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OFFER" sheetId="1" r:id="rId1"/>
    <sheet name="CONDITIOSN" sheetId="2" r:id="rId2"/>
  </sheets>
  <calcPr calcId="152511"/>
</workbook>
</file>

<file path=xl/calcChain.xml><?xml version="1.0" encoding="utf-8"?>
<calcChain xmlns="http://schemas.openxmlformats.org/spreadsheetml/2006/main">
  <c r="AF5080" i="1" l="1"/>
  <c r="AD5080" i="1"/>
  <c r="A5080" i="1"/>
  <c r="AF5079" i="1"/>
  <c r="AD5079" i="1"/>
  <c r="A5079" i="1"/>
  <c r="AF5078" i="1"/>
  <c r="AD5078" i="1"/>
  <c r="A5078" i="1"/>
  <c r="AF5077" i="1"/>
  <c r="AD5077" i="1"/>
  <c r="A5077" i="1"/>
  <c r="AF5076" i="1"/>
  <c r="AD5076" i="1"/>
  <c r="A5076" i="1"/>
  <c r="AF5075" i="1"/>
  <c r="AD5075" i="1"/>
  <c r="A5075" i="1"/>
  <c r="AF5074" i="1"/>
  <c r="AD5074" i="1"/>
  <c r="A5074" i="1"/>
  <c r="AF5073" i="1"/>
  <c r="AD5073" i="1"/>
  <c r="A5073" i="1"/>
  <c r="AF5072" i="1"/>
  <c r="AD5072" i="1"/>
  <c r="A5072" i="1"/>
  <c r="AF5071" i="1"/>
  <c r="AD5071" i="1"/>
  <c r="A5071" i="1"/>
  <c r="AF5070" i="1"/>
  <c r="AD5070" i="1"/>
  <c r="A5070" i="1"/>
  <c r="AF5069" i="1"/>
  <c r="AD5069" i="1"/>
  <c r="A5069" i="1"/>
  <c r="AF5068" i="1"/>
  <c r="AD5068" i="1"/>
  <c r="A5068" i="1"/>
  <c r="AF5067" i="1"/>
  <c r="AD5067" i="1"/>
  <c r="A5067" i="1"/>
  <c r="AF5066" i="1"/>
  <c r="AD5066" i="1"/>
  <c r="A5066" i="1"/>
  <c r="AF5065" i="1"/>
  <c r="AD5065" i="1"/>
  <c r="A5065" i="1"/>
  <c r="AF5064" i="1"/>
  <c r="AD5064" i="1"/>
  <c r="A5064" i="1"/>
  <c r="AF5063" i="1"/>
  <c r="AD5063" i="1"/>
  <c r="A5063" i="1"/>
  <c r="AF5062" i="1"/>
  <c r="AD5062" i="1"/>
  <c r="A5062" i="1"/>
  <c r="AF5061" i="1"/>
  <c r="AD5061" i="1"/>
  <c r="A5061" i="1"/>
  <c r="AF5060" i="1"/>
  <c r="AD5060" i="1"/>
  <c r="A5060" i="1"/>
  <c r="AF5059" i="1"/>
  <c r="AD5059" i="1"/>
  <c r="A5059" i="1"/>
  <c r="AF5058" i="1"/>
  <c r="AD5058" i="1"/>
  <c r="A5058" i="1"/>
  <c r="AF5057" i="1"/>
  <c r="AD5057" i="1"/>
  <c r="A5057" i="1"/>
  <c r="AF5056" i="1"/>
  <c r="AD5056" i="1"/>
  <c r="A5056" i="1"/>
  <c r="AF5055" i="1"/>
  <c r="AD5055" i="1"/>
  <c r="A5055" i="1"/>
  <c r="AF5054" i="1"/>
  <c r="AD5054" i="1"/>
  <c r="A5054" i="1"/>
  <c r="AF5053" i="1"/>
  <c r="AD5053" i="1"/>
  <c r="A5053" i="1"/>
  <c r="AF5052" i="1"/>
  <c r="AD5052" i="1"/>
  <c r="A5052" i="1"/>
  <c r="AF5051" i="1"/>
  <c r="AD5051" i="1"/>
  <c r="A5051" i="1"/>
  <c r="AF5050" i="1"/>
  <c r="AD5050" i="1"/>
  <c r="A5050" i="1"/>
  <c r="AF5049" i="1"/>
  <c r="AD5049" i="1"/>
  <c r="A5049" i="1"/>
  <c r="AF5048" i="1"/>
  <c r="AD5048" i="1"/>
  <c r="A5048" i="1"/>
  <c r="AF5047" i="1"/>
  <c r="AD5047" i="1"/>
  <c r="A5047" i="1"/>
  <c r="AF5046" i="1"/>
  <c r="AD5046" i="1"/>
  <c r="A5046" i="1"/>
  <c r="AF5045" i="1"/>
  <c r="AD5045" i="1"/>
  <c r="A5045" i="1"/>
  <c r="AF5044" i="1"/>
  <c r="AD5044" i="1"/>
  <c r="A5044" i="1"/>
  <c r="AF5043" i="1"/>
  <c r="AD5043" i="1"/>
  <c r="A5043" i="1"/>
  <c r="AF5042" i="1"/>
  <c r="AD5042" i="1"/>
  <c r="A5042" i="1"/>
  <c r="AF5041" i="1"/>
  <c r="AD5041" i="1"/>
  <c r="A5041" i="1"/>
  <c r="AF5040" i="1"/>
  <c r="AD5040" i="1"/>
  <c r="A5040" i="1"/>
  <c r="AF5039" i="1"/>
  <c r="AD5039" i="1"/>
  <c r="A5039" i="1"/>
  <c r="AF5038" i="1"/>
  <c r="AD5038" i="1"/>
  <c r="A5038" i="1"/>
  <c r="AF5037" i="1"/>
  <c r="AD5037" i="1"/>
  <c r="A5037" i="1"/>
  <c r="AF5036" i="1"/>
  <c r="AD5036" i="1"/>
  <c r="A5036" i="1"/>
  <c r="AF5035" i="1"/>
  <c r="AD5035" i="1"/>
  <c r="A5035" i="1"/>
  <c r="AF5034" i="1"/>
  <c r="AD5034" i="1"/>
  <c r="A5034" i="1"/>
  <c r="AF5033" i="1"/>
  <c r="AD5033" i="1"/>
  <c r="A5033" i="1"/>
  <c r="AF5032" i="1"/>
  <c r="AD5032" i="1"/>
  <c r="A5032" i="1"/>
  <c r="AF5031" i="1"/>
  <c r="AD5031" i="1"/>
  <c r="A5031" i="1"/>
  <c r="AF5030" i="1"/>
  <c r="AD5030" i="1"/>
  <c r="A5030" i="1"/>
  <c r="AF5029" i="1"/>
  <c r="AD5029" i="1"/>
  <c r="A5029" i="1"/>
  <c r="AF5028" i="1"/>
  <c r="AD5028" i="1"/>
  <c r="A5028" i="1"/>
  <c r="AF5027" i="1"/>
  <c r="AD5027" i="1"/>
  <c r="A5027" i="1"/>
  <c r="AF5026" i="1"/>
  <c r="AD5026" i="1"/>
  <c r="A5026" i="1"/>
  <c r="AF5025" i="1"/>
  <c r="AD5025" i="1"/>
  <c r="A5025" i="1"/>
  <c r="AF5024" i="1"/>
  <c r="AD5024" i="1"/>
  <c r="A5024" i="1"/>
  <c r="AF5023" i="1"/>
  <c r="AD5023" i="1"/>
  <c r="A5023" i="1"/>
  <c r="AF5022" i="1"/>
  <c r="AD5022" i="1"/>
  <c r="A5022" i="1"/>
  <c r="AF5021" i="1"/>
  <c r="AD5021" i="1"/>
  <c r="A5021" i="1"/>
  <c r="AF5020" i="1"/>
  <c r="AD5020" i="1"/>
  <c r="A5020" i="1"/>
  <c r="AF5019" i="1"/>
  <c r="AD5019" i="1"/>
  <c r="A5019" i="1"/>
  <c r="AF5018" i="1"/>
  <c r="AD5018" i="1"/>
  <c r="A5018" i="1"/>
  <c r="AF5017" i="1"/>
  <c r="AD5017" i="1"/>
  <c r="A5017" i="1"/>
  <c r="AF5016" i="1"/>
  <c r="AD5016" i="1"/>
  <c r="A5016" i="1"/>
  <c r="AF5015" i="1"/>
  <c r="AD5015" i="1"/>
  <c r="A5015" i="1"/>
  <c r="AF5014" i="1"/>
  <c r="AD5014" i="1"/>
  <c r="A5014" i="1"/>
  <c r="AF5013" i="1"/>
  <c r="AD5013" i="1"/>
  <c r="A5013" i="1"/>
  <c r="AF5012" i="1"/>
  <c r="AD5012" i="1"/>
  <c r="A5012" i="1"/>
  <c r="AF5011" i="1"/>
  <c r="AD5011" i="1"/>
  <c r="A5011" i="1"/>
  <c r="AF5010" i="1"/>
  <c r="AD5010" i="1"/>
  <c r="A5010" i="1"/>
  <c r="AF5009" i="1"/>
  <c r="AD5009" i="1"/>
  <c r="A5009" i="1"/>
  <c r="AF5008" i="1"/>
  <c r="AD5008" i="1"/>
  <c r="A5008" i="1"/>
  <c r="AF5007" i="1"/>
  <c r="AD5007" i="1"/>
  <c r="A5007" i="1"/>
  <c r="AF5006" i="1"/>
  <c r="AD5006" i="1"/>
  <c r="A5006" i="1"/>
  <c r="AF5005" i="1"/>
  <c r="AD5005" i="1"/>
  <c r="A5005" i="1"/>
  <c r="AF5004" i="1"/>
  <c r="AD5004" i="1"/>
  <c r="A5004" i="1"/>
  <c r="AF5003" i="1"/>
  <c r="AD5003" i="1"/>
  <c r="A5003" i="1"/>
  <c r="AF5002" i="1"/>
  <c r="AD5002" i="1"/>
  <c r="A5002" i="1"/>
  <c r="AF5001" i="1"/>
  <c r="AD5001" i="1"/>
  <c r="A5001" i="1"/>
  <c r="AF5000" i="1"/>
  <c r="AD5000" i="1"/>
  <c r="A5000" i="1"/>
  <c r="AF4999" i="1"/>
  <c r="AD4999" i="1"/>
  <c r="A4999" i="1"/>
  <c r="AF4998" i="1"/>
  <c r="AD4998" i="1"/>
  <c r="A4998" i="1"/>
  <c r="AF4997" i="1"/>
  <c r="AD4997" i="1"/>
  <c r="A4997" i="1"/>
  <c r="AF4996" i="1"/>
  <c r="AD4996" i="1"/>
  <c r="A4996" i="1"/>
  <c r="AF4995" i="1"/>
  <c r="AD4995" i="1"/>
  <c r="A4995" i="1"/>
  <c r="AF4994" i="1"/>
  <c r="AD4994" i="1"/>
  <c r="A4994" i="1"/>
  <c r="AF4993" i="1"/>
  <c r="AD4993" i="1"/>
  <c r="A4993" i="1"/>
  <c r="AF4992" i="1"/>
  <c r="AD4992" i="1"/>
  <c r="A4992" i="1"/>
  <c r="AF4991" i="1"/>
  <c r="AD4991" i="1"/>
  <c r="A4991" i="1"/>
  <c r="AF4990" i="1"/>
  <c r="AD4990" i="1"/>
  <c r="A4990" i="1"/>
  <c r="AF4989" i="1"/>
  <c r="AD4989" i="1"/>
  <c r="A4989" i="1"/>
  <c r="AF4988" i="1"/>
  <c r="AD4988" i="1"/>
  <c r="A4988" i="1"/>
  <c r="AF4987" i="1"/>
  <c r="AD4987" i="1"/>
  <c r="A4987" i="1"/>
  <c r="AF4986" i="1"/>
  <c r="AD4986" i="1"/>
  <c r="A4986" i="1"/>
  <c r="AF4985" i="1"/>
  <c r="AD4985" i="1"/>
  <c r="A4985" i="1"/>
  <c r="AF4984" i="1"/>
  <c r="AD4984" i="1"/>
  <c r="A4984" i="1"/>
  <c r="AF4983" i="1"/>
  <c r="AD4983" i="1"/>
  <c r="A4983" i="1"/>
  <c r="AF4982" i="1"/>
  <c r="AD4982" i="1"/>
  <c r="A4982" i="1"/>
  <c r="AF4981" i="1"/>
  <c r="AD4981" i="1"/>
  <c r="A4981" i="1"/>
  <c r="AF4980" i="1"/>
  <c r="AD4980" i="1"/>
  <c r="A4980" i="1"/>
  <c r="AF4979" i="1"/>
  <c r="AD4979" i="1"/>
  <c r="A4979" i="1"/>
  <c r="AF4978" i="1"/>
  <c r="AD4978" i="1"/>
  <c r="A4978" i="1"/>
  <c r="AF4977" i="1"/>
  <c r="AD4977" i="1"/>
  <c r="A4977" i="1"/>
  <c r="AF4976" i="1"/>
  <c r="AD4976" i="1"/>
  <c r="A4976" i="1"/>
  <c r="AF4975" i="1"/>
  <c r="AD4975" i="1"/>
  <c r="A4975" i="1"/>
  <c r="AF4974" i="1"/>
  <c r="AD4974" i="1"/>
  <c r="A4974" i="1"/>
  <c r="AF4973" i="1"/>
  <c r="AD4973" i="1"/>
  <c r="A4973" i="1"/>
  <c r="AF4972" i="1"/>
  <c r="AD4972" i="1"/>
  <c r="A4972" i="1"/>
  <c r="AF4971" i="1"/>
  <c r="AD4971" i="1"/>
  <c r="A4971" i="1"/>
  <c r="AF4970" i="1"/>
  <c r="AD4970" i="1"/>
  <c r="A4970" i="1"/>
  <c r="AF4969" i="1"/>
  <c r="AD4969" i="1"/>
  <c r="A4969" i="1"/>
  <c r="AF4968" i="1"/>
  <c r="AD4968" i="1"/>
  <c r="A4968" i="1"/>
  <c r="AF4967" i="1"/>
  <c r="AD4967" i="1"/>
  <c r="A4967" i="1"/>
  <c r="AF4966" i="1"/>
  <c r="AD4966" i="1"/>
  <c r="A4966" i="1"/>
  <c r="AF4965" i="1"/>
  <c r="AD4965" i="1"/>
  <c r="A4965" i="1"/>
  <c r="AF4964" i="1"/>
  <c r="AD4964" i="1"/>
  <c r="A4964" i="1"/>
  <c r="AF4963" i="1"/>
  <c r="AD4963" i="1"/>
  <c r="A4963" i="1"/>
  <c r="AF4962" i="1"/>
  <c r="AD4962" i="1"/>
  <c r="A4962" i="1"/>
  <c r="AF4961" i="1"/>
  <c r="AD4961" i="1"/>
  <c r="A4961" i="1"/>
  <c r="AF4960" i="1"/>
  <c r="AD4960" i="1"/>
  <c r="A4960" i="1"/>
  <c r="AF4959" i="1"/>
  <c r="AD4959" i="1"/>
  <c r="A4959" i="1"/>
  <c r="AF4958" i="1"/>
  <c r="AD4958" i="1"/>
  <c r="A4958" i="1"/>
  <c r="AF4957" i="1"/>
  <c r="AD4957" i="1"/>
  <c r="A4957" i="1"/>
  <c r="AF4956" i="1"/>
  <c r="AD4956" i="1"/>
  <c r="A4956" i="1"/>
  <c r="AF4955" i="1"/>
  <c r="AD4955" i="1"/>
  <c r="A4955" i="1"/>
  <c r="AF4954" i="1"/>
  <c r="AD4954" i="1"/>
  <c r="A4954" i="1"/>
  <c r="AF4953" i="1"/>
  <c r="AD4953" i="1"/>
  <c r="A4953" i="1"/>
  <c r="AF4952" i="1"/>
  <c r="AD4952" i="1"/>
  <c r="A4952" i="1"/>
  <c r="AF4951" i="1"/>
  <c r="AD4951" i="1"/>
  <c r="A4951" i="1"/>
  <c r="AF4950" i="1"/>
  <c r="AD4950" i="1"/>
  <c r="A4950" i="1"/>
  <c r="AF4949" i="1"/>
  <c r="AD4949" i="1"/>
  <c r="A4949" i="1"/>
  <c r="AF4948" i="1"/>
  <c r="AD4948" i="1"/>
  <c r="A4948" i="1"/>
  <c r="AF4947" i="1"/>
  <c r="AD4947" i="1"/>
  <c r="A4947" i="1"/>
  <c r="AF4946" i="1"/>
  <c r="AD4946" i="1"/>
  <c r="A4946" i="1"/>
  <c r="AF4945" i="1"/>
  <c r="AD4945" i="1"/>
  <c r="A4945" i="1"/>
  <c r="AF4944" i="1"/>
  <c r="AD4944" i="1"/>
  <c r="A4944" i="1"/>
  <c r="AF4943" i="1"/>
  <c r="AD4943" i="1"/>
  <c r="A4943" i="1"/>
  <c r="AF4942" i="1"/>
  <c r="AD4942" i="1"/>
  <c r="A4942" i="1"/>
  <c r="AF4941" i="1"/>
  <c r="AD4941" i="1"/>
  <c r="A4941" i="1"/>
  <c r="AF4940" i="1"/>
  <c r="AD4940" i="1"/>
  <c r="A4940" i="1"/>
  <c r="AF4939" i="1"/>
  <c r="AD4939" i="1"/>
  <c r="A4939" i="1"/>
  <c r="AF4938" i="1"/>
  <c r="AD4938" i="1"/>
  <c r="A4938" i="1"/>
  <c r="AF4937" i="1"/>
  <c r="AD4937" i="1"/>
  <c r="A4937" i="1"/>
  <c r="AF4936" i="1"/>
  <c r="AD4936" i="1"/>
  <c r="A4936" i="1"/>
  <c r="AF4935" i="1"/>
  <c r="AD4935" i="1"/>
  <c r="A4935" i="1"/>
  <c r="AF4934" i="1"/>
  <c r="AD4934" i="1"/>
  <c r="A4934" i="1"/>
  <c r="AF4933" i="1"/>
  <c r="AD4933" i="1"/>
  <c r="A4933" i="1"/>
  <c r="AF4932" i="1"/>
  <c r="AD4932" i="1"/>
  <c r="A4932" i="1"/>
  <c r="AF4931" i="1"/>
  <c r="AD4931" i="1"/>
  <c r="A4931" i="1"/>
  <c r="AF4930" i="1"/>
  <c r="AD4930" i="1"/>
  <c r="A4930" i="1"/>
  <c r="AF4929" i="1"/>
  <c r="AD4929" i="1"/>
  <c r="A4929" i="1"/>
  <c r="AF4928" i="1"/>
  <c r="AD4928" i="1"/>
  <c r="A4928" i="1"/>
  <c r="AF4927" i="1"/>
  <c r="AD4927" i="1"/>
  <c r="A4927" i="1"/>
  <c r="AF4926" i="1"/>
  <c r="AD4926" i="1"/>
  <c r="A4926" i="1"/>
  <c r="AF4925" i="1"/>
  <c r="AD4925" i="1"/>
  <c r="A4925" i="1"/>
  <c r="AF4924" i="1"/>
  <c r="AD4924" i="1"/>
  <c r="A4924" i="1"/>
  <c r="AF4923" i="1"/>
  <c r="AD4923" i="1"/>
  <c r="A4923" i="1"/>
  <c r="AF4922" i="1"/>
  <c r="AD4922" i="1"/>
  <c r="A4922" i="1"/>
  <c r="AF4921" i="1"/>
  <c r="AD4921" i="1"/>
  <c r="A4921" i="1"/>
  <c r="AF4920" i="1"/>
  <c r="AD4920" i="1"/>
  <c r="A4920" i="1"/>
  <c r="AF4919" i="1"/>
  <c r="AD4919" i="1"/>
  <c r="A4919" i="1"/>
  <c r="AF4918" i="1"/>
  <c r="AD4918" i="1"/>
  <c r="A4918" i="1"/>
  <c r="AF4917" i="1"/>
  <c r="AD4917" i="1"/>
  <c r="A4917" i="1"/>
  <c r="AF4916" i="1"/>
  <c r="AD4916" i="1"/>
  <c r="A4916" i="1"/>
  <c r="AF4915" i="1"/>
  <c r="AD4915" i="1"/>
  <c r="A4915" i="1"/>
  <c r="AF4914" i="1"/>
  <c r="AD4914" i="1"/>
  <c r="A4914" i="1"/>
  <c r="AF4913" i="1"/>
  <c r="AD4913" i="1"/>
  <c r="A4913" i="1"/>
  <c r="AF4912" i="1"/>
  <c r="AD4912" i="1"/>
  <c r="A4912" i="1"/>
  <c r="AF4911" i="1"/>
  <c r="AD4911" i="1"/>
  <c r="A4911" i="1"/>
  <c r="AF4910" i="1"/>
  <c r="AD4910" i="1"/>
  <c r="A4910" i="1"/>
  <c r="AF4909" i="1"/>
  <c r="AD4909" i="1"/>
  <c r="A4909" i="1"/>
  <c r="AF4908" i="1"/>
  <c r="AD4908" i="1"/>
  <c r="A4908" i="1"/>
  <c r="AF4907" i="1"/>
  <c r="AD4907" i="1"/>
  <c r="A4907" i="1"/>
  <c r="AF4906" i="1"/>
  <c r="AD4906" i="1"/>
  <c r="A4906" i="1"/>
  <c r="AF4905" i="1"/>
  <c r="AD4905" i="1"/>
  <c r="A4905" i="1"/>
  <c r="AF4904" i="1"/>
  <c r="AD4904" i="1"/>
  <c r="A4904" i="1"/>
  <c r="AF4903" i="1"/>
  <c r="AD4903" i="1"/>
  <c r="A4903" i="1"/>
  <c r="AF4902" i="1"/>
  <c r="AD4902" i="1"/>
  <c r="A4902" i="1"/>
  <c r="AF4901" i="1"/>
  <c r="AD4901" i="1"/>
  <c r="A4901" i="1"/>
  <c r="AF4900" i="1"/>
  <c r="AD4900" i="1"/>
  <c r="A4900" i="1"/>
  <c r="AF4899" i="1"/>
  <c r="AD4899" i="1"/>
  <c r="A4899" i="1"/>
  <c r="AF4898" i="1"/>
  <c r="AD4898" i="1"/>
  <c r="A4898" i="1"/>
  <c r="AF4897" i="1"/>
  <c r="AD4897" i="1"/>
  <c r="A4897" i="1"/>
  <c r="AF4896" i="1"/>
  <c r="AD4896" i="1"/>
  <c r="A4896" i="1"/>
  <c r="AF4895" i="1"/>
  <c r="AD4895" i="1"/>
  <c r="A4895" i="1"/>
  <c r="AF4894" i="1"/>
  <c r="AD4894" i="1"/>
  <c r="A4894" i="1"/>
  <c r="AF4893" i="1"/>
  <c r="AD4893" i="1"/>
  <c r="A4893" i="1"/>
  <c r="AF4892" i="1"/>
  <c r="AD4892" i="1"/>
  <c r="A4892" i="1"/>
  <c r="AF4891" i="1"/>
  <c r="AD4891" i="1"/>
  <c r="A4891" i="1"/>
  <c r="AF4890" i="1"/>
  <c r="AD4890" i="1"/>
  <c r="A4890" i="1"/>
  <c r="AF4889" i="1"/>
  <c r="AD4889" i="1"/>
  <c r="A4889" i="1"/>
  <c r="AF4888" i="1"/>
  <c r="AD4888" i="1"/>
  <c r="A4888" i="1"/>
  <c r="AF4887" i="1"/>
  <c r="AD4887" i="1"/>
  <c r="A4887" i="1"/>
  <c r="AF4886" i="1"/>
  <c r="AD4886" i="1"/>
  <c r="A4886" i="1"/>
  <c r="AF4885" i="1"/>
  <c r="AD4885" i="1"/>
  <c r="A4885" i="1"/>
  <c r="AF4884" i="1"/>
  <c r="AD4884" i="1"/>
  <c r="A4884" i="1"/>
  <c r="AF4883" i="1"/>
  <c r="AD4883" i="1"/>
  <c r="A4883" i="1"/>
  <c r="AF4882" i="1"/>
  <c r="AD4882" i="1"/>
  <c r="A4882" i="1"/>
  <c r="AF4881" i="1"/>
  <c r="AD4881" i="1"/>
  <c r="A4881" i="1"/>
  <c r="AF4880" i="1"/>
  <c r="AD4880" i="1"/>
  <c r="A4880" i="1"/>
  <c r="AF4879" i="1"/>
  <c r="AD4879" i="1"/>
  <c r="A4879" i="1"/>
  <c r="AF4878" i="1"/>
  <c r="AD4878" i="1"/>
  <c r="A4878" i="1"/>
  <c r="AF4877" i="1"/>
  <c r="AD4877" i="1"/>
  <c r="A4877" i="1"/>
  <c r="AF4876" i="1"/>
  <c r="AD4876" i="1"/>
  <c r="A4876" i="1"/>
  <c r="AF4875" i="1"/>
  <c r="AD4875" i="1"/>
  <c r="A4875" i="1"/>
  <c r="AF4874" i="1"/>
  <c r="AD4874" i="1"/>
  <c r="A4874" i="1"/>
  <c r="AF4873" i="1"/>
  <c r="AD4873" i="1"/>
  <c r="A4873" i="1"/>
  <c r="AF4872" i="1"/>
  <c r="AD4872" i="1"/>
  <c r="A4872" i="1"/>
  <c r="AF4871" i="1"/>
  <c r="AD4871" i="1"/>
  <c r="A4871" i="1"/>
  <c r="AF4870" i="1"/>
  <c r="AD4870" i="1"/>
  <c r="A4870" i="1"/>
  <c r="AF4869" i="1"/>
  <c r="AD4869" i="1"/>
  <c r="A4869" i="1"/>
  <c r="AF4868" i="1"/>
  <c r="AD4868" i="1"/>
  <c r="A4868" i="1"/>
  <c r="AF4867" i="1"/>
  <c r="AD4867" i="1"/>
  <c r="A4867" i="1"/>
  <c r="AF4866" i="1"/>
  <c r="AD4866" i="1"/>
  <c r="A4866" i="1"/>
  <c r="AF4865" i="1"/>
  <c r="AD4865" i="1"/>
  <c r="A4865" i="1"/>
  <c r="AF4864" i="1"/>
  <c r="AD4864" i="1"/>
  <c r="A4864" i="1"/>
  <c r="AF4863" i="1"/>
  <c r="AD4863" i="1"/>
  <c r="A4863" i="1"/>
  <c r="AF4862" i="1"/>
  <c r="AD4862" i="1"/>
  <c r="A4862" i="1"/>
  <c r="AF4861" i="1"/>
  <c r="AD4861" i="1"/>
  <c r="A4861" i="1"/>
  <c r="AF4860" i="1"/>
  <c r="AD4860" i="1"/>
  <c r="A4860" i="1"/>
  <c r="AF4859" i="1"/>
  <c r="AD4859" i="1"/>
  <c r="A4859" i="1"/>
  <c r="AF4858" i="1"/>
  <c r="AD4858" i="1"/>
  <c r="A4858" i="1"/>
  <c r="AF4857" i="1"/>
  <c r="AD4857" i="1"/>
  <c r="A4857" i="1"/>
  <c r="AF4856" i="1"/>
  <c r="AD4856" i="1"/>
  <c r="A4856" i="1"/>
  <c r="AF4855" i="1"/>
  <c r="AD4855" i="1"/>
  <c r="A4855" i="1"/>
  <c r="AF4854" i="1"/>
  <c r="AD4854" i="1"/>
  <c r="A4854" i="1"/>
  <c r="AF4853" i="1"/>
  <c r="AD4853" i="1"/>
  <c r="A4853" i="1"/>
  <c r="AF4852" i="1"/>
  <c r="AD4852" i="1"/>
  <c r="A4852" i="1"/>
  <c r="AF4851" i="1"/>
  <c r="AD4851" i="1"/>
  <c r="A4851" i="1"/>
  <c r="AF4850" i="1"/>
  <c r="AD4850" i="1"/>
  <c r="A4850" i="1"/>
  <c r="AF4849" i="1"/>
  <c r="AD4849" i="1"/>
  <c r="A4849" i="1"/>
  <c r="AF4848" i="1"/>
  <c r="AD4848" i="1"/>
  <c r="A4848" i="1"/>
  <c r="AF4847" i="1"/>
  <c r="AD4847" i="1"/>
  <c r="A4847" i="1"/>
  <c r="AF4846" i="1"/>
  <c r="AD4846" i="1"/>
  <c r="A4846" i="1"/>
  <c r="AF4845" i="1"/>
  <c r="AD4845" i="1"/>
  <c r="A4845" i="1"/>
  <c r="AF4844" i="1"/>
  <c r="AD4844" i="1"/>
  <c r="A4844" i="1"/>
  <c r="AF4843" i="1"/>
  <c r="AD4843" i="1"/>
  <c r="A4843" i="1"/>
  <c r="AF4842" i="1"/>
  <c r="AD4842" i="1"/>
  <c r="A4842" i="1"/>
  <c r="AF4841" i="1"/>
  <c r="AD4841" i="1"/>
  <c r="A4841" i="1"/>
  <c r="AF4840" i="1"/>
  <c r="AD4840" i="1"/>
  <c r="A4840" i="1"/>
  <c r="AF4839" i="1"/>
  <c r="AD4839" i="1"/>
  <c r="A4839" i="1"/>
  <c r="AF4838" i="1"/>
  <c r="AD4838" i="1"/>
  <c r="A4838" i="1"/>
  <c r="AF4837" i="1"/>
  <c r="AD4837" i="1"/>
  <c r="A4837" i="1"/>
  <c r="AF4836" i="1"/>
  <c r="AD4836" i="1"/>
  <c r="A4836" i="1"/>
  <c r="AF4835" i="1"/>
  <c r="AD4835" i="1"/>
  <c r="A4835" i="1"/>
  <c r="AF4834" i="1"/>
  <c r="AD4834" i="1"/>
  <c r="A4834" i="1"/>
  <c r="AF4833" i="1"/>
  <c r="AD4833" i="1"/>
  <c r="A4833" i="1"/>
  <c r="AF4832" i="1"/>
  <c r="AD4832" i="1"/>
  <c r="A4832" i="1"/>
  <c r="AF4831" i="1"/>
  <c r="AD4831" i="1"/>
  <c r="A4831" i="1"/>
  <c r="AF4830" i="1"/>
  <c r="AD4830" i="1"/>
  <c r="A4830" i="1"/>
  <c r="AF4829" i="1"/>
  <c r="AD4829" i="1"/>
  <c r="A4829" i="1"/>
  <c r="AF4828" i="1"/>
  <c r="AD4828" i="1"/>
  <c r="A4828" i="1"/>
  <c r="AF4827" i="1"/>
  <c r="AD4827" i="1"/>
  <c r="A4827" i="1"/>
  <c r="AF4826" i="1"/>
  <c r="AD4826" i="1"/>
  <c r="A4826" i="1"/>
  <c r="AF4825" i="1"/>
  <c r="AD4825" i="1"/>
  <c r="A4825" i="1"/>
  <c r="AF4824" i="1"/>
  <c r="AD4824" i="1"/>
  <c r="A4824" i="1"/>
  <c r="AF4823" i="1"/>
  <c r="AD4823" i="1"/>
  <c r="A4823" i="1"/>
  <c r="AF4822" i="1"/>
  <c r="AD4822" i="1"/>
  <c r="A4822" i="1"/>
  <c r="AF4821" i="1"/>
  <c r="AD4821" i="1"/>
  <c r="A4821" i="1"/>
  <c r="AF4820" i="1"/>
  <c r="AD4820" i="1"/>
  <c r="A4820" i="1"/>
  <c r="AF4819" i="1"/>
  <c r="AD4819" i="1"/>
  <c r="A4819" i="1"/>
  <c r="AF4818" i="1"/>
  <c r="AD4818" i="1"/>
  <c r="A4818" i="1"/>
  <c r="AF4817" i="1"/>
  <c r="AD4817" i="1"/>
  <c r="A4817" i="1"/>
  <c r="AF4816" i="1"/>
  <c r="AD4816" i="1"/>
  <c r="A4816" i="1"/>
  <c r="AF4815" i="1"/>
  <c r="AD4815" i="1"/>
  <c r="A4815" i="1"/>
  <c r="AF4814" i="1"/>
  <c r="AD4814" i="1"/>
  <c r="A4814" i="1"/>
  <c r="AF4813" i="1"/>
  <c r="AD4813" i="1"/>
  <c r="A4813" i="1"/>
  <c r="AF4812" i="1"/>
  <c r="AD4812" i="1"/>
  <c r="A4812" i="1"/>
  <c r="AF4811" i="1"/>
  <c r="AD4811" i="1"/>
  <c r="A4811" i="1"/>
  <c r="AF4810" i="1"/>
  <c r="AD4810" i="1"/>
  <c r="A4810" i="1"/>
  <c r="AF4809" i="1"/>
  <c r="AD4809" i="1"/>
  <c r="A4809" i="1"/>
  <c r="AF4808" i="1"/>
  <c r="AD4808" i="1"/>
  <c r="A4808" i="1"/>
  <c r="AF4807" i="1"/>
  <c r="AD4807" i="1"/>
  <c r="A4807" i="1"/>
  <c r="AF4806" i="1"/>
  <c r="AD4806" i="1"/>
  <c r="A4806" i="1"/>
  <c r="AF4805" i="1"/>
  <c r="AD4805" i="1"/>
  <c r="A4805" i="1"/>
  <c r="AF4804" i="1"/>
  <c r="AD4804" i="1"/>
  <c r="A4804" i="1"/>
  <c r="AF4803" i="1"/>
  <c r="AD4803" i="1"/>
  <c r="A4803" i="1"/>
  <c r="AF4802" i="1"/>
  <c r="AD4802" i="1"/>
  <c r="A4802" i="1"/>
  <c r="AF4801" i="1"/>
  <c r="AD4801" i="1"/>
  <c r="A4801" i="1"/>
  <c r="AF4800" i="1"/>
  <c r="AD4800" i="1"/>
  <c r="A4800" i="1"/>
  <c r="AF4799" i="1"/>
  <c r="AD4799" i="1"/>
  <c r="A4799" i="1"/>
  <c r="AF4798" i="1"/>
  <c r="AD4798" i="1"/>
  <c r="A4798" i="1"/>
  <c r="AF4797" i="1"/>
  <c r="AD4797" i="1"/>
  <c r="A4797" i="1"/>
  <c r="AF4796" i="1"/>
  <c r="AD4796" i="1"/>
  <c r="A4796" i="1"/>
  <c r="AF4795" i="1"/>
  <c r="AD4795" i="1"/>
  <c r="A4795" i="1"/>
  <c r="AF4794" i="1"/>
  <c r="AD4794" i="1"/>
  <c r="A4794" i="1"/>
  <c r="AF4793" i="1"/>
  <c r="AD4793" i="1"/>
  <c r="A4793" i="1"/>
  <c r="AF4792" i="1"/>
  <c r="AD4792" i="1"/>
  <c r="A4792" i="1"/>
  <c r="AF4791" i="1"/>
  <c r="AD4791" i="1"/>
  <c r="A4791" i="1"/>
  <c r="AF4790" i="1"/>
  <c r="AD4790" i="1"/>
  <c r="A4790" i="1"/>
  <c r="AF4789" i="1"/>
  <c r="AD4789" i="1"/>
  <c r="A4789" i="1"/>
  <c r="AF4788" i="1"/>
  <c r="AD4788" i="1"/>
  <c r="A4788" i="1"/>
  <c r="AF4787" i="1"/>
  <c r="AD4787" i="1"/>
  <c r="A4787" i="1"/>
  <c r="AF4786" i="1"/>
  <c r="AD4786" i="1"/>
  <c r="A4786" i="1"/>
  <c r="AF4785" i="1"/>
  <c r="AD4785" i="1"/>
  <c r="A4785" i="1"/>
  <c r="AF4784" i="1"/>
  <c r="AD4784" i="1"/>
  <c r="A4784" i="1"/>
  <c r="AF4783" i="1"/>
  <c r="AD4783" i="1"/>
  <c r="A4783" i="1"/>
  <c r="AF4782" i="1"/>
  <c r="AD4782" i="1"/>
  <c r="A4782" i="1"/>
  <c r="AF4781" i="1"/>
  <c r="AD4781" i="1"/>
  <c r="A4781" i="1"/>
  <c r="AF4780" i="1"/>
  <c r="AD4780" i="1"/>
  <c r="A4780" i="1"/>
  <c r="AF4779" i="1"/>
  <c r="AD4779" i="1"/>
  <c r="A4779" i="1"/>
  <c r="AF4778" i="1"/>
  <c r="AD4778" i="1"/>
  <c r="A4778" i="1"/>
  <c r="AF4777" i="1"/>
  <c r="AD4777" i="1"/>
  <c r="A4777" i="1"/>
  <c r="AF4776" i="1"/>
  <c r="AD4776" i="1"/>
  <c r="A4776" i="1"/>
  <c r="AF4775" i="1"/>
  <c r="AD4775" i="1"/>
  <c r="A4775" i="1"/>
  <c r="AF4774" i="1"/>
  <c r="AD4774" i="1"/>
  <c r="A4774" i="1"/>
  <c r="AF4773" i="1"/>
  <c r="AD4773" i="1"/>
  <c r="A4773" i="1"/>
  <c r="AF4772" i="1"/>
  <c r="AD4772" i="1"/>
  <c r="A4772" i="1"/>
  <c r="AF4771" i="1"/>
  <c r="AD4771" i="1"/>
  <c r="A4771" i="1"/>
  <c r="AF4770" i="1"/>
  <c r="AD4770" i="1"/>
  <c r="A4770" i="1"/>
  <c r="AF4769" i="1"/>
  <c r="AD4769" i="1"/>
  <c r="A4769" i="1"/>
  <c r="AF4768" i="1"/>
  <c r="AD4768" i="1"/>
  <c r="A4768" i="1"/>
  <c r="AF4767" i="1"/>
  <c r="AD4767" i="1"/>
  <c r="A4767" i="1"/>
  <c r="AF4766" i="1"/>
  <c r="AD4766" i="1"/>
  <c r="A4766" i="1"/>
  <c r="AF4765" i="1"/>
  <c r="AD4765" i="1"/>
  <c r="A4765" i="1"/>
  <c r="AF4764" i="1"/>
  <c r="AD4764" i="1"/>
  <c r="A4764" i="1"/>
  <c r="AF4763" i="1"/>
  <c r="AD4763" i="1"/>
  <c r="A4763" i="1"/>
  <c r="AF4762" i="1"/>
  <c r="AD4762" i="1"/>
  <c r="A4762" i="1"/>
  <c r="AF4761" i="1"/>
  <c r="AD4761" i="1"/>
  <c r="A4761" i="1"/>
  <c r="AF4760" i="1"/>
  <c r="AD4760" i="1"/>
  <c r="A4760" i="1"/>
  <c r="AF4759" i="1"/>
  <c r="AD4759" i="1"/>
  <c r="A4759" i="1"/>
  <c r="AF4758" i="1"/>
  <c r="AD4758" i="1"/>
  <c r="A4758" i="1"/>
  <c r="AF4757" i="1"/>
  <c r="AD4757" i="1"/>
  <c r="A4757" i="1"/>
  <c r="AF4756" i="1"/>
  <c r="AD4756" i="1"/>
  <c r="A4756" i="1"/>
  <c r="AF4755" i="1"/>
  <c r="AD4755" i="1"/>
  <c r="A4755" i="1"/>
  <c r="AF4754" i="1"/>
  <c r="AD4754" i="1"/>
  <c r="A4754" i="1"/>
  <c r="AF4753" i="1"/>
  <c r="AD4753" i="1"/>
  <c r="A4753" i="1"/>
  <c r="AF4752" i="1"/>
  <c r="AD4752" i="1"/>
  <c r="A4752" i="1"/>
  <c r="AF4751" i="1"/>
  <c r="AD4751" i="1"/>
  <c r="A4751" i="1"/>
  <c r="AF4750" i="1"/>
  <c r="AD4750" i="1"/>
  <c r="A4750" i="1"/>
  <c r="AF4749" i="1"/>
  <c r="AD4749" i="1"/>
  <c r="A4749" i="1"/>
  <c r="AF4748" i="1"/>
  <c r="AD4748" i="1"/>
  <c r="A4748" i="1"/>
  <c r="AF4747" i="1"/>
  <c r="AD4747" i="1"/>
  <c r="A4747" i="1"/>
  <c r="AF4746" i="1"/>
  <c r="AD4746" i="1"/>
  <c r="A4746" i="1"/>
  <c r="AF4745" i="1"/>
  <c r="AD4745" i="1"/>
  <c r="A4745" i="1"/>
  <c r="AF4744" i="1"/>
  <c r="AD4744" i="1"/>
  <c r="A4744" i="1"/>
  <c r="AF4743" i="1"/>
  <c r="AD4743" i="1"/>
  <c r="A4743" i="1"/>
  <c r="AF4742" i="1"/>
  <c r="AD4742" i="1"/>
  <c r="A4742" i="1"/>
  <c r="AF4741" i="1"/>
  <c r="AD4741" i="1"/>
  <c r="A4741" i="1"/>
  <c r="AF4740" i="1"/>
  <c r="AD4740" i="1"/>
  <c r="A4740" i="1"/>
  <c r="AF4739" i="1"/>
  <c r="AD4739" i="1"/>
  <c r="A4739" i="1"/>
  <c r="AF4738" i="1"/>
  <c r="AD4738" i="1"/>
  <c r="A4738" i="1"/>
  <c r="AF4737" i="1"/>
  <c r="AD4737" i="1"/>
  <c r="A4737" i="1"/>
  <c r="AF4736" i="1"/>
  <c r="AD4736" i="1"/>
  <c r="A4736" i="1"/>
  <c r="AF4735" i="1"/>
  <c r="AD4735" i="1"/>
  <c r="A4735" i="1"/>
  <c r="AF4734" i="1"/>
  <c r="AD4734" i="1"/>
  <c r="A4734" i="1"/>
  <c r="AF4733" i="1"/>
  <c r="AD4733" i="1"/>
  <c r="A4733" i="1"/>
  <c r="AF4732" i="1"/>
  <c r="AD4732" i="1"/>
  <c r="A4732" i="1"/>
  <c r="AF4731" i="1"/>
  <c r="AD4731" i="1"/>
  <c r="A4731" i="1"/>
  <c r="AF4730" i="1"/>
  <c r="AD4730" i="1"/>
  <c r="A4730" i="1"/>
  <c r="AF4729" i="1"/>
  <c r="AD4729" i="1"/>
  <c r="A4729" i="1"/>
  <c r="AF4728" i="1"/>
  <c r="AD4728" i="1"/>
  <c r="A4728" i="1"/>
  <c r="AF4727" i="1"/>
  <c r="AD4727" i="1"/>
  <c r="A4727" i="1"/>
  <c r="AF4726" i="1"/>
  <c r="AD4726" i="1"/>
  <c r="A4726" i="1"/>
  <c r="AF4725" i="1"/>
  <c r="AD4725" i="1"/>
  <c r="A4725" i="1"/>
  <c r="AF4724" i="1"/>
  <c r="AD4724" i="1"/>
  <c r="A4724" i="1"/>
  <c r="AF4723" i="1"/>
  <c r="AD4723" i="1"/>
  <c r="A4723" i="1"/>
  <c r="AF4722" i="1"/>
  <c r="AD4722" i="1"/>
  <c r="A4722" i="1"/>
  <c r="AF4721" i="1"/>
  <c r="AD4721" i="1"/>
  <c r="A4721" i="1"/>
  <c r="AF4720" i="1"/>
  <c r="AD4720" i="1"/>
  <c r="A4720" i="1"/>
  <c r="AF4719" i="1"/>
  <c r="AD4719" i="1"/>
  <c r="A4719" i="1"/>
  <c r="AF4718" i="1"/>
  <c r="AD4718" i="1"/>
  <c r="A4718" i="1"/>
  <c r="AF4717" i="1"/>
  <c r="AD4717" i="1"/>
  <c r="A4717" i="1"/>
  <c r="AF4716" i="1"/>
  <c r="AD4716" i="1"/>
  <c r="A4716" i="1"/>
  <c r="AF4715" i="1"/>
  <c r="AD4715" i="1"/>
  <c r="A4715" i="1"/>
  <c r="AF4714" i="1"/>
  <c r="AD4714" i="1"/>
  <c r="A4714" i="1"/>
  <c r="AF4713" i="1"/>
  <c r="AD4713" i="1"/>
  <c r="A4713" i="1"/>
  <c r="AF4712" i="1"/>
  <c r="AD4712" i="1"/>
  <c r="A4712" i="1"/>
  <c r="AF4711" i="1"/>
  <c r="AD4711" i="1"/>
  <c r="A4711" i="1"/>
  <c r="AF4710" i="1"/>
  <c r="AD4710" i="1"/>
  <c r="A4710" i="1"/>
  <c r="AF4709" i="1"/>
  <c r="AD4709" i="1"/>
  <c r="A4709" i="1"/>
  <c r="AF4708" i="1"/>
  <c r="AD4708" i="1"/>
  <c r="A4708" i="1"/>
  <c r="AF4707" i="1"/>
  <c r="AD4707" i="1"/>
  <c r="A4707" i="1"/>
  <c r="AF4706" i="1"/>
  <c r="AD4706" i="1"/>
  <c r="A4706" i="1"/>
  <c r="AF4705" i="1"/>
  <c r="AD4705" i="1"/>
  <c r="A4705" i="1"/>
  <c r="AF4704" i="1"/>
  <c r="AD4704" i="1"/>
  <c r="A4704" i="1"/>
  <c r="AF4703" i="1"/>
  <c r="AD4703" i="1"/>
  <c r="A4703" i="1"/>
  <c r="AF4702" i="1"/>
  <c r="AD4702" i="1"/>
  <c r="A4702" i="1"/>
  <c r="AF4701" i="1"/>
  <c r="AD4701" i="1"/>
  <c r="A4701" i="1"/>
  <c r="AF4700" i="1"/>
  <c r="AD4700" i="1"/>
  <c r="A4700" i="1"/>
  <c r="AF4699" i="1"/>
  <c r="AD4699" i="1"/>
  <c r="A4699" i="1"/>
  <c r="AF4698" i="1"/>
  <c r="AD4698" i="1"/>
  <c r="A4698" i="1"/>
  <c r="AF4697" i="1"/>
  <c r="AD4697" i="1"/>
  <c r="A4697" i="1"/>
  <c r="AF4696" i="1"/>
  <c r="AD4696" i="1"/>
  <c r="A4696" i="1"/>
  <c r="AF4695" i="1"/>
  <c r="AD4695" i="1"/>
  <c r="A4695" i="1"/>
  <c r="AF4694" i="1"/>
  <c r="AD4694" i="1"/>
  <c r="A4694" i="1"/>
  <c r="AF4693" i="1"/>
  <c r="AD4693" i="1"/>
  <c r="A4693" i="1"/>
  <c r="AF4692" i="1"/>
  <c r="AD4692" i="1"/>
  <c r="A4692" i="1"/>
  <c r="AF4691" i="1"/>
  <c r="AD4691" i="1"/>
  <c r="A4691" i="1"/>
  <c r="AF4690" i="1"/>
  <c r="AD4690" i="1"/>
  <c r="A4690" i="1"/>
  <c r="AF4689" i="1"/>
  <c r="AD4689" i="1"/>
  <c r="A4689" i="1"/>
  <c r="AF4688" i="1"/>
  <c r="AD4688" i="1"/>
  <c r="A4688" i="1"/>
  <c r="AF4687" i="1"/>
  <c r="AD4687" i="1"/>
  <c r="A4687" i="1"/>
  <c r="AF4686" i="1"/>
  <c r="AD4686" i="1"/>
  <c r="A4686" i="1"/>
  <c r="AF4685" i="1"/>
  <c r="AD4685" i="1"/>
  <c r="A4685" i="1"/>
  <c r="AF4684" i="1"/>
  <c r="AD4684" i="1"/>
  <c r="A4684" i="1"/>
  <c r="AF4683" i="1"/>
  <c r="AD4683" i="1"/>
  <c r="A4683" i="1"/>
  <c r="AF4682" i="1"/>
  <c r="AD4682" i="1"/>
  <c r="A4682" i="1"/>
  <c r="AF4681" i="1"/>
  <c r="AD4681" i="1"/>
  <c r="A4681" i="1"/>
  <c r="AF4680" i="1"/>
  <c r="AD4680" i="1"/>
  <c r="A4680" i="1"/>
  <c r="AF4679" i="1"/>
  <c r="AD4679" i="1"/>
  <c r="A4679" i="1"/>
  <c r="AF4678" i="1"/>
  <c r="AD4678" i="1"/>
  <c r="A4678" i="1"/>
  <c r="AF4677" i="1"/>
  <c r="AD4677" i="1"/>
  <c r="A4677" i="1"/>
  <c r="AF4676" i="1"/>
  <c r="AD4676" i="1"/>
  <c r="A4676" i="1"/>
  <c r="AF4675" i="1"/>
  <c r="AD4675" i="1"/>
  <c r="A4675" i="1"/>
  <c r="AF4674" i="1"/>
  <c r="AD4674" i="1"/>
  <c r="A4674" i="1"/>
  <c r="AF4673" i="1"/>
  <c r="AD4673" i="1"/>
  <c r="A4673" i="1"/>
  <c r="AF4672" i="1"/>
  <c r="AD4672" i="1"/>
  <c r="A4672" i="1"/>
  <c r="AF4671" i="1"/>
  <c r="AD4671" i="1"/>
  <c r="A4671" i="1"/>
  <c r="AF4670" i="1"/>
  <c r="AD4670" i="1"/>
  <c r="A4670" i="1"/>
  <c r="AF4669" i="1"/>
  <c r="AD4669" i="1"/>
  <c r="A4669" i="1"/>
  <c r="AF4668" i="1"/>
  <c r="AD4668" i="1"/>
  <c r="A4668" i="1"/>
  <c r="AF4667" i="1"/>
  <c r="AD4667" i="1"/>
  <c r="A4667" i="1"/>
  <c r="AF4666" i="1"/>
  <c r="AD4666" i="1"/>
  <c r="A4666" i="1"/>
  <c r="AF4665" i="1"/>
  <c r="AD4665" i="1"/>
  <c r="A4665" i="1"/>
  <c r="AF4664" i="1"/>
  <c r="AD4664" i="1"/>
  <c r="A4664" i="1"/>
  <c r="AF4663" i="1"/>
  <c r="AD4663" i="1"/>
  <c r="A4663" i="1"/>
  <c r="AF4662" i="1"/>
  <c r="AD4662" i="1"/>
  <c r="A4662" i="1"/>
  <c r="AF4661" i="1"/>
  <c r="AD4661" i="1"/>
  <c r="A4661" i="1"/>
  <c r="AF4660" i="1"/>
  <c r="AD4660" i="1"/>
  <c r="A4660" i="1"/>
  <c r="AF4659" i="1"/>
  <c r="AD4659" i="1"/>
  <c r="A4659" i="1"/>
  <c r="AF4658" i="1"/>
  <c r="AD4658" i="1"/>
  <c r="A4658" i="1"/>
  <c r="AF4657" i="1"/>
  <c r="AD4657" i="1"/>
  <c r="A4657" i="1"/>
  <c r="AF4656" i="1"/>
  <c r="AD4656" i="1"/>
  <c r="A4656" i="1"/>
  <c r="AF4655" i="1"/>
  <c r="AD4655" i="1"/>
  <c r="A4655" i="1"/>
  <c r="AF4654" i="1"/>
  <c r="AD4654" i="1"/>
  <c r="A4654" i="1"/>
  <c r="AF4653" i="1"/>
  <c r="AD4653" i="1"/>
  <c r="A4653" i="1"/>
  <c r="AF4652" i="1"/>
  <c r="AD4652" i="1"/>
  <c r="A4652" i="1"/>
  <c r="AF4651" i="1"/>
  <c r="AD4651" i="1"/>
  <c r="A4651" i="1"/>
  <c r="AF4650" i="1"/>
  <c r="AD4650" i="1"/>
  <c r="A4650" i="1"/>
  <c r="AF4649" i="1"/>
  <c r="AD4649" i="1"/>
  <c r="A4649" i="1"/>
  <c r="AF4648" i="1"/>
  <c r="AD4648" i="1"/>
  <c r="A4648" i="1"/>
  <c r="AF4647" i="1"/>
  <c r="AD4647" i="1"/>
  <c r="A4647" i="1"/>
  <c r="AF4646" i="1"/>
  <c r="AD4646" i="1"/>
  <c r="A4646" i="1"/>
  <c r="AF4645" i="1"/>
  <c r="AD4645" i="1"/>
  <c r="A4645" i="1"/>
  <c r="AF4644" i="1"/>
  <c r="AD4644" i="1"/>
  <c r="A4644" i="1"/>
  <c r="AF4643" i="1"/>
  <c r="AD4643" i="1"/>
  <c r="A4643" i="1"/>
  <c r="AF4642" i="1"/>
  <c r="AD4642" i="1"/>
  <c r="A4642" i="1"/>
  <c r="AF4641" i="1"/>
  <c r="AD4641" i="1"/>
  <c r="A4641" i="1"/>
  <c r="AF4640" i="1"/>
  <c r="AD4640" i="1"/>
  <c r="A4640" i="1"/>
  <c r="AF4639" i="1"/>
  <c r="AD4639" i="1"/>
  <c r="A4639" i="1"/>
  <c r="AF4638" i="1"/>
  <c r="AD4638" i="1"/>
  <c r="A4638" i="1"/>
  <c r="AF4637" i="1"/>
  <c r="AD4637" i="1"/>
  <c r="A4637" i="1"/>
  <c r="AF4636" i="1"/>
  <c r="AD4636" i="1"/>
  <c r="A4636" i="1"/>
  <c r="AF4635" i="1"/>
  <c r="AD4635" i="1"/>
  <c r="A4635" i="1"/>
  <c r="AF4634" i="1"/>
  <c r="AD4634" i="1"/>
  <c r="A4634" i="1"/>
  <c r="AF4633" i="1"/>
  <c r="AD4633" i="1"/>
  <c r="A4633" i="1"/>
  <c r="AF4632" i="1"/>
  <c r="AD4632" i="1"/>
  <c r="A4632" i="1"/>
  <c r="AF4631" i="1"/>
  <c r="AD4631" i="1"/>
  <c r="A4631" i="1"/>
  <c r="AF4630" i="1"/>
  <c r="AD4630" i="1"/>
  <c r="A4630" i="1"/>
  <c r="AF4629" i="1"/>
  <c r="AD4629" i="1"/>
  <c r="A4629" i="1"/>
  <c r="AF4628" i="1"/>
  <c r="AD4628" i="1"/>
  <c r="A4628" i="1"/>
  <c r="AF4627" i="1"/>
  <c r="AD4627" i="1"/>
  <c r="A4627" i="1"/>
  <c r="AF4626" i="1"/>
  <c r="AD4626" i="1"/>
  <c r="A4626" i="1"/>
  <c r="AF4625" i="1"/>
  <c r="AD4625" i="1"/>
  <c r="A4625" i="1"/>
  <c r="AF4624" i="1"/>
  <c r="AD4624" i="1"/>
  <c r="A4624" i="1"/>
  <c r="AF4623" i="1"/>
  <c r="AD4623" i="1"/>
  <c r="A4623" i="1"/>
  <c r="AF4622" i="1"/>
  <c r="AD4622" i="1"/>
  <c r="A4622" i="1"/>
  <c r="AF4621" i="1"/>
  <c r="AD4621" i="1"/>
  <c r="A4621" i="1"/>
  <c r="AF4620" i="1"/>
  <c r="AD4620" i="1"/>
  <c r="A4620" i="1"/>
  <c r="AF4619" i="1"/>
  <c r="AD4619" i="1"/>
  <c r="A4619" i="1"/>
  <c r="AF4618" i="1"/>
  <c r="AD4618" i="1"/>
  <c r="A4618" i="1"/>
  <c r="AF4617" i="1"/>
  <c r="AD4617" i="1"/>
  <c r="A4617" i="1"/>
  <c r="AF4616" i="1"/>
  <c r="AD4616" i="1"/>
  <c r="A4616" i="1"/>
  <c r="AF4615" i="1"/>
  <c r="AD4615" i="1"/>
  <c r="A4615" i="1"/>
  <c r="AF4614" i="1"/>
  <c r="AD4614" i="1"/>
  <c r="A4614" i="1"/>
  <c r="AF4613" i="1"/>
  <c r="AD4613" i="1"/>
  <c r="A4613" i="1"/>
  <c r="AF4612" i="1"/>
  <c r="AD4612" i="1"/>
  <c r="A4612" i="1"/>
  <c r="AF4611" i="1"/>
  <c r="AD4611" i="1"/>
  <c r="A4611" i="1"/>
  <c r="AF4610" i="1"/>
  <c r="AD4610" i="1"/>
  <c r="A4610" i="1"/>
  <c r="AF4609" i="1"/>
  <c r="AD4609" i="1"/>
  <c r="A4609" i="1"/>
  <c r="AF4608" i="1"/>
  <c r="AD4608" i="1"/>
  <c r="A4608" i="1"/>
  <c r="AF4607" i="1"/>
  <c r="AD4607" i="1"/>
  <c r="A4607" i="1"/>
  <c r="AF4606" i="1"/>
  <c r="AD4606" i="1"/>
  <c r="A4606" i="1"/>
  <c r="AF4605" i="1"/>
  <c r="AD4605" i="1"/>
  <c r="A4605" i="1"/>
  <c r="AF4604" i="1"/>
  <c r="AD4604" i="1"/>
  <c r="A4604" i="1"/>
  <c r="AF4603" i="1"/>
  <c r="AD4603" i="1"/>
  <c r="A4603" i="1"/>
  <c r="AF4602" i="1"/>
  <c r="AD4602" i="1"/>
  <c r="A4602" i="1"/>
  <c r="AF4601" i="1"/>
  <c r="AD4601" i="1"/>
  <c r="A4601" i="1"/>
  <c r="AF4600" i="1"/>
  <c r="AD4600" i="1"/>
  <c r="A4600" i="1"/>
  <c r="AF4599" i="1"/>
  <c r="AD4599" i="1"/>
  <c r="A4599" i="1"/>
  <c r="AF4598" i="1"/>
  <c r="AD4598" i="1"/>
  <c r="A4598" i="1"/>
  <c r="AF4597" i="1"/>
  <c r="AD4597" i="1"/>
  <c r="A4597" i="1"/>
  <c r="AF4596" i="1"/>
  <c r="AD4596" i="1"/>
  <c r="A4596" i="1"/>
  <c r="AF4595" i="1"/>
  <c r="AD4595" i="1"/>
  <c r="A4595" i="1"/>
  <c r="AF4594" i="1"/>
  <c r="AD4594" i="1"/>
  <c r="A4594" i="1"/>
  <c r="AF4593" i="1"/>
  <c r="AD4593" i="1"/>
  <c r="A4593" i="1"/>
  <c r="AF4592" i="1"/>
  <c r="AD4592" i="1"/>
  <c r="A4592" i="1"/>
  <c r="AF4591" i="1"/>
  <c r="AD4591" i="1"/>
  <c r="A4591" i="1"/>
  <c r="AF4590" i="1"/>
  <c r="AD4590" i="1"/>
  <c r="A4590" i="1"/>
  <c r="AF4589" i="1"/>
  <c r="AD4589" i="1"/>
  <c r="A4589" i="1"/>
  <c r="AF4588" i="1"/>
  <c r="AD4588" i="1"/>
  <c r="A4588" i="1"/>
  <c r="AF4587" i="1"/>
  <c r="AD4587" i="1"/>
  <c r="A4587" i="1"/>
  <c r="AF4586" i="1"/>
  <c r="AD4586" i="1"/>
  <c r="A4586" i="1"/>
  <c r="AF4585" i="1"/>
  <c r="AD4585" i="1"/>
  <c r="A4585" i="1"/>
  <c r="AF4584" i="1"/>
  <c r="AD4584" i="1"/>
  <c r="A4584" i="1"/>
  <c r="AF4583" i="1"/>
  <c r="AD4583" i="1"/>
  <c r="A4583" i="1"/>
  <c r="AF4582" i="1"/>
  <c r="AD4582" i="1"/>
  <c r="A4582" i="1"/>
  <c r="AF4581" i="1"/>
  <c r="AD4581" i="1"/>
  <c r="A4581" i="1"/>
  <c r="AF4580" i="1"/>
  <c r="AD4580" i="1"/>
  <c r="A4580" i="1"/>
  <c r="AF4579" i="1"/>
  <c r="AD4579" i="1"/>
  <c r="A4579" i="1"/>
  <c r="AF4578" i="1"/>
  <c r="AD4578" i="1"/>
  <c r="A4578" i="1"/>
  <c r="AF4577" i="1"/>
  <c r="AD4577" i="1"/>
  <c r="A4577" i="1"/>
  <c r="AF4576" i="1"/>
  <c r="AD4576" i="1"/>
  <c r="A4576" i="1"/>
  <c r="AF4575" i="1"/>
  <c r="AD4575" i="1"/>
  <c r="A4575" i="1"/>
  <c r="AF4574" i="1"/>
  <c r="AD4574" i="1"/>
  <c r="A4574" i="1"/>
  <c r="AF4573" i="1"/>
  <c r="AD4573" i="1"/>
  <c r="A4573" i="1"/>
  <c r="AF4572" i="1"/>
  <c r="AD4572" i="1"/>
  <c r="A4572" i="1"/>
  <c r="AF4571" i="1"/>
  <c r="AD4571" i="1"/>
  <c r="A4571" i="1"/>
  <c r="AF4570" i="1"/>
  <c r="AD4570" i="1"/>
  <c r="A4570" i="1"/>
  <c r="AF4569" i="1"/>
  <c r="AD4569" i="1"/>
  <c r="A4569" i="1"/>
  <c r="AF4568" i="1"/>
  <c r="AD4568" i="1"/>
  <c r="A4568" i="1"/>
  <c r="AF4567" i="1"/>
  <c r="AD4567" i="1"/>
  <c r="A4567" i="1"/>
  <c r="AF4566" i="1"/>
  <c r="AD4566" i="1"/>
  <c r="A4566" i="1"/>
  <c r="AF4565" i="1"/>
  <c r="AD4565" i="1"/>
  <c r="A4565" i="1"/>
  <c r="AF4564" i="1"/>
  <c r="AD4564" i="1"/>
  <c r="A4564" i="1"/>
  <c r="AF4563" i="1"/>
  <c r="AD4563" i="1"/>
  <c r="A4563" i="1"/>
  <c r="AF4562" i="1"/>
  <c r="AD4562" i="1"/>
  <c r="A4562" i="1"/>
  <c r="AF4561" i="1"/>
  <c r="AD4561" i="1"/>
  <c r="A4561" i="1"/>
  <c r="AF4560" i="1"/>
  <c r="AD4560" i="1"/>
  <c r="A4560" i="1"/>
  <c r="AF4559" i="1"/>
  <c r="AD4559" i="1"/>
  <c r="A4559" i="1"/>
  <c r="AF4558" i="1"/>
  <c r="AD4558" i="1"/>
  <c r="A4558" i="1"/>
  <c r="AF4557" i="1"/>
  <c r="AD4557" i="1"/>
  <c r="A4557" i="1"/>
  <c r="AF4556" i="1"/>
  <c r="AD4556" i="1"/>
  <c r="A4556" i="1"/>
  <c r="AF4555" i="1"/>
  <c r="AD4555" i="1"/>
  <c r="A4555" i="1"/>
  <c r="AF4554" i="1"/>
  <c r="AD4554" i="1"/>
  <c r="A4554" i="1"/>
  <c r="AF4553" i="1"/>
  <c r="AD4553" i="1"/>
  <c r="A4553" i="1"/>
  <c r="AF4552" i="1"/>
  <c r="AD4552" i="1"/>
  <c r="A4552" i="1"/>
  <c r="AF4551" i="1"/>
  <c r="AD4551" i="1"/>
  <c r="A4551" i="1"/>
  <c r="AF4550" i="1"/>
  <c r="AD4550" i="1"/>
  <c r="A4550" i="1"/>
  <c r="AF4549" i="1"/>
  <c r="AD4549" i="1"/>
  <c r="A4549" i="1"/>
  <c r="AF4548" i="1"/>
  <c r="AD4548" i="1"/>
  <c r="A4548" i="1"/>
  <c r="AF4547" i="1"/>
  <c r="AD4547" i="1"/>
  <c r="A4547" i="1"/>
  <c r="AF4546" i="1"/>
  <c r="AD4546" i="1"/>
  <c r="A4546" i="1"/>
  <c r="AF4545" i="1"/>
  <c r="AD4545" i="1"/>
  <c r="A4545" i="1"/>
  <c r="AF4544" i="1"/>
  <c r="AD4544" i="1"/>
  <c r="A4544" i="1"/>
  <c r="AF4543" i="1"/>
  <c r="AD4543" i="1"/>
  <c r="A4543" i="1"/>
  <c r="AF4542" i="1"/>
  <c r="AD4542" i="1"/>
  <c r="A4542" i="1"/>
  <c r="AF4541" i="1"/>
  <c r="AD4541" i="1"/>
  <c r="A4541" i="1"/>
  <c r="AF4540" i="1"/>
  <c r="AD4540" i="1"/>
  <c r="A4540" i="1"/>
  <c r="AF4539" i="1"/>
  <c r="AD4539" i="1"/>
  <c r="A4539" i="1"/>
  <c r="AF4538" i="1"/>
  <c r="AD4538" i="1"/>
  <c r="A4538" i="1"/>
  <c r="AF4537" i="1"/>
  <c r="AD4537" i="1"/>
  <c r="A4537" i="1"/>
  <c r="AF4536" i="1"/>
  <c r="AD4536" i="1"/>
  <c r="A4536" i="1"/>
  <c r="AF4535" i="1"/>
  <c r="AD4535" i="1"/>
  <c r="A4535" i="1"/>
  <c r="AF4534" i="1"/>
  <c r="AD4534" i="1"/>
  <c r="A4534" i="1"/>
  <c r="AF4533" i="1"/>
  <c r="AD4533" i="1"/>
  <c r="A4533" i="1"/>
  <c r="AF4532" i="1"/>
  <c r="AD4532" i="1"/>
  <c r="A4532" i="1"/>
  <c r="AF4531" i="1"/>
  <c r="AD4531" i="1"/>
  <c r="A4531" i="1"/>
  <c r="AF4530" i="1"/>
  <c r="AD4530" i="1"/>
  <c r="A4530" i="1"/>
  <c r="AF4529" i="1"/>
  <c r="AD4529" i="1"/>
  <c r="A4529" i="1"/>
  <c r="AF4528" i="1"/>
  <c r="AD4528" i="1"/>
  <c r="A4528" i="1"/>
  <c r="AF4527" i="1"/>
  <c r="AD4527" i="1"/>
  <c r="A4527" i="1"/>
  <c r="AF4526" i="1"/>
  <c r="AD4526" i="1"/>
  <c r="A4526" i="1"/>
  <c r="AF4525" i="1"/>
  <c r="AD4525" i="1"/>
  <c r="A4525" i="1"/>
  <c r="AF4524" i="1"/>
  <c r="AD4524" i="1"/>
  <c r="A4524" i="1"/>
  <c r="AF4523" i="1"/>
  <c r="AD4523" i="1"/>
  <c r="A4523" i="1"/>
  <c r="AF4522" i="1"/>
  <c r="AD4522" i="1"/>
  <c r="A4522" i="1"/>
  <c r="AF4521" i="1"/>
  <c r="AD4521" i="1"/>
  <c r="A4521" i="1"/>
  <c r="AF4520" i="1"/>
  <c r="AD4520" i="1"/>
  <c r="A4520" i="1"/>
  <c r="AF4519" i="1"/>
  <c r="AD4519" i="1"/>
  <c r="A4519" i="1"/>
  <c r="AF4518" i="1"/>
  <c r="AD4518" i="1"/>
  <c r="A4518" i="1"/>
  <c r="AF4517" i="1"/>
  <c r="AD4517" i="1"/>
  <c r="A4517" i="1"/>
  <c r="AF4516" i="1"/>
  <c r="AD4516" i="1"/>
  <c r="A4516" i="1"/>
  <c r="AF4515" i="1"/>
  <c r="AD4515" i="1"/>
  <c r="A4515" i="1"/>
  <c r="AF4514" i="1"/>
  <c r="AD4514" i="1"/>
  <c r="A4514" i="1"/>
  <c r="AF4513" i="1"/>
  <c r="AD4513" i="1"/>
  <c r="A4513" i="1"/>
  <c r="AF4512" i="1"/>
  <c r="AD4512" i="1"/>
  <c r="A4512" i="1"/>
  <c r="AF4511" i="1"/>
  <c r="AD4511" i="1"/>
  <c r="A4511" i="1"/>
  <c r="AF4510" i="1"/>
  <c r="AD4510" i="1"/>
  <c r="A4510" i="1"/>
  <c r="AF4509" i="1"/>
  <c r="AD4509" i="1"/>
  <c r="A4509" i="1"/>
  <c r="AF4508" i="1"/>
  <c r="AD4508" i="1"/>
  <c r="A4508" i="1"/>
  <c r="AF4507" i="1"/>
  <c r="AD4507" i="1"/>
  <c r="A4507" i="1"/>
  <c r="AF4506" i="1"/>
  <c r="AD4506" i="1"/>
  <c r="A4506" i="1"/>
  <c r="AF4505" i="1"/>
  <c r="AD4505" i="1"/>
  <c r="A4505" i="1"/>
  <c r="AF4504" i="1"/>
  <c r="AD4504" i="1"/>
  <c r="A4504" i="1"/>
  <c r="AF4503" i="1"/>
  <c r="AD4503" i="1"/>
  <c r="A4503" i="1"/>
  <c r="AF4502" i="1"/>
  <c r="AD4502" i="1"/>
  <c r="A4502" i="1"/>
  <c r="AF4501" i="1"/>
  <c r="AD4501" i="1"/>
  <c r="A4501" i="1"/>
  <c r="AF4500" i="1"/>
  <c r="AD4500" i="1"/>
  <c r="A4500" i="1"/>
  <c r="AF4499" i="1"/>
  <c r="AD4499" i="1"/>
  <c r="A4499" i="1"/>
  <c r="AF4498" i="1"/>
  <c r="AD4498" i="1"/>
  <c r="A4498" i="1"/>
  <c r="AF4497" i="1"/>
  <c r="AD4497" i="1"/>
  <c r="A4497" i="1"/>
  <c r="AF4496" i="1"/>
  <c r="AD4496" i="1"/>
  <c r="A4496" i="1"/>
  <c r="AF4495" i="1"/>
  <c r="AD4495" i="1"/>
  <c r="A4495" i="1"/>
  <c r="AF4494" i="1"/>
  <c r="AD4494" i="1"/>
  <c r="A4494" i="1"/>
  <c r="AF4493" i="1"/>
  <c r="AD4493" i="1"/>
  <c r="A4493" i="1"/>
  <c r="AF4492" i="1"/>
  <c r="AD4492" i="1"/>
  <c r="A4492" i="1"/>
  <c r="AF4491" i="1"/>
  <c r="AD4491" i="1"/>
  <c r="A4491" i="1"/>
  <c r="AF4490" i="1"/>
  <c r="AD4490" i="1"/>
  <c r="A4490" i="1"/>
  <c r="AF4489" i="1"/>
  <c r="AD4489" i="1"/>
  <c r="A4489" i="1"/>
  <c r="AF4488" i="1"/>
  <c r="AD4488" i="1"/>
  <c r="A4488" i="1"/>
  <c r="AF4487" i="1"/>
  <c r="AD4487" i="1"/>
  <c r="A4487" i="1"/>
  <c r="AF4486" i="1"/>
  <c r="AD4486" i="1"/>
  <c r="A4486" i="1"/>
  <c r="AF4485" i="1"/>
  <c r="AD4485" i="1"/>
  <c r="A4485" i="1"/>
  <c r="AF4484" i="1"/>
  <c r="AD4484" i="1"/>
  <c r="A4484" i="1"/>
  <c r="AF4483" i="1"/>
  <c r="AD4483" i="1"/>
  <c r="A4483" i="1"/>
  <c r="AF4482" i="1"/>
  <c r="AD4482" i="1"/>
  <c r="A4482" i="1"/>
  <c r="AF4481" i="1"/>
  <c r="AD4481" i="1"/>
  <c r="A4481" i="1"/>
  <c r="AF4480" i="1"/>
  <c r="AD4480" i="1"/>
  <c r="A4480" i="1"/>
  <c r="AF4479" i="1"/>
  <c r="AD4479" i="1"/>
  <c r="A4479" i="1"/>
  <c r="AF4478" i="1"/>
  <c r="AD4478" i="1"/>
  <c r="A4478" i="1"/>
  <c r="AF4477" i="1"/>
  <c r="AD4477" i="1"/>
  <c r="A4477" i="1"/>
  <c r="AF4476" i="1"/>
  <c r="AD4476" i="1"/>
  <c r="A4476" i="1"/>
  <c r="AF4475" i="1"/>
  <c r="AD4475" i="1"/>
  <c r="A4475" i="1"/>
  <c r="AF4474" i="1"/>
  <c r="AD4474" i="1"/>
  <c r="A4474" i="1"/>
  <c r="AF4473" i="1"/>
  <c r="AD4473" i="1"/>
  <c r="A4473" i="1"/>
  <c r="AF4472" i="1"/>
  <c r="AD4472" i="1"/>
  <c r="A4472" i="1"/>
  <c r="AF4471" i="1"/>
  <c r="AD4471" i="1"/>
  <c r="A4471" i="1"/>
  <c r="AF4470" i="1"/>
  <c r="AD4470" i="1"/>
  <c r="A4470" i="1"/>
  <c r="AF4469" i="1"/>
  <c r="AD4469" i="1"/>
  <c r="A4469" i="1"/>
  <c r="AF4468" i="1"/>
  <c r="AD4468" i="1"/>
  <c r="A4468" i="1"/>
  <c r="AF4467" i="1"/>
  <c r="AD4467" i="1"/>
  <c r="A4467" i="1"/>
  <c r="AF4466" i="1"/>
  <c r="AD4466" i="1"/>
  <c r="A4466" i="1"/>
  <c r="AF4465" i="1"/>
  <c r="AD4465" i="1"/>
  <c r="A4465" i="1"/>
  <c r="AF4464" i="1"/>
  <c r="AD4464" i="1"/>
  <c r="A4464" i="1"/>
  <c r="AF4463" i="1"/>
  <c r="AD4463" i="1"/>
  <c r="A4463" i="1"/>
  <c r="AF4462" i="1"/>
  <c r="AD4462" i="1"/>
  <c r="A4462" i="1"/>
  <c r="AF4461" i="1"/>
  <c r="AD4461" i="1"/>
  <c r="A4461" i="1"/>
  <c r="AF4460" i="1"/>
  <c r="AD4460" i="1"/>
  <c r="A4460" i="1"/>
  <c r="AF4459" i="1"/>
  <c r="AD4459" i="1"/>
  <c r="A4459" i="1"/>
  <c r="AF4458" i="1"/>
  <c r="AD4458" i="1"/>
  <c r="A4458" i="1"/>
  <c r="AF4457" i="1"/>
  <c r="AD4457" i="1"/>
  <c r="A4457" i="1"/>
  <c r="AF4456" i="1"/>
  <c r="AD4456" i="1"/>
  <c r="A4456" i="1"/>
  <c r="AF4455" i="1"/>
  <c r="AD4455" i="1"/>
  <c r="A4455" i="1"/>
  <c r="AF4454" i="1"/>
  <c r="AD4454" i="1"/>
  <c r="A4454" i="1"/>
  <c r="AF4453" i="1"/>
  <c r="AD4453" i="1"/>
  <c r="A4453" i="1"/>
  <c r="AF4452" i="1"/>
  <c r="AD4452" i="1"/>
  <c r="A4452" i="1"/>
  <c r="AF4451" i="1"/>
  <c r="AD4451" i="1"/>
  <c r="A4451" i="1"/>
  <c r="AF4450" i="1"/>
  <c r="AD4450" i="1"/>
  <c r="A4450" i="1"/>
  <c r="AF4449" i="1"/>
  <c r="AD4449" i="1"/>
  <c r="A4449" i="1"/>
  <c r="AF4448" i="1"/>
  <c r="AD4448" i="1"/>
  <c r="A4448" i="1"/>
  <c r="AF4447" i="1"/>
  <c r="AD4447" i="1"/>
  <c r="A4447" i="1"/>
  <c r="AF4446" i="1"/>
  <c r="AD4446" i="1"/>
  <c r="A4446" i="1"/>
  <c r="AF4445" i="1"/>
  <c r="AD4445" i="1"/>
  <c r="A4445" i="1"/>
  <c r="AF4444" i="1"/>
  <c r="AD4444" i="1"/>
  <c r="A4444" i="1"/>
  <c r="AF4443" i="1"/>
  <c r="AD4443" i="1"/>
  <c r="A4443" i="1"/>
  <c r="AF4442" i="1"/>
  <c r="AD4442" i="1"/>
  <c r="A4442" i="1"/>
  <c r="AF4441" i="1"/>
  <c r="AD4441" i="1"/>
  <c r="A4441" i="1"/>
  <c r="AF4440" i="1"/>
  <c r="AD4440" i="1"/>
  <c r="A4440" i="1"/>
  <c r="AF4439" i="1"/>
  <c r="AD4439" i="1"/>
  <c r="A4439" i="1"/>
  <c r="AF4438" i="1"/>
  <c r="AD4438" i="1"/>
  <c r="A4438" i="1"/>
  <c r="AF4437" i="1"/>
  <c r="AD4437" i="1"/>
  <c r="A4437" i="1"/>
  <c r="AF4436" i="1"/>
  <c r="AD4436" i="1"/>
  <c r="A4436" i="1"/>
  <c r="AF4435" i="1"/>
  <c r="AD4435" i="1"/>
  <c r="A4435" i="1"/>
  <c r="AF4434" i="1"/>
  <c r="AD4434" i="1"/>
  <c r="A4434" i="1"/>
  <c r="AF4433" i="1"/>
  <c r="AD4433" i="1"/>
  <c r="A4433" i="1"/>
  <c r="AF4432" i="1"/>
  <c r="AD4432" i="1"/>
  <c r="A4432" i="1"/>
  <c r="AF4431" i="1"/>
  <c r="AD4431" i="1"/>
  <c r="A4431" i="1"/>
  <c r="AF4430" i="1"/>
  <c r="AD4430" i="1"/>
  <c r="A4430" i="1"/>
  <c r="AF4429" i="1"/>
  <c r="AD4429" i="1"/>
  <c r="A4429" i="1"/>
  <c r="AF4428" i="1"/>
  <c r="AD4428" i="1"/>
  <c r="A4428" i="1"/>
  <c r="AF4427" i="1"/>
  <c r="AD4427" i="1"/>
  <c r="A4427" i="1"/>
  <c r="AF4426" i="1"/>
  <c r="AD4426" i="1"/>
  <c r="A4426" i="1"/>
  <c r="AF4425" i="1"/>
  <c r="AD4425" i="1"/>
  <c r="A4425" i="1"/>
  <c r="AF4424" i="1"/>
  <c r="AD4424" i="1"/>
  <c r="A4424" i="1"/>
  <c r="AF4423" i="1"/>
  <c r="AD4423" i="1"/>
  <c r="A4423" i="1"/>
  <c r="AF4422" i="1"/>
  <c r="AD4422" i="1"/>
  <c r="A4422" i="1"/>
  <c r="AF4421" i="1"/>
  <c r="AD4421" i="1"/>
  <c r="A4421" i="1"/>
  <c r="AF4420" i="1"/>
  <c r="AD4420" i="1"/>
  <c r="A4420" i="1"/>
  <c r="AF4419" i="1"/>
  <c r="AD4419" i="1"/>
  <c r="A4419" i="1"/>
  <c r="AF4418" i="1"/>
  <c r="AD4418" i="1"/>
  <c r="A4418" i="1"/>
  <c r="AF4417" i="1"/>
  <c r="AD4417" i="1"/>
  <c r="A4417" i="1"/>
  <c r="AF4416" i="1"/>
  <c r="AD4416" i="1"/>
  <c r="A4416" i="1"/>
  <c r="AF4415" i="1"/>
  <c r="AD4415" i="1"/>
  <c r="A4415" i="1"/>
  <c r="AF4414" i="1"/>
  <c r="AD4414" i="1"/>
  <c r="A4414" i="1"/>
  <c r="AF4413" i="1"/>
  <c r="AD4413" i="1"/>
  <c r="A4413" i="1"/>
  <c r="AF4412" i="1"/>
  <c r="AD4412" i="1"/>
  <c r="A4412" i="1"/>
  <c r="AF4411" i="1"/>
  <c r="AD4411" i="1"/>
  <c r="A4411" i="1"/>
  <c r="AF4410" i="1"/>
  <c r="AD4410" i="1"/>
  <c r="A4410" i="1"/>
  <c r="AF4409" i="1"/>
  <c r="AD4409" i="1"/>
  <c r="A4409" i="1"/>
  <c r="AF4408" i="1"/>
  <c r="AD4408" i="1"/>
  <c r="A4408" i="1"/>
  <c r="AF4407" i="1"/>
  <c r="AD4407" i="1"/>
  <c r="A4407" i="1"/>
  <c r="AF4406" i="1"/>
  <c r="AD4406" i="1"/>
  <c r="A4406" i="1"/>
  <c r="AF4405" i="1"/>
  <c r="AD4405" i="1"/>
  <c r="A4405" i="1"/>
  <c r="AF4404" i="1"/>
  <c r="AD4404" i="1"/>
  <c r="A4404" i="1"/>
  <c r="AF4403" i="1"/>
  <c r="AD4403" i="1"/>
  <c r="A4403" i="1"/>
  <c r="AF4402" i="1"/>
  <c r="AD4402" i="1"/>
  <c r="A4402" i="1"/>
  <c r="AF4401" i="1"/>
  <c r="AD4401" i="1"/>
  <c r="A4401" i="1"/>
  <c r="AF4400" i="1"/>
  <c r="AD4400" i="1"/>
  <c r="A4400" i="1"/>
  <c r="AF4399" i="1"/>
  <c r="AD4399" i="1"/>
  <c r="A4399" i="1"/>
  <c r="AF4398" i="1"/>
  <c r="AD4398" i="1"/>
  <c r="A4398" i="1"/>
  <c r="AF4397" i="1"/>
  <c r="AD4397" i="1"/>
  <c r="A4397" i="1"/>
  <c r="AF4396" i="1"/>
  <c r="AD4396" i="1"/>
  <c r="A4396" i="1"/>
  <c r="AF4395" i="1"/>
  <c r="AD4395" i="1"/>
  <c r="A4395" i="1"/>
  <c r="AF4394" i="1"/>
  <c r="AD4394" i="1"/>
  <c r="A4394" i="1"/>
  <c r="AF4393" i="1"/>
  <c r="AD4393" i="1"/>
  <c r="A4393" i="1"/>
  <c r="AF4392" i="1"/>
  <c r="AD4392" i="1"/>
  <c r="A4392" i="1"/>
  <c r="AF4391" i="1"/>
  <c r="AD4391" i="1"/>
  <c r="A4391" i="1"/>
  <c r="AF4390" i="1"/>
  <c r="AD4390" i="1"/>
  <c r="A4390" i="1"/>
  <c r="AF4389" i="1"/>
  <c r="AD4389" i="1"/>
  <c r="A4389" i="1"/>
  <c r="AF4388" i="1"/>
  <c r="AD4388" i="1"/>
  <c r="A4388" i="1"/>
  <c r="AF4387" i="1"/>
  <c r="AD4387" i="1"/>
  <c r="A4387" i="1"/>
  <c r="AF4386" i="1"/>
  <c r="AD4386" i="1"/>
  <c r="A4386" i="1"/>
  <c r="AF4385" i="1"/>
  <c r="AD4385" i="1"/>
  <c r="A4385" i="1"/>
  <c r="AF4384" i="1"/>
  <c r="AD4384" i="1"/>
  <c r="A4384" i="1"/>
  <c r="AF4383" i="1"/>
  <c r="AD4383" i="1"/>
  <c r="A4383" i="1"/>
  <c r="AF4382" i="1"/>
  <c r="AD4382" i="1"/>
  <c r="A4382" i="1"/>
  <c r="AF4381" i="1"/>
  <c r="AD4381" i="1"/>
  <c r="A4381" i="1"/>
  <c r="AF4380" i="1"/>
  <c r="AD4380" i="1"/>
  <c r="A4380" i="1"/>
  <c r="AF4379" i="1"/>
  <c r="AD4379" i="1"/>
  <c r="A4379" i="1"/>
  <c r="AF4378" i="1"/>
  <c r="AD4378" i="1"/>
  <c r="A4378" i="1"/>
  <c r="AF4377" i="1"/>
  <c r="AD4377" i="1"/>
  <c r="A4377" i="1"/>
  <c r="AF4376" i="1"/>
  <c r="AD4376" i="1"/>
  <c r="A4376" i="1"/>
  <c r="AF4375" i="1"/>
  <c r="AD4375" i="1"/>
  <c r="A4375" i="1"/>
  <c r="AF4374" i="1"/>
  <c r="AD4374" i="1"/>
  <c r="A4374" i="1"/>
  <c r="AF4373" i="1"/>
  <c r="AD4373" i="1"/>
  <c r="A4373" i="1"/>
  <c r="AF4372" i="1"/>
  <c r="AD4372" i="1"/>
  <c r="A4372" i="1"/>
  <c r="AF4371" i="1"/>
  <c r="AD4371" i="1"/>
  <c r="A4371" i="1"/>
  <c r="AF4370" i="1"/>
  <c r="AD4370" i="1"/>
  <c r="A4370" i="1"/>
  <c r="AF4369" i="1"/>
  <c r="AD4369" i="1"/>
  <c r="A4369" i="1"/>
  <c r="AF4368" i="1"/>
  <c r="AD4368" i="1"/>
  <c r="A4368" i="1"/>
  <c r="AF4367" i="1"/>
  <c r="AD4367" i="1"/>
  <c r="A4367" i="1"/>
  <c r="AF4366" i="1"/>
  <c r="AD4366" i="1"/>
  <c r="A4366" i="1"/>
  <c r="AF4365" i="1"/>
  <c r="AD4365" i="1"/>
  <c r="A4365" i="1"/>
  <c r="AF4364" i="1"/>
  <c r="AD4364" i="1"/>
  <c r="A4364" i="1"/>
  <c r="AF4363" i="1"/>
  <c r="AD4363" i="1"/>
  <c r="A4363" i="1"/>
  <c r="AF4362" i="1"/>
  <c r="AD4362" i="1"/>
  <c r="A4362" i="1"/>
  <c r="AF4361" i="1"/>
  <c r="AD4361" i="1"/>
  <c r="A4361" i="1"/>
  <c r="AF4360" i="1"/>
  <c r="AD4360" i="1"/>
  <c r="A4360" i="1"/>
  <c r="AF4359" i="1"/>
  <c r="AD4359" i="1"/>
  <c r="A4359" i="1"/>
  <c r="AF4358" i="1"/>
  <c r="AD4358" i="1"/>
  <c r="A4358" i="1"/>
  <c r="AF4357" i="1"/>
  <c r="AD4357" i="1"/>
  <c r="A4357" i="1"/>
  <c r="AF4356" i="1"/>
  <c r="AD4356" i="1"/>
  <c r="A4356" i="1"/>
  <c r="AF4355" i="1"/>
  <c r="AD4355" i="1"/>
  <c r="A4355" i="1"/>
  <c r="AF4354" i="1"/>
  <c r="AD4354" i="1"/>
  <c r="A4354" i="1"/>
  <c r="AF4353" i="1"/>
  <c r="AD4353" i="1"/>
  <c r="A4353" i="1"/>
  <c r="AF4352" i="1"/>
  <c r="AD4352" i="1"/>
  <c r="A4352" i="1"/>
  <c r="AF4351" i="1"/>
  <c r="AD4351" i="1"/>
  <c r="A4351" i="1"/>
  <c r="AF4350" i="1"/>
  <c r="AD4350" i="1"/>
  <c r="A4350" i="1"/>
  <c r="AF4349" i="1"/>
  <c r="AD4349" i="1"/>
  <c r="A4349" i="1"/>
  <c r="AF4348" i="1"/>
  <c r="AD4348" i="1"/>
  <c r="A4348" i="1"/>
  <c r="AF4347" i="1"/>
  <c r="AD4347" i="1"/>
  <c r="A4347" i="1"/>
  <c r="AF4346" i="1"/>
  <c r="AD4346" i="1"/>
  <c r="A4346" i="1"/>
  <c r="AF4345" i="1"/>
  <c r="AD4345" i="1"/>
  <c r="A4345" i="1"/>
  <c r="AF4344" i="1"/>
  <c r="AD4344" i="1"/>
  <c r="A4344" i="1"/>
  <c r="AF4343" i="1"/>
  <c r="AD4343" i="1"/>
  <c r="A4343" i="1"/>
  <c r="AF4342" i="1"/>
  <c r="AD4342" i="1"/>
  <c r="A4342" i="1"/>
  <c r="AF4341" i="1"/>
  <c r="AD4341" i="1"/>
  <c r="A4341" i="1"/>
  <c r="AF4340" i="1"/>
  <c r="AD4340" i="1"/>
  <c r="A4340" i="1"/>
  <c r="AF4339" i="1"/>
  <c r="AD4339" i="1"/>
  <c r="A4339" i="1"/>
  <c r="AF4338" i="1"/>
  <c r="AD4338" i="1"/>
  <c r="A4338" i="1"/>
  <c r="AF4337" i="1"/>
  <c r="AD4337" i="1"/>
  <c r="A4337" i="1"/>
  <c r="AF4336" i="1"/>
  <c r="AD4336" i="1"/>
  <c r="A4336" i="1"/>
  <c r="AF4335" i="1"/>
  <c r="AD4335" i="1"/>
  <c r="A4335" i="1"/>
  <c r="AF4334" i="1"/>
  <c r="AD4334" i="1"/>
  <c r="A4334" i="1"/>
  <c r="AF4333" i="1"/>
  <c r="AD4333" i="1"/>
  <c r="A4333" i="1"/>
  <c r="AF4332" i="1"/>
  <c r="AD4332" i="1"/>
  <c r="A4332" i="1"/>
  <c r="AF4331" i="1"/>
  <c r="AD4331" i="1"/>
  <c r="A4331" i="1"/>
  <c r="AF4330" i="1"/>
  <c r="AD4330" i="1"/>
  <c r="A4330" i="1"/>
  <c r="AF4329" i="1"/>
  <c r="AD4329" i="1"/>
  <c r="A4329" i="1"/>
  <c r="AF4328" i="1"/>
  <c r="AD4328" i="1"/>
  <c r="A4328" i="1"/>
  <c r="AF4327" i="1"/>
  <c r="AD4327" i="1"/>
  <c r="A4327" i="1"/>
  <c r="AF4326" i="1"/>
  <c r="AD4326" i="1"/>
  <c r="A4326" i="1"/>
  <c r="AF4325" i="1"/>
  <c r="AD4325" i="1"/>
  <c r="A4325" i="1"/>
  <c r="AF4324" i="1"/>
  <c r="AD4324" i="1"/>
  <c r="A4324" i="1"/>
  <c r="AF4323" i="1"/>
  <c r="AD4323" i="1"/>
  <c r="A4323" i="1"/>
  <c r="AF4322" i="1"/>
  <c r="AD4322" i="1"/>
  <c r="A4322" i="1"/>
  <c r="AF4321" i="1"/>
  <c r="AD4321" i="1"/>
  <c r="A4321" i="1"/>
  <c r="AF4320" i="1"/>
  <c r="AD4320" i="1"/>
  <c r="A4320" i="1"/>
  <c r="AF4319" i="1"/>
  <c r="AD4319" i="1"/>
  <c r="A4319" i="1"/>
  <c r="AF4318" i="1"/>
  <c r="AD4318" i="1"/>
  <c r="A4318" i="1"/>
  <c r="AF4317" i="1"/>
  <c r="AD4317" i="1"/>
  <c r="A4317" i="1"/>
  <c r="AF4316" i="1"/>
  <c r="AD4316" i="1"/>
  <c r="A4316" i="1"/>
  <c r="AF4315" i="1"/>
  <c r="AD4315" i="1"/>
  <c r="A4315" i="1"/>
  <c r="AF4314" i="1"/>
  <c r="AD4314" i="1"/>
  <c r="A4314" i="1"/>
  <c r="AF4313" i="1"/>
  <c r="AD4313" i="1"/>
  <c r="A4313" i="1"/>
  <c r="AF4312" i="1"/>
  <c r="AD4312" i="1"/>
  <c r="A4312" i="1"/>
  <c r="AF4311" i="1"/>
  <c r="AD4311" i="1"/>
  <c r="A4311" i="1"/>
  <c r="AF4310" i="1"/>
  <c r="AD4310" i="1"/>
  <c r="A4310" i="1"/>
  <c r="AF4309" i="1"/>
  <c r="AD4309" i="1"/>
  <c r="A4309" i="1"/>
  <c r="AF4308" i="1"/>
  <c r="AD4308" i="1"/>
  <c r="A4308" i="1"/>
  <c r="AF4307" i="1"/>
  <c r="AD4307" i="1"/>
  <c r="A4307" i="1"/>
  <c r="AF4306" i="1"/>
  <c r="AD4306" i="1"/>
  <c r="A4306" i="1"/>
  <c r="AF4305" i="1"/>
  <c r="AD4305" i="1"/>
  <c r="A4305" i="1"/>
  <c r="AF4304" i="1"/>
  <c r="AD4304" i="1"/>
  <c r="A4304" i="1"/>
  <c r="AF4303" i="1"/>
  <c r="AD4303" i="1"/>
  <c r="A4303" i="1"/>
  <c r="AF4302" i="1"/>
  <c r="AD4302" i="1"/>
  <c r="A4302" i="1"/>
  <c r="AF4301" i="1"/>
  <c r="AD4301" i="1"/>
  <c r="A4301" i="1"/>
  <c r="AF4300" i="1"/>
  <c r="AD4300" i="1"/>
  <c r="A4300" i="1"/>
  <c r="AF4299" i="1"/>
  <c r="AD4299" i="1"/>
  <c r="A4299" i="1"/>
  <c r="AF4298" i="1"/>
  <c r="AD4298" i="1"/>
  <c r="A4298" i="1"/>
  <c r="AF4297" i="1"/>
  <c r="AD4297" i="1"/>
  <c r="A4297" i="1"/>
  <c r="AF4296" i="1"/>
  <c r="AD4296" i="1"/>
  <c r="A4296" i="1"/>
  <c r="AF4295" i="1"/>
  <c r="AD4295" i="1"/>
  <c r="A4295" i="1"/>
  <c r="AF4294" i="1"/>
  <c r="AD4294" i="1"/>
  <c r="A4294" i="1"/>
  <c r="AF4293" i="1"/>
  <c r="AD4293" i="1"/>
  <c r="A4293" i="1"/>
  <c r="AF4292" i="1"/>
  <c r="AD4292" i="1"/>
  <c r="A4292" i="1"/>
  <c r="AF4291" i="1"/>
  <c r="AD4291" i="1"/>
  <c r="A4291" i="1"/>
  <c r="AF4290" i="1"/>
  <c r="AD4290" i="1"/>
  <c r="A4290" i="1"/>
  <c r="AF4289" i="1"/>
  <c r="AD4289" i="1"/>
  <c r="A4289" i="1"/>
  <c r="AF4288" i="1"/>
  <c r="AD4288" i="1"/>
  <c r="A4288" i="1"/>
  <c r="AF4287" i="1"/>
  <c r="AD4287" i="1"/>
  <c r="A4287" i="1"/>
  <c r="AF4286" i="1"/>
  <c r="AD4286" i="1"/>
  <c r="A4286" i="1"/>
  <c r="AF4285" i="1"/>
  <c r="AD4285" i="1"/>
  <c r="A4285" i="1"/>
  <c r="AF4284" i="1"/>
  <c r="AD4284" i="1"/>
  <c r="A4284" i="1"/>
  <c r="AF4283" i="1"/>
  <c r="AD4283" i="1"/>
  <c r="A4283" i="1"/>
  <c r="AF4282" i="1"/>
  <c r="AD4282" i="1"/>
  <c r="A4282" i="1"/>
  <c r="AF4281" i="1"/>
  <c r="AD4281" i="1"/>
  <c r="A4281" i="1"/>
  <c r="AF4280" i="1"/>
  <c r="AD4280" i="1"/>
  <c r="A4280" i="1"/>
  <c r="AF4279" i="1"/>
  <c r="AD4279" i="1"/>
  <c r="A4279" i="1"/>
  <c r="AF4278" i="1"/>
  <c r="AD4278" i="1"/>
  <c r="A4278" i="1"/>
  <c r="AF4277" i="1"/>
  <c r="AD4277" i="1"/>
  <c r="A4277" i="1"/>
  <c r="AF4276" i="1"/>
  <c r="AD4276" i="1"/>
  <c r="A4276" i="1"/>
  <c r="AF4275" i="1"/>
  <c r="AD4275" i="1"/>
  <c r="A4275" i="1"/>
  <c r="AF4274" i="1"/>
  <c r="AD4274" i="1"/>
  <c r="A4274" i="1"/>
  <c r="AF4273" i="1"/>
  <c r="AD4273" i="1"/>
  <c r="A4273" i="1"/>
  <c r="AF4272" i="1"/>
  <c r="AD4272" i="1"/>
  <c r="A4272" i="1"/>
  <c r="AF4271" i="1"/>
  <c r="AD4271" i="1"/>
  <c r="A4271" i="1"/>
  <c r="AF4270" i="1"/>
  <c r="AD4270" i="1"/>
  <c r="A4270" i="1"/>
  <c r="AF4269" i="1"/>
  <c r="AD4269" i="1"/>
  <c r="A4269" i="1"/>
  <c r="AF4268" i="1"/>
  <c r="AD4268" i="1"/>
  <c r="A4268" i="1"/>
  <c r="AF4267" i="1"/>
  <c r="AD4267" i="1"/>
  <c r="A4267" i="1"/>
  <c r="AF4266" i="1"/>
  <c r="AD4266" i="1"/>
  <c r="A4266" i="1"/>
  <c r="AF4265" i="1"/>
  <c r="AD4265" i="1"/>
  <c r="A4265" i="1"/>
  <c r="AF4264" i="1"/>
  <c r="AD4264" i="1"/>
  <c r="A4264" i="1"/>
  <c r="AF4263" i="1"/>
  <c r="AD4263" i="1"/>
  <c r="A4263" i="1"/>
  <c r="AF4262" i="1"/>
  <c r="AD4262" i="1"/>
  <c r="A4262" i="1"/>
  <c r="AF4261" i="1"/>
  <c r="AD4261" i="1"/>
  <c r="A4261" i="1"/>
  <c r="AF4260" i="1"/>
  <c r="AD4260" i="1"/>
  <c r="A4260" i="1"/>
  <c r="AF4259" i="1"/>
  <c r="AD4259" i="1"/>
  <c r="A4259" i="1"/>
  <c r="AF4258" i="1"/>
  <c r="AD4258" i="1"/>
  <c r="A4258" i="1"/>
  <c r="AF4257" i="1"/>
  <c r="AD4257" i="1"/>
  <c r="A4257" i="1"/>
  <c r="AF4256" i="1"/>
  <c r="AD4256" i="1"/>
  <c r="A4256" i="1"/>
  <c r="AF4255" i="1"/>
  <c r="AD4255" i="1"/>
  <c r="A4255" i="1"/>
  <c r="AF4254" i="1"/>
  <c r="AD4254" i="1"/>
  <c r="A4254" i="1"/>
  <c r="AF4253" i="1"/>
  <c r="AD4253" i="1"/>
  <c r="A4253" i="1"/>
  <c r="AF4252" i="1"/>
  <c r="AD4252" i="1"/>
  <c r="A4252" i="1"/>
  <c r="AF4251" i="1"/>
  <c r="AD4251" i="1"/>
  <c r="A4251" i="1"/>
  <c r="AF4250" i="1"/>
  <c r="AD4250" i="1"/>
  <c r="A4250" i="1"/>
  <c r="AF4249" i="1"/>
  <c r="AD4249" i="1"/>
  <c r="A4249" i="1"/>
  <c r="AF4248" i="1"/>
  <c r="AD4248" i="1"/>
  <c r="A4248" i="1"/>
  <c r="AF4247" i="1"/>
  <c r="AD4247" i="1"/>
  <c r="A4247" i="1"/>
  <c r="AF4246" i="1"/>
  <c r="AD4246" i="1"/>
  <c r="A4246" i="1"/>
  <c r="AF4245" i="1"/>
  <c r="AD4245" i="1"/>
  <c r="A4245" i="1"/>
  <c r="AF4244" i="1"/>
  <c r="AD4244" i="1"/>
  <c r="A4244" i="1"/>
  <c r="AF4243" i="1"/>
  <c r="AD4243" i="1"/>
  <c r="A4243" i="1"/>
  <c r="AF4242" i="1"/>
  <c r="AD4242" i="1"/>
  <c r="A4242" i="1"/>
  <c r="AF4241" i="1"/>
  <c r="AD4241" i="1"/>
  <c r="A4241" i="1"/>
  <c r="AF4240" i="1"/>
  <c r="AD4240" i="1"/>
  <c r="A4240" i="1"/>
  <c r="AF4239" i="1"/>
  <c r="AD4239" i="1"/>
  <c r="A4239" i="1"/>
  <c r="AF4238" i="1"/>
  <c r="AD4238" i="1"/>
  <c r="A4238" i="1"/>
  <c r="AF4237" i="1"/>
  <c r="AD4237" i="1"/>
  <c r="A4237" i="1"/>
  <c r="AF4236" i="1"/>
  <c r="AD4236" i="1"/>
  <c r="A4236" i="1"/>
  <c r="AF4235" i="1"/>
  <c r="AD4235" i="1"/>
  <c r="A4235" i="1"/>
  <c r="AF4234" i="1"/>
  <c r="AD4234" i="1"/>
  <c r="A4234" i="1"/>
  <c r="AF4233" i="1"/>
  <c r="AD4233" i="1"/>
  <c r="A4233" i="1"/>
  <c r="AF4232" i="1"/>
  <c r="AD4232" i="1"/>
  <c r="A4232" i="1"/>
  <c r="AF4231" i="1"/>
  <c r="AD4231" i="1"/>
  <c r="A4231" i="1"/>
  <c r="AF4230" i="1"/>
  <c r="AD4230" i="1"/>
  <c r="A4230" i="1"/>
  <c r="AF4229" i="1"/>
  <c r="AD4229" i="1"/>
  <c r="A4229" i="1"/>
  <c r="AF4228" i="1"/>
  <c r="AD4228" i="1"/>
  <c r="A4228" i="1"/>
  <c r="AF4227" i="1"/>
  <c r="AD4227" i="1"/>
  <c r="A4227" i="1"/>
  <c r="AF4226" i="1"/>
  <c r="AD4226" i="1"/>
  <c r="A4226" i="1"/>
  <c r="AF4225" i="1"/>
  <c r="AD4225" i="1"/>
  <c r="A4225" i="1"/>
  <c r="AF4224" i="1"/>
  <c r="AD4224" i="1"/>
  <c r="A4224" i="1"/>
  <c r="AF4223" i="1"/>
  <c r="AD4223" i="1"/>
  <c r="A4223" i="1"/>
  <c r="AF4222" i="1"/>
  <c r="AD4222" i="1"/>
  <c r="A4222" i="1"/>
  <c r="AF4221" i="1"/>
  <c r="AD4221" i="1"/>
  <c r="A4221" i="1"/>
  <c r="AF4220" i="1"/>
  <c r="AD4220" i="1"/>
  <c r="A4220" i="1"/>
  <c r="AF4219" i="1"/>
  <c r="AD4219" i="1"/>
  <c r="A4219" i="1"/>
  <c r="AF4218" i="1"/>
  <c r="AD4218" i="1"/>
  <c r="A4218" i="1"/>
  <c r="AF4217" i="1"/>
  <c r="AD4217" i="1"/>
  <c r="A4217" i="1"/>
  <c r="AF4216" i="1"/>
  <c r="AD4216" i="1"/>
  <c r="A4216" i="1"/>
  <c r="AF4215" i="1"/>
  <c r="AD4215" i="1"/>
  <c r="A4215" i="1"/>
  <c r="AF4214" i="1"/>
  <c r="AD4214" i="1"/>
  <c r="A4214" i="1"/>
  <c r="AF4213" i="1"/>
  <c r="AD4213" i="1"/>
  <c r="A4213" i="1"/>
  <c r="AF4212" i="1"/>
  <c r="AD4212" i="1"/>
  <c r="A4212" i="1"/>
  <c r="AF4211" i="1"/>
  <c r="AD4211" i="1"/>
  <c r="A4211" i="1"/>
  <c r="AF4210" i="1"/>
  <c r="AD4210" i="1"/>
  <c r="A4210" i="1"/>
  <c r="AF4209" i="1"/>
  <c r="AD4209" i="1"/>
  <c r="A4209" i="1"/>
  <c r="AF4208" i="1"/>
  <c r="AD4208" i="1"/>
  <c r="A4208" i="1"/>
  <c r="AF4207" i="1"/>
  <c r="AD4207" i="1"/>
  <c r="A4207" i="1"/>
  <c r="AF4206" i="1"/>
  <c r="AD4206" i="1"/>
  <c r="A4206" i="1"/>
  <c r="AF4205" i="1"/>
  <c r="AD4205" i="1"/>
  <c r="A4205" i="1"/>
  <c r="AF4204" i="1"/>
  <c r="AD4204" i="1"/>
  <c r="A4204" i="1"/>
  <c r="AF4203" i="1"/>
  <c r="AD4203" i="1"/>
  <c r="A4203" i="1"/>
  <c r="AF4202" i="1"/>
  <c r="AD4202" i="1"/>
  <c r="A4202" i="1"/>
  <c r="AF4201" i="1"/>
  <c r="AD4201" i="1"/>
  <c r="A4201" i="1"/>
  <c r="AF4200" i="1"/>
  <c r="AD4200" i="1"/>
  <c r="A4200" i="1"/>
  <c r="AF4199" i="1"/>
  <c r="AD4199" i="1"/>
  <c r="A4199" i="1"/>
  <c r="AF4198" i="1"/>
  <c r="AD4198" i="1"/>
  <c r="A4198" i="1"/>
  <c r="AF4197" i="1"/>
  <c r="AD4197" i="1"/>
  <c r="A4197" i="1"/>
  <c r="AF4196" i="1"/>
  <c r="AD4196" i="1"/>
  <c r="A4196" i="1"/>
  <c r="AF4195" i="1"/>
  <c r="AD4195" i="1"/>
  <c r="A4195" i="1"/>
  <c r="AF4194" i="1"/>
  <c r="AD4194" i="1"/>
  <c r="A4194" i="1"/>
  <c r="AF4193" i="1"/>
  <c r="AD4193" i="1"/>
  <c r="A4193" i="1"/>
  <c r="AF4192" i="1"/>
  <c r="AD4192" i="1"/>
  <c r="A4192" i="1"/>
  <c r="AF4191" i="1"/>
  <c r="AD4191" i="1"/>
  <c r="A4191" i="1"/>
  <c r="AF4190" i="1"/>
  <c r="AD4190" i="1"/>
  <c r="A4190" i="1"/>
  <c r="AF4189" i="1"/>
  <c r="AD4189" i="1"/>
  <c r="A4189" i="1"/>
  <c r="AF4188" i="1"/>
  <c r="AD4188" i="1"/>
  <c r="A4188" i="1"/>
  <c r="AF4187" i="1"/>
  <c r="AD4187" i="1"/>
  <c r="A4187" i="1"/>
  <c r="AF4186" i="1"/>
  <c r="AD4186" i="1"/>
  <c r="A4186" i="1"/>
  <c r="AF4185" i="1"/>
  <c r="AD4185" i="1"/>
  <c r="A4185" i="1"/>
  <c r="AF4184" i="1"/>
  <c r="AD4184" i="1"/>
  <c r="A4184" i="1"/>
  <c r="AF4183" i="1"/>
  <c r="AD4183" i="1"/>
  <c r="A4183" i="1"/>
  <c r="AF4182" i="1"/>
  <c r="AD4182" i="1"/>
  <c r="A4182" i="1"/>
  <c r="AF4181" i="1"/>
  <c r="AD4181" i="1"/>
  <c r="A4181" i="1"/>
  <c r="AF4180" i="1"/>
  <c r="AD4180" i="1"/>
  <c r="A4180" i="1"/>
  <c r="AF4179" i="1"/>
  <c r="AD4179" i="1"/>
  <c r="A4179" i="1"/>
  <c r="AF4178" i="1"/>
  <c r="AD4178" i="1"/>
  <c r="A4178" i="1"/>
  <c r="AF4177" i="1"/>
  <c r="AD4177" i="1"/>
  <c r="A4177" i="1"/>
  <c r="AF4176" i="1"/>
  <c r="AD4176" i="1"/>
  <c r="A4176" i="1"/>
  <c r="AF4175" i="1"/>
  <c r="AD4175" i="1"/>
  <c r="A4175" i="1"/>
  <c r="AF4174" i="1"/>
  <c r="AD4174" i="1"/>
  <c r="A4174" i="1"/>
  <c r="AF4173" i="1"/>
  <c r="AD4173" i="1"/>
  <c r="A4173" i="1"/>
  <c r="AF4172" i="1"/>
  <c r="AD4172" i="1"/>
  <c r="A4172" i="1"/>
  <c r="AF4171" i="1"/>
  <c r="AD4171" i="1"/>
  <c r="A4171" i="1"/>
  <c r="AF4170" i="1"/>
  <c r="AD4170" i="1"/>
  <c r="A4170" i="1"/>
  <c r="AF4169" i="1"/>
  <c r="AD4169" i="1"/>
  <c r="A4169" i="1"/>
  <c r="AF4168" i="1"/>
  <c r="AD4168" i="1"/>
  <c r="A4168" i="1"/>
  <c r="AF4167" i="1"/>
  <c r="AD4167" i="1"/>
  <c r="A4167" i="1"/>
  <c r="AF4166" i="1"/>
  <c r="AD4166" i="1"/>
  <c r="A4166" i="1"/>
  <c r="AF4165" i="1"/>
  <c r="AD4165" i="1"/>
  <c r="A4165" i="1"/>
  <c r="AF4164" i="1"/>
  <c r="AD4164" i="1"/>
  <c r="A4164" i="1"/>
  <c r="AF4163" i="1"/>
  <c r="AD4163" i="1"/>
  <c r="A4163" i="1"/>
  <c r="AF4162" i="1"/>
  <c r="AD4162" i="1"/>
  <c r="A4162" i="1"/>
  <c r="AF4161" i="1"/>
  <c r="AD4161" i="1"/>
  <c r="A4161" i="1"/>
  <c r="AF4160" i="1"/>
  <c r="AD4160" i="1"/>
  <c r="A4160" i="1"/>
  <c r="AF4159" i="1"/>
  <c r="AD4159" i="1"/>
  <c r="A4159" i="1"/>
  <c r="AF4158" i="1"/>
  <c r="AD4158" i="1"/>
  <c r="A4158" i="1"/>
  <c r="AF4157" i="1"/>
  <c r="AD4157" i="1"/>
  <c r="A4157" i="1"/>
  <c r="AF4156" i="1"/>
  <c r="AD4156" i="1"/>
  <c r="A4156" i="1"/>
  <c r="AF4155" i="1"/>
  <c r="AD4155" i="1"/>
  <c r="A4155" i="1"/>
  <c r="AF4154" i="1"/>
  <c r="AD4154" i="1"/>
  <c r="A4154" i="1"/>
  <c r="AF4153" i="1"/>
  <c r="AD4153" i="1"/>
  <c r="A4153" i="1"/>
  <c r="AF4152" i="1"/>
  <c r="AD4152" i="1"/>
  <c r="A4152" i="1"/>
  <c r="AF4151" i="1"/>
  <c r="AD4151" i="1"/>
  <c r="A4151" i="1"/>
  <c r="AF4150" i="1"/>
  <c r="AD4150" i="1"/>
  <c r="A4150" i="1"/>
  <c r="AF4149" i="1"/>
  <c r="AD4149" i="1"/>
  <c r="A4149" i="1"/>
  <c r="AF4148" i="1"/>
  <c r="AD4148" i="1"/>
  <c r="A4148" i="1"/>
  <c r="AF4147" i="1"/>
  <c r="AD4147" i="1"/>
  <c r="A4147" i="1"/>
  <c r="AF4146" i="1"/>
  <c r="AD4146" i="1"/>
  <c r="A4146" i="1"/>
  <c r="AF4145" i="1"/>
  <c r="AD4145" i="1"/>
  <c r="A4145" i="1"/>
  <c r="AF4144" i="1"/>
  <c r="AD4144" i="1"/>
  <c r="A4144" i="1"/>
  <c r="AF4143" i="1"/>
  <c r="AD4143" i="1"/>
  <c r="A4143" i="1"/>
  <c r="AF4142" i="1"/>
  <c r="AD4142" i="1"/>
  <c r="A4142" i="1"/>
  <c r="AF4141" i="1"/>
  <c r="AD4141" i="1"/>
  <c r="A4141" i="1"/>
  <c r="AF4140" i="1"/>
  <c r="AD4140" i="1"/>
  <c r="A4140" i="1"/>
  <c r="AF4139" i="1"/>
  <c r="AD4139" i="1"/>
  <c r="A4139" i="1"/>
  <c r="AF4138" i="1"/>
  <c r="AD4138" i="1"/>
  <c r="A4138" i="1"/>
  <c r="AF4137" i="1"/>
  <c r="AD4137" i="1"/>
  <c r="A4137" i="1"/>
  <c r="AF4136" i="1"/>
  <c r="AD4136" i="1"/>
  <c r="A4136" i="1"/>
  <c r="AF4135" i="1"/>
  <c r="AD4135" i="1"/>
  <c r="A4135" i="1"/>
  <c r="AF4134" i="1"/>
  <c r="AD4134" i="1"/>
  <c r="A4134" i="1"/>
  <c r="AF4133" i="1"/>
  <c r="AD4133" i="1"/>
  <c r="A4133" i="1"/>
  <c r="AF4132" i="1"/>
  <c r="AD4132" i="1"/>
  <c r="A4132" i="1"/>
  <c r="AF4131" i="1"/>
  <c r="AD4131" i="1"/>
  <c r="A4131" i="1"/>
  <c r="AF4130" i="1"/>
  <c r="AD4130" i="1"/>
  <c r="A4130" i="1"/>
  <c r="AF4129" i="1"/>
  <c r="AD4129" i="1"/>
  <c r="A4129" i="1"/>
  <c r="AF4128" i="1"/>
  <c r="AD4128" i="1"/>
  <c r="A4128" i="1"/>
  <c r="AF4127" i="1"/>
  <c r="AD4127" i="1"/>
  <c r="A4127" i="1"/>
  <c r="AF4126" i="1"/>
  <c r="AD4126" i="1"/>
  <c r="A4126" i="1"/>
  <c r="AF4125" i="1"/>
  <c r="AD4125" i="1"/>
  <c r="A4125" i="1"/>
  <c r="AF4124" i="1"/>
  <c r="AD4124" i="1"/>
  <c r="A4124" i="1"/>
  <c r="AF4123" i="1"/>
  <c r="AD4123" i="1"/>
  <c r="A4123" i="1"/>
  <c r="AF4122" i="1"/>
  <c r="AD4122" i="1"/>
  <c r="A4122" i="1"/>
  <c r="AF4121" i="1"/>
  <c r="AD4121" i="1"/>
  <c r="A4121" i="1"/>
  <c r="AF4120" i="1"/>
  <c r="AD4120" i="1"/>
  <c r="A4120" i="1"/>
  <c r="AF4119" i="1"/>
  <c r="AD4119" i="1"/>
  <c r="A4119" i="1"/>
  <c r="AF4118" i="1"/>
  <c r="AD4118" i="1"/>
  <c r="A4118" i="1"/>
  <c r="AF4117" i="1"/>
  <c r="AD4117" i="1"/>
  <c r="A4117" i="1"/>
  <c r="AF4116" i="1"/>
  <c r="AD4116" i="1"/>
  <c r="A4116" i="1"/>
  <c r="AF4115" i="1"/>
  <c r="AD4115" i="1"/>
  <c r="A4115" i="1"/>
  <c r="AF4114" i="1"/>
  <c r="AD4114" i="1"/>
  <c r="A4114" i="1"/>
  <c r="AF4113" i="1"/>
  <c r="AD4113" i="1"/>
  <c r="A4113" i="1"/>
  <c r="AF4112" i="1"/>
  <c r="AD4112" i="1"/>
  <c r="A4112" i="1"/>
  <c r="AF4111" i="1"/>
  <c r="AD4111" i="1"/>
  <c r="A4111" i="1"/>
  <c r="AF4110" i="1"/>
  <c r="AD4110" i="1"/>
  <c r="A4110" i="1"/>
  <c r="AF4109" i="1"/>
  <c r="AD4109" i="1"/>
  <c r="A4109" i="1"/>
  <c r="AF4108" i="1"/>
  <c r="AD4108" i="1"/>
  <c r="A4108" i="1"/>
  <c r="AF4107" i="1"/>
  <c r="AD4107" i="1"/>
  <c r="A4107" i="1"/>
  <c r="AF4106" i="1"/>
  <c r="AD4106" i="1"/>
  <c r="A4106" i="1"/>
  <c r="AF4105" i="1"/>
  <c r="AD4105" i="1"/>
  <c r="A4105" i="1"/>
  <c r="AF4104" i="1"/>
  <c r="AD4104" i="1"/>
  <c r="A4104" i="1"/>
  <c r="AF4103" i="1"/>
  <c r="AD4103" i="1"/>
  <c r="A4103" i="1"/>
  <c r="AF4102" i="1"/>
  <c r="AD4102" i="1"/>
  <c r="A4102" i="1"/>
  <c r="AF4101" i="1"/>
  <c r="AD4101" i="1"/>
  <c r="A4101" i="1"/>
  <c r="AF4100" i="1"/>
  <c r="AD4100" i="1"/>
  <c r="A4100" i="1"/>
  <c r="AF4099" i="1"/>
  <c r="AD4099" i="1"/>
  <c r="A4099" i="1"/>
  <c r="AF4098" i="1"/>
  <c r="AD4098" i="1"/>
  <c r="A4098" i="1"/>
  <c r="AF4097" i="1"/>
  <c r="AD4097" i="1"/>
  <c r="A4097" i="1"/>
  <c r="AF4096" i="1"/>
  <c r="AD4096" i="1"/>
  <c r="A4096" i="1"/>
  <c r="AF4095" i="1"/>
  <c r="AD4095" i="1"/>
  <c r="A4095" i="1"/>
  <c r="AF4094" i="1"/>
  <c r="AD4094" i="1"/>
  <c r="A4094" i="1"/>
  <c r="AF4093" i="1"/>
  <c r="AD4093" i="1"/>
  <c r="A4093" i="1"/>
  <c r="AF4092" i="1"/>
  <c r="AD4092" i="1"/>
  <c r="A4092" i="1"/>
  <c r="AF4091" i="1"/>
  <c r="AD4091" i="1"/>
  <c r="A4091" i="1"/>
  <c r="AF4090" i="1"/>
  <c r="AD4090" i="1"/>
  <c r="A4090" i="1"/>
  <c r="AF4089" i="1"/>
  <c r="AD4089" i="1"/>
  <c r="A4089" i="1"/>
  <c r="AF4088" i="1"/>
  <c r="AD4088" i="1"/>
  <c r="A4088" i="1"/>
  <c r="AF4087" i="1"/>
  <c r="AD4087" i="1"/>
  <c r="A4087" i="1"/>
  <c r="AF4086" i="1"/>
  <c r="AD4086" i="1"/>
  <c r="A4086" i="1"/>
  <c r="AF4085" i="1"/>
  <c r="AD4085" i="1"/>
  <c r="A4085" i="1"/>
  <c r="AF4084" i="1"/>
  <c r="AD4084" i="1"/>
  <c r="A4084" i="1"/>
  <c r="AF4083" i="1"/>
  <c r="AD4083" i="1"/>
  <c r="A4083" i="1"/>
  <c r="AF4082" i="1"/>
  <c r="AD4082" i="1"/>
  <c r="A4082" i="1"/>
  <c r="AF4081" i="1"/>
  <c r="AD4081" i="1"/>
  <c r="A4081" i="1"/>
  <c r="AF4080" i="1"/>
  <c r="AD4080" i="1"/>
  <c r="A4080" i="1"/>
  <c r="AF4079" i="1"/>
  <c r="AD4079" i="1"/>
  <c r="A4079" i="1"/>
  <c r="AF4078" i="1"/>
  <c r="AD4078" i="1"/>
  <c r="A4078" i="1"/>
  <c r="AF4077" i="1"/>
  <c r="AD4077" i="1"/>
  <c r="A4077" i="1"/>
  <c r="AF4076" i="1"/>
  <c r="AD4076" i="1"/>
  <c r="A4076" i="1"/>
  <c r="AF4075" i="1"/>
  <c r="AD4075" i="1"/>
  <c r="A4075" i="1"/>
  <c r="AF4074" i="1"/>
  <c r="AD4074" i="1"/>
  <c r="A4074" i="1"/>
  <c r="AF4073" i="1"/>
  <c r="AD4073" i="1"/>
  <c r="A4073" i="1"/>
  <c r="AF4072" i="1"/>
  <c r="AD4072" i="1"/>
  <c r="A4072" i="1"/>
  <c r="AF4071" i="1"/>
  <c r="AD4071" i="1"/>
  <c r="A4071" i="1"/>
  <c r="AF4070" i="1"/>
  <c r="AD4070" i="1"/>
  <c r="A4070" i="1"/>
  <c r="AF4069" i="1"/>
  <c r="AD4069" i="1"/>
  <c r="A4069" i="1"/>
  <c r="AF4068" i="1"/>
  <c r="AD4068" i="1"/>
  <c r="A4068" i="1"/>
  <c r="AF4067" i="1"/>
  <c r="AD4067" i="1"/>
  <c r="A4067" i="1"/>
  <c r="AF4066" i="1"/>
  <c r="AD4066" i="1"/>
  <c r="A4066" i="1"/>
  <c r="AF4065" i="1"/>
  <c r="AD4065" i="1"/>
  <c r="A4065" i="1"/>
  <c r="AF4064" i="1"/>
  <c r="AD4064" i="1"/>
  <c r="A4064" i="1"/>
  <c r="AF4063" i="1"/>
  <c r="AD4063" i="1"/>
  <c r="A4063" i="1"/>
  <c r="AF4062" i="1"/>
  <c r="AD4062" i="1"/>
  <c r="A4062" i="1"/>
  <c r="AF4061" i="1"/>
  <c r="AD4061" i="1"/>
  <c r="A4061" i="1"/>
  <c r="AF4060" i="1"/>
  <c r="AD4060" i="1"/>
  <c r="A4060" i="1"/>
  <c r="AF4059" i="1"/>
  <c r="AD4059" i="1"/>
  <c r="A4059" i="1"/>
  <c r="AF4058" i="1"/>
  <c r="AD4058" i="1"/>
  <c r="A4058" i="1"/>
  <c r="AF4057" i="1"/>
  <c r="AD4057" i="1"/>
  <c r="A4057" i="1"/>
  <c r="AF4056" i="1"/>
  <c r="AD4056" i="1"/>
  <c r="A4056" i="1"/>
  <c r="AF4055" i="1"/>
  <c r="AD4055" i="1"/>
  <c r="A4055" i="1"/>
  <c r="AF4054" i="1"/>
  <c r="AD4054" i="1"/>
  <c r="A4054" i="1"/>
  <c r="AF4053" i="1"/>
  <c r="AD4053" i="1"/>
  <c r="A4053" i="1"/>
  <c r="AF4052" i="1"/>
  <c r="AD4052" i="1"/>
  <c r="A4052" i="1"/>
  <c r="AF4051" i="1"/>
  <c r="AD4051" i="1"/>
  <c r="A4051" i="1"/>
  <c r="AF4050" i="1"/>
  <c r="AD4050" i="1"/>
  <c r="A4050" i="1"/>
  <c r="AF4049" i="1"/>
  <c r="AD4049" i="1"/>
  <c r="A4049" i="1"/>
  <c r="AF4048" i="1"/>
  <c r="AD4048" i="1"/>
  <c r="A4048" i="1"/>
  <c r="AF4047" i="1"/>
  <c r="AD4047" i="1"/>
  <c r="A4047" i="1"/>
  <c r="AF4046" i="1"/>
  <c r="AD4046" i="1"/>
  <c r="A4046" i="1"/>
  <c r="AF4045" i="1"/>
  <c r="AD4045" i="1"/>
  <c r="A4045" i="1"/>
  <c r="AF4044" i="1"/>
  <c r="AD4044" i="1"/>
  <c r="A4044" i="1"/>
  <c r="AF4043" i="1"/>
  <c r="AD4043" i="1"/>
  <c r="A4043" i="1"/>
  <c r="AF4042" i="1"/>
  <c r="AD4042" i="1"/>
  <c r="A4042" i="1"/>
  <c r="AF4041" i="1"/>
  <c r="AD4041" i="1"/>
  <c r="A4041" i="1"/>
  <c r="AF4040" i="1"/>
  <c r="AD4040" i="1"/>
  <c r="A4040" i="1"/>
  <c r="AF4039" i="1"/>
  <c r="AD4039" i="1"/>
  <c r="A4039" i="1"/>
  <c r="AF4038" i="1"/>
  <c r="AD4038" i="1"/>
  <c r="A4038" i="1"/>
  <c r="AF4037" i="1"/>
  <c r="AD4037" i="1"/>
  <c r="A4037" i="1"/>
  <c r="AF4036" i="1"/>
  <c r="AD4036" i="1"/>
  <c r="A4036" i="1"/>
  <c r="AF4035" i="1"/>
  <c r="AD4035" i="1"/>
  <c r="A4035" i="1"/>
  <c r="AF4034" i="1"/>
  <c r="AD4034" i="1"/>
  <c r="A4034" i="1"/>
  <c r="AF4033" i="1"/>
  <c r="AD4033" i="1"/>
  <c r="A4033" i="1"/>
  <c r="AF4032" i="1"/>
  <c r="AD4032" i="1"/>
  <c r="A4032" i="1"/>
  <c r="AF4031" i="1"/>
  <c r="AD4031" i="1"/>
  <c r="A4031" i="1"/>
  <c r="AF4030" i="1"/>
  <c r="AD4030" i="1"/>
  <c r="A4030" i="1"/>
  <c r="AF4029" i="1"/>
  <c r="AD4029" i="1"/>
  <c r="A4029" i="1"/>
  <c r="AF4028" i="1"/>
  <c r="AD4028" i="1"/>
  <c r="A4028" i="1"/>
  <c r="AF4027" i="1"/>
  <c r="AD4027" i="1"/>
  <c r="A4027" i="1"/>
  <c r="AF4026" i="1"/>
  <c r="AD4026" i="1"/>
  <c r="A4026" i="1"/>
  <c r="AF4025" i="1"/>
  <c r="AD4025" i="1"/>
  <c r="A4025" i="1"/>
  <c r="AF4024" i="1"/>
  <c r="AD4024" i="1"/>
  <c r="A4024" i="1"/>
  <c r="AF4023" i="1"/>
  <c r="AD4023" i="1"/>
  <c r="A4023" i="1"/>
  <c r="AF4022" i="1"/>
  <c r="AD4022" i="1"/>
  <c r="A4022" i="1"/>
  <c r="AF4021" i="1"/>
  <c r="AD4021" i="1"/>
  <c r="A4021" i="1"/>
  <c r="AF4020" i="1"/>
  <c r="AD4020" i="1"/>
  <c r="A4020" i="1"/>
  <c r="AF4019" i="1"/>
  <c r="AD4019" i="1"/>
  <c r="A4019" i="1"/>
  <c r="AF4018" i="1"/>
  <c r="AD4018" i="1"/>
  <c r="A4018" i="1"/>
  <c r="AF4017" i="1"/>
  <c r="AD4017" i="1"/>
  <c r="A4017" i="1"/>
  <c r="AF4016" i="1"/>
  <c r="AD4016" i="1"/>
  <c r="A4016" i="1"/>
  <c r="AF4015" i="1"/>
  <c r="AD4015" i="1"/>
  <c r="A4015" i="1"/>
  <c r="AF4014" i="1"/>
  <c r="AD4014" i="1"/>
  <c r="A4014" i="1"/>
  <c r="AF4013" i="1"/>
  <c r="AD4013" i="1"/>
  <c r="A4013" i="1"/>
  <c r="AF4012" i="1"/>
  <c r="AD4012" i="1"/>
  <c r="A4012" i="1"/>
  <c r="AF4011" i="1"/>
  <c r="AD4011" i="1"/>
  <c r="A4011" i="1"/>
  <c r="AF4010" i="1"/>
  <c r="AD4010" i="1"/>
  <c r="A4010" i="1"/>
  <c r="AF4009" i="1"/>
  <c r="AD4009" i="1"/>
  <c r="A4009" i="1"/>
  <c r="AF4008" i="1"/>
  <c r="AD4008" i="1"/>
  <c r="A4008" i="1"/>
  <c r="AF4007" i="1"/>
  <c r="AD4007" i="1"/>
  <c r="A4007" i="1"/>
  <c r="AF4006" i="1"/>
  <c r="AD4006" i="1"/>
  <c r="A4006" i="1"/>
  <c r="AF4005" i="1"/>
  <c r="AD4005" i="1"/>
  <c r="A4005" i="1"/>
  <c r="AF4004" i="1"/>
  <c r="AD4004" i="1"/>
  <c r="A4004" i="1"/>
  <c r="AF4003" i="1"/>
  <c r="AD4003" i="1"/>
  <c r="A4003" i="1"/>
  <c r="AF4002" i="1"/>
  <c r="AD4002" i="1"/>
  <c r="A4002" i="1"/>
  <c r="AF4001" i="1"/>
  <c r="AD4001" i="1"/>
  <c r="A4001" i="1"/>
  <c r="AF4000" i="1"/>
  <c r="AD4000" i="1"/>
  <c r="A4000" i="1"/>
  <c r="AF3999" i="1"/>
  <c r="AD3999" i="1"/>
  <c r="A3999" i="1"/>
  <c r="AF3998" i="1"/>
  <c r="AD3998" i="1"/>
  <c r="A3998" i="1"/>
  <c r="AF3997" i="1"/>
  <c r="AD3997" i="1"/>
  <c r="A3997" i="1"/>
  <c r="AF3996" i="1"/>
  <c r="AD3996" i="1"/>
  <c r="A3996" i="1"/>
  <c r="AF3995" i="1"/>
  <c r="AD3995" i="1"/>
  <c r="A3995" i="1"/>
  <c r="AF3994" i="1"/>
  <c r="AD3994" i="1"/>
  <c r="A3994" i="1"/>
  <c r="AF3993" i="1"/>
  <c r="AD3993" i="1"/>
  <c r="A3993" i="1"/>
  <c r="AF3992" i="1"/>
  <c r="AD3992" i="1"/>
  <c r="A3992" i="1"/>
  <c r="AF3991" i="1"/>
  <c r="AD3991" i="1"/>
  <c r="A3991" i="1"/>
  <c r="AF3990" i="1"/>
  <c r="AD3990" i="1"/>
  <c r="A3990" i="1"/>
  <c r="AF3989" i="1"/>
  <c r="AD3989" i="1"/>
  <c r="A3989" i="1"/>
  <c r="AF3988" i="1"/>
  <c r="AD3988" i="1"/>
  <c r="A3988" i="1"/>
  <c r="AF3987" i="1"/>
  <c r="AD3987" i="1"/>
  <c r="A3987" i="1"/>
  <c r="AF3986" i="1"/>
  <c r="AD3986" i="1"/>
  <c r="A3986" i="1"/>
  <c r="AF3985" i="1"/>
  <c r="AD3985" i="1"/>
  <c r="A3985" i="1"/>
  <c r="AF3984" i="1"/>
  <c r="AD3984" i="1"/>
  <c r="A3984" i="1"/>
  <c r="AF3983" i="1"/>
  <c r="AD3983" i="1"/>
  <c r="A3983" i="1"/>
  <c r="AF3982" i="1"/>
  <c r="AD3982" i="1"/>
  <c r="A3982" i="1"/>
  <c r="AF3981" i="1"/>
  <c r="AD3981" i="1"/>
  <c r="A3981" i="1"/>
  <c r="AF3980" i="1"/>
  <c r="AD3980" i="1"/>
  <c r="A3980" i="1"/>
  <c r="AF3979" i="1"/>
  <c r="AD3979" i="1"/>
  <c r="A3979" i="1"/>
  <c r="AF3978" i="1"/>
  <c r="AD3978" i="1"/>
  <c r="A3978" i="1"/>
  <c r="AF3977" i="1"/>
  <c r="AD3977" i="1"/>
  <c r="A3977" i="1"/>
  <c r="AF3976" i="1"/>
  <c r="AD3976" i="1"/>
  <c r="A3976" i="1"/>
  <c r="AF3975" i="1"/>
  <c r="AD3975" i="1"/>
  <c r="A3975" i="1"/>
  <c r="AF3974" i="1"/>
  <c r="AD3974" i="1"/>
  <c r="A3974" i="1"/>
  <c r="AF3973" i="1"/>
  <c r="AD3973" i="1"/>
  <c r="A3973" i="1"/>
  <c r="AF3972" i="1"/>
  <c r="AD3972" i="1"/>
  <c r="A3972" i="1"/>
  <c r="AF3971" i="1"/>
  <c r="AD3971" i="1"/>
  <c r="A3971" i="1"/>
  <c r="AF3970" i="1"/>
  <c r="AD3970" i="1"/>
  <c r="A3970" i="1"/>
  <c r="AF3969" i="1"/>
  <c r="AD3969" i="1"/>
  <c r="A3969" i="1"/>
  <c r="AF3968" i="1"/>
  <c r="AD3968" i="1"/>
  <c r="A3968" i="1"/>
  <c r="AF3967" i="1"/>
  <c r="AD3967" i="1"/>
  <c r="A3967" i="1"/>
  <c r="AF3966" i="1"/>
  <c r="AD3966" i="1"/>
  <c r="A3966" i="1"/>
  <c r="AF3965" i="1"/>
  <c r="AD3965" i="1"/>
  <c r="A3965" i="1"/>
  <c r="AF3964" i="1"/>
  <c r="AD3964" i="1"/>
  <c r="A3964" i="1"/>
  <c r="AF3963" i="1"/>
  <c r="AD3963" i="1"/>
  <c r="A3963" i="1"/>
  <c r="AF3962" i="1"/>
  <c r="AD3962" i="1"/>
  <c r="A3962" i="1"/>
  <c r="AF3961" i="1"/>
  <c r="AD3961" i="1"/>
  <c r="A3961" i="1"/>
  <c r="AF3960" i="1"/>
  <c r="AD3960" i="1"/>
  <c r="A3960" i="1"/>
  <c r="AF3959" i="1"/>
  <c r="AD3959" i="1"/>
  <c r="A3959" i="1"/>
  <c r="AF3958" i="1"/>
  <c r="AD3958" i="1"/>
  <c r="A3958" i="1"/>
  <c r="AF3957" i="1"/>
  <c r="AD3957" i="1"/>
  <c r="A3957" i="1"/>
  <c r="AF3956" i="1"/>
  <c r="AD3956" i="1"/>
  <c r="A3956" i="1"/>
  <c r="AF3955" i="1"/>
  <c r="AD3955" i="1"/>
  <c r="A3955" i="1"/>
  <c r="AF3954" i="1"/>
  <c r="AD3954" i="1"/>
  <c r="A3954" i="1"/>
  <c r="AF3953" i="1"/>
  <c r="AD3953" i="1"/>
  <c r="A3953" i="1"/>
  <c r="AF3952" i="1"/>
  <c r="AD3952" i="1"/>
  <c r="A3952" i="1"/>
  <c r="AF3951" i="1"/>
  <c r="AD3951" i="1"/>
  <c r="A3951" i="1"/>
  <c r="AF3950" i="1"/>
  <c r="AD3950" i="1"/>
  <c r="A3950" i="1"/>
  <c r="AF3949" i="1"/>
  <c r="AD3949" i="1"/>
  <c r="A3949" i="1"/>
  <c r="AF3948" i="1"/>
  <c r="AD3948" i="1"/>
  <c r="A3948" i="1"/>
  <c r="AF3947" i="1"/>
  <c r="AD3947" i="1"/>
  <c r="A3947" i="1"/>
  <c r="AF3946" i="1"/>
  <c r="AD3946" i="1"/>
  <c r="A3946" i="1"/>
  <c r="AF3945" i="1"/>
  <c r="AD3945" i="1"/>
  <c r="A3945" i="1"/>
  <c r="AF3944" i="1"/>
  <c r="AD3944" i="1"/>
  <c r="A3944" i="1"/>
  <c r="AF3943" i="1"/>
  <c r="AD3943" i="1"/>
  <c r="A3943" i="1"/>
  <c r="AF3942" i="1"/>
  <c r="AD3942" i="1"/>
  <c r="A3942" i="1"/>
  <c r="AF3941" i="1"/>
  <c r="AD3941" i="1"/>
  <c r="A3941" i="1"/>
  <c r="AF3940" i="1"/>
  <c r="AD3940" i="1"/>
  <c r="A3940" i="1"/>
  <c r="AF3939" i="1"/>
  <c r="AD3939" i="1"/>
  <c r="A3939" i="1"/>
  <c r="AF3938" i="1"/>
  <c r="AD3938" i="1"/>
  <c r="A3938" i="1"/>
  <c r="AF3937" i="1"/>
  <c r="AD3937" i="1"/>
  <c r="A3937" i="1"/>
  <c r="AF3936" i="1"/>
  <c r="AD3936" i="1"/>
  <c r="A3936" i="1"/>
  <c r="AF3935" i="1"/>
  <c r="AD3935" i="1"/>
  <c r="A3935" i="1"/>
  <c r="AF3934" i="1"/>
  <c r="AD3934" i="1"/>
  <c r="A3934" i="1"/>
  <c r="AF3933" i="1"/>
  <c r="AD3933" i="1"/>
  <c r="A3933" i="1"/>
  <c r="AF3932" i="1"/>
  <c r="AD3932" i="1"/>
  <c r="A3932" i="1"/>
  <c r="AF3931" i="1"/>
  <c r="AD3931" i="1"/>
  <c r="A3931" i="1"/>
  <c r="AF3930" i="1"/>
  <c r="AD3930" i="1"/>
  <c r="A3930" i="1"/>
  <c r="AF3929" i="1"/>
  <c r="AD3929" i="1"/>
  <c r="A3929" i="1"/>
  <c r="AF3928" i="1"/>
  <c r="AD3928" i="1"/>
  <c r="A3928" i="1"/>
  <c r="AF3927" i="1"/>
  <c r="AD3927" i="1"/>
  <c r="A3927" i="1"/>
  <c r="AF3926" i="1"/>
  <c r="AD3926" i="1"/>
  <c r="A3926" i="1"/>
  <c r="AF3925" i="1"/>
  <c r="AD3925" i="1"/>
  <c r="A3925" i="1"/>
  <c r="AF3924" i="1"/>
  <c r="AD3924" i="1"/>
  <c r="A3924" i="1"/>
  <c r="AF3923" i="1"/>
  <c r="AD3923" i="1"/>
  <c r="A3923" i="1"/>
  <c r="AF3922" i="1"/>
  <c r="AD3922" i="1"/>
  <c r="A3922" i="1"/>
  <c r="AF3921" i="1"/>
  <c r="AD3921" i="1"/>
  <c r="A3921" i="1"/>
  <c r="AF3920" i="1"/>
  <c r="AD3920" i="1"/>
  <c r="A3920" i="1"/>
  <c r="AF3919" i="1"/>
  <c r="AD3919" i="1"/>
  <c r="A3919" i="1"/>
  <c r="AF3918" i="1"/>
  <c r="AD3918" i="1"/>
  <c r="A3918" i="1"/>
  <c r="AF3917" i="1"/>
  <c r="AD3917" i="1"/>
  <c r="A3917" i="1"/>
  <c r="AF3916" i="1"/>
  <c r="AD3916" i="1"/>
  <c r="A3916" i="1"/>
  <c r="AF3915" i="1"/>
  <c r="AD3915" i="1"/>
  <c r="A3915" i="1"/>
  <c r="AF3914" i="1"/>
  <c r="AD3914" i="1"/>
  <c r="A3914" i="1"/>
  <c r="AF3913" i="1"/>
  <c r="AD3913" i="1"/>
  <c r="A3913" i="1"/>
  <c r="AF3912" i="1"/>
  <c r="AD3912" i="1"/>
  <c r="A3912" i="1"/>
  <c r="AF3911" i="1"/>
  <c r="AD3911" i="1"/>
  <c r="A3911" i="1"/>
  <c r="AF3910" i="1"/>
  <c r="AD3910" i="1"/>
  <c r="A3910" i="1"/>
  <c r="AF3909" i="1"/>
  <c r="AD3909" i="1"/>
  <c r="A3909" i="1"/>
  <c r="AF3908" i="1"/>
  <c r="AD3908" i="1"/>
  <c r="A3908" i="1"/>
  <c r="AF3907" i="1"/>
  <c r="AD3907" i="1"/>
  <c r="A3907" i="1"/>
  <c r="AF3906" i="1"/>
  <c r="AD3906" i="1"/>
  <c r="A3906" i="1"/>
  <c r="AF3905" i="1"/>
  <c r="AD3905" i="1"/>
  <c r="A3905" i="1"/>
  <c r="AF3904" i="1"/>
  <c r="AD3904" i="1"/>
  <c r="A3904" i="1"/>
  <c r="AF3903" i="1"/>
  <c r="AD3903" i="1"/>
  <c r="A3903" i="1"/>
  <c r="AF3902" i="1"/>
  <c r="AD3902" i="1"/>
  <c r="A3902" i="1"/>
  <c r="AF3901" i="1"/>
  <c r="AD3901" i="1"/>
  <c r="A3901" i="1"/>
  <c r="AF3900" i="1"/>
  <c r="AD3900" i="1"/>
  <c r="A3900" i="1"/>
  <c r="AF3899" i="1"/>
  <c r="AD3899" i="1"/>
  <c r="A3899" i="1"/>
  <c r="AF3898" i="1"/>
  <c r="AD3898" i="1"/>
  <c r="A3898" i="1"/>
  <c r="AF3897" i="1"/>
  <c r="AD3897" i="1"/>
  <c r="A3897" i="1"/>
  <c r="AF3896" i="1"/>
  <c r="AD3896" i="1"/>
  <c r="A3896" i="1"/>
  <c r="AF3895" i="1"/>
  <c r="AD3895" i="1"/>
  <c r="A3895" i="1"/>
  <c r="AF3894" i="1"/>
  <c r="AD3894" i="1"/>
  <c r="A3894" i="1"/>
  <c r="AF3893" i="1"/>
  <c r="AD3893" i="1"/>
  <c r="A3893" i="1"/>
  <c r="AF3892" i="1"/>
  <c r="AD3892" i="1"/>
  <c r="A3892" i="1"/>
  <c r="AF3891" i="1"/>
  <c r="AD3891" i="1"/>
  <c r="A3891" i="1"/>
  <c r="AF3890" i="1"/>
  <c r="AD3890" i="1"/>
  <c r="A3890" i="1"/>
  <c r="AF3889" i="1"/>
  <c r="AD3889" i="1"/>
  <c r="A3889" i="1"/>
  <c r="AF3888" i="1"/>
  <c r="AD3888" i="1"/>
  <c r="A3888" i="1"/>
  <c r="AF3887" i="1"/>
  <c r="AD3887" i="1"/>
  <c r="A3887" i="1"/>
  <c r="AF3886" i="1"/>
  <c r="AD3886" i="1"/>
  <c r="A3886" i="1"/>
  <c r="AF3885" i="1"/>
  <c r="AD3885" i="1"/>
  <c r="A3885" i="1"/>
  <c r="AF3884" i="1"/>
  <c r="AD3884" i="1"/>
  <c r="A3884" i="1"/>
  <c r="AF3883" i="1"/>
  <c r="AD3883" i="1"/>
  <c r="A3883" i="1"/>
  <c r="AF3882" i="1"/>
  <c r="AD3882" i="1"/>
  <c r="A3882" i="1"/>
  <c r="AF3881" i="1"/>
  <c r="AD3881" i="1"/>
  <c r="A3881" i="1"/>
  <c r="AF3880" i="1"/>
  <c r="AD3880" i="1"/>
  <c r="A3880" i="1"/>
  <c r="AF3879" i="1"/>
  <c r="AD3879" i="1"/>
  <c r="A3879" i="1"/>
  <c r="AF3878" i="1"/>
  <c r="AD3878" i="1"/>
  <c r="A3878" i="1"/>
  <c r="AF3877" i="1"/>
  <c r="AD3877" i="1"/>
  <c r="A3877" i="1"/>
  <c r="AF3876" i="1"/>
  <c r="AD3876" i="1"/>
  <c r="A3876" i="1"/>
  <c r="AF3875" i="1"/>
  <c r="AD3875" i="1"/>
  <c r="A3875" i="1"/>
  <c r="AF3874" i="1"/>
  <c r="AD3874" i="1"/>
  <c r="A3874" i="1"/>
  <c r="AF3873" i="1"/>
  <c r="AD3873" i="1"/>
  <c r="A3873" i="1"/>
  <c r="AF3872" i="1"/>
  <c r="AD3872" i="1"/>
  <c r="A3872" i="1"/>
  <c r="AF3871" i="1"/>
  <c r="AD3871" i="1"/>
  <c r="A3871" i="1"/>
  <c r="AF3870" i="1"/>
  <c r="AD3870" i="1"/>
  <c r="A3870" i="1"/>
  <c r="AF3869" i="1"/>
  <c r="AD3869" i="1"/>
  <c r="A3869" i="1"/>
  <c r="AF3868" i="1"/>
  <c r="AD3868" i="1"/>
  <c r="A3868" i="1"/>
  <c r="AF3867" i="1"/>
  <c r="AD3867" i="1"/>
  <c r="A3867" i="1"/>
  <c r="AF3866" i="1"/>
  <c r="AD3866" i="1"/>
  <c r="A3866" i="1"/>
  <c r="AF3865" i="1"/>
  <c r="AD3865" i="1"/>
  <c r="A3865" i="1"/>
  <c r="AF3864" i="1"/>
  <c r="AD3864" i="1"/>
  <c r="A3864" i="1"/>
  <c r="AF3863" i="1"/>
  <c r="AD3863" i="1"/>
  <c r="A3863" i="1"/>
  <c r="AF3862" i="1"/>
  <c r="AD3862" i="1"/>
  <c r="A3862" i="1"/>
  <c r="AF3861" i="1"/>
  <c r="AD3861" i="1"/>
  <c r="A3861" i="1"/>
  <c r="AF3860" i="1"/>
  <c r="AD3860" i="1"/>
  <c r="A3860" i="1"/>
  <c r="AF3859" i="1"/>
  <c r="AD3859" i="1"/>
  <c r="A3859" i="1"/>
  <c r="AF3858" i="1"/>
  <c r="AD3858" i="1"/>
  <c r="A3858" i="1"/>
  <c r="AF3857" i="1"/>
  <c r="AD3857" i="1"/>
  <c r="A3857" i="1"/>
  <c r="AF3856" i="1"/>
  <c r="AD3856" i="1"/>
  <c r="A3856" i="1"/>
  <c r="AF3855" i="1"/>
  <c r="AD3855" i="1"/>
  <c r="A3855" i="1"/>
  <c r="AF3854" i="1"/>
  <c r="AD3854" i="1"/>
  <c r="A3854" i="1"/>
  <c r="AF3853" i="1"/>
  <c r="AD3853" i="1"/>
  <c r="A3853" i="1"/>
  <c r="AF3852" i="1"/>
  <c r="AD3852" i="1"/>
  <c r="A3852" i="1"/>
  <c r="AF3851" i="1"/>
  <c r="AD3851" i="1"/>
  <c r="A3851" i="1"/>
  <c r="AF3850" i="1"/>
  <c r="AD3850" i="1"/>
  <c r="A3850" i="1"/>
  <c r="AF3849" i="1"/>
  <c r="AD3849" i="1"/>
  <c r="A3849" i="1"/>
  <c r="AF3848" i="1"/>
  <c r="AD3848" i="1"/>
  <c r="A3848" i="1"/>
  <c r="AF3847" i="1"/>
  <c r="AD3847" i="1"/>
  <c r="A3847" i="1"/>
  <c r="AF3846" i="1"/>
  <c r="AD3846" i="1"/>
  <c r="A3846" i="1"/>
  <c r="AF3845" i="1"/>
  <c r="AD3845" i="1"/>
  <c r="A3845" i="1"/>
  <c r="AF3844" i="1"/>
  <c r="AD3844" i="1"/>
  <c r="A3844" i="1"/>
  <c r="AF3843" i="1"/>
  <c r="AD3843" i="1"/>
  <c r="A3843" i="1"/>
  <c r="AF3842" i="1"/>
  <c r="AD3842" i="1"/>
  <c r="A3842" i="1"/>
  <c r="AF3841" i="1"/>
  <c r="AD3841" i="1"/>
  <c r="A3841" i="1"/>
  <c r="AF3840" i="1"/>
  <c r="AD3840" i="1"/>
  <c r="A3840" i="1"/>
  <c r="AF3839" i="1"/>
  <c r="AD3839" i="1"/>
  <c r="A3839" i="1"/>
  <c r="AF3838" i="1"/>
  <c r="AD3838" i="1"/>
  <c r="A3838" i="1"/>
  <c r="AF3837" i="1"/>
  <c r="AD3837" i="1"/>
  <c r="A3837" i="1"/>
  <c r="AF3836" i="1"/>
  <c r="AD3836" i="1"/>
  <c r="A3836" i="1"/>
  <c r="AF3835" i="1"/>
  <c r="AD3835" i="1"/>
  <c r="A3835" i="1"/>
  <c r="AF3834" i="1"/>
  <c r="AD3834" i="1"/>
  <c r="A3834" i="1"/>
  <c r="AF3833" i="1"/>
  <c r="AD3833" i="1"/>
  <c r="A3833" i="1"/>
  <c r="AF3832" i="1"/>
  <c r="AD3832" i="1"/>
  <c r="A3832" i="1"/>
  <c r="AF3831" i="1"/>
  <c r="AD3831" i="1"/>
  <c r="A3831" i="1"/>
  <c r="AF3830" i="1"/>
  <c r="AD3830" i="1"/>
  <c r="A3830" i="1"/>
  <c r="AF3829" i="1"/>
  <c r="AD3829" i="1"/>
  <c r="A3829" i="1"/>
  <c r="AF3828" i="1"/>
  <c r="AD3828" i="1"/>
  <c r="A3828" i="1"/>
  <c r="AF3827" i="1"/>
  <c r="AD3827" i="1"/>
  <c r="A3827" i="1"/>
  <c r="AF3826" i="1"/>
  <c r="AD3826" i="1"/>
  <c r="A3826" i="1"/>
  <c r="AF3825" i="1"/>
  <c r="AD3825" i="1"/>
  <c r="A3825" i="1"/>
  <c r="AF3824" i="1"/>
  <c r="AD3824" i="1"/>
  <c r="A3824" i="1"/>
  <c r="AF3823" i="1"/>
  <c r="AD3823" i="1"/>
  <c r="A3823" i="1"/>
  <c r="AF3822" i="1"/>
  <c r="AD3822" i="1"/>
  <c r="A3822" i="1"/>
  <c r="AF3821" i="1"/>
  <c r="AD3821" i="1"/>
  <c r="A3821" i="1"/>
  <c r="AF3820" i="1"/>
  <c r="AD3820" i="1"/>
  <c r="A3820" i="1"/>
  <c r="AF3819" i="1"/>
  <c r="AD3819" i="1"/>
  <c r="A3819" i="1"/>
  <c r="AF3818" i="1"/>
  <c r="AD3818" i="1"/>
  <c r="A3818" i="1"/>
  <c r="AF3817" i="1"/>
  <c r="AD3817" i="1"/>
  <c r="A3817" i="1"/>
  <c r="AF3816" i="1"/>
  <c r="AD3816" i="1"/>
  <c r="A3816" i="1"/>
  <c r="AF3815" i="1"/>
  <c r="AD3815" i="1"/>
  <c r="A3815" i="1"/>
  <c r="AF3814" i="1"/>
  <c r="AD3814" i="1"/>
  <c r="A3814" i="1"/>
  <c r="AF3813" i="1"/>
  <c r="AD3813" i="1"/>
  <c r="A3813" i="1"/>
  <c r="AF3812" i="1"/>
  <c r="AD3812" i="1"/>
  <c r="A3812" i="1"/>
  <c r="AF3811" i="1"/>
  <c r="AD3811" i="1"/>
  <c r="A3811" i="1"/>
  <c r="AF3810" i="1"/>
  <c r="AD3810" i="1"/>
  <c r="A3810" i="1"/>
  <c r="AF3809" i="1"/>
  <c r="AD3809" i="1"/>
  <c r="A3809" i="1"/>
  <c r="AF3808" i="1"/>
  <c r="AD3808" i="1"/>
  <c r="A3808" i="1"/>
  <c r="AF3807" i="1"/>
  <c r="AD3807" i="1"/>
  <c r="A3807" i="1"/>
  <c r="AF3806" i="1"/>
  <c r="AD3806" i="1"/>
  <c r="A3806" i="1"/>
  <c r="AF3805" i="1"/>
  <c r="AD3805" i="1"/>
  <c r="A3805" i="1"/>
  <c r="AF3804" i="1"/>
  <c r="AD3804" i="1"/>
  <c r="A3804" i="1"/>
  <c r="AF3803" i="1"/>
  <c r="AD3803" i="1"/>
  <c r="A3803" i="1"/>
  <c r="AF3802" i="1"/>
  <c r="AD3802" i="1"/>
  <c r="A3802" i="1"/>
  <c r="AF3801" i="1"/>
  <c r="AD3801" i="1"/>
  <c r="A3801" i="1"/>
  <c r="AF3800" i="1"/>
  <c r="AD3800" i="1"/>
  <c r="A3800" i="1"/>
  <c r="AF3799" i="1"/>
  <c r="AD3799" i="1"/>
  <c r="A3799" i="1"/>
  <c r="AF3798" i="1"/>
  <c r="AD3798" i="1"/>
  <c r="A3798" i="1"/>
  <c r="AF3797" i="1"/>
  <c r="AD3797" i="1"/>
  <c r="A3797" i="1"/>
  <c r="AF3796" i="1"/>
  <c r="AD3796" i="1"/>
  <c r="A3796" i="1"/>
  <c r="AF3795" i="1"/>
  <c r="AD3795" i="1"/>
  <c r="A3795" i="1"/>
  <c r="AF3794" i="1"/>
  <c r="AD3794" i="1"/>
  <c r="A3794" i="1"/>
  <c r="AF3793" i="1"/>
  <c r="AD3793" i="1"/>
  <c r="A3793" i="1"/>
  <c r="AF3792" i="1"/>
  <c r="AD3792" i="1"/>
  <c r="A3792" i="1"/>
  <c r="AF3791" i="1"/>
  <c r="AD3791" i="1"/>
  <c r="A3791" i="1"/>
  <c r="AF3790" i="1"/>
  <c r="AD3790" i="1"/>
  <c r="A3790" i="1"/>
  <c r="AF3789" i="1"/>
  <c r="AD3789" i="1"/>
  <c r="A3789" i="1"/>
  <c r="AF3788" i="1"/>
  <c r="AD3788" i="1"/>
  <c r="A3788" i="1"/>
  <c r="AF3787" i="1"/>
  <c r="AD3787" i="1"/>
  <c r="A3787" i="1"/>
  <c r="AF3786" i="1"/>
  <c r="AD3786" i="1"/>
  <c r="A3786" i="1"/>
  <c r="AF3785" i="1"/>
  <c r="AD3785" i="1"/>
  <c r="A3785" i="1"/>
  <c r="AF3784" i="1"/>
  <c r="AD3784" i="1"/>
  <c r="A3784" i="1"/>
  <c r="AF3783" i="1"/>
  <c r="AD3783" i="1"/>
  <c r="A3783" i="1"/>
  <c r="AF3782" i="1"/>
  <c r="AD3782" i="1"/>
  <c r="A3782" i="1"/>
  <c r="AF3781" i="1"/>
  <c r="AD3781" i="1"/>
  <c r="A3781" i="1"/>
  <c r="AF3780" i="1"/>
  <c r="AD3780" i="1"/>
  <c r="A3780" i="1"/>
  <c r="AF3779" i="1"/>
  <c r="AD3779" i="1"/>
  <c r="A3779" i="1"/>
  <c r="AF3778" i="1"/>
  <c r="AD3778" i="1"/>
  <c r="A3778" i="1"/>
  <c r="AF3777" i="1"/>
  <c r="AD3777" i="1"/>
  <c r="A3777" i="1"/>
  <c r="AF3776" i="1"/>
  <c r="AD3776" i="1"/>
  <c r="A3776" i="1"/>
  <c r="AF3775" i="1"/>
  <c r="AD3775" i="1"/>
  <c r="A3775" i="1"/>
  <c r="AF3774" i="1"/>
  <c r="AD3774" i="1"/>
  <c r="A3774" i="1"/>
  <c r="AF3773" i="1"/>
  <c r="AD3773" i="1"/>
  <c r="A3773" i="1"/>
  <c r="AF3772" i="1"/>
  <c r="AD3772" i="1"/>
  <c r="A3772" i="1"/>
  <c r="AF3771" i="1"/>
  <c r="AD3771" i="1"/>
  <c r="A3771" i="1"/>
  <c r="AF3770" i="1"/>
  <c r="AD3770" i="1"/>
  <c r="A3770" i="1"/>
  <c r="AF3769" i="1"/>
  <c r="AD3769" i="1"/>
  <c r="A3769" i="1"/>
  <c r="AF3768" i="1"/>
  <c r="AD3768" i="1"/>
  <c r="A3768" i="1"/>
  <c r="AF3767" i="1"/>
  <c r="AD3767" i="1"/>
  <c r="A3767" i="1"/>
  <c r="AF3766" i="1"/>
  <c r="AD3766" i="1"/>
  <c r="A3766" i="1"/>
  <c r="AF3765" i="1"/>
  <c r="AD3765" i="1"/>
  <c r="A3765" i="1"/>
  <c r="AF3764" i="1"/>
  <c r="AD3764" i="1"/>
  <c r="A3764" i="1"/>
  <c r="AF3763" i="1"/>
  <c r="AD3763" i="1"/>
  <c r="A3763" i="1"/>
  <c r="AF3762" i="1"/>
  <c r="AD3762" i="1"/>
  <c r="A3762" i="1"/>
  <c r="AF3761" i="1"/>
  <c r="AD3761" i="1"/>
  <c r="A3761" i="1"/>
  <c r="AF3760" i="1"/>
  <c r="AD3760" i="1"/>
  <c r="A3760" i="1"/>
  <c r="AF3759" i="1"/>
  <c r="AD3759" i="1"/>
  <c r="A3759" i="1"/>
  <c r="AF3758" i="1"/>
  <c r="AD3758" i="1"/>
  <c r="A3758" i="1"/>
  <c r="AF3757" i="1"/>
  <c r="AD3757" i="1"/>
  <c r="A3757" i="1"/>
  <c r="AF3756" i="1"/>
  <c r="AD3756" i="1"/>
  <c r="A3756" i="1"/>
  <c r="AF3755" i="1"/>
  <c r="AD3755" i="1"/>
  <c r="A3755" i="1"/>
  <c r="AF3754" i="1"/>
  <c r="AD3754" i="1"/>
  <c r="A3754" i="1"/>
  <c r="AF3753" i="1"/>
  <c r="AD3753" i="1"/>
  <c r="A3753" i="1"/>
  <c r="AF3752" i="1"/>
  <c r="AD3752" i="1"/>
  <c r="A3752" i="1"/>
  <c r="AF3751" i="1"/>
  <c r="AD3751" i="1"/>
  <c r="A3751" i="1"/>
  <c r="AF3750" i="1"/>
  <c r="AD3750" i="1"/>
  <c r="A3750" i="1"/>
  <c r="AF3749" i="1"/>
  <c r="AD3749" i="1"/>
  <c r="A3749" i="1"/>
  <c r="AF3748" i="1"/>
  <c r="AD3748" i="1"/>
  <c r="A3748" i="1"/>
  <c r="AF3747" i="1"/>
  <c r="AD3747" i="1"/>
  <c r="A3747" i="1"/>
  <c r="AF3746" i="1"/>
  <c r="AD3746" i="1"/>
  <c r="A3746" i="1"/>
  <c r="AF3745" i="1"/>
  <c r="AD3745" i="1"/>
  <c r="A3745" i="1"/>
  <c r="AF3744" i="1"/>
  <c r="AD3744" i="1"/>
  <c r="A3744" i="1"/>
  <c r="AF3743" i="1"/>
  <c r="AD3743" i="1"/>
  <c r="A3743" i="1"/>
  <c r="AF3742" i="1"/>
  <c r="AD3742" i="1"/>
  <c r="A3742" i="1"/>
  <c r="AF3741" i="1"/>
  <c r="AD3741" i="1"/>
  <c r="A3741" i="1"/>
  <c r="AF3740" i="1"/>
  <c r="AD3740" i="1"/>
  <c r="A3740" i="1"/>
  <c r="AF3739" i="1"/>
  <c r="AD3739" i="1"/>
  <c r="A3739" i="1"/>
  <c r="AF3738" i="1"/>
  <c r="AD3738" i="1"/>
  <c r="A3738" i="1"/>
  <c r="AF3737" i="1"/>
  <c r="AD3737" i="1"/>
  <c r="A3737" i="1"/>
  <c r="AF3736" i="1"/>
  <c r="AD3736" i="1"/>
  <c r="A3736" i="1"/>
  <c r="AF3735" i="1"/>
  <c r="AD3735" i="1"/>
  <c r="A3735" i="1"/>
  <c r="AF3734" i="1"/>
  <c r="AD3734" i="1"/>
  <c r="A3734" i="1"/>
  <c r="AF3733" i="1"/>
  <c r="AD3733" i="1"/>
  <c r="A3733" i="1"/>
  <c r="AF3732" i="1"/>
  <c r="AD3732" i="1"/>
  <c r="A3732" i="1"/>
  <c r="AF3731" i="1"/>
  <c r="AD3731" i="1"/>
  <c r="A3731" i="1"/>
  <c r="AF3730" i="1"/>
  <c r="AD3730" i="1"/>
  <c r="A3730" i="1"/>
  <c r="AF3729" i="1"/>
  <c r="AD3729" i="1"/>
  <c r="A3729" i="1"/>
  <c r="AF3728" i="1"/>
  <c r="AD3728" i="1"/>
  <c r="A3728" i="1"/>
  <c r="AF3727" i="1"/>
  <c r="AD3727" i="1"/>
  <c r="A3727" i="1"/>
  <c r="AF3726" i="1"/>
  <c r="AD3726" i="1"/>
  <c r="A3726" i="1"/>
  <c r="AF3725" i="1"/>
  <c r="AD3725" i="1"/>
  <c r="A3725" i="1"/>
  <c r="AF3724" i="1"/>
  <c r="AD3724" i="1"/>
  <c r="A3724" i="1"/>
  <c r="AF3723" i="1"/>
  <c r="AD3723" i="1"/>
  <c r="A3723" i="1"/>
  <c r="AF3722" i="1"/>
  <c r="AD3722" i="1"/>
  <c r="A3722" i="1"/>
  <c r="AF3721" i="1"/>
  <c r="AD3721" i="1"/>
  <c r="A3721" i="1"/>
  <c r="AF3720" i="1"/>
  <c r="AD3720" i="1"/>
  <c r="A3720" i="1"/>
  <c r="AF3719" i="1"/>
  <c r="AD3719" i="1"/>
  <c r="A3719" i="1"/>
  <c r="AF3718" i="1"/>
  <c r="AD3718" i="1"/>
  <c r="A3718" i="1"/>
  <c r="AF3717" i="1"/>
  <c r="AD3717" i="1"/>
  <c r="A3717" i="1"/>
  <c r="AF3716" i="1"/>
  <c r="AD3716" i="1"/>
  <c r="A3716" i="1"/>
  <c r="AF3715" i="1"/>
  <c r="AD3715" i="1"/>
  <c r="A3715" i="1"/>
  <c r="AF3714" i="1"/>
  <c r="AD3714" i="1"/>
  <c r="A3714" i="1"/>
  <c r="AF3713" i="1"/>
  <c r="AD3713" i="1"/>
  <c r="A3713" i="1"/>
  <c r="AF3712" i="1"/>
  <c r="AD3712" i="1"/>
  <c r="A3712" i="1"/>
  <c r="AF3711" i="1"/>
  <c r="AD3711" i="1"/>
  <c r="A3711" i="1"/>
  <c r="AF3710" i="1"/>
  <c r="AD3710" i="1"/>
  <c r="A3710" i="1"/>
  <c r="AF3709" i="1"/>
  <c r="AD3709" i="1"/>
  <c r="A3709" i="1"/>
  <c r="AF3708" i="1"/>
  <c r="AD3708" i="1"/>
  <c r="A3708" i="1"/>
  <c r="AF3707" i="1"/>
  <c r="AD3707" i="1"/>
  <c r="A3707" i="1"/>
  <c r="AF3706" i="1"/>
  <c r="AD3706" i="1"/>
  <c r="A3706" i="1"/>
  <c r="AF3705" i="1"/>
  <c r="AD3705" i="1"/>
  <c r="A3705" i="1"/>
  <c r="AF3704" i="1"/>
  <c r="AD3704" i="1"/>
  <c r="A3704" i="1"/>
  <c r="AF3703" i="1"/>
  <c r="AD3703" i="1"/>
  <c r="A3703" i="1"/>
  <c r="AF3702" i="1"/>
  <c r="AD3702" i="1"/>
  <c r="A3702" i="1"/>
  <c r="AF3701" i="1"/>
  <c r="AD3701" i="1"/>
  <c r="A3701" i="1"/>
  <c r="AF3700" i="1"/>
  <c r="AD3700" i="1"/>
  <c r="A3700" i="1"/>
  <c r="AF3699" i="1"/>
  <c r="AD3699" i="1"/>
  <c r="A3699" i="1"/>
  <c r="AF3698" i="1"/>
  <c r="AD3698" i="1"/>
  <c r="A3698" i="1"/>
  <c r="AF3697" i="1"/>
  <c r="AD3697" i="1"/>
  <c r="A3697" i="1"/>
  <c r="AF3696" i="1"/>
  <c r="AD3696" i="1"/>
  <c r="A3696" i="1"/>
  <c r="AF3695" i="1"/>
  <c r="AD3695" i="1"/>
  <c r="A3695" i="1"/>
  <c r="AF3694" i="1"/>
  <c r="AD3694" i="1"/>
  <c r="A3694" i="1"/>
  <c r="AF3693" i="1"/>
  <c r="AD3693" i="1"/>
  <c r="A3693" i="1"/>
  <c r="AF3692" i="1"/>
  <c r="AD3692" i="1"/>
  <c r="A3692" i="1"/>
  <c r="AF3691" i="1"/>
  <c r="AD3691" i="1"/>
  <c r="A3691" i="1"/>
  <c r="AF3690" i="1"/>
  <c r="AD3690" i="1"/>
  <c r="A3690" i="1"/>
  <c r="AF3689" i="1"/>
  <c r="AD3689" i="1"/>
  <c r="A3689" i="1"/>
  <c r="AF3688" i="1"/>
  <c r="AD3688" i="1"/>
  <c r="A3688" i="1"/>
  <c r="AF3687" i="1"/>
  <c r="AD3687" i="1"/>
  <c r="A3687" i="1"/>
  <c r="AF3686" i="1"/>
  <c r="AD3686" i="1"/>
  <c r="A3686" i="1"/>
  <c r="AF3685" i="1"/>
  <c r="AD3685" i="1"/>
  <c r="A3685" i="1"/>
  <c r="AF3684" i="1"/>
  <c r="AD3684" i="1"/>
  <c r="A3684" i="1"/>
  <c r="AF3683" i="1"/>
  <c r="AD3683" i="1"/>
  <c r="A3683" i="1"/>
  <c r="AF3682" i="1"/>
  <c r="AD3682" i="1"/>
  <c r="A3682" i="1"/>
  <c r="AF3681" i="1"/>
  <c r="AD3681" i="1"/>
  <c r="A3681" i="1"/>
  <c r="AF3680" i="1"/>
  <c r="AD3680" i="1"/>
  <c r="A3680" i="1"/>
  <c r="AF3679" i="1"/>
  <c r="AD3679" i="1"/>
  <c r="A3679" i="1"/>
  <c r="AF3678" i="1"/>
  <c r="AD3678" i="1"/>
  <c r="A3678" i="1"/>
  <c r="AF3677" i="1"/>
  <c r="AD3677" i="1"/>
  <c r="A3677" i="1"/>
  <c r="AF3676" i="1"/>
  <c r="AD3676" i="1"/>
  <c r="A3676" i="1"/>
  <c r="AF3675" i="1"/>
  <c r="AD3675" i="1"/>
  <c r="A3675" i="1"/>
  <c r="AF3674" i="1"/>
  <c r="AD3674" i="1"/>
  <c r="A3674" i="1"/>
  <c r="AF3673" i="1"/>
  <c r="AD3673" i="1"/>
  <c r="A3673" i="1"/>
  <c r="AF3672" i="1"/>
  <c r="AD3672" i="1"/>
  <c r="A3672" i="1"/>
  <c r="AF3671" i="1"/>
  <c r="AD3671" i="1"/>
  <c r="A3671" i="1"/>
  <c r="AF3670" i="1"/>
  <c r="AD3670" i="1"/>
  <c r="A3670" i="1"/>
  <c r="AF3669" i="1"/>
  <c r="AD3669" i="1"/>
  <c r="A3669" i="1"/>
  <c r="AF3668" i="1"/>
  <c r="AD3668" i="1"/>
  <c r="A3668" i="1"/>
  <c r="AF3667" i="1"/>
  <c r="AD3667" i="1"/>
  <c r="A3667" i="1"/>
  <c r="AF3666" i="1"/>
  <c r="AD3666" i="1"/>
  <c r="A3666" i="1"/>
  <c r="AF3665" i="1"/>
  <c r="AD3665" i="1"/>
  <c r="A3665" i="1"/>
  <c r="AF3664" i="1"/>
  <c r="AD3664" i="1"/>
  <c r="A3664" i="1"/>
  <c r="AF3663" i="1"/>
  <c r="AD3663" i="1"/>
  <c r="A3663" i="1"/>
  <c r="AF3662" i="1"/>
  <c r="AD3662" i="1"/>
  <c r="A3662" i="1"/>
  <c r="AF3661" i="1"/>
  <c r="AD3661" i="1"/>
  <c r="A3661" i="1"/>
  <c r="AF3660" i="1"/>
  <c r="AD3660" i="1"/>
  <c r="A3660" i="1"/>
  <c r="AF3659" i="1"/>
  <c r="AD3659" i="1"/>
  <c r="A3659" i="1"/>
  <c r="AF3658" i="1"/>
  <c r="AD3658" i="1"/>
  <c r="A3658" i="1"/>
  <c r="AF3657" i="1"/>
  <c r="AD3657" i="1"/>
  <c r="A3657" i="1"/>
  <c r="AF3656" i="1"/>
  <c r="AD3656" i="1"/>
  <c r="A3656" i="1"/>
  <c r="AF3655" i="1"/>
  <c r="AD3655" i="1"/>
  <c r="A3655" i="1"/>
  <c r="AF3654" i="1"/>
  <c r="AD3654" i="1"/>
  <c r="A3654" i="1"/>
  <c r="AF3653" i="1"/>
  <c r="AD3653" i="1"/>
  <c r="A3653" i="1"/>
  <c r="AF3652" i="1"/>
  <c r="AD3652" i="1"/>
  <c r="A3652" i="1"/>
  <c r="AF3651" i="1"/>
  <c r="AD3651" i="1"/>
  <c r="A3651" i="1"/>
  <c r="AF3650" i="1"/>
  <c r="AD3650" i="1"/>
  <c r="A3650" i="1"/>
  <c r="AF3649" i="1"/>
  <c r="AD3649" i="1"/>
  <c r="A3649" i="1"/>
  <c r="AF3648" i="1"/>
  <c r="AD3648" i="1"/>
  <c r="A3648" i="1"/>
  <c r="AF3647" i="1"/>
  <c r="AD3647" i="1"/>
  <c r="A3647" i="1"/>
  <c r="AF3646" i="1"/>
  <c r="AD3646" i="1"/>
  <c r="A3646" i="1"/>
  <c r="AF3645" i="1"/>
  <c r="AD3645" i="1"/>
  <c r="A3645" i="1"/>
  <c r="AF3644" i="1"/>
  <c r="AD3644" i="1"/>
  <c r="A3644" i="1"/>
  <c r="AF3643" i="1"/>
  <c r="AD3643" i="1"/>
  <c r="A3643" i="1"/>
  <c r="AF3642" i="1"/>
  <c r="AD3642" i="1"/>
  <c r="A3642" i="1"/>
  <c r="AF3641" i="1"/>
  <c r="AD3641" i="1"/>
  <c r="A3641" i="1"/>
  <c r="AF3640" i="1"/>
  <c r="AD3640" i="1"/>
  <c r="A3640" i="1"/>
  <c r="AF3639" i="1"/>
  <c r="AD3639" i="1"/>
  <c r="A3639" i="1"/>
  <c r="AF3638" i="1"/>
  <c r="AD3638" i="1"/>
  <c r="A3638" i="1"/>
  <c r="AF3637" i="1"/>
  <c r="AD3637" i="1"/>
  <c r="A3637" i="1"/>
  <c r="AF3636" i="1"/>
  <c r="AD3636" i="1"/>
  <c r="A3636" i="1"/>
  <c r="AF3635" i="1"/>
  <c r="AD3635" i="1"/>
  <c r="A3635" i="1"/>
  <c r="AF3634" i="1"/>
  <c r="AD3634" i="1"/>
  <c r="A3634" i="1"/>
  <c r="AF3633" i="1"/>
  <c r="AD3633" i="1"/>
  <c r="A3633" i="1"/>
  <c r="AF3632" i="1"/>
  <c r="AD3632" i="1"/>
  <c r="A3632" i="1"/>
  <c r="AF3631" i="1"/>
  <c r="AD3631" i="1"/>
  <c r="A3631" i="1"/>
  <c r="AF3630" i="1"/>
  <c r="AD3630" i="1"/>
  <c r="A3630" i="1"/>
  <c r="AF3629" i="1"/>
  <c r="AD3629" i="1"/>
  <c r="A3629" i="1"/>
  <c r="AF3628" i="1"/>
  <c r="AD3628" i="1"/>
  <c r="A3628" i="1"/>
  <c r="AF3627" i="1"/>
  <c r="AD3627" i="1"/>
  <c r="A3627" i="1"/>
  <c r="AF3626" i="1"/>
  <c r="AD3626" i="1"/>
  <c r="A3626" i="1"/>
  <c r="AF3625" i="1"/>
  <c r="AD3625" i="1"/>
  <c r="A3625" i="1"/>
  <c r="AF3624" i="1"/>
  <c r="AD3624" i="1"/>
  <c r="A3624" i="1"/>
  <c r="AF3623" i="1"/>
  <c r="AD3623" i="1"/>
  <c r="A3623" i="1"/>
  <c r="AF3622" i="1"/>
  <c r="AD3622" i="1"/>
  <c r="A3622" i="1"/>
  <c r="AF3621" i="1"/>
  <c r="AD3621" i="1"/>
  <c r="A3621" i="1"/>
  <c r="AF3620" i="1"/>
  <c r="AD3620" i="1"/>
  <c r="A3620" i="1"/>
  <c r="AF3619" i="1"/>
  <c r="AD3619" i="1"/>
  <c r="A3619" i="1"/>
  <c r="AF3618" i="1"/>
  <c r="AD3618" i="1"/>
  <c r="A3618" i="1"/>
  <c r="AF3617" i="1"/>
  <c r="AD3617" i="1"/>
  <c r="A3617" i="1"/>
  <c r="AF3616" i="1"/>
  <c r="AD3616" i="1"/>
  <c r="A3616" i="1"/>
  <c r="AF3615" i="1"/>
  <c r="AD3615" i="1"/>
  <c r="A3615" i="1"/>
  <c r="AF3614" i="1"/>
  <c r="AD3614" i="1"/>
  <c r="A3614" i="1"/>
  <c r="AF3613" i="1"/>
  <c r="AD3613" i="1"/>
  <c r="A3613" i="1"/>
  <c r="AF3612" i="1"/>
  <c r="AD3612" i="1"/>
  <c r="A3612" i="1"/>
  <c r="AF3611" i="1"/>
  <c r="AD3611" i="1"/>
  <c r="A3611" i="1"/>
  <c r="AF3610" i="1"/>
  <c r="AD3610" i="1"/>
  <c r="A3610" i="1"/>
  <c r="AF3609" i="1"/>
  <c r="AD3609" i="1"/>
  <c r="A3609" i="1"/>
  <c r="AF3608" i="1"/>
  <c r="AD3608" i="1"/>
  <c r="A3608" i="1"/>
  <c r="AF3607" i="1"/>
  <c r="AD3607" i="1"/>
  <c r="A3607" i="1"/>
  <c r="AF3606" i="1"/>
  <c r="AD3606" i="1"/>
  <c r="A3606" i="1"/>
  <c r="AF3605" i="1"/>
  <c r="AD3605" i="1"/>
  <c r="A3605" i="1"/>
  <c r="AF3604" i="1"/>
  <c r="AD3604" i="1"/>
  <c r="A3604" i="1"/>
  <c r="AF3603" i="1"/>
  <c r="AD3603" i="1"/>
  <c r="A3603" i="1"/>
  <c r="AF3602" i="1"/>
  <c r="AD3602" i="1"/>
  <c r="A3602" i="1"/>
  <c r="AF3601" i="1"/>
  <c r="AD3601" i="1"/>
  <c r="A3601" i="1"/>
  <c r="AF3600" i="1"/>
  <c r="AD3600" i="1"/>
  <c r="A3600" i="1"/>
  <c r="AF3599" i="1"/>
  <c r="AD3599" i="1"/>
  <c r="A3599" i="1"/>
  <c r="AF3598" i="1"/>
  <c r="AD3598" i="1"/>
  <c r="A3598" i="1"/>
  <c r="AF3597" i="1"/>
  <c r="AD3597" i="1"/>
  <c r="A3597" i="1"/>
  <c r="AF3596" i="1"/>
  <c r="AD3596" i="1"/>
  <c r="A3596" i="1"/>
  <c r="AF3595" i="1"/>
  <c r="AD3595" i="1"/>
  <c r="A3595" i="1"/>
  <c r="AF3594" i="1"/>
  <c r="AD3594" i="1"/>
  <c r="A3594" i="1"/>
  <c r="AF3593" i="1"/>
  <c r="AD3593" i="1"/>
  <c r="A3593" i="1"/>
  <c r="AF3592" i="1"/>
  <c r="AD3592" i="1"/>
  <c r="A3592" i="1"/>
  <c r="AF3591" i="1"/>
  <c r="AD3591" i="1"/>
  <c r="A3591" i="1"/>
  <c r="AF3590" i="1"/>
  <c r="AD3590" i="1"/>
  <c r="A3590" i="1"/>
  <c r="AF3589" i="1"/>
  <c r="AD3589" i="1"/>
  <c r="A3589" i="1"/>
  <c r="AF3588" i="1"/>
  <c r="AD3588" i="1"/>
  <c r="A3588" i="1"/>
  <c r="AF3587" i="1"/>
  <c r="AD3587" i="1"/>
  <c r="A3587" i="1"/>
  <c r="AF3586" i="1"/>
  <c r="AD3586" i="1"/>
  <c r="A3586" i="1"/>
  <c r="AF3585" i="1"/>
  <c r="AD3585" i="1"/>
  <c r="A3585" i="1"/>
  <c r="AF3584" i="1"/>
  <c r="AD3584" i="1"/>
  <c r="A3584" i="1"/>
  <c r="AF3583" i="1"/>
  <c r="AD3583" i="1"/>
  <c r="A3583" i="1"/>
  <c r="AF3582" i="1"/>
  <c r="AD3582" i="1"/>
  <c r="A3582" i="1"/>
  <c r="AF3581" i="1"/>
  <c r="AD3581" i="1"/>
  <c r="A3581" i="1"/>
  <c r="AF3580" i="1"/>
  <c r="AD3580" i="1"/>
  <c r="A3580" i="1"/>
  <c r="AF3579" i="1"/>
  <c r="AD3579" i="1"/>
  <c r="A3579" i="1"/>
  <c r="AF3578" i="1"/>
  <c r="AD3578" i="1"/>
  <c r="A3578" i="1"/>
  <c r="AF3577" i="1"/>
  <c r="AD3577" i="1"/>
  <c r="A3577" i="1"/>
  <c r="AF3576" i="1"/>
  <c r="AD3576" i="1"/>
  <c r="A3576" i="1"/>
  <c r="AF3575" i="1"/>
  <c r="AD3575" i="1"/>
  <c r="A3575" i="1"/>
  <c r="AF3574" i="1"/>
  <c r="AD3574" i="1"/>
  <c r="A3574" i="1"/>
  <c r="AF3573" i="1"/>
  <c r="AD3573" i="1"/>
  <c r="A3573" i="1"/>
  <c r="AF3572" i="1"/>
  <c r="AD3572" i="1"/>
  <c r="A3572" i="1"/>
  <c r="AF3571" i="1"/>
  <c r="AD3571" i="1"/>
  <c r="A3571" i="1"/>
  <c r="AF3570" i="1"/>
  <c r="AD3570" i="1"/>
  <c r="A3570" i="1"/>
  <c r="AF3569" i="1"/>
  <c r="AD3569" i="1"/>
  <c r="A3569" i="1"/>
  <c r="AF3568" i="1"/>
  <c r="AD3568" i="1"/>
  <c r="A3568" i="1"/>
  <c r="AF3567" i="1"/>
  <c r="AD3567" i="1"/>
  <c r="A3567" i="1"/>
  <c r="AF3566" i="1"/>
  <c r="AD3566" i="1"/>
  <c r="A3566" i="1"/>
  <c r="AF3565" i="1"/>
  <c r="AD3565" i="1"/>
  <c r="A3565" i="1"/>
  <c r="AF3564" i="1"/>
  <c r="AD3564" i="1"/>
  <c r="A3564" i="1"/>
  <c r="AF3563" i="1"/>
  <c r="AD3563" i="1"/>
  <c r="A3563" i="1"/>
  <c r="AF3562" i="1"/>
  <c r="AD3562" i="1"/>
  <c r="A3562" i="1"/>
  <c r="AF3561" i="1"/>
  <c r="AD3561" i="1"/>
  <c r="A3561" i="1"/>
  <c r="AF3560" i="1"/>
  <c r="AD3560" i="1"/>
  <c r="A3560" i="1"/>
  <c r="AF3559" i="1"/>
  <c r="AD3559" i="1"/>
  <c r="A3559" i="1"/>
  <c r="AF3558" i="1"/>
  <c r="AD3558" i="1"/>
  <c r="A3558" i="1"/>
  <c r="AF3557" i="1"/>
  <c r="AD3557" i="1"/>
  <c r="A3557" i="1"/>
  <c r="AF3556" i="1"/>
  <c r="AD3556" i="1"/>
  <c r="A3556" i="1"/>
  <c r="AF3555" i="1"/>
  <c r="AD3555" i="1"/>
  <c r="A3555" i="1"/>
  <c r="AF3554" i="1"/>
  <c r="AD3554" i="1"/>
  <c r="A3554" i="1"/>
  <c r="AF3553" i="1"/>
  <c r="AD3553" i="1"/>
  <c r="A3553" i="1"/>
  <c r="AF3552" i="1"/>
  <c r="AD3552" i="1"/>
  <c r="A3552" i="1"/>
  <c r="AF3551" i="1"/>
  <c r="AD3551" i="1"/>
  <c r="A3551" i="1"/>
  <c r="AF3550" i="1"/>
  <c r="AD3550" i="1"/>
  <c r="A3550" i="1"/>
  <c r="AF3549" i="1"/>
  <c r="AD3549" i="1"/>
  <c r="A3549" i="1"/>
  <c r="AF3548" i="1"/>
  <c r="AD3548" i="1"/>
  <c r="A3548" i="1"/>
  <c r="AF3547" i="1"/>
  <c r="AD3547" i="1"/>
  <c r="A3547" i="1"/>
  <c r="AF3546" i="1"/>
  <c r="AD3546" i="1"/>
  <c r="A3546" i="1"/>
  <c r="AF3545" i="1"/>
  <c r="AD3545" i="1"/>
  <c r="A3545" i="1"/>
  <c r="AF3544" i="1"/>
  <c r="AD3544" i="1"/>
  <c r="A3544" i="1"/>
  <c r="AF3543" i="1"/>
  <c r="AD3543" i="1"/>
  <c r="A3543" i="1"/>
  <c r="AF3542" i="1"/>
  <c r="AD3542" i="1"/>
  <c r="A3542" i="1"/>
  <c r="AF3541" i="1"/>
  <c r="AD3541" i="1"/>
  <c r="A3541" i="1"/>
  <c r="AF3540" i="1"/>
  <c r="AD3540" i="1"/>
  <c r="A3540" i="1"/>
  <c r="AF3539" i="1"/>
  <c r="AD3539" i="1"/>
  <c r="A3539" i="1"/>
  <c r="AF3538" i="1"/>
  <c r="AD3538" i="1"/>
  <c r="A3538" i="1"/>
  <c r="AF3537" i="1"/>
  <c r="AD3537" i="1"/>
  <c r="A3537" i="1"/>
  <c r="AF3536" i="1"/>
  <c r="AD3536" i="1"/>
  <c r="A3536" i="1"/>
  <c r="AF3535" i="1"/>
  <c r="AD3535" i="1"/>
  <c r="A3535" i="1"/>
  <c r="AF3534" i="1"/>
  <c r="AD3534" i="1"/>
  <c r="A3534" i="1"/>
  <c r="AF3533" i="1"/>
  <c r="AD3533" i="1"/>
  <c r="A3533" i="1"/>
  <c r="AF3532" i="1"/>
  <c r="AD3532" i="1"/>
  <c r="A3532" i="1"/>
  <c r="AF3531" i="1"/>
  <c r="AD3531" i="1"/>
  <c r="A3531" i="1"/>
  <c r="AF3530" i="1"/>
  <c r="AD3530" i="1"/>
  <c r="A3530" i="1"/>
  <c r="AF3529" i="1"/>
  <c r="AD3529" i="1"/>
  <c r="A3529" i="1"/>
  <c r="AF3528" i="1"/>
  <c r="AD3528" i="1"/>
  <c r="A3528" i="1"/>
  <c r="AF3527" i="1"/>
  <c r="AD3527" i="1"/>
  <c r="A3527" i="1"/>
  <c r="AF3526" i="1"/>
  <c r="AD3526" i="1"/>
  <c r="A3526" i="1"/>
  <c r="AF3525" i="1"/>
  <c r="AD3525" i="1"/>
  <c r="A3525" i="1"/>
  <c r="AF3524" i="1"/>
  <c r="AD3524" i="1"/>
  <c r="A3524" i="1"/>
  <c r="AF3523" i="1"/>
  <c r="AD3523" i="1"/>
  <c r="A3523" i="1"/>
  <c r="AF3522" i="1"/>
  <c r="AD3522" i="1"/>
  <c r="A3522" i="1"/>
  <c r="AF3521" i="1"/>
  <c r="AD3521" i="1"/>
  <c r="A3521" i="1"/>
  <c r="AF3520" i="1"/>
  <c r="AD3520" i="1"/>
  <c r="A3520" i="1"/>
  <c r="AF3519" i="1"/>
  <c r="AD3519" i="1"/>
  <c r="A3519" i="1"/>
  <c r="AF3518" i="1"/>
  <c r="AD3518" i="1"/>
  <c r="A3518" i="1"/>
  <c r="AF3517" i="1"/>
  <c r="AD3517" i="1"/>
  <c r="A3517" i="1"/>
  <c r="AF3516" i="1"/>
  <c r="AD3516" i="1"/>
  <c r="A3516" i="1"/>
  <c r="AF3515" i="1"/>
  <c r="AD3515" i="1"/>
  <c r="A3515" i="1"/>
  <c r="AF3514" i="1"/>
  <c r="AD3514" i="1"/>
  <c r="A3514" i="1"/>
  <c r="AF3513" i="1"/>
  <c r="AD3513" i="1"/>
  <c r="A3513" i="1"/>
  <c r="AF3512" i="1"/>
  <c r="AD3512" i="1"/>
  <c r="A3512" i="1"/>
  <c r="AF3511" i="1"/>
  <c r="AD3511" i="1"/>
  <c r="A3511" i="1"/>
  <c r="AF3510" i="1"/>
  <c r="AD3510" i="1"/>
  <c r="A3510" i="1"/>
  <c r="AF3509" i="1"/>
  <c r="AD3509" i="1"/>
  <c r="A3509" i="1"/>
  <c r="AF3508" i="1"/>
  <c r="AD3508" i="1"/>
  <c r="A3508" i="1"/>
  <c r="AF3507" i="1"/>
  <c r="AD3507" i="1"/>
  <c r="A3507" i="1"/>
  <c r="AF3506" i="1"/>
  <c r="AD3506" i="1"/>
  <c r="A3506" i="1"/>
  <c r="AF3505" i="1"/>
  <c r="AD3505" i="1"/>
  <c r="A3505" i="1"/>
  <c r="AF3504" i="1"/>
  <c r="AD3504" i="1"/>
  <c r="A3504" i="1"/>
  <c r="AF3503" i="1"/>
  <c r="AD3503" i="1"/>
  <c r="A3503" i="1"/>
  <c r="AF3502" i="1"/>
  <c r="AD3502" i="1"/>
  <c r="A3502" i="1"/>
  <c r="AF3501" i="1"/>
  <c r="AD3501" i="1"/>
  <c r="A3501" i="1"/>
  <c r="AF3500" i="1"/>
  <c r="AD3500" i="1"/>
  <c r="A3500" i="1"/>
  <c r="AF3499" i="1"/>
  <c r="AD3499" i="1"/>
  <c r="A3499" i="1"/>
  <c r="AF3498" i="1"/>
  <c r="AD3498" i="1"/>
  <c r="A3498" i="1"/>
  <c r="AF3497" i="1"/>
  <c r="AD3497" i="1"/>
  <c r="A3497" i="1"/>
  <c r="AF3496" i="1"/>
  <c r="AD3496" i="1"/>
  <c r="A3496" i="1"/>
  <c r="AF3495" i="1"/>
  <c r="AD3495" i="1"/>
  <c r="A3495" i="1"/>
  <c r="AF3494" i="1"/>
  <c r="AD3494" i="1"/>
  <c r="A3494" i="1"/>
  <c r="AF3493" i="1"/>
  <c r="AD3493" i="1"/>
  <c r="A3493" i="1"/>
  <c r="AF3492" i="1"/>
  <c r="AD3492" i="1"/>
  <c r="A3492" i="1"/>
  <c r="AF3491" i="1"/>
  <c r="AD3491" i="1"/>
  <c r="A3491" i="1"/>
  <c r="AF3490" i="1"/>
  <c r="AD3490" i="1"/>
  <c r="A3490" i="1"/>
  <c r="AF3489" i="1"/>
  <c r="AD3489" i="1"/>
  <c r="A3489" i="1"/>
  <c r="AF3488" i="1"/>
  <c r="AD3488" i="1"/>
  <c r="A3488" i="1"/>
  <c r="AF3487" i="1"/>
  <c r="AD3487" i="1"/>
  <c r="A3487" i="1"/>
  <c r="AF3486" i="1"/>
  <c r="AD3486" i="1"/>
  <c r="A3486" i="1"/>
  <c r="AF3485" i="1"/>
  <c r="AD3485" i="1"/>
  <c r="A3485" i="1"/>
  <c r="AF3484" i="1"/>
  <c r="AD3484" i="1"/>
  <c r="A3484" i="1"/>
  <c r="AF3483" i="1"/>
  <c r="AD3483" i="1"/>
  <c r="A3483" i="1"/>
  <c r="AF3482" i="1"/>
  <c r="AD3482" i="1"/>
  <c r="A3482" i="1"/>
  <c r="AF3481" i="1"/>
  <c r="AD3481" i="1"/>
  <c r="A3481" i="1"/>
  <c r="AF3480" i="1"/>
  <c r="AD3480" i="1"/>
  <c r="A3480" i="1"/>
  <c r="AF3479" i="1"/>
  <c r="AD3479" i="1"/>
  <c r="A3479" i="1"/>
  <c r="AF3478" i="1"/>
  <c r="AD3478" i="1"/>
  <c r="A3478" i="1"/>
  <c r="AF3477" i="1"/>
  <c r="AD3477" i="1"/>
  <c r="A3477" i="1"/>
  <c r="AF3476" i="1"/>
  <c r="AD3476" i="1"/>
  <c r="A3476" i="1"/>
  <c r="AF3475" i="1"/>
  <c r="AD3475" i="1"/>
  <c r="A3475" i="1"/>
  <c r="AF3474" i="1"/>
  <c r="AD3474" i="1"/>
  <c r="A3474" i="1"/>
  <c r="AF3473" i="1"/>
  <c r="AD3473" i="1"/>
  <c r="A3473" i="1"/>
  <c r="AF3472" i="1"/>
  <c r="AD3472" i="1"/>
  <c r="A3472" i="1"/>
  <c r="AF3471" i="1"/>
  <c r="AD3471" i="1"/>
  <c r="A3471" i="1"/>
  <c r="AF3470" i="1"/>
  <c r="AD3470" i="1"/>
  <c r="A3470" i="1"/>
  <c r="AF3469" i="1"/>
  <c r="AD3469" i="1"/>
  <c r="A3469" i="1"/>
  <c r="AF3468" i="1"/>
  <c r="AD3468" i="1"/>
  <c r="A3468" i="1"/>
  <c r="AF3467" i="1"/>
  <c r="AD3467" i="1"/>
  <c r="A3467" i="1"/>
  <c r="AF3466" i="1"/>
  <c r="AD3466" i="1"/>
  <c r="A3466" i="1"/>
  <c r="AF3465" i="1"/>
  <c r="AD3465" i="1"/>
  <c r="A3465" i="1"/>
  <c r="AF3464" i="1"/>
  <c r="AD3464" i="1"/>
  <c r="A3464" i="1"/>
  <c r="AF3463" i="1"/>
  <c r="AD3463" i="1"/>
  <c r="A3463" i="1"/>
  <c r="AF3462" i="1"/>
  <c r="AD3462" i="1"/>
  <c r="A3462" i="1"/>
  <c r="AF3461" i="1"/>
  <c r="AD3461" i="1"/>
  <c r="A3461" i="1"/>
  <c r="AF3460" i="1"/>
  <c r="AD3460" i="1"/>
  <c r="A3460" i="1"/>
  <c r="AF3459" i="1"/>
  <c r="AD3459" i="1"/>
  <c r="A3459" i="1"/>
  <c r="AF3458" i="1"/>
  <c r="AD3458" i="1"/>
  <c r="A3458" i="1"/>
  <c r="AF3457" i="1"/>
  <c r="AD3457" i="1"/>
  <c r="A3457" i="1"/>
  <c r="AF3456" i="1"/>
  <c r="AD3456" i="1"/>
  <c r="A3456" i="1"/>
  <c r="AF3455" i="1"/>
  <c r="AD3455" i="1"/>
  <c r="A3455" i="1"/>
  <c r="AF3454" i="1"/>
  <c r="AD3454" i="1"/>
  <c r="A3454" i="1"/>
  <c r="AF3453" i="1"/>
  <c r="AD3453" i="1"/>
  <c r="A3453" i="1"/>
  <c r="AF3452" i="1"/>
  <c r="AD3452" i="1"/>
  <c r="A3452" i="1"/>
  <c r="AF3451" i="1"/>
  <c r="AD3451" i="1"/>
  <c r="A3451" i="1"/>
  <c r="AF3450" i="1"/>
  <c r="AD3450" i="1"/>
  <c r="A3450" i="1"/>
  <c r="AF3449" i="1"/>
  <c r="AD3449" i="1"/>
  <c r="A3449" i="1"/>
  <c r="AF3448" i="1"/>
  <c r="AD3448" i="1"/>
  <c r="A3448" i="1"/>
  <c r="AF3447" i="1"/>
  <c r="AD3447" i="1"/>
  <c r="A3447" i="1"/>
  <c r="AF3446" i="1"/>
  <c r="AD3446" i="1"/>
  <c r="A3446" i="1"/>
  <c r="AF3445" i="1"/>
  <c r="AD3445" i="1"/>
  <c r="A3445" i="1"/>
  <c r="AF3444" i="1"/>
  <c r="AD3444" i="1"/>
  <c r="A3444" i="1"/>
  <c r="AF3443" i="1"/>
  <c r="AD3443" i="1"/>
  <c r="A3443" i="1"/>
  <c r="AF3442" i="1"/>
  <c r="AD3442" i="1"/>
  <c r="A3442" i="1"/>
  <c r="AF3441" i="1"/>
  <c r="AD3441" i="1"/>
  <c r="A3441" i="1"/>
  <c r="AF3440" i="1"/>
  <c r="AD3440" i="1"/>
  <c r="A3440" i="1"/>
  <c r="AF3439" i="1"/>
  <c r="AD3439" i="1"/>
  <c r="A3439" i="1"/>
  <c r="AF3438" i="1"/>
  <c r="AD3438" i="1"/>
  <c r="A3438" i="1"/>
  <c r="AF3437" i="1"/>
  <c r="AD3437" i="1"/>
  <c r="A3437" i="1"/>
  <c r="AF3436" i="1"/>
  <c r="AD3436" i="1"/>
  <c r="A3436" i="1"/>
  <c r="AF3435" i="1"/>
  <c r="AD3435" i="1"/>
  <c r="A3435" i="1"/>
  <c r="AF3434" i="1"/>
  <c r="AD3434" i="1"/>
  <c r="A3434" i="1"/>
  <c r="AF3433" i="1"/>
  <c r="AD3433" i="1"/>
  <c r="A3433" i="1"/>
  <c r="AF3432" i="1"/>
  <c r="AD3432" i="1"/>
  <c r="A3432" i="1"/>
  <c r="AF3431" i="1"/>
  <c r="AD3431" i="1"/>
  <c r="A3431" i="1"/>
  <c r="AF3430" i="1"/>
  <c r="AD3430" i="1"/>
  <c r="A3430" i="1"/>
  <c r="AF3429" i="1"/>
  <c r="AD3429" i="1"/>
  <c r="A3429" i="1"/>
  <c r="AF3428" i="1"/>
  <c r="AD3428" i="1"/>
  <c r="A3428" i="1"/>
  <c r="AF3427" i="1"/>
  <c r="AD3427" i="1"/>
  <c r="A3427" i="1"/>
  <c r="AF3426" i="1"/>
  <c r="AD3426" i="1"/>
  <c r="A3426" i="1"/>
  <c r="AF3425" i="1"/>
  <c r="AD3425" i="1"/>
  <c r="A3425" i="1"/>
  <c r="AF3424" i="1"/>
  <c r="AD3424" i="1"/>
  <c r="A3424" i="1"/>
  <c r="AF3423" i="1"/>
  <c r="AD3423" i="1"/>
  <c r="A3423" i="1"/>
  <c r="AF3422" i="1"/>
  <c r="AD3422" i="1"/>
  <c r="A3422" i="1"/>
  <c r="AF3421" i="1"/>
  <c r="AD3421" i="1"/>
  <c r="A3421" i="1"/>
  <c r="AF3420" i="1"/>
  <c r="AD3420" i="1"/>
  <c r="A3420" i="1"/>
  <c r="AF3419" i="1"/>
  <c r="AD3419" i="1"/>
  <c r="A3419" i="1"/>
  <c r="AF3418" i="1"/>
  <c r="AD3418" i="1"/>
  <c r="A3418" i="1"/>
  <c r="AF3417" i="1"/>
  <c r="AD3417" i="1"/>
  <c r="A3417" i="1"/>
  <c r="AF3416" i="1"/>
  <c r="AD3416" i="1"/>
  <c r="A3416" i="1"/>
  <c r="AF3415" i="1"/>
  <c r="AD3415" i="1"/>
  <c r="A3415" i="1"/>
  <c r="AF3414" i="1"/>
  <c r="AD3414" i="1"/>
  <c r="A3414" i="1"/>
  <c r="AF3413" i="1"/>
  <c r="AD3413" i="1"/>
  <c r="A3413" i="1"/>
  <c r="AF3412" i="1"/>
  <c r="AD3412" i="1"/>
  <c r="A3412" i="1"/>
  <c r="AF3411" i="1"/>
  <c r="AD3411" i="1"/>
  <c r="A3411" i="1"/>
  <c r="AF3410" i="1"/>
  <c r="AD3410" i="1"/>
  <c r="A3410" i="1"/>
  <c r="AF3409" i="1"/>
  <c r="AD3409" i="1"/>
  <c r="A3409" i="1"/>
  <c r="AF3408" i="1"/>
  <c r="AD3408" i="1"/>
  <c r="A3408" i="1"/>
  <c r="AF3407" i="1"/>
  <c r="AD3407" i="1"/>
  <c r="A3407" i="1"/>
  <c r="AF3406" i="1"/>
  <c r="AD3406" i="1"/>
  <c r="A3406" i="1"/>
  <c r="AF3405" i="1"/>
  <c r="AD3405" i="1"/>
  <c r="A3405" i="1"/>
  <c r="AF3404" i="1"/>
  <c r="AD3404" i="1"/>
  <c r="A3404" i="1"/>
  <c r="AF3403" i="1"/>
  <c r="AD3403" i="1"/>
  <c r="A3403" i="1"/>
  <c r="AF3402" i="1"/>
  <c r="AD3402" i="1"/>
  <c r="A3402" i="1"/>
  <c r="AF3401" i="1"/>
  <c r="AD3401" i="1"/>
  <c r="A3401" i="1"/>
  <c r="AF3400" i="1"/>
  <c r="AD3400" i="1"/>
  <c r="A3400" i="1"/>
  <c r="AF3399" i="1"/>
  <c r="AD3399" i="1"/>
  <c r="A3399" i="1"/>
  <c r="AF3398" i="1"/>
  <c r="AD3398" i="1"/>
  <c r="A3398" i="1"/>
  <c r="AF3397" i="1"/>
  <c r="AD3397" i="1"/>
  <c r="A3397" i="1"/>
  <c r="AF3396" i="1"/>
  <c r="AD3396" i="1"/>
  <c r="A3396" i="1"/>
  <c r="AF3395" i="1"/>
  <c r="AD3395" i="1"/>
  <c r="A3395" i="1"/>
  <c r="AF3394" i="1"/>
  <c r="AD3394" i="1"/>
  <c r="A3394" i="1"/>
  <c r="AF3393" i="1"/>
  <c r="AD3393" i="1"/>
  <c r="A3393" i="1"/>
  <c r="AF3392" i="1"/>
  <c r="AD3392" i="1"/>
  <c r="A3392" i="1"/>
  <c r="AF3391" i="1"/>
  <c r="AD3391" i="1"/>
  <c r="A3391" i="1"/>
  <c r="AF3390" i="1"/>
  <c r="AD3390" i="1"/>
  <c r="A3390" i="1"/>
  <c r="AF3389" i="1"/>
  <c r="AD3389" i="1"/>
  <c r="A3389" i="1"/>
  <c r="AF3388" i="1"/>
  <c r="AD3388" i="1"/>
  <c r="A3388" i="1"/>
  <c r="AF3387" i="1"/>
  <c r="AD3387" i="1"/>
  <c r="A3387" i="1"/>
  <c r="AF3386" i="1"/>
  <c r="AD3386" i="1"/>
  <c r="A3386" i="1"/>
  <c r="AF3385" i="1"/>
  <c r="AD3385" i="1"/>
  <c r="A3385" i="1"/>
  <c r="AF3384" i="1"/>
  <c r="AD3384" i="1"/>
  <c r="A3384" i="1"/>
  <c r="AF3383" i="1"/>
  <c r="AD3383" i="1"/>
  <c r="A3383" i="1"/>
  <c r="AF3382" i="1"/>
  <c r="AD3382" i="1"/>
  <c r="A3382" i="1"/>
  <c r="AF3381" i="1"/>
  <c r="AD3381" i="1"/>
  <c r="A3381" i="1"/>
  <c r="AF3380" i="1"/>
  <c r="AD3380" i="1"/>
  <c r="A3380" i="1"/>
  <c r="AF3379" i="1"/>
  <c r="AD3379" i="1"/>
  <c r="A3379" i="1"/>
  <c r="AF3378" i="1"/>
  <c r="AD3378" i="1"/>
  <c r="A3378" i="1"/>
  <c r="AF3377" i="1"/>
  <c r="AD3377" i="1"/>
  <c r="A3377" i="1"/>
  <c r="AF3376" i="1"/>
  <c r="AD3376" i="1"/>
  <c r="A3376" i="1"/>
  <c r="AF3375" i="1"/>
  <c r="AD3375" i="1"/>
  <c r="A3375" i="1"/>
  <c r="AF3374" i="1"/>
  <c r="AD3374" i="1"/>
  <c r="A3374" i="1"/>
  <c r="AF3373" i="1"/>
  <c r="AD3373" i="1"/>
  <c r="A3373" i="1"/>
  <c r="AF3372" i="1"/>
  <c r="AD3372" i="1"/>
  <c r="A3372" i="1"/>
  <c r="AF3371" i="1"/>
  <c r="AD3371" i="1"/>
  <c r="A3371" i="1"/>
  <c r="AF3370" i="1"/>
  <c r="AD3370" i="1"/>
  <c r="A3370" i="1"/>
  <c r="AF3369" i="1"/>
  <c r="AD3369" i="1"/>
  <c r="A3369" i="1"/>
  <c r="AF3368" i="1"/>
  <c r="AD3368" i="1"/>
  <c r="A3368" i="1"/>
  <c r="AF3367" i="1"/>
  <c r="AD3367" i="1"/>
  <c r="A3367" i="1"/>
  <c r="AF3366" i="1"/>
  <c r="AD3366" i="1"/>
  <c r="A3366" i="1"/>
  <c r="AF3365" i="1"/>
  <c r="AD3365" i="1"/>
  <c r="A3365" i="1"/>
  <c r="AF3364" i="1"/>
  <c r="AD3364" i="1"/>
  <c r="A3364" i="1"/>
  <c r="AF3363" i="1"/>
  <c r="AD3363" i="1"/>
  <c r="A3363" i="1"/>
  <c r="AF3362" i="1"/>
  <c r="AD3362" i="1"/>
  <c r="A3362" i="1"/>
  <c r="AF3361" i="1"/>
  <c r="AD3361" i="1"/>
  <c r="A3361" i="1"/>
  <c r="AF3360" i="1"/>
  <c r="AD3360" i="1"/>
  <c r="A3360" i="1"/>
  <c r="AF3359" i="1"/>
  <c r="AD3359" i="1"/>
  <c r="A3359" i="1"/>
  <c r="AF3358" i="1"/>
  <c r="AD3358" i="1"/>
  <c r="A3358" i="1"/>
  <c r="AF3357" i="1"/>
  <c r="AD3357" i="1"/>
  <c r="A3357" i="1"/>
  <c r="AF3356" i="1"/>
  <c r="AD3356" i="1"/>
  <c r="A3356" i="1"/>
  <c r="AF3355" i="1"/>
  <c r="AD3355" i="1"/>
  <c r="A3355" i="1"/>
  <c r="AF3354" i="1"/>
  <c r="AD3354" i="1"/>
  <c r="A3354" i="1"/>
  <c r="AF3353" i="1"/>
  <c r="AD3353" i="1"/>
  <c r="A3353" i="1"/>
  <c r="AF3352" i="1"/>
  <c r="AD3352" i="1"/>
  <c r="A3352" i="1"/>
  <c r="AF3351" i="1"/>
  <c r="AD3351" i="1"/>
  <c r="A3351" i="1"/>
  <c r="AF3350" i="1"/>
  <c r="AD3350" i="1"/>
  <c r="A3350" i="1"/>
  <c r="AF3349" i="1"/>
  <c r="AD3349" i="1"/>
  <c r="A3349" i="1"/>
  <c r="AF3348" i="1"/>
  <c r="AD3348" i="1"/>
  <c r="A3348" i="1"/>
  <c r="AF3347" i="1"/>
  <c r="AD3347" i="1"/>
  <c r="A3347" i="1"/>
  <c r="AF3346" i="1"/>
  <c r="AD3346" i="1"/>
  <c r="A3346" i="1"/>
  <c r="AF3345" i="1"/>
  <c r="AD3345" i="1"/>
  <c r="A3345" i="1"/>
  <c r="AF3344" i="1"/>
  <c r="AD3344" i="1"/>
  <c r="A3344" i="1"/>
  <c r="AF3343" i="1"/>
  <c r="AD3343" i="1"/>
  <c r="A3343" i="1"/>
  <c r="AF3342" i="1"/>
  <c r="AD3342" i="1"/>
  <c r="A3342" i="1"/>
  <c r="AF3341" i="1"/>
  <c r="AD3341" i="1"/>
  <c r="A3341" i="1"/>
  <c r="AF3340" i="1"/>
  <c r="AD3340" i="1"/>
  <c r="A3340" i="1"/>
  <c r="AF3339" i="1"/>
  <c r="AD3339" i="1"/>
  <c r="A3339" i="1"/>
  <c r="AF3338" i="1"/>
  <c r="AD3338" i="1"/>
  <c r="A3338" i="1"/>
  <c r="AF3337" i="1"/>
  <c r="AD3337" i="1"/>
  <c r="A3337" i="1"/>
  <c r="AF3336" i="1"/>
  <c r="AD3336" i="1"/>
  <c r="A3336" i="1"/>
  <c r="AF3335" i="1"/>
  <c r="AD3335" i="1"/>
  <c r="A3335" i="1"/>
  <c r="AF3334" i="1"/>
  <c r="AD3334" i="1"/>
  <c r="A3334" i="1"/>
  <c r="AF3333" i="1"/>
  <c r="AD3333" i="1"/>
  <c r="A3333" i="1"/>
  <c r="AF3332" i="1"/>
  <c r="AD3332" i="1"/>
  <c r="A3332" i="1"/>
  <c r="AF3331" i="1"/>
  <c r="AD3331" i="1"/>
  <c r="A3331" i="1"/>
  <c r="AF3330" i="1"/>
  <c r="AD3330" i="1"/>
  <c r="A3330" i="1"/>
  <c r="AF3329" i="1"/>
  <c r="AD3329" i="1"/>
  <c r="A3329" i="1"/>
  <c r="AF3328" i="1"/>
  <c r="AD3328" i="1"/>
  <c r="A3328" i="1"/>
  <c r="AF3327" i="1"/>
  <c r="AD3327" i="1"/>
  <c r="A3327" i="1"/>
  <c r="AF3326" i="1"/>
  <c r="AD3326" i="1"/>
  <c r="A3326" i="1"/>
  <c r="AF3325" i="1"/>
  <c r="AD3325" i="1"/>
  <c r="A3325" i="1"/>
  <c r="AF3324" i="1"/>
  <c r="AD3324" i="1"/>
  <c r="A3324" i="1"/>
  <c r="AF3323" i="1"/>
  <c r="AD3323" i="1"/>
  <c r="A3323" i="1"/>
  <c r="AF3322" i="1"/>
  <c r="AD3322" i="1"/>
  <c r="A3322" i="1"/>
  <c r="AF3321" i="1"/>
  <c r="AD3321" i="1"/>
  <c r="A3321" i="1"/>
  <c r="AF3320" i="1"/>
  <c r="AD3320" i="1"/>
  <c r="A3320" i="1"/>
  <c r="AF3319" i="1"/>
  <c r="AD3319" i="1"/>
  <c r="A3319" i="1"/>
  <c r="AF3318" i="1"/>
  <c r="AD3318" i="1"/>
  <c r="A3318" i="1"/>
  <c r="AF3317" i="1"/>
  <c r="AD3317" i="1"/>
  <c r="A3317" i="1"/>
  <c r="AF3316" i="1"/>
  <c r="AD3316" i="1"/>
  <c r="A3316" i="1"/>
  <c r="AF3315" i="1"/>
  <c r="AD3315" i="1"/>
  <c r="A3315" i="1"/>
  <c r="AF3314" i="1"/>
  <c r="AD3314" i="1"/>
  <c r="A3314" i="1"/>
  <c r="AF3313" i="1"/>
  <c r="AD3313" i="1"/>
  <c r="A3313" i="1"/>
  <c r="AF3312" i="1"/>
  <c r="AD3312" i="1"/>
  <c r="A3312" i="1"/>
  <c r="AF3311" i="1"/>
  <c r="AD3311" i="1"/>
  <c r="A3311" i="1"/>
  <c r="AF3310" i="1"/>
  <c r="AD3310" i="1"/>
  <c r="A3310" i="1"/>
  <c r="AF3309" i="1"/>
  <c r="AD3309" i="1"/>
  <c r="A3309" i="1"/>
  <c r="AF3308" i="1"/>
  <c r="AD3308" i="1"/>
  <c r="A3308" i="1"/>
  <c r="AF3307" i="1"/>
  <c r="AD3307" i="1"/>
  <c r="A3307" i="1"/>
  <c r="AF3306" i="1"/>
  <c r="AD3306" i="1"/>
  <c r="A3306" i="1"/>
  <c r="AF3305" i="1"/>
  <c r="AD3305" i="1"/>
  <c r="A3305" i="1"/>
  <c r="AF3304" i="1"/>
  <c r="AD3304" i="1"/>
  <c r="A3304" i="1"/>
  <c r="AF3303" i="1"/>
  <c r="AD3303" i="1"/>
  <c r="A3303" i="1"/>
  <c r="AF3302" i="1"/>
  <c r="AD3302" i="1"/>
  <c r="A3302" i="1"/>
  <c r="AF3301" i="1"/>
  <c r="AD3301" i="1"/>
  <c r="A3301" i="1"/>
  <c r="AF3300" i="1"/>
  <c r="AD3300" i="1"/>
  <c r="A3300" i="1"/>
  <c r="AF3299" i="1"/>
  <c r="AD3299" i="1"/>
  <c r="A3299" i="1"/>
  <c r="AF3298" i="1"/>
  <c r="AD3298" i="1"/>
  <c r="A3298" i="1"/>
  <c r="AF3297" i="1"/>
  <c r="AD3297" i="1"/>
  <c r="A3297" i="1"/>
  <c r="AF3296" i="1"/>
  <c r="AD3296" i="1"/>
  <c r="A3296" i="1"/>
  <c r="AF3295" i="1"/>
  <c r="AD3295" i="1"/>
  <c r="A3295" i="1"/>
  <c r="AF3294" i="1"/>
  <c r="AD3294" i="1"/>
  <c r="A3294" i="1"/>
  <c r="AF3293" i="1"/>
  <c r="AD3293" i="1"/>
  <c r="A3293" i="1"/>
  <c r="AF3292" i="1"/>
  <c r="AD3292" i="1"/>
  <c r="A3292" i="1"/>
  <c r="AF3291" i="1"/>
  <c r="AD3291" i="1"/>
  <c r="A3291" i="1"/>
  <c r="AF3290" i="1"/>
  <c r="AD3290" i="1"/>
  <c r="A3290" i="1"/>
  <c r="AF3289" i="1"/>
  <c r="AD3289" i="1"/>
  <c r="A3289" i="1"/>
  <c r="AF3288" i="1"/>
  <c r="AD3288" i="1"/>
  <c r="A3288" i="1"/>
  <c r="AF3287" i="1"/>
  <c r="AD3287" i="1"/>
  <c r="A3287" i="1"/>
  <c r="AF3286" i="1"/>
  <c r="AD3286" i="1"/>
  <c r="A3286" i="1"/>
  <c r="AF3285" i="1"/>
  <c r="AD3285" i="1"/>
  <c r="A3285" i="1"/>
  <c r="AF3284" i="1"/>
  <c r="AD3284" i="1"/>
  <c r="A3284" i="1"/>
  <c r="AF3283" i="1"/>
  <c r="AD3283" i="1"/>
  <c r="A3283" i="1"/>
  <c r="AF3282" i="1"/>
  <c r="AD3282" i="1"/>
  <c r="A3282" i="1"/>
  <c r="AF3281" i="1"/>
  <c r="AD3281" i="1"/>
  <c r="A3281" i="1"/>
  <c r="AF3280" i="1"/>
  <c r="AD3280" i="1"/>
  <c r="A3280" i="1"/>
  <c r="AF3279" i="1"/>
  <c r="AD3279" i="1"/>
  <c r="A3279" i="1"/>
  <c r="AF3278" i="1"/>
  <c r="AD3278" i="1"/>
  <c r="A3278" i="1"/>
  <c r="AF3277" i="1"/>
  <c r="AD3277" i="1"/>
  <c r="A3277" i="1"/>
  <c r="AF3276" i="1"/>
  <c r="AD3276" i="1"/>
  <c r="A3276" i="1"/>
  <c r="AF3275" i="1"/>
  <c r="AD3275" i="1"/>
  <c r="A3275" i="1"/>
  <c r="AF3274" i="1"/>
  <c r="AD3274" i="1"/>
  <c r="A3274" i="1"/>
  <c r="AF3273" i="1"/>
  <c r="AD3273" i="1"/>
  <c r="A3273" i="1"/>
  <c r="AF3272" i="1"/>
  <c r="AD3272" i="1"/>
  <c r="A3272" i="1"/>
  <c r="AF3271" i="1"/>
  <c r="AD3271" i="1"/>
  <c r="A3271" i="1"/>
  <c r="AF3270" i="1"/>
  <c r="AD3270" i="1"/>
  <c r="A3270" i="1"/>
  <c r="AF3269" i="1"/>
  <c r="AD3269" i="1"/>
  <c r="A3269" i="1"/>
  <c r="AF3268" i="1"/>
  <c r="AD3268" i="1"/>
  <c r="A3268" i="1"/>
  <c r="AF3267" i="1"/>
  <c r="AD3267" i="1"/>
  <c r="A3267" i="1"/>
  <c r="AF3266" i="1"/>
  <c r="AD3266" i="1"/>
  <c r="A3266" i="1"/>
  <c r="AF3265" i="1"/>
  <c r="AD3265" i="1"/>
  <c r="A3265" i="1"/>
  <c r="AF3264" i="1"/>
  <c r="AD3264" i="1"/>
  <c r="A3264" i="1"/>
  <c r="AF3263" i="1"/>
  <c r="AD3263" i="1"/>
  <c r="A3263" i="1"/>
  <c r="AF3262" i="1"/>
  <c r="AD3262" i="1"/>
  <c r="A3262" i="1"/>
  <c r="AF3261" i="1"/>
  <c r="AD3261" i="1"/>
  <c r="A3261" i="1"/>
  <c r="AF3260" i="1"/>
  <c r="AD3260" i="1"/>
  <c r="A3260" i="1"/>
  <c r="AF3259" i="1"/>
  <c r="AD3259" i="1"/>
  <c r="A3259" i="1"/>
  <c r="AF3258" i="1"/>
  <c r="AD3258" i="1"/>
  <c r="A3258" i="1"/>
  <c r="AF3257" i="1"/>
  <c r="AD3257" i="1"/>
  <c r="A3257" i="1"/>
  <c r="AF3256" i="1"/>
  <c r="AD3256" i="1"/>
  <c r="A3256" i="1"/>
  <c r="AF3255" i="1"/>
  <c r="AD3255" i="1"/>
  <c r="A3255" i="1"/>
  <c r="AF3254" i="1"/>
  <c r="AD3254" i="1"/>
  <c r="A3254" i="1"/>
  <c r="AF3253" i="1"/>
  <c r="AD3253" i="1"/>
  <c r="A3253" i="1"/>
  <c r="AF3252" i="1"/>
  <c r="AD3252" i="1"/>
  <c r="A3252" i="1"/>
  <c r="AF3251" i="1"/>
  <c r="AD3251" i="1"/>
  <c r="A3251" i="1"/>
  <c r="AF3250" i="1"/>
  <c r="AD3250" i="1"/>
  <c r="A3250" i="1"/>
  <c r="AF3249" i="1"/>
  <c r="AD3249" i="1"/>
  <c r="A3249" i="1"/>
  <c r="AF3248" i="1"/>
  <c r="AD3248" i="1"/>
  <c r="A3248" i="1"/>
  <c r="AF3247" i="1"/>
  <c r="AD3247" i="1"/>
  <c r="A3247" i="1"/>
  <c r="AF3246" i="1"/>
  <c r="AD3246" i="1"/>
  <c r="A3246" i="1"/>
  <c r="AF3245" i="1"/>
  <c r="AD3245" i="1"/>
  <c r="A3245" i="1"/>
  <c r="AF3244" i="1"/>
  <c r="AD3244" i="1"/>
  <c r="A3244" i="1"/>
  <c r="AF3243" i="1"/>
  <c r="AD3243" i="1"/>
  <c r="A3243" i="1"/>
  <c r="AF3242" i="1"/>
  <c r="AD3242" i="1"/>
  <c r="A3242" i="1"/>
  <c r="AF3241" i="1"/>
  <c r="AD3241" i="1"/>
  <c r="A3241" i="1"/>
  <c r="AF3240" i="1"/>
  <c r="AD3240" i="1"/>
  <c r="A3240" i="1"/>
  <c r="AF3239" i="1"/>
  <c r="AD3239" i="1"/>
  <c r="A3239" i="1"/>
  <c r="AF3238" i="1"/>
  <c r="AD3238" i="1"/>
  <c r="A3238" i="1"/>
  <c r="AF3237" i="1"/>
  <c r="AD3237" i="1"/>
  <c r="A3237" i="1"/>
  <c r="AF3236" i="1"/>
  <c r="AD3236" i="1"/>
  <c r="A3236" i="1"/>
  <c r="AF3235" i="1"/>
  <c r="AD3235" i="1"/>
  <c r="A3235" i="1"/>
  <c r="AF3234" i="1"/>
  <c r="AD3234" i="1"/>
  <c r="A3234" i="1"/>
  <c r="AF3233" i="1"/>
  <c r="AD3233" i="1"/>
  <c r="A3233" i="1"/>
  <c r="AF3232" i="1"/>
  <c r="AD3232" i="1"/>
  <c r="A3232" i="1"/>
  <c r="AF3231" i="1"/>
  <c r="AD3231" i="1"/>
  <c r="A3231" i="1"/>
  <c r="AF3230" i="1"/>
  <c r="AD3230" i="1"/>
  <c r="A3230" i="1"/>
  <c r="AF3229" i="1"/>
  <c r="AD3229" i="1"/>
  <c r="A3229" i="1"/>
  <c r="AF3228" i="1"/>
  <c r="AD3228" i="1"/>
  <c r="A3228" i="1"/>
  <c r="AF3227" i="1"/>
  <c r="AD3227" i="1"/>
  <c r="A3227" i="1"/>
  <c r="AF3226" i="1"/>
  <c r="AD3226" i="1"/>
  <c r="A3226" i="1"/>
  <c r="AF3225" i="1"/>
  <c r="AD3225" i="1"/>
  <c r="A3225" i="1"/>
  <c r="AF3224" i="1"/>
  <c r="AD3224" i="1"/>
  <c r="A3224" i="1"/>
  <c r="AF3223" i="1"/>
  <c r="AD3223" i="1"/>
  <c r="A3223" i="1"/>
  <c r="AF3222" i="1"/>
  <c r="AD3222" i="1"/>
  <c r="A3222" i="1"/>
  <c r="AF3221" i="1"/>
  <c r="AD3221" i="1"/>
  <c r="A3221" i="1"/>
  <c r="AF3220" i="1"/>
  <c r="AD3220" i="1"/>
  <c r="A3220" i="1"/>
  <c r="AF3219" i="1"/>
  <c r="AD3219" i="1"/>
  <c r="A3219" i="1"/>
  <c r="AF3218" i="1"/>
  <c r="AD3218" i="1"/>
  <c r="A3218" i="1"/>
  <c r="AF3217" i="1"/>
  <c r="AD3217" i="1"/>
  <c r="A3217" i="1"/>
  <c r="AF3216" i="1"/>
  <c r="AD3216" i="1"/>
  <c r="A3216" i="1"/>
  <c r="AF3215" i="1"/>
  <c r="AD3215" i="1"/>
  <c r="A3215" i="1"/>
  <c r="AF3214" i="1"/>
  <c r="AD3214" i="1"/>
  <c r="A3214" i="1"/>
  <c r="AF3213" i="1"/>
  <c r="AD3213" i="1"/>
  <c r="A3213" i="1"/>
  <c r="AF3212" i="1"/>
  <c r="AD3212" i="1"/>
  <c r="A3212" i="1"/>
  <c r="AF3211" i="1"/>
  <c r="AD3211" i="1"/>
  <c r="A3211" i="1"/>
  <c r="AF3210" i="1"/>
  <c r="AD3210" i="1"/>
  <c r="A3210" i="1"/>
  <c r="AF3209" i="1"/>
  <c r="AD3209" i="1"/>
  <c r="A3209" i="1"/>
  <c r="AF3208" i="1"/>
  <c r="AD3208" i="1"/>
  <c r="A3208" i="1"/>
  <c r="AF3207" i="1"/>
  <c r="AD3207" i="1"/>
  <c r="A3207" i="1"/>
  <c r="AF3206" i="1"/>
  <c r="AD3206" i="1"/>
  <c r="A3206" i="1"/>
  <c r="AF3205" i="1"/>
  <c r="AD3205" i="1"/>
  <c r="A3205" i="1"/>
  <c r="AF3204" i="1"/>
  <c r="AD3204" i="1"/>
  <c r="A3204" i="1"/>
  <c r="AF3203" i="1"/>
  <c r="AD3203" i="1"/>
  <c r="A3203" i="1"/>
  <c r="AF3202" i="1"/>
  <c r="AD3202" i="1"/>
  <c r="A3202" i="1"/>
  <c r="AF3201" i="1"/>
  <c r="AD3201" i="1"/>
  <c r="A3201" i="1"/>
  <c r="AF3200" i="1"/>
  <c r="AD3200" i="1"/>
  <c r="A3200" i="1"/>
  <c r="AF3199" i="1"/>
  <c r="AD3199" i="1"/>
  <c r="A3199" i="1"/>
  <c r="AF3198" i="1"/>
  <c r="AD3198" i="1"/>
  <c r="A3198" i="1"/>
  <c r="AF3197" i="1"/>
  <c r="AD3197" i="1"/>
  <c r="A3197" i="1"/>
  <c r="AF3196" i="1"/>
  <c r="AD3196" i="1"/>
  <c r="A3196" i="1"/>
  <c r="AF3195" i="1"/>
  <c r="AD3195" i="1"/>
  <c r="A3195" i="1"/>
  <c r="AF3194" i="1"/>
  <c r="AD3194" i="1"/>
  <c r="A3194" i="1"/>
  <c r="AF3193" i="1"/>
  <c r="AD3193" i="1"/>
  <c r="A3193" i="1"/>
  <c r="AF3192" i="1"/>
  <c r="AD3192" i="1"/>
  <c r="A3192" i="1"/>
  <c r="AF3191" i="1"/>
  <c r="AD3191" i="1"/>
  <c r="A3191" i="1"/>
  <c r="AF3190" i="1"/>
  <c r="AD3190" i="1"/>
  <c r="A3190" i="1"/>
  <c r="AF3189" i="1"/>
  <c r="AD3189" i="1"/>
  <c r="A3189" i="1"/>
  <c r="AF3188" i="1"/>
  <c r="AD3188" i="1"/>
  <c r="A3188" i="1"/>
  <c r="AF3187" i="1"/>
  <c r="AD3187" i="1"/>
  <c r="A3187" i="1"/>
  <c r="AF3186" i="1"/>
  <c r="AD3186" i="1"/>
  <c r="A3186" i="1"/>
  <c r="AF3185" i="1"/>
  <c r="AD3185" i="1"/>
  <c r="A3185" i="1"/>
  <c r="AF3184" i="1"/>
  <c r="AD3184" i="1"/>
  <c r="A3184" i="1"/>
  <c r="AF3183" i="1"/>
  <c r="AD3183" i="1"/>
  <c r="A3183" i="1"/>
  <c r="AF3182" i="1"/>
  <c r="AD3182" i="1"/>
  <c r="A3182" i="1"/>
  <c r="AF3181" i="1"/>
  <c r="AD3181" i="1"/>
  <c r="A3181" i="1"/>
  <c r="AF3180" i="1"/>
  <c r="AD3180" i="1"/>
  <c r="A3180" i="1"/>
  <c r="AF3179" i="1"/>
  <c r="AD3179" i="1"/>
  <c r="A3179" i="1"/>
  <c r="AF3178" i="1"/>
  <c r="AD3178" i="1"/>
  <c r="A3178" i="1"/>
  <c r="AF3177" i="1"/>
  <c r="AD3177" i="1"/>
  <c r="A3177" i="1"/>
  <c r="AF3176" i="1"/>
  <c r="AD3176" i="1"/>
  <c r="A3176" i="1"/>
  <c r="AF3175" i="1"/>
  <c r="AD3175" i="1"/>
  <c r="A3175" i="1"/>
  <c r="AF3174" i="1"/>
  <c r="AD3174" i="1"/>
  <c r="A3174" i="1"/>
  <c r="AF3173" i="1"/>
  <c r="AD3173" i="1"/>
  <c r="A3173" i="1"/>
  <c r="AF3172" i="1"/>
  <c r="AD3172" i="1"/>
  <c r="A3172" i="1"/>
  <c r="AF3171" i="1"/>
  <c r="AD3171" i="1"/>
  <c r="A3171" i="1"/>
  <c r="AF3170" i="1"/>
  <c r="AD3170" i="1"/>
  <c r="A3170" i="1"/>
  <c r="AF3169" i="1"/>
  <c r="AD3169" i="1"/>
  <c r="A3169" i="1"/>
  <c r="AF3168" i="1"/>
  <c r="AD3168" i="1"/>
  <c r="A3168" i="1"/>
  <c r="AF3167" i="1"/>
  <c r="AD3167" i="1"/>
  <c r="A3167" i="1"/>
  <c r="AF3166" i="1"/>
  <c r="AD3166" i="1"/>
  <c r="A3166" i="1"/>
  <c r="AF3165" i="1"/>
  <c r="AD3165" i="1"/>
  <c r="A3165" i="1"/>
  <c r="AF3164" i="1"/>
  <c r="AD3164" i="1"/>
  <c r="A3164" i="1"/>
  <c r="AF3163" i="1"/>
  <c r="AD3163" i="1"/>
  <c r="A3163" i="1"/>
  <c r="AF3162" i="1"/>
  <c r="AD3162" i="1"/>
  <c r="A3162" i="1"/>
  <c r="AF3161" i="1"/>
  <c r="AD3161" i="1"/>
  <c r="A3161" i="1"/>
  <c r="AF3160" i="1"/>
  <c r="AD3160" i="1"/>
  <c r="A3160" i="1"/>
  <c r="AF3159" i="1"/>
  <c r="AD3159" i="1"/>
  <c r="A3159" i="1"/>
  <c r="AF3158" i="1"/>
  <c r="AD3158" i="1"/>
  <c r="A3158" i="1"/>
  <c r="AF3157" i="1"/>
  <c r="AD3157" i="1"/>
  <c r="A3157" i="1"/>
  <c r="AF3156" i="1"/>
  <c r="AD3156" i="1"/>
  <c r="A3156" i="1"/>
  <c r="AF3155" i="1"/>
  <c r="AD3155" i="1"/>
  <c r="A3155" i="1"/>
  <c r="AF3154" i="1"/>
  <c r="AD3154" i="1"/>
  <c r="A3154" i="1"/>
  <c r="AF3153" i="1"/>
  <c r="AD3153" i="1"/>
  <c r="A3153" i="1"/>
  <c r="AF3152" i="1"/>
  <c r="AD3152" i="1"/>
  <c r="A3152" i="1"/>
  <c r="AF3151" i="1"/>
  <c r="AD3151" i="1"/>
  <c r="A3151" i="1"/>
  <c r="AF3150" i="1"/>
  <c r="AD3150" i="1"/>
  <c r="A3150" i="1"/>
  <c r="AF3149" i="1"/>
  <c r="AD3149" i="1"/>
  <c r="A3149" i="1"/>
  <c r="AF3148" i="1"/>
  <c r="AD3148" i="1"/>
  <c r="A3148" i="1"/>
  <c r="AF3147" i="1"/>
  <c r="AD3147" i="1"/>
  <c r="A3147" i="1"/>
  <c r="AF3146" i="1"/>
  <c r="AD3146" i="1"/>
  <c r="A3146" i="1"/>
  <c r="AF3145" i="1"/>
  <c r="AD3145" i="1"/>
  <c r="A3145" i="1"/>
  <c r="AF3144" i="1"/>
  <c r="AD3144" i="1"/>
  <c r="A3144" i="1"/>
  <c r="AF3143" i="1"/>
  <c r="AD3143" i="1"/>
  <c r="A3143" i="1"/>
  <c r="AF3142" i="1"/>
  <c r="AD3142" i="1"/>
  <c r="A3142" i="1"/>
  <c r="AF3141" i="1"/>
  <c r="AD3141" i="1"/>
  <c r="A3141" i="1"/>
  <c r="AF3140" i="1"/>
  <c r="AD3140" i="1"/>
  <c r="A3140" i="1"/>
  <c r="AF3139" i="1"/>
  <c r="AD3139" i="1"/>
  <c r="A3139" i="1"/>
  <c r="AF3138" i="1"/>
  <c r="AD3138" i="1"/>
  <c r="A3138" i="1"/>
  <c r="AF3137" i="1"/>
  <c r="AD3137" i="1"/>
  <c r="A3137" i="1"/>
  <c r="AF3136" i="1"/>
  <c r="AD3136" i="1"/>
  <c r="A3136" i="1"/>
  <c r="AF3135" i="1"/>
  <c r="AD3135" i="1"/>
  <c r="A3135" i="1"/>
  <c r="AF3134" i="1"/>
  <c r="AD3134" i="1"/>
  <c r="A3134" i="1"/>
  <c r="AF3133" i="1"/>
  <c r="AD3133" i="1"/>
  <c r="A3133" i="1"/>
  <c r="AF3132" i="1"/>
  <c r="AD3132" i="1"/>
  <c r="A3132" i="1"/>
  <c r="AF3131" i="1"/>
  <c r="AD3131" i="1"/>
  <c r="A3131" i="1"/>
  <c r="AF3130" i="1"/>
  <c r="AD3130" i="1"/>
  <c r="A3130" i="1"/>
  <c r="AF3129" i="1"/>
  <c r="AD3129" i="1"/>
  <c r="A3129" i="1"/>
  <c r="AF3128" i="1"/>
  <c r="AD3128" i="1"/>
  <c r="A3128" i="1"/>
  <c r="AF3127" i="1"/>
  <c r="AD3127" i="1"/>
  <c r="A3127" i="1"/>
  <c r="AF3126" i="1"/>
  <c r="AD3126" i="1"/>
  <c r="A3126" i="1"/>
  <c r="AF3125" i="1"/>
  <c r="AD3125" i="1"/>
  <c r="A3125" i="1"/>
  <c r="AF3124" i="1"/>
  <c r="AD3124" i="1"/>
  <c r="A3124" i="1"/>
  <c r="AF3123" i="1"/>
  <c r="AD3123" i="1"/>
  <c r="A3123" i="1"/>
  <c r="AF3122" i="1"/>
  <c r="AD3122" i="1"/>
  <c r="A3122" i="1"/>
  <c r="AF3121" i="1"/>
  <c r="AD3121" i="1"/>
  <c r="A3121" i="1"/>
  <c r="AF3120" i="1"/>
  <c r="AD3120" i="1"/>
  <c r="A3120" i="1"/>
  <c r="AF3119" i="1"/>
  <c r="AD3119" i="1"/>
  <c r="A3119" i="1"/>
  <c r="AF3118" i="1"/>
  <c r="AD3118" i="1"/>
  <c r="A3118" i="1"/>
  <c r="AF3117" i="1"/>
  <c r="AD3117" i="1"/>
  <c r="A3117" i="1"/>
  <c r="AF3116" i="1"/>
  <c r="AD3116" i="1"/>
  <c r="A3116" i="1"/>
  <c r="AF3115" i="1"/>
  <c r="AD3115" i="1"/>
  <c r="A3115" i="1"/>
  <c r="AF3114" i="1"/>
  <c r="AD3114" i="1"/>
  <c r="A3114" i="1"/>
  <c r="AF3113" i="1"/>
  <c r="AD3113" i="1"/>
  <c r="A3113" i="1"/>
  <c r="AF3112" i="1"/>
  <c r="AD3112" i="1"/>
  <c r="A3112" i="1"/>
  <c r="AF3111" i="1"/>
  <c r="AD3111" i="1"/>
  <c r="A3111" i="1"/>
  <c r="AF3110" i="1"/>
  <c r="AD3110" i="1"/>
  <c r="A3110" i="1"/>
  <c r="AF3109" i="1"/>
  <c r="AD3109" i="1"/>
  <c r="A3109" i="1"/>
  <c r="AF3108" i="1"/>
  <c r="AD3108" i="1"/>
  <c r="A3108" i="1"/>
  <c r="AF3107" i="1"/>
  <c r="AD3107" i="1"/>
  <c r="A3107" i="1"/>
  <c r="AF3106" i="1"/>
  <c r="AD3106" i="1"/>
  <c r="A3106" i="1"/>
  <c r="AF3105" i="1"/>
  <c r="AD3105" i="1"/>
  <c r="A3105" i="1"/>
  <c r="AF3104" i="1"/>
  <c r="AD3104" i="1"/>
  <c r="A3104" i="1"/>
  <c r="AF3103" i="1"/>
  <c r="AD3103" i="1"/>
  <c r="A3103" i="1"/>
  <c r="AF3102" i="1"/>
  <c r="AD3102" i="1"/>
  <c r="A3102" i="1"/>
  <c r="AF3101" i="1"/>
  <c r="AD3101" i="1"/>
  <c r="A3101" i="1"/>
  <c r="AF3100" i="1"/>
  <c r="AD3100" i="1"/>
  <c r="A3100" i="1"/>
  <c r="AF3099" i="1"/>
  <c r="AD3099" i="1"/>
  <c r="A3099" i="1"/>
  <c r="AF3098" i="1"/>
  <c r="AD3098" i="1"/>
  <c r="A3098" i="1"/>
  <c r="AF3097" i="1"/>
  <c r="AD3097" i="1"/>
  <c r="A3097" i="1"/>
  <c r="AF3096" i="1"/>
  <c r="AD3096" i="1"/>
  <c r="A3096" i="1"/>
  <c r="AF3095" i="1"/>
  <c r="AD3095" i="1"/>
  <c r="A3095" i="1"/>
  <c r="AF3094" i="1"/>
  <c r="AD3094" i="1"/>
  <c r="A3094" i="1"/>
  <c r="AF3093" i="1"/>
  <c r="AD3093" i="1"/>
  <c r="A3093" i="1"/>
  <c r="AF3092" i="1"/>
  <c r="AD3092" i="1"/>
  <c r="A3092" i="1"/>
  <c r="AF3091" i="1"/>
  <c r="AD3091" i="1"/>
  <c r="A3091" i="1"/>
  <c r="AF3090" i="1"/>
  <c r="AD3090" i="1"/>
  <c r="A3090" i="1"/>
  <c r="AF3089" i="1"/>
  <c r="AD3089" i="1"/>
  <c r="A3089" i="1"/>
  <c r="AF3088" i="1"/>
  <c r="AD3088" i="1"/>
  <c r="A3088" i="1"/>
  <c r="AF3087" i="1"/>
  <c r="AD3087" i="1"/>
  <c r="A3087" i="1"/>
  <c r="AF3086" i="1"/>
  <c r="AD3086" i="1"/>
  <c r="A3086" i="1"/>
  <c r="AF3085" i="1"/>
  <c r="AD3085" i="1"/>
  <c r="A3085" i="1"/>
  <c r="AF3084" i="1"/>
  <c r="AD3084" i="1"/>
  <c r="A3084" i="1"/>
  <c r="AF3083" i="1"/>
  <c r="AD3083" i="1"/>
  <c r="A3083" i="1"/>
  <c r="AF3082" i="1"/>
  <c r="AD3082" i="1"/>
  <c r="A3082" i="1"/>
  <c r="AF3081" i="1"/>
  <c r="AD3081" i="1"/>
  <c r="A3081" i="1"/>
  <c r="AF3080" i="1"/>
  <c r="AD3080" i="1"/>
  <c r="A3080" i="1"/>
  <c r="AF3079" i="1"/>
  <c r="AD3079" i="1"/>
  <c r="A3079" i="1"/>
  <c r="AF3078" i="1"/>
  <c r="AD3078" i="1"/>
  <c r="A3078" i="1"/>
  <c r="AF3077" i="1"/>
  <c r="AD3077" i="1"/>
  <c r="A3077" i="1"/>
  <c r="AF3076" i="1"/>
  <c r="AD3076" i="1"/>
  <c r="A3076" i="1"/>
  <c r="AF3075" i="1"/>
  <c r="AD3075" i="1"/>
  <c r="A3075" i="1"/>
  <c r="AF3074" i="1"/>
  <c r="AD3074" i="1"/>
  <c r="A3074" i="1"/>
  <c r="AF3073" i="1"/>
  <c r="AD3073" i="1"/>
  <c r="A3073" i="1"/>
  <c r="AF3072" i="1"/>
  <c r="AD3072" i="1"/>
  <c r="A3072" i="1"/>
  <c r="AF3071" i="1"/>
  <c r="AD3071" i="1"/>
  <c r="A3071" i="1"/>
  <c r="AF3070" i="1"/>
  <c r="AD3070" i="1"/>
  <c r="A3070" i="1"/>
  <c r="AF3069" i="1"/>
  <c r="AD3069" i="1"/>
  <c r="A3069" i="1"/>
  <c r="AF3068" i="1"/>
  <c r="AD3068" i="1"/>
  <c r="A3068" i="1"/>
  <c r="AF3067" i="1"/>
  <c r="AD3067" i="1"/>
  <c r="A3067" i="1"/>
  <c r="AF3066" i="1"/>
  <c r="AD3066" i="1"/>
  <c r="A3066" i="1"/>
  <c r="AF3065" i="1"/>
  <c r="AD3065" i="1"/>
  <c r="A3065" i="1"/>
  <c r="AF3064" i="1"/>
  <c r="AD3064" i="1"/>
  <c r="A3064" i="1"/>
  <c r="AF3063" i="1"/>
  <c r="AD3063" i="1"/>
  <c r="A3063" i="1"/>
  <c r="AF3062" i="1"/>
  <c r="AD3062" i="1"/>
  <c r="A3062" i="1"/>
  <c r="AF3061" i="1"/>
  <c r="AD3061" i="1"/>
  <c r="A3061" i="1"/>
  <c r="AF3060" i="1"/>
  <c r="AD3060" i="1"/>
  <c r="A3060" i="1"/>
  <c r="AF3059" i="1"/>
  <c r="AD3059" i="1"/>
  <c r="A3059" i="1"/>
  <c r="AF3058" i="1"/>
  <c r="AD3058" i="1"/>
  <c r="A3058" i="1"/>
  <c r="AF3057" i="1"/>
  <c r="AD3057" i="1"/>
  <c r="A3057" i="1"/>
  <c r="AF3056" i="1"/>
  <c r="AD3056" i="1"/>
  <c r="A3056" i="1"/>
  <c r="AF3055" i="1"/>
  <c r="AD3055" i="1"/>
  <c r="A3055" i="1"/>
  <c r="AF3054" i="1"/>
  <c r="AD3054" i="1"/>
  <c r="A3054" i="1"/>
  <c r="AF3053" i="1"/>
  <c r="AD3053" i="1"/>
  <c r="A3053" i="1"/>
  <c r="AF3052" i="1"/>
  <c r="AD3052" i="1"/>
  <c r="A3052" i="1"/>
  <c r="AF3051" i="1"/>
  <c r="AD3051" i="1"/>
  <c r="A3051" i="1"/>
  <c r="AF3050" i="1"/>
  <c r="AD3050" i="1"/>
  <c r="A3050" i="1"/>
  <c r="AF3049" i="1"/>
  <c r="AD3049" i="1"/>
  <c r="A3049" i="1"/>
  <c r="AF3048" i="1"/>
  <c r="AD3048" i="1"/>
  <c r="A3048" i="1"/>
  <c r="AF3047" i="1"/>
  <c r="AD3047" i="1"/>
  <c r="A3047" i="1"/>
  <c r="AF3046" i="1"/>
  <c r="AD3046" i="1"/>
  <c r="A3046" i="1"/>
  <c r="AF3045" i="1"/>
  <c r="AD3045" i="1"/>
  <c r="A3045" i="1"/>
  <c r="AF3044" i="1"/>
  <c r="AD3044" i="1"/>
  <c r="A3044" i="1"/>
  <c r="AF3043" i="1"/>
  <c r="AD3043" i="1"/>
  <c r="A3043" i="1"/>
  <c r="AF3042" i="1"/>
  <c r="AD3042" i="1"/>
  <c r="A3042" i="1"/>
  <c r="AF3041" i="1"/>
  <c r="AD3041" i="1"/>
  <c r="A3041" i="1"/>
  <c r="AF3040" i="1"/>
  <c r="AD3040" i="1"/>
  <c r="A3040" i="1"/>
  <c r="AF3039" i="1"/>
  <c r="AD3039" i="1"/>
  <c r="A3039" i="1"/>
  <c r="AF3038" i="1"/>
  <c r="AD3038" i="1"/>
  <c r="A3038" i="1"/>
  <c r="AF3037" i="1"/>
  <c r="AD3037" i="1"/>
  <c r="A3037" i="1"/>
  <c r="AF3036" i="1"/>
  <c r="AD3036" i="1"/>
  <c r="A3036" i="1"/>
  <c r="AF3035" i="1"/>
  <c r="AD3035" i="1"/>
  <c r="A3035" i="1"/>
  <c r="AF3034" i="1"/>
  <c r="AD3034" i="1"/>
  <c r="A3034" i="1"/>
  <c r="AF3033" i="1"/>
  <c r="AD3033" i="1"/>
  <c r="A3033" i="1"/>
  <c r="AF3032" i="1"/>
  <c r="AD3032" i="1"/>
  <c r="A3032" i="1"/>
  <c r="AF3031" i="1"/>
  <c r="AD3031" i="1"/>
  <c r="A3031" i="1"/>
  <c r="AF3030" i="1"/>
  <c r="AD3030" i="1"/>
  <c r="A3030" i="1"/>
  <c r="AF3029" i="1"/>
  <c r="AD3029" i="1"/>
  <c r="A3029" i="1"/>
  <c r="AF3028" i="1"/>
  <c r="AD3028" i="1"/>
  <c r="A3028" i="1"/>
  <c r="AF3027" i="1"/>
  <c r="AD3027" i="1"/>
  <c r="A3027" i="1"/>
  <c r="AF3026" i="1"/>
  <c r="AD3026" i="1"/>
  <c r="A3026" i="1"/>
  <c r="AF3025" i="1"/>
  <c r="AD3025" i="1"/>
  <c r="A3025" i="1"/>
  <c r="AF3024" i="1"/>
  <c r="AD3024" i="1"/>
  <c r="A3024" i="1"/>
  <c r="AF3023" i="1"/>
  <c r="AD3023" i="1"/>
  <c r="A3023" i="1"/>
  <c r="AF3022" i="1"/>
  <c r="AD3022" i="1"/>
  <c r="A3022" i="1"/>
  <c r="AF3021" i="1"/>
  <c r="AD3021" i="1"/>
  <c r="A3021" i="1"/>
  <c r="AF3020" i="1"/>
  <c r="AD3020" i="1"/>
  <c r="A3020" i="1"/>
  <c r="AF3019" i="1"/>
  <c r="AD3019" i="1"/>
  <c r="A3019" i="1"/>
  <c r="AF3018" i="1"/>
  <c r="AD3018" i="1"/>
  <c r="A3018" i="1"/>
  <c r="AF3017" i="1"/>
  <c r="AD3017" i="1"/>
  <c r="A3017" i="1"/>
  <c r="AF3016" i="1"/>
  <c r="AD3016" i="1"/>
  <c r="A3016" i="1"/>
  <c r="AF3015" i="1"/>
  <c r="AD3015" i="1"/>
  <c r="A3015" i="1"/>
  <c r="AF3014" i="1"/>
  <c r="AD3014" i="1"/>
  <c r="A3014" i="1"/>
  <c r="AF3013" i="1"/>
  <c r="AD3013" i="1"/>
  <c r="A3013" i="1"/>
  <c r="AF3012" i="1"/>
  <c r="AD3012" i="1"/>
  <c r="A3012" i="1"/>
  <c r="AF3011" i="1"/>
  <c r="AD3011" i="1"/>
  <c r="A3011" i="1"/>
  <c r="AF3010" i="1"/>
  <c r="AD3010" i="1"/>
  <c r="A3010" i="1"/>
  <c r="AF3009" i="1"/>
  <c r="AD3009" i="1"/>
  <c r="A3009" i="1"/>
  <c r="AF3008" i="1"/>
  <c r="AD3008" i="1"/>
  <c r="A3008" i="1"/>
  <c r="AF3007" i="1"/>
  <c r="AD3007" i="1"/>
  <c r="A3007" i="1"/>
  <c r="AF3006" i="1"/>
  <c r="AD3006" i="1"/>
  <c r="A3006" i="1"/>
  <c r="AF3005" i="1"/>
  <c r="AD3005" i="1"/>
  <c r="A3005" i="1"/>
  <c r="AF3004" i="1"/>
  <c r="AD3004" i="1"/>
  <c r="A3004" i="1"/>
  <c r="AF3003" i="1"/>
  <c r="AD3003" i="1"/>
  <c r="A3003" i="1"/>
  <c r="AF3002" i="1"/>
  <c r="AD3002" i="1"/>
  <c r="A3002" i="1"/>
  <c r="AF3001" i="1"/>
  <c r="AD3001" i="1"/>
  <c r="A3001" i="1"/>
  <c r="AF3000" i="1"/>
  <c r="AD3000" i="1"/>
  <c r="A3000" i="1"/>
  <c r="AF2999" i="1"/>
  <c r="AD2999" i="1"/>
  <c r="A2999" i="1"/>
  <c r="AF2998" i="1"/>
  <c r="AD2998" i="1"/>
  <c r="A2998" i="1"/>
  <c r="AF2997" i="1"/>
  <c r="AD2997" i="1"/>
  <c r="A2997" i="1"/>
  <c r="AF2996" i="1"/>
  <c r="AD2996" i="1"/>
  <c r="A2996" i="1"/>
  <c r="AF2995" i="1"/>
  <c r="AD2995" i="1"/>
  <c r="A2995" i="1"/>
  <c r="AF2994" i="1"/>
  <c r="AD2994" i="1"/>
  <c r="A2994" i="1"/>
  <c r="AF2993" i="1"/>
  <c r="AD2993" i="1"/>
  <c r="A2993" i="1"/>
  <c r="AF2992" i="1"/>
  <c r="AD2992" i="1"/>
  <c r="A2992" i="1"/>
  <c r="AF2991" i="1"/>
  <c r="AD2991" i="1"/>
  <c r="A2991" i="1"/>
  <c r="AF2990" i="1"/>
  <c r="AD2990" i="1"/>
  <c r="A2990" i="1"/>
  <c r="AF2989" i="1"/>
  <c r="AD2989" i="1"/>
  <c r="A2989" i="1"/>
  <c r="AF2988" i="1"/>
  <c r="AD2988" i="1"/>
  <c r="A2988" i="1"/>
  <c r="AF2987" i="1"/>
  <c r="AD2987" i="1"/>
  <c r="A2987" i="1"/>
  <c r="AF2986" i="1"/>
  <c r="AD2986" i="1"/>
  <c r="A2986" i="1"/>
  <c r="AF2985" i="1"/>
  <c r="AD2985" i="1"/>
  <c r="A2985" i="1"/>
  <c r="AF2984" i="1"/>
  <c r="AD2984" i="1"/>
  <c r="A2984" i="1"/>
  <c r="AF2983" i="1"/>
  <c r="AD2983" i="1"/>
  <c r="A2983" i="1"/>
  <c r="AF2982" i="1"/>
  <c r="AD2982" i="1"/>
  <c r="A2982" i="1"/>
  <c r="AF2981" i="1"/>
  <c r="AD2981" i="1"/>
  <c r="A2981" i="1"/>
  <c r="AF2980" i="1"/>
  <c r="AD2980" i="1"/>
  <c r="A2980" i="1"/>
  <c r="AF2979" i="1"/>
  <c r="AD2979" i="1"/>
  <c r="A2979" i="1"/>
  <c r="AF2978" i="1"/>
  <c r="AD2978" i="1"/>
  <c r="A2978" i="1"/>
  <c r="AF2977" i="1"/>
  <c r="AD2977" i="1"/>
  <c r="A2977" i="1"/>
  <c r="AF2976" i="1"/>
  <c r="AD2976" i="1"/>
  <c r="A2976" i="1"/>
  <c r="AF2975" i="1"/>
  <c r="AD2975" i="1"/>
  <c r="A2975" i="1"/>
  <c r="AF2974" i="1"/>
  <c r="AD2974" i="1"/>
  <c r="A2974" i="1"/>
  <c r="AF2973" i="1"/>
  <c r="AD2973" i="1"/>
  <c r="A2973" i="1"/>
  <c r="AF2972" i="1"/>
  <c r="AD2972" i="1"/>
  <c r="A2972" i="1"/>
  <c r="AF2971" i="1"/>
  <c r="AD2971" i="1"/>
  <c r="A2971" i="1"/>
  <c r="AF2970" i="1"/>
  <c r="AD2970" i="1"/>
  <c r="A2970" i="1"/>
  <c r="AF2969" i="1"/>
  <c r="AD2969" i="1"/>
  <c r="A2969" i="1"/>
  <c r="AF2968" i="1"/>
  <c r="AD2968" i="1"/>
  <c r="A2968" i="1"/>
  <c r="AF2967" i="1"/>
  <c r="AD2967" i="1"/>
  <c r="A2967" i="1"/>
  <c r="AF2966" i="1"/>
  <c r="AD2966" i="1"/>
  <c r="A2966" i="1"/>
  <c r="AF2965" i="1"/>
  <c r="AD2965" i="1"/>
  <c r="A2965" i="1"/>
  <c r="AF2964" i="1"/>
  <c r="AD2964" i="1"/>
  <c r="A2964" i="1"/>
  <c r="AF2963" i="1"/>
  <c r="AD2963" i="1"/>
  <c r="A2963" i="1"/>
  <c r="AF2962" i="1"/>
  <c r="AD2962" i="1"/>
  <c r="A2962" i="1"/>
  <c r="AF2961" i="1"/>
  <c r="AD2961" i="1"/>
  <c r="A2961" i="1"/>
  <c r="AF2960" i="1"/>
  <c r="AD2960" i="1"/>
  <c r="A2960" i="1"/>
  <c r="AF2959" i="1"/>
  <c r="AD2959" i="1"/>
  <c r="A2959" i="1"/>
  <c r="AF2958" i="1"/>
  <c r="AD2958" i="1"/>
  <c r="A2958" i="1"/>
  <c r="AF2957" i="1"/>
  <c r="AD2957" i="1"/>
  <c r="A2957" i="1"/>
  <c r="AF2956" i="1"/>
  <c r="AD2956" i="1"/>
  <c r="A2956" i="1"/>
  <c r="AF2955" i="1"/>
  <c r="AD2955" i="1"/>
  <c r="A2955" i="1"/>
  <c r="AF2954" i="1"/>
  <c r="AD2954" i="1"/>
  <c r="A2954" i="1"/>
  <c r="AF2953" i="1"/>
  <c r="AD2953" i="1"/>
  <c r="A2953" i="1"/>
  <c r="AF2952" i="1"/>
  <c r="AD2952" i="1"/>
  <c r="A2952" i="1"/>
  <c r="AF2951" i="1"/>
  <c r="AD2951" i="1"/>
  <c r="A2951" i="1"/>
  <c r="AF2950" i="1"/>
  <c r="AD2950" i="1"/>
  <c r="A2950" i="1"/>
  <c r="AF2949" i="1"/>
  <c r="AD2949" i="1"/>
  <c r="A2949" i="1"/>
  <c r="AF2948" i="1"/>
  <c r="AD2948" i="1"/>
  <c r="A2948" i="1"/>
  <c r="AF2947" i="1"/>
  <c r="AD2947" i="1"/>
  <c r="A2947" i="1"/>
  <c r="AF2946" i="1"/>
  <c r="AD2946" i="1"/>
  <c r="A2946" i="1"/>
  <c r="AF2945" i="1"/>
  <c r="AD2945" i="1"/>
  <c r="A2945" i="1"/>
  <c r="AF2944" i="1"/>
  <c r="AD2944" i="1"/>
  <c r="A2944" i="1"/>
  <c r="AF2943" i="1"/>
  <c r="AD2943" i="1"/>
  <c r="A2943" i="1"/>
  <c r="AF2942" i="1"/>
  <c r="AD2942" i="1"/>
  <c r="A2942" i="1"/>
  <c r="AF2941" i="1"/>
  <c r="AD2941" i="1"/>
  <c r="A2941" i="1"/>
  <c r="AF2940" i="1"/>
  <c r="AD2940" i="1"/>
  <c r="A2940" i="1"/>
  <c r="AF2939" i="1"/>
  <c r="AD2939" i="1"/>
  <c r="A2939" i="1"/>
  <c r="AF2938" i="1"/>
  <c r="AD2938" i="1"/>
  <c r="A2938" i="1"/>
  <c r="AF2937" i="1"/>
  <c r="AD2937" i="1"/>
  <c r="A2937" i="1"/>
  <c r="AF2936" i="1"/>
  <c r="AD2936" i="1"/>
  <c r="A2936" i="1"/>
  <c r="AF2935" i="1"/>
  <c r="AD2935" i="1"/>
  <c r="A2935" i="1"/>
  <c r="AF2934" i="1"/>
  <c r="AD2934" i="1"/>
  <c r="A2934" i="1"/>
  <c r="AF2933" i="1"/>
  <c r="AD2933" i="1"/>
  <c r="A2933" i="1"/>
  <c r="AF2932" i="1"/>
  <c r="AD2932" i="1"/>
  <c r="A2932" i="1"/>
  <c r="AF2931" i="1"/>
  <c r="AD2931" i="1"/>
  <c r="A2931" i="1"/>
  <c r="AF2930" i="1"/>
  <c r="AD2930" i="1"/>
  <c r="A2930" i="1"/>
  <c r="AF2929" i="1"/>
  <c r="AD2929" i="1"/>
  <c r="A2929" i="1"/>
  <c r="AF2928" i="1"/>
  <c r="AD2928" i="1"/>
  <c r="A2928" i="1"/>
  <c r="AF2927" i="1"/>
  <c r="AD2927" i="1"/>
  <c r="A2927" i="1"/>
  <c r="AF2926" i="1"/>
  <c r="AD2926" i="1"/>
  <c r="A2926" i="1"/>
  <c r="AF2925" i="1"/>
  <c r="AD2925" i="1"/>
  <c r="A2925" i="1"/>
  <c r="AF2924" i="1"/>
  <c r="AD2924" i="1"/>
  <c r="A2924" i="1"/>
  <c r="AF2923" i="1"/>
  <c r="AD2923" i="1"/>
  <c r="A2923" i="1"/>
  <c r="AF2922" i="1"/>
  <c r="AD2922" i="1"/>
  <c r="A2922" i="1"/>
  <c r="AF2921" i="1"/>
  <c r="AD2921" i="1"/>
  <c r="A2921" i="1"/>
  <c r="AF2920" i="1"/>
  <c r="AD2920" i="1"/>
  <c r="A2920" i="1"/>
  <c r="AF2919" i="1"/>
  <c r="AD2919" i="1"/>
  <c r="A2919" i="1"/>
  <c r="AF2918" i="1"/>
  <c r="AD2918" i="1"/>
  <c r="A2918" i="1"/>
  <c r="AF2917" i="1"/>
  <c r="AD2917" i="1"/>
  <c r="A2917" i="1"/>
  <c r="AF2916" i="1"/>
  <c r="AD2916" i="1"/>
  <c r="A2916" i="1"/>
  <c r="AF2915" i="1"/>
  <c r="AD2915" i="1"/>
  <c r="A2915" i="1"/>
  <c r="AF2914" i="1"/>
  <c r="AD2914" i="1"/>
  <c r="A2914" i="1"/>
  <c r="AF2913" i="1"/>
  <c r="AD2913" i="1"/>
  <c r="A2913" i="1"/>
  <c r="AF2912" i="1"/>
  <c r="AD2912" i="1"/>
  <c r="A2912" i="1"/>
  <c r="AF2911" i="1"/>
  <c r="AD2911" i="1"/>
  <c r="A2911" i="1"/>
  <c r="AF2910" i="1"/>
  <c r="AD2910" i="1"/>
  <c r="A2910" i="1"/>
  <c r="AF2909" i="1"/>
  <c r="AD2909" i="1"/>
  <c r="A2909" i="1"/>
  <c r="AF2908" i="1"/>
  <c r="AD2908" i="1"/>
  <c r="A2908" i="1"/>
  <c r="AF2907" i="1"/>
  <c r="AD2907" i="1"/>
  <c r="A2907" i="1"/>
  <c r="AF2906" i="1"/>
  <c r="AD2906" i="1"/>
  <c r="A2906" i="1"/>
  <c r="AF2905" i="1"/>
  <c r="AD2905" i="1"/>
  <c r="A2905" i="1"/>
  <c r="AF2904" i="1"/>
  <c r="AD2904" i="1"/>
  <c r="A2904" i="1"/>
  <c r="AF2903" i="1"/>
  <c r="AD2903" i="1"/>
  <c r="A2903" i="1"/>
  <c r="AF2902" i="1"/>
  <c r="AD2902" i="1"/>
  <c r="A2902" i="1"/>
  <c r="AF2901" i="1"/>
  <c r="AD2901" i="1"/>
  <c r="A2901" i="1"/>
  <c r="AF2900" i="1"/>
  <c r="AD2900" i="1"/>
  <c r="A2900" i="1"/>
  <c r="AF2899" i="1"/>
  <c r="AD2899" i="1"/>
  <c r="A2899" i="1"/>
  <c r="AF2898" i="1"/>
  <c r="AD2898" i="1"/>
  <c r="A2898" i="1"/>
  <c r="AF2897" i="1"/>
  <c r="AD2897" i="1"/>
  <c r="A2897" i="1"/>
  <c r="AF2896" i="1"/>
  <c r="AD2896" i="1"/>
  <c r="A2896" i="1"/>
  <c r="AF2895" i="1"/>
  <c r="AD2895" i="1"/>
  <c r="A2895" i="1"/>
  <c r="AF2894" i="1"/>
  <c r="AD2894" i="1"/>
  <c r="A2894" i="1"/>
  <c r="AF2893" i="1"/>
  <c r="AD2893" i="1"/>
  <c r="A2893" i="1"/>
  <c r="AF2892" i="1"/>
  <c r="AD2892" i="1"/>
  <c r="A2892" i="1"/>
  <c r="AF2891" i="1"/>
  <c r="AD2891" i="1"/>
  <c r="A2891" i="1"/>
  <c r="AF2890" i="1"/>
  <c r="AD2890" i="1"/>
  <c r="A2890" i="1"/>
  <c r="AF2889" i="1"/>
  <c r="AD2889" i="1"/>
  <c r="A2889" i="1"/>
  <c r="AF2888" i="1"/>
  <c r="AD2888" i="1"/>
  <c r="A2888" i="1"/>
  <c r="AF2887" i="1"/>
  <c r="AD2887" i="1"/>
  <c r="A2887" i="1"/>
  <c r="AF2886" i="1"/>
  <c r="AD2886" i="1"/>
  <c r="A2886" i="1"/>
  <c r="AF2885" i="1"/>
  <c r="AD2885" i="1"/>
  <c r="A2885" i="1"/>
  <c r="AF2884" i="1"/>
  <c r="AD2884" i="1"/>
  <c r="A2884" i="1"/>
  <c r="AF2883" i="1"/>
  <c r="AD2883" i="1"/>
  <c r="A2883" i="1"/>
  <c r="AF2882" i="1"/>
  <c r="AD2882" i="1"/>
  <c r="A2882" i="1"/>
  <c r="AF2881" i="1"/>
  <c r="AD2881" i="1"/>
  <c r="A2881" i="1"/>
  <c r="AF2880" i="1"/>
  <c r="AD2880" i="1"/>
  <c r="A2880" i="1"/>
  <c r="AF2879" i="1"/>
  <c r="AD2879" i="1"/>
  <c r="A2879" i="1"/>
  <c r="AF2878" i="1"/>
  <c r="AD2878" i="1"/>
  <c r="A2878" i="1"/>
  <c r="AF2877" i="1"/>
  <c r="AD2877" i="1"/>
  <c r="A2877" i="1"/>
  <c r="AF2876" i="1"/>
  <c r="AD2876" i="1"/>
  <c r="A2876" i="1"/>
  <c r="AF2875" i="1"/>
  <c r="AD2875" i="1"/>
  <c r="A2875" i="1"/>
  <c r="AF2874" i="1"/>
  <c r="AD2874" i="1"/>
  <c r="A2874" i="1"/>
  <c r="AF2873" i="1"/>
  <c r="AD2873" i="1"/>
  <c r="A2873" i="1"/>
  <c r="AF2872" i="1"/>
  <c r="AD2872" i="1"/>
  <c r="A2872" i="1"/>
  <c r="AF2871" i="1"/>
  <c r="AD2871" i="1"/>
  <c r="A2871" i="1"/>
  <c r="AF2870" i="1"/>
  <c r="AD2870" i="1"/>
  <c r="A2870" i="1"/>
  <c r="AF2869" i="1"/>
  <c r="AD2869" i="1"/>
  <c r="A2869" i="1"/>
  <c r="AF2868" i="1"/>
  <c r="AD2868" i="1"/>
  <c r="A2868" i="1"/>
  <c r="AF2867" i="1"/>
  <c r="AD2867" i="1"/>
  <c r="A2867" i="1"/>
  <c r="AF2866" i="1"/>
  <c r="AD2866" i="1"/>
  <c r="A2866" i="1"/>
  <c r="AF2865" i="1"/>
  <c r="AD2865" i="1"/>
  <c r="A2865" i="1"/>
  <c r="AF2864" i="1"/>
  <c r="AD2864" i="1"/>
  <c r="A2864" i="1"/>
  <c r="AF2863" i="1"/>
  <c r="AD2863" i="1"/>
  <c r="A2863" i="1"/>
  <c r="AF2862" i="1"/>
  <c r="AD2862" i="1"/>
  <c r="A2862" i="1"/>
  <c r="AF2861" i="1"/>
  <c r="AD2861" i="1"/>
  <c r="A2861" i="1"/>
  <c r="AF2860" i="1"/>
  <c r="AD2860" i="1"/>
  <c r="A2860" i="1"/>
  <c r="AF2859" i="1"/>
  <c r="AD2859" i="1"/>
  <c r="A2859" i="1"/>
  <c r="AF2858" i="1"/>
  <c r="AD2858" i="1"/>
  <c r="A2858" i="1"/>
  <c r="AF2857" i="1"/>
  <c r="AD2857" i="1"/>
  <c r="A2857" i="1"/>
  <c r="AF2856" i="1"/>
  <c r="AD2856" i="1"/>
  <c r="A2856" i="1"/>
  <c r="AF2855" i="1"/>
  <c r="AD2855" i="1"/>
  <c r="A2855" i="1"/>
  <c r="AF2854" i="1"/>
  <c r="AD2854" i="1"/>
  <c r="A2854" i="1"/>
  <c r="AF2853" i="1"/>
  <c r="AD2853" i="1"/>
  <c r="A2853" i="1"/>
  <c r="AF2852" i="1"/>
  <c r="AD2852" i="1"/>
  <c r="A2852" i="1"/>
  <c r="AF2851" i="1"/>
  <c r="AD2851" i="1"/>
  <c r="A2851" i="1"/>
  <c r="AF2850" i="1"/>
  <c r="AD2850" i="1"/>
  <c r="A2850" i="1"/>
  <c r="AF2849" i="1"/>
  <c r="AD2849" i="1"/>
  <c r="A2849" i="1"/>
  <c r="AF2848" i="1"/>
  <c r="AD2848" i="1"/>
  <c r="A2848" i="1"/>
  <c r="AF2847" i="1"/>
  <c r="AD2847" i="1"/>
  <c r="A2847" i="1"/>
  <c r="AF2846" i="1"/>
  <c r="AD2846" i="1"/>
  <c r="A2846" i="1"/>
  <c r="AF2845" i="1"/>
  <c r="AD2845" i="1"/>
  <c r="A2845" i="1"/>
  <c r="AF2844" i="1"/>
  <c r="AD2844" i="1"/>
  <c r="A2844" i="1"/>
  <c r="AF2843" i="1"/>
  <c r="AD2843" i="1"/>
  <c r="A2843" i="1"/>
  <c r="AF2842" i="1"/>
  <c r="AD2842" i="1"/>
  <c r="A2842" i="1"/>
  <c r="AF2841" i="1"/>
  <c r="AD2841" i="1"/>
  <c r="A2841" i="1"/>
  <c r="AF2840" i="1"/>
  <c r="AD2840" i="1"/>
  <c r="A2840" i="1"/>
  <c r="AF2839" i="1"/>
  <c r="AD2839" i="1"/>
  <c r="A2839" i="1"/>
  <c r="AF2838" i="1"/>
  <c r="AD2838" i="1"/>
  <c r="A2838" i="1"/>
  <c r="AF2837" i="1"/>
  <c r="AD2837" i="1"/>
  <c r="A2837" i="1"/>
  <c r="AF2836" i="1"/>
  <c r="AD2836" i="1"/>
  <c r="A2836" i="1"/>
  <c r="AF2835" i="1"/>
  <c r="AD2835" i="1"/>
  <c r="A2835" i="1"/>
  <c r="AF2834" i="1"/>
  <c r="AD2834" i="1"/>
  <c r="A2834" i="1"/>
  <c r="AF2833" i="1"/>
  <c r="AD2833" i="1"/>
  <c r="A2833" i="1"/>
  <c r="AF2832" i="1"/>
  <c r="AD2832" i="1"/>
  <c r="A2832" i="1"/>
  <c r="AF2831" i="1"/>
  <c r="AD2831" i="1"/>
  <c r="A2831" i="1"/>
  <c r="AF2830" i="1"/>
  <c r="AD2830" i="1"/>
  <c r="A2830" i="1"/>
  <c r="AF2829" i="1"/>
  <c r="AD2829" i="1"/>
  <c r="A2829" i="1"/>
  <c r="AF2828" i="1"/>
  <c r="AD2828" i="1"/>
  <c r="A2828" i="1"/>
  <c r="AF2827" i="1"/>
  <c r="AD2827" i="1"/>
  <c r="A2827" i="1"/>
  <c r="AF2826" i="1"/>
  <c r="AD2826" i="1"/>
  <c r="A2826" i="1"/>
  <c r="AF2825" i="1"/>
  <c r="AD2825" i="1"/>
  <c r="A2825" i="1"/>
  <c r="AF2824" i="1"/>
  <c r="AD2824" i="1"/>
  <c r="A2824" i="1"/>
  <c r="AF2823" i="1"/>
  <c r="AD2823" i="1"/>
  <c r="A2823" i="1"/>
  <c r="AF2822" i="1"/>
  <c r="AD2822" i="1"/>
  <c r="A2822" i="1"/>
  <c r="AF2821" i="1"/>
  <c r="AD2821" i="1"/>
  <c r="A2821" i="1"/>
  <c r="AF2820" i="1"/>
  <c r="AD2820" i="1"/>
  <c r="A2820" i="1"/>
  <c r="AF2819" i="1"/>
  <c r="AD2819" i="1"/>
  <c r="A2819" i="1"/>
  <c r="AF2818" i="1"/>
  <c r="AD2818" i="1"/>
  <c r="A2818" i="1"/>
  <c r="AF2817" i="1"/>
  <c r="AD2817" i="1"/>
  <c r="A2817" i="1"/>
  <c r="AF2816" i="1"/>
  <c r="AD2816" i="1"/>
  <c r="A2816" i="1"/>
  <c r="AF2815" i="1"/>
  <c r="AD2815" i="1"/>
  <c r="A2815" i="1"/>
  <c r="AF2814" i="1"/>
  <c r="AD2814" i="1"/>
  <c r="A2814" i="1"/>
  <c r="AF2813" i="1"/>
  <c r="AD2813" i="1"/>
  <c r="A2813" i="1"/>
  <c r="AF2812" i="1"/>
  <c r="AD2812" i="1"/>
  <c r="A2812" i="1"/>
  <c r="AF2811" i="1"/>
  <c r="AD2811" i="1"/>
  <c r="A2811" i="1"/>
  <c r="AF2810" i="1"/>
  <c r="AD2810" i="1"/>
  <c r="A2810" i="1"/>
  <c r="AF2809" i="1"/>
  <c r="AD2809" i="1"/>
  <c r="A2809" i="1"/>
  <c r="AF2808" i="1"/>
  <c r="AD2808" i="1"/>
  <c r="A2808" i="1"/>
  <c r="AF2807" i="1"/>
  <c r="AD2807" i="1"/>
  <c r="A2807" i="1"/>
  <c r="AF2806" i="1"/>
  <c r="AD2806" i="1"/>
  <c r="A2806" i="1"/>
  <c r="AF2805" i="1"/>
  <c r="AD2805" i="1"/>
  <c r="A2805" i="1"/>
  <c r="AF2804" i="1"/>
  <c r="AD2804" i="1"/>
  <c r="A2804" i="1"/>
  <c r="AF2803" i="1"/>
  <c r="AD2803" i="1"/>
  <c r="A2803" i="1"/>
  <c r="AF2802" i="1"/>
  <c r="AD2802" i="1"/>
  <c r="A2802" i="1"/>
  <c r="AF2801" i="1"/>
  <c r="AD2801" i="1"/>
  <c r="A2801" i="1"/>
  <c r="AF2800" i="1"/>
  <c r="AD2800" i="1"/>
  <c r="A2800" i="1"/>
  <c r="AF2799" i="1"/>
  <c r="AD2799" i="1"/>
  <c r="A2799" i="1"/>
  <c r="AF2798" i="1"/>
  <c r="AD2798" i="1"/>
  <c r="A2798" i="1"/>
  <c r="AF2797" i="1"/>
  <c r="AD2797" i="1"/>
  <c r="A2797" i="1"/>
  <c r="AF2796" i="1"/>
  <c r="AD2796" i="1"/>
  <c r="A2796" i="1"/>
  <c r="AF2795" i="1"/>
  <c r="AD2795" i="1"/>
  <c r="A2795" i="1"/>
  <c r="AF2794" i="1"/>
  <c r="AD2794" i="1"/>
  <c r="A2794" i="1"/>
  <c r="AF2793" i="1"/>
  <c r="AD2793" i="1"/>
  <c r="A2793" i="1"/>
  <c r="AF2792" i="1"/>
  <c r="AD2792" i="1"/>
  <c r="A2792" i="1"/>
  <c r="AF2791" i="1"/>
  <c r="AD2791" i="1"/>
  <c r="A2791" i="1"/>
  <c r="AF2790" i="1"/>
  <c r="AD2790" i="1"/>
  <c r="A2790" i="1"/>
  <c r="AF2789" i="1"/>
  <c r="AD2789" i="1"/>
  <c r="A2789" i="1"/>
  <c r="AF2788" i="1"/>
  <c r="AD2788" i="1"/>
  <c r="A2788" i="1"/>
  <c r="AF2787" i="1"/>
  <c r="AD2787" i="1"/>
  <c r="A2787" i="1"/>
  <c r="AF2786" i="1"/>
  <c r="AD2786" i="1"/>
  <c r="A2786" i="1"/>
  <c r="AF2785" i="1"/>
  <c r="AD2785" i="1"/>
  <c r="A2785" i="1"/>
  <c r="AF2784" i="1"/>
  <c r="AD2784" i="1"/>
  <c r="A2784" i="1"/>
  <c r="AF2783" i="1"/>
  <c r="AD2783" i="1"/>
  <c r="A2783" i="1"/>
  <c r="AF2782" i="1"/>
  <c r="AD2782" i="1"/>
  <c r="A2782" i="1"/>
  <c r="AF2781" i="1"/>
  <c r="AD2781" i="1"/>
  <c r="A2781" i="1"/>
  <c r="AF2780" i="1"/>
  <c r="AD2780" i="1"/>
  <c r="A2780" i="1"/>
  <c r="AF2779" i="1"/>
  <c r="AD2779" i="1"/>
  <c r="A2779" i="1"/>
  <c r="AF2778" i="1"/>
  <c r="AD2778" i="1"/>
  <c r="A2778" i="1"/>
  <c r="AF2777" i="1"/>
  <c r="AD2777" i="1"/>
  <c r="A2777" i="1"/>
  <c r="AF2776" i="1"/>
  <c r="AD2776" i="1"/>
  <c r="A2776" i="1"/>
  <c r="AF2775" i="1"/>
  <c r="AD2775" i="1"/>
  <c r="A2775" i="1"/>
  <c r="AF2774" i="1"/>
  <c r="AD2774" i="1"/>
  <c r="A2774" i="1"/>
  <c r="AF2773" i="1"/>
  <c r="AD2773" i="1"/>
  <c r="A2773" i="1"/>
  <c r="AF2772" i="1"/>
  <c r="AD2772" i="1"/>
  <c r="A2772" i="1"/>
  <c r="AF2771" i="1"/>
  <c r="AD2771" i="1"/>
  <c r="A2771" i="1"/>
  <c r="AF2770" i="1"/>
  <c r="AD2770" i="1"/>
  <c r="A2770" i="1"/>
  <c r="AF2769" i="1"/>
  <c r="AD2769" i="1"/>
  <c r="A2769" i="1"/>
  <c r="AF2768" i="1"/>
  <c r="AD2768" i="1"/>
  <c r="A2768" i="1"/>
  <c r="AF2767" i="1"/>
  <c r="AD2767" i="1"/>
  <c r="A2767" i="1"/>
  <c r="AF2766" i="1"/>
  <c r="AD2766" i="1"/>
  <c r="A2766" i="1"/>
  <c r="AF2765" i="1"/>
  <c r="AD2765" i="1"/>
  <c r="A2765" i="1"/>
  <c r="AF2764" i="1"/>
  <c r="AD2764" i="1"/>
  <c r="A2764" i="1"/>
  <c r="AF2763" i="1"/>
  <c r="AD2763" i="1"/>
  <c r="A2763" i="1"/>
  <c r="AF2762" i="1"/>
  <c r="AD2762" i="1"/>
  <c r="A2762" i="1"/>
  <c r="AF2761" i="1"/>
  <c r="AD2761" i="1"/>
  <c r="A2761" i="1"/>
  <c r="AF2760" i="1"/>
  <c r="AD2760" i="1"/>
  <c r="A2760" i="1"/>
  <c r="AF2759" i="1"/>
  <c r="AD2759" i="1"/>
  <c r="A2759" i="1"/>
  <c r="AF2758" i="1"/>
  <c r="AD2758" i="1"/>
  <c r="A2758" i="1"/>
  <c r="AF2757" i="1"/>
  <c r="AD2757" i="1"/>
  <c r="A2757" i="1"/>
  <c r="AF2756" i="1"/>
  <c r="AD2756" i="1"/>
  <c r="A2756" i="1"/>
  <c r="AF2755" i="1"/>
  <c r="AD2755" i="1"/>
  <c r="A2755" i="1"/>
  <c r="AF2754" i="1"/>
  <c r="AD2754" i="1"/>
  <c r="A2754" i="1"/>
  <c r="AF2753" i="1"/>
  <c r="AD2753" i="1"/>
  <c r="A2753" i="1"/>
  <c r="AF2752" i="1"/>
  <c r="AD2752" i="1"/>
  <c r="A2752" i="1"/>
  <c r="AF2751" i="1"/>
  <c r="AD2751" i="1"/>
  <c r="A2751" i="1"/>
  <c r="AF2750" i="1"/>
  <c r="AD2750" i="1"/>
  <c r="A2750" i="1"/>
  <c r="AF2749" i="1"/>
  <c r="AD2749" i="1"/>
  <c r="A2749" i="1"/>
  <c r="AF2748" i="1"/>
  <c r="AD2748" i="1"/>
  <c r="A2748" i="1"/>
  <c r="AF2747" i="1"/>
  <c r="AD2747" i="1"/>
  <c r="A2747" i="1"/>
  <c r="AF2746" i="1"/>
  <c r="AD2746" i="1"/>
  <c r="A2746" i="1"/>
  <c r="AF2745" i="1"/>
  <c r="AD2745" i="1"/>
  <c r="A2745" i="1"/>
  <c r="AF2744" i="1"/>
  <c r="AD2744" i="1"/>
  <c r="A2744" i="1"/>
  <c r="AF2743" i="1"/>
  <c r="AD2743" i="1"/>
  <c r="A2743" i="1"/>
  <c r="AF2742" i="1"/>
  <c r="AD2742" i="1"/>
  <c r="A2742" i="1"/>
  <c r="AF2741" i="1"/>
  <c r="AD2741" i="1"/>
  <c r="A2741" i="1"/>
  <c r="AF2740" i="1"/>
  <c r="AD2740" i="1"/>
  <c r="A2740" i="1"/>
  <c r="AF2739" i="1"/>
  <c r="AD2739" i="1"/>
  <c r="A2739" i="1"/>
  <c r="AF2738" i="1"/>
  <c r="AD2738" i="1"/>
  <c r="A2738" i="1"/>
  <c r="AF2737" i="1"/>
  <c r="AD2737" i="1"/>
  <c r="A2737" i="1"/>
  <c r="AF2736" i="1"/>
  <c r="AD2736" i="1"/>
  <c r="A2736" i="1"/>
  <c r="AF2735" i="1"/>
  <c r="AD2735" i="1"/>
  <c r="A2735" i="1"/>
  <c r="AF2734" i="1"/>
  <c r="AD2734" i="1"/>
  <c r="A2734" i="1"/>
  <c r="AF2733" i="1"/>
  <c r="AD2733" i="1"/>
  <c r="A2733" i="1"/>
  <c r="AF2732" i="1"/>
  <c r="AD2732" i="1"/>
  <c r="A2732" i="1"/>
  <c r="AF2731" i="1"/>
  <c r="AD2731" i="1"/>
  <c r="A2731" i="1"/>
  <c r="AF2730" i="1"/>
  <c r="AD2730" i="1"/>
  <c r="A2730" i="1"/>
  <c r="AF2729" i="1"/>
  <c r="AD2729" i="1"/>
  <c r="A2729" i="1"/>
  <c r="AF2728" i="1"/>
  <c r="AD2728" i="1"/>
  <c r="A2728" i="1"/>
  <c r="AF2727" i="1"/>
  <c r="AD2727" i="1"/>
  <c r="A2727" i="1"/>
  <c r="AF2726" i="1"/>
  <c r="AD2726" i="1"/>
  <c r="A2726" i="1"/>
  <c r="AF2725" i="1"/>
  <c r="AD2725" i="1"/>
  <c r="A2725" i="1"/>
  <c r="AF2724" i="1"/>
  <c r="AD2724" i="1"/>
  <c r="A2724" i="1"/>
  <c r="AF2723" i="1"/>
  <c r="AD2723" i="1"/>
  <c r="A2723" i="1"/>
  <c r="AF2722" i="1"/>
  <c r="AD2722" i="1"/>
  <c r="A2722" i="1"/>
  <c r="AF2721" i="1"/>
  <c r="AD2721" i="1"/>
  <c r="A2721" i="1"/>
  <c r="AF2720" i="1"/>
  <c r="AD2720" i="1"/>
  <c r="A2720" i="1"/>
  <c r="AF2719" i="1"/>
  <c r="AD2719" i="1"/>
  <c r="A2719" i="1"/>
  <c r="AF2718" i="1"/>
  <c r="AD2718" i="1"/>
  <c r="A2718" i="1"/>
  <c r="AF2717" i="1"/>
  <c r="AD2717" i="1"/>
  <c r="A2717" i="1"/>
  <c r="AF2716" i="1"/>
  <c r="AD2716" i="1"/>
  <c r="A2716" i="1"/>
  <c r="AF2715" i="1"/>
  <c r="AD2715" i="1"/>
  <c r="A2715" i="1"/>
  <c r="AF2714" i="1"/>
  <c r="AD2714" i="1"/>
  <c r="A2714" i="1"/>
  <c r="AF2713" i="1"/>
  <c r="AD2713" i="1"/>
  <c r="A2713" i="1"/>
  <c r="AF2712" i="1"/>
  <c r="AD2712" i="1"/>
  <c r="A2712" i="1"/>
  <c r="AF2711" i="1"/>
  <c r="AD2711" i="1"/>
  <c r="A2711" i="1"/>
  <c r="AF2710" i="1"/>
  <c r="AD2710" i="1"/>
  <c r="A2710" i="1"/>
  <c r="AF2709" i="1"/>
  <c r="AD2709" i="1"/>
  <c r="A2709" i="1"/>
  <c r="AF2708" i="1"/>
  <c r="AD2708" i="1"/>
  <c r="A2708" i="1"/>
  <c r="AF2707" i="1"/>
  <c r="AD2707" i="1"/>
  <c r="A2707" i="1"/>
  <c r="AF2706" i="1"/>
  <c r="AD2706" i="1"/>
  <c r="A2706" i="1"/>
  <c r="AF2705" i="1"/>
  <c r="AD2705" i="1"/>
  <c r="A2705" i="1"/>
  <c r="AF2704" i="1"/>
  <c r="AD2704" i="1"/>
  <c r="A2704" i="1"/>
  <c r="AF2703" i="1"/>
  <c r="AD2703" i="1"/>
  <c r="A2703" i="1"/>
  <c r="AF2702" i="1"/>
  <c r="AD2702" i="1"/>
  <c r="A2702" i="1"/>
  <c r="AF2701" i="1"/>
  <c r="AD2701" i="1"/>
  <c r="A2701" i="1"/>
  <c r="AF2700" i="1"/>
  <c r="AD2700" i="1"/>
  <c r="A2700" i="1"/>
  <c r="AF2699" i="1"/>
  <c r="AD2699" i="1"/>
  <c r="A2699" i="1"/>
  <c r="AF2698" i="1"/>
  <c r="AD2698" i="1"/>
  <c r="A2698" i="1"/>
  <c r="AF2697" i="1"/>
  <c r="AD2697" i="1"/>
  <c r="A2697" i="1"/>
  <c r="AF2696" i="1"/>
  <c r="AD2696" i="1"/>
  <c r="A2696" i="1"/>
  <c r="AF2695" i="1"/>
  <c r="AD2695" i="1"/>
  <c r="A2695" i="1"/>
  <c r="AF2694" i="1"/>
  <c r="AD2694" i="1"/>
  <c r="A2694" i="1"/>
  <c r="AF2693" i="1"/>
  <c r="AD2693" i="1"/>
  <c r="A2693" i="1"/>
  <c r="AF2692" i="1"/>
  <c r="AD2692" i="1"/>
  <c r="A2692" i="1"/>
  <c r="AF2691" i="1"/>
  <c r="AD2691" i="1"/>
  <c r="A2691" i="1"/>
  <c r="AF2690" i="1"/>
  <c r="AD2690" i="1"/>
  <c r="A2690" i="1"/>
  <c r="AF2689" i="1"/>
  <c r="AD2689" i="1"/>
  <c r="A2689" i="1"/>
  <c r="AF2688" i="1"/>
  <c r="AD2688" i="1"/>
  <c r="A2688" i="1"/>
  <c r="AF2687" i="1"/>
  <c r="AD2687" i="1"/>
  <c r="A2687" i="1"/>
  <c r="AF2686" i="1"/>
  <c r="AD2686" i="1"/>
  <c r="A2686" i="1"/>
  <c r="AF2685" i="1"/>
  <c r="AD2685" i="1"/>
  <c r="A2685" i="1"/>
  <c r="AF2684" i="1"/>
  <c r="AD2684" i="1"/>
  <c r="A2684" i="1"/>
  <c r="AF2683" i="1"/>
  <c r="AD2683" i="1"/>
  <c r="A2683" i="1"/>
  <c r="AF2682" i="1"/>
  <c r="AD2682" i="1"/>
  <c r="A2682" i="1"/>
  <c r="AF2681" i="1"/>
  <c r="AD2681" i="1"/>
  <c r="A2681" i="1"/>
  <c r="AF2680" i="1"/>
  <c r="AD2680" i="1"/>
  <c r="A2680" i="1"/>
  <c r="AF2679" i="1"/>
  <c r="AD2679" i="1"/>
  <c r="A2679" i="1"/>
  <c r="AF2678" i="1"/>
  <c r="AD2678" i="1"/>
  <c r="A2678" i="1"/>
  <c r="AF2677" i="1"/>
  <c r="AD2677" i="1"/>
  <c r="A2677" i="1"/>
  <c r="AF2676" i="1"/>
  <c r="AD2676" i="1"/>
  <c r="A2676" i="1"/>
  <c r="AF2675" i="1"/>
  <c r="AD2675" i="1"/>
  <c r="A2675" i="1"/>
  <c r="AF2674" i="1"/>
  <c r="AD2674" i="1"/>
  <c r="A2674" i="1"/>
  <c r="AF2673" i="1"/>
  <c r="AD2673" i="1"/>
  <c r="A2673" i="1"/>
  <c r="AF2672" i="1"/>
  <c r="AD2672" i="1"/>
  <c r="A2672" i="1"/>
  <c r="AF2671" i="1"/>
  <c r="AD2671" i="1"/>
  <c r="A2671" i="1"/>
  <c r="AF2670" i="1"/>
  <c r="AD2670" i="1"/>
  <c r="A2670" i="1"/>
  <c r="AF2669" i="1"/>
  <c r="AD2669" i="1"/>
  <c r="A2669" i="1"/>
  <c r="AF2668" i="1"/>
  <c r="AD2668" i="1"/>
  <c r="A2668" i="1"/>
  <c r="AF2667" i="1"/>
  <c r="AD2667" i="1"/>
  <c r="A2667" i="1"/>
  <c r="AF2666" i="1"/>
  <c r="AD2666" i="1"/>
  <c r="A2666" i="1"/>
  <c r="AF2665" i="1"/>
  <c r="AD2665" i="1"/>
  <c r="A2665" i="1"/>
  <c r="AF2664" i="1"/>
  <c r="AD2664" i="1"/>
  <c r="A2664" i="1"/>
  <c r="AF2663" i="1"/>
  <c r="AD2663" i="1"/>
  <c r="A2663" i="1"/>
  <c r="AF2662" i="1"/>
  <c r="AD2662" i="1"/>
  <c r="A2662" i="1"/>
  <c r="AF2661" i="1"/>
  <c r="AD2661" i="1"/>
  <c r="A2661" i="1"/>
  <c r="AF2660" i="1"/>
  <c r="AD2660" i="1"/>
  <c r="A2660" i="1"/>
  <c r="AF2659" i="1"/>
  <c r="AD2659" i="1"/>
  <c r="A2659" i="1"/>
  <c r="AF2658" i="1"/>
  <c r="AD2658" i="1"/>
  <c r="A2658" i="1"/>
  <c r="AF2657" i="1"/>
  <c r="AD2657" i="1"/>
  <c r="A2657" i="1"/>
  <c r="AF2656" i="1"/>
  <c r="AD2656" i="1"/>
  <c r="A2656" i="1"/>
  <c r="AF2655" i="1"/>
  <c r="AD2655" i="1"/>
  <c r="A2655" i="1"/>
  <c r="AF2654" i="1"/>
  <c r="AD2654" i="1"/>
  <c r="A2654" i="1"/>
  <c r="AF2653" i="1"/>
  <c r="AD2653" i="1"/>
  <c r="A2653" i="1"/>
  <c r="AF2652" i="1"/>
  <c r="AD2652" i="1"/>
  <c r="A2652" i="1"/>
  <c r="AF2651" i="1"/>
  <c r="AD2651" i="1"/>
  <c r="A2651" i="1"/>
  <c r="AF2650" i="1"/>
  <c r="AD2650" i="1"/>
  <c r="A2650" i="1"/>
  <c r="AF2649" i="1"/>
  <c r="AD2649" i="1"/>
  <c r="A2649" i="1"/>
  <c r="AF2648" i="1"/>
  <c r="AD2648" i="1"/>
  <c r="A2648" i="1"/>
  <c r="AF2647" i="1"/>
  <c r="AD2647" i="1"/>
  <c r="A2647" i="1"/>
  <c r="AF2646" i="1"/>
  <c r="AD2646" i="1"/>
  <c r="A2646" i="1"/>
  <c r="AF2645" i="1"/>
  <c r="AD2645" i="1"/>
  <c r="A2645" i="1"/>
  <c r="AF2644" i="1"/>
  <c r="AD2644" i="1"/>
  <c r="A2644" i="1"/>
  <c r="AF2643" i="1"/>
  <c r="AD2643" i="1"/>
  <c r="A2643" i="1"/>
  <c r="AF2642" i="1"/>
  <c r="AD2642" i="1"/>
  <c r="A2642" i="1"/>
  <c r="AF2641" i="1"/>
  <c r="AD2641" i="1"/>
  <c r="A2641" i="1"/>
  <c r="AF2640" i="1"/>
  <c r="AD2640" i="1"/>
  <c r="A2640" i="1"/>
  <c r="AF2639" i="1"/>
  <c r="AD2639" i="1"/>
  <c r="A2639" i="1"/>
  <c r="AF2638" i="1"/>
  <c r="AD2638" i="1"/>
  <c r="A2638" i="1"/>
  <c r="AF2637" i="1"/>
  <c r="AD2637" i="1"/>
  <c r="A2637" i="1"/>
  <c r="AF2636" i="1"/>
  <c r="AD2636" i="1"/>
  <c r="A2636" i="1"/>
  <c r="AF2635" i="1"/>
  <c r="AD2635" i="1"/>
  <c r="A2635" i="1"/>
  <c r="AF2634" i="1"/>
  <c r="AD2634" i="1"/>
  <c r="A2634" i="1"/>
  <c r="AF2633" i="1"/>
  <c r="AD2633" i="1"/>
  <c r="A2633" i="1"/>
  <c r="AF2632" i="1"/>
  <c r="AD2632" i="1"/>
  <c r="A2632" i="1"/>
  <c r="AF2631" i="1"/>
  <c r="AD2631" i="1"/>
  <c r="A2631" i="1"/>
  <c r="AF2630" i="1"/>
  <c r="AD2630" i="1"/>
  <c r="A2630" i="1"/>
  <c r="AF2629" i="1"/>
  <c r="AD2629" i="1"/>
  <c r="A2629" i="1"/>
  <c r="AF2628" i="1"/>
  <c r="AD2628" i="1"/>
  <c r="A2628" i="1"/>
  <c r="AF2627" i="1"/>
  <c r="AD2627" i="1"/>
  <c r="A2627" i="1"/>
  <c r="AF2626" i="1"/>
  <c r="AD2626" i="1"/>
  <c r="A2626" i="1"/>
  <c r="AF2625" i="1"/>
  <c r="AD2625" i="1"/>
  <c r="A2625" i="1"/>
  <c r="AF2624" i="1"/>
  <c r="AD2624" i="1"/>
  <c r="A2624" i="1"/>
  <c r="AF2623" i="1"/>
  <c r="AD2623" i="1"/>
  <c r="A2623" i="1"/>
  <c r="AF2622" i="1"/>
  <c r="AD2622" i="1"/>
  <c r="A2622" i="1"/>
  <c r="AF2621" i="1"/>
  <c r="AD2621" i="1"/>
  <c r="A2621" i="1"/>
  <c r="AF2620" i="1"/>
  <c r="AD2620" i="1"/>
  <c r="A2620" i="1"/>
  <c r="AF2619" i="1"/>
  <c r="AD2619" i="1"/>
  <c r="A2619" i="1"/>
  <c r="AF2618" i="1"/>
  <c r="AD2618" i="1"/>
  <c r="A2618" i="1"/>
  <c r="AF2617" i="1"/>
  <c r="AD2617" i="1"/>
  <c r="A2617" i="1"/>
  <c r="AF2616" i="1"/>
  <c r="AD2616" i="1"/>
  <c r="A2616" i="1"/>
  <c r="AF2615" i="1"/>
  <c r="AD2615" i="1"/>
  <c r="A2615" i="1"/>
  <c r="AF2614" i="1"/>
  <c r="AD2614" i="1"/>
  <c r="A2614" i="1"/>
  <c r="AF2613" i="1"/>
  <c r="AD2613" i="1"/>
  <c r="A2613" i="1"/>
  <c r="AF2612" i="1"/>
  <c r="AD2612" i="1"/>
  <c r="A2612" i="1"/>
  <c r="AF2611" i="1"/>
  <c r="AD2611" i="1"/>
  <c r="A2611" i="1"/>
  <c r="AF2610" i="1"/>
  <c r="AD2610" i="1"/>
  <c r="A2610" i="1"/>
  <c r="AF2609" i="1"/>
  <c r="AD2609" i="1"/>
  <c r="A2609" i="1"/>
  <c r="AF2608" i="1"/>
  <c r="AD2608" i="1"/>
  <c r="A2608" i="1"/>
  <c r="AF2607" i="1"/>
  <c r="AD2607" i="1"/>
  <c r="A2607" i="1"/>
  <c r="AF2606" i="1"/>
  <c r="AD2606" i="1"/>
  <c r="A2606" i="1"/>
  <c r="AF2605" i="1"/>
  <c r="AD2605" i="1"/>
  <c r="A2605" i="1"/>
  <c r="AF2604" i="1"/>
  <c r="AD2604" i="1"/>
  <c r="A2604" i="1"/>
  <c r="AF2603" i="1"/>
  <c r="AD2603" i="1"/>
  <c r="A2603" i="1"/>
  <c r="AF2602" i="1"/>
  <c r="AD2602" i="1"/>
  <c r="A2602" i="1"/>
  <c r="AF2601" i="1"/>
  <c r="AD2601" i="1"/>
  <c r="A2601" i="1"/>
  <c r="AF2600" i="1"/>
  <c r="AD2600" i="1"/>
  <c r="A2600" i="1"/>
  <c r="AF2599" i="1"/>
  <c r="AD2599" i="1"/>
  <c r="A2599" i="1"/>
  <c r="AF2598" i="1"/>
  <c r="AD2598" i="1"/>
  <c r="A2598" i="1"/>
  <c r="AF2597" i="1"/>
  <c r="AD2597" i="1"/>
  <c r="A2597" i="1"/>
  <c r="AF2596" i="1"/>
  <c r="AD2596" i="1"/>
  <c r="A2596" i="1"/>
  <c r="AF2595" i="1"/>
  <c r="AD2595" i="1"/>
  <c r="A2595" i="1"/>
  <c r="AF2594" i="1"/>
  <c r="AD2594" i="1"/>
  <c r="A2594" i="1"/>
  <c r="AF2593" i="1"/>
  <c r="AD2593" i="1"/>
  <c r="A2593" i="1"/>
  <c r="AF2592" i="1"/>
  <c r="AD2592" i="1"/>
  <c r="A2592" i="1"/>
  <c r="AF2591" i="1"/>
  <c r="AD2591" i="1"/>
  <c r="A2591" i="1"/>
  <c r="AF2590" i="1"/>
  <c r="AD2590" i="1"/>
  <c r="A2590" i="1"/>
  <c r="AF2589" i="1"/>
  <c r="AD2589" i="1"/>
  <c r="A2589" i="1"/>
  <c r="AF2588" i="1"/>
  <c r="AD2588" i="1"/>
  <c r="A2588" i="1"/>
  <c r="AF2587" i="1"/>
  <c r="AD2587" i="1"/>
  <c r="A2587" i="1"/>
  <c r="AF2586" i="1"/>
  <c r="AD2586" i="1"/>
  <c r="A2586" i="1"/>
  <c r="AF2585" i="1"/>
  <c r="AD2585" i="1"/>
  <c r="A2585" i="1"/>
  <c r="AF2584" i="1"/>
  <c r="AD2584" i="1"/>
  <c r="A2584" i="1"/>
  <c r="AF2583" i="1"/>
  <c r="AD2583" i="1"/>
  <c r="A2583" i="1"/>
  <c r="AF2582" i="1"/>
  <c r="AD2582" i="1"/>
  <c r="A2582" i="1"/>
  <c r="AF2581" i="1"/>
  <c r="AD2581" i="1"/>
  <c r="A2581" i="1"/>
  <c r="AF2580" i="1"/>
  <c r="AD2580" i="1"/>
  <c r="A2580" i="1"/>
  <c r="AF2579" i="1"/>
  <c r="AD2579" i="1"/>
  <c r="A2579" i="1"/>
  <c r="AF2578" i="1"/>
  <c r="AD2578" i="1"/>
  <c r="A2578" i="1"/>
  <c r="AF2577" i="1"/>
  <c r="AD2577" i="1"/>
  <c r="A2577" i="1"/>
  <c r="AF2576" i="1"/>
  <c r="AD2576" i="1"/>
  <c r="A2576" i="1"/>
  <c r="AF2575" i="1"/>
  <c r="AD2575" i="1"/>
  <c r="A2575" i="1"/>
  <c r="AF2574" i="1"/>
  <c r="AD2574" i="1"/>
  <c r="A2574" i="1"/>
  <c r="AF2573" i="1"/>
  <c r="AD2573" i="1"/>
  <c r="A2573" i="1"/>
  <c r="AF2572" i="1"/>
  <c r="AD2572" i="1"/>
  <c r="A2572" i="1"/>
  <c r="AF2571" i="1"/>
  <c r="AD2571" i="1"/>
  <c r="A2571" i="1"/>
  <c r="AF2570" i="1"/>
  <c r="AD2570" i="1"/>
  <c r="A2570" i="1"/>
  <c r="AF2569" i="1"/>
  <c r="AD2569" i="1"/>
  <c r="A2569" i="1"/>
  <c r="AF2568" i="1"/>
  <c r="AD2568" i="1"/>
  <c r="A2568" i="1"/>
  <c r="AF2567" i="1"/>
  <c r="AD2567" i="1"/>
  <c r="A2567" i="1"/>
  <c r="AF2566" i="1"/>
  <c r="AD2566" i="1"/>
  <c r="A2566" i="1"/>
  <c r="AF2565" i="1"/>
  <c r="AD2565" i="1"/>
  <c r="A2565" i="1"/>
  <c r="AF2564" i="1"/>
  <c r="AD2564" i="1"/>
  <c r="A2564" i="1"/>
  <c r="AF2563" i="1"/>
  <c r="AD2563" i="1"/>
  <c r="A2563" i="1"/>
  <c r="AF2562" i="1"/>
  <c r="AD2562" i="1"/>
  <c r="A2562" i="1"/>
  <c r="AF2561" i="1"/>
  <c r="AD2561" i="1"/>
  <c r="A2561" i="1"/>
  <c r="AF2560" i="1"/>
  <c r="AD2560" i="1"/>
  <c r="A2560" i="1"/>
  <c r="AF2559" i="1"/>
  <c r="AD2559" i="1"/>
  <c r="A2559" i="1"/>
  <c r="AF2558" i="1"/>
  <c r="AD2558" i="1"/>
  <c r="A2558" i="1"/>
  <c r="AF2557" i="1"/>
  <c r="AD2557" i="1"/>
  <c r="A2557" i="1"/>
  <c r="AF2556" i="1"/>
  <c r="AD2556" i="1"/>
  <c r="A2556" i="1"/>
  <c r="AF2555" i="1"/>
  <c r="AD2555" i="1"/>
  <c r="A2555" i="1"/>
  <c r="AF2554" i="1"/>
  <c r="AD2554" i="1"/>
  <c r="A2554" i="1"/>
  <c r="AF2553" i="1"/>
  <c r="AD2553" i="1"/>
  <c r="A2553" i="1"/>
  <c r="AF2552" i="1"/>
  <c r="AD2552" i="1"/>
  <c r="A2552" i="1"/>
  <c r="AF2551" i="1"/>
  <c r="AD2551" i="1"/>
  <c r="A2551" i="1"/>
  <c r="AF2550" i="1"/>
  <c r="AD2550" i="1"/>
  <c r="A2550" i="1"/>
  <c r="AF2549" i="1"/>
  <c r="AD2549" i="1"/>
  <c r="A2549" i="1"/>
  <c r="AF2548" i="1"/>
  <c r="AD2548" i="1"/>
  <c r="A2548" i="1"/>
  <c r="AF2547" i="1"/>
  <c r="AD2547" i="1"/>
  <c r="A2547" i="1"/>
  <c r="AF2546" i="1"/>
  <c r="AD2546" i="1"/>
  <c r="A2546" i="1"/>
  <c r="AF2545" i="1"/>
  <c r="AD2545" i="1"/>
  <c r="A2545" i="1"/>
  <c r="AF2544" i="1"/>
  <c r="AD2544" i="1"/>
  <c r="A2544" i="1"/>
  <c r="AF2543" i="1"/>
  <c r="AD2543" i="1"/>
  <c r="A2543" i="1"/>
  <c r="AF2542" i="1"/>
  <c r="AD2542" i="1"/>
  <c r="A2542" i="1"/>
  <c r="AF2541" i="1"/>
  <c r="AD2541" i="1"/>
  <c r="A2541" i="1"/>
  <c r="AF2540" i="1"/>
  <c r="AD2540" i="1"/>
  <c r="A2540" i="1"/>
  <c r="AF2539" i="1"/>
  <c r="AD2539" i="1"/>
  <c r="A2539" i="1"/>
  <c r="AF2538" i="1"/>
  <c r="AD2538" i="1"/>
  <c r="A2538" i="1"/>
  <c r="AF2537" i="1"/>
  <c r="AD2537" i="1"/>
  <c r="A2537" i="1"/>
  <c r="AF2536" i="1"/>
  <c r="AD2536" i="1"/>
  <c r="A2536" i="1"/>
  <c r="AF2535" i="1"/>
  <c r="AD2535" i="1"/>
  <c r="A2535" i="1"/>
  <c r="AF2534" i="1"/>
  <c r="AD2534" i="1"/>
  <c r="A2534" i="1"/>
  <c r="AF2533" i="1"/>
  <c r="AD2533" i="1"/>
  <c r="A2533" i="1"/>
  <c r="AF2532" i="1"/>
  <c r="AD2532" i="1"/>
  <c r="A2532" i="1"/>
  <c r="AF2531" i="1"/>
  <c r="AD2531" i="1"/>
  <c r="A2531" i="1"/>
  <c r="AF2530" i="1"/>
  <c r="AD2530" i="1"/>
  <c r="A2530" i="1"/>
  <c r="AF2529" i="1"/>
  <c r="AD2529" i="1"/>
  <c r="A2529" i="1"/>
  <c r="AF2528" i="1"/>
  <c r="AD2528" i="1"/>
  <c r="A2528" i="1"/>
  <c r="AF2527" i="1"/>
  <c r="AD2527" i="1"/>
  <c r="A2527" i="1"/>
  <c r="AF2526" i="1"/>
  <c r="AD2526" i="1"/>
  <c r="A2526" i="1"/>
  <c r="AF2525" i="1"/>
  <c r="AD2525" i="1"/>
  <c r="A2525" i="1"/>
  <c r="AF2524" i="1"/>
  <c r="AD2524" i="1"/>
  <c r="A2524" i="1"/>
  <c r="AF2523" i="1"/>
  <c r="AD2523" i="1"/>
  <c r="A2523" i="1"/>
  <c r="AF2522" i="1"/>
  <c r="AD2522" i="1"/>
  <c r="A2522" i="1"/>
  <c r="AF2521" i="1"/>
  <c r="AD2521" i="1"/>
  <c r="A2521" i="1"/>
  <c r="AF2520" i="1"/>
  <c r="AD2520" i="1"/>
  <c r="A2520" i="1"/>
  <c r="AF2519" i="1"/>
  <c r="AD2519" i="1"/>
  <c r="A2519" i="1"/>
  <c r="AF2518" i="1"/>
  <c r="AD2518" i="1"/>
  <c r="A2518" i="1"/>
  <c r="AF2517" i="1"/>
  <c r="AD2517" i="1"/>
  <c r="A2517" i="1"/>
  <c r="AF2516" i="1"/>
  <c r="AD2516" i="1"/>
  <c r="A2516" i="1"/>
  <c r="AF2515" i="1"/>
  <c r="AD2515" i="1"/>
  <c r="A2515" i="1"/>
  <c r="AF2514" i="1"/>
  <c r="AD2514" i="1"/>
  <c r="A2514" i="1"/>
  <c r="AF2513" i="1"/>
  <c r="AD2513" i="1"/>
  <c r="A2513" i="1"/>
  <c r="AF2512" i="1"/>
  <c r="AD2512" i="1"/>
  <c r="A2512" i="1"/>
  <c r="AF2511" i="1"/>
  <c r="AD2511" i="1"/>
  <c r="A2511" i="1"/>
  <c r="AF2510" i="1"/>
  <c r="AD2510" i="1"/>
  <c r="A2510" i="1"/>
  <c r="AF2509" i="1"/>
  <c r="AD2509" i="1"/>
  <c r="A2509" i="1"/>
  <c r="AF2508" i="1"/>
  <c r="AD2508" i="1"/>
  <c r="A2508" i="1"/>
  <c r="AF2507" i="1"/>
  <c r="AD2507" i="1"/>
  <c r="A2507" i="1"/>
  <c r="AF2506" i="1"/>
  <c r="AD2506" i="1"/>
  <c r="A2506" i="1"/>
  <c r="AF2505" i="1"/>
  <c r="AD2505" i="1"/>
  <c r="A2505" i="1"/>
  <c r="AF2504" i="1"/>
  <c r="AD2504" i="1"/>
  <c r="A2504" i="1"/>
  <c r="AF2503" i="1"/>
  <c r="AD2503" i="1"/>
  <c r="A2503" i="1"/>
  <c r="AF2502" i="1"/>
  <c r="AD2502" i="1"/>
  <c r="A2502" i="1"/>
  <c r="AF2501" i="1"/>
  <c r="AD2501" i="1"/>
  <c r="A2501" i="1"/>
  <c r="AF2500" i="1"/>
  <c r="AD2500" i="1"/>
  <c r="A2500" i="1"/>
  <c r="AF2499" i="1"/>
  <c r="AD2499" i="1"/>
  <c r="A2499" i="1"/>
  <c r="AF2498" i="1"/>
  <c r="AD2498" i="1"/>
  <c r="A2498" i="1"/>
  <c r="AF2497" i="1"/>
  <c r="AD2497" i="1"/>
  <c r="A2497" i="1"/>
  <c r="AF2496" i="1"/>
  <c r="AD2496" i="1"/>
  <c r="A2496" i="1"/>
  <c r="AF2495" i="1"/>
  <c r="AD2495" i="1"/>
  <c r="A2495" i="1"/>
  <c r="AF2494" i="1"/>
  <c r="AD2494" i="1"/>
  <c r="A2494" i="1"/>
  <c r="AF2493" i="1"/>
  <c r="AD2493" i="1"/>
  <c r="A2493" i="1"/>
  <c r="AF2492" i="1"/>
  <c r="AD2492" i="1"/>
  <c r="A2492" i="1"/>
  <c r="AF2491" i="1"/>
  <c r="AD2491" i="1"/>
  <c r="A2491" i="1"/>
  <c r="AF2490" i="1"/>
  <c r="AD2490" i="1"/>
  <c r="A2490" i="1"/>
  <c r="AF2489" i="1"/>
  <c r="AD2489" i="1"/>
  <c r="A2489" i="1"/>
  <c r="AF2488" i="1"/>
  <c r="AD2488" i="1"/>
  <c r="A2488" i="1"/>
  <c r="AF2487" i="1"/>
  <c r="AD2487" i="1"/>
  <c r="A2487" i="1"/>
  <c r="AF2486" i="1"/>
  <c r="AD2486" i="1"/>
  <c r="A2486" i="1"/>
  <c r="AF2485" i="1"/>
  <c r="AD2485" i="1"/>
  <c r="A2485" i="1"/>
  <c r="AF2484" i="1"/>
  <c r="AD2484" i="1"/>
  <c r="A2484" i="1"/>
  <c r="AF2483" i="1"/>
  <c r="AD2483" i="1"/>
  <c r="A2483" i="1"/>
  <c r="AF2482" i="1"/>
  <c r="AD2482" i="1"/>
  <c r="A2482" i="1"/>
  <c r="AF2481" i="1"/>
  <c r="AD2481" i="1"/>
  <c r="A2481" i="1"/>
  <c r="AF2480" i="1"/>
  <c r="AD2480" i="1"/>
  <c r="A2480" i="1"/>
  <c r="AF2479" i="1"/>
  <c r="AD2479" i="1"/>
  <c r="A2479" i="1"/>
  <c r="AF2478" i="1"/>
  <c r="AD2478" i="1"/>
  <c r="A2478" i="1"/>
  <c r="AF2477" i="1"/>
  <c r="AD2477" i="1"/>
  <c r="A2477" i="1"/>
  <c r="AF2476" i="1"/>
  <c r="AD2476" i="1"/>
  <c r="A2476" i="1"/>
  <c r="AF2475" i="1"/>
  <c r="AD2475" i="1"/>
  <c r="A2475" i="1"/>
  <c r="AF2474" i="1"/>
  <c r="AD2474" i="1"/>
  <c r="A2474" i="1"/>
  <c r="AF2473" i="1"/>
  <c r="AD2473" i="1"/>
  <c r="A2473" i="1"/>
  <c r="AF2472" i="1"/>
  <c r="AD2472" i="1"/>
  <c r="A2472" i="1"/>
  <c r="AF2471" i="1"/>
  <c r="AD2471" i="1"/>
  <c r="A2471" i="1"/>
  <c r="AF2470" i="1"/>
  <c r="AD2470" i="1"/>
  <c r="A2470" i="1"/>
  <c r="AF2469" i="1"/>
  <c r="AD2469" i="1"/>
  <c r="A2469" i="1"/>
  <c r="AF2468" i="1"/>
  <c r="AD2468" i="1"/>
  <c r="A2468" i="1"/>
  <c r="AF2467" i="1"/>
  <c r="AD2467" i="1"/>
  <c r="A2467" i="1"/>
  <c r="AF2466" i="1"/>
  <c r="AD2466" i="1"/>
  <c r="A2466" i="1"/>
  <c r="AF2465" i="1"/>
  <c r="AD2465" i="1"/>
  <c r="A2465" i="1"/>
  <c r="AF2464" i="1"/>
  <c r="AD2464" i="1"/>
  <c r="A2464" i="1"/>
  <c r="AF2463" i="1"/>
  <c r="AD2463" i="1"/>
  <c r="A2463" i="1"/>
  <c r="AF2462" i="1"/>
  <c r="AD2462" i="1"/>
  <c r="A2462" i="1"/>
  <c r="AF2461" i="1"/>
  <c r="AD2461" i="1"/>
  <c r="A2461" i="1"/>
  <c r="AF2460" i="1"/>
  <c r="AD2460" i="1"/>
  <c r="A2460" i="1"/>
  <c r="AF2459" i="1"/>
  <c r="AD2459" i="1"/>
  <c r="A2459" i="1"/>
  <c r="AF2458" i="1"/>
  <c r="AD2458" i="1"/>
  <c r="A2458" i="1"/>
  <c r="AF2457" i="1"/>
  <c r="AD2457" i="1"/>
  <c r="A2457" i="1"/>
  <c r="AF2456" i="1"/>
  <c r="AD2456" i="1"/>
  <c r="A2456" i="1"/>
  <c r="AF2455" i="1"/>
  <c r="AD2455" i="1"/>
  <c r="A2455" i="1"/>
  <c r="AF2454" i="1"/>
  <c r="AD2454" i="1"/>
  <c r="A2454" i="1"/>
  <c r="AF2453" i="1"/>
  <c r="AD2453" i="1"/>
  <c r="A2453" i="1"/>
  <c r="AF2452" i="1"/>
  <c r="AD2452" i="1"/>
  <c r="A2452" i="1"/>
  <c r="AF2451" i="1"/>
  <c r="AD2451" i="1"/>
  <c r="A2451" i="1"/>
  <c r="AF2450" i="1"/>
  <c r="AD2450" i="1"/>
  <c r="A2450" i="1"/>
  <c r="AF2449" i="1"/>
  <c r="AD2449" i="1"/>
  <c r="A2449" i="1"/>
  <c r="AF2448" i="1"/>
  <c r="AD2448" i="1"/>
  <c r="A2448" i="1"/>
  <c r="AF2447" i="1"/>
  <c r="AD2447" i="1"/>
  <c r="A2447" i="1"/>
  <c r="AF2446" i="1"/>
  <c r="AD2446" i="1"/>
  <c r="A2446" i="1"/>
  <c r="AF2445" i="1"/>
  <c r="AD2445" i="1"/>
  <c r="A2445" i="1"/>
  <c r="AF2444" i="1"/>
  <c r="AD2444" i="1"/>
  <c r="A2444" i="1"/>
  <c r="AF2443" i="1"/>
  <c r="AD2443" i="1"/>
  <c r="A2443" i="1"/>
  <c r="AF2442" i="1"/>
  <c r="AD2442" i="1"/>
  <c r="A2442" i="1"/>
  <c r="AF2441" i="1"/>
  <c r="AD2441" i="1"/>
  <c r="A2441" i="1"/>
  <c r="AF2440" i="1"/>
  <c r="AD2440" i="1"/>
  <c r="A2440" i="1"/>
  <c r="AF2439" i="1"/>
  <c r="AD2439" i="1"/>
  <c r="A2439" i="1"/>
  <c r="AF2438" i="1"/>
  <c r="AD2438" i="1"/>
  <c r="A2438" i="1"/>
  <c r="AF2437" i="1"/>
  <c r="AD2437" i="1"/>
  <c r="A2437" i="1"/>
  <c r="AF2436" i="1"/>
  <c r="AD2436" i="1"/>
  <c r="A2436" i="1"/>
  <c r="AF2435" i="1"/>
  <c r="AD2435" i="1"/>
  <c r="A2435" i="1"/>
  <c r="AF2434" i="1"/>
  <c r="AD2434" i="1"/>
  <c r="A2434" i="1"/>
  <c r="AF2433" i="1"/>
  <c r="AD2433" i="1"/>
  <c r="A2433" i="1"/>
  <c r="AF2432" i="1"/>
  <c r="AD2432" i="1"/>
  <c r="A2432" i="1"/>
  <c r="AF2431" i="1"/>
  <c r="AD2431" i="1"/>
  <c r="A2431" i="1"/>
  <c r="AF2430" i="1"/>
  <c r="AD2430" i="1"/>
  <c r="A2430" i="1"/>
  <c r="AF2429" i="1"/>
  <c r="AD2429" i="1"/>
  <c r="A2429" i="1"/>
  <c r="AF2428" i="1"/>
  <c r="AD2428" i="1"/>
  <c r="A2428" i="1"/>
  <c r="AF2427" i="1"/>
  <c r="AD2427" i="1"/>
  <c r="A2427" i="1"/>
  <c r="AF2426" i="1"/>
  <c r="AD2426" i="1"/>
  <c r="A2426" i="1"/>
  <c r="AF2425" i="1"/>
  <c r="AD2425" i="1"/>
  <c r="A2425" i="1"/>
  <c r="AF2424" i="1"/>
  <c r="AD2424" i="1"/>
  <c r="A2424" i="1"/>
  <c r="AF2423" i="1"/>
  <c r="AD2423" i="1"/>
  <c r="A2423" i="1"/>
  <c r="AF2422" i="1"/>
  <c r="AD2422" i="1"/>
  <c r="A2422" i="1"/>
  <c r="AF2421" i="1"/>
  <c r="AD2421" i="1"/>
  <c r="A2421" i="1"/>
  <c r="AF2420" i="1"/>
  <c r="AD2420" i="1"/>
  <c r="A2420" i="1"/>
  <c r="AF2419" i="1"/>
  <c r="AD2419" i="1"/>
  <c r="A2419" i="1"/>
  <c r="AF2418" i="1"/>
  <c r="AD2418" i="1"/>
  <c r="A2418" i="1"/>
  <c r="AF2417" i="1"/>
  <c r="AD2417" i="1"/>
  <c r="A2417" i="1"/>
  <c r="AF2416" i="1"/>
  <c r="AD2416" i="1"/>
  <c r="A2416" i="1"/>
  <c r="AF2415" i="1"/>
  <c r="AD2415" i="1"/>
  <c r="A2415" i="1"/>
  <c r="AF2414" i="1"/>
  <c r="AD2414" i="1"/>
  <c r="A2414" i="1"/>
  <c r="AF2413" i="1"/>
  <c r="AD2413" i="1"/>
  <c r="A2413" i="1"/>
  <c r="AF2412" i="1"/>
  <c r="AD2412" i="1"/>
  <c r="A2412" i="1"/>
  <c r="AF2411" i="1"/>
  <c r="AD2411" i="1"/>
  <c r="A2411" i="1"/>
  <c r="AF2410" i="1"/>
  <c r="AD2410" i="1"/>
  <c r="A2410" i="1"/>
  <c r="AF2409" i="1"/>
  <c r="AD2409" i="1"/>
  <c r="A2409" i="1"/>
  <c r="AF2408" i="1"/>
  <c r="AD2408" i="1"/>
  <c r="A2408" i="1"/>
  <c r="AF2407" i="1"/>
  <c r="AD2407" i="1"/>
  <c r="A2407" i="1"/>
  <c r="AF2406" i="1"/>
  <c r="AD2406" i="1"/>
  <c r="A2406" i="1"/>
  <c r="AF2405" i="1"/>
  <c r="AD2405" i="1"/>
  <c r="A2405" i="1"/>
  <c r="AF2404" i="1"/>
  <c r="AD2404" i="1"/>
  <c r="A2404" i="1"/>
  <c r="AF2403" i="1"/>
  <c r="AD2403" i="1"/>
  <c r="A2403" i="1"/>
  <c r="AF2402" i="1"/>
  <c r="AD2402" i="1"/>
  <c r="A2402" i="1"/>
  <c r="AF2401" i="1"/>
  <c r="AD2401" i="1"/>
  <c r="A2401" i="1"/>
  <c r="AF2400" i="1"/>
  <c r="AD2400" i="1"/>
  <c r="A2400" i="1"/>
  <c r="AF2399" i="1"/>
  <c r="AD2399" i="1"/>
  <c r="A2399" i="1"/>
  <c r="AF2398" i="1"/>
  <c r="AD2398" i="1"/>
  <c r="A2398" i="1"/>
  <c r="AF2397" i="1"/>
  <c r="AD2397" i="1"/>
  <c r="A2397" i="1"/>
  <c r="AF2396" i="1"/>
  <c r="AD2396" i="1"/>
  <c r="A2396" i="1"/>
  <c r="AF2395" i="1"/>
  <c r="AD2395" i="1"/>
  <c r="A2395" i="1"/>
  <c r="AF2394" i="1"/>
  <c r="AD2394" i="1"/>
  <c r="A2394" i="1"/>
  <c r="AF2393" i="1"/>
  <c r="AD2393" i="1"/>
  <c r="A2393" i="1"/>
  <c r="AF2392" i="1"/>
  <c r="AD2392" i="1"/>
  <c r="A2392" i="1"/>
  <c r="AF2391" i="1"/>
  <c r="AD2391" i="1"/>
  <c r="A2391" i="1"/>
  <c r="AF2390" i="1"/>
  <c r="AD2390" i="1"/>
  <c r="A2390" i="1"/>
  <c r="AF2389" i="1"/>
  <c r="AD2389" i="1"/>
  <c r="A2389" i="1"/>
  <c r="AF2388" i="1"/>
  <c r="AD2388" i="1"/>
  <c r="A2388" i="1"/>
  <c r="AF2387" i="1"/>
  <c r="AD2387" i="1"/>
  <c r="A2387" i="1"/>
  <c r="AF2386" i="1"/>
  <c r="AD2386" i="1"/>
  <c r="A2386" i="1"/>
  <c r="AF2385" i="1"/>
  <c r="AD2385" i="1"/>
  <c r="A2385" i="1"/>
  <c r="AF2384" i="1"/>
  <c r="AD2384" i="1"/>
  <c r="A2384" i="1"/>
  <c r="AF2383" i="1"/>
  <c r="AD2383" i="1"/>
  <c r="A2383" i="1"/>
  <c r="AF2382" i="1"/>
  <c r="AD2382" i="1"/>
  <c r="A2382" i="1"/>
  <c r="AF2381" i="1"/>
  <c r="AD2381" i="1"/>
  <c r="A2381" i="1"/>
  <c r="AF2380" i="1"/>
  <c r="AD2380" i="1"/>
  <c r="A2380" i="1"/>
  <c r="AF2379" i="1"/>
  <c r="AD2379" i="1"/>
  <c r="A2379" i="1"/>
  <c r="AF2378" i="1"/>
  <c r="AD2378" i="1"/>
  <c r="A2378" i="1"/>
  <c r="AF2377" i="1"/>
  <c r="AD2377" i="1"/>
  <c r="A2377" i="1"/>
  <c r="AF2376" i="1"/>
  <c r="AD2376" i="1"/>
  <c r="A2376" i="1"/>
  <c r="AF2375" i="1"/>
  <c r="AD2375" i="1"/>
  <c r="A2375" i="1"/>
  <c r="AF2374" i="1"/>
  <c r="AD2374" i="1"/>
  <c r="A2374" i="1"/>
  <c r="AF2373" i="1"/>
  <c r="AD2373" i="1"/>
  <c r="A2373" i="1"/>
  <c r="AF2372" i="1"/>
  <c r="AD2372" i="1"/>
  <c r="A2372" i="1"/>
  <c r="AF2371" i="1"/>
  <c r="AD2371" i="1"/>
  <c r="A2371" i="1"/>
  <c r="AF2370" i="1"/>
  <c r="AD2370" i="1"/>
  <c r="A2370" i="1"/>
  <c r="AF2369" i="1"/>
  <c r="AD2369" i="1"/>
  <c r="A2369" i="1"/>
  <c r="AF2368" i="1"/>
  <c r="AD2368" i="1"/>
  <c r="A2368" i="1"/>
  <c r="AF2367" i="1"/>
  <c r="AD2367" i="1"/>
  <c r="A2367" i="1"/>
  <c r="AF2366" i="1"/>
  <c r="AD2366" i="1"/>
  <c r="A2366" i="1"/>
  <c r="AF2365" i="1"/>
  <c r="AD2365" i="1"/>
  <c r="A2365" i="1"/>
  <c r="AF2364" i="1"/>
  <c r="AD2364" i="1"/>
  <c r="A2364" i="1"/>
  <c r="AF2363" i="1"/>
  <c r="AD2363" i="1"/>
  <c r="A2363" i="1"/>
  <c r="AF2362" i="1"/>
  <c r="AD2362" i="1"/>
  <c r="A2362" i="1"/>
  <c r="AF2361" i="1"/>
  <c r="AD2361" i="1"/>
  <c r="A2361" i="1"/>
  <c r="AF2360" i="1"/>
  <c r="AD2360" i="1"/>
  <c r="A2360" i="1"/>
  <c r="AF2359" i="1"/>
  <c r="AD2359" i="1"/>
  <c r="A2359" i="1"/>
  <c r="AF2358" i="1"/>
  <c r="AD2358" i="1"/>
  <c r="A2358" i="1"/>
  <c r="AF2357" i="1"/>
  <c r="AD2357" i="1"/>
  <c r="A2357" i="1"/>
  <c r="AF2356" i="1"/>
  <c r="AD2356" i="1"/>
  <c r="A2356" i="1"/>
  <c r="AF2355" i="1"/>
  <c r="AD2355" i="1"/>
  <c r="A2355" i="1"/>
  <c r="AF2354" i="1"/>
  <c r="AD2354" i="1"/>
  <c r="A2354" i="1"/>
  <c r="AF2353" i="1"/>
  <c r="AD2353" i="1"/>
  <c r="A2353" i="1"/>
  <c r="AF2352" i="1"/>
  <c r="AD2352" i="1"/>
  <c r="A2352" i="1"/>
  <c r="AF2351" i="1"/>
  <c r="AD2351" i="1"/>
  <c r="A2351" i="1"/>
  <c r="AF2350" i="1"/>
  <c r="AD2350" i="1"/>
  <c r="A2350" i="1"/>
  <c r="AF2349" i="1"/>
  <c r="AD2349" i="1"/>
  <c r="A2349" i="1"/>
  <c r="AF2348" i="1"/>
  <c r="AD2348" i="1"/>
  <c r="A2348" i="1"/>
  <c r="AF2347" i="1"/>
  <c r="AD2347" i="1"/>
  <c r="A2347" i="1"/>
  <c r="AF2346" i="1"/>
  <c r="AD2346" i="1"/>
  <c r="A2346" i="1"/>
  <c r="AF2345" i="1"/>
  <c r="AD2345" i="1"/>
  <c r="A2345" i="1"/>
  <c r="AF2344" i="1"/>
  <c r="AD2344" i="1"/>
  <c r="A2344" i="1"/>
  <c r="AF2343" i="1"/>
  <c r="AD2343" i="1"/>
  <c r="A2343" i="1"/>
  <c r="AF2342" i="1"/>
  <c r="AD2342" i="1"/>
  <c r="A2342" i="1"/>
  <c r="AF2341" i="1"/>
  <c r="AD2341" i="1"/>
  <c r="A2341" i="1"/>
  <c r="AF2340" i="1"/>
  <c r="AD2340" i="1"/>
  <c r="A2340" i="1"/>
  <c r="AF2339" i="1"/>
  <c r="AD2339" i="1"/>
  <c r="A2339" i="1"/>
  <c r="AF2338" i="1"/>
  <c r="AD2338" i="1"/>
  <c r="A2338" i="1"/>
  <c r="AF2337" i="1"/>
  <c r="AD2337" i="1"/>
  <c r="A2337" i="1"/>
  <c r="AF2336" i="1"/>
  <c r="AD2336" i="1"/>
  <c r="A2336" i="1"/>
  <c r="AF2335" i="1"/>
  <c r="AD2335" i="1"/>
  <c r="A2335" i="1"/>
  <c r="AF2334" i="1"/>
  <c r="AD2334" i="1"/>
  <c r="A2334" i="1"/>
  <c r="AF2333" i="1"/>
  <c r="AD2333" i="1"/>
  <c r="A2333" i="1"/>
  <c r="AF2332" i="1"/>
  <c r="AD2332" i="1"/>
  <c r="A2332" i="1"/>
  <c r="AF2331" i="1"/>
  <c r="AD2331" i="1"/>
  <c r="A2331" i="1"/>
  <c r="AF2330" i="1"/>
  <c r="AD2330" i="1"/>
  <c r="A2330" i="1"/>
  <c r="AF2329" i="1"/>
  <c r="AD2329" i="1"/>
  <c r="A2329" i="1"/>
  <c r="AF2328" i="1"/>
  <c r="AD2328" i="1"/>
  <c r="A2328" i="1"/>
  <c r="AF2327" i="1"/>
  <c r="AD2327" i="1"/>
  <c r="A2327" i="1"/>
  <c r="AF2326" i="1"/>
  <c r="AD2326" i="1"/>
  <c r="A2326" i="1"/>
  <c r="AF2325" i="1"/>
  <c r="AD2325" i="1"/>
  <c r="A2325" i="1"/>
  <c r="AF2324" i="1"/>
  <c r="AD2324" i="1"/>
  <c r="A2324" i="1"/>
  <c r="AF2323" i="1"/>
  <c r="AD2323" i="1"/>
  <c r="A2323" i="1"/>
  <c r="AF2322" i="1"/>
  <c r="AD2322" i="1"/>
  <c r="A2322" i="1"/>
  <c r="AF2321" i="1"/>
  <c r="AD2321" i="1"/>
  <c r="A2321" i="1"/>
  <c r="AF2320" i="1"/>
  <c r="AD2320" i="1"/>
  <c r="A2320" i="1"/>
  <c r="AF2319" i="1"/>
  <c r="AD2319" i="1"/>
  <c r="A2319" i="1"/>
  <c r="AF2318" i="1"/>
  <c r="AD2318" i="1"/>
  <c r="A2318" i="1"/>
  <c r="AF2317" i="1"/>
  <c r="AD2317" i="1"/>
  <c r="A2317" i="1"/>
  <c r="AF2316" i="1"/>
  <c r="AD2316" i="1"/>
  <c r="A2316" i="1"/>
  <c r="AF2315" i="1"/>
  <c r="AD2315" i="1"/>
  <c r="A2315" i="1"/>
  <c r="AF2314" i="1"/>
  <c r="AD2314" i="1"/>
  <c r="A2314" i="1"/>
  <c r="AF2313" i="1"/>
  <c r="AD2313" i="1"/>
  <c r="A2313" i="1"/>
  <c r="AF2312" i="1"/>
  <c r="AD2312" i="1"/>
  <c r="A2312" i="1"/>
  <c r="AF2311" i="1"/>
  <c r="AD2311" i="1"/>
  <c r="A2311" i="1"/>
  <c r="AF2310" i="1"/>
  <c r="AD2310" i="1"/>
  <c r="A2310" i="1"/>
  <c r="AF2309" i="1"/>
  <c r="AD2309" i="1"/>
  <c r="A2309" i="1"/>
  <c r="AF2308" i="1"/>
  <c r="AD2308" i="1"/>
  <c r="A2308" i="1"/>
  <c r="AF2307" i="1"/>
  <c r="AD2307" i="1"/>
  <c r="A2307" i="1"/>
  <c r="AF2306" i="1"/>
  <c r="AD2306" i="1"/>
  <c r="A2306" i="1"/>
  <c r="AF2305" i="1"/>
  <c r="AD2305" i="1"/>
  <c r="A2305" i="1"/>
  <c r="AF2304" i="1"/>
  <c r="AD2304" i="1"/>
  <c r="A2304" i="1"/>
  <c r="AF2303" i="1"/>
  <c r="AD2303" i="1"/>
  <c r="A2303" i="1"/>
  <c r="AF2302" i="1"/>
  <c r="AD2302" i="1"/>
  <c r="A2302" i="1"/>
  <c r="AF2301" i="1"/>
  <c r="AD2301" i="1"/>
  <c r="A2301" i="1"/>
  <c r="AF2300" i="1"/>
  <c r="AD2300" i="1"/>
  <c r="A2300" i="1"/>
  <c r="AF2299" i="1"/>
  <c r="AD2299" i="1"/>
  <c r="A2299" i="1"/>
  <c r="AF2298" i="1"/>
  <c r="AD2298" i="1"/>
  <c r="A2298" i="1"/>
  <c r="AF2297" i="1"/>
  <c r="AD2297" i="1"/>
  <c r="A2297" i="1"/>
  <c r="AF2296" i="1"/>
  <c r="AD2296" i="1"/>
  <c r="A2296" i="1"/>
  <c r="AF2295" i="1"/>
  <c r="AD2295" i="1"/>
  <c r="A2295" i="1"/>
  <c r="AF2294" i="1"/>
  <c r="AD2294" i="1"/>
  <c r="A2294" i="1"/>
  <c r="AF2293" i="1"/>
  <c r="AD2293" i="1"/>
  <c r="A2293" i="1"/>
  <c r="AF2292" i="1"/>
  <c r="AD2292" i="1"/>
  <c r="A2292" i="1"/>
  <c r="AF2291" i="1"/>
  <c r="AD2291" i="1"/>
  <c r="A2291" i="1"/>
  <c r="AF2290" i="1"/>
  <c r="AD2290" i="1"/>
  <c r="A2290" i="1"/>
  <c r="AF2289" i="1"/>
  <c r="AD2289" i="1"/>
  <c r="A2289" i="1"/>
  <c r="AF2288" i="1"/>
  <c r="AD2288" i="1"/>
  <c r="A2288" i="1"/>
  <c r="AF2287" i="1"/>
  <c r="AD2287" i="1"/>
  <c r="A2287" i="1"/>
  <c r="AF2286" i="1"/>
  <c r="AD2286" i="1"/>
  <c r="A2286" i="1"/>
  <c r="AF2285" i="1"/>
  <c r="AD2285" i="1"/>
  <c r="A2285" i="1"/>
  <c r="AF2284" i="1"/>
  <c r="AD2284" i="1"/>
  <c r="A2284" i="1"/>
  <c r="AF2283" i="1"/>
  <c r="AD2283" i="1"/>
  <c r="A2283" i="1"/>
  <c r="AF2282" i="1"/>
  <c r="AD2282" i="1"/>
  <c r="A2282" i="1"/>
  <c r="AF2281" i="1"/>
  <c r="AD2281" i="1"/>
  <c r="A2281" i="1"/>
  <c r="AF2280" i="1"/>
  <c r="AD2280" i="1"/>
  <c r="A2280" i="1"/>
  <c r="AF2279" i="1"/>
  <c r="AD2279" i="1"/>
  <c r="A2279" i="1"/>
  <c r="AF2278" i="1"/>
  <c r="AD2278" i="1"/>
  <c r="A2278" i="1"/>
  <c r="AF2277" i="1"/>
  <c r="AD2277" i="1"/>
  <c r="A2277" i="1"/>
  <c r="AF2276" i="1"/>
  <c r="AD2276" i="1"/>
  <c r="A2276" i="1"/>
  <c r="AF2275" i="1"/>
  <c r="AD2275" i="1"/>
  <c r="A2275" i="1"/>
  <c r="AF2274" i="1"/>
  <c r="AD2274" i="1"/>
  <c r="A2274" i="1"/>
  <c r="AF2273" i="1"/>
  <c r="AD2273" i="1"/>
  <c r="A2273" i="1"/>
  <c r="AF2272" i="1"/>
  <c r="AD2272" i="1"/>
  <c r="A2272" i="1"/>
  <c r="AF2271" i="1"/>
  <c r="AD2271" i="1"/>
  <c r="A2271" i="1"/>
  <c r="AF2270" i="1"/>
  <c r="AD2270" i="1"/>
  <c r="A2270" i="1"/>
  <c r="AF2269" i="1"/>
  <c r="AD2269" i="1"/>
  <c r="A2269" i="1"/>
  <c r="AF2268" i="1"/>
  <c r="AD2268" i="1"/>
  <c r="A2268" i="1"/>
  <c r="AF2267" i="1"/>
  <c r="AD2267" i="1"/>
  <c r="A2267" i="1"/>
  <c r="AF2266" i="1"/>
  <c r="AD2266" i="1"/>
  <c r="A2266" i="1"/>
  <c r="AF2265" i="1"/>
  <c r="AD2265" i="1"/>
  <c r="A2265" i="1"/>
  <c r="AF2264" i="1"/>
  <c r="AD2264" i="1"/>
  <c r="A2264" i="1"/>
  <c r="AF2263" i="1"/>
  <c r="AD2263" i="1"/>
  <c r="A2263" i="1"/>
  <c r="AF2262" i="1"/>
  <c r="AD2262" i="1"/>
  <c r="A2262" i="1"/>
  <c r="AF2261" i="1"/>
  <c r="AD2261" i="1"/>
  <c r="A2261" i="1"/>
  <c r="AF2260" i="1"/>
  <c r="AD2260" i="1"/>
  <c r="A2260" i="1"/>
  <c r="AF2259" i="1"/>
  <c r="AD2259" i="1"/>
  <c r="A2259" i="1"/>
  <c r="AF2258" i="1"/>
  <c r="AD2258" i="1"/>
  <c r="A2258" i="1"/>
  <c r="AF2257" i="1"/>
  <c r="AD2257" i="1"/>
  <c r="A2257" i="1"/>
  <c r="AF2256" i="1"/>
  <c r="AD2256" i="1"/>
  <c r="A2256" i="1"/>
  <c r="AF2255" i="1"/>
  <c r="AD2255" i="1"/>
  <c r="A2255" i="1"/>
  <c r="AF2254" i="1"/>
  <c r="AD2254" i="1"/>
  <c r="A2254" i="1"/>
  <c r="AF2253" i="1"/>
  <c r="AD2253" i="1"/>
  <c r="A2253" i="1"/>
  <c r="AF2252" i="1"/>
  <c r="AD2252" i="1"/>
  <c r="A2252" i="1"/>
  <c r="AF2251" i="1"/>
  <c r="AD2251" i="1"/>
  <c r="A2251" i="1"/>
  <c r="AF2250" i="1"/>
  <c r="AD2250" i="1"/>
  <c r="A2250" i="1"/>
  <c r="AF2249" i="1"/>
  <c r="AD2249" i="1"/>
  <c r="A2249" i="1"/>
  <c r="AF2248" i="1"/>
  <c r="AD2248" i="1"/>
  <c r="A2248" i="1"/>
  <c r="AF2247" i="1"/>
  <c r="AD2247" i="1"/>
  <c r="A2247" i="1"/>
  <c r="AF2246" i="1"/>
  <c r="AD2246" i="1"/>
  <c r="A2246" i="1"/>
  <c r="AF2245" i="1"/>
  <c r="AD2245" i="1"/>
  <c r="A2245" i="1"/>
  <c r="AF2244" i="1"/>
  <c r="AD2244" i="1"/>
  <c r="A2244" i="1"/>
  <c r="AF2243" i="1"/>
  <c r="AD2243" i="1"/>
  <c r="A2243" i="1"/>
  <c r="AF2242" i="1"/>
  <c r="AD2242" i="1"/>
  <c r="A2242" i="1"/>
  <c r="AF2241" i="1"/>
  <c r="AD2241" i="1"/>
  <c r="A2241" i="1"/>
  <c r="AF2240" i="1"/>
  <c r="AD2240" i="1"/>
  <c r="A2240" i="1"/>
  <c r="AF2239" i="1"/>
  <c r="AD2239" i="1"/>
  <c r="A2239" i="1"/>
  <c r="AF2238" i="1"/>
  <c r="AD2238" i="1"/>
  <c r="A2238" i="1"/>
  <c r="AF2237" i="1"/>
  <c r="AD2237" i="1"/>
  <c r="A2237" i="1"/>
  <c r="AF2236" i="1"/>
  <c r="AD2236" i="1"/>
  <c r="A2236" i="1"/>
  <c r="AF2235" i="1"/>
  <c r="AD2235" i="1"/>
  <c r="A2235" i="1"/>
  <c r="AF2234" i="1"/>
  <c r="AD2234" i="1"/>
  <c r="A2234" i="1"/>
  <c r="AF2233" i="1"/>
  <c r="AD2233" i="1"/>
  <c r="A2233" i="1"/>
  <c r="AF2232" i="1"/>
  <c r="AD2232" i="1"/>
  <c r="A2232" i="1"/>
  <c r="AF2231" i="1"/>
  <c r="AD2231" i="1"/>
  <c r="A2231" i="1"/>
  <c r="AF2230" i="1"/>
  <c r="AD2230" i="1"/>
  <c r="A2230" i="1"/>
  <c r="AF2229" i="1"/>
  <c r="AD2229" i="1"/>
  <c r="A2229" i="1"/>
  <c r="AF2228" i="1"/>
  <c r="AD2228" i="1"/>
  <c r="A2228" i="1"/>
  <c r="AF2227" i="1"/>
  <c r="AD2227" i="1"/>
  <c r="A2227" i="1"/>
  <c r="AF2226" i="1"/>
  <c r="AD2226" i="1"/>
  <c r="A2226" i="1"/>
  <c r="AF2225" i="1"/>
  <c r="AD2225" i="1"/>
  <c r="A2225" i="1"/>
  <c r="AF2224" i="1"/>
  <c r="AD2224" i="1"/>
  <c r="A2224" i="1"/>
  <c r="AF2223" i="1"/>
  <c r="AD2223" i="1"/>
  <c r="A2223" i="1"/>
  <c r="AF2222" i="1"/>
  <c r="AD2222" i="1"/>
  <c r="A2222" i="1"/>
  <c r="AF2221" i="1"/>
  <c r="AD2221" i="1"/>
  <c r="A2221" i="1"/>
  <c r="AF2220" i="1"/>
  <c r="AD2220" i="1"/>
  <c r="A2220" i="1"/>
  <c r="AF2219" i="1"/>
  <c r="AD2219" i="1"/>
  <c r="A2219" i="1"/>
  <c r="AF2218" i="1"/>
  <c r="AD2218" i="1"/>
  <c r="A2218" i="1"/>
  <c r="AF2217" i="1"/>
  <c r="AD2217" i="1"/>
  <c r="A2217" i="1"/>
  <c r="AF2216" i="1"/>
  <c r="AD2216" i="1"/>
  <c r="A2216" i="1"/>
  <c r="AF2215" i="1"/>
  <c r="AD2215" i="1"/>
  <c r="A2215" i="1"/>
  <c r="AF2214" i="1"/>
  <c r="AD2214" i="1"/>
  <c r="A2214" i="1"/>
  <c r="AF2213" i="1"/>
  <c r="AD2213" i="1"/>
  <c r="A2213" i="1"/>
  <c r="AF2212" i="1"/>
  <c r="AD2212" i="1"/>
  <c r="A2212" i="1"/>
  <c r="AF2211" i="1"/>
  <c r="AD2211" i="1"/>
  <c r="A2211" i="1"/>
  <c r="AF2210" i="1"/>
  <c r="AD2210" i="1"/>
  <c r="A2210" i="1"/>
  <c r="AF2209" i="1"/>
  <c r="AD2209" i="1"/>
  <c r="A2209" i="1"/>
  <c r="AF2208" i="1"/>
  <c r="AD2208" i="1"/>
  <c r="A2208" i="1"/>
  <c r="AF2207" i="1"/>
  <c r="AD2207" i="1"/>
  <c r="A2207" i="1"/>
  <c r="AF2206" i="1"/>
  <c r="AD2206" i="1"/>
  <c r="A2206" i="1"/>
  <c r="AF2205" i="1"/>
  <c r="AD2205" i="1"/>
  <c r="A2205" i="1"/>
  <c r="AF2204" i="1"/>
  <c r="AD2204" i="1"/>
  <c r="A2204" i="1"/>
  <c r="AF2203" i="1"/>
  <c r="AD2203" i="1"/>
  <c r="A2203" i="1"/>
  <c r="AF2202" i="1"/>
  <c r="AD2202" i="1"/>
  <c r="A2202" i="1"/>
  <c r="AF2201" i="1"/>
  <c r="AD2201" i="1"/>
  <c r="A2201" i="1"/>
  <c r="AF2200" i="1"/>
  <c r="AD2200" i="1"/>
  <c r="A2200" i="1"/>
  <c r="AF2199" i="1"/>
  <c r="AD2199" i="1"/>
  <c r="A2199" i="1"/>
  <c r="AF2198" i="1"/>
  <c r="AD2198" i="1"/>
  <c r="A2198" i="1"/>
  <c r="AF2197" i="1"/>
  <c r="AD2197" i="1"/>
  <c r="A2197" i="1"/>
  <c r="AF2196" i="1"/>
  <c r="AD2196" i="1"/>
  <c r="A2196" i="1"/>
  <c r="AF2195" i="1"/>
  <c r="AD2195" i="1"/>
  <c r="A2195" i="1"/>
  <c r="AF2194" i="1"/>
  <c r="AD2194" i="1"/>
  <c r="A2194" i="1"/>
  <c r="AF2193" i="1"/>
  <c r="AD2193" i="1"/>
  <c r="A2193" i="1"/>
  <c r="AF2192" i="1"/>
  <c r="AD2192" i="1"/>
  <c r="A2192" i="1"/>
  <c r="AF2191" i="1"/>
  <c r="AD2191" i="1"/>
  <c r="A2191" i="1"/>
  <c r="AF2190" i="1"/>
  <c r="AD2190" i="1"/>
  <c r="A2190" i="1"/>
  <c r="AF2189" i="1"/>
  <c r="AD2189" i="1"/>
  <c r="A2189" i="1"/>
  <c r="AF2188" i="1"/>
  <c r="AD2188" i="1"/>
  <c r="A2188" i="1"/>
  <c r="AF2187" i="1"/>
  <c r="AD2187" i="1"/>
  <c r="A2187" i="1"/>
  <c r="AF2186" i="1"/>
  <c r="AD2186" i="1"/>
  <c r="A2186" i="1"/>
  <c r="AF2185" i="1"/>
  <c r="AD2185" i="1"/>
  <c r="A2185" i="1"/>
  <c r="AF2184" i="1"/>
  <c r="AD2184" i="1"/>
  <c r="A2184" i="1"/>
  <c r="AF2183" i="1"/>
  <c r="AD2183" i="1"/>
  <c r="A2183" i="1"/>
  <c r="AF2182" i="1"/>
  <c r="AD2182" i="1"/>
  <c r="A2182" i="1"/>
  <c r="AF2181" i="1"/>
  <c r="AD2181" i="1"/>
  <c r="A2181" i="1"/>
  <c r="AF2180" i="1"/>
  <c r="AD2180" i="1"/>
  <c r="A2180" i="1"/>
  <c r="AF2179" i="1"/>
  <c r="AD2179" i="1"/>
  <c r="A2179" i="1"/>
  <c r="AF2178" i="1"/>
  <c r="AD2178" i="1"/>
  <c r="A2178" i="1"/>
  <c r="AF2177" i="1"/>
  <c r="AD2177" i="1"/>
  <c r="A2177" i="1"/>
  <c r="AF2176" i="1"/>
  <c r="AD2176" i="1"/>
  <c r="A2176" i="1"/>
  <c r="AF2175" i="1"/>
  <c r="AD2175" i="1"/>
  <c r="A2175" i="1"/>
  <c r="AF2174" i="1"/>
  <c r="AD2174" i="1"/>
  <c r="A2174" i="1"/>
  <c r="AF2173" i="1"/>
  <c r="AD2173" i="1"/>
  <c r="A2173" i="1"/>
  <c r="AF2172" i="1"/>
  <c r="AD2172" i="1"/>
  <c r="A2172" i="1"/>
  <c r="AF2171" i="1"/>
  <c r="AD2171" i="1"/>
  <c r="A2171" i="1"/>
  <c r="AF2170" i="1"/>
  <c r="AD2170" i="1"/>
  <c r="A2170" i="1"/>
  <c r="AF2169" i="1"/>
  <c r="AD2169" i="1"/>
  <c r="A2169" i="1"/>
  <c r="AF2168" i="1"/>
  <c r="AD2168" i="1"/>
  <c r="A2168" i="1"/>
  <c r="AF2167" i="1"/>
  <c r="AD2167" i="1"/>
  <c r="A2167" i="1"/>
  <c r="AF2166" i="1"/>
  <c r="AD2166" i="1"/>
  <c r="A2166" i="1"/>
  <c r="AF2165" i="1"/>
  <c r="AD2165" i="1"/>
  <c r="A2165" i="1"/>
  <c r="AF2164" i="1"/>
  <c r="AD2164" i="1"/>
  <c r="A2164" i="1"/>
  <c r="AF2163" i="1"/>
  <c r="AD2163" i="1"/>
  <c r="A2163" i="1"/>
  <c r="AF2162" i="1"/>
  <c r="AD2162" i="1"/>
  <c r="A2162" i="1"/>
  <c r="AF2161" i="1"/>
  <c r="AD2161" i="1"/>
  <c r="A2161" i="1"/>
  <c r="AF2160" i="1"/>
  <c r="AD2160" i="1"/>
  <c r="A2160" i="1"/>
  <c r="AF2159" i="1"/>
  <c r="AD2159" i="1"/>
  <c r="A2159" i="1"/>
  <c r="AF2158" i="1"/>
  <c r="AD2158" i="1"/>
  <c r="A2158" i="1"/>
  <c r="AF2157" i="1"/>
  <c r="AD2157" i="1"/>
  <c r="A2157" i="1"/>
  <c r="AF2156" i="1"/>
  <c r="AD2156" i="1"/>
  <c r="A2156" i="1"/>
  <c r="AF2155" i="1"/>
  <c r="AD2155" i="1"/>
  <c r="A2155" i="1"/>
  <c r="AF2154" i="1"/>
  <c r="AD2154" i="1"/>
  <c r="A2154" i="1"/>
  <c r="AF2153" i="1"/>
  <c r="AD2153" i="1"/>
  <c r="A2153" i="1"/>
  <c r="AF2152" i="1"/>
  <c r="AD2152" i="1"/>
  <c r="A2152" i="1"/>
  <c r="AF2151" i="1"/>
  <c r="AD2151" i="1"/>
  <c r="A2151" i="1"/>
  <c r="AF2150" i="1"/>
  <c r="AD2150" i="1"/>
  <c r="A2150" i="1"/>
  <c r="AF2149" i="1"/>
  <c r="AD2149" i="1"/>
  <c r="A2149" i="1"/>
  <c r="AF2148" i="1"/>
  <c r="AD2148" i="1"/>
  <c r="A2148" i="1"/>
  <c r="AF2147" i="1"/>
  <c r="AD2147" i="1"/>
  <c r="A2147" i="1"/>
  <c r="AF2146" i="1"/>
  <c r="AD2146" i="1"/>
  <c r="A2146" i="1"/>
  <c r="AF2145" i="1"/>
  <c r="AD2145" i="1"/>
  <c r="A2145" i="1"/>
  <c r="AF2144" i="1"/>
  <c r="AD2144" i="1"/>
  <c r="A2144" i="1"/>
  <c r="AF2143" i="1"/>
  <c r="AD2143" i="1"/>
  <c r="A2143" i="1"/>
  <c r="AF2142" i="1"/>
  <c r="AD2142" i="1"/>
  <c r="A2142" i="1"/>
  <c r="AF2141" i="1"/>
  <c r="AD2141" i="1"/>
  <c r="A2141" i="1"/>
  <c r="AF2140" i="1"/>
  <c r="AD2140" i="1"/>
  <c r="A2140" i="1"/>
  <c r="AF2139" i="1"/>
  <c r="AD2139" i="1"/>
  <c r="A2139" i="1"/>
  <c r="AF2138" i="1"/>
  <c r="AD2138" i="1"/>
  <c r="A2138" i="1"/>
  <c r="AF2137" i="1"/>
  <c r="AD2137" i="1"/>
  <c r="A2137" i="1"/>
  <c r="AF2136" i="1"/>
  <c r="AD2136" i="1"/>
  <c r="A2136" i="1"/>
  <c r="AF2135" i="1"/>
  <c r="AD2135" i="1"/>
  <c r="A2135" i="1"/>
  <c r="AF2134" i="1"/>
  <c r="AD2134" i="1"/>
  <c r="A2134" i="1"/>
  <c r="AF2133" i="1"/>
  <c r="AD2133" i="1"/>
  <c r="A2133" i="1"/>
  <c r="AF2132" i="1"/>
  <c r="AD2132" i="1"/>
  <c r="A2132" i="1"/>
  <c r="AF2131" i="1"/>
  <c r="AD2131" i="1"/>
  <c r="A2131" i="1"/>
  <c r="AF2130" i="1"/>
  <c r="AD2130" i="1"/>
  <c r="A2130" i="1"/>
  <c r="AF2129" i="1"/>
  <c r="AD2129" i="1"/>
  <c r="A2129" i="1"/>
  <c r="AF2128" i="1"/>
  <c r="AD2128" i="1"/>
  <c r="A2128" i="1"/>
  <c r="AF2127" i="1"/>
  <c r="AD2127" i="1"/>
  <c r="A2127" i="1"/>
  <c r="AF2126" i="1"/>
  <c r="AD2126" i="1"/>
  <c r="A2126" i="1"/>
  <c r="AF2125" i="1"/>
  <c r="AD2125" i="1"/>
  <c r="A2125" i="1"/>
  <c r="AF2124" i="1"/>
  <c r="AD2124" i="1"/>
  <c r="A2124" i="1"/>
  <c r="AF2123" i="1"/>
  <c r="AD2123" i="1"/>
  <c r="A2123" i="1"/>
  <c r="AF2122" i="1"/>
  <c r="AD2122" i="1"/>
  <c r="A2122" i="1"/>
  <c r="AF2121" i="1"/>
  <c r="AD2121" i="1"/>
  <c r="A2121" i="1"/>
  <c r="AF2120" i="1"/>
  <c r="AD2120" i="1"/>
  <c r="A2120" i="1"/>
  <c r="AF2119" i="1"/>
  <c r="AD2119" i="1"/>
  <c r="A2119" i="1"/>
  <c r="AF2118" i="1"/>
  <c r="AD2118" i="1"/>
  <c r="A2118" i="1"/>
  <c r="AF2117" i="1"/>
  <c r="AD2117" i="1"/>
  <c r="A2117" i="1"/>
  <c r="AF2116" i="1"/>
  <c r="AD2116" i="1"/>
  <c r="A2116" i="1"/>
  <c r="AF2115" i="1"/>
  <c r="AD2115" i="1"/>
  <c r="A2115" i="1"/>
  <c r="AF2114" i="1"/>
  <c r="AD2114" i="1"/>
  <c r="A2114" i="1"/>
  <c r="AF2113" i="1"/>
  <c r="AD2113" i="1"/>
  <c r="A2113" i="1"/>
  <c r="AF2112" i="1"/>
  <c r="AD2112" i="1"/>
  <c r="A2112" i="1"/>
  <c r="AF2111" i="1"/>
  <c r="AD2111" i="1"/>
  <c r="A2111" i="1"/>
  <c r="AF2110" i="1"/>
  <c r="AD2110" i="1"/>
  <c r="A2110" i="1"/>
  <c r="AF2109" i="1"/>
  <c r="AD2109" i="1"/>
  <c r="A2109" i="1"/>
  <c r="AF2108" i="1"/>
  <c r="AD2108" i="1"/>
  <c r="A2108" i="1"/>
  <c r="AF2107" i="1"/>
  <c r="AD2107" i="1"/>
  <c r="A2107" i="1"/>
  <c r="AF2106" i="1"/>
  <c r="AD2106" i="1"/>
  <c r="A2106" i="1"/>
  <c r="AF2105" i="1"/>
  <c r="AD2105" i="1"/>
  <c r="A2105" i="1"/>
  <c r="AF2104" i="1"/>
  <c r="AD2104" i="1"/>
  <c r="A2104" i="1"/>
  <c r="AF2103" i="1"/>
  <c r="AD2103" i="1"/>
  <c r="A2103" i="1"/>
  <c r="AF2102" i="1"/>
  <c r="AD2102" i="1"/>
  <c r="A2102" i="1"/>
  <c r="AF2101" i="1"/>
  <c r="AD2101" i="1"/>
  <c r="A2101" i="1"/>
  <c r="AF2100" i="1"/>
  <c r="AD2100" i="1"/>
  <c r="A2100" i="1"/>
  <c r="AF2099" i="1"/>
  <c r="AD2099" i="1"/>
  <c r="A2099" i="1"/>
  <c r="AF2098" i="1"/>
  <c r="AD2098" i="1"/>
  <c r="A2098" i="1"/>
  <c r="AF2097" i="1"/>
  <c r="AD2097" i="1"/>
  <c r="A2097" i="1"/>
  <c r="AF2096" i="1"/>
  <c r="AD2096" i="1"/>
  <c r="A2096" i="1"/>
  <c r="AF2095" i="1"/>
  <c r="AD2095" i="1"/>
  <c r="A2095" i="1"/>
  <c r="AF2094" i="1"/>
  <c r="AD2094" i="1"/>
  <c r="A2094" i="1"/>
  <c r="AF2093" i="1"/>
  <c r="AD2093" i="1"/>
  <c r="A2093" i="1"/>
  <c r="AF2092" i="1"/>
  <c r="AD2092" i="1"/>
  <c r="A2092" i="1"/>
  <c r="AF2091" i="1"/>
  <c r="AD2091" i="1"/>
  <c r="A2091" i="1"/>
  <c r="AF2090" i="1"/>
  <c r="AD2090" i="1"/>
  <c r="A2090" i="1"/>
  <c r="AF2089" i="1"/>
  <c r="AD2089" i="1"/>
  <c r="A2089" i="1"/>
  <c r="AF2088" i="1"/>
  <c r="AD2088" i="1"/>
  <c r="A2088" i="1"/>
  <c r="AF2087" i="1"/>
  <c r="AD2087" i="1"/>
  <c r="A2087" i="1"/>
  <c r="AF2086" i="1"/>
  <c r="AD2086" i="1"/>
  <c r="A2086" i="1"/>
  <c r="AF2085" i="1"/>
  <c r="AD2085" i="1"/>
  <c r="A2085" i="1"/>
  <c r="AF2084" i="1"/>
  <c r="AD2084" i="1"/>
  <c r="A2084" i="1"/>
  <c r="AF2083" i="1"/>
  <c r="AD2083" i="1"/>
  <c r="A2083" i="1"/>
  <c r="AF2082" i="1"/>
  <c r="AD2082" i="1"/>
  <c r="A2082" i="1"/>
  <c r="AF2081" i="1"/>
  <c r="AD2081" i="1"/>
  <c r="A2081" i="1"/>
  <c r="AF2080" i="1"/>
  <c r="AD2080" i="1"/>
  <c r="A2080" i="1"/>
  <c r="AF2079" i="1"/>
  <c r="AD2079" i="1"/>
  <c r="A2079" i="1"/>
  <c r="AF2078" i="1"/>
  <c r="AD2078" i="1"/>
  <c r="A2078" i="1"/>
  <c r="AF2077" i="1"/>
  <c r="AD2077" i="1"/>
  <c r="A2077" i="1"/>
  <c r="AF2076" i="1"/>
  <c r="AD2076" i="1"/>
  <c r="A2076" i="1"/>
  <c r="AF2075" i="1"/>
  <c r="AD2075" i="1"/>
  <c r="A2075" i="1"/>
  <c r="AF2074" i="1"/>
  <c r="AD2074" i="1"/>
  <c r="A2074" i="1"/>
  <c r="AF2073" i="1"/>
  <c r="AD2073" i="1"/>
  <c r="A2073" i="1"/>
  <c r="AF2072" i="1"/>
  <c r="AD2072" i="1"/>
  <c r="A2072" i="1"/>
  <c r="AF2071" i="1"/>
  <c r="AD2071" i="1"/>
  <c r="A2071" i="1"/>
  <c r="AF2070" i="1"/>
  <c r="AD2070" i="1"/>
  <c r="A2070" i="1"/>
  <c r="AF2069" i="1"/>
  <c r="AD2069" i="1"/>
  <c r="A2069" i="1"/>
  <c r="AF2068" i="1"/>
  <c r="AD2068" i="1"/>
  <c r="A2068" i="1"/>
  <c r="AF2067" i="1"/>
  <c r="AD2067" i="1"/>
  <c r="A2067" i="1"/>
  <c r="AF2066" i="1"/>
  <c r="AD2066" i="1"/>
  <c r="A2066" i="1"/>
  <c r="AF2065" i="1"/>
  <c r="AD2065" i="1"/>
  <c r="A2065" i="1"/>
  <c r="AF2064" i="1"/>
  <c r="AD2064" i="1"/>
  <c r="A2064" i="1"/>
  <c r="AF2063" i="1"/>
  <c r="AD2063" i="1"/>
  <c r="A2063" i="1"/>
  <c r="AF2062" i="1"/>
  <c r="AD2062" i="1"/>
  <c r="A2062" i="1"/>
  <c r="AF2061" i="1"/>
  <c r="AD2061" i="1"/>
  <c r="A2061" i="1"/>
  <c r="AF2060" i="1"/>
  <c r="AD2060" i="1"/>
  <c r="A2060" i="1"/>
  <c r="AF2059" i="1"/>
  <c r="AD2059" i="1"/>
  <c r="A2059" i="1"/>
  <c r="AF2058" i="1"/>
  <c r="AD2058" i="1"/>
  <c r="A2058" i="1"/>
  <c r="AF2057" i="1"/>
  <c r="AD2057" i="1"/>
  <c r="A2057" i="1"/>
  <c r="AF2056" i="1"/>
  <c r="AD2056" i="1"/>
  <c r="A2056" i="1"/>
  <c r="AF2055" i="1"/>
  <c r="AD2055" i="1"/>
  <c r="A2055" i="1"/>
  <c r="AF2054" i="1"/>
  <c r="AD2054" i="1"/>
  <c r="A2054" i="1"/>
  <c r="AF2053" i="1"/>
  <c r="AD2053" i="1"/>
  <c r="A2053" i="1"/>
  <c r="AF2052" i="1"/>
  <c r="AD2052" i="1"/>
  <c r="A2052" i="1"/>
  <c r="AF2051" i="1"/>
  <c r="AD2051" i="1"/>
  <c r="A2051" i="1"/>
  <c r="AF2050" i="1"/>
  <c r="AD2050" i="1"/>
  <c r="A2050" i="1"/>
  <c r="AF2049" i="1"/>
  <c r="AD2049" i="1"/>
  <c r="A2049" i="1"/>
  <c r="AF2048" i="1"/>
  <c r="AD2048" i="1"/>
  <c r="A2048" i="1"/>
  <c r="AF2047" i="1"/>
  <c r="AD2047" i="1"/>
  <c r="A2047" i="1"/>
  <c r="AF2046" i="1"/>
  <c r="AD2046" i="1"/>
  <c r="A2046" i="1"/>
  <c r="AF2045" i="1"/>
  <c r="AD2045" i="1"/>
  <c r="A2045" i="1"/>
  <c r="AF2044" i="1"/>
  <c r="AD2044" i="1"/>
  <c r="A2044" i="1"/>
  <c r="AF2043" i="1"/>
  <c r="AD2043" i="1"/>
  <c r="A2043" i="1"/>
  <c r="AF2042" i="1"/>
  <c r="AD2042" i="1"/>
  <c r="A2042" i="1"/>
  <c r="AF2041" i="1"/>
  <c r="AD2041" i="1"/>
  <c r="A2041" i="1"/>
  <c r="AF2040" i="1"/>
  <c r="AD2040" i="1"/>
  <c r="A2040" i="1"/>
  <c r="AF2039" i="1"/>
  <c r="AD2039" i="1"/>
  <c r="A2039" i="1"/>
  <c r="AF2038" i="1"/>
  <c r="AD2038" i="1"/>
  <c r="A2038" i="1"/>
  <c r="AF2037" i="1"/>
  <c r="AD2037" i="1"/>
  <c r="A2037" i="1"/>
  <c r="AF2036" i="1"/>
  <c r="AD2036" i="1"/>
  <c r="A2036" i="1"/>
  <c r="AF2035" i="1"/>
  <c r="AD2035" i="1"/>
  <c r="A2035" i="1"/>
  <c r="AF2034" i="1"/>
  <c r="AD2034" i="1"/>
  <c r="A2034" i="1"/>
  <c r="AF2033" i="1"/>
  <c r="AD2033" i="1"/>
  <c r="A2033" i="1"/>
  <c r="AF2032" i="1"/>
  <c r="AD2032" i="1"/>
  <c r="A2032" i="1"/>
  <c r="AF2031" i="1"/>
  <c r="AD2031" i="1"/>
  <c r="A2031" i="1"/>
  <c r="AF2030" i="1"/>
  <c r="AD2030" i="1"/>
  <c r="A2030" i="1"/>
  <c r="AF2029" i="1"/>
  <c r="AD2029" i="1"/>
  <c r="A2029" i="1"/>
  <c r="AF2028" i="1"/>
  <c r="AD2028" i="1"/>
  <c r="A2028" i="1"/>
  <c r="AF2027" i="1"/>
  <c r="AD2027" i="1"/>
  <c r="A2027" i="1"/>
  <c r="AF2026" i="1"/>
  <c r="AD2026" i="1"/>
  <c r="A2026" i="1"/>
  <c r="AF2025" i="1"/>
  <c r="AD2025" i="1"/>
  <c r="A2025" i="1"/>
  <c r="AF2024" i="1"/>
  <c r="AD2024" i="1"/>
  <c r="A2024" i="1"/>
  <c r="AF2023" i="1"/>
  <c r="AD2023" i="1"/>
  <c r="A2023" i="1"/>
  <c r="AF2022" i="1"/>
  <c r="AD2022" i="1"/>
  <c r="A2022" i="1"/>
  <c r="AF2021" i="1"/>
  <c r="AD2021" i="1"/>
  <c r="A2021" i="1"/>
  <c r="AF2020" i="1"/>
  <c r="AD2020" i="1"/>
  <c r="A2020" i="1"/>
  <c r="AF2019" i="1"/>
  <c r="AD2019" i="1"/>
  <c r="A2019" i="1"/>
  <c r="AF2018" i="1"/>
  <c r="AD2018" i="1"/>
  <c r="A2018" i="1"/>
  <c r="AF2017" i="1"/>
  <c r="AD2017" i="1"/>
  <c r="A2017" i="1"/>
  <c r="AF2016" i="1"/>
  <c r="AD2016" i="1"/>
  <c r="A2016" i="1"/>
  <c r="AF2015" i="1"/>
  <c r="AD2015" i="1"/>
  <c r="A2015" i="1"/>
  <c r="AF2014" i="1"/>
  <c r="AD2014" i="1"/>
  <c r="A2014" i="1"/>
  <c r="AF2013" i="1"/>
  <c r="AD2013" i="1"/>
  <c r="A2013" i="1"/>
  <c r="AF2012" i="1"/>
  <c r="AD2012" i="1"/>
  <c r="A2012" i="1"/>
  <c r="AF2011" i="1"/>
  <c r="AD2011" i="1"/>
  <c r="A2011" i="1"/>
  <c r="AF2010" i="1"/>
  <c r="AD2010" i="1"/>
  <c r="A2010" i="1"/>
  <c r="AF2009" i="1"/>
  <c r="AD2009" i="1"/>
  <c r="A2009" i="1"/>
  <c r="AF2008" i="1"/>
  <c r="AD2008" i="1"/>
  <c r="A2008" i="1"/>
  <c r="AF2007" i="1"/>
  <c r="AD2007" i="1"/>
  <c r="A2007" i="1"/>
  <c r="AF2006" i="1"/>
  <c r="AD2006" i="1"/>
  <c r="A2006" i="1"/>
  <c r="AF2005" i="1"/>
  <c r="AD2005" i="1"/>
  <c r="A2005" i="1"/>
  <c r="AF2004" i="1"/>
  <c r="AD2004" i="1"/>
  <c r="A2004" i="1"/>
  <c r="AF2003" i="1"/>
  <c r="AD2003" i="1"/>
  <c r="A2003" i="1"/>
  <c r="AF2002" i="1"/>
  <c r="AD2002" i="1"/>
  <c r="A2002" i="1"/>
  <c r="AF2001" i="1"/>
  <c r="AD2001" i="1"/>
  <c r="A2001" i="1"/>
  <c r="AF2000" i="1"/>
  <c r="AD2000" i="1"/>
  <c r="A2000" i="1"/>
  <c r="AF1999" i="1"/>
  <c r="AD1999" i="1"/>
  <c r="A1999" i="1"/>
  <c r="AF1998" i="1"/>
  <c r="AD1998" i="1"/>
  <c r="A1998" i="1"/>
  <c r="AF1997" i="1"/>
  <c r="AD1997" i="1"/>
  <c r="A1997" i="1"/>
  <c r="AF1996" i="1"/>
  <c r="AD1996" i="1"/>
  <c r="A1996" i="1"/>
  <c r="AF1995" i="1"/>
  <c r="AD1995" i="1"/>
  <c r="A1995" i="1"/>
  <c r="AF1994" i="1"/>
  <c r="AD1994" i="1"/>
  <c r="A1994" i="1"/>
  <c r="AF1993" i="1"/>
  <c r="AD1993" i="1"/>
  <c r="A1993" i="1"/>
  <c r="AF1992" i="1"/>
  <c r="AD1992" i="1"/>
  <c r="A1992" i="1"/>
  <c r="AF1991" i="1"/>
  <c r="AD1991" i="1"/>
  <c r="A1991" i="1"/>
  <c r="AF1990" i="1"/>
  <c r="AD1990" i="1"/>
  <c r="A1990" i="1"/>
  <c r="AF1989" i="1"/>
  <c r="AD1989" i="1"/>
  <c r="A1989" i="1"/>
  <c r="AF1988" i="1"/>
  <c r="AD1988" i="1"/>
  <c r="A1988" i="1"/>
  <c r="AF1987" i="1"/>
  <c r="AD1987" i="1"/>
  <c r="A1987" i="1"/>
  <c r="AF1986" i="1"/>
  <c r="AD1986" i="1"/>
  <c r="A1986" i="1"/>
  <c r="AF1985" i="1"/>
  <c r="AD1985" i="1"/>
  <c r="A1985" i="1"/>
  <c r="AF1984" i="1"/>
  <c r="AD1984" i="1"/>
  <c r="A1984" i="1"/>
  <c r="AF1983" i="1"/>
  <c r="AD1983" i="1"/>
  <c r="A1983" i="1"/>
  <c r="AF1982" i="1"/>
  <c r="AD1982" i="1"/>
  <c r="A1982" i="1"/>
  <c r="AF1981" i="1"/>
  <c r="AD1981" i="1"/>
  <c r="A1981" i="1"/>
  <c r="AF1980" i="1"/>
  <c r="AD1980" i="1"/>
  <c r="A1980" i="1"/>
  <c r="AF1979" i="1"/>
  <c r="AD1979" i="1"/>
  <c r="A1979" i="1"/>
  <c r="AF1978" i="1"/>
  <c r="AD1978" i="1"/>
  <c r="A1978" i="1"/>
  <c r="AF1977" i="1"/>
  <c r="AD1977" i="1"/>
  <c r="A1977" i="1"/>
  <c r="AF1976" i="1"/>
  <c r="AD1976" i="1"/>
  <c r="A1976" i="1"/>
  <c r="AF1975" i="1"/>
  <c r="AD1975" i="1"/>
  <c r="A1975" i="1"/>
  <c r="AF1974" i="1"/>
  <c r="AD1974" i="1"/>
  <c r="A1974" i="1"/>
  <c r="AF1973" i="1"/>
  <c r="AD1973" i="1"/>
  <c r="A1973" i="1"/>
  <c r="AF1972" i="1"/>
  <c r="AD1972" i="1"/>
  <c r="A1972" i="1"/>
  <c r="AF1971" i="1"/>
  <c r="AD1971" i="1"/>
  <c r="A1971" i="1"/>
  <c r="AF1970" i="1"/>
  <c r="AD1970" i="1"/>
  <c r="A1970" i="1"/>
  <c r="AF1969" i="1"/>
  <c r="AD1969" i="1"/>
  <c r="A1969" i="1"/>
  <c r="AF1968" i="1"/>
  <c r="AD1968" i="1"/>
  <c r="A1968" i="1"/>
  <c r="AF1967" i="1"/>
  <c r="AD1967" i="1"/>
  <c r="A1967" i="1"/>
  <c r="AF1966" i="1"/>
  <c r="AD1966" i="1"/>
  <c r="A1966" i="1"/>
  <c r="AF1965" i="1"/>
  <c r="AD1965" i="1"/>
  <c r="A1965" i="1"/>
  <c r="AF1964" i="1"/>
  <c r="AD1964" i="1"/>
  <c r="A1964" i="1"/>
  <c r="AF1963" i="1"/>
  <c r="AD1963" i="1"/>
  <c r="A1963" i="1"/>
  <c r="AF1962" i="1"/>
  <c r="AD1962" i="1"/>
  <c r="A1962" i="1"/>
  <c r="AF1961" i="1"/>
  <c r="AD1961" i="1"/>
  <c r="A1961" i="1"/>
  <c r="AF1960" i="1"/>
  <c r="AD1960" i="1"/>
  <c r="A1960" i="1"/>
  <c r="AF1959" i="1"/>
  <c r="AD1959" i="1"/>
  <c r="A1959" i="1"/>
  <c r="AF1958" i="1"/>
  <c r="AD1958" i="1"/>
  <c r="A1958" i="1"/>
  <c r="AF1957" i="1"/>
  <c r="AD1957" i="1"/>
  <c r="A1957" i="1"/>
  <c r="AF1956" i="1"/>
  <c r="AD1956" i="1"/>
  <c r="A1956" i="1"/>
  <c r="AF1955" i="1"/>
  <c r="AD1955" i="1"/>
  <c r="A1955" i="1"/>
  <c r="AF1954" i="1"/>
  <c r="AD1954" i="1"/>
  <c r="A1954" i="1"/>
  <c r="AF1953" i="1"/>
  <c r="AD1953" i="1"/>
  <c r="A1953" i="1"/>
  <c r="AF1952" i="1"/>
  <c r="AD1952" i="1"/>
  <c r="A1952" i="1"/>
  <c r="AF1951" i="1"/>
  <c r="AD1951" i="1"/>
  <c r="A1951" i="1"/>
  <c r="AF1950" i="1"/>
  <c r="AD1950" i="1"/>
  <c r="A1950" i="1"/>
  <c r="AF1949" i="1"/>
  <c r="AD1949" i="1"/>
  <c r="A1949" i="1"/>
  <c r="AF1948" i="1"/>
  <c r="AD1948" i="1"/>
  <c r="A1948" i="1"/>
  <c r="AF1947" i="1"/>
  <c r="AD1947" i="1"/>
  <c r="A1947" i="1"/>
  <c r="AF1946" i="1"/>
  <c r="AD1946" i="1"/>
  <c r="A1946" i="1"/>
  <c r="AF1945" i="1"/>
  <c r="AD1945" i="1"/>
  <c r="A1945" i="1"/>
  <c r="AF1944" i="1"/>
  <c r="AD1944" i="1"/>
  <c r="A1944" i="1"/>
  <c r="AF1943" i="1"/>
  <c r="AD1943" i="1"/>
  <c r="A1943" i="1"/>
  <c r="AF1942" i="1"/>
  <c r="AD1942" i="1"/>
  <c r="A1942" i="1"/>
  <c r="AF1941" i="1"/>
  <c r="AD1941" i="1"/>
  <c r="A1941" i="1"/>
  <c r="AF1940" i="1"/>
  <c r="AD1940" i="1"/>
  <c r="A1940" i="1"/>
  <c r="AF1939" i="1"/>
  <c r="AD1939" i="1"/>
  <c r="A1939" i="1"/>
  <c r="AF1938" i="1"/>
  <c r="AD1938" i="1"/>
  <c r="A1938" i="1"/>
  <c r="AF1937" i="1"/>
  <c r="AD1937" i="1"/>
  <c r="A1937" i="1"/>
  <c r="AF1936" i="1"/>
  <c r="AD1936" i="1"/>
  <c r="A1936" i="1"/>
  <c r="AF1935" i="1"/>
  <c r="AD1935" i="1"/>
  <c r="A1935" i="1"/>
  <c r="AF1934" i="1"/>
  <c r="AD1934" i="1"/>
  <c r="A1934" i="1"/>
  <c r="AF1933" i="1"/>
  <c r="AD1933" i="1"/>
  <c r="A1933" i="1"/>
  <c r="AF1932" i="1"/>
  <c r="AD1932" i="1"/>
  <c r="A1932" i="1"/>
  <c r="AF1931" i="1"/>
  <c r="AD1931" i="1"/>
  <c r="A1931" i="1"/>
  <c r="AF1930" i="1"/>
  <c r="AD1930" i="1"/>
  <c r="A1930" i="1"/>
  <c r="AF1929" i="1"/>
  <c r="AD1929" i="1"/>
  <c r="A1929" i="1"/>
  <c r="AF1928" i="1"/>
  <c r="AD1928" i="1"/>
  <c r="A1928" i="1"/>
  <c r="AF1927" i="1"/>
  <c r="AD1927" i="1"/>
  <c r="A1927" i="1"/>
  <c r="AF1926" i="1"/>
  <c r="AD1926" i="1"/>
  <c r="A1926" i="1"/>
  <c r="AF1925" i="1"/>
  <c r="AD1925" i="1"/>
  <c r="A1925" i="1"/>
  <c r="AF1924" i="1"/>
  <c r="AD1924" i="1"/>
  <c r="A1924" i="1"/>
  <c r="AF1923" i="1"/>
  <c r="AD1923" i="1"/>
  <c r="A1923" i="1"/>
  <c r="AF1922" i="1"/>
  <c r="AD1922" i="1"/>
  <c r="A1922" i="1"/>
  <c r="AF1921" i="1"/>
  <c r="AD1921" i="1"/>
  <c r="A1921" i="1"/>
  <c r="AF1920" i="1"/>
  <c r="AD1920" i="1"/>
  <c r="A1920" i="1"/>
  <c r="AF1919" i="1"/>
  <c r="AD1919" i="1"/>
  <c r="A1919" i="1"/>
  <c r="AF1918" i="1"/>
  <c r="AD1918" i="1"/>
  <c r="A1918" i="1"/>
  <c r="AF1917" i="1"/>
  <c r="AD1917" i="1"/>
  <c r="A1917" i="1"/>
  <c r="AF1916" i="1"/>
  <c r="AD1916" i="1"/>
  <c r="A1916" i="1"/>
  <c r="AF1915" i="1"/>
  <c r="AD1915" i="1"/>
  <c r="A1915" i="1"/>
  <c r="AF1914" i="1"/>
  <c r="AD1914" i="1"/>
  <c r="A1914" i="1"/>
  <c r="AF1913" i="1"/>
  <c r="AD1913" i="1"/>
  <c r="A1913" i="1"/>
  <c r="AF1912" i="1"/>
  <c r="AD1912" i="1"/>
  <c r="A1912" i="1"/>
  <c r="AF1911" i="1"/>
  <c r="AD1911" i="1"/>
  <c r="A1911" i="1"/>
  <c r="AF1910" i="1"/>
  <c r="AD1910" i="1"/>
  <c r="A1910" i="1"/>
  <c r="AF1909" i="1"/>
  <c r="AD1909" i="1"/>
  <c r="A1909" i="1"/>
  <c r="AF1908" i="1"/>
  <c r="AD1908" i="1"/>
  <c r="A1908" i="1"/>
  <c r="AF1907" i="1"/>
  <c r="AD1907" i="1"/>
  <c r="A1907" i="1"/>
  <c r="AF1906" i="1"/>
  <c r="AD1906" i="1"/>
  <c r="A1906" i="1"/>
  <c r="AF1905" i="1"/>
  <c r="AD1905" i="1"/>
  <c r="A1905" i="1"/>
  <c r="AF1904" i="1"/>
  <c r="AD1904" i="1"/>
  <c r="A1904" i="1"/>
  <c r="AF1903" i="1"/>
  <c r="AD1903" i="1"/>
  <c r="A1903" i="1"/>
  <c r="AF1902" i="1"/>
  <c r="AD1902" i="1"/>
  <c r="A1902" i="1"/>
  <c r="AF1901" i="1"/>
  <c r="AD1901" i="1"/>
  <c r="A1901" i="1"/>
  <c r="AF1900" i="1"/>
  <c r="AD1900" i="1"/>
  <c r="A1900" i="1"/>
  <c r="AF1899" i="1"/>
  <c r="AD1899" i="1"/>
  <c r="A1899" i="1"/>
  <c r="AF1898" i="1"/>
  <c r="AD1898" i="1"/>
  <c r="A1898" i="1"/>
  <c r="AF1897" i="1"/>
  <c r="AD1897" i="1"/>
  <c r="A1897" i="1"/>
  <c r="AF1896" i="1"/>
  <c r="AD1896" i="1"/>
  <c r="A1896" i="1"/>
  <c r="AF1895" i="1"/>
  <c r="AD1895" i="1"/>
  <c r="A1895" i="1"/>
  <c r="AF1894" i="1"/>
  <c r="AD1894" i="1"/>
  <c r="A1894" i="1"/>
  <c r="AF1893" i="1"/>
  <c r="AD1893" i="1"/>
  <c r="A1893" i="1"/>
  <c r="AF1892" i="1"/>
  <c r="AD1892" i="1"/>
  <c r="A1892" i="1"/>
  <c r="AF1891" i="1"/>
  <c r="AD1891" i="1"/>
  <c r="A1891" i="1"/>
  <c r="AF1890" i="1"/>
  <c r="AD1890" i="1"/>
  <c r="A1890" i="1"/>
  <c r="AF1889" i="1"/>
  <c r="AD1889" i="1"/>
  <c r="A1889" i="1"/>
  <c r="AF1888" i="1"/>
  <c r="AD1888" i="1"/>
  <c r="A1888" i="1"/>
  <c r="AF1887" i="1"/>
  <c r="AD1887" i="1"/>
  <c r="A1887" i="1"/>
  <c r="AF1886" i="1"/>
  <c r="AD1886" i="1"/>
  <c r="A1886" i="1"/>
  <c r="AF1885" i="1"/>
  <c r="AD1885" i="1"/>
  <c r="A1885" i="1"/>
  <c r="AF1884" i="1"/>
  <c r="AD1884" i="1"/>
  <c r="A1884" i="1"/>
  <c r="AF1883" i="1"/>
  <c r="AD1883" i="1"/>
  <c r="A1883" i="1"/>
  <c r="AF1882" i="1"/>
  <c r="AD1882" i="1"/>
  <c r="A1882" i="1"/>
  <c r="AF1881" i="1"/>
  <c r="AD1881" i="1"/>
  <c r="A1881" i="1"/>
  <c r="AF1880" i="1"/>
  <c r="AD1880" i="1"/>
  <c r="A1880" i="1"/>
  <c r="AF1879" i="1"/>
  <c r="AD1879" i="1"/>
  <c r="A1879" i="1"/>
  <c r="AF1878" i="1"/>
  <c r="AD1878" i="1"/>
  <c r="A1878" i="1"/>
  <c r="AF1877" i="1"/>
  <c r="AD1877" i="1"/>
  <c r="A1877" i="1"/>
  <c r="AF1876" i="1"/>
  <c r="AD1876" i="1"/>
  <c r="A1876" i="1"/>
  <c r="AF1875" i="1"/>
  <c r="AD1875" i="1"/>
  <c r="A1875" i="1"/>
  <c r="AF1874" i="1"/>
  <c r="AD1874" i="1"/>
  <c r="A1874" i="1"/>
  <c r="AF1873" i="1"/>
  <c r="AD1873" i="1"/>
  <c r="A1873" i="1"/>
  <c r="AF1872" i="1"/>
  <c r="AD1872" i="1"/>
  <c r="A1872" i="1"/>
  <c r="AF1871" i="1"/>
  <c r="AD1871" i="1"/>
  <c r="A1871" i="1"/>
  <c r="AF1870" i="1"/>
  <c r="AD1870" i="1"/>
  <c r="A1870" i="1"/>
  <c r="AF1869" i="1"/>
  <c r="AD1869" i="1"/>
  <c r="A1869" i="1"/>
  <c r="AF1868" i="1"/>
  <c r="AD1868" i="1"/>
  <c r="A1868" i="1"/>
  <c r="AF1867" i="1"/>
  <c r="AD1867" i="1"/>
  <c r="A1867" i="1"/>
  <c r="AF1866" i="1"/>
  <c r="AD1866" i="1"/>
  <c r="A1866" i="1"/>
  <c r="AF1865" i="1"/>
  <c r="AD1865" i="1"/>
  <c r="A1865" i="1"/>
  <c r="AF1864" i="1"/>
  <c r="AD1864" i="1"/>
  <c r="A1864" i="1"/>
  <c r="AF1863" i="1"/>
  <c r="AD1863" i="1"/>
  <c r="A1863" i="1"/>
  <c r="AF1862" i="1"/>
  <c r="AD1862" i="1"/>
  <c r="A1862" i="1"/>
  <c r="AF1861" i="1"/>
  <c r="AD1861" i="1"/>
  <c r="A1861" i="1"/>
  <c r="AF1860" i="1"/>
  <c r="AD1860" i="1"/>
  <c r="A1860" i="1"/>
  <c r="AF1859" i="1"/>
  <c r="AD1859" i="1"/>
  <c r="A1859" i="1"/>
  <c r="AF1858" i="1"/>
  <c r="AD1858" i="1"/>
  <c r="A1858" i="1"/>
  <c r="AF1857" i="1"/>
  <c r="AD1857" i="1"/>
  <c r="A1857" i="1"/>
  <c r="AF1856" i="1"/>
  <c r="AD1856" i="1"/>
  <c r="A1856" i="1"/>
  <c r="AF1855" i="1"/>
  <c r="AD1855" i="1"/>
  <c r="A1855" i="1"/>
  <c r="AF1854" i="1"/>
  <c r="AD1854" i="1"/>
  <c r="A1854" i="1"/>
  <c r="AF1853" i="1"/>
  <c r="AD1853" i="1"/>
  <c r="A1853" i="1"/>
  <c r="AF1852" i="1"/>
  <c r="AD1852" i="1"/>
  <c r="A1852" i="1"/>
  <c r="AF1851" i="1"/>
  <c r="AD1851" i="1"/>
  <c r="A1851" i="1"/>
  <c r="AF1850" i="1"/>
  <c r="AD1850" i="1"/>
  <c r="A1850" i="1"/>
  <c r="AF1849" i="1"/>
  <c r="AD1849" i="1"/>
  <c r="A1849" i="1"/>
  <c r="AF1848" i="1"/>
  <c r="AD1848" i="1"/>
  <c r="A1848" i="1"/>
  <c r="AF1847" i="1"/>
  <c r="AD1847" i="1"/>
  <c r="A1847" i="1"/>
  <c r="AF1846" i="1"/>
  <c r="AD1846" i="1"/>
  <c r="A1846" i="1"/>
  <c r="AF1845" i="1"/>
  <c r="AD1845" i="1"/>
  <c r="A1845" i="1"/>
  <c r="AF1844" i="1"/>
  <c r="AD1844" i="1"/>
  <c r="A1844" i="1"/>
  <c r="AF1843" i="1"/>
  <c r="AD1843" i="1"/>
  <c r="A1843" i="1"/>
  <c r="AF1842" i="1"/>
  <c r="AD1842" i="1"/>
  <c r="A1842" i="1"/>
  <c r="AF1841" i="1"/>
  <c r="AD1841" i="1"/>
  <c r="A1841" i="1"/>
  <c r="AF1840" i="1"/>
  <c r="AD1840" i="1"/>
  <c r="A1840" i="1"/>
  <c r="AF1839" i="1"/>
  <c r="AD1839" i="1"/>
  <c r="A1839" i="1"/>
  <c r="AF1838" i="1"/>
  <c r="AD1838" i="1"/>
  <c r="A1838" i="1"/>
  <c r="AF1837" i="1"/>
  <c r="AD1837" i="1"/>
  <c r="A1837" i="1"/>
  <c r="AF1836" i="1"/>
  <c r="AD1836" i="1"/>
  <c r="A1836" i="1"/>
  <c r="AF1835" i="1"/>
  <c r="AD1835" i="1"/>
  <c r="A1835" i="1"/>
  <c r="AF1834" i="1"/>
  <c r="AD1834" i="1"/>
  <c r="A1834" i="1"/>
  <c r="AF1833" i="1"/>
  <c r="AD1833" i="1"/>
  <c r="A1833" i="1"/>
  <c r="AF1832" i="1"/>
  <c r="AD1832" i="1"/>
  <c r="A1832" i="1"/>
  <c r="AF1831" i="1"/>
  <c r="AD1831" i="1"/>
  <c r="A1831" i="1"/>
  <c r="AF1830" i="1"/>
  <c r="AD1830" i="1"/>
  <c r="A1830" i="1"/>
  <c r="AF1829" i="1"/>
  <c r="AD1829" i="1"/>
  <c r="A1829" i="1"/>
  <c r="AF1828" i="1"/>
  <c r="AD1828" i="1"/>
  <c r="A1828" i="1"/>
  <c r="AF1827" i="1"/>
  <c r="AD1827" i="1"/>
  <c r="A1827" i="1"/>
  <c r="AF1826" i="1"/>
  <c r="AD1826" i="1"/>
  <c r="A1826" i="1"/>
  <c r="AF1825" i="1"/>
  <c r="AD1825" i="1"/>
  <c r="A1825" i="1"/>
  <c r="AF1824" i="1"/>
  <c r="AD1824" i="1"/>
  <c r="A1824" i="1"/>
  <c r="AF1823" i="1"/>
  <c r="AD1823" i="1"/>
  <c r="A1823" i="1"/>
  <c r="AF1822" i="1"/>
  <c r="AD1822" i="1"/>
  <c r="A1822" i="1"/>
  <c r="AF1821" i="1"/>
  <c r="AD1821" i="1"/>
  <c r="A1821" i="1"/>
  <c r="AF1820" i="1"/>
  <c r="AD1820" i="1"/>
  <c r="A1820" i="1"/>
  <c r="AF1819" i="1"/>
  <c r="AD1819" i="1"/>
  <c r="A1819" i="1"/>
  <c r="AF1818" i="1"/>
  <c r="AD1818" i="1"/>
  <c r="A1818" i="1"/>
  <c r="AF1817" i="1"/>
  <c r="AD1817" i="1"/>
  <c r="A1817" i="1"/>
  <c r="AF1816" i="1"/>
  <c r="AD1816" i="1"/>
  <c r="A1816" i="1"/>
  <c r="AF1815" i="1"/>
  <c r="AD1815" i="1"/>
  <c r="A1815" i="1"/>
  <c r="AF1814" i="1"/>
  <c r="AD1814" i="1"/>
  <c r="A1814" i="1"/>
  <c r="AF1813" i="1"/>
  <c r="AD1813" i="1"/>
  <c r="A1813" i="1"/>
  <c r="AF1812" i="1"/>
  <c r="AD1812" i="1"/>
  <c r="A1812" i="1"/>
  <c r="AF1811" i="1"/>
  <c r="AD1811" i="1"/>
  <c r="A1811" i="1"/>
  <c r="AF1810" i="1"/>
  <c r="AD1810" i="1"/>
  <c r="A1810" i="1"/>
  <c r="AF1809" i="1"/>
  <c r="AD1809" i="1"/>
  <c r="A1809" i="1"/>
  <c r="AF1808" i="1"/>
  <c r="AD1808" i="1"/>
  <c r="A1808" i="1"/>
  <c r="AF1807" i="1"/>
  <c r="AD1807" i="1"/>
  <c r="A1807" i="1"/>
  <c r="AF1806" i="1"/>
  <c r="AD1806" i="1"/>
  <c r="A1806" i="1"/>
  <c r="AF1805" i="1"/>
  <c r="AD1805" i="1"/>
  <c r="A1805" i="1"/>
  <c r="AF1804" i="1"/>
  <c r="AD1804" i="1"/>
  <c r="A1804" i="1"/>
  <c r="AF1803" i="1"/>
  <c r="AD1803" i="1"/>
  <c r="A1803" i="1"/>
  <c r="AF1802" i="1"/>
  <c r="AD1802" i="1"/>
  <c r="A1802" i="1"/>
  <c r="AF1801" i="1"/>
  <c r="AD1801" i="1"/>
  <c r="A1801" i="1"/>
  <c r="AF1800" i="1"/>
  <c r="AD1800" i="1"/>
  <c r="A1800" i="1"/>
  <c r="AF1799" i="1"/>
  <c r="AD1799" i="1"/>
  <c r="A1799" i="1"/>
  <c r="AF1798" i="1"/>
  <c r="AD1798" i="1"/>
  <c r="A1798" i="1"/>
  <c r="AF1797" i="1"/>
  <c r="AD1797" i="1"/>
  <c r="A1797" i="1"/>
  <c r="AF1796" i="1"/>
  <c r="AD1796" i="1"/>
  <c r="A1796" i="1"/>
  <c r="AF1795" i="1"/>
  <c r="AD1795" i="1"/>
  <c r="A1795" i="1"/>
  <c r="AF1794" i="1"/>
  <c r="AD1794" i="1"/>
  <c r="A1794" i="1"/>
  <c r="AF1793" i="1"/>
  <c r="AD1793" i="1"/>
  <c r="A1793" i="1"/>
  <c r="AF1792" i="1"/>
  <c r="AD1792" i="1"/>
  <c r="A1792" i="1"/>
  <c r="AF1791" i="1"/>
  <c r="AD1791" i="1"/>
  <c r="A1791" i="1"/>
  <c r="AF1790" i="1"/>
  <c r="AD1790" i="1"/>
  <c r="A1790" i="1"/>
  <c r="AF1789" i="1"/>
  <c r="AD1789" i="1"/>
  <c r="A1789" i="1"/>
  <c r="AF1788" i="1"/>
  <c r="AD1788" i="1"/>
  <c r="A1788" i="1"/>
  <c r="AF1787" i="1"/>
  <c r="AD1787" i="1"/>
  <c r="A1787" i="1"/>
  <c r="AF1786" i="1"/>
  <c r="AD1786" i="1"/>
  <c r="A1786" i="1"/>
  <c r="AF1785" i="1"/>
  <c r="AD1785" i="1"/>
  <c r="A1785" i="1"/>
  <c r="AF1784" i="1"/>
  <c r="AD1784" i="1"/>
  <c r="A1784" i="1"/>
  <c r="AF1783" i="1"/>
  <c r="AD1783" i="1"/>
  <c r="A1783" i="1"/>
  <c r="AF1782" i="1"/>
  <c r="AD1782" i="1"/>
  <c r="A1782" i="1"/>
  <c r="AF1781" i="1"/>
  <c r="AD1781" i="1"/>
  <c r="A1781" i="1"/>
  <c r="AF1780" i="1"/>
  <c r="AD1780" i="1"/>
  <c r="A1780" i="1"/>
  <c r="AF1779" i="1"/>
  <c r="AD1779" i="1"/>
  <c r="A1779" i="1"/>
  <c r="AF1778" i="1"/>
  <c r="AD1778" i="1"/>
  <c r="A1778" i="1"/>
  <c r="AF1777" i="1"/>
  <c r="AD1777" i="1"/>
  <c r="A1777" i="1"/>
  <c r="AF1776" i="1"/>
  <c r="AD1776" i="1"/>
  <c r="A1776" i="1"/>
  <c r="AF1775" i="1"/>
  <c r="AD1775" i="1"/>
  <c r="A1775" i="1"/>
  <c r="AF1774" i="1"/>
  <c r="AD1774" i="1"/>
  <c r="A1774" i="1"/>
  <c r="AF1773" i="1"/>
  <c r="AD1773" i="1"/>
  <c r="A1773" i="1"/>
  <c r="AF1772" i="1"/>
  <c r="AD1772" i="1"/>
  <c r="A1772" i="1"/>
  <c r="AF1771" i="1"/>
  <c r="AD1771" i="1"/>
  <c r="A1771" i="1"/>
  <c r="AF1770" i="1"/>
  <c r="AD1770" i="1"/>
  <c r="A1770" i="1"/>
  <c r="AF1769" i="1"/>
  <c r="AD1769" i="1"/>
  <c r="A1769" i="1"/>
  <c r="AF1768" i="1"/>
  <c r="AD1768" i="1"/>
  <c r="A1768" i="1"/>
  <c r="AF1767" i="1"/>
  <c r="AD1767" i="1"/>
  <c r="A1767" i="1"/>
  <c r="AF1766" i="1"/>
  <c r="AD1766" i="1"/>
  <c r="A1766" i="1"/>
  <c r="AF1765" i="1"/>
  <c r="AD1765" i="1"/>
  <c r="A1765" i="1"/>
  <c r="AF1764" i="1"/>
  <c r="AD1764" i="1"/>
  <c r="A1764" i="1"/>
  <c r="AF1763" i="1"/>
  <c r="AD1763" i="1"/>
  <c r="A1763" i="1"/>
  <c r="AF1762" i="1"/>
  <c r="AD1762" i="1"/>
  <c r="A1762" i="1"/>
  <c r="AF1761" i="1"/>
  <c r="AD1761" i="1"/>
  <c r="A1761" i="1"/>
  <c r="AF1760" i="1"/>
  <c r="AD1760" i="1"/>
  <c r="A1760" i="1"/>
  <c r="AF1759" i="1"/>
  <c r="AD1759" i="1"/>
  <c r="A1759" i="1"/>
  <c r="AF1758" i="1"/>
  <c r="AD1758" i="1"/>
  <c r="A1758" i="1"/>
  <c r="AF1757" i="1"/>
  <c r="AD1757" i="1"/>
  <c r="A1757" i="1"/>
  <c r="AF1756" i="1"/>
  <c r="AD1756" i="1"/>
  <c r="A1756" i="1"/>
  <c r="AF1755" i="1"/>
  <c r="AD1755" i="1"/>
  <c r="A1755" i="1"/>
  <c r="AF1754" i="1"/>
  <c r="AD1754" i="1"/>
  <c r="A1754" i="1"/>
  <c r="AF1753" i="1"/>
  <c r="AD1753" i="1"/>
  <c r="A1753" i="1"/>
  <c r="AF1752" i="1"/>
  <c r="AD1752" i="1"/>
  <c r="A1752" i="1"/>
  <c r="AF1751" i="1"/>
  <c r="AD1751" i="1"/>
  <c r="A1751" i="1"/>
  <c r="AF1750" i="1"/>
  <c r="AD1750" i="1"/>
  <c r="A1750" i="1"/>
  <c r="AF1749" i="1"/>
  <c r="AD1749" i="1"/>
  <c r="A1749" i="1"/>
  <c r="AF1748" i="1"/>
  <c r="AD1748" i="1"/>
  <c r="A1748" i="1"/>
  <c r="AF1747" i="1"/>
  <c r="AD1747" i="1"/>
  <c r="A1747" i="1"/>
  <c r="AF1746" i="1"/>
  <c r="AD1746" i="1"/>
  <c r="A1746" i="1"/>
  <c r="AF1745" i="1"/>
  <c r="AD1745" i="1"/>
  <c r="A1745" i="1"/>
  <c r="AF1744" i="1"/>
  <c r="AD1744" i="1"/>
  <c r="A1744" i="1"/>
  <c r="AF1743" i="1"/>
  <c r="AD1743" i="1"/>
  <c r="A1743" i="1"/>
  <c r="AF1742" i="1"/>
  <c r="AD1742" i="1"/>
  <c r="A1742" i="1"/>
  <c r="AF1741" i="1"/>
  <c r="AD1741" i="1"/>
  <c r="A1741" i="1"/>
  <c r="AF1740" i="1"/>
  <c r="AD1740" i="1"/>
  <c r="A1740" i="1"/>
  <c r="AF1739" i="1"/>
  <c r="AD1739" i="1"/>
  <c r="A1739" i="1"/>
  <c r="AF1738" i="1"/>
  <c r="AD1738" i="1"/>
  <c r="A1738" i="1"/>
  <c r="AF1737" i="1"/>
  <c r="AD1737" i="1"/>
  <c r="A1737" i="1"/>
  <c r="AF1736" i="1"/>
  <c r="AD1736" i="1"/>
  <c r="A1736" i="1"/>
  <c r="AF1735" i="1"/>
  <c r="AD1735" i="1"/>
  <c r="A1735" i="1"/>
  <c r="AF1734" i="1"/>
  <c r="AD1734" i="1"/>
  <c r="A1734" i="1"/>
  <c r="AF1733" i="1"/>
  <c r="AD1733" i="1"/>
  <c r="A1733" i="1"/>
  <c r="AF1732" i="1"/>
  <c r="AD1732" i="1"/>
  <c r="A1732" i="1"/>
  <c r="AF1731" i="1"/>
  <c r="AD1731" i="1"/>
  <c r="A1731" i="1"/>
  <c r="AF1730" i="1"/>
  <c r="AD1730" i="1"/>
  <c r="A1730" i="1"/>
  <c r="AF1729" i="1"/>
  <c r="AD1729" i="1"/>
  <c r="A1729" i="1"/>
  <c r="AF1728" i="1"/>
  <c r="AD1728" i="1"/>
  <c r="A1728" i="1"/>
  <c r="AF1727" i="1"/>
  <c r="AD1727" i="1"/>
  <c r="A1727" i="1"/>
  <c r="AF1726" i="1"/>
  <c r="AD1726" i="1"/>
  <c r="A1726" i="1"/>
  <c r="AF1725" i="1"/>
  <c r="AD1725" i="1"/>
  <c r="A1725" i="1"/>
  <c r="AF1724" i="1"/>
  <c r="AD1724" i="1"/>
  <c r="A1724" i="1"/>
  <c r="AF1723" i="1"/>
  <c r="AD1723" i="1"/>
  <c r="A1723" i="1"/>
  <c r="AF1722" i="1"/>
  <c r="AD1722" i="1"/>
  <c r="A1722" i="1"/>
  <c r="AF1721" i="1"/>
  <c r="AD1721" i="1"/>
  <c r="A1721" i="1"/>
  <c r="AF1720" i="1"/>
  <c r="AD1720" i="1"/>
  <c r="A1720" i="1"/>
  <c r="AF1719" i="1"/>
  <c r="AD1719" i="1"/>
  <c r="A1719" i="1"/>
  <c r="AF1718" i="1"/>
  <c r="AD1718" i="1"/>
  <c r="A1718" i="1"/>
  <c r="AF1717" i="1"/>
  <c r="AD1717" i="1"/>
  <c r="A1717" i="1"/>
  <c r="AF1716" i="1"/>
  <c r="AD1716" i="1"/>
  <c r="A1716" i="1"/>
  <c r="AF1715" i="1"/>
  <c r="AD1715" i="1"/>
  <c r="A1715" i="1"/>
  <c r="AF1714" i="1"/>
  <c r="AD1714" i="1"/>
  <c r="A1714" i="1"/>
  <c r="AF1713" i="1"/>
  <c r="AD1713" i="1"/>
  <c r="A1713" i="1"/>
  <c r="AF1712" i="1"/>
  <c r="AD1712" i="1"/>
  <c r="A1712" i="1"/>
  <c r="AF1711" i="1"/>
  <c r="AD1711" i="1"/>
  <c r="A1711" i="1"/>
  <c r="AF1710" i="1"/>
  <c r="AD1710" i="1"/>
  <c r="A1710" i="1"/>
  <c r="AF1709" i="1"/>
  <c r="AD1709" i="1"/>
  <c r="A1709" i="1"/>
  <c r="AF1708" i="1"/>
  <c r="AD1708" i="1"/>
  <c r="A1708" i="1"/>
  <c r="AF1707" i="1"/>
  <c r="AD1707" i="1"/>
  <c r="A1707" i="1"/>
  <c r="AF1706" i="1"/>
  <c r="AD1706" i="1"/>
  <c r="A1706" i="1"/>
  <c r="AF1705" i="1"/>
  <c r="AD1705" i="1"/>
  <c r="A1705" i="1"/>
  <c r="AF1704" i="1"/>
  <c r="AD1704" i="1"/>
  <c r="A1704" i="1"/>
  <c r="AF1703" i="1"/>
  <c r="AD1703" i="1"/>
  <c r="A1703" i="1"/>
  <c r="AF1702" i="1"/>
  <c r="AD1702" i="1"/>
  <c r="A1702" i="1"/>
  <c r="AF1701" i="1"/>
  <c r="AD1701" i="1"/>
  <c r="A1701" i="1"/>
  <c r="AF1700" i="1"/>
  <c r="AD1700" i="1"/>
  <c r="A1700" i="1"/>
  <c r="AF1699" i="1"/>
  <c r="AD1699" i="1"/>
  <c r="A1699" i="1"/>
  <c r="AF1698" i="1"/>
  <c r="AD1698" i="1"/>
  <c r="A1698" i="1"/>
  <c r="AF1697" i="1"/>
  <c r="AD1697" i="1"/>
  <c r="A1697" i="1"/>
  <c r="AF1696" i="1"/>
  <c r="AD1696" i="1"/>
  <c r="A1696" i="1"/>
  <c r="AF1695" i="1"/>
  <c r="AD1695" i="1"/>
  <c r="A1695" i="1"/>
  <c r="AF1694" i="1"/>
  <c r="AD1694" i="1"/>
  <c r="A1694" i="1"/>
  <c r="AF1693" i="1"/>
  <c r="AD1693" i="1"/>
  <c r="A1693" i="1"/>
  <c r="AF1692" i="1"/>
  <c r="AD1692" i="1"/>
  <c r="A1692" i="1"/>
  <c r="AF1691" i="1"/>
  <c r="AD1691" i="1"/>
  <c r="A1691" i="1"/>
  <c r="AF1690" i="1"/>
  <c r="AD1690" i="1"/>
  <c r="A1690" i="1"/>
  <c r="AF1689" i="1"/>
  <c r="AD1689" i="1"/>
  <c r="A1689" i="1"/>
  <c r="AF1688" i="1"/>
  <c r="AD1688" i="1"/>
  <c r="A1688" i="1"/>
  <c r="AF1687" i="1"/>
  <c r="AD1687" i="1"/>
  <c r="A1687" i="1"/>
  <c r="AF1686" i="1"/>
  <c r="AD1686" i="1"/>
  <c r="A1686" i="1"/>
  <c r="AF1685" i="1"/>
  <c r="AD1685" i="1"/>
  <c r="A1685" i="1"/>
  <c r="AF1684" i="1"/>
  <c r="AD1684" i="1"/>
  <c r="A1684" i="1"/>
  <c r="AF1683" i="1"/>
  <c r="AD1683" i="1"/>
  <c r="A1683" i="1"/>
  <c r="AF1682" i="1"/>
  <c r="AD1682" i="1"/>
  <c r="A1682" i="1"/>
  <c r="AF1681" i="1"/>
  <c r="AD1681" i="1"/>
  <c r="A1681" i="1"/>
  <c r="AF1680" i="1"/>
  <c r="AD1680" i="1"/>
  <c r="A1680" i="1"/>
  <c r="AF1679" i="1"/>
  <c r="AD1679" i="1"/>
  <c r="A1679" i="1"/>
  <c r="AF1678" i="1"/>
  <c r="AD1678" i="1"/>
  <c r="A1678" i="1"/>
  <c r="AF1677" i="1"/>
  <c r="AD1677" i="1"/>
  <c r="A1677" i="1"/>
  <c r="AF1676" i="1"/>
  <c r="AD1676" i="1"/>
  <c r="A1676" i="1"/>
  <c r="AF1675" i="1"/>
  <c r="AD1675" i="1"/>
  <c r="A1675" i="1"/>
  <c r="AF1674" i="1"/>
  <c r="AD1674" i="1"/>
  <c r="A1674" i="1"/>
  <c r="AF1673" i="1"/>
  <c r="AD1673" i="1"/>
  <c r="A1673" i="1"/>
  <c r="AF1672" i="1"/>
  <c r="AD1672" i="1"/>
  <c r="A1672" i="1"/>
  <c r="AF1671" i="1"/>
  <c r="AD1671" i="1"/>
  <c r="A1671" i="1"/>
  <c r="AF1670" i="1"/>
  <c r="AD1670" i="1"/>
  <c r="A1670" i="1"/>
  <c r="AF1669" i="1"/>
  <c r="AD1669" i="1"/>
  <c r="A1669" i="1"/>
  <c r="AF1668" i="1"/>
  <c r="AD1668" i="1"/>
  <c r="A1668" i="1"/>
  <c r="AF1667" i="1"/>
  <c r="AD1667" i="1"/>
  <c r="A1667" i="1"/>
  <c r="AF1666" i="1"/>
  <c r="AD1666" i="1"/>
  <c r="A1666" i="1"/>
  <c r="AF1665" i="1"/>
  <c r="AD1665" i="1"/>
  <c r="A1665" i="1"/>
  <c r="AF1664" i="1"/>
  <c r="AD1664" i="1"/>
  <c r="A1664" i="1"/>
  <c r="AF1663" i="1"/>
  <c r="AD1663" i="1"/>
  <c r="A1663" i="1"/>
  <c r="AF1662" i="1"/>
  <c r="AD1662" i="1"/>
  <c r="A1662" i="1"/>
  <c r="AF1661" i="1"/>
  <c r="AD1661" i="1"/>
  <c r="A1661" i="1"/>
  <c r="AF1660" i="1"/>
  <c r="AD1660" i="1"/>
  <c r="A1660" i="1"/>
  <c r="AF1659" i="1"/>
  <c r="AD1659" i="1"/>
  <c r="A1659" i="1"/>
  <c r="AF1658" i="1"/>
  <c r="AD1658" i="1"/>
  <c r="A1658" i="1"/>
  <c r="AF1657" i="1"/>
  <c r="AD1657" i="1"/>
  <c r="A1657" i="1"/>
  <c r="AF1656" i="1"/>
  <c r="AD1656" i="1"/>
  <c r="A1656" i="1"/>
  <c r="AF1655" i="1"/>
  <c r="AD1655" i="1"/>
  <c r="A1655" i="1"/>
  <c r="AF1654" i="1"/>
  <c r="AD1654" i="1"/>
  <c r="A1654" i="1"/>
  <c r="AF1653" i="1"/>
  <c r="AD1653" i="1"/>
  <c r="A1653" i="1"/>
  <c r="AF1652" i="1"/>
  <c r="AD1652" i="1"/>
  <c r="A1652" i="1"/>
  <c r="AF1651" i="1"/>
  <c r="AD1651" i="1"/>
  <c r="A1651" i="1"/>
  <c r="AF1650" i="1"/>
  <c r="AD1650" i="1"/>
  <c r="A1650" i="1"/>
  <c r="AF1649" i="1"/>
  <c r="AD1649" i="1"/>
  <c r="A1649" i="1"/>
  <c r="AF1648" i="1"/>
  <c r="AD1648" i="1"/>
  <c r="A1648" i="1"/>
  <c r="AF1647" i="1"/>
  <c r="AD1647" i="1"/>
  <c r="A1647" i="1"/>
  <c r="AF1646" i="1"/>
  <c r="AD1646" i="1"/>
  <c r="A1646" i="1"/>
  <c r="AF1645" i="1"/>
  <c r="AD1645" i="1"/>
  <c r="A1645" i="1"/>
  <c r="AF1644" i="1"/>
  <c r="AD1644" i="1"/>
  <c r="A1644" i="1"/>
  <c r="AF1643" i="1"/>
  <c r="AD1643" i="1"/>
  <c r="A1643" i="1"/>
  <c r="AF1642" i="1"/>
  <c r="AD1642" i="1"/>
  <c r="A1642" i="1"/>
  <c r="AF1641" i="1"/>
  <c r="AD1641" i="1"/>
  <c r="A1641" i="1"/>
  <c r="AF1640" i="1"/>
  <c r="AD1640" i="1"/>
  <c r="A1640" i="1"/>
  <c r="AF1639" i="1"/>
  <c r="AD1639" i="1"/>
  <c r="A1639" i="1"/>
  <c r="AF1638" i="1"/>
  <c r="AD1638" i="1"/>
  <c r="A1638" i="1"/>
  <c r="AF1637" i="1"/>
  <c r="AD1637" i="1"/>
  <c r="A1637" i="1"/>
  <c r="AF1636" i="1"/>
  <c r="AD1636" i="1"/>
  <c r="A1636" i="1"/>
  <c r="AF1635" i="1"/>
  <c r="AD1635" i="1"/>
  <c r="A1635" i="1"/>
  <c r="AF1634" i="1"/>
  <c r="AD1634" i="1"/>
  <c r="A1634" i="1"/>
  <c r="AF1633" i="1"/>
  <c r="AD1633" i="1"/>
  <c r="A1633" i="1"/>
  <c r="AF1632" i="1"/>
  <c r="AD1632" i="1"/>
  <c r="A1632" i="1"/>
  <c r="AF1631" i="1"/>
  <c r="AD1631" i="1"/>
  <c r="A1631" i="1"/>
  <c r="AF1630" i="1"/>
  <c r="AD1630" i="1"/>
  <c r="A1630" i="1"/>
  <c r="AF1629" i="1"/>
  <c r="AD1629" i="1"/>
  <c r="A1629" i="1"/>
  <c r="AF1628" i="1"/>
  <c r="AD1628" i="1"/>
  <c r="A1628" i="1"/>
  <c r="AF1627" i="1"/>
  <c r="AD1627" i="1"/>
  <c r="A1627" i="1"/>
  <c r="AF1626" i="1"/>
  <c r="AD1626" i="1"/>
  <c r="A1626" i="1"/>
  <c r="AF1625" i="1"/>
  <c r="AD1625" i="1"/>
  <c r="A1625" i="1"/>
  <c r="AF1624" i="1"/>
  <c r="AD1624" i="1"/>
  <c r="A1624" i="1"/>
  <c r="AF1623" i="1"/>
  <c r="AD1623" i="1"/>
  <c r="A1623" i="1"/>
  <c r="AF1622" i="1"/>
  <c r="AD1622" i="1"/>
  <c r="A1622" i="1"/>
  <c r="AF1621" i="1"/>
  <c r="AD1621" i="1"/>
  <c r="A1621" i="1"/>
  <c r="AF1620" i="1"/>
  <c r="AD1620" i="1"/>
  <c r="A1620" i="1"/>
  <c r="AF1619" i="1"/>
  <c r="AD1619" i="1"/>
  <c r="A1619" i="1"/>
  <c r="AF1618" i="1"/>
  <c r="AD1618" i="1"/>
  <c r="A1618" i="1"/>
  <c r="AF1617" i="1"/>
  <c r="AD1617" i="1"/>
  <c r="A1617" i="1"/>
  <c r="AF1616" i="1"/>
  <c r="AD1616" i="1"/>
  <c r="A1616" i="1"/>
  <c r="AF1615" i="1"/>
  <c r="AD1615" i="1"/>
  <c r="A1615" i="1"/>
  <c r="AF1614" i="1"/>
  <c r="AD1614" i="1"/>
  <c r="A1614" i="1"/>
  <c r="AF1613" i="1"/>
  <c r="AD1613" i="1"/>
  <c r="A1613" i="1"/>
  <c r="AF1612" i="1"/>
  <c r="AD1612" i="1"/>
  <c r="A1612" i="1"/>
  <c r="AF1611" i="1"/>
  <c r="AD1611" i="1"/>
  <c r="A1611" i="1"/>
  <c r="AF1610" i="1"/>
  <c r="AD1610" i="1"/>
  <c r="A1610" i="1"/>
  <c r="AF1609" i="1"/>
  <c r="AD1609" i="1"/>
  <c r="A1609" i="1"/>
  <c r="AF1608" i="1"/>
  <c r="AD1608" i="1"/>
  <c r="A1608" i="1"/>
  <c r="AF1607" i="1"/>
  <c r="AD1607" i="1"/>
  <c r="A1607" i="1"/>
  <c r="AF1606" i="1"/>
  <c r="AD1606" i="1"/>
  <c r="A1606" i="1"/>
  <c r="AF1605" i="1"/>
  <c r="AD1605" i="1"/>
  <c r="A1605" i="1"/>
  <c r="AF1604" i="1"/>
  <c r="AD1604" i="1"/>
  <c r="A1604" i="1"/>
  <c r="AF1603" i="1"/>
  <c r="AD1603" i="1"/>
  <c r="A1603" i="1"/>
  <c r="AF1602" i="1"/>
  <c r="AD1602" i="1"/>
  <c r="A1602" i="1"/>
  <c r="AF1601" i="1"/>
  <c r="AD1601" i="1"/>
  <c r="A1601" i="1"/>
  <c r="AF1600" i="1"/>
  <c r="AD1600" i="1"/>
  <c r="A1600" i="1"/>
  <c r="AF1599" i="1"/>
  <c r="AD1599" i="1"/>
  <c r="A1599" i="1"/>
  <c r="AF1598" i="1"/>
  <c r="AD1598" i="1"/>
  <c r="A1598" i="1"/>
  <c r="AF1597" i="1"/>
  <c r="AD1597" i="1"/>
  <c r="A1597" i="1"/>
  <c r="AF1596" i="1"/>
  <c r="AD1596" i="1"/>
  <c r="A1596" i="1"/>
  <c r="AF1595" i="1"/>
  <c r="AD1595" i="1"/>
  <c r="A1595" i="1"/>
  <c r="AF1594" i="1"/>
  <c r="AD1594" i="1"/>
  <c r="A1594" i="1"/>
  <c r="AF1593" i="1"/>
  <c r="AD1593" i="1"/>
  <c r="A1593" i="1"/>
  <c r="AF1592" i="1"/>
  <c r="AD1592" i="1"/>
  <c r="A1592" i="1"/>
  <c r="AF1591" i="1"/>
  <c r="AD1591" i="1"/>
  <c r="A1591" i="1"/>
  <c r="AF1590" i="1"/>
  <c r="AD1590" i="1"/>
  <c r="A1590" i="1"/>
  <c r="AF1589" i="1"/>
  <c r="AD1589" i="1"/>
  <c r="A1589" i="1"/>
  <c r="AF1588" i="1"/>
  <c r="AD1588" i="1"/>
  <c r="A1588" i="1"/>
  <c r="AF1587" i="1"/>
  <c r="AD1587" i="1"/>
  <c r="A1587" i="1"/>
  <c r="AF1586" i="1"/>
  <c r="AD1586" i="1"/>
  <c r="A1586" i="1"/>
  <c r="AF1585" i="1"/>
  <c r="AD1585" i="1"/>
  <c r="A1585" i="1"/>
  <c r="AF1584" i="1"/>
  <c r="AD1584" i="1"/>
  <c r="A1584" i="1"/>
  <c r="AF1583" i="1"/>
  <c r="AD1583" i="1"/>
  <c r="A1583" i="1"/>
  <c r="AF1582" i="1"/>
  <c r="AD1582" i="1"/>
  <c r="A1582" i="1"/>
  <c r="AF1581" i="1"/>
  <c r="AD1581" i="1"/>
  <c r="A1581" i="1"/>
  <c r="AF1580" i="1"/>
  <c r="AD1580" i="1"/>
  <c r="A1580" i="1"/>
  <c r="AF1579" i="1"/>
  <c r="AD1579" i="1"/>
  <c r="A1579" i="1"/>
  <c r="AF1578" i="1"/>
  <c r="AD1578" i="1"/>
  <c r="A1578" i="1"/>
  <c r="AF1577" i="1"/>
  <c r="AD1577" i="1"/>
  <c r="A1577" i="1"/>
  <c r="AF1576" i="1"/>
  <c r="AD1576" i="1"/>
  <c r="A1576" i="1"/>
  <c r="AF1575" i="1"/>
  <c r="AD1575" i="1"/>
  <c r="A1575" i="1"/>
  <c r="AF1574" i="1"/>
  <c r="AD1574" i="1"/>
  <c r="A1574" i="1"/>
  <c r="AF1573" i="1"/>
  <c r="AD1573" i="1"/>
  <c r="A1573" i="1"/>
  <c r="AF1572" i="1"/>
  <c r="AD1572" i="1"/>
  <c r="A1572" i="1"/>
  <c r="AF1571" i="1"/>
  <c r="AD1571" i="1"/>
  <c r="A1571" i="1"/>
  <c r="AF1570" i="1"/>
  <c r="AD1570" i="1"/>
  <c r="A1570" i="1"/>
  <c r="AF1569" i="1"/>
  <c r="AD1569" i="1"/>
  <c r="A1569" i="1"/>
  <c r="AF1568" i="1"/>
  <c r="AD1568" i="1"/>
  <c r="A1568" i="1"/>
  <c r="AF1567" i="1"/>
  <c r="AD1567" i="1"/>
  <c r="A1567" i="1"/>
  <c r="AF1566" i="1"/>
  <c r="AD1566" i="1"/>
  <c r="A1566" i="1"/>
  <c r="AF1565" i="1"/>
  <c r="AD1565" i="1"/>
  <c r="A1565" i="1"/>
  <c r="AF1564" i="1"/>
  <c r="AD1564" i="1"/>
  <c r="A1564" i="1"/>
  <c r="AF1563" i="1"/>
  <c r="AD1563" i="1"/>
  <c r="A1563" i="1"/>
  <c r="AF1562" i="1"/>
  <c r="AD1562" i="1"/>
  <c r="A1562" i="1"/>
  <c r="AF1561" i="1"/>
  <c r="AD1561" i="1"/>
  <c r="A1561" i="1"/>
  <c r="AF1560" i="1"/>
  <c r="AD1560" i="1"/>
  <c r="A1560" i="1"/>
  <c r="AF1559" i="1"/>
  <c r="AD1559" i="1"/>
  <c r="A1559" i="1"/>
  <c r="AF1558" i="1"/>
  <c r="AD1558" i="1"/>
  <c r="A1558" i="1"/>
  <c r="AF1557" i="1"/>
  <c r="AD1557" i="1"/>
  <c r="A1557" i="1"/>
  <c r="AF1556" i="1"/>
  <c r="AD1556" i="1"/>
  <c r="A1556" i="1"/>
  <c r="AF1555" i="1"/>
  <c r="AD1555" i="1"/>
  <c r="A1555" i="1"/>
  <c r="AF1554" i="1"/>
  <c r="AD1554" i="1"/>
  <c r="A1554" i="1"/>
  <c r="AF1553" i="1"/>
  <c r="AD1553" i="1"/>
  <c r="A1553" i="1"/>
  <c r="AF1552" i="1"/>
  <c r="AD1552" i="1"/>
  <c r="A1552" i="1"/>
  <c r="AF1551" i="1"/>
  <c r="AD1551" i="1"/>
  <c r="A1551" i="1"/>
  <c r="AF1550" i="1"/>
  <c r="AD1550" i="1"/>
  <c r="A1550" i="1"/>
  <c r="AF1549" i="1"/>
  <c r="AD1549" i="1"/>
  <c r="A1549" i="1"/>
  <c r="AF1548" i="1"/>
  <c r="AD1548" i="1"/>
  <c r="A1548" i="1"/>
  <c r="AF1547" i="1"/>
  <c r="AD1547" i="1"/>
  <c r="A1547" i="1"/>
  <c r="AF1546" i="1"/>
  <c r="AD1546" i="1"/>
  <c r="A1546" i="1"/>
  <c r="AF1545" i="1"/>
  <c r="AD1545" i="1"/>
  <c r="A1545" i="1"/>
  <c r="AF1544" i="1"/>
  <c r="AD1544" i="1"/>
  <c r="A1544" i="1"/>
  <c r="AF1543" i="1"/>
  <c r="AD1543" i="1"/>
  <c r="A1543" i="1"/>
  <c r="AF1542" i="1"/>
  <c r="AD1542" i="1"/>
  <c r="A1542" i="1"/>
  <c r="AF1541" i="1"/>
  <c r="AD1541" i="1"/>
  <c r="A1541" i="1"/>
  <c r="AF1540" i="1"/>
  <c r="AD1540" i="1"/>
  <c r="A1540" i="1"/>
  <c r="AF1539" i="1"/>
  <c r="AD1539" i="1"/>
  <c r="A1539" i="1"/>
  <c r="AF1538" i="1"/>
  <c r="AD1538" i="1"/>
  <c r="A1538" i="1"/>
  <c r="AF1537" i="1"/>
  <c r="AD1537" i="1"/>
  <c r="A1537" i="1"/>
  <c r="AF1536" i="1"/>
  <c r="AD1536" i="1"/>
  <c r="A1536" i="1"/>
  <c r="AF1535" i="1"/>
  <c r="AD1535" i="1"/>
  <c r="A1535" i="1"/>
  <c r="AF1534" i="1"/>
  <c r="AD1534" i="1"/>
  <c r="A1534" i="1"/>
  <c r="AF1533" i="1"/>
  <c r="AD1533" i="1"/>
  <c r="A1533" i="1"/>
  <c r="AF1532" i="1"/>
  <c r="AD1532" i="1"/>
  <c r="A1532" i="1"/>
  <c r="AF1531" i="1"/>
  <c r="AD1531" i="1"/>
  <c r="A1531" i="1"/>
  <c r="AF1530" i="1"/>
  <c r="AD1530" i="1"/>
  <c r="A1530" i="1"/>
  <c r="AF1529" i="1"/>
  <c r="AD1529" i="1"/>
  <c r="A1529" i="1"/>
  <c r="AF1528" i="1"/>
  <c r="AD1528" i="1"/>
  <c r="A1528" i="1"/>
  <c r="AF1527" i="1"/>
  <c r="AD1527" i="1"/>
  <c r="A1527" i="1"/>
  <c r="AF1526" i="1"/>
  <c r="AD1526" i="1"/>
  <c r="A1526" i="1"/>
  <c r="AF1525" i="1"/>
  <c r="AD1525" i="1"/>
  <c r="A1525" i="1"/>
  <c r="AF1524" i="1"/>
  <c r="AD1524" i="1"/>
  <c r="A1524" i="1"/>
  <c r="AF1523" i="1"/>
  <c r="AD1523" i="1"/>
  <c r="A1523" i="1"/>
  <c r="AF1522" i="1"/>
  <c r="AD1522" i="1"/>
  <c r="A1522" i="1"/>
  <c r="AF1521" i="1"/>
  <c r="AD1521" i="1"/>
  <c r="A1521" i="1"/>
  <c r="AF1520" i="1"/>
  <c r="AD1520" i="1"/>
  <c r="A1520" i="1"/>
  <c r="AF1519" i="1"/>
  <c r="AD1519" i="1"/>
  <c r="A1519" i="1"/>
  <c r="AF1518" i="1"/>
  <c r="AD1518" i="1"/>
  <c r="A1518" i="1"/>
  <c r="AF1517" i="1"/>
  <c r="AD1517" i="1"/>
  <c r="A1517" i="1"/>
  <c r="AF1516" i="1"/>
  <c r="AD1516" i="1"/>
  <c r="A1516" i="1"/>
  <c r="AF1515" i="1"/>
  <c r="AD1515" i="1"/>
  <c r="A1515" i="1"/>
  <c r="AF1514" i="1"/>
  <c r="AD1514" i="1"/>
  <c r="A1514" i="1"/>
  <c r="AF1513" i="1"/>
  <c r="AD1513" i="1"/>
  <c r="A1513" i="1"/>
  <c r="AF1512" i="1"/>
  <c r="AD1512" i="1"/>
  <c r="A1512" i="1"/>
  <c r="AF1511" i="1"/>
  <c r="AD1511" i="1"/>
  <c r="A1511" i="1"/>
  <c r="AF1510" i="1"/>
  <c r="AD1510" i="1"/>
  <c r="A1510" i="1"/>
  <c r="AF1509" i="1"/>
  <c r="AD1509" i="1"/>
  <c r="A1509" i="1"/>
  <c r="AF1508" i="1"/>
  <c r="AD1508" i="1"/>
  <c r="A1508" i="1"/>
  <c r="AF1507" i="1"/>
  <c r="AD1507" i="1"/>
  <c r="A1507" i="1"/>
  <c r="AF1506" i="1"/>
  <c r="AD1506" i="1"/>
  <c r="A1506" i="1"/>
  <c r="AF1505" i="1"/>
  <c r="AD1505" i="1"/>
  <c r="A1505" i="1"/>
  <c r="AF1504" i="1"/>
  <c r="AD1504" i="1"/>
  <c r="A1504" i="1"/>
  <c r="AF1503" i="1"/>
  <c r="AD1503" i="1"/>
  <c r="A1503" i="1"/>
  <c r="AF1502" i="1"/>
  <c r="AD1502" i="1"/>
  <c r="A1502" i="1"/>
  <c r="AF1501" i="1"/>
  <c r="AD1501" i="1"/>
  <c r="A1501" i="1"/>
  <c r="AF1500" i="1"/>
  <c r="AD1500" i="1"/>
  <c r="A1500" i="1"/>
  <c r="AF1499" i="1"/>
  <c r="AD1499" i="1"/>
  <c r="A1499" i="1"/>
  <c r="AF1498" i="1"/>
  <c r="AD1498" i="1"/>
  <c r="A1498" i="1"/>
  <c r="AF1497" i="1"/>
  <c r="AD1497" i="1"/>
  <c r="A1497" i="1"/>
  <c r="AF1496" i="1"/>
  <c r="AD1496" i="1"/>
  <c r="A1496" i="1"/>
  <c r="AF1495" i="1"/>
  <c r="AD1495" i="1"/>
  <c r="A1495" i="1"/>
  <c r="AF1494" i="1"/>
  <c r="AD1494" i="1"/>
  <c r="A1494" i="1"/>
  <c r="AF1493" i="1"/>
  <c r="AD1493" i="1"/>
  <c r="A1493" i="1"/>
  <c r="AF1492" i="1"/>
  <c r="AD1492" i="1"/>
  <c r="A1492" i="1"/>
  <c r="AF1491" i="1"/>
  <c r="AD1491" i="1"/>
  <c r="A1491" i="1"/>
  <c r="AF1490" i="1"/>
  <c r="AD1490" i="1"/>
  <c r="A1490" i="1"/>
  <c r="AF1489" i="1"/>
  <c r="AD1489" i="1"/>
  <c r="A1489" i="1"/>
  <c r="AF1488" i="1"/>
  <c r="AD1488" i="1"/>
  <c r="A1488" i="1"/>
  <c r="AF1487" i="1"/>
  <c r="AD1487" i="1"/>
  <c r="A1487" i="1"/>
  <c r="AF1486" i="1"/>
  <c r="AD1486" i="1"/>
  <c r="A1486" i="1"/>
  <c r="AF1485" i="1"/>
  <c r="AD1485" i="1"/>
  <c r="A1485" i="1"/>
  <c r="AF1484" i="1"/>
  <c r="AD1484" i="1"/>
  <c r="A1484" i="1"/>
  <c r="AF1483" i="1"/>
  <c r="AD1483" i="1"/>
  <c r="A1483" i="1"/>
  <c r="AF1482" i="1"/>
  <c r="AD1482" i="1"/>
  <c r="A1482" i="1"/>
  <c r="AF1481" i="1"/>
  <c r="AD1481" i="1"/>
  <c r="A1481" i="1"/>
  <c r="AF1480" i="1"/>
  <c r="AD1480" i="1"/>
  <c r="A1480" i="1"/>
  <c r="AF1479" i="1"/>
  <c r="AD1479" i="1"/>
  <c r="A1479" i="1"/>
  <c r="AF1478" i="1"/>
  <c r="AD1478" i="1"/>
  <c r="A1478" i="1"/>
  <c r="AF1477" i="1"/>
  <c r="AD1477" i="1"/>
  <c r="A1477" i="1"/>
  <c r="AF1476" i="1"/>
  <c r="AD1476" i="1"/>
  <c r="A1476" i="1"/>
  <c r="AF1475" i="1"/>
  <c r="AD1475" i="1"/>
  <c r="A1475" i="1"/>
  <c r="AF1474" i="1"/>
  <c r="AD1474" i="1"/>
  <c r="A1474" i="1"/>
  <c r="AF1473" i="1"/>
  <c r="AD1473" i="1"/>
  <c r="A1473" i="1"/>
  <c r="AF1472" i="1"/>
  <c r="AD1472" i="1"/>
  <c r="A1472" i="1"/>
  <c r="AF1471" i="1"/>
  <c r="AD1471" i="1"/>
  <c r="A1471" i="1"/>
  <c r="AF1470" i="1"/>
  <c r="AD1470" i="1"/>
  <c r="A1470" i="1"/>
  <c r="AF1469" i="1"/>
  <c r="AD1469" i="1"/>
  <c r="A1469" i="1"/>
  <c r="AF1468" i="1"/>
  <c r="AD1468" i="1"/>
  <c r="A1468" i="1"/>
  <c r="AF1467" i="1"/>
  <c r="AD1467" i="1"/>
  <c r="A1467" i="1"/>
  <c r="AF1466" i="1"/>
  <c r="AD1466" i="1"/>
  <c r="A1466" i="1"/>
  <c r="AF1465" i="1"/>
  <c r="AD1465" i="1"/>
  <c r="A1465" i="1"/>
  <c r="AF1464" i="1"/>
  <c r="AD1464" i="1"/>
  <c r="A1464" i="1"/>
  <c r="AF1463" i="1"/>
  <c r="AD1463" i="1"/>
  <c r="A1463" i="1"/>
  <c r="AF1462" i="1"/>
  <c r="AD1462" i="1"/>
  <c r="A1462" i="1"/>
  <c r="AF1461" i="1"/>
  <c r="AD1461" i="1"/>
  <c r="A1461" i="1"/>
  <c r="AF1460" i="1"/>
  <c r="AD1460" i="1"/>
  <c r="A1460" i="1"/>
  <c r="AF1459" i="1"/>
  <c r="AD1459" i="1"/>
  <c r="A1459" i="1"/>
  <c r="AF1458" i="1"/>
  <c r="AD1458" i="1"/>
  <c r="A1458" i="1"/>
  <c r="AF1457" i="1"/>
  <c r="AD1457" i="1"/>
  <c r="A1457" i="1"/>
  <c r="AF1456" i="1"/>
  <c r="AD1456" i="1"/>
  <c r="A1456" i="1"/>
  <c r="AF1455" i="1"/>
  <c r="AD1455" i="1"/>
  <c r="A1455" i="1"/>
  <c r="AF1454" i="1"/>
  <c r="AD1454" i="1"/>
  <c r="A1454" i="1"/>
  <c r="AF1453" i="1"/>
  <c r="AD1453" i="1"/>
  <c r="A1453" i="1"/>
  <c r="AF1452" i="1"/>
  <c r="AD1452" i="1"/>
  <c r="A1452" i="1"/>
  <c r="AF1451" i="1"/>
  <c r="AD1451" i="1"/>
  <c r="A1451" i="1"/>
  <c r="AF1450" i="1"/>
  <c r="AD1450" i="1"/>
  <c r="A1450" i="1"/>
  <c r="AF1449" i="1"/>
  <c r="AD1449" i="1"/>
  <c r="A1449" i="1"/>
  <c r="AF1448" i="1"/>
  <c r="AD1448" i="1"/>
  <c r="A1448" i="1"/>
  <c r="AF1447" i="1"/>
  <c r="AD1447" i="1"/>
  <c r="A1447" i="1"/>
  <c r="AF1446" i="1"/>
  <c r="AD1446" i="1"/>
  <c r="A1446" i="1"/>
  <c r="AF1445" i="1"/>
  <c r="AD1445" i="1"/>
  <c r="A1445" i="1"/>
  <c r="AF1444" i="1"/>
  <c r="AD1444" i="1"/>
  <c r="A1444" i="1"/>
  <c r="AF1443" i="1"/>
  <c r="AD1443" i="1"/>
  <c r="A1443" i="1"/>
  <c r="AF1442" i="1"/>
  <c r="AD1442" i="1"/>
  <c r="A1442" i="1"/>
  <c r="AF1441" i="1"/>
  <c r="AD1441" i="1"/>
  <c r="A1441" i="1"/>
  <c r="AF1440" i="1"/>
  <c r="AD1440" i="1"/>
  <c r="A1440" i="1"/>
  <c r="AF1439" i="1"/>
  <c r="AD1439" i="1"/>
  <c r="A1439" i="1"/>
  <c r="AF1438" i="1"/>
  <c r="AD1438" i="1"/>
  <c r="A1438" i="1"/>
  <c r="AF1437" i="1"/>
  <c r="AD1437" i="1"/>
  <c r="A1437" i="1"/>
  <c r="AF1436" i="1"/>
  <c r="AD1436" i="1"/>
  <c r="A1436" i="1"/>
  <c r="AF1435" i="1"/>
  <c r="AD1435" i="1"/>
  <c r="A1435" i="1"/>
  <c r="AF1434" i="1"/>
  <c r="AD1434" i="1"/>
  <c r="A1434" i="1"/>
  <c r="AF1433" i="1"/>
  <c r="AD1433" i="1"/>
  <c r="A1433" i="1"/>
  <c r="AF1432" i="1"/>
  <c r="AD1432" i="1"/>
  <c r="A1432" i="1"/>
  <c r="AF1431" i="1"/>
  <c r="AD1431" i="1"/>
  <c r="A1431" i="1"/>
  <c r="AF1430" i="1"/>
  <c r="AD1430" i="1"/>
  <c r="A1430" i="1"/>
  <c r="AF1429" i="1"/>
  <c r="AD1429" i="1"/>
  <c r="A1429" i="1"/>
  <c r="AF1428" i="1"/>
  <c r="AD1428" i="1"/>
  <c r="A1428" i="1"/>
  <c r="AF1427" i="1"/>
  <c r="AD1427" i="1"/>
  <c r="A1427" i="1"/>
  <c r="AF1426" i="1"/>
  <c r="AD1426" i="1"/>
  <c r="A1426" i="1"/>
  <c r="AF1425" i="1"/>
  <c r="AD1425" i="1"/>
  <c r="A1425" i="1"/>
  <c r="AF1424" i="1"/>
  <c r="AD1424" i="1"/>
  <c r="A1424" i="1"/>
  <c r="AF1423" i="1"/>
  <c r="AD1423" i="1"/>
  <c r="A1423" i="1"/>
  <c r="AF1422" i="1"/>
  <c r="AD1422" i="1"/>
  <c r="A1422" i="1"/>
  <c r="AF1421" i="1"/>
  <c r="AD1421" i="1"/>
  <c r="A1421" i="1"/>
  <c r="AF1420" i="1"/>
  <c r="AD1420" i="1"/>
  <c r="A1420" i="1"/>
  <c r="AF1419" i="1"/>
  <c r="AD1419" i="1"/>
  <c r="A1419" i="1"/>
  <c r="AF1418" i="1"/>
  <c r="AD1418" i="1"/>
  <c r="A1418" i="1"/>
  <c r="AF1417" i="1"/>
  <c r="AD1417" i="1"/>
  <c r="A1417" i="1"/>
  <c r="AF1416" i="1"/>
  <c r="AD1416" i="1"/>
  <c r="A1416" i="1"/>
  <c r="AF1415" i="1"/>
  <c r="AD1415" i="1"/>
  <c r="A1415" i="1"/>
  <c r="AF1414" i="1"/>
  <c r="AD1414" i="1"/>
  <c r="A1414" i="1"/>
  <c r="AF1413" i="1"/>
  <c r="AD1413" i="1"/>
  <c r="A1413" i="1"/>
  <c r="AF1412" i="1"/>
  <c r="AD1412" i="1"/>
  <c r="A1412" i="1"/>
  <c r="AF1411" i="1"/>
  <c r="AD1411" i="1"/>
  <c r="A1411" i="1"/>
  <c r="AF1410" i="1"/>
  <c r="AD1410" i="1"/>
  <c r="A1410" i="1"/>
  <c r="AF1409" i="1"/>
  <c r="AD1409" i="1"/>
  <c r="A1409" i="1"/>
  <c r="AF1408" i="1"/>
  <c r="AD1408" i="1"/>
  <c r="A1408" i="1"/>
  <c r="AF1407" i="1"/>
  <c r="AD1407" i="1"/>
  <c r="A1407" i="1"/>
  <c r="AF1406" i="1"/>
  <c r="AD1406" i="1"/>
  <c r="A1406" i="1"/>
  <c r="AF1405" i="1"/>
  <c r="AD1405" i="1"/>
  <c r="A1405" i="1"/>
  <c r="AF1404" i="1"/>
  <c r="AD1404" i="1"/>
  <c r="A1404" i="1"/>
  <c r="AF1403" i="1"/>
  <c r="AD1403" i="1"/>
  <c r="A1403" i="1"/>
  <c r="AF1402" i="1"/>
  <c r="AD1402" i="1"/>
  <c r="A1402" i="1"/>
  <c r="AF1401" i="1"/>
  <c r="AD1401" i="1"/>
  <c r="A1401" i="1"/>
  <c r="AF1400" i="1"/>
  <c r="AD1400" i="1"/>
  <c r="A1400" i="1"/>
  <c r="AF1399" i="1"/>
  <c r="AD1399" i="1"/>
  <c r="A1399" i="1"/>
  <c r="AF1398" i="1"/>
  <c r="AD1398" i="1"/>
  <c r="A1398" i="1"/>
  <c r="AF1397" i="1"/>
  <c r="AD1397" i="1"/>
  <c r="A1397" i="1"/>
  <c r="AF1396" i="1"/>
  <c r="AD1396" i="1"/>
  <c r="A1396" i="1"/>
  <c r="AF1395" i="1"/>
  <c r="AD1395" i="1"/>
  <c r="A1395" i="1"/>
  <c r="AF1394" i="1"/>
  <c r="AD1394" i="1"/>
  <c r="A1394" i="1"/>
  <c r="AF1393" i="1"/>
  <c r="AD1393" i="1"/>
  <c r="A1393" i="1"/>
  <c r="AF1392" i="1"/>
  <c r="AD1392" i="1"/>
  <c r="A1392" i="1"/>
  <c r="AF1391" i="1"/>
  <c r="AD1391" i="1"/>
  <c r="A1391" i="1"/>
  <c r="AF1390" i="1"/>
  <c r="AD1390" i="1"/>
  <c r="A1390" i="1"/>
  <c r="AF1389" i="1"/>
  <c r="AD1389" i="1"/>
  <c r="A1389" i="1"/>
  <c r="AF1388" i="1"/>
  <c r="AD1388" i="1"/>
  <c r="A1388" i="1"/>
  <c r="AF1387" i="1"/>
  <c r="AD1387" i="1"/>
  <c r="A1387" i="1"/>
  <c r="AF1386" i="1"/>
  <c r="AD1386" i="1"/>
  <c r="A1386" i="1"/>
  <c r="AF1385" i="1"/>
  <c r="AD1385" i="1"/>
  <c r="A1385" i="1"/>
  <c r="AF1384" i="1"/>
  <c r="AD1384" i="1"/>
  <c r="A1384" i="1"/>
  <c r="AF1383" i="1"/>
  <c r="AD1383" i="1"/>
  <c r="A1383" i="1"/>
  <c r="AF1382" i="1"/>
  <c r="AD1382" i="1"/>
  <c r="A1382" i="1"/>
  <c r="AF1381" i="1"/>
  <c r="AD1381" i="1"/>
  <c r="A1381" i="1"/>
  <c r="AF1380" i="1"/>
  <c r="AD1380" i="1"/>
  <c r="A1380" i="1"/>
  <c r="AF1379" i="1"/>
  <c r="AD1379" i="1"/>
  <c r="A1379" i="1"/>
  <c r="AF1378" i="1"/>
  <c r="AD1378" i="1"/>
  <c r="A1378" i="1"/>
  <c r="AF1377" i="1"/>
  <c r="AD1377" i="1"/>
  <c r="A1377" i="1"/>
  <c r="AF1376" i="1"/>
  <c r="AD1376" i="1"/>
  <c r="A1376" i="1"/>
  <c r="AF1375" i="1"/>
  <c r="AD1375" i="1"/>
  <c r="A1375" i="1"/>
  <c r="AF1374" i="1"/>
  <c r="AD1374" i="1"/>
  <c r="A1374" i="1"/>
  <c r="AF1373" i="1"/>
  <c r="AD1373" i="1"/>
  <c r="A1373" i="1"/>
  <c r="AF1372" i="1"/>
  <c r="AD1372" i="1"/>
  <c r="A1372" i="1"/>
  <c r="AF1371" i="1"/>
  <c r="AD1371" i="1"/>
  <c r="A1371" i="1"/>
  <c r="AF1370" i="1"/>
  <c r="AD1370" i="1"/>
  <c r="A1370" i="1"/>
  <c r="AF1369" i="1"/>
  <c r="AD1369" i="1"/>
  <c r="A1369" i="1"/>
  <c r="AF1368" i="1"/>
  <c r="AD1368" i="1"/>
  <c r="A1368" i="1"/>
  <c r="AF1367" i="1"/>
  <c r="AD1367" i="1"/>
  <c r="A1367" i="1"/>
  <c r="AF1366" i="1"/>
  <c r="AD1366" i="1"/>
  <c r="A1366" i="1"/>
  <c r="AF1365" i="1"/>
  <c r="AD1365" i="1"/>
  <c r="A1365" i="1"/>
  <c r="AF1364" i="1"/>
  <c r="AD1364" i="1"/>
  <c r="A1364" i="1"/>
  <c r="AF1363" i="1"/>
  <c r="AD1363" i="1"/>
  <c r="A1363" i="1"/>
  <c r="AF1362" i="1"/>
  <c r="AD1362" i="1"/>
  <c r="A1362" i="1"/>
  <c r="AF1361" i="1"/>
  <c r="AD1361" i="1"/>
  <c r="A1361" i="1"/>
  <c r="AF1360" i="1"/>
  <c r="AD1360" i="1"/>
  <c r="A1360" i="1"/>
  <c r="AF1359" i="1"/>
  <c r="AD1359" i="1"/>
  <c r="A1359" i="1"/>
  <c r="AF1358" i="1"/>
  <c r="AD1358" i="1"/>
  <c r="A1358" i="1"/>
  <c r="AF1357" i="1"/>
  <c r="AD1357" i="1"/>
  <c r="A1357" i="1"/>
  <c r="AF1356" i="1"/>
  <c r="AD1356" i="1"/>
  <c r="A1356" i="1"/>
  <c r="AF1355" i="1"/>
  <c r="AD1355" i="1"/>
  <c r="A1355" i="1"/>
  <c r="AF1354" i="1"/>
  <c r="AD1354" i="1"/>
  <c r="A1354" i="1"/>
  <c r="AF1353" i="1"/>
  <c r="AD1353" i="1"/>
  <c r="A1353" i="1"/>
  <c r="AF1352" i="1"/>
  <c r="AD1352" i="1"/>
  <c r="A1352" i="1"/>
  <c r="AF1351" i="1"/>
  <c r="AD1351" i="1"/>
  <c r="A1351" i="1"/>
  <c r="AF1350" i="1"/>
  <c r="AD1350" i="1"/>
  <c r="A1350" i="1"/>
  <c r="AF1349" i="1"/>
  <c r="AD1349" i="1"/>
  <c r="A1349" i="1"/>
  <c r="AF1348" i="1"/>
  <c r="AD1348" i="1"/>
  <c r="A1348" i="1"/>
  <c r="AF1347" i="1"/>
  <c r="AD1347" i="1"/>
  <c r="A1347" i="1"/>
  <c r="AF1346" i="1"/>
  <c r="AD1346" i="1"/>
  <c r="A1346" i="1"/>
  <c r="AF1345" i="1"/>
  <c r="AD1345" i="1"/>
  <c r="A1345" i="1"/>
  <c r="AF1344" i="1"/>
  <c r="AD1344" i="1"/>
  <c r="A1344" i="1"/>
  <c r="AF1343" i="1"/>
  <c r="AD1343" i="1"/>
  <c r="A1343" i="1"/>
  <c r="AF1342" i="1"/>
  <c r="AD1342" i="1"/>
  <c r="A1342" i="1"/>
  <c r="AF1341" i="1"/>
  <c r="AD1341" i="1"/>
  <c r="A1341" i="1"/>
  <c r="AF1340" i="1"/>
  <c r="AD1340" i="1"/>
  <c r="A1340" i="1"/>
  <c r="AF1339" i="1"/>
  <c r="AD1339" i="1"/>
  <c r="A1339" i="1"/>
  <c r="AF1338" i="1"/>
  <c r="AD1338" i="1"/>
  <c r="A1338" i="1"/>
  <c r="AF1337" i="1"/>
  <c r="AD1337" i="1"/>
  <c r="A1337" i="1"/>
  <c r="AF1336" i="1"/>
  <c r="AD1336" i="1"/>
  <c r="A1336" i="1"/>
  <c r="AF1335" i="1"/>
  <c r="AD1335" i="1"/>
  <c r="A1335" i="1"/>
  <c r="AF1334" i="1"/>
  <c r="AD1334" i="1"/>
  <c r="A1334" i="1"/>
  <c r="AF1333" i="1"/>
  <c r="AD1333" i="1"/>
  <c r="A1333" i="1"/>
  <c r="AF1332" i="1"/>
  <c r="AD1332" i="1"/>
  <c r="A1332" i="1"/>
  <c r="AF1331" i="1"/>
  <c r="AD1331" i="1"/>
  <c r="A1331" i="1"/>
  <c r="AF1330" i="1"/>
  <c r="AD1330" i="1"/>
  <c r="A1330" i="1"/>
  <c r="AF1329" i="1"/>
  <c r="AD1329" i="1"/>
  <c r="A1329" i="1"/>
  <c r="AF1328" i="1"/>
  <c r="AD1328" i="1"/>
  <c r="A1328" i="1"/>
  <c r="AF1327" i="1"/>
  <c r="AD1327" i="1"/>
  <c r="A1327" i="1"/>
  <c r="AF1326" i="1"/>
  <c r="AD1326" i="1"/>
  <c r="A1326" i="1"/>
  <c r="AF1325" i="1"/>
  <c r="AD1325" i="1"/>
  <c r="A1325" i="1"/>
  <c r="AF1324" i="1"/>
  <c r="AD1324" i="1"/>
  <c r="A1324" i="1"/>
  <c r="AF1323" i="1"/>
  <c r="AD1323" i="1"/>
  <c r="A1323" i="1"/>
  <c r="AF1322" i="1"/>
  <c r="AD1322" i="1"/>
  <c r="A1322" i="1"/>
  <c r="AF1321" i="1"/>
  <c r="AD1321" i="1"/>
  <c r="A1321" i="1"/>
  <c r="AF1320" i="1"/>
  <c r="AD1320" i="1"/>
  <c r="A1320" i="1"/>
  <c r="AF1319" i="1"/>
  <c r="AD1319" i="1"/>
  <c r="A1319" i="1"/>
  <c r="AF1318" i="1"/>
  <c r="AD1318" i="1"/>
  <c r="A1318" i="1"/>
  <c r="AF1317" i="1"/>
  <c r="AD1317" i="1"/>
  <c r="A1317" i="1"/>
  <c r="AF1316" i="1"/>
  <c r="AD1316" i="1"/>
  <c r="A1316" i="1"/>
  <c r="AF1315" i="1"/>
  <c r="AD1315" i="1"/>
  <c r="A1315" i="1"/>
  <c r="AF1314" i="1"/>
  <c r="AD1314" i="1"/>
  <c r="A1314" i="1"/>
  <c r="AF1313" i="1"/>
  <c r="AD1313" i="1"/>
  <c r="A1313" i="1"/>
  <c r="AF1312" i="1"/>
  <c r="AD1312" i="1"/>
  <c r="A1312" i="1"/>
  <c r="AF1311" i="1"/>
  <c r="AD1311" i="1"/>
  <c r="A1311" i="1"/>
  <c r="AF1310" i="1"/>
  <c r="AD1310" i="1"/>
  <c r="A1310" i="1"/>
  <c r="AF1309" i="1"/>
  <c r="AD1309" i="1"/>
  <c r="A1309" i="1"/>
  <c r="AF1308" i="1"/>
  <c r="AD1308" i="1"/>
  <c r="A1308" i="1"/>
  <c r="AF1307" i="1"/>
  <c r="AD1307" i="1"/>
  <c r="A1307" i="1"/>
  <c r="AF1306" i="1"/>
  <c r="AD1306" i="1"/>
  <c r="A1306" i="1"/>
  <c r="AF1305" i="1"/>
  <c r="AD1305" i="1"/>
  <c r="A1305" i="1"/>
  <c r="AF1304" i="1"/>
  <c r="AD1304" i="1"/>
  <c r="A1304" i="1"/>
  <c r="AF1303" i="1"/>
  <c r="AD1303" i="1"/>
  <c r="A1303" i="1"/>
  <c r="AF1302" i="1"/>
  <c r="AD1302" i="1"/>
  <c r="A1302" i="1"/>
  <c r="AF1301" i="1"/>
  <c r="AD1301" i="1"/>
  <c r="A1301" i="1"/>
  <c r="AF1300" i="1"/>
  <c r="AD1300" i="1"/>
  <c r="A1300" i="1"/>
  <c r="AF1299" i="1"/>
  <c r="AD1299" i="1"/>
  <c r="A1299" i="1"/>
  <c r="AF1298" i="1"/>
  <c r="AD1298" i="1"/>
  <c r="A1298" i="1"/>
  <c r="AF1297" i="1"/>
  <c r="AD1297" i="1"/>
  <c r="A1297" i="1"/>
  <c r="AF1296" i="1"/>
  <c r="AD1296" i="1"/>
  <c r="A1296" i="1"/>
  <c r="AF1295" i="1"/>
  <c r="AD1295" i="1"/>
  <c r="A1295" i="1"/>
  <c r="AF1294" i="1"/>
  <c r="AD1294" i="1"/>
  <c r="A1294" i="1"/>
  <c r="AF1293" i="1"/>
  <c r="AD1293" i="1"/>
  <c r="A1293" i="1"/>
  <c r="AF1292" i="1"/>
  <c r="AD1292" i="1"/>
  <c r="A1292" i="1"/>
  <c r="AF1291" i="1"/>
  <c r="AD1291" i="1"/>
  <c r="A1291" i="1"/>
  <c r="AF1290" i="1"/>
  <c r="AD1290" i="1"/>
  <c r="A1290" i="1"/>
  <c r="AF1289" i="1"/>
  <c r="AD1289" i="1"/>
  <c r="A1289" i="1"/>
  <c r="AF1288" i="1"/>
  <c r="AD1288" i="1"/>
  <c r="A1288" i="1"/>
  <c r="AF1287" i="1"/>
  <c r="AD1287" i="1"/>
  <c r="A1287" i="1"/>
  <c r="AF1286" i="1"/>
  <c r="AD1286" i="1"/>
  <c r="A1286" i="1"/>
  <c r="AF1285" i="1"/>
  <c r="AD1285" i="1"/>
  <c r="A1285" i="1"/>
  <c r="AF1284" i="1"/>
  <c r="AD1284" i="1"/>
  <c r="A1284" i="1"/>
  <c r="AF1283" i="1"/>
  <c r="AD1283" i="1"/>
  <c r="A1283" i="1"/>
  <c r="AF1282" i="1"/>
  <c r="AD1282" i="1"/>
  <c r="A1282" i="1"/>
  <c r="AF1281" i="1"/>
  <c r="AD1281" i="1"/>
  <c r="A1281" i="1"/>
  <c r="AF1280" i="1"/>
  <c r="AD1280" i="1"/>
  <c r="A1280" i="1"/>
  <c r="AF1279" i="1"/>
  <c r="AD1279" i="1"/>
  <c r="A1279" i="1"/>
  <c r="AF1278" i="1"/>
  <c r="AD1278" i="1"/>
  <c r="A1278" i="1"/>
  <c r="AF1277" i="1"/>
  <c r="AD1277" i="1"/>
  <c r="A1277" i="1"/>
  <c r="AF1276" i="1"/>
  <c r="AD1276" i="1"/>
  <c r="A1276" i="1"/>
  <c r="AF1275" i="1"/>
  <c r="AD1275" i="1"/>
  <c r="A1275" i="1"/>
  <c r="AF1274" i="1"/>
  <c r="AD1274" i="1"/>
  <c r="A1274" i="1"/>
  <c r="AF1273" i="1"/>
  <c r="AD1273" i="1"/>
  <c r="A1273" i="1"/>
  <c r="AF1272" i="1"/>
  <c r="AD1272" i="1"/>
  <c r="A1272" i="1"/>
  <c r="AF1271" i="1"/>
  <c r="AD1271" i="1"/>
  <c r="A1271" i="1"/>
  <c r="AF1270" i="1"/>
  <c r="AD1270" i="1"/>
  <c r="A1270" i="1"/>
  <c r="AF1269" i="1"/>
  <c r="AD1269" i="1"/>
  <c r="A1269" i="1"/>
  <c r="AF1268" i="1"/>
  <c r="AD1268" i="1"/>
  <c r="A1268" i="1"/>
  <c r="AF1267" i="1"/>
  <c r="AD1267" i="1"/>
  <c r="A1267" i="1"/>
  <c r="AF1266" i="1"/>
  <c r="AD1266" i="1"/>
  <c r="A1266" i="1"/>
  <c r="AF1265" i="1"/>
  <c r="AD1265" i="1"/>
  <c r="A1265" i="1"/>
  <c r="AF1264" i="1"/>
  <c r="AD1264" i="1"/>
  <c r="A1264" i="1"/>
  <c r="AF1263" i="1"/>
  <c r="AD1263" i="1"/>
  <c r="A1263" i="1"/>
  <c r="AF1262" i="1"/>
  <c r="AD1262" i="1"/>
  <c r="A1262" i="1"/>
  <c r="AF1261" i="1"/>
  <c r="AD1261" i="1"/>
  <c r="A1261" i="1"/>
  <c r="AF1260" i="1"/>
  <c r="AD1260" i="1"/>
  <c r="A1260" i="1"/>
  <c r="AF1259" i="1"/>
  <c r="AD1259" i="1"/>
  <c r="A1259" i="1"/>
  <c r="AF1258" i="1"/>
  <c r="AD1258" i="1"/>
  <c r="A1258" i="1"/>
  <c r="AF1257" i="1"/>
  <c r="AD1257" i="1"/>
  <c r="A1257" i="1"/>
  <c r="AF1256" i="1"/>
  <c r="AD1256" i="1"/>
  <c r="A1256" i="1"/>
  <c r="AF1255" i="1"/>
  <c r="AD1255" i="1"/>
  <c r="A1255" i="1"/>
  <c r="AF1254" i="1"/>
  <c r="AD1254" i="1"/>
  <c r="A1254" i="1"/>
  <c r="AF1253" i="1"/>
  <c r="AD1253" i="1"/>
  <c r="A1253" i="1"/>
  <c r="AF1252" i="1"/>
  <c r="AD1252" i="1"/>
  <c r="A1252" i="1"/>
  <c r="AF1251" i="1"/>
  <c r="AD1251" i="1"/>
  <c r="A1251" i="1"/>
  <c r="AF1250" i="1"/>
  <c r="AD1250" i="1"/>
  <c r="A1250" i="1"/>
  <c r="AF1249" i="1"/>
  <c r="AD1249" i="1"/>
  <c r="A1249" i="1"/>
  <c r="AF1248" i="1"/>
  <c r="AD1248" i="1"/>
  <c r="A1248" i="1"/>
  <c r="AF1247" i="1"/>
  <c r="AD1247" i="1"/>
  <c r="A1247" i="1"/>
  <c r="AF1246" i="1"/>
  <c r="AD1246" i="1"/>
  <c r="A1246" i="1"/>
  <c r="AF1245" i="1"/>
  <c r="AD1245" i="1"/>
  <c r="A1245" i="1"/>
  <c r="AF1244" i="1"/>
  <c r="AD1244" i="1"/>
  <c r="A1244" i="1"/>
  <c r="AF1243" i="1"/>
  <c r="AD1243" i="1"/>
  <c r="A1243" i="1"/>
  <c r="AF1242" i="1"/>
  <c r="AD1242" i="1"/>
  <c r="A1242" i="1"/>
  <c r="AF1241" i="1"/>
  <c r="AD1241" i="1"/>
  <c r="A1241" i="1"/>
  <c r="AF1240" i="1"/>
  <c r="AD1240" i="1"/>
  <c r="A1240" i="1"/>
  <c r="AF1239" i="1"/>
  <c r="AD1239" i="1"/>
  <c r="A1239" i="1"/>
  <c r="AF1238" i="1"/>
  <c r="AD1238" i="1"/>
  <c r="A1238" i="1"/>
  <c r="AF1237" i="1"/>
  <c r="AD1237" i="1"/>
  <c r="A1237" i="1"/>
  <c r="AF1236" i="1"/>
  <c r="AD1236" i="1"/>
  <c r="A1236" i="1"/>
  <c r="AF1235" i="1"/>
  <c r="AD1235" i="1"/>
  <c r="A1235" i="1"/>
  <c r="AF1234" i="1"/>
  <c r="AD1234" i="1"/>
  <c r="A1234" i="1"/>
  <c r="AF1233" i="1"/>
  <c r="AD1233" i="1"/>
  <c r="A1233" i="1"/>
  <c r="AF1232" i="1"/>
  <c r="AD1232" i="1"/>
  <c r="A1232" i="1"/>
  <c r="AF1231" i="1"/>
  <c r="AD1231" i="1"/>
  <c r="A1231" i="1"/>
  <c r="AF1230" i="1"/>
  <c r="AD1230" i="1"/>
  <c r="A1230" i="1"/>
  <c r="AF1229" i="1"/>
  <c r="AD1229" i="1"/>
  <c r="A1229" i="1"/>
  <c r="AF1228" i="1"/>
  <c r="AD1228" i="1"/>
  <c r="A1228" i="1"/>
  <c r="AF1227" i="1"/>
  <c r="AD1227" i="1"/>
  <c r="A1227" i="1"/>
  <c r="AF1226" i="1"/>
  <c r="AD1226" i="1"/>
  <c r="A1226" i="1"/>
  <c r="AF1225" i="1"/>
  <c r="AD1225" i="1"/>
  <c r="A1225" i="1"/>
  <c r="AF1224" i="1"/>
  <c r="AD1224" i="1"/>
  <c r="A1224" i="1"/>
  <c r="AF1223" i="1"/>
  <c r="AD1223" i="1"/>
  <c r="A1223" i="1"/>
  <c r="AF1222" i="1"/>
  <c r="AD1222" i="1"/>
  <c r="A1222" i="1"/>
  <c r="AF1221" i="1"/>
  <c r="AD1221" i="1"/>
  <c r="A1221" i="1"/>
  <c r="AF1220" i="1"/>
  <c r="AD1220" i="1"/>
  <c r="A1220" i="1"/>
  <c r="AF1219" i="1"/>
  <c r="AD1219" i="1"/>
  <c r="A1219" i="1"/>
  <c r="AF1218" i="1"/>
  <c r="AD1218" i="1"/>
  <c r="A1218" i="1"/>
  <c r="AF1217" i="1"/>
  <c r="AD1217" i="1"/>
  <c r="A1217" i="1"/>
  <c r="AF1216" i="1"/>
  <c r="AD1216" i="1"/>
  <c r="A1216" i="1"/>
  <c r="AF1215" i="1"/>
  <c r="AD1215" i="1"/>
  <c r="A1215" i="1"/>
  <c r="AF1214" i="1"/>
  <c r="AD1214" i="1"/>
  <c r="A1214" i="1"/>
  <c r="AF1213" i="1"/>
  <c r="AD1213" i="1"/>
  <c r="A1213" i="1"/>
  <c r="AF1212" i="1"/>
  <c r="AD1212" i="1"/>
  <c r="A1212" i="1"/>
  <c r="AF1211" i="1"/>
  <c r="AD1211" i="1"/>
  <c r="A1211" i="1"/>
  <c r="AF1210" i="1"/>
  <c r="AD1210" i="1"/>
  <c r="A1210" i="1"/>
  <c r="AF1209" i="1"/>
  <c r="AD1209" i="1"/>
  <c r="A1209" i="1"/>
  <c r="AF1208" i="1"/>
  <c r="AD1208" i="1"/>
  <c r="A1208" i="1"/>
  <c r="AF1207" i="1"/>
  <c r="AD1207" i="1"/>
  <c r="A1207" i="1"/>
  <c r="AF1206" i="1"/>
  <c r="AD1206" i="1"/>
  <c r="A1206" i="1"/>
  <c r="AF1205" i="1"/>
  <c r="AD1205" i="1"/>
  <c r="A1205" i="1"/>
  <c r="AF1204" i="1"/>
  <c r="AD1204" i="1"/>
  <c r="A1204" i="1"/>
  <c r="AF1203" i="1"/>
  <c r="AD1203" i="1"/>
  <c r="A1203" i="1"/>
  <c r="AF1202" i="1"/>
  <c r="AD1202" i="1"/>
  <c r="A1202" i="1"/>
  <c r="AF1201" i="1"/>
  <c r="AD1201" i="1"/>
  <c r="A1201" i="1"/>
  <c r="AF1200" i="1"/>
  <c r="AD1200" i="1"/>
  <c r="A1200" i="1"/>
  <c r="AF1199" i="1"/>
  <c r="AD1199" i="1"/>
  <c r="A1199" i="1"/>
  <c r="AF1198" i="1"/>
  <c r="AD1198" i="1"/>
  <c r="A1198" i="1"/>
  <c r="AF1197" i="1"/>
  <c r="AD1197" i="1"/>
  <c r="A1197" i="1"/>
  <c r="AF1196" i="1"/>
  <c r="AD1196" i="1"/>
  <c r="A1196" i="1"/>
  <c r="AF1195" i="1"/>
  <c r="AD1195" i="1"/>
  <c r="A1195" i="1"/>
  <c r="AF1194" i="1"/>
  <c r="AD1194" i="1"/>
  <c r="A1194" i="1"/>
  <c r="AF1193" i="1"/>
  <c r="AD1193" i="1"/>
  <c r="A1193" i="1"/>
  <c r="AF1192" i="1"/>
  <c r="AD1192" i="1"/>
  <c r="A1192" i="1"/>
  <c r="AF1191" i="1"/>
  <c r="AD1191" i="1"/>
  <c r="A1191" i="1"/>
  <c r="AF1190" i="1"/>
  <c r="AD1190" i="1"/>
  <c r="A1190" i="1"/>
  <c r="AF1189" i="1"/>
  <c r="AD1189" i="1"/>
  <c r="A1189" i="1"/>
  <c r="AF1188" i="1"/>
  <c r="AD1188" i="1"/>
  <c r="A1188" i="1"/>
  <c r="AF1187" i="1"/>
  <c r="AD1187" i="1"/>
  <c r="A1187" i="1"/>
  <c r="AF1186" i="1"/>
  <c r="AD1186" i="1"/>
  <c r="A1186" i="1"/>
  <c r="AF1185" i="1"/>
  <c r="AD1185" i="1"/>
  <c r="A1185" i="1"/>
  <c r="AF1184" i="1"/>
  <c r="AD1184" i="1"/>
  <c r="A1184" i="1"/>
  <c r="AF1183" i="1"/>
  <c r="AD1183" i="1"/>
  <c r="A1183" i="1"/>
  <c r="AF1182" i="1"/>
  <c r="AD1182" i="1"/>
  <c r="A1182" i="1"/>
  <c r="AF1181" i="1"/>
  <c r="AD1181" i="1"/>
  <c r="A1181" i="1"/>
  <c r="AF1180" i="1"/>
  <c r="AD1180" i="1"/>
  <c r="A1180" i="1"/>
  <c r="AF1179" i="1"/>
  <c r="AD1179" i="1"/>
  <c r="A1179" i="1"/>
  <c r="AF1178" i="1"/>
  <c r="AD1178" i="1"/>
  <c r="A1178" i="1"/>
  <c r="AF1177" i="1"/>
  <c r="AD1177" i="1"/>
  <c r="A1177" i="1"/>
  <c r="AF1176" i="1"/>
  <c r="AD1176" i="1"/>
  <c r="A1176" i="1"/>
  <c r="AF1175" i="1"/>
  <c r="AD1175" i="1"/>
  <c r="A1175" i="1"/>
  <c r="AF1174" i="1"/>
  <c r="AD1174" i="1"/>
  <c r="A1174" i="1"/>
  <c r="AF1173" i="1"/>
  <c r="AD1173" i="1"/>
  <c r="A1173" i="1"/>
  <c r="AF1172" i="1"/>
  <c r="AD1172" i="1"/>
  <c r="A1172" i="1"/>
  <c r="AF1171" i="1"/>
  <c r="AD1171" i="1"/>
  <c r="A1171" i="1"/>
  <c r="AF1170" i="1"/>
  <c r="AD1170" i="1"/>
  <c r="A1170" i="1"/>
  <c r="AF1169" i="1"/>
  <c r="AD1169" i="1"/>
  <c r="A1169" i="1"/>
  <c r="AF1168" i="1"/>
  <c r="AD1168" i="1"/>
  <c r="A1168" i="1"/>
  <c r="AF1167" i="1"/>
  <c r="AD1167" i="1"/>
  <c r="A1167" i="1"/>
  <c r="AF1166" i="1"/>
  <c r="AD1166" i="1"/>
  <c r="A1166" i="1"/>
  <c r="AF1165" i="1"/>
  <c r="AD1165" i="1"/>
  <c r="A1165" i="1"/>
  <c r="AF1164" i="1"/>
  <c r="AD1164" i="1"/>
  <c r="A1164" i="1"/>
  <c r="AF1163" i="1"/>
  <c r="AD1163" i="1"/>
  <c r="A1163" i="1"/>
  <c r="AF1162" i="1"/>
  <c r="AD1162" i="1"/>
  <c r="A1162" i="1"/>
  <c r="AF1161" i="1"/>
  <c r="AD1161" i="1"/>
  <c r="A1161" i="1"/>
  <c r="AF1160" i="1"/>
  <c r="AD1160" i="1"/>
  <c r="A1160" i="1"/>
  <c r="AF1159" i="1"/>
  <c r="AD1159" i="1"/>
  <c r="A1159" i="1"/>
  <c r="AF1158" i="1"/>
  <c r="AD1158" i="1"/>
  <c r="A1158" i="1"/>
  <c r="AF1157" i="1"/>
  <c r="AD1157" i="1"/>
  <c r="A1157" i="1"/>
  <c r="AF1156" i="1"/>
  <c r="AD1156" i="1"/>
  <c r="A1156" i="1"/>
  <c r="AF1155" i="1"/>
  <c r="AD1155" i="1"/>
  <c r="A1155" i="1"/>
  <c r="AF1154" i="1"/>
  <c r="AD1154" i="1"/>
  <c r="A1154" i="1"/>
  <c r="AF1153" i="1"/>
  <c r="AD1153" i="1"/>
  <c r="A1153" i="1"/>
  <c r="AF1152" i="1"/>
  <c r="AD1152" i="1"/>
  <c r="A1152" i="1"/>
  <c r="AF1151" i="1"/>
  <c r="AD1151" i="1"/>
  <c r="A1151" i="1"/>
  <c r="AF1150" i="1"/>
  <c r="AD1150" i="1"/>
  <c r="A1150" i="1"/>
  <c r="AF1149" i="1"/>
  <c r="AD1149" i="1"/>
  <c r="A1149" i="1"/>
  <c r="AF1148" i="1"/>
  <c r="AD1148" i="1"/>
  <c r="A1148" i="1"/>
  <c r="AF1147" i="1"/>
  <c r="AD1147" i="1"/>
  <c r="A1147" i="1"/>
  <c r="AF1146" i="1"/>
  <c r="AD1146" i="1"/>
  <c r="A1146" i="1"/>
  <c r="AF1145" i="1"/>
  <c r="AD1145" i="1"/>
  <c r="A1145" i="1"/>
  <c r="AF1144" i="1"/>
  <c r="AD1144" i="1"/>
  <c r="A1144" i="1"/>
  <c r="AF1143" i="1"/>
  <c r="AD1143" i="1"/>
  <c r="A1143" i="1"/>
  <c r="AF1142" i="1"/>
  <c r="AD1142" i="1"/>
  <c r="A1142" i="1"/>
  <c r="AF1141" i="1"/>
  <c r="AD1141" i="1"/>
  <c r="A1141" i="1"/>
  <c r="AF1140" i="1"/>
  <c r="AD1140" i="1"/>
  <c r="A1140" i="1"/>
  <c r="AF1139" i="1"/>
  <c r="AD1139" i="1"/>
  <c r="A1139" i="1"/>
  <c r="AF1138" i="1"/>
  <c r="AD1138" i="1"/>
  <c r="A1138" i="1"/>
  <c r="AF1137" i="1"/>
  <c r="AD1137" i="1"/>
  <c r="A1137" i="1"/>
  <c r="AF1136" i="1"/>
  <c r="AD1136" i="1"/>
  <c r="A1136" i="1"/>
  <c r="AF1135" i="1"/>
  <c r="AD1135" i="1"/>
  <c r="A1135" i="1"/>
  <c r="AF1134" i="1"/>
  <c r="AD1134" i="1"/>
  <c r="A1134" i="1"/>
  <c r="AF1133" i="1"/>
  <c r="AD1133" i="1"/>
  <c r="A1133" i="1"/>
  <c r="AF1132" i="1"/>
  <c r="AD1132" i="1"/>
  <c r="A1132" i="1"/>
  <c r="AF1131" i="1"/>
  <c r="AD1131" i="1"/>
  <c r="A1131" i="1"/>
  <c r="AF1130" i="1"/>
  <c r="AD1130" i="1"/>
  <c r="A1130" i="1"/>
  <c r="AF1129" i="1"/>
  <c r="AD1129" i="1"/>
  <c r="A1129" i="1"/>
  <c r="AF1128" i="1"/>
  <c r="AD1128" i="1"/>
  <c r="A1128" i="1"/>
  <c r="AF1127" i="1"/>
  <c r="AD1127" i="1"/>
  <c r="A1127" i="1"/>
  <c r="AF1126" i="1"/>
  <c r="AD1126" i="1"/>
  <c r="A1126" i="1"/>
  <c r="AF1125" i="1"/>
  <c r="AD1125" i="1"/>
  <c r="A1125" i="1"/>
  <c r="AF1124" i="1"/>
  <c r="AD1124" i="1"/>
  <c r="A1124" i="1"/>
  <c r="AF1123" i="1"/>
  <c r="AD1123" i="1"/>
  <c r="A1123" i="1"/>
  <c r="AF1122" i="1"/>
  <c r="AD1122" i="1"/>
  <c r="A1122" i="1"/>
  <c r="AF1121" i="1"/>
  <c r="AD1121" i="1"/>
  <c r="A1121" i="1"/>
  <c r="AF1120" i="1"/>
  <c r="AD1120" i="1"/>
  <c r="A1120" i="1"/>
  <c r="AF1119" i="1"/>
  <c r="AD1119" i="1"/>
  <c r="A1119" i="1"/>
  <c r="AF1118" i="1"/>
  <c r="AD1118" i="1"/>
  <c r="A1118" i="1"/>
  <c r="AF1117" i="1"/>
  <c r="AD1117" i="1"/>
  <c r="A1117" i="1"/>
  <c r="AF1116" i="1"/>
  <c r="AD1116" i="1"/>
  <c r="A1116" i="1"/>
  <c r="AF1115" i="1"/>
  <c r="AD1115" i="1"/>
  <c r="A1115" i="1"/>
  <c r="AF1114" i="1"/>
  <c r="AD1114" i="1"/>
  <c r="A1114" i="1"/>
  <c r="AF1113" i="1"/>
  <c r="AD1113" i="1"/>
  <c r="A1113" i="1"/>
  <c r="AF1112" i="1"/>
  <c r="AD1112" i="1"/>
  <c r="A1112" i="1"/>
  <c r="AF1111" i="1"/>
  <c r="AD1111" i="1"/>
  <c r="A1111" i="1"/>
  <c r="AF1110" i="1"/>
  <c r="AD1110" i="1"/>
  <c r="A1110" i="1"/>
  <c r="AF1109" i="1"/>
  <c r="AD1109" i="1"/>
  <c r="A1109" i="1"/>
  <c r="AF1108" i="1"/>
  <c r="AD1108" i="1"/>
  <c r="A1108" i="1"/>
  <c r="AF1107" i="1"/>
  <c r="AD1107" i="1"/>
  <c r="A1107" i="1"/>
  <c r="AF1106" i="1"/>
  <c r="AD1106" i="1"/>
  <c r="A1106" i="1"/>
  <c r="AF1105" i="1"/>
  <c r="AD1105" i="1"/>
  <c r="A1105" i="1"/>
  <c r="AF1104" i="1"/>
  <c r="AD1104" i="1"/>
  <c r="A1104" i="1"/>
  <c r="AF1103" i="1"/>
  <c r="AD1103" i="1"/>
  <c r="A1103" i="1"/>
  <c r="AF1102" i="1"/>
  <c r="AD1102" i="1"/>
  <c r="A1102" i="1"/>
  <c r="AF1101" i="1"/>
  <c r="AD1101" i="1"/>
  <c r="A1101" i="1"/>
  <c r="AF1100" i="1"/>
  <c r="AD1100" i="1"/>
  <c r="A1100" i="1"/>
  <c r="AF1099" i="1"/>
  <c r="AD1099" i="1"/>
  <c r="A1099" i="1"/>
  <c r="AF1098" i="1"/>
  <c r="AD1098" i="1"/>
  <c r="A1098" i="1"/>
  <c r="AF1097" i="1"/>
  <c r="AD1097" i="1"/>
  <c r="A1097" i="1"/>
  <c r="AF1096" i="1"/>
  <c r="AD1096" i="1"/>
  <c r="A1096" i="1"/>
  <c r="AF1095" i="1"/>
  <c r="AD1095" i="1"/>
  <c r="A1095" i="1"/>
  <c r="AF1094" i="1"/>
  <c r="AD1094" i="1"/>
  <c r="A1094" i="1"/>
  <c r="AF1093" i="1"/>
  <c r="AD1093" i="1"/>
  <c r="A1093" i="1"/>
  <c r="AF1092" i="1"/>
  <c r="AD1092" i="1"/>
  <c r="A1092" i="1"/>
  <c r="AF1091" i="1"/>
  <c r="AD1091" i="1"/>
  <c r="A1091" i="1"/>
  <c r="AF1090" i="1"/>
  <c r="AD1090" i="1"/>
  <c r="A1090" i="1"/>
  <c r="AF1089" i="1"/>
  <c r="AD1089" i="1"/>
  <c r="A1089" i="1"/>
  <c r="AF1088" i="1"/>
  <c r="AD1088" i="1"/>
  <c r="A1088" i="1"/>
  <c r="AF1087" i="1"/>
  <c r="AD1087" i="1"/>
  <c r="A1087" i="1"/>
  <c r="AF1086" i="1"/>
  <c r="AD1086" i="1"/>
  <c r="A1086" i="1"/>
  <c r="AF1085" i="1"/>
  <c r="AD1085" i="1"/>
  <c r="A1085" i="1"/>
  <c r="AF1084" i="1"/>
  <c r="AD1084" i="1"/>
  <c r="A1084" i="1"/>
  <c r="AF1083" i="1"/>
  <c r="AD1083" i="1"/>
  <c r="A1083" i="1"/>
  <c r="AF1082" i="1"/>
  <c r="AD1082" i="1"/>
  <c r="A1082" i="1"/>
  <c r="AF1081" i="1"/>
  <c r="AD1081" i="1"/>
  <c r="A1081" i="1"/>
  <c r="AF1080" i="1"/>
  <c r="AD1080" i="1"/>
  <c r="A1080" i="1"/>
  <c r="AF1079" i="1"/>
  <c r="AD1079" i="1"/>
  <c r="A1079" i="1"/>
  <c r="AF1078" i="1"/>
  <c r="AD1078" i="1"/>
  <c r="A1078" i="1"/>
  <c r="AF1077" i="1"/>
  <c r="AD1077" i="1"/>
  <c r="A1077" i="1"/>
  <c r="AF1076" i="1"/>
  <c r="AD1076" i="1"/>
  <c r="A1076" i="1"/>
  <c r="AF1075" i="1"/>
  <c r="AD1075" i="1"/>
  <c r="A1075" i="1"/>
  <c r="AF1074" i="1"/>
  <c r="AD1074" i="1"/>
  <c r="A1074" i="1"/>
  <c r="AF1073" i="1"/>
  <c r="AD1073" i="1"/>
  <c r="A1073" i="1"/>
  <c r="AF1072" i="1"/>
  <c r="AD1072" i="1"/>
  <c r="A1072" i="1"/>
  <c r="AF1071" i="1"/>
  <c r="AD1071" i="1"/>
  <c r="A1071" i="1"/>
  <c r="AF1070" i="1"/>
  <c r="AD1070" i="1"/>
  <c r="A1070" i="1"/>
  <c r="AF1069" i="1"/>
  <c r="AD1069" i="1"/>
  <c r="A1069" i="1"/>
  <c r="AF1068" i="1"/>
  <c r="AD1068" i="1"/>
  <c r="A1068" i="1"/>
  <c r="AF1067" i="1"/>
  <c r="AD1067" i="1"/>
  <c r="A1067" i="1"/>
  <c r="AF1066" i="1"/>
  <c r="AD1066" i="1"/>
  <c r="A1066" i="1"/>
  <c r="AF1065" i="1"/>
  <c r="AD1065" i="1"/>
  <c r="A1065" i="1"/>
  <c r="AF1064" i="1"/>
  <c r="AD1064" i="1"/>
  <c r="A1064" i="1"/>
  <c r="AF1063" i="1"/>
  <c r="AD1063" i="1"/>
  <c r="A1063" i="1"/>
  <c r="AF1062" i="1"/>
  <c r="AD1062" i="1"/>
  <c r="A1062" i="1"/>
  <c r="AF1061" i="1"/>
  <c r="AD1061" i="1"/>
  <c r="A1061" i="1"/>
  <c r="AF1060" i="1"/>
  <c r="AD1060" i="1"/>
  <c r="A1060" i="1"/>
  <c r="AF1059" i="1"/>
  <c r="AD1059" i="1"/>
  <c r="A1059" i="1"/>
  <c r="AF1058" i="1"/>
  <c r="AD1058" i="1"/>
  <c r="A1058" i="1"/>
  <c r="AF1057" i="1"/>
  <c r="AD1057" i="1"/>
  <c r="A1057" i="1"/>
  <c r="AF1056" i="1"/>
  <c r="AD1056" i="1"/>
  <c r="A1056" i="1"/>
  <c r="AF1055" i="1"/>
  <c r="AD1055" i="1"/>
  <c r="A1055" i="1"/>
  <c r="AF1054" i="1"/>
  <c r="AD1054" i="1"/>
  <c r="A1054" i="1"/>
  <c r="AF1053" i="1"/>
  <c r="AD1053" i="1"/>
  <c r="A1053" i="1"/>
  <c r="AF1052" i="1"/>
  <c r="AD1052" i="1"/>
  <c r="A1052" i="1"/>
  <c r="AF1051" i="1"/>
  <c r="AD1051" i="1"/>
  <c r="A1051" i="1"/>
  <c r="AF1050" i="1"/>
  <c r="AD1050" i="1"/>
  <c r="A1050" i="1"/>
  <c r="AF1049" i="1"/>
  <c r="AD1049" i="1"/>
  <c r="A1049" i="1"/>
  <c r="AF1048" i="1"/>
  <c r="AD1048" i="1"/>
  <c r="A1048" i="1"/>
  <c r="AF1047" i="1"/>
  <c r="AD1047" i="1"/>
  <c r="A1047" i="1"/>
  <c r="AF1046" i="1"/>
  <c r="AD1046" i="1"/>
  <c r="A1046" i="1"/>
  <c r="AF1045" i="1"/>
  <c r="AD1045" i="1"/>
  <c r="A1045" i="1"/>
  <c r="AF1044" i="1"/>
  <c r="AD1044" i="1"/>
  <c r="A1044" i="1"/>
  <c r="AF1043" i="1"/>
  <c r="AD1043" i="1"/>
  <c r="A1043" i="1"/>
  <c r="AF1042" i="1"/>
  <c r="AD1042" i="1"/>
  <c r="A1042" i="1"/>
  <c r="AF1041" i="1"/>
  <c r="AD1041" i="1"/>
  <c r="A1041" i="1"/>
  <c r="AF1040" i="1"/>
  <c r="AD1040" i="1"/>
  <c r="A1040" i="1"/>
  <c r="AF1039" i="1"/>
  <c r="AD1039" i="1"/>
  <c r="A1039" i="1"/>
  <c r="AF1038" i="1"/>
  <c r="AD1038" i="1"/>
  <c r="A1038" i="1"/>
  <c r="AF1037" i="1"/>
  <c r="AD1037" i="1"/>
  <c r="A1037" i="1"/>
  <c r="AF1036" i="1"/>
  <c r="AD1036" i="1"/>
  <c r="A1036" i="1"/>
  <c r="AF1035" i="1"/>
  <c r="AD1035" i="1"/>
  <c r="A1035" i="1"/>
  <c r="AF1034" i="1"/>
  <c r="AD1034" i="1"/>
  <c r="A1034" i="1"/>
  <c r="AF1033" i="1"/>
  <c r="AD1033" i="1"/>
  <c r="A1033" i="1"/>
  <c r="AF1032" i="1"/>
  <c r="AD1032" i="1"/>
  <c r="A1032" i="1"/>
  <c r="AF1031" i="1"/>
  <c r="AD1031" i="1"/>
  <c r="A1031" i="1"/>
  <c r="AF1030" i="1"/>
  <c r="AD1030" i="1"/>
  <c r="A1030" i="1"/>
  <c r="AF1029" i="1"/>
  <c r="AD1029" i="1"/>
  <c r="A1029" i="1"/>
  <c r="AF1028" i="1"/>
  <c r="AD1028" i="1"/>
  <c r="A1028" i="1"/>
  <c r="AF1027" i="1"/>
  <c r="AD1027" i="1"/>
  <c r="A1027" i="1"/>
  <c r="AF1026" i="1"/>
  <c r="AD1026" i="1"/>
  <c r="A1026" i="1"/>
  <c r="AF1025" i="1"/>
  <c r="AD1025" i="1"/>
  <c r="A1025" i="1"/>
  <c r="AF1024" i="1"/>
  <c r="AD1024" i="1"/>
  <c r="A1024" i="1"/>
  <c r="AF1023" i="1"/>
  <c r="AD1023" i="1"/>
  <c r="A1023" i="1"/>
  <c r="AF1022" i="1"/>
  <c r="AD1022" i="1"/>
  <c r="A1022" i="1"/>
  <c r="AF1021" i="1"/>
  <c r="AD1021" i="1"/>
  <c r="A1021" i="1"/>
  <c r="AF1020" i="1"/>
  <c r="AD1020" i="1"/>
  <c r="A1020" i="1"/>
  <c r="AF1019" i="1"/>
  <c r="AD1019" i="1"/>
  <c r="A1019" i="1"/>
  <c r="AF1018" i="1"/>
  <c r="AD1018" i="1"/>
  <c r="A1018" i="1"/>
  <c r="AF1017" i="1"/>
  <c r="AD1017" i="1"/>
  <c r="A1017" i="1"/>
  <c r="AF1016" i="1"/>
  <c r="AD1016" i="1"/>
  <c r="A1016" i="1"/>
  <c r="AF1015" i="1"/>
  <c r="AD1015" i="1"/>
  <c r="A1015" i="1"/>
  <c r="AF1014" i="1"/>
  <c r="AD1014" i="1"/>
  <c r="A1014" i="1"/>
  <c r="AF1013" i="1"/>
  <c r="AD1013" i="1"/>
  <c r="A1013" i="1"/>
  <c r="AF1012" i="1"/>
  <c r="AD1012" i="1"/>
  <c r="A1012" i="1"/>
  <c r="AF1011" i="1"/>
  <c r="AD1011" i="1"/>
  <c r="A1011" i="1"/>
  <c r="AF1010" i="1"/>
  <c r="AD1010" i="1"/>
  <c r="A1010" i="1"/>
  <c r="AF1009" i="1"/>
  <c r="AD1009" i="1"/>
  <c r="A1009" i="1"/>
  <c r="AF1008" i="1"/>
  <c r="AD1008" i="1"/>
  <c r="A1008" i="1"/>
  <c r="AF1007" i="1"/>
  <c r="AD1007" i="1"/>
  <c r="A1007" i="1"/>
  <c r="AF1006" i="1"/>
  <c r="AD1006" i="1"/>
  <c r="A1006" i="1"/>
  <c r="AF1005" i="1"/>
  <c r="AD1005" i="1"/>
  <c r="A1005" i="1"/>
  <c r="AF1004" i="1"/>
  <c r="AD1004" i="1"/>
  <c r="A1004" i="1"/>
  <c r="AF1003" i="1"/>
  <c r="AD1003" i="1"/>
  <c r="A1003" i="1"/>
  <c r="AF1002" i="1"/>
  <c r="AD1002" i="1"/>
  <c r="A1002" i="1"/>
  <c r="AF1001" i="1"/>
  <c r="AD1001" i="1"/>
  <c r="A1001" i="1"/>
  <c r="AF1000" i="1"/>
  <c r="AD1000" i="1"/>
  <c r="A1000" i="1"/>
  <c r="AF999" i="1"/>
  <c r="AD999" i="1"/>
  <c r="A999" i="1"/>
  <c r="AF998" i="1"/>
  <c r="AD998" i="1"/>
  <c r="A998" i="1"/>
  <c r="AF997" i="1"/>
  <c r="AD997" i="1"/>
  <c r="A997" i="1"/>
  <c r="AF996" i="1"/>
  <c r="AD996" i="1"/>
  <c r="A996" i="1"/>
  <c r="AF995" i="1"/>
  <c r="AD995" i="1"/>
  <c r="A995" i="1"/>
  <c r="AF994" i="1"/>
  <c r="AD994" i="1"/>
  <c r="A994" i="1"/>
  <c r="AF993" i="1"/>
  <c r="AD993" i="1"/>
  <c r="A993" i="1"/>
  <c r="AF992" i="1"/>
  <c r="AD992" i="1"/>
  <c r="A992" i="1"/>
  <c r="AF991" i="1"/>
  <c r="AD991" i="1"/>
  <c r="A991" i="1"/>
  <c r="AF990" i="1"/>
  <c r="AD990" i="1"/>
  <c r="A990" i="1"/>
  <c r="AF989" i="1"/>
  <c r="AD989" i="1"/>
  <c r="A989" i="1"/>
  <c r="AF988" i="1"/>
  <c r="AD988" i="1"/>
  <c r="A988" i="1"/>
  <c r="AF987" i="1"/>
  <c r="AD987" i="1"/>
  <c r="A987" i="1"/>
  <c r="AF986" i="1"/>
  <c r="AD986" i="1"/>
  <c r="A986" i="1"/>
  <c r="AF985" i="1"/>
  <c r="AD985" i="1"/>
  <c r="A985" i="1"/>
  <c r="AF984" i="1"/>
  <c r="AD984" i="1"/>
  <c r="A984" i="1"/>
  <c r="AF983" i="1"/>
  <c r="AD983" i="1"/>
  <c r="A983" i="1"/>
  <c r="AF982" i="1"/>
  <c r="AD982" i="1"/>
  <c r="A982" i="1"/>
  <c r="AF981" i="1"/>
  <c r="AD981" i="1"/>
  <c r="A981" i="1"/>
  <c r="AF980" i="1"/>
  <c r="AD980" i="1"/>
  <c r="A980" i="1"/>
  <c r="AF979" i="1"/>
  <c r="AD979" i="1"/>
  <c r="A979" i="1"/>
  <c r="AF978" i="1"/>
  <c r="AD978" i="1"/>
  <c r="A978" i="1"/>
  <c r="AF977" i="1"/>
  <c r="AD977" i="1"/>
  <c r="A977" i="1"/>
  <c r="AF976" i="1"/>
  <c r="AD976" i="1"/>
  <c r="A976" i="1"/>
  <c r="AF975" i="1"/>
  <c r="AD975" i="1"/>
  <c r="A975" i="1"/>
  <c r="AF974" i="1"/>
  <c r="AD974" i="1"/>
  <c r="A974" i="1"/>
  <c r="AF973" i="1"/>
  <c r="AD973" i="1"/>
  <c r="A973" i="1"/>
  <c r="AF972" i="1"/>
  <c r="AD972" i="1"/>
  <c r="A972" i="1"/>
  <c r="AF971" i="1"/>
  <c r="AD971" i="1"/>
  <c r="A971" i="1"/>
  <c r="AF970" i="1"/>
  <c r="AD970" i="1"/>
  <c r="A970" i="1"/>
  <c r="AF969" i="1"/>
  <c r="AD969" i="1"/>
  <c r="A969" i="1"/>
  <c r="AF968" i="1"/>
  <c r="AD968" i="1"/>
  <c r="A968" i="1"/>
  <c r="AF967" i="1"/>
  <c r="AD967" i="1"/>
  <c r="A967" i="1"/>
  <c r="AF966" i="1"/>
  <c r="AD966" i="1"/>
  <c r="A966" i="1"/>
  <c r="AF965" i="1"/>
  <c r="AD965" i="1"/>
  <c r="A965" i="1"/>
  <c r="AF964" i="1"/>
  <c r="AD964" i="1"/>
  <c r="A964" i="1"/>
  <c r="AF963" i="1"/>
  <c r="AD963" i="1"/>
  <c r="A963" i="1"/>
  <c r="AF962" i="1"/>
  <c r="AD962" i="1"/>
  <c r="A962" i="1"/>
  <c r="AF961" i="1"/>
  <c r="AD961" i="1"/>
  <c r="A961" i="1"/>
  <c r="AF960" i="1"/>
  <c r="AD960" i="1"/>
  <c r="A960" i="1"/>
  <c r="AF959" i="1"/>
  <c r="AD959" i="1"/>
  <c r="A959" i="1"/>
  <c r="AF958" i="1"/>
  <c r="AD958" i="1"/>
  <c r="A958" i="1"/>
  <c r="AF957" i="1"/>
  <c r="AD957" i="1"/>
  <c r="A957" i="1"/>
  <c r="AF956" i="1"/>
  <c r="AD956" i="1"/>
  <c r="A956" i="1"/>
  <c r="AF955" i="1"/>
  <c r="AD955" i="1"/>
  <c r="A955" i="1"/>
  <c r="AF954" i="1"/>
  <c r="AD954" i="1"/>
  <c r="A954" i="1"/>
  <c r="AF953" i="1"/>
  <c r="AD953" i="1"/>
  <c r="A953" i="1"/>
  <c r="AF952" i="1"/>
  <c r="AD952" i="1"/>
  <c r="A952" i="1"/>
  <c r="AF951" i="1"/>
  <c r="AD951" i="1"/>
  <c r="A951" i="1"/>
  <c r="AF950" i="1"/>
  <c r="AD950" i="1"/>
  <c r="A950" i="1"/>
  <c r="AF949" i="1"/>
  <c r="AD949" i="1"/>
  <c r="A949" i="1"/>
  <c r="AF948" i="1"/>
  <c r="AD948" i="1"/>
  <c r="A948" i="1"/>
  <c r="AF947" i="1"/>
  <c r="AD947" i="1"/>
  <c r="A947" i="1"/>
  <c r="AF946" i="1"/>
  <c r="AD946" i="1"/>
  <c r="A946" i="1"/>
  <c r="AF945" i="1"/>
  <c r="AD945" i="1"/>
  <c r="A945" i="1"/>
  <c r="AF944" i="1"/>
  <c r="AD944" i="1"/>
  <c r="A944" i="1"/>
  <c r="AF943" i="1"/>
  <c r="AD943" i="1"/>
  <c r="A943" i="1"/>
  <c r="AF942" i="1"/>
  <c r="AD942" i="1"/>
  <c r="A942" i="1"/>
  <c r="AF941" i="1"/>
  <c r="AD941" i="1"/>
  <c r="A941" i="1"/>
  <c r="AF940" i="1"/>
  <c r="AD940" i="1"/>
  <c r="A940" i="1"/>
  <c r="AF939" i="1"/>
  <c r="AD939" i="1"/>
  <c r="A939" i="1"/>
  <c r="AF938" i="1"/>
  <c r="AD938" i="1"/>
  <c r="A938" i="1"/>
  <c r="AF937" i="1"/>
  <c r="AD937" i="1"/>
  <c r="A937" i="1"/>
  <c r="AF936" i="1"/>
  <c r="AD936" i="1"/>
  <c r="A936" i="1"/>
  <c r="AF935" i="1"/>
  <c r="AD935" i="1"/>
  <c r="A935" i="1"/>
  <c r="AF934" i="1"/>
  <c r="AD934" i="1"/>
  <c r="A934" i="1"/>
  <c r="AF933" i="1"/>
  <c r="AD933" i="1"/>
  <c r="A933" i="1"/>
  <c r="AF932" i="1"/>
  <c r="AD932" i="1"/>
  <c r="A932" i="1"/>
  <c r="AF931" i="1"/>
  <c r="AD931" i="1"/>
  <c r="A931" i="1"/>
  <c r="AF930" i="1"/>
  <c r="AD930" i="1"/>
  <c r="A930" i="1"/>
  <c r="AF929" i="1"/>
  <c r="AD929" i="1"/>
  <c r="A929" i="1"/>
  <c r="AF928" i="1"/>
  <c r="AD928" i="1"/>
  <c r="A928" i="1"/>
  <c r="AF927" i="1"/>
  <c r="AD927" i="1"/>
  <c r="A927" i="1"/>
  <c r="AF926" i="1"/>
  <c r="AD926" i="1"/>
  <c r="A926" i="1"/>
  <c r="AF925" i="1"/>
  <c r="AD925" i="1"/>
  <c r="A925" i="1"/>
  <c r="AF924" i="1"/>
  <c r="AD924" i="1"/>
  <c r="A924" i="1"/>
  <c r="AF923" i="1"/>
  <c r="AD923" i="1"/>
  <c r="A923" i="1"/>
  <c r="AF922" i="1"/>
  <c r="AD922" i="1"/>
  <c r="A922" i="1"/>
  <c r="AF921" i="1"/>
  <c r="AD921" i="1"/>
  <c r="A921" i="1"/>
  <c r="AF920" i="1"/>
  <c r="AD920" i="1"/>
  <c r="A920" i="1"/>
  <c r="AF919" i="1"/>
  <c r="AD919" i="1"/>
  <c r="A919" i="1"/>
  <c r="AF918" i="1"/>
  <c r="AD918" i="1"/>
  <c r="A918" i="1"/>
  <c r="AF917" i="1"/>
  <c r="AD917" i="1"/>
  <c r="A917" i="1"/>
  <c r="AF916" i="1"/>
  <c r="AD916" i="1"/>
  <c r="A916" i="1"/>
  <c r="AF915" i="1"/>
  <c r="AD915" i="1"/>
  <c r="A915" i="1"/>
  <c r="AF914" i="1"/>
  <c r="AD914" i="1"/>
  <c r="A914" i="1"/>
  <c r="AF913" i="1"/>
  <c r="AD913" i="1"/>
  <c r="A913" i="1"/>
  <c r="AF912" i="1"/>
  <c r="AD912" i="1"/>
  <c r="A912" i="1"/>
  <c r="AF911" i="1"/>
  <c r="AD911" i="1"/>
  <c r="A911" i="1"/>
  <c r="AF910" i="1"/>
  <c r="AD910" i="1"/>
  <c r="A910" i="1"/>
  <c r="AF909" i="1"/>
  <c r="AD909" i="1"/>
  <c r="A909" i="1"/>
  <c r="AF908" i="1"/>
  <c r="AD908" i="1"/>
  <c r="A908" i="1"/>
  <c r="AF907" i="1"/>
  <c r="AD907" i="1"/>
  <c r="A907" i="1"/>
  <c r="AF906" i="1"/>
  <c r="AD906" i="1"/>
  <c r="A906" i="1"/>
  <c r="AF905" i="1"/>
  <c r="AD905" i="1"/>
  <c r="A905" i="1"/>
  <c r="AF904" i="1"/>
  <c r="AD904" i="1"/>
  <c r="A904" i="1"/>
  <c r="AF903" i="1"/>
  <c r="AD903" i="1"/>
  <c r="A903" i="1"/>
  <c r="AF902" i="1"/>
  <c r="AD902" i="1"/>
  <c r="A902" i="1"/>
  <c r="AF901" i="1"/>
  <c r="AD901" i="1"/>
  <c r="A901" i="1"/>
  <c r="AF900" i="1"/>
  <c r="AD900" i="1"/>
  <c r="A900" i="1"/>
  <c r="AF899" i="1"/>
  <c r="AD899" i="1"/>
  <c r="A899" i="1"/>
  <c r="AF898" i="1"/>
  <c r="AD898" i="1"/>
  <c r="A898" i="1"/>
  <c r="AF897" i="1"/>
  <c r="AD897" i="1"/>
  <c r="A897" i="1"/>
  <c r="AF896" i="1"/>
  <c r="AD896" i="1"/>
  <c r="A896" i="1"/>
  <c r="AF895" i="1"/>
  <c r="AD895" i="1"/>
  <c r="A895" i="1"/>
  <c r="AF894" i="1"/>
  <c r="AD894" i="1"/>
  <c r="A894" i="1"/>
  <c r="AF893" i="1"/>
  <c r="AD893" i="1"/>
  <c r="A893" i="1"/>
  <c r="AF892" i="1"/>
  <c r="AD892" i="1"/>
  <c r="A892" i="1"/>
  <c r="AF891" i="1"/>
  <c r="AD891" i="1"/>
  <c r="A891" i="1"/>
  <c r="AF890" i="1"/>
  <c r="AD890" i="1"/>
  <c r="A890" i="1"/>
  <c r="AF889" i="1"/>
  <c r="AD889" i="1"/>
  <c r="A889" i="1"/>
  <c r="AF888" i="1"/>
  <c r="AD888" i="1"/>
  <c r="A888" i="1"/>
  <c r="AF887" i="1"/>
  <c r="AD887" i="1"/>
  <c r="A887" i="1"/>
  <c r="AF886" i="1"/>
  <c r="AD886" i="1"/>
  <c r="A886" i="1"/>
  <c r="AF885" i="1"/>
  <c r="AD885" i="1"/>
  <c r="A885" i="1"/>
  <c r="AF884" i="1"/>
  <c r="AD884" i="1"/>
  <c r="A884" i="1"/>
  <c r="AF883" i="1"/>
  <c r="AD883" i="1"/>
  <c r="A883" i="1"/>
  <c r="AF882" i="1"/>
  <c r="AD882" i="1"/>
  <c r="A882" i="1"/>
  <c r="AF881" i="1"/>
  <c r="AD881" i="1"/>
  <c r="A881" i="1"/>
  <c r="AF880" i="1"/>
  <c r="AD880" i="1"/>
  <c r="A880" i="1"/>
  <c r="AF879" i="1"/>
  <c r="AD879" i="1"/>
  <c r="A879" i="1"/>
  <c r="AF878" i="1"/>
  <c r="AD878" i="1"/>
  <c r="A878" i="1"/>
  <c r="AF877" i="1"/>
  <c r="AD877" i="1"/>
  <c r="A877" i="1"/>
  <c r="AF876" i="1"/>
  <c r="AD876" i="1"/>
  <c r="A876" i="1"/>
  <c r="AF875" i="1"/>
  <c r="AD875" i="1"/>
  <c r="A875" i="1"/>
  <c r="AF874" i="1"/>
  <c r="AD874" i="1"/>
  <c r="A874" i="1"/>
  <c r="AF873" i="1"/>
  <c r="AD873" i="1"/>
  <c r="A873" i="1"/>
  <c r="AF872" i="1"/>
  <c r="AD872" i="1"/>
  <c r="A872" i="1"/>
  <c r="AF871" i="1"/>
  <c r="AD871" i="1"/>
  <c r="A871" i="1"/>
  <c r="AF870" i="1"/>
  <c r="AD870" i="1"/>
  <c r="A870" i="1"/>
  <c r="AF869" i="1"/>
  <c r="AD869" i="1"/>
  <c r="A869" i="1"/>
  <c r="AF868" i="1"/>
  <c r="AD868" i="1"/>
  <c r="A868" i="1"/>
  <c r="AF867" i="1"/>
  <c r="AD867" i="1"/>
  <c r="A867" i="1"/>
  <c r="AF866" i="1"/>
  <c r="AD866" i="1"/>
  <c r="A866" i="1"/>
  <c r="AF865" i="1"/>
  <c r="AD865" i="1"/>
  <c r="A865" i="1"/>
  <c r="AF864" i="1"/>
  <c r="AD864" i="1"/>
  <c r="A864" i="1"/>
  <c r="AF863" i="1"/>
  <c r="AD863" i="1"/>
  <c r="A863" i="1"/>
  <c r="AF862" i="1"/>
  <c r="AD862" i="1"/>
  <c r="A862" i="1"/>
  <c r="AF861" i="1"/>
  <c r="AD861" i="1"/>
  <c r="A861" i="1"/>
  <c r="AF860" i="1"/>
  <c r="AD860" i="1"/>
  <c r="A860" i="1"/>
  <c r="AF859" i="1"/>
  <c r="AD859" i="1"/>
  <c r="A859" i="1"/>
  <c r="AF858" i="1"/>
  <c r="AD858" i="1"/>
  <c r="A858" i="1"/>
  <c r="AF857" i="1"/>
  <c r="AD857" i="1"/>
  <c r="A857" i="1"/>
  <c r="AF856" i="1"/>
  <c r="AD856" i="1"/>
  <c r="A856" i="1"/>
  <c r="AF855" i="1"/>
  <c r="AD855" i="1"/>
  <c r="A855" i="1"/>
  <c r="AF854" i="1"/>
  <c r="AD854" i="1"/>
  <c r="A854" i="1"/>
  <c r="AF853" i="1"/>
  <c r="AD853" i="1"/>
  <c r="A853" i="1"/>
  <c r="AF852" i="1"/>
  <c r="AD852" i="1"/>
  <c r="A852" i="1"/>
  <c r="AF851" i="1"/>
  <c r="AD851" i="1"/>
  <c r="A851" i="1"/>
  <c r="AF850" i="1"/>
  <c r="AD850" i="1"/>
  <c r="A850" i="1"/>
  <c r="AF849" i="1"/>
  <c r="AD849" i="1"/>
  <c r="A849" i="1"/>
  <c r="AF848" i="1"/>
  <c r="AD848" i="1"/>
  <c r="A848" i="1"/>
  <c r="AF847" i="1"/>
  <c r="AD847" i="1"/>
  <c r="A847" i="1"/>
  <c r="AF846" i="1"/>
  <c r="AD846" i="1"/>
  <c r="A846" i="1"/>
  <c r="AF845" i="1"/>
  <c r="AD845" i="1"/>
  <c r="A845" i="1"/>
  <c r="AF844" i="1"/>
  <c r="AD844" i="1"/>
  <c r="A844" i="1"/>
  <c r="AF843" i="1"/>
  <c r="AD843" i="1"/>
  <c r="A843" i="1"/>
  <c r="AF842" i="1"/>
  <c r="AD842" i="1"/>
  <c r="A842" i="1"/>
  <c r="AF841" i="1"/>
  <c r="AD841" i="1"/>
  <c r="A841" i="1"/>
  <c r="AF840" i="1"/>
  <c r="AD840" i="1"/>
  <c r="A840" i="1"/>
  <c r="AF839" i="1"/>
  <c r="AD839" i="1"/>
  <c r="A839" i="1"/>
  <c r="AF838" i="1"/>
  <c r="AD838" i="1"/>
  <c r="A838" i="1"/>
  <c r="AF837" i="1"/>
  <c r="AD837" i="1"/>
  <c r="A837" i="1"/>
  <c r="AF836" i="1"/>
  <c r="AD836" i="1"/>
  <c r="A836" i="1"/>
  <c r="AF835" i="1"/>
  <c r="AD835" i="1"/>
  <c r="A835" i="1"/>
  <c r="AF834" i="1"/>
  <c r="AD834" i="1"/>
  <c r="A834" i="1"/>
  <c r="AF833" i="1"/>
  <c r="AD833" i="1"/>
  <c r="A833" i="1"/>
  <c r="AF832" i="1"/>
  <c r="AD832" i="1"/>
  <c r="A832" i="1"/>
  <c r="AF831" i="1"/>
  <c r="AD831" i="1"/>
  <c r="A831" i="1"/>
  <c r="AF830" i="1"/>
  <c r="AD830" i="1"/>
  <c r="A830" i="1"/>
  <c r="AF829" i="1"/>
  <c r="AD829" i="1"/>
  <c r="A829" i="1"/>
  <c r="AF828" i="1"/>
  <c r="AD828" i="1"/>
  <c r="A828" i="1"/>
  <c r="AF827" i="1"/>
  <c r="AD827" i="1"/>
  <c r="A827" i="1"/>
  <c r="AF826" i="1"/>
  <c r="AD826" i="1"/>
  <c r="A826" i="1"/>
  <c r="AF825" i="1"/>
  <c r="AD825" i="1"/>
  <c r="A825" i="1"/>
  <c r="AF824" i="1"/>
  <c r="AD824" i="1"/>
  <c r="A824" i="1"/>
  <c r="AF823" i="1"/>
  <c r="AD823" i="1"/>
  <c r="A823" i="1"/>
  <c r="AF822" i="1"/>
  <c r="AD822" i="1"/>
  <c r="A822" i="1"/>
  <c r="AF821" i="1"/>
  <c r="AD821" i="1"/>
  <c r="A821" i="1"/>
  <c r="AF820" i="1"/>
  <c r="AD820" i="1"/>
  <c r="A820" i="1"/>
  <c r="AF819" i="1"/>
  <c r="AD819" i="1"/>
  <c r="A819" i="1"/>
  <c r="AF818" i="1"/>
  <c r="AD818" i="1"/>
  <c r="A818" i="1"/>
  <c r="AF817" i="1"/>
  <c r="AD817" i="1"/>
  <c r="A817" i="1"/>
  <c r="AF816" i="1"/>
  <c r="AD816" i="1"/>
  <c r="A816" i="1"/>
  <c r="AF815" i="1"/>
  <c r="AD815" i="1"/>
  <c r="A815" i="1"/>
  <c r="AF814" i="1"/>
  <c r="AD814" i="1"/>
  <c r="A814" i="1"/>
  <c r="AF813" i="1"/>
  <c r="AD813" i="1"/>
  <c r="A813" i="1"/>
  <c r="AF812" i="1"/>
  <c r="AD812" i="1"/>
  <c r="A812" i="1"/>
  <c r="AF811" i="1"/>
  <c r="AD811" i="1"/>
  <c r="A811" i="1"/>
  <c r="AF810" i="1"/>
  <c r="AD810" i="1"/>
  <c r="A810" i="1"/>
  <c r="AF809" i="1"/>
  <c r="AD809" i="1"/>
  <c r="A809" i="1"/>
  <c r="AF808" i="1"/>
  <c r="AD808" i="1"/>
  <c r="A808" i="1"/>
  <c r="AF807" i="1"/>
  <c r="AD807" i="1"/>
  <c r="A807" i="1"/>
  <c r="AF806" i="1"/>
  <c r="AD806" i="1"/>
  <c r="A806" i="1"/>
  <c r="AF805" i="1"/>
  <c r="AD805" i="1"/>
  <c r="A805" i="1"/>
  <c r="AF804" i="1"/>
  <c r="AD804" i="1"/>
  <c r="A804" i="1"/>
  <c r="AF803" i="1"/>
  <c r="AD803" i="1"/>
  <c r="A803" i="1"/>
  <c r="AF802" i="1"/>
  <c r="AD802" i="1"/>
  <c r="A802" i="1"/>
  <c r="AF801" i="1"/>
  <c r="AD801" i="1"/>
  <c r="A801" i="1"/>
  <c r="AF800" i="1"/>
  <c r="AD800" i="1"/>
  <c r="A800" i="1"/>
  <c r="AF799" i="1"/>
  <c r="AD799" i="1"/>
  <c r="A799" i="1"/>
  <c r="AF798" i="1"/>
  <c r="AD798" i="1"/>
  <c r="A798" i="1"/>
  <c r="AF797" i="1"/>
  <c r="AD797" i="1"/>
  <c r="A797" i="1"/>
  <c r="AF796" i="1"/>
  <c r="AD796" i="1"/>
  <c r="A796" i="1"/>
  <c r="AF795" i="1"/>
  <c r="AD795" i="1"/>
  <c r="A795" i="1"/>
  <c r="AF794" i="1"/>
  <c r="AD794" i="1"/>
  <c r="A794" i="1"/>
  <c r="AF793" i="1"/>
  <c r="AD793" i="1"/>
  <c r="A793" i="1"/>
  <c r="AF792" i="1"/>
  <c r="AD792" i="1"/>
  <c r="A792" i="1"/>
  <c r="AF791" i="1"/>
  <c r="AD791" i="1"/>
  <c r="A791" i="1"/>
  <c r="AF790" i="1"/>
  <c r="AD790" i="1"/>
  <c r="A790" i="1"/>
  <c r="AF789" i="1"/>
  <c r="AD789" i="1"/>
  <c r="A789" i="1"/>
  <c r="AF788" i="1"/>
  <c r="AD788" i="1"/>
  <c r="A788" i="1"/>
  <c r="AF787" i="1"/>
  <c r="AD787" i="1"/>
  <c r="A787" i="1"/>
  <c r="AF786" i="1"/>
  <c r="AD786" i="1"/>
  <c r="A786" i="1"/>
  <c r="AF785" i="1"/>
  <c r="AD785" i="1"/>
  <c r="A785" i="1"/>
  <c r="AF784" i="1"/>
  <c r="AD784" i="1"/>
  <c r="A784" i="1"/>
  <c r="AF783" i="1"/>
  <c r="AD783" i="1"/>
  <c r="A783" i="1"/>
  <c r="AF782" i="1"/>
  <c r="AD782" i="1"/>
  <c r="A782" i="1"/>
  <c r="AF781" i="1"/>
  <c r="AD781" i="1"/>
  <c r="A781" i="1"/>
  <c r="AF780" i="1"/>
  <c r="AD780" i="1"/>
  <c r="A780" i="1"/>
  <c r="AF779" i="1"/>
  <c r="AD779" i="1"/>
  <c r="A779" i="1"/>
  <c r="AF778" i="1"/>
  <c r="AD778" i="1"/>
  <c r="A778" i="1"/>
  <c r="AF777" i="1"/>
  <c r="AD777" i="1"/>
  <c r="A777" i="1"/>
  <c r="AF776" i="1"/>
  <c r="AD776" i="1"/>
  <c r="A776" i="1"/>
  <c r="AF775" i="1"/>
  <c r="AD775" i="1"/>
  <c r="A775" i="1"/>
  <c r="AF774" i="1"/>
  <c r="AD774" i="1"/>
  <c r="A774" i="1"/>
  <c r="AF773" i="1"/>
  <c r="AD773" i="1"/>
  <c r="A773" i="1"/>
  <c r="AF772" i="1"/>
  <c r="AD772" i="1"/>
  <c r="A772" i="1"/>
  <c r="AF771" i="1"/>
  <c r="AD771" i="1"/>
  <c r="A771" i="1"/>
  <c r="AF770" i="1"/>
  <c r="AD770" i="1"/>
  <c r="A770" i="1"/>
  <c r="AF769" i="1"/>
  <c r="AD769" i="1"/>
  <c r="A769" i="1"/>
  <c r="AF768" i="1"/>
  <c r="AD768" i="1"/>
  <c r="A768" i="1"/>
  <c r="AF767" i="1"/>
  <c r="AD767" i="1"/>
  <c r="A767" i="1"/>
  <c r="AF766" i="1"/>
  <c r="AD766" i="1"/>
  <c r="A766" i="1"/>
  <c r="AF765" i="1"/>
  <c r="AD765" i="1"/>
  <c r="A765" i="1"/>
  <c r="AF764" i="1"/>
  <c r="AD764" i="1"/>
  <c r="A764" i="1"/>
  <c r="AF763" i="1"/>
  <c r="AD763" i="1"/>
  <c r="A763" i="1"/>
  <c r="AF762" i="1"/>
  <c r="AD762" i="1"/>
  <c r="A762" i="1"/>
  <c r="AF761" i="1"/>
  <c r="AD761" i="1"/>
  <c r="A761" i="1"/>
  <c r="AF760" i="1"/>
  <c r="AD760" i="1"/>
  <c r="A760" i="1"/>
  <c r="AF759" i="1"/>
  <c r="AD759" i="1"/>
  <c r="A759" i="1"/>
  <c r="AF758" i="1"/>
  <c r="AD758" i="1"/>
  <c r="A758" i="1"/>
  <c r="AF757" i="1"/>
  <c r="AD757" i="1"/>
  <c r="A757" i="1"/>
  <c r="AF756" i="1"/>
  <c r="AD756" i="1"/>
  <c r="A756" i="1"/>
  <c r="AF755" i="1"/>
  <c r="AD755" i="1"/>
  <c r="A755" i="1"/>
  <c r="AF754" i="1"/>
  <c r="AD754" i="1"/>
  <c r="A754" i="1"/>
  <c r="AF753" i="1"/>
  <c r="AD753" i="1"/>
  <c r="A753" i="1"/>
  <c r="AF752" i="1"/>
  <c r="AD752" i="1"/>
  <c r="A752" i="1"/>
  <c r="AF751" i="1"/>
  <c r="AD751" i="1"/>
  <c r="A751" i="1"/>
  <c r="AF750" i="1"/>
  <c r="AD750" i="1"/>
  <c r="A750" i="1"/>
  <c r="AF749" i="1"/>
  <c r="AD749" i="1"/>
  <c r="A749" i="1"/>
  <c r="AF748" i="1"/>
  <c r="AD748" i="1"/>
  <c r="A748" i="1"/>
  <c r="AF747" i="1"/>
  <c r="AD747" i="1"/>
  <c r="A747" i="1"/>
  <c r="AF746" i="1"/>
  <c r="AD746" i="1"/>
  <c r="A746" i="1"/>
  <c r="AF745" i="1"/>
  <c r="AD745" i="1"/>
  <c r="A745" i="1"/>
  <c r="AF744" i="1"/>
  <c r="AD744" i="1"/>
  <c r="A744" i="1"/>
  <c r="AF743" i="1"/>
  <c r="AD743" i="1"/>
  <c r="A743" i="1"/>
  <c r="AF742" i="1"/>
  <c r="AD742" i="1"/>
  <c r="A742" i="1"/>
  <c r="AF741" i="1"/>
  <c r="AD741" i="1"/>
  <c r="A741" i="1"/>
  <c r="AF740" i="1"/>
  <c r="AD740" i="1"/>
  <c r="A740" i="1"/>
  <c r="AF739" i="1"/>
  <c r="AD739" i="1"/>
  <c r="A739" i="1"/>
  <c r="AF738" i="1"/>
  <c r="AD738" i="1"/>
  <c r="A738" i="1"/>
  <c r="AF737" i="1"/>
  <c r="AD737" i="1"/>
  <c r="A737" i="1"/>
  <c r="AF736" i="1"/>
  <c r="AD736" i="1"/>
  <c r="A736" i="1"/>
  <c r="AF735" i="1"/>
  <c r="AD735" i="1"/>
  <c r="A735" i="1"/>
  <c r="AF734" i="1"/>
  <c r="AD734" i="1"/>
  <c r="A734" i="1"/>
  <c r="AF733" i="1"/>
  <c r="AD733" i="1"/>
  <c r="A733" i="1"/>
  <c r="AF732" i="1"/>
  <c r="AD732" i="1"/>
  <c r="A732" i="1"/>
  <c r="AF731" i="1"/>
  <c r="AD731" i="1"/>
  <c r="A731" i="1"/>
  <c r="AF730" i="1"/>
  <c r="AD730" i="1"/>
  <c r="A730" i="1"/>
  <c r="AF729" i="1"/>
  <c r="AD729" i="1"/>
  <c r="A729" i="1"/>
  <c r="AF728" i="1"/>
  <c r="AD728" i="1"/>
  <c r="A728" i="1"/>
  <c r="AF727" i="1"/>
  <c r="AD727" i="1"/>
  <c r="A727" i="1"/>
  <c r="AF726" i="1"/>
  <c r="AD726" i="1"/>
  <c r="A726" i="1"/>
  <c r="AF725" i="1"/>
  <c r="AD725" i="1"/>
  <c r="A725" i="1"/>
  <c r="AF724" i="1"/>
  <c r="AD724" i="1"/>
  <c r="A724" i="1"/>
  <c r="AF723" i="1"/>
  <c r="AD723" i="1"/>
  <c r="A723" i="1"/>
  <c r="AF722" i="1"/>
  <c r="AD722" i="1"/>
  <c r="A722" i="1"/>
  <c r="AF721" i="1"/>
  <c r="AD721" i="1"/>
  <c r="A721" i="1"/>
  <c r="AF720" i="1"/>
  <c r="AD720" i="1"/>
  <c r="A720" i="1"/>
  <c r="AF719" i="1"/>
  <c r="AD719" i="1"/>
  <c r="A719" i="1"/>
  <c r="AF718" i="1"/>
  <c r="AD718" i="1"/>
  <c r="A718" i="1"/>
  <c r="AF717" i="1"/>
  <c r="AD717" i="1"/>
  <c r="A717" i="1"/>
  <c r="AF716" i="1"/>
  <c r="AD716" i="1"/>
  <c r="A716" i="1"/>
  <c r="AF715" i="1"/>
  <c r="AD715" i="1"/>
  <c r="A715" i="1"/>
  <c r="AF714" i="1"/>
  <c r="AD714" i="1"/>
  <c r="A714" i="1"/>
  <c r="AF713" i="1"/>
  <c r="AD713" i="1"/>
  <c r="A713" i="1"/>
  <c r="AF712" i="1"/>
  <c r="AD712" i="1"/>
  <c r="A712" i="1"/>
  <c r="AF711" i="1"/>
  <c r="AD711" i="1"/>
  <c r="A711" i="1"/>
  <c r="AF710" i="1"/>
  <c r="AD710" i="1"/>
  <c r="A710" i="1"/>
  <c r="AF709" i="1"/>
  <c r="AD709" i="1"/>
  <c r="A709" i="1"/>
  <c r="AF708" i="1"/>
  <c r="AD708" i="1"/>
  <c r="A708" i="1"/>
  <c r="AF707" i="1"/>
  <c r="AD707" i="1"/>
  <c r="A707" i="1"/>
  <c r="AF706" i="1"/>
  <c r="AD706" i="1"/>
  <c r="A706" i="1"/>
  <c r="AF705" i="1"/>
  <c r="AD705" i="1"/>
  <c r="A705" i="1"/>
  <c r="AF704" i="1"/>
  <c r="AD704" i="1"/>
  <c r="A704" i="1"/>
  <c r="AF703" i="1"/>
  <c r="AD703" i="1"/>
  <c r="A703" i="1"/>
  <c r="AF702" i="1"/>
  <c r="AD702" i="1"/>
  <c r="A702" i="1"/>
  <c r="AF701" i="1"/>
  <c r="AD701" i="1"/>
  <c r="A701" i="1"/>
  <c r="AF700" i="1"/>
  <c r="AD700" i="1"/>
  <c r="A700" i="1"/>
  <c r="AF699" i="1"/>
  <c r="AD699" i="1"/>
  <c r="A699" i="1"/>
  <c r="AF698" i="1"/>
  <c r="AD698" i="1"/>
  <c r="A698" i="1"/>
  <c r="AF697" i="1"/>
  <c r="AD697" i="1"/>
  <c r="A697" i="1"/>
  <c r="AF696" i="1"/>
  <c r="AD696" i="1"/>
  <c r="A696" i="1"/>
  <c r="AF695" i="1"/>
  <c r="AD695" i="1"/>
  <c r="A695" i="1"/>
  <c r="AF694" i="1"/>
  <c r="AD694" i="1"/>
  <c r="A694" i="1"/>
  <c r="AF693" i="1"/>
  <c r="AD693" i="1"/>
  <c r="A693" i="1"/>
  <c r="AF692" i="1"/>
  <c r="AD692" i="1"/>
  <c r="A692" i="1"/>
  <c r="AF691" i="1"/>
  <c r="AD691" i="1"/>
  <c r="A691" i="1"/>
  <c r="AF690" i="1"/>
  <c r="AD690" i="1"/>
  <c r="A690" i="1"/>
  <c r="AF689" i="1"/>
  <c r="AD689" i="1"/>
  <c r="A689" i="1"/>
  <c r="AF688" i="1"/>
  <c r="AD688" i="1"/>
  <c r="A688" i="1"/>
  <c r="AF687" i="1"/>
  <c r="AD687" i="1"/>
  <c r="A687" i="1"/>
  <c r="AF686" i="1"/>
  <c r="AD686" i="1"/>
  <c r="A686" i="1"/>
  <c r="AF685" i="1"/>
  <c r="AD685" i="1"/>
  <c r="A685" i="1"/>
  <c r="AF684" i="1"/>
  <c r="AD684" i="1"/>
  <c r="A684" i="1"/>
  <c r="AF683" i="1"/>
  <c r="AD683" i="1"/>
  <c r="A683" i="1"/>
  <c r="AF682" i="1"/>
  <c r="AD682" i="1"/>
  <c r="A682" i="1"/>
  <c r="AF681" i="1"/>
  <c r="AD681" i="1"/>
  <c r="A681" i="1"/>
  <c r="AF680" i="1"/>
  <c r="AD680" i="1"/>
  <c r="A680" i="1"/>
  <c r="AF679" i="1"/>
  <c r="AD679" i="1"/>
  <c r="A679" i="1"/>
  <c r="AF678" i="1"/>
  <c r="AD678" i="1"/>
  <c r="A678" i="1"/>
  <c r="AF677" i="1"/>
  <c r="AD677" i="1"/>
  <c r="A677" i="1"/>
  <c r="AF676" i="1"/>
  <c r="AD676" i="1"/>
  <c r="A676" i="1"/>
  <c r="AF675" i="1"/>
  <c r="AD675" i="1"/>
  <c r="A675" i="1"/>
  <c r="AF674" i="1"/>
  <c r="AD674" i="1"/>
  <c r="A674" i="1"/>
  <c r="AF673" i="1"/>
  <c r="AD673" i="1"/>
  <c r="A673" i="1"/>
  <c r="AF672" i="1"/>
  <c r="AD672" i="1"/>
  <c r="A672" i="1"/>
  <c r="AF671" i="1"/>
  <c r="AD671" i="1"/>
  <c r="A671" i="1"/>
  <c r="AF670" i="1"/>
  <c r="AD670" i="1"/>
  <c r="A670" i="1"/>
  <c r="AF669" i="1"/>
  <c r="AD669" i="1"/>
  <c r="A669" i="1"/>
  <c r="AF668" i="1"/>
  <c r="AD668" i="1"/>
  <c r="A668" i="1"/>
  <c r="AF667" i="1"/>
  <c r="AD667" i="1"/>
  <c r="A667" i="1"/>
  <c r="AF666" i="1"/>
  <c r="AD666" i="1"/>
  <c r="A666" i="1"/>
  <c r="AF665" i="1"/>
  <c r="AD665" i="1"/>
  <c r="A665" i="1"/>
  <c r="AF664" i="1"/>
  <c r="AD664" i="1"/>
  <c r="A664" i="1"/>
  <c r="AF663" i="1"/>
  <c r="AD663" i="1"/>
  <c r="A663" i="1"/>
  <c r="AF662" i="1"/>
  <c r="AD662" i="1"/>
  <c r="A662" i="1"/>
  <c r="AF661" i="1"/>
  <c r="AD661" i="1"/>
  <c r="A661" i="1"/>
  <c r="AF660" i="1"/>
  <c r="AD660" i="1"/>
  <c r="A660" i="1"/>
  <c r="AF659" i="1"/>
  <c r="AD659" i="1"/>
  <c r="A659" i="1"/>
  <c r="AF658" i="1"/>
  <c r="AD658" i="1"/>
  <c r="A658" i="1"/>
  <c r="AF657" i="1"/>
  <c r="AD657" i="1"/>
  <c r="A657" i="1"/>
  <c r="AF656" i="1"/>
  <c r="AD656" i="1"/>
  <c r="A656" i="1"/>
  <c r="AF655" i="1"/>
  <c r="AD655" i="1"/>
  <c r="A655" i="1"/>
  <c r="AF654" i="1"/>
  <c r="AD654" i="1"/>
  <c r="A654" i="1"/>
  <c r="AF653" i="1"/>
  <c r="AD653" i="1"/>
  <c r="A653" i="1"/>
  <c r="AF652" i="1"/>
  <c r="AD652" i="1"/>
  <c r="A652" i="1"/>
  <c r="AF651" i="1"/>
  <c r="AD651" i="1"/>
  <c r="A651" i="1"/>
  <c r="AF650" i="1"/>
  <c r="AD650" i="1"/>
  <c r="A650" i="1"/>
  <c r="AF649" i="1"/>
  <c r="AD649" i="1"/>
  <c r="A649" i="1"/>
  <c r="AF648" i="1"/>
  <c r="AD648" i="1"/>
  <c r="A648" i="1"/>
  <c r="AF647" i="1"/>
  <c r="AD647" i="1"/>
  <c r="A647" i="1"/>
  <c r="AF646" i="1"/>
  <c r="AD646" i="1"/>
  <c r="A646" i="1"/>
  <c r="AF645" i="1"/>
  <c r="AD645" i="1"/>
  <c r="A645" i="1"/>
  <c r="AF644" i="1"/>
  <c r="AD644" i="1"/>
  <c r="A644" i="1"/>
  <c r="AF643" i="1"/>
  <c r="AD643" i="1"/>
  <c r="A643" i="1"/>
  <c r="AF642" i="1"/>
  <c r="AD642" i="1"/>
  <c r="A642" i="1"/>
  <c r="AF641" i="1"/>
  <c r="AD641" i="1"/>
  <c r="A641" i="1"/>
  <c r="AF640" i="1"/>
  <c r="AD640" i="1"/>
  <c r="A640" i="1"/>
  <c r="AF639" i="1"/>
  <c r="AD639" i="1"/>
  <c r="A639" i="1"/>
  <c r="AF638" i="1"/>
  <c r="AD638" i="1"/>
  <c r="A638" i="1"/>
  <c r="AF637" i="1"/>
  <c r="AD637" i="1"/>
  <c r="A637" i="1"/>
  <c r="AF636" i="1"/>
  <c r="AD636" i="1"/>
  <c r="A636" i="1"/>
  <c r="AF635" i="1"/>
  <c r="AD635" i="1"/>
  <c r="A635" i="1"/>
  <c r="AF634" i="1"/>
  <c r="AD634" i="1"/>
  <c r="A634" i="1"/>
  <c r="AF633" i="1"/>
  <c r="AD633" i="1"/>
  <c r="A633" i="1"/>
  <c r="AF632" i="1"/>
  <c r="AD632" i="1"/>
  <c r="A632" i="1"/>
  <c r="AF631" i="1"/>
  <c r="AD631" i="1"/>
  <c r="A631" i="1"/>
  <c r="AF630" i="1"/>
  <c r="AD630" i="1"/>
  <c r="A630" i="1"/>
  <c r="AF629" i="1"/>
  <c r="AD629" i="1"/>
  <c r="A629" i="1"/>
  <c r="AF628" i="1"/>
  <c r="AD628" i="1"/>
  <c r="A628" i="1"/>
  <c r="AF627" i="1"/>
  <c r="AD627" i="1"/>
  <c r="A627" i="1"/>
  <c r="AF626" i="1"/>
  <c r="AD626" i="1"/>
  <c r="A626" i="1"/>
  <c r="AF625" i="1"/>
  <c r="AD625" i="1"/>
  <c r="A625" i="1"/>
  <c r="AF624" i="1"/>
  <c r="AD624" i="1"/>
  <c r="A624" i="1"/>
  <c r="AF623" i="1"/>
  <c r="AD623" i="1"/>
  <c r="A623" i="1"/>
  <c r="AF622" i="1"/>
  <c r="AD622" i="1"/>
  <c r="A622" i="1"/>
  <c r="AF621" i="1"/>
  <c r="AD621" i="1"/>
  <c r="A621" i="1"/>
  <c r="AF620" i="1"/>
  <c r="AD620" i="1"/>
  <c r="A620" i="1"/>
  <c r="AF619" i="1"/>
  <c r="AD619" i="1"/>
  <c r="A619" i="1"/>
  <c r="AF618" i="1"/>
  <c r="AD618" i="1"/>
  <c r="A618" i="1"/>
  <c r="AF617" i="1"/>
  <c r="AD617" i="1"/>
  <c r="A617" i="1"/>
  <c r="AF616" i="1"/>
  <c r="AD616" i="1"/>
  <c r="A616" i="1"/>
  <c r="AF615" i="1"/>
  <c r="AD615" i="1"/>
  <c r="A615" i="1"/>
  <c r="AF614" i="1"/>
  <c r="AD614" i="1"/>
  <c r="A614" i="1"/>
  <c r="AF613" i="1"/>
  <c r="AD613" i="1"/>
  <c r="A613" i="1"/>
  <c r="AF612" i="1"/>
  <c r="AD612" i="1"/>
  <c r="A612" i="1"/>
  <c r="AF611" i="1"/>
  <c r="AD611" i="1"/>
  <c r="A611" i="1"/>
  <c r="AF610" i="1"/>
  <c r="AD610" i="1"/>
  <c r="A610" i="1"/>
  <c r="AF609" i="1"/>
  <c r="AD609" i="1"/>
  <c r="A609" i="1"/>
  <c r="AF608" i="1"/>
  <c r="AD608" i="1"/>
  <c r="A608" i="1"/>
  <c r="AF607" i="1"/>
  <c r="AD607" i="1"/>
  <c r="A607" i="1"/>
  <c r="AF606" i="1"/>
  <c r="AD606" i="1"/>
  <c r="A606" i="1"/>
  <c r="AF605" i="1"/>
  <c r="AD605" i="1"/>
  <c r="A605" i="1"/>
  <c r="AF604" i="1"/>
  <c r="AD604" i="1"/>
  <c r="A604" i="1"/>
  <c r="AF603" i="1"/>
  <c r="AD603" i="1"/>
  <c r="A603" i="1"/>
  <c r="AF602" i="1"/>
  <c r="AD602" i="1"/>
  <c r="A602" i="1"/>
  <c r="AF601" i="1"/>
  <c r="AD601" i="1"/>
  <c r="A601" i="1"/>
  <c r="AF600" i="1"/>
  <c r="AD600" i="1"/>
  <c r="A600" i="1"/>
  <c r="AF599" i="1"/>
  <c r="AD599" i="1"/>
  <c r="A599" i="1"/>
  <c r="AF598" i="1"/>
  <c r="AD598" i="1"/>
  <c r="A598" i="1"/>
  <c r="AF597" i="1"/>
  <c r="AD597" i="1"/>
  <c r="A597" i="1"/>
  <c r="AF596" i="1"/>
  <c r="AD596" i="1"/>
  <c r="A596" i="1"/>
  <c r="AF595" i="1"/>
  <c r="AD595" i="1"/>
  <c r="A595" i="1"/>
  <c r="AF594" i="1"/>
  <c r="AD594" i="1"/>
  <c r="A594" i="1"/>
  <c r="AF593" i="1"/>
  <c r="AD593" i="1"/>
  <c r="A593" i="1"/>
  <c r="AF592" i="1"/>
  <c r="AD592" i="1"/>
  <c r="A592" i="1"/>
  <c r="AF591" i="1"/>
  <c r="AD591" i="1"/>
  <c r="A591" i="1"/>
  <c r="AF590" i="1"/>
  <c r="AD590" i="1"/>
  <c r="A590" i="1"/>
  <c r="AF589" i="1"/>
  <c r="AD589" i="1"/>
  <c r="A589" i="1"/>
  <c r="AF588" i="1"/>
  <c r="AD588" i="1"/>
  <c r="A588" i="1"/>
  <c r="AF587" i="1"/>
  <c r="AD587" i="1"/>
  <c r="A587" i="1"/>
  <c r="AF586" i="1"/>
  <c r="AD586" i="1"/>
  <c r="A586" i="1"/>
  <c r="AF585" i="1"/>
  <c r="AD585" i="1"/>
  <c r="A585" i="1"/>
  <c r="AF584" i="1"/>
  <c r="AD584" i="1"/>
  <c r="A584" i="1"/>
  <c r="AF583" i="1"/>
  <c r="AD583" i="1"/>
  <c r="A583" i="1"/>
  <c r="AF582" i="1"/>
  <c r="AD582" i="1"/>
  <c r="A582" i="1"/>
  <c r="AF581" i="1"/>
  <c r="AD581" i="1"/>
  <c r="A581" i="1"/>
  <c r="AF580" i="1"/>
  <c r="AD580" i="1"/>
  <c r="A580" i="1"/>
  <c r="AF579" i="1"/>
  <c r="AD579" i="1"/>
  <c r="A579" i="1"/>
  <c r="AF578" i="1"/>
  <c r="AD578" i="1"/>
  <c r="A578" i="1"/>
  <c r="AF577" i="1"/>
  <c r="AD577" i="1"/>
  <c r="A577" i="1"/>
  <c r="AF576" i="1"/>
  <c r="AD576" i="1"/>
  <c r="A576" i="1"/>
  <c r="AF575" i="1"/>
  <c r="AD575" i="1"/>
  <c r="A575" i="1"/>
  <c r="AF574" i="1"/>
  <c r="AD574" i="1"/>
  <c r="A574" i="1"/>
  <c r="AF573" i="1"/>
  <c r="AD573" i="1"/>
  <c r="A573" i="1"/>
  <c r="AF572" i="1"/>
  <c r="AD572" i="1"/>
  <c r="A572" i="1"/>
  <c r="AF571" i="1"/>
  <c r="AD571" i="1"/>
  <c r="A571" i="1"/>
  <c r="AF570" i="1"/>
  <c r="AD570" i="1"/>
  <c r="A570" i="1"/>
  <c r="AF569" i="1"/>
  <c r="AD569" i="1"/>
  <c r="A569" i="1"/>
  <c r="AF568" i="1"/>
  <c r="AD568" i="1"/>
  <c r="A568" i="1"/>
  <c r="AF567" i="1"/>
  <c r="AD567" i="1"/>
  <c r="A567" i="1"/>
  <c r="AF566" i="1"/>
  <c r="AD566" i="1"/>
  <c r="A566" i="1"/>
  <c r="AF565" i="1"/>
  <c r="AD565" i="1"/>
  <c r="A565" i="1"/>
  <c r="AF564" i="1"/>
  <c r="AD564" i="1"/>
  <c r="A564" i="1"/>
  <c r="AF563" i="1"/>
  <c r="AD563" i="1"/>
  <c r="A563" i="1"/>
  <c r="AF562" i="1"/>
  <c r="AD562" i="1"/>
  <c r="A562" i="1"/>
  <c r="AF561" i="1"/>
  <c r="AD561" i="1"/>
  <c r="A561" i="1"/>
  <c r="AF560" i="1"/>
  <c r="AD560" i="1"/>
  <c r="A560" i="1"/>
  <c r="AF559" i="1"/>
  <c r="AD559" i="1"/>
  <c r="A559" i="1"/>
  <c r="AF558" i="1"/>
  <c r="AD558" i="1"/>
  <c r="A558" i="1"/>
  <c r="AF557" i="1"/>
  <c r="AD557" i="1"/>
  <c r="A557" i="1"/>
  <c r="AF556" i="1"/>
  <c r="AD556" i="1"/>
  <c r="A556" i="1"/>
  <c r="AF555" i="1"/>
  <c r="AD555" i="1"/>
  <c r="A555" i="1"/>
  <c r="AF554" i="1"/>
  <c r="AD554" i="1"/>
  <c r="A554" i="1"/>
  <c r="AF553" i="1"/>
  <c r="AD553" i="1"/>
  <c r="A553" i="1"/>
  <c r="AF552" i="1"/>
  <c r="AD552" i="1"/>
  <c r="A552" i="1"/>
  <c r="AF551" i="1"/>
  <c r="AD551" i="1"/>
  <c r="A551" i="1"/>
  <c r="AF550" i="1"/>
  <c r="AD550" i="1"/>
  <c r="A550" i="1"/>
  <c r="AF549" i="1"/>
  <c r="AD549" i="1"/>
  <c r="A549" i="1"/>
  <c r="AF548" i="1"/>
  <c r="AD548" i="1"/>
  <c r="A548" i="1"/>
  <c r="AF547" i="1"/>
  <c r="AD547" i="1"/>
  <c r="A547" i="1"/>
  <c r="AF546" i="1"/>
  <c r="AD546" i="1"/>
  <c r="A546" i="1"/>
  <c r="AF545" i="1"/>
  <c r="AD545" i="1"/>
  <c r="A545" i="1"/>
  <c r="AF544" i="1"/>
  <c r="AD544" i="1"/>
  <c r="A544" i="1"/>
  <c r="AF543" i="1"/>
  <c r="AD543" i="1"/>
  <c r="A543" i="1"/>
  <c r="AF542" i="1"/>
  <c r="AD542" i="1"/>
  <c r="A542" i="1"/>
  <c r="AF541" i="1"/>
  <c r="AD541" i="1"/>
  <c r="A541" i="1"/>
  <c r="AF540" i="1"/>
  <c r="AD540" i="1"/>
  <c r="A540" i="1"/>
  <c r="AF539" i="1"/>
  <c r="AD539" i="1"/>
  <c r="A539" i="1"/>
  <c r="AF538" i="1"/>
  <c r="AD538" i="1"/>
  <c r="A538" i="1"/>
  <c r="AF537" i="1"/>
  <c r="AD537" i="1"/>
  <c r="A537" i="1"/>
  <c r="AF536" i="1"/>
  <c r="AD536" i="1"/>
  <c r="A536" i="1"/>
  <c r="AF535" i="1"/>
  <c r="AD535" i="1"/>
  <c r="A535" i="1"/>
  <c r="AF534" i="1"/>
  <c r="AD534" i="1"/>
  <c r="A534" i="1"/>
  <c r="AF533" i="1"/>
  <c r="AD533" i="1"/>
  <c r="A533" i="1"/>
  <c r="AF532" i="1"/>
  <c r="AD532" i="1"/>
  <c r="A532" i="1"/>
  <c r="AF531" i="1"/>
  <c r="AD531" i="1"/>
  <c r="A531" i="1"/>
  <c r="AF530" i="1"/>
  <c r="AD530" i="1"/>
  <c r="A530" i="1"/>
  <c r="AF529" i="1"/>
  <c r="AD529" i="1"/>
  <c r="A529" i="1"/>
  <c r="AF528" i="1"/>
  <c r="AD528" i="1"/>
  <c r="A528" i="1"/>
  <c r="AF527" i="1"/>
  <c r="AD527" i="1"/>
  <c r="A527" i="1"/>
  <c r="AF526" i="1"/>
  <c r="AD526" i="1"/>
  <c r="A526" i="1"/>
  <c r="AF525" i="1"/>
  <c r="AD525" i="1"/>
  <c r="A525" i="1"/>
  <c r="AF524" i="1"/>
  <c r="AD524" i="1"/>
  <c r="A524" i="1"/>
  <c r="AF523" i="1"/>
  <c r="AD523" i="1"/>
  <c r="A523" i="1"/>
  <c r="AF522" i="1"/>
  <c r="AD522" i="1"/>
  <c r="A522" i="1"/>
  <c r="AF521" i="1"/>
  <c r="AD521" i="1"/>
  <c r="A521" i="1"/>
  <c r="AF520" i="1"/>
  <c r="AD520" i="1"/>
  <c r="A520" i="1"/>
  <c r="AF519" i="1"/>
  <c r="AD519" i="1"/>
  <c r="A519" i="1"/>
  <c r="AF518" i="1"/>
  <c r="AD518" i="1"/>
  <c r="A518" i="1"/>
  <c r="AF517" i="1"/>
  <c r="AD517" i="1"/>
  <c r="A517" i="1"/>
  <c r="AF516" i="1"/>
  <c r="AD516" i="1"/>
  <c r="A516" i="1"/>
  <c r="AF515" i="1"/>
  <c r="AD515" i="1"/>
  <c r="A515" i="1"/>
  <c r="AF514" i="1"/>
  <c r="AD514" i="1"/>
  <c r="A514" i="1"/>
  <c r="AF513" i="1"/>
  <c r="AD513" i="1"/>
  <c r="A513" i="1"/>
  <c r="AF512" i="1"/>
  <c r="AD512" i="1"/>
  <c r="A512" i="1"/>
  <c r="AF511" i="1"/>
  <c r="AD511" i="1"/>
  <c r="A511" i="1"/>
  <c r="AF510" i="1"/>
  <c r="AD510" i="1"/>
  <c r="A510" i="1"/>
  <c r="AF509" i="1"/>
  <c r="AD509" i="1"/>
  <c r="A509" i="1"/>
  <c r="AF508" i="1"/>
  <c r="AD508" i="1"/>
  <c r="A508" i="1"/>
  <c r="AF507" i="1"/>
  <c r="AD507" i="1"/>
  <c r="A507" i="1"/>
  <c r="AF506" i="1"/>
  <c r="AD506" i="1"/>
  <c r="A506" i="1"/>
  <c r="AF505" i="1"/>
  <c r="AD505" i="1"/>
  <c r="A505" i="1"/>
  <c r="AF504" i="1"/>
  <c r="AD504" i="1"/>
  <c r="A504" i="1"/>
  <c r="AF503" i="1"/>
  <c r="AD503" i="1"/>
  <c r="A503" i="1"/>
  <c r="AF502" i="1"/>
  <c r="AD502" i="1"/>
  <c r="A502" i="1"/>
  <c r="AF501" i="1"/>
  <c r="AD501" i="1"/>
  <c r="A501" i="1"/>
  <c r="AF500" i="1"/>
  <c r="AD500" i="1"/>
  <c r="A500" i="1"/>
  <c r="AF499" i="1"/>
  <c r="AD499" i="1"/>
  <c r="A499" i="1"/>
  <c r="AF498" i="1"/>
  <c r="AD498" i="1"/>
  <c r="A498" i="1"/>
  <c r="AF497" i="1"/>
  <c r="AD497" i="1"/>
  <c r="A497" i="1"/>
  <c r="AF496" i="1"/>
  <c r="AD496" i="1"/>
  <c r="A496" i="1"/>
  <c r="AF495" i="1"/>
  <c r="AD495" i="1"/>
  <c r="A495" i="1"/>
  <c r="AF494" i="1"/>
  <c r="AD494" i="1"/>
  <c r="A494" i="1"/>
  <c r="AF493" i="1"/>
  <c r="AD493" i="1"/>
  <c r="A493" i="1"/>
  <c r="AF492" i="1"/>
  <c r="AD492" i="1"/>
  <c r="A492" i="1"/>
  <c r="AF491" i="1"/>
  <c r="AD491" i="1"/>
  <c r="A491" i="1"/>
  <c r="AF490" i="1"/>
  <c r="AD490" i="1"/>
  <c r="A490" i="1"/>
  <c r="AF489" i="1"/>
  <c r="AD489" i="1"/>
  <c r="A489" i="1"/>
  <c r="AF488" i="1"/>
  <c r="AD488" i="1"/>
  <c r="A488" i="1"/>
  <c r="AF487" i="1"/>
  <c r="AD487" i="1"/>
  <c r="A487" i="1"/>
  <c r="AF486" i="1"/>
  <c r="AD486" i="1"/>
  <c r="A486" i="1"/>
  <c r="AF485" i="1"/>
  <c r="AD485" i="1"/>
  <c r="A485" i="1"/>
  <c r="AF484" i="1"/>
  <c r="AD484" i="1"/>
  <c r="A484" i="1"/>
  <c r="AF483" i="1"/>
  <c r="AD483" i="1"/>
  <c r="A483" i="1"/>
  <c r="AF482" i="1"/>
  <c r="AD482" i="1"/>
  <c r="A482" i="1"/>
  <c r="AF481" i="1"/>
  <c r="AD481" i="1"/>
  <c r="A481" i="1"/>
  <c r="AF480" i="1"/>
  <c r="AD480" i="1"/>
  <c r="A480" i="1"/>
  <c r="AF479" i="1"/>
  <c r="AD479" i="1"/>
  <c r="A479" i="1"/>
  <c r="AF478" i="1"/>
  <c r="AD478" i="1"/>
  <c r="A478" i="1"/>
  <c r="AF477" i="1"/>
  <c r="AD477" i="1"/>
  <c r="A477" i="1"/>
  <c r="AF476" i="1"/>
  <c r="AD476" i="1"/>
  <c r="A476" i="1"/>
  <c r="AF475" i="1"/>
  <c r="AD475" i="1"/>
  <c r="A475" i="1"/>
  <c r="AF474" i="1"/>
  <c r="AD474" i="1"/>
  <c r="A474" i="1"/>
  <c r="AF473" i="1"/>
  <c r="AD473" i="1"/>
  <c r="A473" i="1"/>
  <c r="AF472" i="1"/>
  <c r="AD472" i="1"/>
  <c r="A472" i="1"/>
  <c r="AF471" i="1"/>
  <c r="AD471" i="1"/>
  <c r="A471" i="1"/>
  <c r="AF470" i="1"/>
  <c r="AD470" i="1"/>
  <c r="A470" i="1"/>
  <c r="AF469" i="1"/>
  <c r="AD469" i="1"/>
  <c r="A469" i="1"/>
  <c r="AF468" i="1"/>
  <c r="AD468" i="1"/>
  <c r="A468" i="1"/>
  <c r="AF467" i="1"/>
  <c r="AD467" i="1"/>
  <c r="A467" i="1"/>
  <c r="AF466" i="1"/>
  <c r="AD466" i="1"/>
  <c r="A466" i="1"/>
  <c r="AF465" i="1"/>
  <c r="AD465" i="1"/>
  <c r="A465" i="1"/>
  <c r="AF464" i="1"/>
  <c r="AD464" i="1"/>
  <c r="A464" i="1"/>
  <c r="AF463" i="1"/>
  <c r="AD463" i="1"/>
  <c r="A463" i="1"/>
  <c r="AF462" i="1"/>
  <c r="AD462" i="1"/>
  <c r="A462" i="1"/>
  <c r="AF461" i="1"/>
  <c r="AD461" i="1"/>
  <c r="A461" i="1"/>
  <c r="AF460" i="1"/>
  <c r="AD460" i="1"/>
  <c r="A460" i="1"/>
  <c r="AF459" i="1"/>
  <c r="AD459" i="1"/>
  <c r="A459" i="1"/>
  <c r="AF458" i="1"/>
  <c r="AD458" i="1"/>
  <c r="A458" i="1"/>
  <c r="AF457" i="1"/>
  <c r="AD457" i="1"/>
  <c r="A457" i="1"/>
  <c r="AF456" i="1"/>
  <c r="AD456" i="1"/>
  <c r="A456" i="1"/>
  <c r="AF455" i="1"/>
  <c r="AD455" i="1"/>
  <c r="A455" i="1"/>
  <c r="AF454" i="1"/>
  <c r="AD454" i="1"/>
  <c r="A454" i="1"/>
  <c r="AF453" i="1"/>
  <c r="AD453" i="1"/>
  <c r="A453" i="1"/>
  <c r="AF452" i="1"/>
  <c r="AD452" i="1"/>
  <c r="A452" i="1"/>
  <c r="AF451" i="1"/>
  <c r="AD451" i="1"/>
  <c r="A451" i="1"/>
  <c r="AF450" i="1"/>
  <c r="AD450" i="1"/>
  <c r="A450" i="1"/>
  <c r="AF449" i="1"/>
  <c r="AD449" i="1"/>
  <c r="A449" i="1"/>
  <c r="AF448" i="1"/>
  <c r="AD448" i="1"/>
  <c r="A448" i="1"/>
  <c r="AF447" i="1"/>
  <c r="AD447" i="1"/>
  <c r="A447" i="1"/>
  <c r="AF446" i="1"/>
  <c r="AD446" i="1"/>
  <c r="A446" i="1"/>
  <c r="AF445" i="1"/>
  <c r="AD445" i="1"/>
  <c r="A445" i="1"/>
  <c r="AF444" i="1"/>
  <c r="AD444" i="1"/>
  <c r="A444" i="1"/>
  <c r="AF443" i="1"/>
  <c r="AD443" i="1"/>
  <c r="A443" i="1"/>
  <c r="AF442" i="1"/>
  <c r="AD442" i="1"/>
  <c r="A442" i="1"/>
  <c r="AF441" i="1"/>
  <c r="AD441" i="1"/>
  <c r="A441" i="1"/>
  <c r="AF440" i="1"/>
  <c r="AD440" i="1"/>
  <c r="A440" i="1"/>
  <c r="AF439" i="1"/>
  <c r="AD439" i="1"/>
  <c r="A439" i="1"/>
  <c r="AF438" i="1"/>
  <c r="AD438" i="1"/>
  <c r="A438" i="1"/>
  <c r="AF437" i="1"/>
  <c r="AD437" i="1"/>
  <c r="A437" i="1"/>
  <c r="AF436" i="1"/>
  <c r="AD436" i="1"/>
  <c r="A436" i="1"/>
  <c r="AF435" i="1"/>
  <c r="AD435" i="1"/>
  <c r="A435" i="1"/>
  <c r="AF434" i="1"/>
  <c r="AD434" i="1"/>
  <c r="A434" i="1"/>
  <c r="AF433" i="1"/>
  <c r="AD433" i="1"/>
  <c r="A433" i="1"/>
  <c r="AF432" i="1"/>
  <c r="AD432" i="1"/>
  <c r="A432" i="1"/>
  <c r="AF431" i="1"/>
  <c r="AD431" i="1"/>
  <c r="A431" i="1"/>
  <c r="AF430" i="1"/>
  <c r="AD430" i="1"/>
  <c r="A430" i="1"/>
  <c r="AF429" i="1"/>
  <c r="AD429" i="1"/>
  <c r="A429" i="1"/>
  <c r="AF428" i="1"/>
  <c r="AD428" i="1"/>
  <c r="A428" i="1"/>
  <c r="AF427" i="1"/>
  <c r="AD427" i="1"/>
  <c r="A427" i="1"/>
  <c r="AF426" i="1"/>
  <c r="AD426" i="1"/>
  <c r="A426" i="1"/>
  <c r="AF425" i="1"/>
  <c r="AD425" i="1"/>
  <c r="A425" i="1"/>
  <c r="AF424" i="1"/>
  <c r="AD424" i="1"/>
  <c r="A424" i="1"/>
  <c r="AF423" i="1"/>
  <c r="AD423" i="1"/>
  <c r="A423" i="1"/>
  <c r="AF422" i="1"/>
  <c r="AD422" i="1"/>
  <c r="A422" i="1"/>
  <c r="AF421" i="1"/>
  <c r="AD421" i="1"/>
  <c r="A421" i="1"/>
  <c r="AF420" i="1"/>
  <c r="AD420" i="1"/>
  <c r="A420" i="1"/>
  <c r="AF419" i="1"/>
  <c r="AD419" i="1"/>
  <c r="A419" i="1"/>
  <c r="AF418" i="1"/>
  <c r="AD418" i="1"/>
  <c r="A418" i="1"/>
  <c r="AF417" i="1"/>
  <c r="AD417" i="1"/>
  <c r="A417" i="1"/>
  <c r="AF416" i="1"/>
  <c r="AD416" i="1"/>
  <c r="A416" i="1"/>
  <c r="AF415" i="1"/>
  <c r="AD415" i="1"/>
  <c r="A415" i="1"/>
  <c r="AF414" i="1"/>
  <c r="AD414" i="1"/>
  <c r="A414" i="1"/>
  <c r="AF413" i="1"/>
  <c r="AD413" i="1"/>
  <c r="A413" i="1"/>
  <c r="AF412" i="1"/>
  <c r="AD412" i="1"/>
  <c r="A412" i="1"/>
  <c r="AF411" i="1"/>
  <c r="AD411" i="1"/>
  <c r="A411" i="1"/>
  <c r="AF410" i="1"/>
  <c r="AD410" i="1"/>
  <c r="A410" i="1"/>
  <c r="AF409" i="1"/>
  <c r="AD409" i="1"/>
  <c r="A409" i="1"/>
  <c r="AF408" i="1"/>
  <c r="AD408" i="1"/>
  <c r="A408" i="1"/>
  <c r="AF407" i="1"/>
  <c r="AD407" i="1"/>
  <c r="A407" i="1"/>
  <c r="AF406" i="1"/>
  <c r="AD406" i="1"/>
  <c r="A406" i="1"/>
  <c r="AF405" i="1"/>
  <c r="AD405" i="1"/>
  <c r="A405" i="1"/>
  <c r="AF404" i="1"/>
  <c r="AD404" i="1"/>
  <c r="A404" i="1"/>
  <c r="AF403" i="1"/>
  <c r="AD403" i="1"/>
  <c r="A403" i="1"/>
  <c r="AF402" i="1"/>
  <c r="AD402" i="1"/>
  <c r="A402" i="1"/>
  <c r="AF401" i="1"/>
  <c r="AD401" i="1"/>
  <c r="A401" i="1"/>
  <c r="AF400" i="1"/>
  <c r="AD400" i="1"/>
  <c r="A400" i="1"/>
  <c r="AF399" i="1"/>
  <c r="AD399" i="1"/>
  <c r="A399" i="1"/>
  <c r="AF398" i="1"/>
  <c r="AD398" i="1"/>
  <c r="A398" i="1"/>
  <c r="AF397" i="1"/>
  <c r="AD397" i="1"/>
  <c r="A397" i="1"/>
  <c r="AF396" i="1"/>
  <c r="AD396" i="1"/>
  <c r="A396" i="1"/>
  <c r="AF395" i="1"/>
  <c r="AD395" i="1"/>
  <c r="A395" i="1"/>
  <c r="AF394" i="1"/>
  <c r="AD394" i="1"/>
  <c r="A394" i="1"/>
  <c r="AF393" i="1"/>
  <c r="AD393" i="1"/>
  <c r="A393" i="1"/>
  <c r="AF392" i="1"/>
  <c r="AD392" i="1"/>
  <c r="A392" i="1"/>
  <c r="AF391" i="1"/>
  <c r="AD391" i="1"/>
  <c r="A391" i="1"/>
  <c r="AF390" i="1"/>
  <c r="AD390" i="1"/>
  <c r="A390" i="1"/>
  <c r="AF389" i="1"/>
  <c r="AD389" i="1"/>
  <c r="A389" i="1"/>
  <c r="AF388" i="1"/>
  <c r="AD388" i="1"/>
  <c r="A388" i="1"/>
  <c r="AF387" i="1"/>
  <c r="AD387" i="1"/>
  <c r="A387" i="1"/>
  <c r="AF386" i="1"/>
  <c r="AD386" i="1"/>
  <c r="A386" i="1"/>
  <c r="AF385" i="1"/>
  <c r="AD385" i="1"/>
  <c r="A385" i="1"/>
  <c r="AF384" i="1"/>
  <c r="AD384" i="1"/>
  <c r="A384" i="1"/>
  <c r="AF383" i="1"/>
  <c r="AD383" i="1"/>
  <c r="A383" i="1"/>
  <c r="AF382" i="1"/>
  <c r="AD382" i="1"/>
  <c r="A382" i="1"/>
  <c r="AF381" i="1"/>
  <c r="AD381" i="1"/>
  <c r="A381" i="1"/>
  <c r="AF380" i="1"/>
  <c r="AD380" i="1"/>
  <c r="A380" i="1"/>
  <c r="AF379" i="1"/>
  <c r="AD379" i="1"/>
  <c r="A379" i="1"/>
  <c r="AF378" i="1"/>
  <c r="AD378" i="1"/>
  <c r="A378" i="1"/>
  <c r="AF377" i="1"/>
  <c r="AD377" i="1"/>
  <c r="A377" i="1"/>
  <c r="AF376" i="1"/>
  <c r="AD376" i="1"/>
  <c r="A376" i="1"/>
  <c r="AF375" i="1"/>
  <c r="AD375" i="1"/>
  <c r="A375" i="1"/>
  <c r="AF374" i="1"/>
  <c r="AD374" i="1"/>
  <c r="A374" i="1"/>
  <c r="AF373" i="1"/>
  <c r="AD373" i="1"/>
  <c r="A373" i="1"/>
  <c r="AF372" i="1"/>
  <c r="AD372" i="1"/>
  <c r="A372" i="1"/>
  <c r="AF371" i="1"/>
  <c r="AD371" i="1"/>
  <c r="A371" i="1"/>
  <c r="AF370" i="1"/>
  <c r="AD370" i="1"/>
  <c r="A370" i="1"/>
  <c r="AF369" i="1"/>
  <c r="AD369" i="1"/>
  <c r="A369" i="1"/>
  <c r="AF368" i="1"/>
  <c r="AD368" i="1"/>
  <c r="A368" i="1"/>
  <c r="AF367" i="1"/>
  <c r="AD367" i="1"/>
  <c r="A367" i="1"/>
  <c r="AF366" i="1"/>
  <c r="AD366" i="1"/>
  <c r="A366" i="1"/>
  <c r="AF365" i="1"/>
  <c r="AD365" i="1"/>
  <c r="A365" i="1"/>
  <c r="AF364" i="1"/>
  <c r="AD364" i="1"/>
  <c r="A364" i="1"/>
  <c r="AF363" i="1"/>
  <c r="AD363" i="1"/>
  <c r="A363" i="1"/>
  <c r="AF362" i="1"/>
  <c r="AD362" i="1"/>
  <c r="A362" i="1"/>
  <c r="AF361" i="1"/>
  <c r="AD361" i="1"/>
  <c r="A361" i="1"/>
  <c r="AF360" i="1"/>
  <c r="AD360" i="1"/>
  <c r="A360" i="1"/>
  <c r="AF359" i="1"/>
  <c r="AD359" i="1"/>
  <c r="A359" i="1"/>
  <c r="AF358" i="1"/>
  <c r="AD358" i="1"/>
  <c r="A358" i="1"/>
  <c r="AF357" i="1"/>
  <c r="AD357" i="1"/>
  <c r="A357" i="1"/>
  <c r="AF356" i="1"/>
  <c r="AD356" i="1"/>
  <c r="A356" i="1"/>
  <c r="AF355" i="1"/>
  <c r="AD355" i="1"/>
  <c r="A355" i="1"/>
  <c r="AF354" i="1"/>
  <c r="AD354" i="1"/>
  <c r="A354" i="1"/>
  <c r="AF353" i="1"/>
  <c r="AD353" i="1"/>
  <c r="A353" i="1"/>
  <c r="AF352" i="1"/>
  <c r="AD352" i="1"/>
  <c r="A352" i="1"/>
  <c r="AF351" i="1"/>
  <c r="AD351" i="1"/>
  <c r="A351" i="1"/>
  <c r="AF350" i="1"/>
  <c r="AD350" i="1"/>
  <c r="A350" i="1"/>
  <c r="AF349" i="1"/>
  <c r="AD349" i="1"/>
  <c r="A349" i="1"/>
  <c r="AF348" i="1"/>
  <c r="AD348" i="1"/>
  <c r="A348" i="1"/>
  <c r="AF347" i="1"/>
  <c r="AD347" i="1"/>
  <c r="A347" i="1"/>
  <c r="AF346" i="1"/>
  <c r="AD346" i="1"/>
  <c r="A346" i="1"/>
  <c r="AF345" i="1"/>
  <c r="AD345" i="1"/>
  <c r="A345" i="1"/>
  <c r="AF344" i="1"/>
  <c r="AD344" i="1"/>
  <c r="A344" i="1"/>
  <c r="AF343" i="1"/>
  <c r="AD343" i="1"/>
  <c r="A343" i="1"/>
  <c r="AF342" i="1"/>
  <c r="AD342" i="1"/>
  <c r="A342" i="1"/>
  <c r="AF341" i="1"/>
  <c r="AD341" i="1"/>
  <c r="A341" i="1"/>
  <c r="AF340" i="1"/>
  <c r="AD340" i="1"/>
  <c r="A340" i="1"/>
  <c r="AF339" i="1"/>
  <c r="AD339" i="1"/>
  <c r="A339" i="1"/>
  <c r="AF338" i="1"/>
  <c r="AD338" i="1"/>
  <c r="A338" i="1"/>
  <c r="AF337" i="1"/>
  <c r="AD337" i="1"/>
  <c r="A337" i="1"/>
  <c r="AF336" i="1"/>
  <c r="AD336" i="1"/>
  <c r="A336" i="1"/>
  <c r="AF335" i="1"/>
  <c r="AD335" i="1"/>
  <c r="A335" i="1"/>
  <c r="AF334" i="1"/>
  <c r="AD334" i="1"/>
  <c r="A334" i="1"/>
  <c r="AF333" i="1"/>
  <c r="AD333" i="1"/>
  <c r="A333" i="1"/>
  <c r="AF332" i="1"/>
  <c r="AD332" i="1"/>
  <c r="A332" i="1"/>
  <c r="AF331" i="1"/>
  <c r="AD331" i="1"/>
  <c r="A331" i="1"/>
  <c r="AF330" i="1"/>
  <c r="AD330" i="1"/>
  <c r="A330" i="1"/>
  <c r="AF329" i="1"/>
  <c r="AD329" i="1"/>
  <c r="A329" i="1"/>
  <c r="AF328" i="1"/>
  <c r="AD328" i="1"/>
  <c r="A328" i="1"/>
  <c r="AF327" i="1"/>
  <c r="AD327" i="1"/>
  <c r="A327" i="1"/>
  <c r="AF326" i="1"/>
  <c r="AD326" i="1"/>
  <c r="A326" i="1"/>
  <c r="AF325" i="1"/>
  <c r="AD325" i="1"/>
  <c r="A325" i="1"/>
  <c r="AF324" i="1"/>
  <c r="AD324" i="1"/>
  <c r="A324" i="1"/>
  <c r="AF323" i="1"/>
  <c r="AD323" i="1"/>
  <c r="A323" i="1"/>
  <c r="AF322" i="1"/>
  <c r="AD322" i="1"/>
  <c r="A322" i="1"/>
  <c r="AF321" i="1"/>
  <c r="AD321" i="1"/>
  <c r="A321" i="1"/>
  <c r="AF320" i="1"/>
  <c r="AD320" i="1"/>
  <c r="A320" i="1"/>
  <c r="AF319" i="1"/>
  <c r="AD319" i="1"/>
  <c r="A319" i="1"/>
  <c r="AF318" i="1"/>
  <c r="AD318" i="1"/>
  <c r="A318" i="1"/>
  <c r="AF317" i="1"/>
  <c r="AD317" i="1"/>
  <c r="A317" i="1"/>
  <c r="AF316" i="1"/>
  <c r="AD316" i="1"/>
  <c r="A316" i="1"/>
  <c r="AF315" i="1"/>
  <c r="AD315" i="1"/>
  <c r="A315" i="1"/>
  <c r="AF314" i="1"/>
  <c r="AD314" i="1"/>
  <c r="A314" i="1"/>
  <c r="AF313" i="1"/>
  <c r="AD313" i="1"/>
  <c r="A313" i="1"/>
  <c r="AF312" i="1"/>
  <c r="AD312" i="1"/>
  <c r="A312" i="1"/>
  <c r="AF311" i="1"/>
  <c r="AD311" i="1"/>
  <c r="A311" i="1"/>
  <c r="AF310" i="1"/>
  <c r="AD310" i="1"/>
  <c r="A310" i="1"/>
  <c r="AF309" i="1"/>
  <c r="AD309" i="1"/>
  <c r="A309" i="1"/>
  <c r="AF308" i="1"/>
  <c r="AD308" i="1"/>
  <c r="A308" i="1"/>
  <c r="AF307" i="1"/>
  <c r="AD307" i="1"/>
  <c r="A307" i="1"/>
  <c r="AF306" i="1"/>
  <c r="AD306" i="1"/>
  <c r="A306" i="1"/>
  <c r="AF305" i="1"/>
  <c r="AD305" i="1"/>
  <c r="A305" i="1"/>
  <c r="AF304" i="1"/>
  <c r="AD304" i="1"/>
  <c r="A304" i="1"/>
  <c r="AF303" i="1"/>
  <c r="AD303" i="1"/>
  <c r="A303" i="1"/>
  <c r="AF302" i="1"/>
  <c r="AD302" i="1"/>
  <c r="A302" i="1"/>
  <c r="AF301" i="1"/>
  <c r="AD301" i="1"/>
  <c r="A301" i="1"/>
  <c r="AF300" i="1"/>
  <c r="AD300" i="1"/>
  <c r="A300" i="1"/>
  <c r="AF299" i="1"/>
  <c r="AD299" i="1"/>
  <c r="A299" i="1"/>
  <c r="AF298" i="1"/>
  <c r="AD298" i="1"/>
  <c r="A298" i="1"/>
  <c r="AF297" i="1"/>
  <c r="AD297" i="1"/>
  <c r="A297" i="1"/>
  <c r="AF296" i="1"/>
  <c r="AD296" i="1"/>
  <c r="A296" i="1"/>
  <c r="AF295" i="1"/>
  <c r="AD295" i="1"/>
  <c r="A295" i="1"/>
  <c r="AF294" i="1"/>
  <c r="AD294" i="1"/>
  <c r="A294" i="1"/>
  <c r="AF293" i="1"/>
  <c r="AD293" i="1"/>
  <c r="A293" i="1"/>
  <c r="AF292" i="1"/>
  <c r="AD292" i="1"/>
  <c r="A292" i="1"/>
  <c r="AF291" i="1"/>
  <c r="AD291" i="1"/>
  <c r="A291" i="1"/>
  <c r="AF290" i="1"/>
  <c r="AD290" i="1"/>
  <c r="A290" i="1"/>
  <c r="AF289" i="1"/>
  <c r="AD289" i="1"/>
  <c r="A289" i="1"/>
  <c r="AF288" i="1"/>
  <c r="AD288" i="1"/>
  <c r="A288" i="1"/>
  <c r="AF287" i="1"/>
  <c r="AD287" i="1"/>
  <c r="A287" i="1"/>
  <c r="AF286" i="1"/>
  <c r="AD286" i="1"/>
  <c r="A286" i="1"/>
  <c r="AF285" i="1"/>
  <c r="AD285" i="1"/>
  <c r="A285" i="1"/>
  <c r="AF284" i="1"/>
  <c r="AD284" i="1"/>
  <c r="A284" i="1"/>
  <c r="AF283" i="1"/>
  <c r="AD283" i="1"/>
  <c r="A283" i="1"/>
  <c r="AF282" i="1"/>
  <c r="AD282" i="1"/>
  <c r="A282" i="1"/>
  <c r="AF281" i="1"/>
  <c r="AD281" i="1"/>
  <c r="A281" i="1"/>
  <c r="AF280" i="1"/>
  <c r="AD280" i="1"/>
  <c r="A280" i="1"/>
  <c r="AF279" i="1"/>
  <c r="AD279" i="1"/>
  <c r="A279" i="1"/>
  <c r="AF278" i="1"/>
  <c r="AD278" i="1"/>
  <c r="A278" i="1"/>
  <c r="AF277" i="1"/>
  <c r="AD277" i="1"/>
  <c r="A277" i="1"/>
  <c r="AF276" i="1"/>
  <c r="AD276" i="1"/>
  <c r="A276" i="1"/>
  <c r="AF275" i="1"/>
  <c r="AD275" i="1"/>
  <c r="A275" i="1"/>
  <c r="AF274" i="1"/>
  <c r="AD274" i="1"/>
  <c r="A274" i="1"/>
  <c r="AF273" i="1"/>
  <c r="AD273" i="1"/>
  <c r="A273" i="1"/>
  <c r="AF272" i="1"/>
  <c r="AD272" i="1"/>
  <c r="A272" i="1"/>
  <c r="AF271" i="1"/>
  <c r="AD271" i="1"/>
  <c r="A271" i="1"/>
  <c r="AF270" i="1"/>
  <c r="AD270" i="1"/>
  <c r="A270" i="1"/>
  <c r="AF269" i="1"/>
  <c r="AD269" i="1"/>
  <c r="A269" i="1"/>
  <c r="AF268" i="1"/>
  <c r="AD268" i="1"/>
  <c r="A268" i="1"/>
  <c r="AF267" i="1"/>
  <c r="AD267" i="1"/>
  <c r="A267" i="1"/>
  <c r="AF266" i="1"/>
  <c r="AD266" i="1"/>
  <c r="A266" i="1"/>
  <c r="AF265" i="1"/>
  <c r="AD265" i="1"/>
  <c r="A265" i="1"/>
  <c r="AF264" i="1"/>
  <c r="AD264" i="1"/>
  <c r="A264" i="1"/>
  <c r="AF263" i="1"/>
  <c r="AD263" i="1"/>
  <c r="A263" i="1"/>
  <c r="AF262" i="1"/>
  <c r="AD262" i="1"/>
  <c r="A262" i="1"/>
  <c r="AF261" i="1"/>
  <c r="AD261" i="1"/>
  <c r="A261" i="1"/>
  <c r="AF260" i="1"/>
  <c r="AD260" i="1"/>
  <c r="A260" i="1"/>
  <c r="AF259" i="1"/>
  <c r="AD259" i="1"/>
  <c r="A259" i="1"/>
  <c r="AF258" i="1"/>
  <c r="AD258" i="1"/>
  <c r="A258" i="1"/>
  <c r="AF257" i="1"/>
  <c r="AD257" i="1"/>
  <c r="A257" i="1"/>
  <c r="AF256" i="1"/>
  <c r="AD256" i="1"/>
  <c r="A256" i="1"/>
  <c r="AF255" i="1"/>
  <c r="AD255" i="1"/>
  <c r="A255" i="1"/>
  <c r="AF254" i="1"/>
  <c r="AD254" i="1"/>
  <c r="A254" i="1"/>
  <c r="AF253" i="1"/>
  <c r="AD253" i="1"/>
  <c r="A253" i="1"/>
  <c r="AF252" i="1"/>
  <c r="AD252" i="1"/>
  <c r="A252" i="1"/>
  <c r="AF251" i="1"/>
  <c r="AD251" i="1"/>
  <c r="A251" i="1"/>
  <c r="AF250" i="1"/>
  <c r="AD250" i="1"/>
  <c r="A250" i="1"/>
  <c r="AF249" i="1"/>
  <c r="AD249" i="1"/>
  <c r="A249" i="1"/>
  <c r="AF248" i="1"/>
  <c r="AD248" i="1"/>
  <c r="A248" i="1"/>
  <c r="AF247" i="1"/>
  <c r="AD247" i="1"/>
  <c r="A247" i="1"/>
  <c r="AF246" i="1"/>
  <c r="AD246" i="1"/>
  <c r="A246" i="1"/>
  <c r="AF245" i="1"/>
  <c r="AD245" i="1"/>
  <c r="A245" i="1"/>
  <c r="AF244" i="1"/>
  <c r="AD244" i="1"/>
  <c r="A244" i="1"/>
  <c r="AF243" i="1"/>
  <c r="AD243" i="1"/>
  <c r="A243" i="1"/>
  <c r="AF242" i="1"/>
  <c r="AD242" i="1"/>
  <c r="A242" i="1"/>
  <c r="AF241" i="1"/>
  <c r="AD241" i="1"/>
  <c r="A241" i="1"/>
  <c r="AF240" i="1"/>
  <c r="AD240" i="1"/>
  <c r="A240" i="1"/>
  <c r="AF239" i="1"/>
  <c r="AD239" i="1"/>
  <c r="A239" i="1"/>
  <c r="AF238" i="1"/>
  <c r="AD238" i="1"/>
  <c r="A238" i="1"/>
  <c r="AF237" i="1"/>
  <c r="AD237" i="1"/>
  <c r="A237" i="1"/>
  <c r="AF236" i="1"/>
  <c r="AD236" i="1"/>
  <c r="A236" i="1"/>
  <c r="AF235" i="1"/>
  <c r="AD235" i="1"/>
  <c r="A235" i="1"/>
  <c r="AF234" i="1"/>
  <c r="AD234" i="1"/>
  <c r="A234" i="1"/>
  <c r="AF233" i="1"/>
  <c r="AD233" i="1"/>
  <c r="A233" i="1"/>
  <c r="AF232" i="1"/>
  <c r="AD232" i="1"/>
  <c r="A232" i="1"/>
  <c r="AF231" i="1"/>
  <c r="AD231" i="1"/>
  <c r="A231" i="1"/>
  <c r="AF230" i="1"/>
  <c r="AD230" i="1"/>
  <c r="A230" i="1"/>
  <c r="AF229" i="1"/>
  <c r="AD229" i="1"/>
  <c r="A229" i="1"/>
  <c r="AF228" i="1"/>
  <c r="AD228" i="1"/>
  <c r="A228" i="1"/>
  <c r="AF227" i="1"/>
  <c r="AD227" i="1"/>
  <c r="A227" i="1"/>
  <c r="AF226" i="1"/>
  <c r="AD226" i="1"/>
  <c r="A226" i="1"/>
  <c r="AF225" i="1"/>
  <c r="AD225" i="1"/>
  <c r="A225" i="1"/>
  <c r="AF224" i="1"/>
  <c r="AD224" i="1"/>
  <c r="A224" i="1"/>
  <c r="AF223" i="1"/>
  <c r="AD223" i="1"/>
  <c r="A223" i="1"/>
  <c r="AF222" i="1"/>
  <c r="AD222" i="1"/>
  <c r="A222" i="1"/>
  <c r="AF221" i="1"/>
  <c r="AD221" i="1"/>
  <c r="A221" i="1"/>
  <c r="AF220" i="1"/>
  <c r="AD220" i="1"/>
  <c r="A220" i="1"/>
  <c r="AF219" i="1"/>
  <c r="AD219" i="1"/>
  <c r="A219" i="1"/>
  <c r="AF218" i="1"/>
  <c r="AD218" i="1"/>
  <c r="A218" i="1"/>
  <c r="AF217" i="1"/>
  <c r="AD217" i="1"/>
  <c r="A217" i="1"/>
  <c r="AF216" i="1"/>
  <c r="AD216" i="1"/>
  <c r="A216" i="1"/>
  <c r="AF215" i="1"/>
  <c r="AD215" i="1"/>
  <c r="A215" i="1"/>
  <c r="AF214" i="1"/>
  <c r="AD214" i="1"/>
  <c r="A214" i="1"/>
  <c r="AF213" i="1"/>
  <c r="AD213" i="1"/>
  <c r="A213" i="1"/>
  <c r="AF212" i="1"/>
  <c r="AD212" i="1"/>
  <c r="A212" i="1"/>
  <c r="AF211" i="1"/>
  <c r="AD211" i="1"/>
  <c r="A211" i="1"/>
  <c r="AF210" i="1"/>
  <c r="AD210" i="1"/>
  <c r="A210" i="1"/>
  <c r="AF209" i="1"/>
  <c r="AD209" i="1"/>
  <c r="A209" i="1"/>
  <c r="AF208" i="1"/>
  <c r="AD208" i="1"/>
  <c r="A208" i="1"/>
  <c r="AF207" i="1"/>
  <c r="AD207" i="1"/>
  <c r="A207" i="1"/>
  <c r="AF206" i="1"/>
  <c r="AD206" i="1"/>
  <c r="A206" i="1"/>
  <c r="AF205" i="1"/>
  <c r="AD205" i="1"/>
  <c r="A205" i="1"/>
  <c r="AF204" i="1"/>
  <c r="AD204" i="1"/>
  <c r="A204" i="1"/>
  <c r="AF203" i="1"/>
  <c r="AD203" i="1"/>
  <c r="A203" i="1"/>
  <c r="AF202" i="1"/>
  <c r="AD202" i="1"/>
  <c r="A202" i="1"/>
  <c r="AF201" i="1"/>
  <c r="AD201" i="1"/>
  <c r="A201" i="1"/>
  <c r="AF200" i="1"/>
  <c r="AD200" i="1"/>
  <c r="A200" i="1"/>
  <c r="AF199" i="1"/>
  <c r="AD199" i="1"/>
  <c r="A199" i="1"/>
  <c r="AF198" i="1"/>
  <c r="AD198" i="1"/>
  <c r="A198" i="1"/>
  <c r="AF197" i="1"/>
  <c r="AD197" i="1"/>
  <c r="A197" i="1"/>
  <c r="AF196" i="1"/>
  <c r="AD196" i="1"/>
  <c r="A196" i="1"/>
  <c r="AF195" i="1"/>
  <c r="AD195" i="1"/>
  <c r="A195" i="1"/>
  <c r="AF194" i="1"/>
  <c r="AD194" i="1"/>
  <c r="A194" i="1"/>
  <c r="AF193" i="1"/>
  <c r="AD193" i="1"/>
  <c r="A193" i="1"/>
  <c r="AF192" i="1"/>
  <c r="AD192" i="1"/>
  <c r="A192" i="1"/>
  <c r="AF191" i="1"/>
  <c r="AD191" i="1"/>
  <c r="A191" i="1"/>
  <c r="AF190" i="1"/>
  <c r="AD190" i="1"/>
  <c r="A190" i="1"/>
  <c r="AF189" i="1"/>
  <c r="AD189" i="1"/>
  <c r="A189" i="1"/>
  <c r="AF188" i="1"/>
  <c r="AD188" i="1"/>
  <c r="A188" i="1"/>
  <c r="AF187" i="1"/>
  <c r="AD187" i="1"/>
  <c r="A187" i="1"/>
  <c r="AF186" i="1"/>
  <c r="AD186" i="1"/>
  <c r="A186" i="1"/>
  <c r="AF185" i="1"/>
  <c r="AD185" i="1"/>
  <c r="A185" i="1"/>
  <c r="AF184" i="1"/>
  <c r="AD184" i="1"/>
  <c r="A184" i="1"/>
  <c r="AF183" i="1"/>
  <c r="AD183" i="1"/>
  <c r="A183" i="1"/>
  <c r="AF182" i="1"/>
  <c r="AD182" i="1"/>
  <c r="A182" i="1"/>
  <c r="AF181" i="1"/>
  <c r="AD181" i="1"/>
  <c r="A181" i="1"/>
  <c r="AF180" i="1"/>
  <c r="AD180" i="1"/>
  <c r="A180" i="1"/>
  <c r="AF179" i="1"/>
  <c r="AD179" i="1"/>
  <c r="A179" i="1"/>
  <c r="AF178" i="1"/>
  <c r="AD178" i="1"/>
  <c r="A178" i="1"/>
  <c r="AF177" i="1"/>
  <c r="AD177" i="1"/>
  <c r="A177" i="1"/>
  <c r="AF176" i="1"/>
  <c r="AD176" i="1"/>
  <c r="A176" i="1"/>
  <c r="AF175" i="1"/>
  <c r="AD175" i="1"/>
  <c r="A175" i="1"/>
  <c r="AF174" i="1"/>
  <c r="AD174" i="1"/>
  <c r="A174" i="1"/>
  <c r="AF173" i="1"/>
  <c r="AD173" i="1"/>
  <c r="A173" i="1"/>
  <c r="AF172" i="1"/>
  <c r="AD172" i="1"/>
  <c r="A172" i="1"/>
  <c r="AF171" i="1"/>
  <c r="AD171" i="1"/>
  <c r="A171" i="1"/>
  <c r="AF170" i="1"/>
  <c r="AD170" i="1"/>
  <c r="A170" i="1"/>
  <c r="AF169" i="1"/>
  <c r="AD169" i="1"/>
  <c r="A169" i="1"/>
  <c r="AF168" i="1"/>
  <c r="AD168" i="1"/>
  <c r="A168" i="1"/>
  <c r="AF167" i="1"/>
  <c r="AD167" i="1"/>
  <c r="A167" i="1"/>
  <c r="AF166" i="1"/>
  <c r="AD166" i="1"/>
  <c r="A166" i="1"/>
  <c r="AF165" i="1"/>
  <c r="AD165" i="1"/>
  <c r="A165" i="1"/>
  <c r="AF164" i="1"/>
  <c r="AD164" i="1"/>
  <c r="A164" i="1"/>
  <c r="AF163" i="1"/>
  <c r="AD163" i="1"/>
  <c r="A163" i="1"/>
  <c r="AF162" i="1"/>
  <c r="AD162" i="1"/>
  <c r="A162" i="1"/>
  <c r="AF161" i="1"/>
  <c r="AD161" i="1"/>
  <c r="A161" i="1"/>
  <c r="AF160" i="1"/>
  <c r="AD160" i="1"/>
  <c r="A160" i="1"/>
  <c r="AF159" i="1"/>
  <c r="AD159" i="1"/>
  <c r="A159" i="1"/>
  <c r="AF158" i="1"/>
  <c r="AD158" i="1"/>
  <c r="A158" i="1"/>
  <c r="AF157" i="1"/>
  <c r="AD157" i="1"/>
  <c r="A157" i="1"/>
  <c r="AF156" i="1"/>
  <c r="AD156" i="1"/>
  <c r="A156" i="1"/>
  <c r="AF155" i="1"/>
  <c r="AD155" i="1"/>
  <c r="A155" i="1"/>
  <c r="AF154" i="1"/>
  <c r="AD154" i="1"/>
  <c r="A154" i="1"/>
  <c r="AF153" i="1"/>
  <c r="AD153" i="1"/>
  <c r="A153" i="1"/>
  <c r="AF152" i="1"/>
  <c r="AD152" i="1"/>
  <c r="A152" i="1"/>
  <c r="AF151" i="1"/>
  <c r="AD151" i="1"/>
  <c r="A151" i="1"/>
  <c r="AF150" i="1"/>
  <c r="AD150" i="1"/>
  <c r="A150" i="1"/>
  <c r="AF149" i="1"/>
  <c r="AD149" i="1"/>
  <c r="A149" i="1"/>
  <c r="AF148" i="1"/>
  <c r="AD148" i="1"/>
  <c r="A148" i="1"/>
  <c r="AF147" i="1"/>
  <c r="AD147" i="1"/>
  <c r="A147" i="1"/>
  <c r="AF146" i="1"/>
  <c r="AD146" i="1"/>
  <c r="A146" i="1"/>
  <c r="AF145" i="1"/>
  <c r="AD145" i="1"/>
  <c r="A145" i="1"/>
  <c r="AF144" i="1"/>
  <c r="AD144" i="1"/>
  <c r="A144" i="1"/>
  <c r="AF143" i="1"/>
  <c r="AD143" i="1"/>
  <c r="A143" i="1"/>
  <c r="AF142" i="1"/>
  <c r="AD142" i="1"/>
  <c r="A142" i="1"/>
  <c r="AF141" i="1"/>
  <c r="AD141" i="1"/>
  <c r="A141" i="1"/>
  <c r="AF140" i="1"/>
  <c r="AD140" i="1"/>
  <c r="A140" i="1"/>
  <c r="AF139" i="1"/>
  <c r="AD139" i="1"/>
  <c r="A139" i="1"/>
  <c r="AF138" i="1"/>
  <c r="AD138" i="1"/>
  <c r="A138" i="1"/>
  <c r="AF137" i="1"/>
  <c r="AD137" i="1"/>
  <c r="A137" i="1"/>
  <c r="AF136" i="1"/>
  <c r="AD136" i="1"/>
  <c r="A136" i="1"/>
  <c r="AF135" i="1"/>
  <c r="AD135" i="1"/>
  <c r="A135" i="1"/>
  <c r="AF134" i="1"/>
  <c r="AD134" i="1"/>
  <c r="A134" i="1"/>
  <c r="AF133" i="1"/>
  <c r="AD133" i="1"/>
  <c r="A133" i="1"/>
  <c r="AF132" i="1"/>
  <c r="AD132" i="1"/>
  <c r="A132" i="1"/>
  <c r="AF131" i="1"/>
  <c r="AD131" i="1"/>
  <c r="A131" i="1"/>
  <c r="AF130" i="1"/>
  <c r="AD130" i="1"/>
  <c r="A130" i="1"/>
  <c r="AF129" i="1"/>
  <c r="AD129" i="1"/>
  <c r="A129" i="1"/>
  <c r="AF128" i="1"/>
  <c r="AD128" i="1"/>
  <c r="A128" i="1"/>
  <c r="AF127" i="1"/>
  <c r="AD127" i="1"/>
  <c r="A127" i="1"/>
  <c r="AF126" i="1"/>
  <c r="AD126" i="1"/>
  <c r="A126" i="1"/>
  <c r="AF125" i="1"/>
  <c r="AD125" i="1"/>
  <c r="A125" i="1"/>
  <c r="AF124" i="1"/>
  <c r="AD124" i="1"/>
  <c r="A124" i="1"/>
  <c r="AF123" i="1"/>
  <c r="AD123" i="1"/>
  <c r="A123" i="1"/>
  <c r="AF122" i="1"/>
  <c r="AD122" i="1"/>
  <c r="A122" i="1"/>
  <c r="AF121" i="1"/>
  <c r="AD121" i="1"/>
  <c r="A121" i="1"/>
  <c r="AF120" i="1"/>
  <c r="AD120" i="1"/>
  <c r="A120" i="1"/>
  <c r="AF119" i="1"/>
  <c r="AD119" i="1"/>
  <c r="A119" i="1"/>
  <c r="AF118" i="1"/>
  <c r="AD118" i="1"/>
  <c r="A118" i="1"/>
  <c r="AF117" i="1"/>
  <c r="AD117" i="1"/>
  <c r="A117" i="1"/>
  <c r="AF116" i="1"/>
  <c r="AD116" i="1"/>
  <c r="A116" i="1"/>
  <c r="AF115" i="1"/>
  <c r="AD115" i="1"/>
  <c r="A115" i="1"/>
  <c r="AF114" i="1"/>
  <c r="AD114" i="1"/>
  <c r="A114" i="1"/>
  <c r="AF113" i="1"/>
  <c r="AD113" i="1"/>
  <c r="A113" i="1"/>
  <c r="AF112" i="1"/>
  <c r="AD112" i="1"/>
  <c r="A112" i="1"/>
  <c r="AF111" i="1"/>
  <c r="AD111" i="1"/>
  <c r="A111" i="1"/>
  <c r="AF110" i="1"/>
  <c r="AD110" i="1"/>
  <c r="A110" i="1"/>
  <c r="AF109" i="1"/>
  <c r="AD109" i="1"/>
  <c r="A109" i="1"/>
  <c r="AF108" i="1"/>
  <c r="AD108" i="1"/>
  <c r="A108" i="1"/>
  <c r="AF107" i="1"/>
  <c r="AD107" i="1"/>
  <c r="A107" i="1"/>
  <c r="AF106" i="1"/>
  <c r="AD106" i="1"/>
  <c r="A106" i="1"/>
  <c r="AF105" i="1"/>
  <c r="AD105" i="1"/>
  <c r="A105" i="1"/>
  <c r="AF104" i="1"/>
  <c r="AD104" i="1"/>
  <c r="A104" i="1"/>
  <c r="AF103" i="1"/>
  <c r="AD103" i="1"/>
  <c r="A103" i="1"/>
  <c r="AF102" i="1"/>
  <c r="AD102" i="1"/>
  <c r="A102" i="1"/>
  <c r="AF101" i="1"/>
  <c r="AD101" i="1"/>
  <c r="A101" i="1"/>
  <c r="AF100" i="1"/>
  <c r="AD100" i="1"/>
  <c r="A100" i="1"/>
  <c r="AF99" i="1"/>
  <c r="AD99" i="1"/>
  <c r="A99" i="1"/>
  <c r="AF98" i="1"/>
  <c r="AD98" i="1"/>
  <c r="A98" i="1"/>
  <c r="AF97" i="1"/>
  <c r="AD97" i="1"/>
  <c r="A97" i="1"/>
  <c r="AF96" i="1"/>
  <c r="AD96" i="1"/>
  <c r="A96" i="1"/>
  <c r="AF95" i="1"/>
  <c r="AD95" i="1"/>
  <c r="A95" i="1"/>
  <c r="AF94" i="1"/>
  <c r="AD94" i="1"/>
  <c r="A94" i="1"/>
  <c r="AF93" i="1"/>
  <c r="AD93" i="1"/>
  <c r="A93" i="1"/>
  <c r="AF92" i="1"/>
  <c r="AD92" i="1"/>
  <c r="A92" i="1"/>
  <c r="AF91" i="1"/>
  <c r="AD91" i="1"/>
  <c r="A91" i="1"/>
  <c r="AF90" i="1"/>
  <c r="AD90" i="1"/>
  <c r="A90" i="1"/>
  <c r="AF89" i="1"/>
  <c r="AD89" i="1"/>
  <c r="A89" i="1"/>
  <c r="AF88" i="1"/>
  <c r="AD88" i="1"/>
  <c r="A88" i="1"/>
  <c r="AF87" i="1"/>
  <c r="AD87" i="1"/>
  <c r="A87" i="1"/>
  <c r="AF86" i="1"/>
  <c r="AD86" i="1"/>
  <c r="A86" i="1"/>
  <c r="AF85" i="1"/>
  <c r="AD85" i="1"/>
  <c r="A85" i="1"/>
  <c r="AF84" i="1"/>
  <c r="AD84" i="1"/>
  <c r="A84" i="1"/>
  <c r="AF83" i="1"/>
  <c r="AD83" i="1"/>
  <c r="A83" i="1"/>
  <c r="AF82" i="1"/>
  <c r="AD82" i="1"/>
  <c r="A82" i="1"/>
  <c r="AF81" i="1"/>
  <c r="AD81" i="1"/>
  <c r="A81" i="1"/>
  <c r="AF80" i="1"/>
  <c r="AD80" i="1"/>
  <c r="A80" i="1"/>
  <c r="AF79" i="1"/>
  <c r="AD79" i="1"/>
  <c r="A79" i="1"/>
  <c r="AF78" i="1"/>
  <c r="AD78" i="1"/>
  <c r="A78" i="1"/>
  <c r="AF77" i="1"/>
  <c r="AD77" i="1"/>
  <c r="A77" i="1"/>
  <c r="AF76" i="1"/>
  <c r="AD76" i="1"/>
  <c r="A76" i="1"/>
  <c r="AF75" i="1"/>
  <c r="AD75" i="1"/>
  <c r="A75" i="1"/>
  <c r="AF74" i="1"/>
  <c r="AD74" i="1"/>
  <c r="A74" i="1"/>
  <c r="AF73" i="1"/>
  <c r="AD73" i="1"/>
  <c r="A73" i="1"/>
  <c r="AF72" i="1"/>
  <c r="AD72" i="1"/>
  <c r="A72" i="1"/>
  <c r="AF71" i="1"/>
  <c r="AD71" i="1"/>
  <c r="A71" i="1"/>
  <c r="AF70" i="1"/>
  <c r="AD70" i="1"/>
  <c r="A70" i="1"/>
  <c r="AF69" i="1"/>
  <c r="AD69" i="1"/>
  <c r="A69" i="1"/>
  <c r="AF68" i="1"/>
  <c r="AD68" i="1"/>
  <c r="A68" i="1"/>
  <c r="AF67" i="1"/>
  <c r="AD67" i="1"/>
  <c r="A67" i="1"/>
  <c r="AF66" i="1"/>
  <c r="AD66" i="1"/>
  <c r="A66" i="1"/>
  <c r="AF65" i="1"/>
  <c r="AD65" i="1"/>
  <c r="A65" i="1"/>
  <c r="AF64" i="1"/>
  <c r="AD64" i="1"/>
  <c r="A64" i="1"/>
  <c r="AF63" i="1"/>
  <c r="AD63" i="1"/>
  <c r="A63" i="1"/>
  <c r="AF62" i="1"/>
  <c r="AD62" i="1"/>
  <c r="A62" i="1"/>
  <c r="AF61" i="1"/>
  <c r="AD61" i="1"/>
  <c r="A61" i="1"/>
  <c r="AF60" i="1"/>
  <c r="AD60" i="1"/>
  <c r="A60" i="1"/>
  <c r="AF59" i="1"/>
  <c r="AD59" i="1"/>
  <c r="A59" i="1"/>
  <c r="AF58" i="1"/>
  <c r="AD58" i="1"/>
  <c r="A58" i="1"/>
  <c r="AF57" i="1"/>
  <c r="AD57" i="1"/>
  <c r="A57" i="1"/>
  <c r="AF56" i="1"/>
  <c r="AD56" i="1"/>
  <c r="A56" i="1"/>
  <c r="AF55" i="1"/>
  <c r="AD55" i="1"/>
  <c r="A55" i="1"/>
  <c r="AF54" i="1"/>
  <c r="AD54" i="1"/>
  <c r="A54" i="1"/>
  <c r="AF53" i="1"/>
  <c r="AD53" i="1"/>
  <c r="A53" i="1"/>
  <c r="AF52" i="1"/>
  <c r="AD52" i="1"/>
  <c r="A52" i="1"/>
  <c r="AF51" i="1"/>
  <c r="AD51" i="1"/>
  <c r="A51" i="1"/>
  <c r="AF50" i="1"/>
  <c r="AD50" i="1"/>
  <c r="A50" i="1"/>
  <c r="AF49" i="1"/>
  <c r="AD49" i="1"/>
  <c r="A49" i="1"/>
  <c r="AF48" i="1"/>
  <c r="AD48" i="1"/>
  <c r="A48" i="1"/>
  <c r="AF47" i="1"/>
  <c r="AD47" i="1"/>
  <c r="A47" i="1"/>
  <c r="AF46" i="1"/>
  <c r="AD46" i="1"/>
  <c r="A46" i="1"/>
  <c r="AF45" i="1"/>
  <c r="AD45" i="1"/>
  <c r="A45" i="1"/>
  <c r="AF44" i="1"/>
  <c r="AD44" i="1"/>
  <c r="A44" i="1"/>
  <c r="AF43" i="1"/>
  <c r="AD43" i="1"/>
  <c r="A43" i="1"/>
  <c r="AF42" i="1"/>
  <c r="AD42" i="1"/>
  <c r="A42" i="1"/>
  <c r="AF41" i="1"/>
  <c r="AD41" i="1"/>
  <c r="A41" i="1"/>
  <c r="AF40" i="1"/>
  <c r="AD40" i="1"/>
  <c r="A40" i="1"/>
  <c r="AF39" i="1"/>
  <c r="AD39" i="1"/>
  <c r="A39" i="1"/>
  <c r="AF38" i="1"/>
  <c r="AD38" i="1"/>
  <c r="A38" i="1"/>
  <c r="AF37" i="1"/>
  <c r="AD37" i="1"/>
  <c r="A37" i="1"/>
  <c r="AF36" i="1"/>
  <c r="AD36" i="1"/>
  <c r="A36" i="1"/>
  <c r="AF35" i="1"/>
  <c r="AD35" i="1"/>
  <c r="A35" i="1"/>
  <c r="AF34" i="1"/>
  <c r="AD34" i="1"/>
  <c r="A34" i="1"/>
  <c r="AF33" i="1"/>
  <c r="AD33" i="1"/>
  <c r="A33" i="1"/>
  <c r="AF32" i="1"/>
  <c r="AD32" i="1"/>
  <c r="A32" i="1"/>
  <c r="AF31" i="1"/>
  <c r="AD31" i="1"/>
  <c r="A31" i="1"/>
  <c r="AF30" i="1"/>
  <c r="AD30" i="1"/>
  <c r="A30" i="1"/>
  <c r="AF29" i="1"/>
  <c r="AD29" i="1"/>
  <c r="A29" i="1"/>
  <c r="AF28" i="1"/>
  <c r="AD28" i="1"/>
  <c r="A28" i="1"/>
  <c r="AF27" i="1"/>
  <c r="AD27" i="1"/>
  <c r="A27" i="1"/>
  <c r="AF26" i="1"/>
  <c r="AD26" i="1"/>
  <c r="A26" i="1"/>
  <c r="AF25" i="1"/>
  <c r="AD25" i="1"/>
  <c r="A25" i="1"/>
  <c r="AF24" i="1"/>
  <c r="AD24" i="1"/>
  <c r="A24" i="1"/>
  <c r="AF23" i="1"/>
  <c r="AD23" i="1"/>
  <c r="A23" i="1"/>
  <c r="AF22" i="1"/>
  <c r="AD22" i="1"/>
  <c r="A22" i="1"/>
  <c r="AF21" i="1"/>
  <c r="AD21" i="1"/>
  <c r="A21" i="1"/>
  <c r="AF20" i="1"/>
  <c r="AD20" i="1"/>
  <c r="A20" i="1"/>
  <c r="AF19" i="1"/>
  <c r="AD19" i="1"/>
  <c r="A19" i="1"/>
  <c r="AF18" i="1"/>
  <c r="AD18" i="1"/>
  <c r="A18" i="1"/>
  <c r="AF17" i="1"/>
  <c r="AD17" i="1"/>
  <c r="A17" i="1"/>
  <c r="AF16" i="1"/>
  <c r="AD16" i="1"/>
  <c r="A16" i="1"/>
  <c r="AF15" i="1"/>
  <c r="AD15" i="1"/>
  <c r="A15" i="1"/>
  <c r="AF14" i="1"/>
  <c r="AD14" i="1"/>
  <c r="A14" i="1"/>
  <c r="AF13" i="1"/>
  <c r="AD13" i="1"/>
  <c r="A13" i="1"/>
  <c r="AF12" i="1"/>
  <c r="AD12" i="1"/>
  <c r="A12" i="1"/>
  <c r="AF11" i="1"/>
  <c r="AD11" i="1"/>
  <c r="A11" i="1"/>
  <c r="AF10" i="1"/>
  <c r="AD10" i="1"/>
  <c r="A10" i="1"/>
  <c r="AF9" i="1"/>
  <c r="AD9" i="1"/>
  <c r="A9" i="1"/>
  <c r="AF8" i="1"/>
  <c r="AD8" i="1"/>
  <c r="A8" i="1"/>
  <c r="AF7" i="1"/>
  <c r="AD7" i="1"/>
  <c r="A7" i="1"/>
  <c r="AF6" i="1"/>
  <c r="AD6" i="1"/>
  <c r="A6" i="1"/>
  <c r="AF5" i="1"/>
  <c r="AD5" i="1"/>
  <c r="A5" i="1"/>
  <c r="AF4" i="1"/>
  <c r="AD4" i="1"/>
  <c r="A4" i="1"/>
  <c r="AF3" i="1"/>
  <c r="AD3" i="1"/>
  <c r="AD1" i="1" s="1"/>
  <c r="AC1" i="1" s="1"/>
  <c r="A3" i="1"/>
  <c r="AG1" i="1"/>
  <c r="AF1" i="1" l="1"/>
  <c r="AE1" i="1" s="1"/>
</calcChain>
</file>

<file path=xl/sharedStrings.xml><?xml version="1.0" encoding="utf-8"?>
<sst xmlns="http://schemas.openxmlformats.org/spreadsheetml/2006/main" count="97987" uniqueCount="17726">
  <si>
    <t>Cross Plant Configurable Material</t>
  </si>
  <si>
    <t>SKU</t>
  </si>
  <si>
    <t>Style</t>
  </si>
  <si>
    <t>Color Name Long ID</t>
  </si>
  <si>
    <t>Downstream SKU</t>
  </si>
  <si>
    <t>Characteristic Value For Main Sizes Of Variants ID</t>
  </si>
  <si>
    <t>Product Sub Collection</t>
  </si>
  <si>
    <t>Hierarchy Node [Level 4]</t>
  </si>
  <si>
    <t>Hierarchy Node [Level 6]</t>
  </si>
  <si>
    <t>Hierarchy Node [Level 7]</t>
  </si>
  <si>
    <t>Size Category</t>
  </si>
  <si>
    <t>Product Development Type</t>
  </si>
  <si>
    <t>Fashion Information Field 2</t>
  </si>
  <si>
    <t>Last Season Year/Season EMEA</t>
  </si>
  <si>
    <t>Material Number</t>
  </si>
  <si>
    <t>HS1 Product Group</t>
  </si>
  <si>
    <t>HS2 Product Category</t>
  </si>
  <si>
    <t>Material Group</t>
  </si>
  <si>
    <t>International Article Number Ean Upc</t>
  </si>
  <si>
    <t>Country of Origin of Material</t>
  </si>
  <si>
    <t>Size EU</t>
  </si>
  <si>
    <t>Color NRF</t>
  </si>
  <si>
    <t>Composition</t>
  </si>
  <si>
    <t>PRODUCT SEGMENTATION: 
ACCOUNT</t>
  </si>
  <si>
    <t>PRODUCT SEGMENTATION: 
EXPERIENCE</t>
  </si>
  <si>
    <t>PRODUCT SEGMENTATION: 
ENVIRONMENT</t>
  </si>
  <si>
    <t>PRODUCT SEGMENTATION: 
DISTRIBUTION CHANNEL</t>
  </si>
  <si>
    <t>Product Development Type2</t>
  </si>
  <si>
    <t>WHS EUR</t>
  </si>
  <si>
    <t>TOT WHLS</t>
  </si>
  <si>
    <t>RETAIL EUR</t>
  </si>
  <si>
    <t>TOT RRP</t>
  </si>
  <si>
    <t>ATP Current Week</t>
  </si>
  <si>
    <t>VN0A38HBPQZ1006</t>
  </si>
  <si>
    <t>Old Skool</t>
  </si>
  <si>
    <t>(JUNIOR) BLACK MONO</t>
  </si>
  <si>
    <t>VN0A38HBPQZ1M  035</t>
  </si>
  <si>
    <t>JUNIOR</t>
  </si>
  <si>
    <t>VN FOOTWEAR</t>
  </si>
  <si>
    <t>VN LITTLE KIDS FOOTWEAR</t>
  </si>
  <si>
    <t>VN LITTLE KIDS ICONS FTW</t>
  </si>
  <si>
    <t>UY - Youth Unisex</t>
  </si>
  <si>
    <t>EXC</t>
  </si>
  <si>
    <t>60 - Discontinued</t>
  </si>
  <si>
    <t>S02025</t>
  </si>
  <si>
    <t>VN0A38HBPQZ1006 - Old Skool JR BLACK, 3.5, Medium</t>
  </si>
  <si>
    <t>FTW - Footwear</t>
  </si>
  <si>
    <t>123 - FTW_Shoe</t>
  </si>
  <si>
    <t>6077 - VN KD SHOES LOW</t>
  </si>
  <si>
    <t>VN - Vietnam</t>
  </si>
  <si>
    <t>Leather</t>
  </si>
  <si>
    <t>001 - BLACK</t>
  </si>
  <si>
    <t>JD Sports, FootLocker</t>
  </si>
  <si>
    <t>Better</t>
  </si>
  <si>
    <t>Sports Inspired</t>
  </si>
  <si>
    <t>Exclusive</t>
  </si>
  <si>
    <t>VN0A7Y47Y281004</t>
  </si>
  <si>
    <t>CLASSIC VANS-B</t>
  </si>
  <si>
    <t>Black/White</t>
  </si>
  <si>
    <t>VN0A7Y47Y281.  XL</t>
  </si>
  <si>
    <t>XL</t>
  </si>
  <si>
    <t>VN APPAREL</t>
  </si>
  <si>
    <t>VN BIG KIDS APPAREL</t>
  </si>
  <si>
    <t>VN BIG KIDS TOPS</t>
  </si>
  <si>
    <t>BY - Boys</t>
  </si>
  <si>
    <t>VN0A7Y47Y281004 - CLASSIC VANS-B Black/White, X Large</t>
  </si>
  <si>
    <t>APP - Apparel</t>
  </si>
  <si>
    <t>114 - APP_Top</t>
  </si>
  <si>
    <t>6090 - VN KD T-SHIRTS</t>
  </si>
  <si>
    <t>TR - Turkey</t>
  </si>
  <si>
    <t>100% cotton</t>
  </si>
  <si>
    <t>Value</t>
  </si>
  <si>
    <t>Action Sports|Fashion Lifestyle|Sports Inspired</t>
  </si>
  <si>
    <t>Wholesale</t>
  </si>
  <si>
    <t>VN000JT2BLK1001</t>
  </si>
  <si>
    <t>VANS FAT LACES II</t>
  </si>
  <si>
    <t>Black</t>
  </si>
  <si>
    <t>VN000JT2BLK1.  OS</t>
  </si>
  <si>
    <t>OS</t>
  </si>
  <si>
    <t>VN ACCESSORIES</t>
  </si>
  <si>
    <t>VN UNISEX ACCESSORIES</t>
  </si>
  <si>
    <t>VN UNISEX SHOEWEAR</t>
  </si>
  <si>
    <t>UA - Adult Unisex</t>
  </si>
  <si>
    <t>INR</t>
  </si>
  <si>
    <t>F02025</t>
  </si>
  <si>
    <t>VN000JT2BLK1001 - VANS FAT LACES II Black, One Size</t>
  </si>
  <si>
    <t>ACC - Accessories</t>
  </si>
  <si>
    <t>107 - ACC_Other</t>
  </si>
  <si>
    <t>6138 - VN UX FTW ACCESSORIE</t>
  </si>
  <si>
    <t>MX - Mexico</t>
  </si>
  <si>
    <t>100% Polyester</t>
  </si>
  <si>
    <t>Good</t>
  </si>
  <si>
    <t>Monobrand</t>
  </si>
  <si>
    <t>Own Retail|Ecommerce|Partnership Store</t>
  </si>
  <si>
    <t>Special Make-Up</t>
  </si>
  <si>
    <t>VN000UFHC8B1001</t>
  </si>
  <si>
    <t>WM VANS LANYARD</t>
  </si>
  <si>
    <t>SWEET LAVENDER</t>
  </si>
  <si>
    <t>VN000UFHC8B1.  OS</t>
  </si>
  <si>
    <t>VN UNISEX SMALL ACCESSORIES</t>
  </si>
  <si>
    <t>WM - Womens</t>
  </si>
  <si>
    <t>F02023</t>
  </si>
  <si>
    <t>VN000UFHC8B1001 - WM VANS LANYARD SWEET LAVENDER, One Size</t>
  </si>
  <si>
    <t>109 - ACC_Small Accessories</t>
  </si>
  <si>
    <t>6142 - VN UX SMALL ACCESSOR</t>
  </si>
  <si>
    <t>KH - Cambodia</t>
  </si>
  <si>
    <t>Shell : 100% Polyester</t>
  </si>
  <si>
    <t>500 - PURPLE</t>
  </si>
  <si>
    <t>Action Sports|Fashion Lifestyle|Monobrand|Sports Inspired</t>
  </si>
  <si>
    <t>VN000E9XIVG1006</t>
  </si>
  <si>
    <t>Knu Skool</t>
  </si>
  <si>
    <t>Ivy Green</t>
  </si>
  <si>
    <t>VN000E9XIVG1M  100</t>
  </si>
  <si>
    <t>VN WOMENS FOOTWEAR</t>
  </si>
  <si>
    <t>VN WOMENS ICONS FTW</t>
  </si>
  <si>
    <t>SMU</t>
  </si>
  <si>
    <t>VN000E9XIVG1006 - Knu Skool Ivy Green, 10, Medium</t>
  </si>
  <si>
    <t>6039 - VN WM SHOES LOW</t>
  </si>
  <si>
    <t>300 - GREEN</t>
  </si>
  <si>
    <t>Courir</t>
  </si>
  <si>
    <t>Fashion Lifestyle, Sports Inspired</t>
  </si>
  <si>
    <t>VN000Q1KBFM1001</t>
  </si>
  <si>
    <t>Hovley Beanie</t>
  </si>
  <si>
    <t>Black/Flame</t>
  </si>
  <si>
    <t>VN000Q1KBFM1.  OS</t>
  </si>
  <si>
    <t>VN KIDS ACCESSORIES</t>
  </si>
  <si>
    <t>VN KIDS HEADWEAR</t>
  </si>
  <si>
    <t>VN000Q1KBFM1001 - Hovley Beanie Black/Flame, One Size</t>
  </si>
  <si>
    <t>105 - ACC_Headwear</t>
  </si>
  <si>
    <t>6102 - VN KD HEADWEAR</t>
  </si>
  <si>
    <t>ID - Indonesia</t>
  </si>
  <si>
    <t>Shell: 95% acrylic 4% polymide 1% elastane Lining: 95% acrylic 4% polymide 1% elastane, EOD</t>
  </si>
  <si>
    <t>VN000E9XIVG1008</t>
  </si>
  <si>
    <t>VN000E9XIVG1M  090</t>
  </si>
  <si>
    <t>VN000E9XIVG1008 - Knu Skool Ivy Green, 9, Medium</t>
  </si>
  <si>
    <t>VN000R32BFM1002</t>
  </si>
  <si>
    <t>Ticker Crew</t>
  </si>
  <si>
    <t>VN000R32BFM1.  XXS</t>
  </si>
  <si>
    <t>XXS</t>
  </si>
  <si>
    <t>VN KIDS SOCKS</t>
  </si>
  <si>
    <t>VN000R32BFM1002 - Ticker Crew Black/Flame, XX Small</t>
  </si>
  <si>
    <t>110 - ACC_Socks</t>
  </si>
  <si>
    <t>6105 - VN KD SOCKS</t>
  </si>
  <si>
    <t>CN - China</t>
  </si>
  <si>
    <t>64%Cotton 27%Polyester 4%Nylon 3%Elastodiene 2%Elastane</t>
  </si>
  <si>
    <t>VN000Q92EMW1002</t>
  </si>
  <si>
    <t>Vans Drop V Crew</t>
  </si>
  <si>
    <t>Gray Olive</t>
  </si>
  <si>
    <t>VN000Q92EMW1.  XXS</t>
  </si>
  <si>
    <t>VN000Q92EMW1002 - Vans Drop V Crew Gray Olive, XX Small</t>
  </si>
  <si>
    <t>58%Cotton 28%Polyester 9%Nylon 3%Elastodiene 2%Elastane</t>
  </si>
  <si>
    <t>VN000R32BFM1001</t>
  </si>
  <si>
    <t>VN000R32BFM1.  XS</t>
  </si>
  <si>
    <t>XS</t>
  </si>
  <si>
    <t>VN000R32BFM1001 - Ticker Crew Black/Flame, X Small</t>
  </si>
  <si>
    <t>VN0A38G1PHN1001</t>
  </si>
  <si>
    <t>(FLAME)BLACK/BLACK/TR WHT</t>
  </si>
  <si>
    <t>VN0A38G1PHN1M  035</t>
  </si>
  <si>
    <t>FLAME</t>
  </si>
  <si>
    <t>VN MENS FOOTWEAR</t>
  </si>
  <si>
    <t>VN MENS ICONS FTW</t>
  </si>
  <si>
    <t>F02024</t>
  </si>
  <si>
    <t>VN0A38G1PHN1001 - Old Skool PRNT FLME BLKWH, 3.5, Medium</t>
  </si>
  <si>
    <t>6001 - VN MN SHOES LOW</t>
  </si>
  <si>
    <t>PH - Philippines</t>
  </si>
  <si>
    <t>Action Sports, Fashion Lifestyle, Monobrand, Sports Inspired</t>
  </si>
  <si>
    <t>VN000R10WHT1002</t>
  </si>
  <si>
    <t>Vans Classic Half Crew</t>
  </si>
  <si>
    <t>White</t>
  </si>
  <si>
    <t>VN000R10WHT1.  M</t>
  </si>
  <si>
    <t>M</t>
  </si>
  <si>
    <t>VN UNISEX SOCKS</t>
  </si>
  <si>
    <t>VN000R10WHT1002 - Vans Classic Half Crew White, Medium</t>
  </si>
  <si>
    <t>6143 - VN UX SOCKS</t>
  </si>
  <si>
    <t>70%Cotton 24%Polyester 2%Nylon 2%Elastodiene 2%Elastane</t>
  </si>
  <si>
    <t>100 - WHITE</t>
  </si>
  <si>
    <t>VN000QB8BLK1002</t>
  </si>
  <si>
    <t>Stowers Crew</t>
  </si>
  <si>
    <t>VN000QB8BLK1.  L</t>
  </si>
  <si>
    <t>L</t>
  </si>
  <si>
    <t>VN000QB8BLK1002 - Stowers Crew Black, Large</t>
  </si>
  <si>
    <t>72%Cotton 13%Polyester 9%Nylon 4%Elastodiene 2%Elastane</t>
  </si>
  <si>
    <t>VN000UFHBYP1001</t>
  </si>
  <si>
    <t>FUDGE</t>
  </si>
  <si>
    <t>VN000UFHBYP1.  OS</t>
  </si>
  <si>
    <t>VN000UFHBYP1001 - WM VANS LANYARD FUDGE, One Size</t>
  </si>
  <si>
    <t>200 - BROWN</t>
  </si>
  <si>
    <t>VN000QCFEN61001</t>
  </si>
  <si>
    <t>Off The Wall Twofer Glo</t>
  </si>
  <si>
    <t>Pine Forest</t>
  </si>
  <si>
    <t>VN000QCFEN61.  OS</t>
  </si>
  <si>
    <t>VN UNISEX COLD WEATHER ACCESSORIES</t>
  </si>
  <si>
    <t>VN000QCFEN61001 - Off The Wall Twofer Glo Pine F, One Size</t>
  </si>
  <si>
    <t>104 - ACC_Hand and Arm Wear</t>
  </si>
  <si>
    <t>6139 - VN UX GLOVES</t>
  </si>
  <si>
    <t>69% ACRYLIC,27%POLYESTER,4%SPANDEX</t>
  </si>
  <si>
    <t>VN000Y5XBLK1001</t>
  </si>
  <si>
    <t>Vans Laces 45"</t>
  </si>
  <si>
    <t>VN000Y5XBLK1.  OS</t>
  </si>
  <si>
    <t>MN - Mens</t>
  </si>
  <si>
    <t>VN000Y5XBLK1001 - Vans Laces 45" Black, One Size</t>
  </si>
  <si>
    <t>100% polyester</t>
  </si>
  <si>
    <t>VN000ECUB5P1006</t>
  </si>
  <si>
    <t>Black/Purple</t>
  </si>
  <si>
    <t>VN000ECUB5P1M  060</t>
  </si>
  <si>
    <t>VN BIG KIDS FOOTWEAR</t>
  </si>
  <si>
    <t>VN BIG KIDS ICONS FTW</t>
  </si>
  <si>
    <t>JN - Junior</t>
  </si>
  <si>
    <t>VN000ECUB5P1006 - Old Skool KPDH BLKPL, 6, Medium</t>
  </si>
  <si>
    <t>Textile</t>
  </si>
  <si>
    <t>VN000Y5WBLK1001</t>
  </si>
  <si>
    <t>Vans Laces 28"</t>
  </si>
  <si>
    <t>VN000Y5WBLK1.  OS</t>
  </si>
  <si>
    <t>VN000Y5WBLK1001 - Vans Laces 28" Black, One Size</t>
  </si>
  <si>
    <t>VN000XZYWHT1001</t>
  </si>
  <si>
    <t>Vans Laces 36"</t>
  </si>
  <si>
    <t>VN000XZYWHT1.  OS</t>
  </si>
  <si>
    <t>VN000XZYWHT1001 - Vans Laces 36" White, One Size</t>
  </si>
  <si>
    <t>VN000Y5WWHT1001</t>
  </si>
  <si>
    <t>VN000Y5WWHT1.  OS</t>
  </si>
  <si>
    <t>VN000Y5WWHT1001 - Vans Laces 28" White, One Size</t>
  </si>
  <si>
    <t>VN0007BHDAJ1001</t>
  </si>
  <si>
    <t>TICKER SOCK</t>
  </si>
  <si>
    <t>BLACK/LAVENDER MIST</t>
  </si>
  <si>
    <t>VN0007BHDAJ1.  016</t>
  </si>
  <si>
    <t>VN0007BHDAJ1001 - TICKER SOCK Black/Lavender, 1-6</t>
  </si>
  <si>
    <t>57% Cotton 40% Nylon 3% Elastane</t>
  </si>
  <si>
    <t>VN0A5FJXBLK1010</t>
  </si>
  <si>
    <t>AUTHENTIC CHINO RELAXED</t>
  </si>
  <si>
    <t>VN0A5FJXBLK1REG28</t>
  </si>
  <si>
    <t>VN MENS APPAREL</t>
  </si>
  <si>
    <t>VN MENS BOTTOMS</t>
  </si>
  <si>
    <t>VN0A5FJXBLK1010 - AUTHENTIC CHINO RELAXED Bla, 28, Regular</t>
  </si>
  <si>
    <t>113 - APP_Bottom</t>
  </si>
  <si>
    <t>6017 - VN MN SHORTS</t>
  </si>
  <si>
    <t>BD - Bangladesh</t>
  </si>
  <si>
    <t>64% COTTON 34% POLYESTER 2% SPANDEX</t>
  </si>
  <si>
    <t>VN000D3YFS81004</t>
  </si>
  <si>
    <t>Old Skool V</t>
  </si>
  <si>
    <t>marshmallow</t>
  </si>
  <si>
    <t>VN000D3YFS81M  085</t>
  </si>
  <si>
    <t>VINTAGE FLORAL</t>
  </si>
  <si>
    <t>VN TODDLERS FOOTWEAR</t>
  </si>
  <si>
    <t>VN TODDLERS ICONS FTW</t>
  </si>
  <si>
    <t>TD - Toddler</t>
  </si>
  <si>
    <t>VN000D3YFS81004 - Old Skool V VTFL MSHML, 8.5, Medium</t>
  </si>
  <si>
    <t>Sports Inspired, Fashion Lifestyle</t>
  </si>
  <si>
    <t>VN0A38G1PHN1002</t>
  </si>
  <si>
    <t>VN0A38G1PHN1M  040</t>
  </si>
  <si>
    <t>VN0A38G1PHN1002 - Old Skool PRNT FLME BLKWH, 4, Medium</t>
  </si>
  <si>
    <t>VN000D8NBKA1006</t>
  </si>
  <si>
    <t>Hylane</t>
  </si>
  <si>
    <t>Black/Black</t>
  </si>
  <si>
    <t>VN000D8NBKA1M  100</t>
  </si>
  <si>
    <t>BALLISTIC</t>
  </si>
  <si>
    <t>VN MENS LIFESTYLE FTW</t>
  </si>
  <si>
    <t>VN000D8NBKA1006 - Hylane BLST BLACK, 10, Medium</t>
  </si>
  <si>
    <t>VN000D75BOP1006</t>
  </si>
  <si>
    <t>RACING RED/MARSHMALLOW</t>
  </si>
  <si>
    <t>VN000D75BOP1M  095</t>
  </si>
  <si>
    <t>OMU</t>
  </si>
  <si>
    <t>VN000D75BOP1006 - Knu Skool RACING RED/MARS, 9.5, Medium</t>
  </si>
  <si>
    <t>600 - RED</t>
  </si>
  <si>
    <t>Fashion Lifestyle, Monobrand, Sports Inspired</t>
  </si>
  <si>
    <t>Open Make-Up</t>
  </si>
  <si>
    <t>VN000XUJB9P1019</t>
  </si>
  <si>
    <t>Old Skool Creeper</t>
  </si>
  <si>
    <t>Black/Pink</t>
  </si>
  <si>
    <t>VN000XUJB9P1M  080</t>
  </si>
  <si>
    <t>PONY HAIR</t>
  </si>
  <si>
    <t>VN000XUJB9P1019 - Old Skool Creeper PNHR BLKPK, 8, Medium</t>
  </si>
  <si>
    <t>VN0A5HF8BLK1019</t>
  </si>
  <si>
    <t>Slip-On TRK</t>
  </si>
  <si>
    <t>VN0A5HF8BLK1M  050</t>
  </si>
  <si>
    <t>S02024</t>
  </si>
  <si>
    <t>VN0A5HF8BLK1019 - Slip-On TRK Black, 5, Medium</t>
  </si>
  <si>
    <t>122 - FTW_Sandal</t>
  </si>
  <si>
    <t>6007 - VN MN SANDALS SLIDE</t>
  </si>
  <si>
    <t>Synthetic</t>
  </si>
  <si>
    <t>VN000R32ENA1002</t>
  </si>
  <si>
    <t>Tranquil Blue</t>
  </si>
  <si>
    <t>VN000R32ENA1.  XXS</t>
  </si>
  <si>
    <t>VN000R32ENA1002 - Ticker Crew Tranquil Blue, XX Small</t>
  </si>
  <si>
    <t>70%Cotton 14%Nylon 10%Polyester 5%Elastodiene 1%Elastane</t>
  </si>
  <si>
    <t>400 - BLUE</t>
  </si>
  <si>
    <t>VN000RW9BLK1003</t>
  </si>
  <si>
    <t>MTE Crosspath Seamless</t>
  </si>
  <si>
    <t>VN000RW9BLK1.  XSS</t>
  </si>
  <si>
    <t>XSS</t>
  </si>
  <si>
    <t>VN WOMENS APPAREL</t>
  </si>
  <si>
    <t>VN WOMENS BOTTOMS</t>
  </si>
  <si>
    <t>VN000RW9BLK1003 - MTE Crosspath Seamless Bl, X Small/Small</t>
  </si>
  <si>
    <t>6055 - VN WM SHORTS</t>
  </si>
  <si>
    <t>96%nylon 4%spandex</t>
  </si>
  <si>
    <t>VN000R32EN71002</t>
  </si>
  <si>
    <t>Pink Dawn</t>
  </si>
  <si>
    <t>VN000R32EN71.  XXS</t>
  </si>
  <si>
    <t>VN000R32EN71002 - Ticker Crew Pink Dawn, XX Small</t>
  </si>
  <si>
    <t>54%Cotton 28%Polyester 12%Nylon 4%Elastodiene 2%Elastane</t>
  </si>
  <si>
    <t>650 - PINK</t>
  </si>
  <si>
    <t>VN000E9XIVG1003</t>
  </si>
  <si>
    <t>VN000E9XIVG1M  115</t>
  </si>
  <si>
    <t>VN000E9XIVG1003 - Knu Skool Ivy Green, 11.5, Medium</t>
  </si>
  <si>
    <t>VN000QBGWHT1001</t>
  </si>
  <si>
    <t>Classic Script Crew</t>
  </si>
  <si>
    <t>VN000QBGWHT1.  L</t>
  </si>
  <si>
    <t>VN000QBGWHT1001 - Classic Script Crew White, Large</t>
  </si>
  <si>
    <t>69%Cotton 26%Polyester 3%Elastodiene 2%Elastane</t>
  </si>
  <si>
    <t>VN000V68Y611006</t>
  </si>
  <si>
    <t>SK8-Hi</t>
  </si>
  <si>
    <t>Black/Blue</t>
  </si>
  <si>
    <t>VN000V68Y611M  060</t>
  </si>
  <si>
    <t>VN000V68Y611006 - SK8-Hi KPDH BLKBU, 6, Medium</t>
  </si>
  <si>
    <t>6078 - VN KD SHOES MID</t>
  </si>
  <si>
    <t>VN000Q94BLK1001</t>
  </si>
  <si>
    <t>Classic Script Half Cre</t>
  </si>
  <si>
    <t>VN000Q94BLK1.  XS</t>
  </si>
  <si>
    <t>VN000Q94BLK1001 - Classic Script Half Cre Black, X Small</t>
  </si>
  <si>
    <t>73%Cotton 23%Polyester 2%Elastodiene 2%Elastane</t>
  </si>
  <si>
    <t>VN000Q94BLK1002</t>
  </si>
  <si>
    <t>VN000Q94BLK1.  XXS</t>
  </si>
  <si>
    <t>VN000Q94BLK1002 - Classic Script Half Cre Black, XX Small</t>
  </si>
  <si>
    <t>VN000ECUB5P1005</t>
  </si>
  <si>
    <t>VN000ECUB5P1M  055</t>
  </si>
  <si>
    <t>VN000ECUB5P1005 - Old Skool KPDH BLKPL, 5.5, Medium</t>
  </si>
  <si>
    <t>VN000V68Y611005</t>
  </si>
  <si>
    <t>VN000V68Y611M  055</t>
  </si>
  <si>
    <t>VN000V68Y611005 - SK8-Hi KPDH BLKBU, 5.5, Medium</t>
  </si>
  <si>
    <t>VN000V68Y611002</t>
  </si>
  <si>
    <t>VN000V68Y611M  040</t>
  </si>
  <si>
    <t>VN000V68Y611002 - SK8-Hi KPDH BLKBU, 4, Medium</t>
  </si>
  <si>
    <t>VN000QBM7UG1003</t>
  </si>
  <si>
    <t>Plaimor Crew</t>
  </si>
  <si>
    <t>Dachshund</t>
  </si>
  <si>
    <t>VN000QBM7UG1.  L</t>
  </si>
  <si>
    <t>VN000QBM7UG1003 - Plaimor Crew Dchshnd, Large</t>
  </si>
  <si>
    <t>82%Nylon 15%Polyester 2%Elastodiene 1%Elastane</t>
  </si>
  <si>
    <t>VN0A5FCCB9M1009</t>
  </si>
  <si>
    <t>Skate SK8-Hi</t>
  </si>
  <si>
    <t>Black/Gum</t>
  </si>
  <si>
    <t>VN0A5FCCB9M1M  035</t>
  </si>
  <si>
    <t>VN MENS SPORTS FTW</t>
  </si>
  <si>
    <t>VN0A5FCCB9M1009 - Skate SK8-Hi Black/Gum, 3.5, Medium</t>
  </si>
  <si>
    <t>6002 - VN MN SHOES MID</t>
  </si>
  <si>
    <t>Action Sports, Monobrand</t>
  </si>
  <si>
    <t>VN0A5GPLQID1001</t>
  </si>
  <si>
    <t>WM Cuff Beanie-B</t>
  </si>
  <si>
    <t>FADED ROSE</t>
  </si>
  <si>
    <t>VN0A5GPLQID1.  OS</t>
  </si>
  <si>
    <t>VN UNISEX HEADWEAR</t>
  </si>
  <si>
    <t>MFO</t>
  </si>
  <si>
    <t>VN0A5GPLQID1001 - WM Cuff Beanie-B FADED ROSE, One Size</t>
  </si>
  <si>
    <t>6140 - VN UX HEADWEAR</t>
  </si>
  <si>
    <t>100% Acrylic EOD</t>
  </si>
  <si>
    <t>Outlet</t>
  </si>
  <si>
    <t>MADE FOR OUTLET</t>
  </si>
  <si>
    <t>VN000HZBYEH1018</t>
  </si>
  <si>
    <t>Authentic Chino Relaxed</t>
  </si>
  <si>
    <t>DESERT TAUPE</t>
  </si>
  <si>
    <t>VN000HZBYEH130 29</t>
  </si>
  <si>
    <t>VN000HZBYEH1018 - Authentic Chino Relaxed DESERT T, 29, 30</t>
  </si>
  <si>
    <t>6016 - VN MN PANTS</t>
  </si>
  <si>
    <t>62% Polyester, 36% Cotton, 2% Elastane,</t>
  </si>
  <si>
    <t>VN000QBPWHT1001</t>
  </si>
  <si>
    <t>Lettuce Have It Half Cr</t>
  </si>
  <si>
    <t>VN000QBPWHT1.  L</t>
  </si>
  <si>
    <t>VN000QBPWHT1001 - Lettuce Have It Half Cr White, Large</t>
  </si>
  <si>
    <t>83%Cotton 14%Polyester 2%Nylon 1%Elastane</t>
  </si>
  <si>
    <t>VN000KI51861007</t>
  </si>
  <si>
    <t>Atwood</t>
  </si>
  <si>
    <t>(Canvas) Black/Black</t>
  </si>
  <si>
    <t>VN000KI51861M  040</t>
  </si>
  <si>
    <t>CANVAS</t>
  </si>
  <si>
    <t>YT - Youth</t>
  </si>
  <si>
    <t>VN000KI51861007 - Atwood CNVS BLACK, 4, Medium</t>
  </si>
  <si>
    <t>Canvas</t>
  </si>
  <si>
    <t>Action Sports, Fashion Lifestyle, Sports Inspired</t>
  </si>
  <si>
    <t>VN0A5FCCB9M1011</t>
  </si>
  <si>
    <t>VN0A5FCCB9M1M  040</t>
  </si>
  <si>
    <t>VN0A5FCCB9M1011 - Skate SK8-Hi Black/Gum, 4, Medium</t>
  </si>
  <si>
    <t>VN000QBGBLK1001</t>
  </si>
  <si>
    <t>VN000QBGBLK1.  L</t>
  </si>
  <si>
    <t>VN000QBGBLK1001 - Classic Script Crew Black, Large</t>
  </si>
  <si>
    <t>VN000V68B5P1006</t>
  </si>
  <si>
    <t>VN000V68B5P1M  060</t>
  </si>
  <si>
    <t>VN000V68B5P1006 - SK8-Hi KPDH BLKPL, 6, Medium</t>
  </si>
  <si>
    <t>VN000J4Y7WM1001</t>
  </si>
  <si>
    <t>Most Fun Tall Cuff Bean</t>
  </si>
  <si>
    <t>True Blue</t>
  </si>
  <si>
    <t>VN000J4Y7WM1.  OS</t>
  </si>
  <si>
    <t>VN000J4Y7WM1001 - Most Fun Tall Cuff Bean TrBl, One Size</t>
  </si>
  <si>
    <t>100% Acrylic, EOD</t>
  </si>
  <si>
    <t>VN000HZBYEH1019</t>
  </si>
  <si>
    <t>VN000HZBYEH130 28</t>
  </si>
  <si>
    <t>VN000HZBYEH1019 - Authentic Chino Relaxed DESERT T, 28, 30</t>
  </si>
  <si>
    <t>VN000V68Y611001</t>
  </si>
  <si>
    <t>VN000V68Y611M  045</t>
  </si>
  <si>
    <t>VN000V68Y611001 - SK8-Hi KPDH BLKBU, 4.5, Medium</t>
  </si>
  <si>
    <t>VN000QB8BLK1003</t>
  </si>
  <si>
    <t>VN000QB8BLK1.  M</t>
  </si>
  <si>
    <t>VN000QB8BLK1003 - Stowers Crew Black, Medium</t>
  </si>
  <si>
    <t>VN000QB8BLK1001</t>
  </si>
  <si>
    <t>VN000QB8BLK1.  S</t>
  </si>
  <si>
    <t>S</t>
  </si>
  <si>
    <t>VN000QB8BLK1001 - Stowers Crew Black, Small</t>
  </si>
  <si>
    <t>VN000QCGWHT1001</t>
  </si>
  <si>
    <t>Off The Wall Scarf</t>
  </si>
  <si>
    <t>VN000QCGWHT1.  OS</t>
  </si>
  <si>
    <t>VN000QCGWHT1001 - Off The Wall Scarf White, One Size</t>
  </si>
  <si>
    <t>132 - ACC_Neckwear</t>
  </si>
  <si>
    <t>6141 - VN UX NECKWEAR</t>
  </si>
  <si>
    <t>YARN 1: 100%ACRYLIC; YARN 2:  100%METALLIC</t>
  </si>
  <si>
    <t>VN000D75Y281018</t>
  </si>
  <si>
    <t>VN000D75Y281M  055</t>
  </si>
  <si>
    <t>RHINESTONE</t>
  </si>
  <si>
    <t>VN000D75Y281018 - Knu Skool RHIN BLKWH, 5.5, Medium</t>
  </si>
  <si>
    <t>VN000RG4BLK1003</t>
  </si>
  <si>
    <t>EVOLVE SS</t>
  </si>
  <si>
    <t>VN000RG4BLK1.  M</t>
  </si>
  <si>
    <t>VN MENS TOPS</t>
  </si>
  <si>
    <t>VN000RG4BLK1003 - EVOLVE SS Black, Medium</t>
  </si>
  <si>
    <t>6014 - VN MN T-SHIRTS</t>
  </si>
  <si>
    <t>GE - Georgia</t>
  </si>
  <si>
    <t>100% COTTON</t>
  </si>
  <si>
    <t>VN000XUJB9P1010</t>
  </si>
  <si>
    <t>VN000XUJB9P1M  070</t>
  </si>
  <si>
    <t>VN000XUJB9P1010 - Old Skool Creeper PNHR BLKPK, 7, Medium</t>
  </si>
  <si>
    <t>VN000XZYBLK1001</t>
  </si>
  <si>
    <t>VN000XZYBLK1.  OS</t>
  </si>
  <si>
    <t>VN000XZYBLK1001 - Vans Laces 36" Black, One Size</t>
  </si>
  <si>
    <t>VN000RD4WHT1006</t>
  </si>
  <si>
    <t>STOMPER LOOSE FIT SS TE</t>
  </si>
  <si>
    <t>VN000RD4WHT1.  M</t>
  </si>
  <si>
    <t>VN000RD4WHT1006 - STOMPER LOOSE FIT SS TE White, Medium</t>
  </si>
  <si>
    <t>VN000XZYM741001</t>
  </si>
  <si>
    <t>Black White Checkerboard</t>
  </si>
  <si>
    <t>VN000XZYM741.  OS</t>
  </si>
  <si>
    <t>VN000XZYM741001 - Vans Laces 36" Black White Che, One Size</t>
  </si>
  <si>
    <t>VN000MNNBLK1001</t>
  </si>
  <si>
    <t>Daily Backpack</t>
  </si>
  <si>
    <t>VN000MNNBLK1.  OS</t>
  </si>
  <si>
    <t>VN BAGS AND LUGGAGE</t>
  </si>
  <si>
    <t>VN UNISEX BAGS AND LUGGAGE</t>
  </si>
  <si>
    <t>VN UNISEX BACKPACKS</t>
  </si>
  <si>
    <t>VN000MNNBLK1001 - Daily Backpack Black, One Size</t>
  </si>
  <si>
    <t>B&amp;L - Bags &amp; Luggage</t>
  </si>
  <si>
    <t>538 - Unisex Bags and Backpacks</t>
  </si>
  <si>
    <t>6144 - VN UX BACKPACKS</t>
  </si>
  <si>
    <t>SHELL:100% NYLON, POLYURETHANE COATING; LINING: 100% POLYESTER, POLYURETHANE COATING,  EOD</t>
  </si>
  <si>
    <t>VN000Q1GHTG1001</t>
  </si>
  <si>
    <t>Core Basic Cuff Beanie</t>
  </si>
  <si>
    <t>Heather Grey</t>
  </si>
  <si>
    <t>VN000Q1GHTG1.  OS</t>
  </si>
  <si>
    <t>VN000Q1GHTG1001 - Core Basic Cuff Beanie Heather, One Size</t>
  </si>
  <si>
    <t>Shell:100%acrylic  Lining:100%acrylic, EOD</t>
  </si>
  <si>
    <t>020 - GREY</t>
  </si>
  <si>
    <t>VN000QBKYLZ1001</t>
  </si>
  <si>
    <t>Peek-A-Check Half Crew</t>
  </si>
  <si>
    <t>RASPBERRY ROSE</t>
  </si>
  <si>
    <t>VN000QBKYLZ1.  L</t>
  </si>
  <si>
    <t>VN000QBKYLZ1001 - Peek-A-Check Half Crew RASPBERRY, Large</t>
  </si>
  <si>
    <t>75%Cotton 15%Polyester 8%Nylon 2%Elastane</t>
  </si>
  <si>
    <t>VN0A5HVCJBW1010</t>
  </si>
  <si>
    <t>Ward</t>
  </si>
  <si>
    <t>MULTI/WHITE</t>
  </si>
  <si>
    <t>VN0A5HVCJBW1M  065</t>
  </si>
  <si>
    <t>CHROMA BLUR</t>
  </si>
  <si>
    <t>S02023</t>
  </si>
  <si>
    <t>VN0A5HVCJBW1010 - Ward CHRO WHITE, 6.5, Medium</t>
  </si>
  <si>
    <t>VN000Q1XBLK1001</t>
  </si>
  <si>
    <t>Classic Kick</t>
  </si>
  <si>
    <t>VN000Q1XBLK1.  024</t>
  </si>
  <si>
    <t>VN TODDLERS ACCESSORIES</t>
  </si>
  <si>
    <t>VN TODDLERS SOCKS</t>
  </si>
  <si>
    <t>IT - Infant/Toddler</t>
  </si>
  <si>
    <t>VN000Q1XBLK1001 - Classic Kick Black, 2-4T</t>
  </si>
  <si>
    <t>88%Cotton 11%Nylon 1%Elastane</t>
  </si>
  <si>
    <t>VN000R32EN71001</t>
  </si>
  <si>
    <t>VN000R32EN71.  XS</t>
  </si>
  <si>
    <t>VN000R32EN71001 - Ticker Crew Pink Dawn, X Small</t>
  </si>
  <si>
    <t>VN000QBWEN71003</t>
  </si>
  <si>
    <t>Classic Half Crew</t>
  </si>
  <si>
    <t>VN000QBWEN71.  XL</t>
  </si>
  <si>
    <t>VN000QBWEN71003 - Classic Half Crew Pink Dawn, X Large</t>
  </si>
  <si>
    <t>71%Cotton 23%Polyester 2%Nylon 2%Elastodiene 2%Elastane</t>
  </si>
  <si>
    <t>VN000D8NBKA1012</t>
  </si>
  <si>
    <t>VN000D8NBKA1M  080</t>
  </si>
  <si>
    <t>VN000D8NBKA1012 - Hylane BLST BLACK, 8, Medium</t>
  </si>
  <si>
    <t>VN000QCEBLK1002</t>
  </si>
  <si>
    <t>Circle Bones Gloves</t>
  </si>
  <si>
    <t>VN000QCEBLK1.  LXL</t>
  </si>
  <si>
    <t>LXL</t>
  </si>
  <si>
    <t>VN000QCEBLK1002 - Circle Bones Gloves Black, Large/X Large</t>
  </si>
  <si>
    <t>100%POLYESTER</t>
  </si>
  <si>
    <t>VN000M4CBR11002</t>
  </si>
  <si>
    <t>Major Type SS</t>
  </si>
  <si>
    <t>FAIRWAY</t>
  </si>
  <si>
    <t>VN000M4CBR11.  S</t>
  </si>
  <si>
    <t>VN000M4CBR11002 - Major Type SS FAIRWAY, Small</t>
  </si>
  <si>
    <t>MK - NorthMacedonia</t>
  </si>
  <si>
    <t>Selected VALUE accounts included</t>
  </si>
  <si>
    <t>VN000EA7HFV1012</t>
  </si>
  <si>
    <t>Rowley Classic</t>
  </si>
  <si>
    <t>PEYOTE/TRUE WHITE</t>
  </si>
  <si>
    <t>VN000EA7HFV1M  130</t>
  </si>
  <si>
    <t>VN000EA7HFV1012 - Rowley Classic PEYOTE/TRUE W, 13, Medium</t>
  </si>
  <si>
    <t>VN000R32ENA1001</t>
  </si>
  <si>
    <t>VN000R32ENA1.  XS</t>
  </si>
  <si>
    <t>VN000R32ENA1001 - Ticker Crew Tranquil Blue, X Small</t>
  </si>
  <si>
    <t>VN0A5FJXDZ91010</t>
  </si>
  <si>
    <t>Dirt</t>
  </si>
  <si>
    <t>VN0A5FJXDZ91REG28</t>
  </si>
  <si>
    <t>VN0A5FJXDZ91010 - AUTHENTIC CHINO RELAXED Dir, 28, Regular</t>
  </si>
  <si>
    <t>VN000EZ5WHT1001</t>
  </si>
  <si>
    <t>VANS CLASSIC KICK SOCK</t>
  </si>
  <si>
    <t>VN000EZ5WHT1.  101</t>
  </si>
  <si>
    <t>VN000EZ5WHT1001 - VANS CLASSIC KICK SOCK ROX WHIT, 10-13.5</t>
  </si>
  <si>
    <t>36 and Smaller</t>
  </si>
  <si>
    <t>73%Cotton, 23%Polyester, 2%Polyamide, 2%Elastane</t>
  </si>
  <si>
    <t>VN000K9YBHH1001</t>
  </si>
  <si>
    <t>Core Basics Beanie</t>
  </si>
  <si>
    <t>Black Heather</t>
  </si>
  <si>
    <t>VN000K9YBHH1.  OS</t>
  </si>
  <si>
    <t>VN000K9YBHH1001 - Core Basics Beanie Black Heath, One Size</t>
  </si>
  <si>
    <t>SHELL: 100% ACRYLIC, LINING: 100% ACRYLIC  EOD</t>
  </si>
  <si>
    <t>VN000D1JPRP1019</t>
  </si>
  <si>
    <t>Purple</t>
  </si>
  <si>
    <t>VN000D1JPRP1M  040</t>
  </si>
  <si>
    <t>POP</t>
  </si>
  <si>
    <t>VN WOMENS LIFESTYLE FTW</t>
  </si>
  <si>
    <t>VN000D1JPRP1019 - Hylane POP DPRPL, 4, Medium</t>
  </si>
  <si>
    <t>VN0A38G1PHN1004</t>
  </si>
  <si>
    <t>VN0A38G1PHN1M  050</t>
  </si>
  <si>
    <t>VN0A38G1PHN1004 - Old Skool PRNT FLME BLKWH, 5, Medium</t>
  </si>
  <si>
    <t>VN0001TTWHT1001</t>
  </si>
  <si>
    <t>Vans Laces 54"</t>
  </si>
  <si>
    <t>VN0001TTWHT1.  OS</t>
  </si>
  <si>
    <t>VN0001TTWHT1001 - Vans Laces 54" White, One Size</t>
  </si>
  <si>
    <t>VN000Y5XHU01001</t>
  </si>
  <si>
    <t>Black/White Check</t>
  </si>
  <si>
    <t>VN000Y5XHU01.  OS</t>
  </si>
  <si>
    <t>VN000Y5XHU01001 - Vans Laces 45" Black/White Che, One Size</t>
  </si>
  <si>
    <t>VN000EZ5BLK1002</t>
  </si>
  <si>
    <t>VN000EZ5BLK1.  101</t>
  </si>
  <si>
    <t>VN000EZ5BLK1002 - VANS CLASSIC KICK SOCK ROX BLAC, 10-13.5</t>
  </si>
  <si>
    <t>VN000Y5XWHT1001</t>
  </si>
  <si>
    <t>VN000Y5XWHT1.  OS</t>
  </si>
  <si>
    <t>VN000Y5XWHT1001 - Vans Laces 45" White, One Size</t>
  </si>
  <si>
    <t>VN000D26EWR1008</t>
  </si>
  <si>
    <t>Gray/Gray</t>
  </si>
  <si>
    <t>VN000D26EWR1M  120</t>
  </si>
  <si>
    <t>RETRO SKATE</t>
  </si>
  <si>
    <t>VN000D26EWR1008 - Hylane RTSK GRYGR, 12, Medium</t>
  </si>
  <si>
    <t>VN0008KUBML1005</t>
  </si>
  <si>
    <t>PRIMARY PRINT ELASTIC B</t>
  </si>
  <si>
    <t>Black/Multi</t>
  </si>
  <si>
    <t>VN0008KUBML1REGM</t>
  </si>
  <si>
    <t>VN MENS SWIMWEAR</t>
  </si>
  <si>
    <t>VN0008KUBML1005 - PRIMARY PRINT ELASTIC B, Medium, Regular</t>
  </si>
  <si>
    <t>135 - APP_Swimwear</t>
  </si>
  <si>
    <t>6019 - VN MN SWIMWEAR</t>
  </si>
  <si>
    <t>100% Recycled Poly Suede</t>
  </si>
  <si>
    <t>VN000HZBYEH1024</t>
  </si>
  <si>
    <t>VN000HZBYEH132 31</t>
  </si>
  <si>
    <t>VN000HZBYEH1024 - Authentic Chino Relaxed DESERT T, 31, 32</t>
  </si>
  <si>
    <t>VN000R99BLK1001</t>
  </si>
  <si>
    <t>RAW INSTINCT SCARF</t>
  </si>
  <si>
    <t>VN000R99BLK1.  OS</t>
  </si>
  <si>
    <t>VN000R99BLK1001 - RAW INSTINCT SCARF Black, One Size</t>
  </si>
  <si>
    <t>IT - Italy</t>
  </si>
  <si>
    <t>100% acrylic</t>
  </si>
  <si>
    <t>VN000IVFENA1004</t>
  </si>
  <si>
    <t>Vans Classic</t>
  </si>
  <si>
    <t>VN000IVFENA1.  L</t>
  </si>
  <si>
    <t>VN000IVFENA1004 - Vans Classic Tranquil Blue, Large</t>
  </si>
  <si>
    <t>VN000E9XTUP1019</t>
  </si>
  <si>
    <t>Taupe</t>
  </si>
  <si>
    <t>VN000E9XTUP1M  070</t>
  </si>
  <si>
    <t>STUDS</t>
  </si>
  <si>
    <t>VN000E9XTUP1019 - Knu Skool STUD DBEIG, 7, Medium</t>
  </si>
  <si>
    <t>250 - BEIGE</t>
  </si>
  <si>
    <t>VN0A5HF8BLK1012</t>
  </si>
  <si>
    <t>VN0A5HF8BLK1M  040</t>
  </si>
  <si>
    <t>VN0A5HF8BLK1012 - Slip-On TRK Black, 4, Medium</t>
  </si>
  <si>
    <t>VN000Q1TBLK1001</t>
  </si>
  <si>
    <t>Classic No Show</t>
  </si>
  <si>
    <t>VN000Q1TBLK1.  XS</t>
  </si>
  <si>
    <t>VN000Q1TBLK1001 - Classic No Show Black, X Small</t>
  </si>
  <si>
    <t>84%Cotton 12%Polyester 3%Nylon 1%Elastane</t>
  </si>
  <si>
    <t>VN000QB4BRD1001</t>
  </si>
  <si>
    <t>Bordeaux</t>
  </si>
  <si>
    <t>VN000QB4BRD1.  OS</t>
  </si>
  <si>
    <t>VN000QB4BRD1001 - Core Basic Cuff Beanie Bordeau, One Size</t>
  </si>
  <si>
    <t>Shell: 100%acrylic   Lining:100%acrylic, EOD</t>
  </si>
  <si>
    <t>VN000Y5XRNC1001</t>
  </si>
  <si>
    <t>Rainbow</t>
  </si>
  <si>
    <t>VN000Y5XRNC1.  OS</t>
  </si>
  <si>
    <t>VN000Y5XRNC1001 - Vans Laces 45" Rainbow, One Size</t>
  </si>
  <si>
    <t>900 - MISC</t>
  </si>
  <si>
    <t>VN000Q1XBLK1002</t>
  </si>
  <si>
    <t>VN000Q1XBLK1.  122</t>
  </si>
  <si>
    <t>VN000Q1XBLK1002 - Classic Kick Black, 12-24 Months</t>
  </si>
  <si>
    <t>12-24M</t>
  </si>
  <si>
    <t>VN000HZBYEH1016</t>
  </si>
  <si>
    <t>VN000HZBYEH132 30</t>
  </si>
  <si>
    <t>VN000HZBYEH1016 - Authentic Chino Relaxed DESERT T, 30, 32</t>
  </si>
  <si>
    <t>VN0A45NMGL41002</t>
  </si>
  <si>
    <t>Filmore Decon</t>
  </si>
  <si>
    <t>(SUEDE/CANVAS)BLACK/BLACK</t>
  </si>
  <si>
    <t>VN0A45NMGL41M  075</t>
  </si>
  <si>
    <t>VN0A45NMGL41002 - Filmore Decon (SUEDE/CANVAS, Medium, 7.5</t>
  </si>
  <si>
    <t>VN000JK5BLK1004</t>
  </si>
  <si>
    <t>SKELETON POSE LOOSE SS</t>
  </si>
  <si>
    <t>VN000JK5BLK1.  S</t>
  </si>
  <si>
    <t>VN000JK5BLK1004 - SKELETON POSE LOOSE SS Black, Small</t>
  </si>
  <si>
    <t>Ecommerce|Own Retail|Partnership Store</t>
  </si>
  <si>
    <t>In-Line - Regional</t>
  </si>
  <si>
    <t>VN000RATE301006</t>
  </si>
  <si>
    <t>BLOCKED BOX LOOSE CREW</t>
  </si>
  <si>
    <t>Lemon Icing</t>
  </si>
  <si>
    <t>VN000RATE301.  XXL</t>
  </si>
  <si>
    <t>XXL</t>
  </si>
  <si>
    <t>VN000RATE301006 - BLOCKED BOX LOOSE CREW Lemon I, XX Large</t>
  </si>
  <si>
    <t>6167 - VN MN SWTSHRT/PULOVR</t>
  </si>
  <si>
    <t>70% COTTON - 30% POLYESTER</t>
  </si>
  <si>
    <t>700 - YELLOW</t>
  </si>
  <si>
    <t>Own Retail|Ecommerce</t>
  </si>
  <si>
    <t>VN000D220VW1018</t>
  </si>
  <si>
    <t>Vintage White</t>
  </si>
  <si>
    <t>VN000D220VW1M  040</t>
  </si>
  <si>
    <t>Tri-Tone Block</t>
  </si>
  <si>
    <t>VN000D220VW1018 - Knu Skool TRIT WHITE, 4, Medium</t>
  </si>
  <si>
    <t>VN000D3YFS81011</t>
  </si>
  <si>
    <t>VN000D3YFS81M  050</t>
  </si>
  <si>
    <t>VN000D3YFS81011 - Old Skool V VTFL MSHML, 5, Medium</t>
  </si>
  <si>
    <t>VN000RD61O71001</t>
  </si>
  <si>
    <t>EARTHBOUND LOOSE FIT SS</t>
  </si>
  <si>
    <t>Asphalt</t>
  </si>
  <si>
    <t>VN000RD61O71.  M</t>
  </si>
  <si>
    <t>VN000RD61O71001 - EARTHBOUND LOOSE FIT SS Asphalt, Medium</t>
  </si>
  <si>
    <t>VN000CTG7VF1006</t>
  </si>
  <si>
    <t>Lunar Rock</t>
  </si>
  <si>
    <t>VN000CTG7VF1M  060</t>
  </si>
  <si>
    <t>Dazzled</t>
  </si>
  <si>
    <t>VN000CTG7VF1006 - Old Skool V DAZL DGREY, 6, Medium</t>
  </si>
  <si>
    <t>VN000KRSJ0Z1001</t>
  </si>
  <si>
    <t>Truly Truckt Trucker-B</t>
  </si>
  <si>
    <t>BLACK CHECKER</t>
  </si>
  <si>
    <t>VN000KRSJ0Z1.  OS</t>
  </si>
  <si>
    <t>VN000KRSJ0Z1001 - Truly Truckt Trucker-B BLACK C, One Size</t>
  </si>
  <si>
    <t>Shell: 100% Polyester Lining 100% Polyester EOD</t>
  </si>
  <si>
    <t>Amazon</t>
  </si>
  <si>
    <t>Fashion Lifestyle</t>
  </si>
  <si>
    <t>VN000QBGBLK1003</t>
  </si>
  <si>
    <t>VN000QBGBLK1.  S</t>
  </si>
  <si>
    <t>VN000QBGBLK1003 - Classic Script Crew Black, Small</t>
  </si>
  <si>
    <t>VN000RATE301005</t>
  </si>
  <si>
    <t>VN000RATE301.  XS</t>
  </si>
  <si>
    <t>VN000RATE301005 - BLOCKED BOX LOOSE CREW Lemon Ic, X Small</t>
  </si>
  <si>
    <t>VN0A5JHJTBN1014</t>
  </si>
  <si>
    <t>WM GROUND WORK PANT</t>
  </si>
  <si>
    <t>Tobacco Brown</t>
  </si>
  <si>
    <t>VN0A5JHJTBN1.  23</t>
  </si>
  <si>
    <t>VN0A5JHJTBN1014 - WM GROUND WORK PANT Tobacco Brown, 23</t>
  </si>
  <si>
    <t>6054 - VN WM PANTS</t>
  </si>
  <si>
    <t>100% Cotton</t>
  </si>
  <si>
    <t>VN000MNCD3X1001</t>
  </si>
  <si>
    <t>Willow Snapback</t>
  </si>
  <si>
    <t>CORAL BLUSH</t>
  </si>
  <si>
    <t>VN000MNCD3X1.  OS</t>
  </si>
  <si>
    <t>VN000MNCD3X1001 - Willow Snapback Coral Blush, One Size</t>
  </si>
  <si>
    <t>Shell: 100% Cotton Lining 100% Polyester EOD</t>
  </si>
  <si>
    <t>VN000Q1TBLK1002</t>
  </si>
  <si>
    <t>VN000Q1TBLK1.  XXS</t>
  </si>
  <si>
    <t>VN000Q1TBLK1002 - Classic No Show Black, XX Small</t>
  </si>
  <si>
    <t>VN000KI51861013</t>
  </si>
  <si>
    <t>VN000KI51861M  070</t>
  </si>
  <si>
    <t>VN000KI51861013 - Atwood CNVS BLACK, 7, Medium</t>
  </si>
  <si>
    <t>VN000M6ZZBF1006</t>
  </si>
  <si>
    <t>MTE Cascade Pant</t>
  </si>
  <si>
    <t>LODEN GREEN</t>
  </si>
  <si>
    <t>VN000M6ZZBF1.  S</t>
  </si>
  <si>
    <t>VN000M6ZZBF1006 - MTE Cascade Pant LODEN GREEN, Small</t>
  </si>
  <si>
    <t>65% Cotton, 35% Nylon</t>
  </si>
  <si>
    <t>VN000M8EBL21009</t>
  </si>
  <si>
    <t>MTE Daily Solid Sidelin</t>
  </si>
  <si>
    <t>HARVEST GOLD</t>
  </si>
  <si>
    <t>VN000M8EBL21REG32</t>
  </si>
  <si>
    <t>VN000M8EBL21009 - MTE Daily Solid Sidelin HAR, 32, Regular</t>
  </si>
  <si>
    <t>90% Polyester, 10% Elastane</t>
  </si>
  <si>
    <t>VN000CS02W01017</t>
  </si>
  <si>
    <t>Prism Pink/True White</t>
  </si>
  <si>
    <t>VN000CS02W01M  045</t>
  </si>
  <si>
    <t>VN000CS02W01017 - Knu Skool Prism Pnk/TrWht, 4.5, Medium</t>
  </si>
  <si>
    <t>VN0A5HZK9BY1012</t>
  </si>
  <si>
    <t>Filmore Hi VansGuard</t>
  </si>
  <si>
    <t>(SUEDE) BLACK/RED PLAID</t>
  </si>
  <si>
    <t>VN0A5HZK9BY1M  080</t>
  </si>
  <si>
    <t>VN0A5HZK9BY1012 - Filmore Hi VansGuard MTE BLAC, 8, Medium</t>
  </si>
  <si>
    <t>VN000HZBBLK1023</t>
  </si>
  <si>
    <t>VN000HZBBLK130 28</t>
  </si>
  <si>
    <t>VN000HZBBLK1023 - Authentic Chino Relaxed Black, 28, 30</t>
  </si>
  <si>
    <t>VN000Q35EMP1002</t>
  </si>
  <si>
    <t>Earthbound OS Crew</t>
  </si>
  <si>
    <t>Coal Brown</t>
  </si>
  <si>
    <t>VN000Q35EMP1.  S</t>
  </si>
  <si>
    <t>VN WOMENS TOPS</t>
  </si>
  <si>
    <t>VN000Q35EMP1002 - Earthbound OS Crew Coal Brown, Small</t>
  </si>
  <si>
    <t>6168 - VN WM SWTSHRT/PULOVR</t>
  </si>
  <si>
    <t>GT - Guatemala</t>
  </si>
  <si>
    <t>56% Cotton 44% Polyester</t>
  </si>
  <si>
    <t>VN000LC0PA91001</t>
  </si>
  <si>
    <t>Spicoli 4 Shades</t>
  </si>
  <si>
    <t>CHEETAH TORTOISE</t>
  </si>
  <si>
    <t>VN000LC0PA91.  OS</t>
  </si>
  <si>
    <t>VN000LC0PA91001 - Spicoli 4 Shades CHEETAH TORTO, One Size</t>
  </si>
  <si>
    <t>103 - ACC_Eyewear</t>
  </si>
  <si>
    <t>6137 - VN UX EYEWEAR</t>
  </si>
  <si>
    <t>FRAME:100% POLYCARBONATE, LENS:100% POLYCARBONATE</t>
  </si>
  <si>
    <t>VN000M8EBL21001</t>
  </si>
  <si>
    <t>VN000M8EBL21REG31</t>
  </si>
  <si>
    <t>VN000M8EBL21001 - MTE Daily Solid Sidelin HAR, 31, Regular</t>
  </si>
  <si>
    <t>VN000RW9UUI1003</t>
  </si>
  <si>
    <t>EVENING HAZE</t>
  </si>
  <si>
    <t>VN000RW9UUI1.  XSS</t>
  </si>
  <si>
    <t>VN000RW9UUI1003 - MTE Crosspath Seamless EV, X Small/Small</t>
  </si>
  <si>
    <t>VN000SN1BLK1003</t>
  </si>
  <si>
    <t>Vans Classic PO</t>
  </si>
  <si>
    <t>VN000SN1BLK1.  S</t>
  </si>
  <si>
    <t>VN000SN1BLK1003 - Vans Classic PO Black, Small</t>
  </si>
  <si>
    <t>6169 - VN KD SWTSHRT/PULOVR</t>
  </si>
  <si>
    <t>68% Cotton 32% Polyester</t>
  </si>
  <si>
    <t>VN000D3YFS81012</t>
  </si>
  <si>
    <t>VN000D3YFS81M  045</t>
  </si>
  <si>
    <t>VN000D3YFS81012 - Old Skool V VTFL MSHML, 4.5, Medium</t>
  </si>
  <si>
    <t>VN000D8NBKA1004</t>
  </si>
  <si>
    <t>VN000D8NBKA1M  110</t>
  </si>
  <si>
    <t>VN000D8NBKA1004 - Hylane BLST BLACK, 11, Medium</t>
  </si>
  <si>
    <t>VN000KXMY7U1008</t>
  </si>
  <si>
    <t>Skate Check-5 Loose Den</t>
  </si>
  <si>
    <t>AFTER DARK</t>
  </si>
  <si>
    <t>VN000KXMY7U1REG27</t>
  </si>
  <si>
    <t>VN000KXMY7U1008 - Skate Check-5 Loose Den AFT, 27, Regular</t>
  </si>
  <si>
    <t>VN000CV4O3N1002</t>
  </si>
  <si>
    <t>SEPIA ROSE</t>
  </si>
  <si>
    <t>VN000CV4O3N1M  085</t>
  </si>
  <si>
    <t>VN000CV4O3N1002 - Filmore Decon CNVS MDPNK, 8.5, Medium</t>
  </si>
  <si>
    <t>VN000D3YFS81009</t>
  </si>
  <si>
    <t>VN000D3YFS81M  060</t>
  </si>
  <si>
    <t>VN000D3YFS81009 - Old Skool V VTFL MSHML, 6, Medium</t>
  </si>
  <si>
    <t>VN000D3YFS81007</t>
  </si>
  <si>
    <t>VN000D3YFS81M  070</t>
  </si>
  <si>
    <t>VN000D3YFS81007 - Old Skool V VTFL MSHML, 7, Medium</t>
  </si>
  <si>
    <t>VN000JTRCIC1001</t>
  </si>
  <si>
    <t>Classic Tall Cuff Beani</t>
  </si>
  <si>
    <t>WARM OLIVE</t>
  </si>
  <si>
    <t>VN000JTRCIC1.  OS</t>
  </si>
  <si>
    <t>VN000JTRCIC1001 - Classic Tall Cuff Beani WARM O, One Size</t>
  </si>
  <si>
    <t>VN000P7ECDX1005</t>
  </si>
  <si>
    <t>Denim Baseball Jacket</t>
  </si>
  <si>
    <t>STONEWASH/BLUE</t>
  </si>
  <si>
    <t>VN000P7ECDX1.  M</t>
  </si>
  <si>
    <t>VN MENS OUTERWEAR</t>
  </si>
  <si>
    <t>VN000P7ECDX1005 - Denim Baseball Jacket STONEWASH/, Medium</t>
  </si>
  <si>
    <t>115 - APP_Outerwear</t>
  </si>
  <si>
    <t>6009 - VN MN JACKETS</t>
  </si>
  <si>
    <t>VN000H4WEMJ1001</t>
  </si>
  <si>
    <t>Old Skool Backpack</t>
  </si>
  <si>
    <t>Burnt Gold</t>
  </si>
  <si>
    <t>VN000H4WEMJ1.  OS</t>
  </si>
  <si>
    <t>VN000H4WEMJ1001 - Old Skool Backpack Burnt Gold, One Size</t>
  </si>
  <si>
    <t>SHELL: 100% POLYESTER, POLYURETHANE COATING;  LINING: 100% POLYESTER, POLYURETHANE COATING,  EOD&amp;EOE</t>
  </si>
  <si>
    <t>VN000CRVEN71001</t>
  </si>
  <si>
    <t>SK8-Hi Crib</t>
  </si>
  <si>
    <t>VN000CRVEN71M  030</t>
  </si>
  <si>
    <t>GLITTER</t>
  </si>
  <si>
    <t>VN INFANTS FOOTWEAR</t>
  </si>
  <si>
    <t>VN INFANTS ICONS FTW</t>
  </si>
  <si>
    <t>IN - Infant</t>
  </si>
  <si>
    <t>VN000CRVEN71001 - SK8-Hi Crib GLTR PKDWN, 3, Medium</t>
  </si>
  <si>
    <t>6079 - VN KD SHOES HIGH</t>
  </si>
  <si>
    <t>VN000P2A1NU1001</t>
  </si>
  <si>
    <t>Skate Tribal Unstructur</t>
  </si>
  <si>
    <t>Walnut</t>
  </si>
  <si>
    <t>VN000P2A1NU1.  OS</t>
  </si>
  <si>
    <t>VN000P2A1NU1001 - Skate Tribal Unstructur Walnut, One Size</t>
  </si>
  <si>
    <t>100% COTTON, EOD</t>
  </si>
  <si>
    <t>VN000M8EBL21002</t>
  </si>
  <si>
    <t>VN000M8EBL21REG30</t>
  </si>
  <si>
    <t>VN000M8EBL21002 - MTE Daily Solid Sidelin HAR, 30, Regular</t>
  </si>
  <si>
    <t>VN000D1JPRP1011</t>
  </si>
  <si>
    <t>VN000D1JPRP1M  045</t>
  </si>
  <si>
    <t>VN000D1JPRP1011 - Hylane POP DPRPL, 4.5, Medium</t>
  </si>
  <si>
    <t>VN000V68B5P1005</t>
  </si>
  <si>
    <t>VN000V68B5P1M  055</t>
  </si>
  <si>
    <t>VN000V68B5P1005 - SK8-Hi KPDH BLKPL, 5.5, Medium</t>
  </si>
  <si>
    <t>VN000GMNWHT1001</t>
  </si>
  <si>
    <t>Vans Scrunch Crew</t>
  </si>
  <si>
    <t>VN000GMNWHT1.  651</t>
  </si>
  <si>
    <t>VN000GMNWHT1001 - Vans Scrunch Crew White, 6.5-10</t>
  </si>
  <si>
    <t>36.5-41</t>
  </si>
  <si>
    <t>77%Cotton 11%Nyon 10%Polyester 2%Elastane</t>
  </si>
  <si>
    <t>VN000Q1REMW1002</t>
  </si>
  <si>
    <t>VN000Q1REMW1.  XXS</t>
  </si>
  <si>
    <t>VN000Q1REMW1002 - Classic Half Crew Gray Olive, XX Small</t>
  </si>
  <si>
    <t>VN000QB9EMP1002</t>
  </si>
  <si>
    <t>Hovley Crew</t>
  </si>
  <si>
    <t>VN000QB9EMP1.  S</t>
  </si>
  <si>
    <t>VN000QB9EMP1002 - Hovley Crew Coal Brown, Small</t>
  </si>
  <si>
    <t>VN000HZBYEH1020</t>
  </si>
  <si>
    <t>VN000HZBYEH130 27</t>
  </si>
  <si>
    <t>VN000HZBYEH1020 - Authentic Chino Relaxed DESERT T, 27, 30</t>
  </si>
  <si>
    <t>VN000M3GJDU1005</t>
  </si>
  <si>
    <t>Primary Crazy Print Loo</t>
  </si>
  <si>
    <t>PARISIAN NIGHT</t>
  </si>
  <si>
    <t>VN000M3GJDU1REGM</t>
  </si>
  <si>
    <t>VN000M3GJDU1005 - Primary Crazy Print Loo, Medium, Regular</t>
  </si>
  <si>
    <t>VN000P7ECDX1004</t>
  </si>
  <si>
    <t>VN000P7ECDX1.  L</t>
  </si>
  <si>
    <t>VN000P7ECDX1004 - Denim Baseball Jacket STONEWASH/B, Large</t>
  </si>
  <si>
    <t>VN000JTRDBC1001</t>
  </si>
  <si>
    <t>BUNGEE CORD/TURKISHCFEE</t>
  </si>
  <si>
    <t>VN000JTRDBC1.  OS</t>
  </si>
  <si>
    <t>VN000JTRDBC1001 - Classic Tall Cuff Beani Bungee, One Size</t>
  </si>
  <si>
    <t>VN000HZBYEH1015</t>
  </si>
  <si>
    <t>VN000HZBYEH132 32</t>
  </si>
  <si>
    <t>VN000HZBYEH1015 - Authentic Chino Relaxed DESERT T, 32, 32</t>
  </si>
  <si>
    <t>VN000CS5PIB1002</t>
  </si>
  <si>
    <t>Old Skool Crib</t>
  </si>
  <si>
    <t>Pink/Black</t>
  </si>
  <si>
    <t>VN000CS5PIB1M  030</t>
  </si>
  <si>
    <t>LEOPARD</t>
  </si>
  <si>
    <t>VN000CS5PIB1002 - Old Skool Crib LPRD MDPNK, 3, Medium</t>
  </si>
  <si>
    <t>VN000D3YFS81006</t>
  </si>
  <si>
    <t>VN000D3YFS81M  075</t>
  </si>
  <si>
    <t>VN000D3YFS81006 - Old Skool V VTFL MSHML, 7.5, Medium</t>
  </si>
  <si>
    <t>VN000GMYCLH1001</t>
  </si>
  <si>
    <t>GEMINI SUNGLASSES</t>
  </si>
  <si>
    <t>SHADOW LIME</t>
  </si>
  <si>
    <t>VN000GMYCLH1.  OS</t>
  </si>
  <si>
    <t>VN000GMYCLH1001 - GEMINI SUNGLASSES SHADOW LIME, One Size</t>
  </si>
  <si>
    <t>FRAME:84% CUPRONICKEL,16% POLYCARBONATE   LENS:100% POLYCARBONATE</t>
  </si>
  <si>
    <t>VN000Q1TWHT1001</t>
  </si>
  <si>
    <t>VN000Q1TWHT1.  XS</t>
  </si>
  <si>
    <t>VN000Q1TWHT1001 - Classic No Show White, X Small</t>
  </si>
  <si>
    <t>VN000Q92EMW1001</t>
  </si>
  <si>
    <t>VN000Q92EMW1.  XS</t>
  </si>
  <si>
    <t>VN000Q92EMW1001 - Vans Drop V Crew Gray Olive, X Small</t>
  </si>
  <si>
    <t>VN000HZBBLK1022</t>
  </si>
  <si>
    <t>VN000HZBBLK130 29</t>
  </si>
  <si>
    <t>VN000HZBBLK1022 - Authentic Chino Relaxed Black, 29, 30</t>
  </si>
  <si>
    <t>VN000QCEBLK1001</t>
  </si>
  <si>
    <t>VN000QCEBLK1.  SM</t>
  </si>
  <si>
    <t>SM</t>
  </si>
  <si>
    <t>VN000QCEBLK1001 - Circle Bones Gloves Black, Small/Medium</t>
  </si>
  <si>
    <t>VN000P8A02F1005</t>
  </si>
  <si>
    <t>Original Standards 2-To</t>
  </si>
  <si>
    <t>Cement Heather</t>
  </si>
  <si>
    <t>VN000P8A02F1.  M</t>
  </si>
  <si>
    <t>VN000P8A02F1005 - Original Standards 2-To Cement H, Medium</t>
  </si>
  <si>
    <t>80% COTTON / 20% POLYESTER</t>
  </si>
  <si>
    <t>VN00104UEMS1003</t>
  </si>
  <si>
    <t>Club Vans SS</t>
  </si>
  <si>
    <t>Dark Port</t>
  </si>
  <si>
    <t>VN00104UEMS1.  M</t>
  </si>
  <si>
    <t>VN00104UEMS1003 - Club Vans SS Dark Port, Medium</t>
  </si>
  <si>
    <t>VN00069GNOA1001</t>
  </si>
  <si>
    <t>AES IRR ACC HANDBAG</t>
  </si>
  <si>
    <t>No Color</t>
  </si>
  <si>
    <t>VN00069GNOA1.  OS</t>
  </si>
  <si>
    <t>MENS BAGS</t>
  </si>
  <si>
    <t>MENS FASHION BAGS</t>
  </si>
  <si>
    <t>Undefined</t>
  </si>
  <si>
    <t>VN00069GNOA1001 - AES IRR ACC HANDBAG NOCLR, One Size</t>
  </si>
  <si>
    <t>508 - Mens Bags and Backpacks</t>
  </si>
  <si>
    <t>6031 - VN MN BAGS</t>
  </si>
  <si>
    <t>CX - Christmas Islnd</t>
  </si>
  <si>
    <t>"Shell: 100% Nylon, Lining: 100% Polyester, EOD"</t>
  </si>
  <si>
    <t>000 - NO COLOR</t>
  </si>
  <si>
    <t>VN000CS02W01014</t>
  </si>
  <si>
    <t>VN000CS02W01M  060</t>
  </si>
  <si>
    <t>VN000CS02W01014 - Knu Skool Prism Pnk/TrWht, 6, Medium</t>
  </si>
  <si>
    <t>VN0A5JM21CI1003</t>
  </si>
  <si>
    <t>Caldrone</t>
  </si>
  <si>
    <t>Dark Forest</t>
  </si>
  <si>
    <t>VN0A5JM21CI1M  075</t>
  </si>
  <si>
    <t>SUEDE/MESH</t>
  </si>
  <si>
    <t>VN0A5JM21CI1003 - Caldrone SUME BLACK, 7.5, Medium</t>
  </si>
  <si>
    <t>Made for Outlet</t>
  </si>
  <si>
    <t>VN000GMYC9L1001</t>
  </si>
  <si>
    <t>CHERRIES JUBILEE</t>
  </si>
  <si>
    <t>VN000GMYC9L1.  OS</t>
  </si>
  <si>
    <t>VN000GMYC9L1001 - GEMINI SUNGLASSES CHERRIES JUB, One Size</t>
  </si>
  <si>
    <t>VN000ND7FS81001</t>
  </si>
  <si>
    <t>Out There Sunglasses</t>
  </si>
  <si>
    <t>VN000ND7FS81.  OS</t>
  </si>
  <si>
    <t>VN000ND7FS81001 - Out There Sunglasses marshmall, One Size</t>
  </si>
  <si>
    <t>VN000HUP7WM1003</t>
  </si>
  <si>
    <t>Camden Slip Dress</t>
  </si>
  <si>
    <t>VN000HUP7WM1.  XS</t>
  </si>
  <si>
    <t>VN WOMENS ONE PIECE</t>
  </si>
  <si>
    <t>VN000HUP7WM1003 - Camden Slip Dress TrBl, X Small</t>
  </si>
  <si>
    <t>6159 - VN WM SUITS &amp; SETS</t>
  </si>
  <si>
    <t>100% VISCOSE</t>
  </si>
  <si>
    <t>VN000HZBBLK1024</t>
  </si>
  <si>
    <t>VN000HZBBLK130 27</t>
  </si>
  <si>
    <t>VN000HZBBLK1024 - Authentic Chino Relaxed Black, 27, 30</t>
  </si>
  <si>
    <t>VN000P5DBLK1004</t>
  </si>
  <si>
    <t>Original Standards Crew</t>
  </si>
  <si>
    <t>VN000P5DBLK1.  M</t>
  </si>
  <si>
    <t>VN000P5DBLK1004 - Original Standards Crew Black, Medium</t>
  </si>
  <si>
    <t>VN000PBRWHT1005</t>
  </si>
  <si>
    <t>Chaos SS</t>
  </si>
  <si>
    <t>VN000PBRWHT1.  M</t>
  </si>
  <si>
    <t>VN000PBRWHT1005 - Chaos SS White, Medium</t>
  </si>
  <si>
    <t>SV - El Salvador</t>
  </si>
  <si>
    <t>100% Cotton 20's KPOE</t>
  </si>
  <si>
    <t>VN000CQ6CJK1003</t>
  </si>
  <si>
    <t>Era</t>
  </si>
  <si>
    <t>BLACK</t>
  </si>
  <si>
    <t>VN000CQ6CJK1M  085</t>
  </si>
  <si>
    <t>WOODLAND WASH</t>
  </si>
  <si>
    <t>VN000CQ6CJK1003 - Era WOOD BLACK, 8.5, Medium</t>
  </si>
  <si>
    <t>VN000E9ZYF51002</t>
  </si>
  <si>
    <t>Baby Blue/White</t>
  </si>
  <si>
    <t>VN000E9ZYF51M  070</t>
  </si>
  <si>
    <t>VN000E9ZYF51002 - Knu Skool Baby Blue/White, 7, Medium</t>
  </si>
  <si>
    <t>VN000ND652K1001</t>
  </si>
  <si>
    <t>Breaker Sunglasses</t>
  </si>
  <si>
    <t>Marmalade</t>
  </si>
  <si>
    <t>VN000ND652K1.  OS</t>
  </si>
  <si>
    <t>VN000ND652K1001 - Breaker Sunglasses Marmalade, One Size</t>
  </si>
  <si>
    <t>FRAME:93% CUPRONICKEL,7% POLYCARBONATE   LENS:100% POLYCARBONATE</t>
  </si>
  <si>
    <t>800 - ORANGE</t>
  </si>
  <si>
    <t>VN000Q1TWHT1002</t>
  </si>
  <si>
    <t>VN000Q1TWHT1.  XXS</t>
  </si>
  <si>
    <t>VN000Q1TWHT1002 - Classic No Show White, XX Small</t>
  </si>
  <si>
    <t>VN000KXMY7U1009</t>
  </si>
  <si>
    <t>VN000KXMY7U1REG28</t>
  </si>
  <si>
    <t>VN000KXMY7U1009 - Skate Check-5 Loose Den AFT, 28, Regular</t>
  </si>
  <si>
    <t>VN000CTG7VF1004</t>
  </si>
  <si>
    <t>VN000CTG7VF1M  050</t>
  </si>
  <si>
    <t>VN000CTG7VF1004 - Old Skool V DAZL DGREY, 5, Medium</t>
  </si>
  <si>
    <t>VN000CVTWHP1029</t>
  </si>
  <si>
    <t>MTE Sk8-Hi Waterproof</t>
  </si>
  <si>
    <t>White/Purple</t>
  </si>
  <si>
    <t>VN000CVTWHP1M  050</t>
  </si>
  <si>
    <t>VN000CVTWHP1029 - MTE Sk8-Hi Waterproof White/P, 5, Medium</t>
  </si>
  <si>
    <t>6041 - VN WM SHOES HIGH</t>
  </si>
  <si>
    <t>VN000D7UTTN1006</t>
  </si>
  <si>
    <t>Brooklyn LS</t>
  </si>
  <si>
    <t>Puritan Gray</t>
  </si>
  <si>
    <t>VN000D7UTTN1M  075</t>
  </si>
  <si>
    <t>OUTDOOR</t>
  </si>
  <si>
    <t>VN000D7UTTN1006 - Brooklyn LS OUTD PRGRY, 7.5, Medium</t>
  </si>
  <si>
    <t>VN000E8JQPT1005</t>
  </si>
  <si>
    <t>Skate Estazzo</t>
  </si>
  <si>
    <t>Black/Pewter</t>
  </si>
  <si>
    <t>VN000E8JQPT1M  100</t>
  </si>
  <si>
    <t>VN000E8JQPT1005 - Skate Estazzo Black/Pewter, 10, Medium</t>
  </si>
  <si>
    <t>VN000QA5DDN1001</t>
  </si>
  <si>
    <t>Classic Script Curved B</t>
  </si>
  <si>
    <t>Dark Denim</t>
  </si>
  <si>
    <t>VN000QA5DDN1.  OS</t>
  </si>
  <si>
    <t>VN000QA5DDN1001 - Classic Script Curved B Dark D, One Size</t>
  </si>
  <si>
    <t>Shell: 100% Cotton EOD</t>
  </si>
  <si>
    <t>VN000QBGWHT1003</t>
  </si>
  <si>
    <t>VN000QBGWHT1.  S</t>
  </si>
  <si>
    <t>VN000QBGWHT1003 - Classic Script Crew White, Small</t>
  </si>
  <si>
    <t>VN000MJJCDX1007</t>
  </si>
  <si>
    <t>Check-5 Blaze Loose Pan</t>
  </si>
  <si>
    <t>VN000MJJCDX1REG28</t>
  </si>
  <si>
    <t>VN BIG KIDS BOTTOMS</t>
  </si>
  <si>
    <t>VN000MJJCDX1007 - Check-5 Blaze Loose Pan STO, 28, Regular</t>
  </si>
  <si>
    <t>6092 - VN KD PANTS</t>
  </si>
  <si>
    <t>VN000PDREN71005</t>
  </si>
  <si>
    <t>Star Checker SS</t>
  </si>
  <si>
    <t>VN000PDREN71.  M</t>
  </si>
  <si>
    <t>VN000PDREN71005 - Star Checker SS Pink Dawn, Medium</t>
  </si>
  <si>
    <t>20/1 100% COTTON</t>
  </si>
  <si>
    <t>VN000PK2EN91005</t>
  </si>
  <si>
    <t>Hillgate AOP Cropped Pu</t>
  </si>
  <si>
    <t>Taupe Mist</t>
  </si>
  <si>
    <t>VN000PK2EN91.  XXS</t>
  </si>
  <si>
    <t>VN WOMENS OUTERWEAR</t>
  </si>
  <si>
    <t>VN000PK2EN91005 - Hillgate AOP Cropped Pu Taupe, XX Small</t>
  </si>
  <si>
    <t>6047 - VN WM JACKETS</t>
  </si>
  <si>
    <t>VN0010J9WHT1002</t>
  </si>
  <si>
    <t>Fck The Algorithm SS Te</t>
  </si>
  <si>
    <t>VN0010J9WHT1.  M</t>
  </si>
  <si>
    <t>VN0010J9WHT1002 - Fck The Algorithm SS Te White, Medium</t>
  </si>
  <si>
    <t>VN0A5FJX1O71010</t>
  </si>
  <si>
    <t>VN0A5FJX1O71REG28</t>
  </si>
  <si>
    <t>VN0A5FJX1O71010 - AUTHENTIC CHINO RELAXED Asp, 28, Regular</t>
  </si>
  <si>
    <t>64% COTTON 34% POLYESTER 2% LYCRA</t>
  </si>
  <si>
    <t>VN0A5FCBB9M1007</t>
  </si>
  <si>
    <t>Skate Old Skool</t>
  </si>
  <si>
    <t>VN0A5FCBB9M1M  040</t>
  </si>
  <si>
    <t>VN0A5FCBB9M1007 - Skate Old Skool Black/Gum, 4, Medium</t>
  </si>
  <si>
    <t>VN0001TTBLK1001</t>
  </si>
  <si>
    <t>VN0001TTBLK1.  OS</t>
  </si>
  <si>
    <t>VN0001TTBLK1001 - Vans Laces 54" Black, One Size</t>
  </si>
  <si>
    <t>VN000CVTWHP1023</t>
  </si>
  <si>
    <t>VN000CVTWHP1M  040</t>
  </si>
  <si>
    <t>VN000CVTWHP1023 - MTE Sk8-Hi Waterproof White/P, 4, Medium</t>
  </si>
  <si>
    <t>VN000D5VN431018</t>
  </si>
  <si>
    <t>Crosspath XC</t>
  </si>
  <si>
    <t>GREY/BLACK</t>
  </si>
  <si>
    <t>VN000D5VN431M  040</t>
  </si>
  <si>
    <t>VN000D5VN431018 - Crosspath XC GREY/BLACK, 4, Medium</t>
  </si>
  <si>
    <t>Zalando</t>
  </si>
  <si>
    <t>Best</t>
  </si>
  <si>
    <t>VN000E9ZYF51004</t>
  </si>
  <si>
    <t>VN000E9ZYF51M  060</t>
  </si>
  <si>
    <t>VN000E9ZYF51004 - Knu Skool Baby Blue/White, 6, Medium</t>
  </si>
  <si>
    <t>VN0A4U1KWHT1007</t>
  </si>
  <si>
    <t>MTE UltraRange EXO</t>
  </si>
  <si>
    <t>VN0A4U1KWHT1M  040</t>
  </si>
  <si>
    <t>VN0A4U1KWHT1007 - MTE UltraRange EXO White, 4, Medium</t>
  </si>
  <si>
    <t>VN000MEPJDU1004</t>
  </si>
  <si>
    <t>Union Short</t>
  </si>
  <si>
    <t>VN000MEPJDU1.  12</t>
  </si>
  <si>
    <t>GR - Girls</t>
  </si>
  <si>
    <t>VN000MEPJDU1004 - Union Short PARISIAN NIGHT, 12</t>
  </si>
  <si>
    <t>6093 - VN KD SHORTS</t>
  </si>
  <si>
    <t>VN000PXSWHT1004</t>
  </si>
  <si>
    <t>VN000PXSWHT1.  XL</t>
  </si>
  <si>
    <t>VN000PXSWHT1004 - Star Checker SS White, X Large</t>
  </si>
  <si>
    <t>30/1 100% COTTON</t>
  </si>
  <si>
    <t>VN000D22BH71006</t>
  </si>
  <si>
    <t>LIGHT GRAY</t>
  </si>
  <si>
    <t>VN000D22BH71M  040</t>
  </si>
  <si>
    <t>VN000D22BH71006 - Knu Skool TRIT GRAY, 4, Medium</t>
  </si>
  <si>
    <t>VN000E9XIVG1017</t>
  </si>
  <si>
    <t>VN000E9XIVG1M  045</t>
  </si>
  <si>
    <t>VN000E9XIVG1017 - Knu Skool Ivy Green, 4.5, Medium</t>
  </si>
  <si>
    <t>VN000R10WHT1003</t>
  </si>
  <si>
    <t>VN000R10WHT1.  S</t>
  </si>
  <si>
    <t>VN000R10WHT1003 - Vans Classic Half Crew White, Small</t>
  </si>
  <si>
    <t>VN000HGKBLK1011</t>
  </si>
  <si>
    <t>Palmer Wide Leg Chino P</t>
  </si>
  <si>
    <t>VN000HGKBLK1.  22</t>
  </si>
  <si>
    <t>VN000HGKBLK1011 - Palmer Wide Leg Chino P Black, 22</t>
  </si>
  <si>
    <t>58% Cotton, 40% Polyester, 2% Elastane</t>
  </si>
  <si>
    <t>VN000HZBYEH1008</t>
  </si>
  <si>
    <t>VN000HZBYEH132 36</t>
  </si>
  <si>
    <t>VN000HZBYEH1008 - Authentic Chino Relaxed DESERT T, 36, 32</t>
  </si>
  <si>
    <t>VN000M4CBR11004</t>
  </si>
  <si>
    <t>VN000M4CBR11.  XS</t>
  </si>
  <si>
    <t>VN000M4CBR11004 - Major Type SS FAIRWAY, X Small</t>
  </si>
  <si>
    <t>VN000MBCWHT1002</t>
  </si>
  <si>
    <t>Alicia Boxer Shorts</t>
  </si>
  <si>
    <t>VN000MBCWHT1.  S</t>
  </si>
  <si>
    <t>VN000MBCWHT1002 - Alicia Boxer Shorts White, Small</t>
  </si>
  <si>
    <t>6155 - VN WM UNDERWEAR</t>
  </si>
  <si>
    <t>56% COTTON 44 % VISCOSE</t>
  </si>
  <si>
    <t>VN000RG44QU1001</t>
  </si>
  <si>
    <t>Port Royale</t>
  </si>
  <si>
    <t>VN000RG44QU1.  M</t>
  </si>
  <si>
    <t>VN000RG44QU1001 - EVOLVE SS Port Royale, Medium</t>
  </si>
  <si>
    <t>VN000SPAMTR1004</t>
  </si>
  <si>
    <t>Scripted SS Tee</t>
  </si>
  <si>
    <t>Military</t>
  </si>
  <si>
    <t>VN000SPAMTR1.  M</t>
  </si>
  <si>
    <t>VN000SPAMTR1004 - Scripted SS Tee Military, Medium</t>
  </si>
  <si>
    <t>US - USA</t>
  </si>
  <si>
    <t>VN0A5HNPBLK1002</t>
  </si>
  <si>
    <t>Drop V Logo Hoodie-B</t>
  </si>
  <si>
    <t>VN0A5HNPBLK1.  XS</t>
  </si>
  <si>
    <t>VN0A5HNPBLK1002 - Drop V Logo Hoodie-B Black, X Small</t>
  </si>
  <si>
    <t>74% Cotton 26% Polyester</t>
  </si>
  <si>
    <t>VN000Q981O71001</t>
  </si>
  <si>
    <t>Omit Backpack</t>
  </si>
  <si>
    <t>VN000Q981O71.  OS</t>
  </si>
  <si>
    <t>VN000Q981O71001 - Omit Backpack Asphalt, One Size</t>
  </si>
  <si>
    <t>SHELL:100%POLYESTER, POLYURETHANE COATING, BACK PANEL: 100% POLYESTER, LINING: 100% POLYESTER, POLYURETHANE COATING,EOD</t>
  </si>
  <si>
    <t>VN000QA1BRD1001</t>
  </si>
  <si>
    <t>Vans Jockey</t>
  </si>
  <si>
    <t>VN000QA1BRD1.  OS</t>
  </si>
  <si>
    <t>VN000QA1BRD1001 - Vans Jockey Bordeaux, One Size</t>
  </si>
  <si>
    <t>Shell : 70% Cotton 30% Nylon EOD</t>
  </si>
  <si>
    <t>VN000QB42N11001</t>
  </si>
  <si>
    <t>oatmeal</t>
  </si>
  <si>
    <t>VN000QB42N11.  OS</t>
  </si>
  <si>
    <t>VN000QB42N11001 - Core Basic Cuff Beanie oatmeal, One Size</t>
  </si>
  <si>
    <t>VN000M3GJDU1006</t>
  </si>
  <si>
    <t>VN000M3GJDU1REGL</t>
  </si>
  <si>
    <t>VN000M3GJDU1006 - Primary Crazy Print Loo, Large, Regular</t>
  </si>
  <si>
    <t>VN000PXG02F1001</t>
  </si>
  <si>
    <t>Star Checker Crew</t>
  </si>
  <si>
    <t>VN000PXG02F1.  L</t>
  </si>
  <si>
    <t>VN000PXG02F1001 - Star Checker Crew Cement Heather, Large</t>
  </si>
  <si>
    <t>72% Cotton 28% Polyester</t>
  </si>
  <si>
    <t>VN0A5LMECR21005</t>
  </si>
  <si>
    <t>JESSIE DRESS</t>
  </si>
  <si>
    <t>COSMIC SKY</t>
  </si>
  <si>
    <t>VN0A5LMECR21.  S</t>
  </si>
  <si>
    <t>VN0A5LMECR21005 - JESSIE DRESS COSMIC SKY, Small</t>
  </si>
  <si>
    <t>58% Cotton 38% Polyester 4% Elastane</t>
  </si>
  <si>
    <t>VN000H4WBLK1001</t>
  </si>
  <si>
    <t>VN000H4WBLK1.  OS</t>
  </si>
  <si>
    <t>VN000H4WBLK1001 - Old Skool Backpack Black, One Size</t>
  </si>
  <si>
    <t>VN000BCECCZ1003</t>
  </si>
  <si>
    <t>UltraRange Neo VR3</t>
  </si>
  <si>
    <t>MARSHMALLOW</t>
  </si>
  <si>
    <t>VN000BCECCZ1M  110</t>
  </si>
  <si>
    <t>VN000BCECCZ1003 - UltraRange Neo VR3 MARSHMALL, 11, Medium</t>
  </si>
  <si>
    <t>VN000D0HKCZ1011</t>
  </si>
  <si>
    <t>SK8-Hi Insulated</t>
  </si>
  <si>
    <t>GRAPE LEAF</t>
  </si>
  <si>
    <t>VN000D0HKCZ1M  015</t>
  </si>
  <si>
    <t>VINTAGE</t>
  </si>
  <si>
    <t>VN000D0HKCZ1011 - SK8-Hi Insulated VNTG DGREN, 1.5, Medium</t>
  </si>
  <si>
    <t>VN000D61BOC1017</t>
  </si>
  <si>
    <t>Ultrarange 2.0 SE</t>
  </si>
  <si>
    <t>GREEN/PINK</t>
  </si>
  <si>
    <t>VN000D61BOC1M  050</t>
  </si>
  <si>
    <t>VN000D61BOC1017 - Ultrarange 2.0 SE GREEN/PINK, 5, Medium</t>
  </si>
  <si>
    <t>VN000E9YBGP1004</t>
  </si>
  <si>
    <t>LIGHT BLUE/GUM</t>
  </si>
  <si>
    <t>VN000E9YBGP1M  060</t>
  </si>
  <si>
    <t>VN000E9YBGP1004 - Old Skool LIGHT BLUE/GUM, 6, Medium</t>
  </si>
  <si>
    <t>VN000QA7BLK1001</t>
  </si>
  <si>
    <t>66 Earflap Tall Camper</t>
  </si>
  <si>
    <t>VN000QA7BLK1.  OS</t>
  </si>
  <si>
    <t>VN000QA7BLK1001 - 66 Earflap Tall Camper Black, One Size</t>
  </si>
  <si>
    <t>Main fabric : 60%Cotton&amp;40%Nylon Side panel: 100% Nylon  EOD</t>
  </si>
  <si>
    <t>VN0A5KK9ZJY1001</t>
  </si>
  <si>
    <t>VANS DROP V CREW (2-4YR</t>
  </si>
  <si>
    <t>POWDER PINK</t>
  </si>
  <si>
    <t>VN0A5KK9ZJY1.  OS</t>
  </si>
  <si>
    <t>VN0A5KK9ZJY1001 - VANS DROP V CREW (2-4YR POWDER, One Size</t>
  </si>
  <si>
    <t>63%Cotton 30%Polyester 3%Elastodiene 2%Nylon 2%Elastane</t>
  </si>
  <si>
    <t>VN000KXMY7U1010</t>
  </si>
  <si>
    <t>VN000KXMY7U1REG29</t>
  </si>
  <si>
    <t>VN000KXMY7U1010 - Skate Check-5 Loose Den AFT, 29, Regular</t>
  </si>
  <si>
    <t>VN000PF7YB21005</t>
  </si>
  <si>
    <t>Original Standards Stat</t>
  </si>
  <si>
    <t>White/Black</t>
  </si>
  <si>
    <t>VN000PF7YB21.  S</t>
  </si>
  <si>
    <t>VN000PF7YB21005 - Original Standards Stat White/Bla, Small</t>
  </si>
  <si>
    <t>VN000RCEFCT1007</t>
  </si>
  <si>
    <t>APPLE BOOM RINGER TEE</t>
  </si>
  <si>
    <t>White/Mauvewood</t>
  </si>
  <si>
    <t>VN000RCEFCT1.  M</t>
  </si>
  <si>
    <t>VN000RCEFCT1007 - APPLE BOOM RINGER TEE White/Mauv, Medium</t>
  </si>
  <si>
    <t>6052 - VN WM T-SHIRTS</t>
  </si>
  <si>
    <t>VN000D0H11E1004</t>
  </si>
  <si>
    <t>gothic grape</t>
  </si>
  <si>
    <t>VN000D0H11E1M  010</t>
  </si>
  <si>
    <t>VN000D0H11E1004 - SK8-Hi Insulated VNTG DKPPL, 1, Medium</t>
  </si>
  <si>
    <t>VN000D0HKCZ1007</t>
  </si>
  <si>
    <t>VN000D0HKCZ1M  105</t>
  </si>
  <si>
    <t>VN000D0HKCZ1007 - SK8-Hi Insulated VNTG DGRE, 10.5, Medium</t>
  </si>
  <si>
    <t>VN000D2VEMY1006</t>
  </si>
  <si>
    <t>Lilac Mist</t>
  </si>
  <si>
    <t>VN000D2VEMY1M  060</t>
  </si>
  <si>
    <t>VN000D2VEMY1006 - Old Skool CTHR LMIST, 6, Medium</t>
  </si>
  <si>
    <t>VN000E9YBGP1005</t>
  </si>
  <si>
    <t>VN000E9YBGP1M  055</t>
  </si>
  <si>
    <t>VN000E9YBGP1005 - Old Skool LIGHT BLUE/GUM, 5.5, Medium</t>
  </si>
  <si>
    <t>VN0A5FCBB9M1003</t>
  </si>
  <si>
    <t>VN0A5FCBB9M1M  035</t>
  </si>
  <si>
    <t>VN0A5FCBB9M1003 - Skate Old Skool Black/Gum, 3.5, Medium</t>
  </si>
  <si>
    <t>VN000HTDBLK1001</t>
  </si>
  <si>
    <t>MTE Crestline Half Crew</t>
  </si>
  <si>
    <t>VN000HTDBLK1.  651</t>
  </si>
  <si>
    <t>VN000HTDBLK1001 - MTE Crestline Half Crew Black, 6.5-10</t>
  </si>
  <si>
    <t>59%Polyester 33%Cotton 5%Elastodiene 2%Nylon 1%Elastane</t>
  </si>
  <si>
    <t>VN000QAD7WM1001</t>
  </si>
  <si>
    <t>Vans HOV Unstructured</t>
  </si>
  <si>
    <t>VN000QAD7WM1.  OS</t>
  </si>
  <si>
    <t>VN000QAD7WM1001 - Vans HOV Unstructured TrBl, One Size</t>
  </si>
  <si>
    <t>Shell: 100% Nylon EOD</t>
  </si>
  <si>
    <t>VN0A4TQBBWU1002</t>
  </si>
  <si>
    <t>Mn Undertone II Buck</t>
  </si>
  <si>
    <t>BLUE GLOW/NARCISSUS</t>
  </si>
  <si>
    <t>VN0A4TQBBWU1.  SM</t>
  </si>
  <si>
    <t>VN0A4TQBBWU1002 - Mn Undertone II Buck BLUE, Small/Medium</t>
  </si>
  <si>
    <t>100% Cotton EOD</t>
  </si>
  <si>
    <t>Action Sports|Fashion Lifestyle|Sports Inspired|Monobrand</t>
  </si>
  <si>
    <t>VN0A7YTTBM51002</t>
  </si>
  <si>
    <t>SUNBREAKER</t>
  </si>
  <si>
    <t>SUN BAKED</t>
  </si>
  <si>
    <t>VN0A7YTTBM51.  SM</t>
  </si>
  <si>
    <t>VN0A7YTTBM51002 - SUNBREAKER SUN BAKED, Small/Medium</t>
  </si>
  <si>
    <t>100%  Polyester EOD</t>
  </si>
  <si>
    <t>VN000G75BL21003</t>
  </si>
  <si>
    <t>PRIMARY SOLID ELASTIC B</t>
  </si>
  <si>
    <t>VN000G75BL2117 XL</t>
  </si>
  <si>
    <t>VN000G75BL21003 - PRIMARY SOLID ELASTIC B HAR, X Large, 17</t>
  </si>
  <si>
    <t>39% Recycled Poly 61% Cotton</t>
  </si>
  <si>
    <t>VN000M3GJDU1003</t>
  </si>
  <si>
    <t>VN000M3GJDU1REGS</t>
  </si>
  <si>
    <t>VN000M3GJDU1003 - Primary Crazy Print Loo, Small, Regular</t>
  </si>
  <si>
    <t>VN000R3UU201001</t>
  </si>
  <si>
    <t>Kari Tie Neck Top</t>
  </si>
  <si>
    <t>CLASSIC WHITE/BLACK</t>
  </si>
  <si>
    <t>VN000R3UU201.  XS</t>
  </si>
  <si>
    <t>VN000R3UU201001 - Kari Tie Neck Top CLASSIC WHITE, X Small</t>
  </si>
  <si>
    <t>6050 - VN WM SHIRTS</t>
  </si>
  <si>
    <t>54% COTTON 45% POLYESTER 1% ELASTANE</t>
  </si>
  <si>
    <t>VN000XCUWHT1002</t>
  </si>
  <si>
    <t>CHAINED LOOSE SS</t>
  </si>
  <si>
    <t>VN000XCUWHT1.  L</t>
  </si>
  <si>
    <t>VN000XCUWHT1002 - CHAINED LOOSE SS White, Large</t>
  </si>
  <si>
    <t>VN000EFBYY61017</t>
  </si>
  <si>
    <t>Knu Skool Elastic Lace</t>
  </si>
  <si>
    <t>Black/Leopard</t>
  </si>
  <si>
    <t>VN000EFBYY61M  060</t>
  </si>
  <si>
    <t>VN000EFBYY61017 - Knu Skool Elastic Lace Black/, 6, Medium</t>
  </si>
  <si>
    <t>VN000J58LKZ1002</t>
  </si>
  <si>
    <t>Faster Crew</t>
  </si>
  <si>
    <t>dress blues</t>
  </si>
  <si>
    <t>VN000J58LKZ1.  101</t>
  </si>
  <si>
    <t>VN000J58LKZ1002 - Faster Crew dress blues, 10-13.5</t>
  </si>
  <si>
    <t>69%Cotton 14%Polyester 11%Nylon 4%Elastodiene 2%Elastane</t>
  </si>
  <si>
    <t>VN000QA27UG1001</t>
  </si>
  <si>
    <t>Celano Curved Bill Jock</t>
  </si>
  <si>
    <t>VN000QA27UG1.  OS</t>
  </si>
  <si>
    <t>VN000QA27UG1001 - Celano Curved Bill Jock Dchshn, One Size</t>
  </si>
  <si>
    <t>Shell: 100% Polyester Lining 100% Polyester  EOD</t>
  </si>
  <si>
    <t>VN000QA7EN91001</t>
  </si>
  <si>
    <t>VN000QA7EN91.  OS</t>
  </si>
  <si>
    <t>VN000QA7EN91001 - 66 Earflap Tall Camper Taupe M, One Size</t>
  </si>
  <si>
    <t>VN000XZYE111001</t>
  </si>
  <si>
    <t>Black/Charcoal Checkerbrd</t>
  </si>
  <si>
    <t>VN000XZYE111.  OS</t>
  </si>
  <si>
    <t>VN000XZYE111001 - Vans Laces 36" Black/Charcoal, One Size</t>
  </si>
  <si>
    <t>VN000HJV7D61006</t>
  </si>
  <si>
    <t>MTE Aubrey Primaloft Pu</t>
  </si>
  <si>
    <t>MUSHROOM</t>
  </si>
  <si>
    <t>VN000HJV7D61.  XL</t>
  </si>
  <si>
    <t>VN000HJV7D61006 - MTE Aubrey Primaloft Pu MUSHROO, X Large</t>
  </si>
  <si>
    <t>VN000HZBBLK1020</t>
  </si>
  <si>
    <t>VN000HZBBLK132 30</t>
  </si>
  <si>
    <t>VN000HZBBLK1020 - Authentic Chino Relaxed Black, 30, 32</t>
  </si>
  <si>
    <t>VN000RD71O71003</t>
  </si>
  <si>
    <t>EARTHBOUND LOOSE PO FLE</t>
  </si>
  <si>
    <t>VN000RD71O71.  S</t>
  </si>
  <si>
    <t>VN000RD71O71003 - EARTHBOUND LOOSE PO FLE Asphalt, Small</t>
  </si>
  <si>
    <t>VN0A7Y3X6OG1004</t>
  </si>
  <si>
    <t>Classic Vans PO-B</t>
  </si>
  <si>
    <t>Concrete Heather/Black</t>
  </si>
  <si>
    <t>VN0A7Y3X6OG1.  S</t>
  </si>
  <si>
    <t>VN0A7Y3X6OG1004 - Classic Vans PO-B Concrete Heathe, Small</t>
  </si>
  <si>
    <t>63%COTTON 37%POLYESTER</t>
  </si>
  <si>
    <t>VN000CWE8871016</t>
  </si>
  <si>
    <t>MTE UltraRange Neo VR3</t>
  </si>
  <si>
    <t>Spa Blue</t>
  </si>
  <si>
    <t>VN000CWE8871M  040</t>
  </si>
  <si>
    <t>Translucent Ripstop</t>
  </si>
  <si>
    <t>VN000CWE8871016 - UltraRange Neo VR3 TRAN TQSAQ, 4, Medium</t>
  </si>
  <si>
    <t>VN000D0H11E1002</t>
  </si>
  <si>
    <t>VN000D0H11E1M  120</t>
  </si>
  <si>
    <t>VN000D0H11E1002 - SK8-Hi Insulated VNTG DKPPL, 12, Medium</t>
  </si>
  <si>
    <t>VN000D4SCFL1012</t>
  </si>
  <si>
    <t>Old Skool V Heart</t>
  </si>
  <si>
    <t>CITADEL</t>
  </si>
  <si>
    <t>VN000D4SCFL1M  060</t>
  </si>
  <si>
    <t>VN000D4SCFL1012 - Old Skool V Heart CITADEL, 6, Medium</t>
  </si>
  <si>
    <t>VN000E9XIVG1014</t>
  </si>
  <si>
    <t>VN000E9XIVG1M  060</t>
  </si>
  <si>
    <t>VN000E9XIVG1014 - Knu Skool Ivy Green, 6, Medium</t>
  </si>
  <si>
    <t>VN000HTHBLK1001</t>
  </si>
  <si>
    <t>Miles Half Crew</t>
  </si>
  <si>
    <t>VN000HTHBLK1.  651</t>
  </si>
  <si>
    <t>VN000HTHBLK1001 - Miles Half Crew Black, 6.5-10</t>
  </si>
  <si>
    <t>70%Cotton 20%Polyester 7%Nylon 3%Elastane</t>
  </si>
  <si>
    <t>VN000Q94EN71002</t>
  </si>
  <si>
    <t>VN000Q94EN71.  XXS</t>
  </si>
  <si>
    <t>VN000Q94EN71002 - Classic Script Half Cre Pink D, XX Small</t>
  </si>
  <si>
    <t>VN000QCFY281001</t>
  </si>
  <si>
    <t>VN000QCFY281.  OS</t>
  </si>
  <si>
    <t>VN000QCFY281001 - Off The Wall Twofer Glo Black/, One Size</t>
  </si>
  <si>
    <t>YARN 1 :100%NYLON FLUFFY YARN               YARN 2 :69% ACRYLIC,27%POLYESTER,4%SPANDEX</t>
  </si>
  <si>
    <t>VN000G75D6Z1002</t>
  </si>
  <si>
    <t>PORCELAIN ROSE</t>
  </si>
  <si>
    <t>VN000G75D6Z119 S</t>
  </si>
  <si>
    <t>VN000G75D6Z1002 - PRIMARY SOLID ELASTIC B Porce, Small, 19</t>
  </si>
  <si>
    <t>VN000PHDEMF1005</t>
  </si>
  <si>
    <t>Drill Chore Carpenter L</t>
  </si>
  <si>
    <t>Bay Leaf</t>
  </si>
  <si>
    <t>VN000PHDEMF1REG32</t>
  </si>
  <si>
    <t>VN000PHDEMF1005 - Drill Chore Carpenter L Bay, 32, Regular</t>
  </si>
  <si>
    <t>VN0A7Y3X6OG1001</t>
  </si>
  <si>
    <t>VN0A7Y3X6OG1.  L</t>
  </si>
  <si>
    <t>VN0A7Y3X6OG1001 - Classic Vans PO-B Concrete Heathe, Large</t>
  </si>
  <si>
    <t>VN000Q9DBLK1001</t>
  </si>
  <si>
    <t>Gotsman Messenger</t>
  </si>
  <si>
    <t>VN000Q9DBLK1.  OS</t>
  </si>
  <si>
    <t>VN UNISEX BAGS</t>
  </si>
  <si>
    <t>VN000Q9DBLK1001 - Gotsman Messenger Black, One Size</t>
  </si>
  <si>
    <t>6145 - VN UX BAGS</t>
  </si>
  <si>
    <t>Shell : 100% Cotton; Lining : 100% Polyester, Polyurethane coating</t>
  </si>
  <si>
    <t>VN0007P9CL21008</t>
  </si>
  <si>
    <t>MAUVE</t>
  </si>
  <si>
    <t>VN0007P9CL21M  060</t>
  </si>
  <si>
    <t>VN0007P9CL21008 - Caldrone SUME MAUVE, 6, Medium</t>
  </si>
  <si>
    <t>VN000CTGYJ71015</t>
  </si>
  <si>
    <t>Black/Green</t>
  </si>
  <si>
    <t>VN000CTGYJ71M  060</t>
  </si>
  <si>
    <t>Glow Cosmic Cruisers</t>
  </si>
  <si>
    <t>VN000CTGYJ71015 - Old Skool V GLOW BLKGR, 6, Medium</t>
  </si>
  <si>
    <t>VN000CWE4QU1004</t>
  </si>
  <si>
    <t>VN000CWE4QU1M  040</t>
  </si>
  <si>
    <t>PERF SUEDE</t>
  </si>
  <si>
    <t>VN000CWE4QU1004 - UltraRange Neo VR3 PFSU DRRED, 4, Medium</t>
  </si>
  <si>
    <t>VN000CYAYLZ1005</t>
  </si>
  <si>
    <t>VN000CYAYLZ1M  025</t>
  </si>
  <si>
    <t>VN000CYAYLZ1005 - Old Skool V GLTR RASRO, 2.5, Medium</t>
  </si>
  <si>
    <t>VN000D1JY231003</t>
  </si>
  <si>
    <t>Black/Yellow</t>
  </si>
  <si>
    <t>VN000D1JY231M  065</t>
  </si>
  <si>
    <t>VN000D1JY231003 - Hylane Black/Yellow, 6.5, Medium</t>
  </si>
  <si>
    <t>VN000E9ZYF51003</t>
  </si>
  <si>
    <t>VN000E9ZYF51M  065</t>
  </si>
  <si>
    <t>VN000E9ZYF51003 - Knu Skool Baby Blue/White, 6.5, Medium</t>
  </si>
  <si>
    <t>VN000QB8EMU1002</t>
  </si>
  <si>
    <t>Dried Kelp</t>
  </si>
  <si>
    <t>VN000QB8EMU1.  M</t>
  </si>
  <si>
    <t>VN000QB8EMU1002 - Stowers Crew Dried Kelp, Medium</t>
  </si>
  <si>
    <t>VN0A7PQZEN71001</t>
  </si>
  <si>
    <t>Belden Shades</t>
  </si>
  <si>
    <t>VN0A7PQZEN71.  OS</t>
  </si>
  <si>
    <t>VN0A7PQZEN71001 - Belden Shades Pink Dawn, One Size</t>
  </si>
  <si>
    <t>VN000G75D6Z1004</t>
  </si>
  <si>
    <t>VN000G75D6Z119 M</t>
  </si>
  <si>
    <t>VN000G75D6Z1004 - PRIMARY SOLID ELASTIC B Porc, Medium, 19</t>
  </si>
  <si>
    <t>VN000G75D6Z1012</t>
  </si>
  <si>
    <t>VN000G75D6Z119 XL</t>
  </si>
  <si>
    <t>VN000G75D6Z1012 - PRIMARY SOLID ELASTIC B Por, X Large, 19</t>
  </si>
  <si>
    <t>VN000K3NBLK1001</t>
  </si>
  <si>
    <t>MTE Crosspath Legging</t>
  </si>
  <si>
    <t>VN000K3NBLK1.  XXS</t>
  </si>
  <si>
    <t>VN000K3NBLK1001 - MTE Crosspath Legging Black, XX Small</t>
  </si>
  <si>
    <t>75% Polyester 25% Elastane</t>
  </si>
  <si>
    <t>VN000MFWUUI1006</t>
  </si>
  <si>
    <t>Daisy Break Zip Hoodie</t>
  </si>
  <si>
    <t>VN000MFWUUI1.  5</t>
  </si>
  <si>
    <t>VN LITTLE KIDS APPAREL</t>
  </si>
  <si>
    <t>VN LITTLE KIDS TOPS</t>
  </si>
  <si>
    <t>VN000MFWUUI1006 - Daisy Break Zip Hoodie EVENING HAZE, 5</t>
  </si>
  <si>
    <t>60% COTTON 40% POLYESTER</t>
  </si>
  <si>
    <t>VN000PX3EN61001</t>
  </si>
  <si>
    <t>Metal Wall</t>
  </si>
  <si>
    <t>VN000PX3EN61.  L</t>
  </si>
  <si>
    <t>VN000PX3EN61001 - Metal Wall Pine Forest, Large</t>
  </si>
  <si>
    <t>VN000D0HKCZ1004</t>
  </si>
  <si>
    <t>VN000D0HKCZ1M  120</t>
  </si>
  <si>
    <t>VN000D0HKCZ1004 - SK8-Hi Insulated VNTG DGREN, 12, Medium</t>
  </si>
  <si>
    <t>VN000D1JY231005</t>
  </si>
  <si>
    <t>VN000D1JY231M  080</t>
  </si>
  <si>
    <t>VN000D1JY231005 - Hylane Black/Yellow, 8, Medium</t>
  </si>
  <si>
    <t>VN000E9F5TU1001</t>
  </si>
  <si>
    <t>Brooklyn Mid V</t>
  </si>
  <si>
    <t>True Navy</t>
  </si>
  <si>
    <t>VN000E9F5TU1M  060</t>
  </si>
  <si>
    <t>SUEDE/CANVAS</t>
  </si>
  <si>
    <t>VN000E9F5TU1001 - Brooklyn Mid V SUCV NAVY, 6, Medium</t>
  </si>
  <si>
    <t>VN000ECUB5P1007</t>
  </si>
  <si>
    <t>VN000ECUB5P1M  065</t>
  </si>
  <si>
    <t>VN000ECUB5P1007 - Old Skool KPDH BLKPL, 6.5, Medium</t>
  </si>
  <si>
    <t>VN000Q1RHTG1002</t>
  </si>
  <si>
    <t>VN000Q1RHTG1.  XXS</t>
  </si>
  <si>
    <t>VN000Q1RHTG1002 - Classic Half Crew Heather Grey, XX Small</t>
  </si>
  <si>
    <t>65%Cotton 25%Polyester 5%Nylon 3%Elastodiene 2%Elastane</t>
  </si>
  <si>
    <t>VN000G75D6Z1007</t>
  </si>
  <si>
    <t>VN000G75D6Z117 L</t>
  </si>
  <si>
    <t>VN000G75D6Z1007 - PRIMARY SOLID ELASTIC B Porce, Large, 17</t>
  </si>
  <si>
    <t>VN000M6ZZBF1002</t>
  </si>
  <si>
    <t>VN000M6ZZBF1.  XS</t>
  </si>
  <si>
    <t>VN000M6ZZBF1002 - MTE Cascade Pant LODEN GREEN, X Small</t>
  </si>
  <si>
    <t>VN000MN07WM1006</t>
  </si>
  <si>
    <t>Night Watchers Fleece P</t>
  </si>
  <si>
    <t>VN000MN07WM1.  7</t>
  </si>
  <si>
    <t>VN LITTLE KIDS BOTTOMS</t>
  </si>
  <si>
    <t>VN000MN07WM1006 - Night Watchers Fleece P TrBl, 7</t>
  </si>
  <si>
    <t>70% cotton 30% polyester</t>
  </si>
  <si>
    <t>VN000PDRBLK1005</t>
  </si>
  <si>
    <t>VN000PDRBLK1.  M</t>
  </si>
  <si>
    <t>VN000PDRBLK1005 - Star Checker SS Black, Medium</t>
  </si>
  <si>
    <t>VN000RG2BLK1004</t>
  </si>
  <si>
    <t>EVOLVE PO HOODIE</t>
  </si>
  <si>
    <t>VN000RG2BLK1.  S</t>
  </si>
  <si>
    <t>VN000RG2BLK1004 - EVOLVE PO HOODIE Black, Small</t>
  </si>
  <si>
    <t>70% COTTON, 30% POLYESTER</t>
  </si>
  <si>
    <t>VN000RG4BLK1002</t>
  </si>
  <si>
    <t>VN000RG4BLK1.  L</t>
  </si>
  <si>
    <t>VN000RG4BLK1002 - EVOLVE SS Black, Large</t>
  </si>
  <si>
    <t>VN0A5LMECR21006</t>
  </si>
  <si>
    <t>VN0A5LMECR21.  M</t>
  </si>
  <si>
    <t>VN0A5LMECR21006 - JESSIE DRESS COSMIC SKY, Medium</t>
  </si>
  <si>
    <t>VN000D26EWR1010</t>
  </si>
  <si>
    <t>VN000D26EWR1M  110</t>
  </si>
  <si>
    <t>VN000D26EWR1010 - Hylane RTSK GRYGR, 11, Medium</t>
  </si>
  <si>
    <t>VN0A5HF8BLK1013</t>
  </si>
  <si>
    <t>VN0A5HF8BLK1M  070</t>
  </si>
  <si>
    <t>VN0A5HF8BLK1013 - Slip-On TRK Black, 7, Medium</t>
  </si>
  <si>
    <t>VN000BHXBLK1002</t>
  </si>
  <si>
    <t>VN000BHXBLK1.  951</t>
  </si>
  <si>
    <t>VN000BHXBLK1002 - Classic Half Crew Black, 9.5-13</t>
  </si>
  <si>
    <t>42.5-47</t>
  </si>
  <si>
    <t>73% Cotton 17% Polyester 5% Polyamide 3% Elastodiene 2% Elastane</t>
  </si>
  <si>
    <t>VN000PKT1NU1002</t>
  </si>
  <si>
    <t>MTE Toptrails Crew</t>
  </si>
  <si>
    <t>VN000PKT1NU1.  M</t>
  </si>
  <si>
    <t>VN000PKT1NU1002 - MTE Toptrails Crew Walnut, Medium</t>
  </si>
  <si>
    <t>58%Polyester 36%Cotton 5%Elastane 1%Nylon</t>
  </si>
  <si>
    <t>VN000HJV7D61001</t>
  </si>
  <si>
    <t>VN000HJV7D61.  L</t>
  </si>
  <si>
    <t>VN000HJV7D61001 - MTE Aubrey Primaloft Pu MUSHROOM, Large</t>
  </si>
  <si>
    <t>VN000HZABLK1005</t>
  </si>
  <si>
    <t>Authentic Chino Slim Pa</t>
  </si>
  <si>
    <t>VN000HZABLK132 30</t>
  </si>
  <si>
    <t>VN000HZABLK1005 - Authentic Chino Slim Pa Black, 30, 32</t>
  </si>
  <si>
    <t>58% Cotton 40% Polyester 2% Spandex</t>
  </si>
  <si>
    <t>VN000NTSD6Z1004</t>
  </si>
  <si>
    <t>66 BAKED IN LOOSE SS</t>
  </si>
  <si>
    <t>VN000NTSD6Z1.  M</t>
  </si>
  <si>
    <t>VN000NTSD6Z1004 - 66 BAKED IN LOOSE SS Porcelain R, Medium</t>
  </si>
  <si>
    <t>VN000CQ0O331010</t>
  </si>
  <si>
    <t>SK8-Mid Reissue V</t>
  </si>
  <si>
    <t>PASTEL BLUE</t>
  </si>
  <si>
    <t>VN000CQ0O331M  060</t>
  </si>
  <si>
    <t>LEOPARD GLITTER</t>
  </si>
  <si>
    <t>VN000CQ0O331010 - SK8-Mid Reissue V LEGL LTBLU, 6, Medium</t>
  </si>
  <si>
    <t>VN000CS5RV21001</t>
  </si>
  <si>
    <t>STORMY WEATHER</t>
  </si>
  <si>
    <t>VN000CS5RV21M  040</t>
  </si>
  <si>
    <t>VN000CS5RV21001 - Old Skool Crib CTHR BLACK, 4, Medium</t>
  </si>
  <si>
    <t>VN000CWEBFA1010</t>
  </si>
  <si>
    <t>DARK BROWN/WHITE</t>
  </si>
  <si>
    <t>VN000CWEBFA1M  040</t>
  </si>
  <si>
    <t>VN000CWEBFA1010 - UltraRange Neo VR3 TRAN WHITE, 4, Medium</t>
  </si>
  <si>
    <t>VN000CWEYX21010</t>
  </si>
  <si>
    <t>BLACK/BLUSH</t>
  </si>
  <si>
    <t>VN000CWEYX21M  040</t>
  </si>
  <si>
    <t>VN000CWEYX21010 - UltraRange Neo VR3 BLACK/BLUS, 4, Medium</t>
  </si>
  <si>
    <t>VN000CYAYLZ1006</t>
  </si>
  <si>
    <t>VN000CYAYLZ1M  015</t>
  </si>
  <si>
    <t>VN000CYAYLZ1006 - Old Skool V GLTR RASRO, 1.5, Medium</t>
  </si>
  <si>
    <t>VN000D1JY231006</t>
  </si>
  <si>
    <t>VN000D1JY231M  060</t>
  </si>
  <si>
    <t>VN000D1JY231006 - Hylane Black/Yellow, 6, Medium</t>
  </si>
  <si>
    <t>VN000ED891K1004</t>
  </si>
  <si>
    <t>SK8-Hi Waterproof Ins</t>
  </si>
  <si>
    <t>sepia/marshmallow</t>
  </si>
  <si>
    <t>VN000ED891K1M  110</t>
  </si>
  <si>
    <t>VN000ED891K1004 - SK8-Hi Waterproof Ins sepia/, 11, Medium</t>
  </si>
  <si>
    <t>VN000HJV7D61002</t>
  </si>
  <si>
    <t>VN000HJV7D61.  S</t>
  </si>
  <si>
    <t>VN000HJV7D61002 - MTE Aubrey Primaloft Pu MUSHROOM, Small</t>
  </si>
  <si>
    <t>VN000M39D4C1003</t>
  </si>
  <si>
    <t>TURKISH COFFEE</t>
  </si>
  <si>
    <t>VN000M39D4C1REG28</t>
  </si>
  <si>
    <t>VN000M39D4C1003 - Drill Chore Carpenter L Tur, 28, Regular</t>
  </si>
  <si>
    <t>VN000CQRO3N1016</t>
  </si>
  <si>
    <t>Sport Low</t>
  </si>
  <si>
    <t>VN000CQRO3N1M  050</t>
  </si>
  <si>
    <t>GUM</t>
  </si>
  <si>
    <t>VN000CQRO3N1016 - Sport Low GUM MDPNK, 5, Medium</t>
  </si>
  <si>
    <t>Fashion Lifestyle, Sports Inspired, Monobrand</t>
  </si>
  <si>
    <t>VN000CTNBP61004</t>
  </si>
  <si>
    <t>Speed LS</t>
  </si>
  <si>
    <t>BLACK/TRUE WHITE</t>
  </si>
  <si>
    <t>VN000CTNBP61M  110</t>
  </si>
  <si>
    <t>VN000CTNBP61004 - Speed LS BLACK/TRUE WHIT, 11, Medium</t>
  </si>
  <si>
    <t>Majority Leather w/ Synthetic</t>
  </si>
  <si>
    <t>VN000D60BRO1007</t>
  </si>
  <si>
    <t>Ultrarange 2.0 RW</t>
  </si>
  <si>
    <t>Brown</t>
  </si>
  <si>
    <t>VN000D60BRO1M  080</t>
  </si>
  <si>
    <t>VN000D60BRO1007 - Ultrarange 2.0 RW Brown, 8, Medium</t>
  </si>
  <si>
    <t>VN00046QE2W1005</t>
  </si>
  <si>
    <t>CENTER VEE WASH TEE DRE</t>
  </si>
  <si>
    <t>Heritage Blue</t>
  </si>
  <si>
    <t>VN00046QE2W1.  XS</t>
  </si>
  <si>
    <t>VN00046QE2W1005 - CENTER VEE WASH TEE DRE Heritag, X Small</t>
  </si>
  <si>
    <t>VN0008KUBML1004</t>
  </si>
  <si>
    <t>VN0008KUBML1REGS</t>
  </si>
  <si>
    <t>VN0008KUBML1004 - PRIMARY PRINT ELASTIC B, Small, Regular</t>
  </si>
  <si>
    <t>VN0008KUJDU1002</t>
  </si>
  <si>
    <t>VN0008KUJDU1REGM</t>
  </si>
  <si>
    <t>VN0008KUJDU1002 - PRIMARY PRINT ELASTIC B, Medium, Regular</t>
  </si>
  <si>
    <t>VN000HDVM8I1005</t>
  </si>
  <si>
    <t>Almondwood Sweater Vest</t>
  </si>
  <si>
    <t>GRAY MIST</t>
  </si>
  <si>
    <t>VN000HDVM8I1.  XL</t>
  </si>
  <si>
    <t>VN000HDVM8I1005 - Almondwood Sweater Vest GRAY MI, X Large</t>
  </si>
  <si>
    <t>6013 - VN MN SWEATERS</t>
  </si>
  <si>
    <t>2/32 60% Cotton 40% Polyester 12GG 1 END</t>
  </si>
  <si>
    <t>VN000KXMY7U1011</t>
  </si>
  <si>
    <t>VN000KXMY7U1REG30</t>
  </si>
  <si>
    <t>VN000KXMY7U1011 - Skate Check-5 Loose Den AFT, 30, Regular</t>
  </si>
  <si>
    <t>VN000M12IYR1006</t>
  </si>
  <si>
    <t>Palmhill Denim LS Woven</t>
  </si>
  <si>
    <t>FADED DENIM</t>
  </si>
  <si>
    <t>VN000M12IYR1.  XL</t>
  </si>
  <si>
    <t>VN000M12IYR1006 - Palmhill Denim LS Woven FADED D, X Large</t>
  </si>
  <si>
    <t>6012 - VN MN SHIRTS</t>
  </si>
  <si>
    <t>VN000MBCWHT1005</t>
  </si>
  <si>
    <t>VN000MBCWHT1.  XS</t>
  </si>
  <si>
    <t>VN000MBCWHT1005 - Alicia Boxer Shorts White, X Small</t>
  </si>
  <si>
    <t>VN000NWP1O71003</t>
  </si>
  <si>
    <t>Z LEGACY LOOSE FT PO</t>
  </si>
  <si>
    <t>VN000NWP1O71.  S</t>
  </si>
  <si>
    <t>VN000NWP1O71003 - Z LEGACY LOOSE FT PO Asphalt, Small</t>
  </si>
  <si>
    <t>VN000QF32N11002</t>
  </si>
  <si>
    <t>Everyday OS Hoodie</t>
  </si>
  <si>
    <t>VN000QF32N11.  S</t>
  </si>
  <si>
    <t>VN000QF32N11002 - Everyday OS Hoodie oatmeal, Small</t>
  </si>
  <si>
    <t>VN0A3WF1H3G1001</t>
  </si>
  <si>
    <t>MN DRILL CHORE COAT</t>
  </si>
  <si>
    <t>MILITARY KHAKI</t>
  </si>
  <si>
    <t>VN0A3WF1H3G1.  XS</t>
  </si>
  <si>
    <t>VN0A3WF1H3G1001 - MN DRILL CHORE COAT MILITARY KH, X Small</t>
  </si>
  <si>
    <t>IN - India</t>
  </si>
  <si>
    <t>VN0A7YUTWHT1007</t>
  </si>
  <si>
    <t>Flying V Oversized</t>
  </si>
  <si>
    <t>VN0A7YUTWHT1.  L</t>
  </si>
  <si>
    <t>FLYING V</t>
  </si>
  <si>
    <t>VN0A7YUTWHT1007 - Flying V Oversized FLYV WHITE, Large</t>
  </si>
  <si>
    <t>VN000BCECCZ1001</t>
  </si>
  <si>
    <t>VN000BCECCZ1M  130</t>
  </si>
  <si>
    <t>VN000BCECCZ1001 - UltraRange Neo VR3 MARSHMALL, 13, Medium</t>
  </si>
  <si>
    <t>VN000E9XIVG1002</t>
  </si>
  <si>
    <t>VN000E9XIVG1M  120</t>
  </si>
  <si>
    <t>VN000E9XIVG1002 - Knu Skool Ivy Green, 12, Medium</t>
  </si>
  <si>
    <t>VN000J5UBLK1001</t>
  </si>
  <si>
    <t>VN000J5UBLK1.  OS</t>
  </si>
  <si>
    <t>VN TODDLERS HEADWEAR</t>
  </si>
  <si>
    <t>VN000J5UBLK1001 - Core Basic Cuff Beanie Black, One Size</t>
  </si>
  <si>
    <t>VN000Q1FBRD1001</t>
  </si>
  <si>
    <t>Vans Classic Cuff Beani</t>
  </si>
  <si>
    <t>VN000Q1FBRD1.  OS</t>
  </si>
  <si>
    <t>VN000Q1FBRD1001 - Vans Classic Cuff Beani Bordea, One Size</t>
  </si>
  <si>
    <t>VN000Q20ZJY1001</t>
  </si>
  <si>
    <t>VN000Q20ZJY1.  122</t>
  </si>
  <si>
    <t>VN000Q20ZJY1001 - Vans Drop V Crew POWDER PI, 12-24 Months</t>
  </si>
  <si>
    <t>61%Cotton 24%Polyester 10%Nylon 3%Elastodiene  2%Elastane</t>
  </si>
  <si>
    <t>VN000QBEF0E1002</t>
  </si>
  <si>
    <t>Black/Burnt Gold</t>
  </si>
  <si>
    <t>VN000QBEF0E1.  S</t>
  </si>
  <si>
    <t>VN000QBEF0E1002 - Vans Drop V Crew Black/Burnt Gol, Small</t>
  </si>
  <si>
    <t>66%Cotton 27%Polyester 3%Elastodiene 2%Nylon 2%Elastane</t>
  </si>
  <si>
    <t>VN000QCMBLK1005</t>
  </si>
  <si>
    <t>Got You Belt</t>
  </si>
  <si>
    <t>VN000QCMBLK1.  34</t>
  </si>
  <si>
    <t>VN000QCMBLK1005 - Got You Belt Black, 34</t>
  </si>
  <si>
    <t>100% Cow Leather, EOD</t>
  </si>
  <si>
    <t>VN000QQWFLM1001</t>
  </si>
  <si>
    <t>CORE BASICS BEANIE</t>
  </si>
  <si>
    <t>Flame</t>
  </si>
  <si>
    <t>VN000QQWFLM1.  OS</t>
  </si>
  <si>
    <t>VN000QQWFLM1001 - CORE BASICS BEANIE Flame, One Size</t>
  </si>
  <si>
    <t>VN0A7YTTBM51001</t>
  </si>
  <si>
    <t>VN0A7YTTBM51.  ML</t>
  </si>
  <si>
    <t>ML</t>
  </si>
  <si>
    <t>VN0A7YTTBM51001 - SUNBREAKER SUN BAKED, Medium/Large</t>
  </si>
  <si>
    <t>VN0008KUBML1006</t>
  </si>
  <si>
    <t>VN0008KUBML1REGL</t>
  </si>
  <si>
    <t>VN0008KUBML1006 - PRIMARY PRINT ELASTIC B, Large, Regular</t>
  </si>
  <si>
    <t>VN000G75BL21002</t>
  </si>
  <si>
    <t>VN000G75BL2119 S</t>
  </si>
  <si>
    <t>VN000G75BL21002 - PRIMARY SOLID ELASTIC B HARVE, Small, 19</t>
  </si>
  <si>
    <t>VN000HZCBLK1010</t>
  </si>
  <si>
    <t>Authentic Chino Loose P</t>
  </si>
  <si>
    <t>VN000HZCBLK130 33</t>
  </si>
  <si>
    <t>VN000HZCBLK1010 - Authentic Chino Loose P Black, 33, 30</t>
  </si>
  <si>
    <t>62% Polyester, 36% Cotton, 2% Elastane</t>
  </si>
  <si>
    <t>VN000KMZNAV1001</t>
  </si>
  <si>
    <t>Classic Drop V SS Cre-B</t>
  </si>
  <si>
    <t>Navy/White</t>
  </si>
  <si>
    <t>VN000KMZNAV1.  M</t>
  </si>
  <si>
    <t>VN000KMZNAV1001 - Classic Drop V SS Cre-B Navy/Whi, Medium</t>
  </si>
  <si>
    <t>VN000M27CFL1001</t>
  </si>
  <si>
    <t>Check-5 Loose Denim Pan</t>
  </si>
  <si>
    <t>VN000M27CFL1REG32</t>
  </si>
  <si>
    <t>VN000M27CFL1001 - Check-5 Loose Denim Pan CIT, 32, Regular</t>
  </si>
  <si>
    <t>VN000MBEE301008</t>
  </si>
  <si>
    <t>Jennifer Shortie</t>
  </si>
  <si>
    <t>VN000MBEE301.  32</t>
  </si>
  <si>
    <t>VN000MBEE301008 - Jennifer Shortie Lemon Icing, 32</t>
  </si>
  <si>
    <t>VN000PDREN71006</t>
  </si>
  <si>
    <t>VN000PDREN71.  L</t>
  </si>
  <si>
    <t>VN000PDREN71006 - Star Checker SS Pink Dawn, Large</t>
  </si>
  <si>
    <t>VN000PFBEMU1005</t>
  </si>
  <si>
    <t>Original Standards Bloc</t>
  </si>
  <si>
    <t>VN000PFBEMU1.  M</t>
  </si>
  <si>
    <t>VN000PFBEMU1005 - Original Standards Bloc Dried Ke, Medium</t>
  </si>
  <si>
    <t>VN000RG21QI1001</t>
  </si>
  <si>
    <t>Light Grey Heather</t>
  </si>
  <si>
    <t>VN000RG21QI1.  S</t>
  </si>
  <si>
    <t>VN000RG21QI1001 - EVOLVE PO HOODIE Light Grey Heat, Small</t>
  </si>
  <si>
    <t>VN0010J9BLK1006</t>
  </si>
  <si>
    <t>VN0010J9BLK1.  L</t>
  </si>
  <si>
    <t>VN0010J9BLK1006 - Fck The Algorithm SS Te Black, Large</t>
  </si>
  <si>
    <t>VN000CQ0O331004</t>
  </si>
  <si>
    <t>VN000CQ0O331M  070</t>
  </si>
  <si>
    <t>VN000CQ0O331004 - SK8-Mid Reissue V LEGL LTBLU, 7, Medium</t>
  </si>
  <si>
    <t>VN000CQ0O331008</t>
  </si>
  <si>
    <t>VN000CQ0O331M  095</t>
  </si>
  <si>
    <t>VN000CQ0O331008 - SK8-Mid Reissue V LEGL LTBL, 9.5, Medium</t>
  </si>
  <si>
    <t>VN000CTGYLZ1010</t>
  </si>
  <si>
    <t>VN000CTGYLZ1M  060</t>
  </si>
  <si>
    <t>VN000CTGYLZ1010 - Old Skool V GLTR RASRO, 6, Medium</t>
  </si>
  <si>
    <t>VN000D4M2391007</t>
  </si>
  <si>
    <t>Hylane V</t>
  </si>
  <si>
    <t>GRAY/BLACK</t>
  </si>
  <si>
    <t>VN000D4M2391M  020</t>
  </si>
  <si>
    <t>VN TODDLERS LIFESTYLE FTW</t>
  </si>
  <si>
    <t>VN000D4M2391007 - Hylane V GRAY/BLACK, 2, Medium</t>
  </si>
  <si>
    <t>VN000D70CHG1001</t>
  </si>
  <si>
    <t>Upland</t>
  </si>
  <si>
    <t>DEEP TAUPE</t>
  </si>
  <si>
    <t>VN000D70CHG1M  130</t>
  </si>
  <si>
    <t>NEUTRALS</t>
  </si>
  <si>
    <t>VN000D70CHG1001 - Upland NEUT DEEPT, 13, Medium</t>
  </si>
  <si>
    <t>VN000E9YBGP1007</t>
  </si>
  <si>
    <t>VN000E9YBGP1M  045</t>
  </si>
  <si>
    <t>VN000E9YBGP1007 - Old Skool LIGHT BLUE/GUM, 4.5, Medium</t>
  </si>
  <si>
    <t>VN000BHXWHT1001</t>
  </si>
  <si>
    <t>VN000BHXWHT1.  951</t>
  </si>
  <si>
    <t>VN000BHXWHT1001 - Classic Half Crew White, 9.5-13</t>
  </si>
  <si>
    <t>VN000QAQEMU1001</t>
  </si>
  <si>
    <t>Hildy Bucket</t>
  </si>
  <si>
    <t>VN000QAQEMU1.  LXL</t>
  </si>
  <si>
    <t>VN000QAQEMU1001 - Hildy Bucket Dried Kelp, Large/X Large</t>
  </si>
  <si>
    <t>SHELL:90%POLYESTER 10% WOOL LINING:100%COTTON</t>
  </si>
  <si>
    <t>VN000R51WHT1001</t>
  </si>
  <si>
    <t>Skate Atiba Haze Crew</t>
  </si>
  <si>
    <t>VN000R51WHT1.  S</t>
  </si>
  <si>
    <t>VN000R51WHT1001 - Skate Atiba Haze Crew White, Small</t>
  </si>
  <si>
    <t>VN000K3MBLK1001</t>
  </si>
  <si>
    <t>MTE CROSSPATH BRA</t>
  </si>
  <si>
    <t>VN000K3MBLK1.  XXS</t>
  </si>
  <si>
    <t>VN000K3MBLK1001 - MTE CROSSPATH BRA Black, XX Small</t>
  </si>
  <si>
    <t>6154 - VN WM BRA</t>
  </si>
  <si>
    <t>VN000M3GJDU1002</t>
  </si>
  <si>
    <t>VN000M3GJDU1REGXL</t>
  </si>
  <si>
    <t>VN000M3GJDU1002 - Primary Crazy Print Lo, X Large, Regular</t>
  </si>
  <si>
    <t>VN000M3GJDU1004</t>
  </si>
  <si>
    <t>VN000M3GJDU1REGXS</t>
  </si>
  <si>
    <t>VN000M3GJDU1004 - Primary Crazy Print Lo, X Small, Regular</t>
  </si>
  <si>
    <t>VN000MJJCDX1006</t>
  </si>
  <si>
    <t>VN000MJJCDX1REG27</t>
  </si>
  <si>
    <t>VN000MJJCDX1006 - Check-5 Blaze Loose Pan STO, 27, Regular</t>
  </si>
  <si>
    <t>VN000PPMBLK1001</t>
  </si>
  <si>
    <t>Shining Zip</t>
  </si>
  <si>
    <t>VN000PPMBLK1.  L</t>
  </si>
  <si>
    <t>VN000PPMBLK1001 - Shining Zip Black, Large</t>
  </si>
  <si>
    <t>VN0007P9CL21003</t>
  </si>
  <si>
    <t>VN0007P9CL21M  085</t>
  </si>
  <si>
    <t>VN0007P9CL21003 - Caldrone SUME MAUVE, 8.5, Medium</t>
  </si>
  <si>
    <t>VN000CMXN1Z1012</t>
  </si>
  <si>
    <t>GLAZED GINGER</t>
  </si>
  <si>
    <t>VN000CMXN1Z1M  130</t>
  </si>
  <si>
    <t>PIG SUEDE PLAID</t>
  </si>
  <si>
    <t>VN000CMXN1Z1012 - SK8-Hi PIGS RUST, 13, Medium</t>
  </si>
  <si>
    <t>6003 - VN MN SHOES HIGH</t>
  </si>
  <si>
    <t>VN000CTG7VF1009</t>
  </si>
  <si>
    <t>VN000CTG7VF1M  070</t>
  </si>
  <si>
    <t>VN000CTG7VF1009 - Old Skool V DAZL DGREY, 7, Medium</t>
  </si>
  <si>
    <t>VN000D0HKCZ1009</t>
  </si>
  <si>
    <t>VN000D0HKCZ1M  025</t>
  </si>
  <si>
    <t>VN000D0HKCZ1009 - SK8-Hi Insulated VNTG DGREN, 2.5, Medium</t>
  </si>
  <si>
    <t>VN000D1JY231009</t>
  </si>
  <si>
    <t>VN000D1JY231M  050</t>
  </si>
  <si>
    <t>VN000D1JY231009 - Hylane Black/Yellow, 5, Medium</t>
  </si>
  <si>
    <t>VN0A38JNLLC1006</t>
  </si>
  <si>
    <t>Lilac</t>
  </si>
  <si>
    <t>VN0A38JNLLC1M  050</t>
  </si>
  <si>
    <t>VN0A38JNLLC1006 - Old Skool V GLTR DPRPL, 5, Medium</t>
  </si>
  <si>
    <t>VN0001TTHU01001</t>
  </si>
  <si>
    <t>VN0001TTHU01.  OS</t>
  </si>
  <si>
    <t>VN0001TTHU01001 - Vans Laces 54" Black/White Che, One Size</t>
  </si>
  <si>
    <t>VN000A92Y281001</t>
  </si>
  <si>
    <t>BREAKIN RULES BEANIE</t>
  </si>
  <si>
    <t>VN000A92Y281.  OS</t>
  </si>
  <si>
    <t>VN000A92Y281001 - BREAKIN RULES BEANIE Black/Whi, One Size</t>
  </si>
  <si>
    <t>VN000PKNEN61001</t>
  </si>
  <si>
    <t>MTE Olmstead Waffle Bea</t>
  </si>
  <si>
    <t>VN000PKNEN61.  OS</t>
  </si>
  <si>
    <t>VN000PKNEN61001 - MTE Olmstead Waffle Bea Pine F, One Size</t>
  </si>
  <si>
    <t>100% RECYCLED POLYESTER (REPREVE)</t>
  </si>
  <si>
    <t>VN000Q9ZBLK1001</t>
  </si>
  <si>
    <t>Off The Wall Jockey</t>
  </si>
  <si>
    <t>VN000Q9ZBLK1.  OS</t>
  </si>
  <si>
    <t>VN000Q9ZBLK1001 - Off The Wall Jockey Black, One Size</t>
  </si>
  <si>
    <t>Shell : 100% Polyester EOD</t>
  </si>
  <si>
    <t>VN000QA1EMJ1001</t>
  </si>
  <si>
    <t>VN000QA1EMJ1.  OS</t>
  </si>
  <si>
    <t>VN000QA1EMJ1001 - Vans Jockey Burnt Gold, One Size</t>
  </si>
  <si>
    <t>VN000QA55TU1001</t>
  </si>
  <si>
    <t>VN000QA55TU1.  OS</t>
  </si>
  <si>
    <t>VN000QA55TU1001 - Classic Script Curved B True N, One Size</t>
  </si>
  <si>
    <t>VN000QAV7UG1001</t>
  </si>
  <si>
    <t>Plaimor Beanie</t>
  </si>
  <si>
    <t>VN000QAV7UG1.  OS</t>
  </si>
  <si>
    <t>VN000QAV7UG1001 - Plaimor Beanie Dchshnd, One Size</t>
  </si>
  <si>
    <t>VN000UOUJ5F1001</t>
  </si>
  <si>
    <t>Milford Beanie</t>
  </si>
  <si>
    <t>VERDANT GREEN</t>
  </si>
  <si>
    <t>VN000UOUJ5F1.  OS</t>
  </si>
  <si>
    <t>VN000UOUJ5F1001 - Milford Beanie VERDANT GREEN, One Size</t>
  </si>
  <si>
    <t>VN000G4MBLK1002</t>
  </si>
  <si>
    <t>LUCKY STREAK SS TEE</t>
  </si>
  <si>
    <t>VN000G4MBLK1.  S</t>
  </si>
  <si>
    <t>VN000G4MBLK1002 - LUCKY STREAK SS TEE Black, Small</t>
  </si>
  <si>
    <t>VN000G75D6Z1003</t>
  </si>
  <si>
    <t>VN000G75D6Z117 S</t>
  </si>
  <si>
    <t>VN000G75D6Z1003 - PRIMARY SOLID ELASTIC B Porce, Small, 17</t>
  </si>
  <si>
    <t>VN000G75D6Z1006</t>
  </si>
  <si>
    <t>VN000G75D6Z119 L</t>
  </si>
  <si>
    <t>VN000G75D6Z1006 - PRIMARY SOLID ELASTIC B Porce, Large, 19</t>
  </si>
  <si>
    <t>VN000HJV7D61005</t>
  </si>
  <si>
    <t>VN000HJV7D61.  M</t>
  </si>
  <si>
    <t>VN000HJV7D61005 - MTE Aubrey Primaloft Pu MUSHROOM, Medium</t>
  </si>
  <si>
    <t>VN000HZBBLK1017</t>
  </si>
  <si>
    <t>VN000HZBBLK132 31</t>
  </si>
  <si>
    <t>VN000HZBBLK1017 - Authentic Chino Relaxed Black, 31, 32</t>
  </si>
  <si>
    <t>VN000JBRZBF1004</t>
  </si>
  <si>
    <t>Vans Boxed PO</t>
  </si>
  <si>
    <t>VN000JBRZBF1.  XL</t>
  </si>
  <si>
    <t>VN000JBRZBF1004 - Vans Boxed PO LODEN GREEN, X Large</t>
  </si>
  <si>
    <t>60% Cotton, 40% Polyester</t>
  </si>
  <si>
    <t>VN000KYXBLK1002</t>
  </si>
  <si>
    <t>Skate Fleece Vest</t>
  </si>
  <si>
    <t>VN000KYXBLK1.  M</t>
  </si>
  <si>
    <t>VN000KYXBLK1002 - Skate Fleece Vest Black, Medium</t>
  </si>
  <si>
    <t>70% Cotton, 30% Polyester</t>
  </si>
  <si>
    <t>VN000M1KBLK1005</t>
  </si>
  <si>
    <t>Star V Pullover</t>
  </si>
  <si>
    <t>VN000M1KBLK1.  XS</t>
  </si>
  <si>
    <t>VN000M1KBLK1005 - Star V Pullover Black, X Small</t>
  </si>
  <si>
    <t>VN000MFWUUI1002</t>
  </si>
  <si>
    <t>VN000MFWUUI1.  3</t>
  </si>
  <si>
    <t>VN000MFWUUI1002 - Daisy Break Zip Hoodie EVENING HAZE, 3</t>
  </si>
  <si>
    <t>VN000PE7WHT1005</t>
  </si>
  <si>
    <t>Happy Spike SS</t>
  </si>
  <si>
    <t>VN000PE7WHT1.  M</t>
  </si>
  <si>
    <t>VN000PE7WHT1005 - Happy Spike SS White, Medium</t>
  </si>
  <si>
    <t>VN000Q09GC61002</t>
  </si>
  <si>
    <t>Midnight</t>
  </si>
  <si>
    <t>VN000Q09GC61REG27</t>
  </si>
  <si>
    <t>VN000Q09GC61002 - Check-5 Loose Denim Pan Mid, 27, Regular</t>
  </si>
  <si>
    <t>VN000R3UU201003</t>
  </si>
  <si>
    <t>VN000R3UU201.  XXS</t>
  </si>
  <si>
    <t>VN000R3UU201003 - Kari Tie Neck Top CLASSIC WHIT, XX Small</t>
  </si>
  <si>
    <t>VN000RG4WHT1001</t>
  </si>
  <si>
    <t>VN000RG4WHT1.  M</t>
  </si>
  <si>
    <t>VN000RG4WHT1001 - EVOLVE SS White, Medium</t>
  </si>
  <si>
    <t>VN000BCE2N11007</t>
  </si>
  <si>
    <t>VN000BCE2N11M  120</t>
  </si>
  <si>
    <t>VN000BCE2N11007 - UltraRange Neo VR3 oatmeal, 12, Medium</t>
  </si>
  <si>
    <t>VN000CWEWHP1018</t>
  </si>
  <si>
    <t>VN000CWEWHP1M  040</t>
  </si>
  <si>
    <t>VN000CWEWHP1018 - UltraRange Neo VR3 PFSU WHTPL, 4, Medium</t>
  </si>
  <si>
    <t>VN000D0HKCZ1002</t>
  </si>
  <si>
    <t>VN000D0HKCZ1M  125</t>
  </si>
  <si>
    <t>VN000D0HKCZ1002 - SK8-Hi Insulated VNTG DGRE, 12.5, Medium</t>
  </si>
  <si>
    <t>VN000D0MBZW1009</t>
  </si>
  <si>
    <t>SK8-Hi Zip Insulated</t>
  </si>
  <si>
    <t>VN000D0MBZW1M  070</t>
  </si>
  <si>
    <t>VN000D0MBZW1009 - SK8-Hi Zip Insulated Black/Wh, 7, Medium</t>
  </si>
  <si>
    <t>VN000D26EWR1015</t>
  </si>
  <si>
    <t>VN000D26EWR1M  080</t>
  </si>
  <si>
    <t>VN000D26EWR1015 - Hylane RTSK GRYGR, 8, Medium</t>
  </si>
  <si>
    <t>VN000NBQFS81001</t>
  </si>
  <si>
    <t>Y2V Strapback</t>
  </si>
  <si>
    <t>VN000NBQFS81.  OS</t>
  </si>
  <si>
    <t>VN000NBQFS81001 - Y2V Strapback marshmallow, One Size</t>
  </si>
  <si>
    <t>VN000PKJBLK1001</t>
  </si>
  <si>
    <t>MTE Windstopper Polarte</t>
  </si>
  <si>
    <t>VN000PKJBLK1.  OS</t>
  </si>
  <si>
    <t>VN000PKJBLK1001 - MTE Windstopper Polarte Black, One Size</t>
  </si>
  <si>
    <t>Main fabric : 100% Polyester Side panel: 100% Nylon  EOD</t>
  </si>
  <si>
    <t>VN000HQ3M8I1002</t>
  </si>
  <si>
    <t>Syd Sweater Vest</t>
  </si>
  <si>
    <t>VN000HQ3M8I1.  XS</t>
  </si>
  <si>
    <t>VN000HQ3M8I1002 - Syd Sweater Vest GRAY MIST, X Small</t>
  </si>
  <si>
    <t>6051 - VN WM SWEATERS</t>
  </si>
  <si>
    <t>100% COTTON 2/20s</t>
  </si>
  <si>
    <t>VN000HUP7WM1001</t>
  </si>
  <si>
    <t>VN000HUP7WM1.  S</t>
  </si>
  <si>
    <t>VN000HUP7WM1001 - Camden Slip Dress TrBl, Small</t>
  </si>
  <si>
    <t>VN000J79BLK1001</t>
  </si>
  <si>
    <t>Drew Rib Tank</t>
  </si>
  <si>
    <t>VN000J79BLK1.  L</t>
  </si>
  <si>
    <t>VN000J79BLK1001 - Drew Rib Tank Black, Large</t>
  </si>
  <si>
    <t>6088 - VN KD SHIRTS</t>
  </si>
  <si>
    <t>VN000M39DZ91009</t>
  </si>
  <si>
    <t>VN000M39DZ91REG28</t>
  </si>
  <si>
    <t>VN000M39DZ91009 - Drill Chore Carpenter L Dir, 28, Regular</t>
  </si>
  <si>
    <t>VN000M77Y7U1005</t>
  </si>
  <si>
    <t>MTE Outline Hybrid Tank</t>
  </si>
  <si>
    <t>VN000M77Y7U1.  XS</t>
  </si>
  <si>
    <t>VN000M77Y7U1005 - MTE Outline Hybrid Tank AFTER D, X Small</t>
  </si>
  <si>
    <t>VN000MBCWHT1001</t>
  </si>
  <si>
    <t>VN000MBCWHT1.  M</t>
  </si>
  <si>
    <t>VN000MBCWHT1001 - Alicia Boxer Shorts White, Medium</t>
  </si>
  <si>
    <t>VN000NDGBLK1005</t>
  </si>
  <si>
    <t>Drew Rib LS Dress</t>
  </si>
  <si>
    <t>VN000NDGBLK1.  S</t>
  </si>
  <si>
    <t>VN000NDGBLK1005 - Drew Rib LS Dress Black, Small</t>
  </si>
  <si>
    <t>58% Cotton, 38% Polyester, 4% Elastane</t>
  </si>
  <si>
    <t>VN000P73Y281004</t>
  </si>
  <si>
    <t>Torrey Nylon Coaches Ja</t>
  </si>
  <si>
    <t>VN000P73Y281.  XS</t>
  </si>
  <si>
    <t>VN000P73Y281004 - Torrey Nylon Coaches Ja Black/W, X Small</t>
  </si>
  <si>
    <t>100% Nylon</t>
  </si>
  <si>
    <t>VN000PBRBLK1003</t>
  </si>
  <si>
    <t>VN000PBRBLK1.  S</t>
  </si>
  <si>
    <t>VN000PBRBLK1003 - Chaos SS Black, Small</t>
  </si>
  <si>
    <t>VN000Q09GC61005</t>
  </si>
  <si>
    <t>VN000Q09GC61REG30</t>
  </si>
  <si>
    <t>VN000Q09GC61005 - Check-5 Loose Denim Pan Mid, 30, Regular</t>
  </si>
  <si>
    <t>VN000RCB1O71002</t>
  </si>
  <si>
    <t>CAFE VANS OS PO</t>
  </si>
  <si>
    <t>VN000RCB1O71.  S</t>
  </si>
  <si>
    <t>VN000RCB1O71002 - CAFE VANS OS PO Asphalt, Small</t>
  </si>
  <si>
    <t>VN000RG41QI1004</t>
  </si>
  <si>
    <t>VN000RG41QI1.  M</t>
  </si>
  <si>
    <t>VN000RG41QI1004 - EVOLVE SS Light Grey Heat, Medium</t>
  </si>
  <si>
    <t>60% cotton 40%polyester</t>
  </si>
  <si>
    <t>VN0A4MQ35TU1004</t>
  </si>
  <si>
    <t>LEFT CHEST TEE</t>
  </si>
  <si>
    <t>VN0A4MQ35TU1.  L</t>
  </si>
  <si>
    <t>VN0A4MQ35TU1004 - LEFT CHEST TEE True Navy, Large</t>
  </si>
  <si>
    <t>VN000F0CBLK1001</t>
  </si>
  <si>
    <t>Roats Bifold Wallet</t>
  </si>
  <si>
    <t>VN000F0CBLK1.  OS</t>
  </si>
  <si>
    <t>VN UNISEX WALLETS</t>
  </si>
  <si>
    <t>VN000F0CBLK1001 - Roats Bifold Wallet Black, One Size</t>
  </si>
  <si>
    <t>6146 - VN UX WALLETS</t>
  </si>
  <si>
    <t>Shell : 100% Polyester, polyurethane coating ;Lining : 100% Recycled Polyester,polyurethane coating</t>
  </si>
  <si>
    <t>VN0007P9CL21013</t>
  </si>
  <si>
    <t>VN0007P9CL21M  100</t>
  </si>
  <si>
    <t>VN0007P9CL21013 - Caldrone SUME MAUVE, 10, Medium</t>
  </si>
  <si>
    <t>VN000BCE2N11009</t>
  </si>
  <si>
    <t>VN000BCE2N11M  110</t>
  </si>
  <si>
    <t>VN000BCE2N11009 - UltraRange Neo VR3 oatmeal, 11, Medium</t>
  </si>
  <si>
    <t>VN000BCEBA21002</t>
  </si>
  <si>
    <t>BLACK/WHITE</t>
  </si>
  <si>
    <t>VN000BCEBA21M  040</t>
  </si>
  <si>
    <t>VN000BCEBA21002 - UltraRange Neo VR3 BLACK/WHIT, 4, Medium</t>
  </si>
  <si>
    <t>VN000CQ0O331012</t>
  </si>
  <si>
    <t>VN000CQ0O331M  050</t>
  </si>
  <si>
    <t>VN000CQ0O331012 - SK8-Mid Reissue V LEGL LTBLU, 5, Medium</t>
  </si>
  <si>
    <t>VN000CQRYLZ1005</t>
  </si>
  <si>
    <t>VN000CQRYLZ1M  040</t>
  </si>
  <si>
    <t>COLOR POP</t>
  </si>
  <si>
    <t>VN000CQRYLZ1005 - Sport Low COLO RASRO, 4, Medium</t>
  </si>
  <si>
    <t>VN000CS5PIB1001</t>
  </si>
  <si>
    <t>VN000CS5PIB1M  040</t>
  </si>
  <si>
    <t>VN000CS5PIB1001 - Old Skool Crib LPRD MDPNK, 4, Medium</t>
  </si>
  <si>
    <t>VN000CTGYLZ1012</t>
  </si>
  <si>
    <t>VN000CTGYLZ1M  050</t>
  </si>
  <si>
    <t>VN000CTGYLZ1012 - Old Skool V GLTR RASRO, 5, Medium</t>
  </si>
  <si>
    <t>VN000D1H8871004</t>
  </si>
  <si>
    <t>VN000D1H8871M  040</t>
  </si>
  <si>
    <t>VN000D1H8871004 - Upland Spa Blue, 4, Medium</t>
  </si>
  <si>
    <t>VN000D4SCFL1010</t>
  </si>
  <si>
    <t>VN000D4SCFL1M  050</t>
  </si>
  <si>
    <t>VN000D4SCFL1010 - Old Skool V Heart CITADEL, 5, Medium</t>
  </si>
  <si>
    <t>VN000E9YBGP1003</t>
  </si>
  <si>
    <t>VN000E9YBGP1M  065</t>
  </si>
  <si>
    <t>VN000E9YBGP1003 - Old Skool LIGHT BLUE/GUM, 6.5, Medium</t>
  </si>
  <si>
    <t>VN000Q1UBLK1002</t>
  </si>
  <si>
    <t>Classic Crew</t>
  </si>
  <si>
    <t>VN000Q1UBLK1.  122</t>
  </si>
  <si>
    <t>VN000Q1UBLK1002 - Classic Crew Black, 12-24 Months</t>
  </si>
  <si>
    <t>65%Cotton 29%Polyester 2%Elastodiene 2%Nylon 2%Elastane</t>
  </si>
  <si>
    <t>VN000QCMBLK1006</t>
  </si>
  <si>
    <t>VN000QCMBLK1.  30</t>
  </si>
  <si>
    <t>VN000QCMBLK1006 - Got You Belt Black, 30</t>
  </si>
  <si>
    <t>VN000G756PH1012</t>
  </si>
  <si>
    <t>Purple Haze</t>
  </si>
  <si>
    <t>VN000G756PH119 L</t>
  </si>
  <si>
    <t>VN000G756PH1012 - PRIMARY SOLID ELASTIC B Purpl, Large, 19</t>
  </si>
  <si>
    <t>VN000J79BLK1002</t>
  </si>
  <si>
    <t>VN000J79BLK1.  M</t>
  </si>
  <si>
    <t>VN000J79BLK1002 - Drew Rib Tank Black, Medium</t>
  </si>
  <si>
    <t>VN000NDGBLK1004</t>
  </si>
  <si>
    <t>VN000NDGBLK1.  M</t>
  </si>
  <si>
    <t>VN000NDGBLK1004 - Drew Rib LS Dress Black, Medium</t>
  </si>
  <si>
    <t>VN000P58CHG1003</t>
  </si>
  <si>
    <t>SALTON LOOSE FT PO</t>
  </si>
  <si>
    <t>VN000P58CHG1.  S</t>
  </si>
  <si>
    <t>VN000P58CHG1003 - SALTON LOOSE FT PO DEEP TAUPE, Small</t>
  </si>
  <si>
    <t>VN000P5QO3N1005</t>
  </si>
  <si>
    <t>W SALTON RELAX CROP SS</t>
  </si>
  <si>
    <t>VN000P5QO3N1.  XL</t>
  </si>
  <si>
    <t>VN000P5QO3N1005 - W SALTON RELAX CROP SS SEPIA RO, X Large</t>
  </si>
  <si>
    <t>VN000P7AEN61001</t>
  </si>
  <si>
    <t>McAvoy Sherpa Lined Sta</t>
  </si>
  <si>
    <t>VN000P7AEN61.  L</t>
  </si>
  <si>
    <t>VN000P7AEN61001 - McAvoy Sherpa Lined Sta Pine Fore, Large</t>
  </si>
  <si>
    <t>VN000PK1BLK1007</t>
  </si>
  <si>
    <t>Hillgate Cropped Puffer</t>
  </si>
  <si>
    <t>VN000PK1BLK1.  L</t>
  </si>
  <si>
    <t>VN000PK1BLK1007 - Hillgate Cropped Puffer Black, Large</t>
  </si>
  <si>
    <t>VN000PK1BLK1002</t>
  </si>
  <si>
    <t>VN000PK1BLK1.  XL</t>
  </si>
  <si>
    <t>VN000PK1BLK1002 - Hillgate Cropped Puffer Black, X Large</t>
  </si>
  <si>
    <t>VN000PRSEMV1006</t>
  </si>
  <si>
    <t>Headliner OS SS</t>
  </si>
  <si>
    <t>Faded Black</t>
  </si>
  <si>
    <t>VN000PRSEMV1.  XS</t>
  </si>
  <si>
    <t>VN000PRSEMV1006 - Headliner OS SS Faded Black, X Small</t>
  </si>
  <si>
    <t>VN000PXXBLK1004</t>
  </si>
  <si>
    <t>Let Loose SS</t>
  </si>
  <si>
    <t>VN000PXXBLK1.  L</t>
  </si>
  <si>
    <t>VN000PXXBLK1004 - Let Loose SS Black, Large</t>
  </si>
  <si>
    <t>VN000D0HKCZ1001</t>
  </si>
  <si>
    <t>VN000D0HKCZ1M  135</t>
  </si>
  <si>
    <t>VN000D0HKCZ1001 - SK8-Hi Insulated VNTG DGRE, 13.5, Medium</t>
  </si>
  <si>
    <t>VN000D6WEMU1013</t>
  </si>
  <si>
    <t>VN000D6WEMU1M  065</t>
  </si>
  <si>
    <t>Basics</t>
  </si>
  <si>
    <t>VN000D6WEMU1013 - Old Skool BASI DRKLP, 6.5, Medium</t>
  </si>
  <si>
    <t>VN000E9YLBR1008</t>
  </si>
  <si>
    <t>Light Brown</t>
  </si>
  <si>
    <t>VN000E9YLBR1M  065</t>
  </si>
  <si>
    <t>VN000E9YLBR1008 - Old Skool Light Brown, 6.5, Medium</t>
  </si>
  <si>
    <t>VN000EE1I6Y1004</t>
  </si>
  <si>
    <t>GLAZED GINGER/MARSHMALLOW</t>
  </si>
  <si>
    <t>VN000EE1I6Y1M  060</t>
  </si>
  <si>
    <t>VN000EE1I6Y1004 - Old Skool V GLAZED GINGER/M, 6, Medium</t>
  </si>
  <si>
    <t>VN0A2YR714A1001</t>
  </si>
  <si>
    <t>MN OFF THE WALL POM</t>
  </si>
  <si>
    <t>Chili Pepper</t>
  </si>
  <si>
    <t>VN0A2YR714A1.  OS</t>
  </si>
  <si>
    <t>VN0A2YR714A1001 - MN OFF THE WALL POM Chili Pepp, One Size</t>
  </si>
  <si>
    <t>Body: 89%Acrylic,9% Polyamide (Nylon), 2%Elastane Pompom:100%Acrylic EOD</t>
  </si>
  <si>
    <t>VN000HUP7WM1005</t>
  </si>
  <si>
    <t>VN000HUP7WM1.  M</t>
  </si>
  <si>
    <t>VN000HUP7WM1005 - Camden Slip Dress TrBl, Medium</t>
  </si>
  <si>
    <t>VN000HZBBLK1025</t>
  </si>
  <si>
    <t>VN000HZBBLK130 26</t>
  </si>
  <si>
    <t>VN000HZBBLK1025 - Authentic Chino Relaxed Black, 26, 30</t>
  </si>
  <si>
    <t>VN000KTAEMB1002</t>
  </si>
  <si>
    <t>MTE Spectrum Windbreake</t>
  </si>
  <si>
    <t>Aged Green</t>
  </si>
  <si>
    <t>VN000KTAEMB1.  M</t>
  </si>
  <si>
    <t>VN000KTAEMB1002 - MTE Spectrum Windbreake Aged Gre, Medium</t>
  </si>
  <si>
    <t>49% Nylon 51% Recycled Poly</t>
  </si>
  <si>
    <t>VN000KUR7WM1002</t>
  </si>
  <si>
    <t>Acid Check Crew Sweater</t>
  </si>
  <si>
    <t>VN000KUR7WM1.  L</t>
  </si>
  <si>
    <t>VN000KUR7WM1002 - Acid Check Crew Sweater TrBl, Large</t>
  </si>
  <si>
    <t>VN000M77Y7U1003</t>
  </si>
  <si>
    <t>VN000M77Y7U1.  S</t>
  </si>
  <si>
    <t>VN000M77Y7U1003 - MTE Outline Hybrid Tank AFTER DAR, Small</t>
  </si>
  <si>
    <t>VN000M9A1O71007</t>
  </si>
  <si>
    <t>Cassidy Camp Shirt</t>
  </si>
  <si>
    <t>VN000M9A1O71.  XXS</t>
  </si>
  <si>
    <t>VN000M9A1O71007 - Cassidy Camp Shirt Asphalt, XX Small</t>
  </si>
  <si>
    <t>100% Cottong</t>
  </si>
  <si>
    <t>VN000MBCWHT1004</t>
  </si>
  <si>
    <t>VN000MBCWHT1.  L</t>
  </si>
  <si>
    <t>VN000MBCWHT1004 - Alicia Boxer Shorts White, Large</t>
  </si>
  <si>
    <t>VN000MFWUUI1005</t>
  </si>
  <si>
    <t>VN000MFWUUI1.  6</t>
  </si>
  <si>
    <t>VN000MFWUUI1005 - Daisy Break Zip Hoodie EVENING HAZE, 6</t>
  </si>
  <si>
    <t>VN000P58EMW1005</t>
  </si>
  <si>
    <t>VN000P58EMW1.  S</t>
  </si>
  <si>
    <t>VN000P58EMW1005 - SALTON LOOSE FT PO Gray Olive, Small</t>
  </si>
  <si>
    <t>VN000PAZBLK1002</t>
  </si>
  <si>
    <t>Punk Patch Pullover</t>
  </si>
  <si>
    <t>VN000PAZBLK1.  XS</t>
  </si>
  <si>
    <t>VN000PAZBLK1002 - Punk Patch Pullover Black, X Small</t>
  </si>
  <si>
    <t>84% Cotton, 16% Polyester</t>
  </si>
  <si>
    <t>VN000PFBBRR1003</t>
  </si>
  <si>
    <t>Black/Racing Red</t>
  </si>
  <si>
    <t>VN000PFBBRR1.  M</t>
  </si>
  <si>
    <t>VN000PFBBRR1003 - Original Standards Bloc Black/Ra, Medium</t>
  </si>
  <si>
    <t>VN000PFBEN91003</t>
  </si>
  <si>
    <t>VN000PFBEN91.  XS</t>
  </si>
  <si>
    <t>VN000PFBEN91003 - Original Standards Bloc Taupe M, X Small</t>
  </si>
  <si>
    <t>VN000PXSBLK1004</t>
  </si>
  <si>
    <t>VN000PXSBLK1.  XL</t>
  </si>
  <si>
    <t>VN000PXSBLK1004 - Star Checker SS Black, X Large</t>
  </si>
  <si>
    <t>VN000R94FS81001</t>
  </si>
  <si>
    <t>RAW INSTINCT FLY SS</t>
  </si>
  <si>
    <t>VN000R94FS81.  XS</t>
  </si>
  <si>
    <t>VN000R94FS81001 - RAW INSTINCT FLY SS marshmallow, X Small</t>
  </si>
  <si>
    <t>VN000C3297I1001</t>
  </si>
  <si>
    <t>Slipped</t>
  </si>
  <si>
    <t>Classic Camo</t>
  </si>
  <si>
    <t>VN000C3297I1.  OS</t>
  </si>
  <si>
    <t>VN000C3297I1001 - Slipped Classic Camo, One Size</t>
  </si>
  <si>
    <t>Shell 100% Polyester, Lining 100% Polyester EOD</t>
  </si>
  <si>
    <t>VN000H4XZRY1001</t>
  </si>
  <si>
    <t>Old Skool Check Backpac</t>
  </si>
  <si>
    <t>MAUVEWOOD</t>
  </si>
  <si>
    <t>VN000H4XZRY1.  OS</t>
  </si>
  <si>
    <t>VN000H4XZRY1001 - Old Skool Check Backpac MAUVEW, One Size</t>
  </si>
  <si>
    <t>VN000CTGZRY1014</t>
  </si>
  <si>
    <t>VN000CTGZRY1M  050</t>
  </si>
  <si>
    <t>PRESSED FLORAL</t>
  </si>
  <si>
    <t>VN000CTGZRY1014 - Old Skool V PRES MPINK, 5, Medium</t>
  </si>
  <si>
    <t>VN000D1H8871011</t>
  </si>
  <si>
    <t>VN000D1H8871M  050</t>
  </si>
  <si>
    <t>VN000D1H8871011 - Upland Spa Blue, 5, Medium</t>
  </si>
  <si>
    <t>VN000D2VEMY1001</t>
  </si>
  <si>
    <t>VN000D2VEMY1M  065</t>
  </si>
  <si>
    <t>VN000D2VEMY1001 - Old Skool CTHR LMIST, 6.5, Medium</t>
  </si>
  <si>
    <t>VN000DAJBIY1013</t>
  </si>
  <si>
    <t>PINK/MULTI</t>
  </si>
  <si>
    <t>VN000DAJBIY1M  130</t>
  </si>
  <si>
    <t>VN000DAJBIY1013 - Knu Skool PINK/MULTI, 13, Medium</t>
  </si>
  <si>
    <t>VN000E9YBGP1001</t>
  </si>
  <si>
    <t>VN000E9YBGP1M  040</t>
  </si>
  <si>
    <t>VN000E9YBGP1001 - Old Skool LIGHT BLUE/GUM, 4, Medium</t>
  </si>
  <si>
    <t>VN000E9YBGP1002</t>
  </si>
  <si>
    <t>VN000E9YBGP1M  070</t>
  </si>
  <si>
    <t>VN000E9YBGP1002 - Old Skool LIGHT BLUE/GUM, 7, Medium</t>
  </si>
  <si>
    <t>VN000KYE1NU1002</t>
  </si>
  <si>
    <t>Skate Mike G Crew</t>
  </si>
  <si>
    <t>VN000KYE1NU1.  659</t>
  </si>
  <si>
    <t>VN000KYE1NU1002 - Skate Mike G Crew Walnut, 6.5-9</t>
  </si>
  <si>
    <t>38.5-42</t>
  </si>
  <si>
    <t>38%Cotton 33%Nylon 25%Polyester 3%Elastodiene 1%Elastane</t>
  </si>
  <si>
    <t>VN000LC0Y281001</t>
  </si>
  <si>
    <t>VN000LC0Y281.  OS</t>
  </si>
  <si>
    <t>VN000LC0Y281001 - Spicoli 4 Shades Black/White, One Size</t>
  </si>
  <si>
    <t>VN000QAWBRD1001</t>
  </si>
  <si>
    <t>Van Doren Co. Cuff Bean</t>
  </si>
  <si>
    <t>VN000QAWBRD1.  OS</t>
  </si>
  <si>
    <t>VN000QAWBRD1001 - Van Doren Co. Cuff Bean Bordea, One Size</t>
  </si>
  <si>
    <t>100%NYLON</t>
  </si>
  <si>
    <t>VN000QAXFS81001</t>
  </si>
  <si>
    <t>Revelle Cuff Beanie</t>
  </si>
  <si>
    <t>VN000QAXFS81.  OS</t>
  </si>
  <si>
    <t>VN000QAXFS81001 - Revelle Cuff Beanie marshmallo, One Size</t>
  </si>
  <si>
    <t>42%ACRYLIC,58%NYLON</t>
  </si>
  <si>
    <t>VN000QBGBLK1002</t>
  </si>
  <si>
    <t>VN000QBGBLK1.  M</t>
  </si>
  <si>
    <t>VN000QBGBLK1002 - Classic Script Crew Black, Medium</t>
  </si>
  <si>
    <t>VN0008N6BLK1008</t>
  </si>
  <si>
    <t>SERVICE CARGO LOOSE TAP</t>
  </si>
  <si>
    <t>VN0008N6BLK1REG30</t>
  </si>
  <si>
    <t>VN0008N6BLK1008 - SERVICE CARGO LOOSE TAP Bla, 30, Regular</t>
  </si>
  <si>
    <t>VN000HUP7WM1006</t>
  </si>
  <si>
    <t>VN000HUP7WM1.  L</t>
  </si>
  <si>
    <t>VN000HUP7WM1006 - Camden Slip Dress TrBl, Large</t>
  </si>
  <si>
    <t>VN000HZBBLK1015</t>
  </si>
  <si>
    <t>VN000HZBBLK132 32</t>
  </si>
  <si>
    <t>VN000HZBBLK1015 - Authentic Chino Relaxed Black, 32, 32</t>
  </si>
  <si>
    <t>VN000HZCBLK1011</t>
  </si>
  <si>
    <t>VN000HZCBLK134 32</t>
  </si>
  <si>
    <t>VN000HZCBLK1011 - Authentic Chino Loose P Black, 32, 34</t>
  </si>
  <si>
    <t>VN000M6XC9F1002</t>
  </si>
  <si>
    <t>MTE Trek Guide Womens P</t>
  </si>
  <si>
    <t>EGRET</t>
  </si>
  <si>
    <t>VN000M6XC9F1.  M</t>
  </si>
  <si>
    <t>VN000M6XC9F1002 - MTE Trek Guide Womens P EGRET, Medium</t>
  </si>
  <si>
    <t>VN000MEPJDU1003</t>
  </si>
  <si>
    <t>VN000MEPJDU1.  10</t>
  </si>
  <si>
    <t>VN000MEPJDU1003 - Union Short PARISIAN NIGHT, 10</t>
  </si>
  <si>
    <t>VN000PA6BLK1003</t>
  </si>
  <si>
    <t>Scripted Vans Crew</t>
  </si>
  <si>
    <t>VN000PA6BLK1.  S</t>
  </si>
  <si>
    <t>VN000PA6BLK1003 - Scripted Vans Crew Black, Small</t>
  </si>
  <si>
    <t>VN000PFBEN91001</t>
  </si>
  <si>
    <t>VN000PFBEN91.  S</t>
  </si>
  <si>
    <t>VN000PFBEN91001 - Original Standards Bloc Taupe Mis, Small</t>
  </si>
  <si>
    <t>VN000PK8BLK1004</t>
  </si>
  <si>
    <t>MTE Trek Guide Polartec</t>
  </si>
  <si>
    <t>VN000PK8BLK1.  L</t>
  </si>
  <si>
    <t>VN000PK8BLK1004 - MTE Trek Guide Polartec Black, Large</t>
  </si>
  <si>
    <t>6056 - VN WM SKIRTS &amp; SKORT</t>
  </si>
  <si>
    <t>100% Recycled PES</t>
  </si>
  <si>
    <t>VN000PMAEMW1001</t>
  </si>
  <si>
    <t>Hi-Country 3L Snow Jack</t>
  </si>
  <si>
    <t>VN000PMAEMW1.  M</t>
  </si>
  <si>
    <t>VN000PMAEMW1001 - Hi-Country 3L Snow Jack Gray Oli, Medium</t>
  </si>
  <si>
    <t>VN000PXXBLK1001</t>
  </si>
  <si>
    <t>VN000PXXBLK1.  XL</t>
  </si>
  <si>
    <t>VN000PXXBLK1001 - Let Loose SS Black, X Large</t>
  </si>
  <si>
    <t>VN000RFMEMV1003</t>
  </si>
  <si>
    <t>HEAVY THINKER LOOSE SS</t>
  </si>
  <si>
    <t>VN000RFMEMV1.  M</t>
  </si>
  <si>
    <t>VN000RFMEMV1003 - HEAVY THINKER LOOSE SS Faded Bla, Medium</t>
  </si>
  <si>
    <t>VN000SN14OU1001</t>
  </si>
  <si>
    <t>Concrete Heather</t>
  </si>
  <si>
    <t>VN000SN14OU1.  L</t>
  </si>
  <si>
    <t>VN000SN14OU1001 - Vans Classic PO Concrete Heathe, Large</t>
  </si>
  <si>
    <t>63% Cotton 37% Polyester</t>
  </si>
  <si>
    <t>VN000SN14OU1002</t>
  </si>
  <si>
    <t>VN000SN14OU1.  M</t>
  </si>
  <si>
    <t>VN000SN14OU1002 - Vans Classic PO Concrete Heathe, Medium</t>
  </si>
  <si>
    <t>VN000SN14OU1003</t>
  </si>
  <si>
    <t>VN000SN14OU1.  S</t>
  </si>
  <si>
    <t>VN000SN14OU1003 - Vans Classic PO Concrete Heathe, Small</t>
  </si>
  <si>
    <t>VN000SN14OU1004</t>
  </si>
  <si>
    <t>VN000SN14OU1.  XL</t>
  </si>
  <si>
    <t>VN000SN14OU1004 - Vans Classic PO Concrete Heathe, X Large</t>
  </si>
  <si>
    <t>VN000SN6EMU1001</t>
  </si>
  <si>
    <t>Scripted Full Zip</t>
  </si>
  <si>
    <t>VN000SN6EMU1.  M</t>
  </si>
  <si>
    <t>VN000SN6EMU1001 - Scripted Full Zip Dried Kelp, Medium</t>
  </si>
  <si>
    <t>VN000SN6EMU1003</t>
  </si>
  <si>
    <t>VN000SN6EMU1.  S</t>
  </si>
  <si>
    <t>VN000SN6EMU1003 - Scripted Full Zip Dried Kelp, Small</t>
  </si>
  <si>
    <t>VN000SN6EMU1004</t>
  </si>
  <si>
    <t>VN000SN6EMU1.  XL</t>
  </si>
  <si>
    <t>VN000SN6EMU1004 - Scripted Full Zip Dried Kelp, X Large</t>
  </si>
  <si>
    <t>VN0A4MQ35TU1003</t>
  </si>
  <si>
    <t>VN0A4MQ35TU1.  M</t>
  </si>
  <si>
    <t>VN0A4MQ35TU1003 - LEFT CHEST TEE True Navy, Medium</t>
  </si>
  <si>
    <t>VN000MNTBLK1001</t>
  </si>
  <si>
    <t>Barreled Mini Bag</t>
  </si>
  <si>
    <t>VN000MNTBLK1.  OS</t>
  </si>
  <si>
    <t>VN000MNTBLK1001 - Barreled Mini Bag Black, One Size</t>
  </si>
  <si>
    <t>SHELL: 100% NYLON,POLYURETHANE COATING;  LINING: 100% POLYESTER, POLYURETHANE COATING,  EOD</t>
  </si>
  <si>
    <t>VN0009QCBKA1012</t>
  </si>
  <si>
    <t>VN0009QCBKA1M  050</t>
  </si>
  <si>
    <t>VN UNISEX FOOTWEAR</t>
  </si>
  <si>
    <t>VN UNISEX ICONS FTW</t>
  </si>
  <si>
    <t>VN0009QCBKA1012 - Knu Skool Black/Black, 5, Medium</t>
  </si>
  <si>
    <t>6115 - VN UX SHOES LOW</t>
  </si>
  <si>
    <t>VN000CRRD3X1019</t>
  </si>
  <si>
    <t>Mary Jane</t>
  </si>
  <si>
    <t>VN000CRRD3X1M  035</t>
  </si>
  <si>
    <t>PREP</t>
  </si>
  <si>
    <t>VN000CRRD3X1019 - Mary Jane PREP CORAL, 3.5, Medium</t>
  </si>
  <si>
    <t>VN000CWE8871018</t>
  </si>
  <si>
    <t>VN000CWE8871M  050</t>
  </si>
  <si>
    <t>VN000CWE8871018 - UltraRange Neo VR3 TRAN TQSAQ, 5, Medium</t>
  </si>
  <si>
    <t>VN000CYAYLZ1001</t>
  </si>
  <si>
    <t>VN000CYAYLZ1M  135</t>
  </si>
  <si>
    <t>VN000CYAYLZ1001 - Old Skool V GLTR RASRO, 13.5, Medium</t>
  </si>
  <si>
    <t>VN000D11N1Z1008</t>
  </si>
  <si>
    <t>SK8-Mid Reissue V Insulat</t>
  </si>
  <si>
    <t>VN000D11N1Z1M  055</t>
  </si>
  <si>
    <t>VN000D11N1Z1008 - SK8-Mid Reissue V Insulat P, 5.5, Medium</t>
  </si>
  <si>
    <t>VN000D8NBKA1007</t>
  </si>
  <si>
    <t>VN000D8NBKA1M  090</t>
  </si>
  <si>
    <t>VN000D8NBKA1007 - Hylane BLST BLACK, 9, Medium</t>
  </si>
  <si>
    <t>VN000D9ACJ71014</t>
  </si>
  <si>
    <t>Mary Jane Straps</t>
  </si>
  <si>
    <t>WHITE</t>
  </si>
  <si>
    <t>VN000D9ACJ71M  090</t>
  </si>
  <si>
    <t>METAL</t>
  </si>
  <si>
    <t>VN000D9ACJ71014 - Mary Jane Straps METL WHITE, 9, Medium</t>
  </si>
  <si>
    <t>VN000E8WG581008</t>
  </si>
  <si>
    <t>FLORAL BLACK</t>
  </si>
  <si>
    <t>VN000E8WG581M  120</t>
  </si>
  <si>
    <t>VN000E8WG581008 - Old Skool FLORAL BLACK, 12, Medium</t>
  </si>
  <si>
    <t>VN000E9XIVG1015</t>
  </si>
  <si>
    <t>VN000E9XIVG1M  055</t>
  </si>
  <si>
    <t>VN000E9XIVG1015 - Knu Skool Ivy Green, 5.5, Medium</t>
  </si>
  <si>
    <t>VN000EE1GYG1017</t>
  </si>
  <si>
    <t>Port Royale/Pink Dawn</t>
  </si>
  <si>
    <t>VN000EE1GYG1M  045</t>
  </si>
  <si>
    <t>VN000EE1GYG1017 - Old Skool V Port Royale/Pin, 4.5, Medium</t>
  </si>
  <si>
    <t>VN000EE1GYG1014</t>
  </si>
  <si>
    <t>VN000EE1GYG1M  055</t>
  </si>
  <si>
    <t>VN000EE1GYG1014 - Old Skool V Port Royale/Pin, 5.5, Medium</t>
  </si>
  <si>
    <t>VN000EE1GYG1012</t>
  </si>
  <si>
    <t>VN000EE1GYG1M  065</t>
  </si>
  <si>
    <t>VN000EE1GYG1012 - Old Skool V Port Royale/Pin, 6.5, Medium</t>
  </si>
  <si>
    <t>VN000EE1GYG1010</t>
  </si>
  <si>
    <t>VN000EE1GYG1M  075</t>
  </si>
  <si>
    <t>VN000EE1GYG1010 - Old Skool V Port Royale/Pin, 7.5, Medium</t>
  </si>
  <si>
    <t>VN000EE1GYG1004</t>
  </si>
  <si>
    <t>VN000EE1GYG1M  085</t>
  </si>
  <si>
    <t>VN000EE1GYG1004 - Old Skool V Port Royale/Pin, 8.5, Medium</t>
  </si>
  <si>
    <t>VN000EE1GYG1002</t>
  </si>
  <si>
    <t>VN000EE1GYG1M  095</t>
  </si>
  <si>
    <t>VN000EE1GYG1002 - Old Skool V Port Royale/Pin, 9.5, Medium</t>
  </si>
  <si>
    <t>VN0A3TKN6BT1013</t>
  </si>
  <si>
    <t>SK8-Hi Platform 2.0</t>
  </si>
  <si>
    <t>Black/True White</t>
  </si>
  <si>
    <t>VN0A3TKN6BT1M  095</t>
  </si>
  <si>
    <t>VN0A3TKN6BT1013 - SK8-Hi Platform 2.0 Black/T, 9.5, Medium</t>
  </si>
  <si>
    <t>6040 - VN WM SHOES MID</t>
  </si>
  <si>
    <t>VN0A5FCB1N61018</t>
  </si>
  <si>
    <t>Pewter/White</t>
  </si>
  <si>
    <t>VN0A5FCB1N61M  040</t>
  </si>
  <si>
    <t>VN0A5FCB1N61018 - Skate Old Skool Pewter/White, 4, Medium</t>
  </si>
  <si>
    <t>VN00061YCBK1001</t>
  </si>
  <si>
    <t>FLAMING VANS BEANIE</t>
  </si>
  <si>
    <t>BLACK/LIME GREEN</t>
  </si>
  <si>
    <t>VN00061YCBK1.  OS</t>
  </si>
  <si>
    <t>VN00061YCBK1001 - FLAMING VANS BEANIE BLACK/LIME, One Size</t>
  </si>
  <si>
    <t>VN000GN0BLK1001</t>
  </si>
  <si>
    <t>SHELBY SUNGLASSES</t>
  </si>
  <si>
    <t>VN000GN0BLK1.  OS</t>
  </si>
  <si>
    <t>VN000GN0BLK1001 - SHELBY SUNGLASSES Black, One Size</t>
  </si>
  <si>
    <t>VN000KXWBLK1001</t>
  </si>
  <si>
    <t>Skate Swirl Unstructure</t>
  </si>
  <si>
    <t>VN000KXWBLK1.  OS</t>
  </si>
  <si>
    <t>VN000KXWBLK1001 - Skate Swirl Unstructure Black, One Size</t>
  </si>
  <si>
    <t>VN000LC0BLK1001</t>
  </si>
  <si>
    <t>VN000LC0BLK1.  OS</t>
  </si>
  <si>
    <t>VN000LC0BLK1001 - Spicoli 4 Shades Black, One Size</t>
  </si>
  <si>
    <t>VN0008N6BLK1010</t>
  </si>
  <si>
    <t>VN0008N6BLK1REG28</t>
  </si>
  <si>
    <t>VN0008N6BLK1010 - SERVICE CARGO LOOSE TAP Bla, 28, Regular</t>
  </si>
  <si>
    <t>VN000HDVM8I1003</t>
  </si>
  <si>
    <t>VN000HDVM8I1.  L</t>
  </si>
  <si>
    <t>VN000HDVM8I1003 - Almondwood Sweater Vest GRAY MIST, Large</t>
  </si>
  <si>
    <t>VN000HQ3M8I1006</t>
  </si>
  <si>
    <t>VN000HQ3M8I1.  L</t>
  </si>
  <si>
    <t>VN000HQ3M8I1006 - Syd Sweater Vest GRAY MIST, Large</t>
  </si>
  <si>
    <t>VN000KASBTE1004</t>
  </si>
  <si>
    <t>Mesa Stripe SS Shirt</t>
  </si>
  <si>
    <t>Black/True Blue</t>
  </si>
  <si>
    <t>VN000KASBTE1.  S</t>
  </si>
  <si>
    <t>VN000KASBTE1004 - Mesa Stripe SS Shirt Black/True B, Small</t>
  </si>
  <si>
    <t>Own Retail</t>
  </si>
  <si>
    <t>VN000KXMY7U1001</t>
  </si>
  <si>
    <t>VN000KXMY7U1REG31</t>
  </si>
  <si>
    <t>VN000KXMY7U1001 - Skate Check-5 Loose Den AFT, 31, Regular</t>
  </si>
  <si>
    <t>VN000KYXBLK1001</t>
  </si>
  <si>
    <t>VN000KYXBLK1.  L</t>
  </si>
  <si>
    <t>VN000KYXBLK1001 - Skate Fleece Vest Black, Large</t>
  </si>
  <si>
    <t>VN000M9SBLK1006</t>
  </si>
  <si>
    <t>Retro Crew</t>
  </si>
  <si>
    <t>VN000M9SBLK1.  XS</t>
  </si>
  <si>
    <t>VN000M9SBLK1006 - Retro Crew Black, X Small</t>
  </si>
  <si>
    <t>85% Cotton 15% Polyester</t>
  </si>
  <si>
    <t>VN000MBX1O71001</t>
  </si>
  <si>
    <t>Blur Fitted Crop Tank</t>
  </si>
  <si>
    <t>VN000MBX1O71.  L</t>
  </si>
  <si>
    <t>VN000MBX1O71001 - Blur Fitted Crop Tank Asphalt, Large</t>
  </si>
  <si>
    <t>95% COTTON 5%SPANDEX</t>
  </si>
  <si>
    <t>VN000MFWUUI1003</t>
  </si>
  <si>
    <t>VN000MFWUUI1.  2</t>
  </si>
  <si>
    <t>VN000MFWUUI1003 - Daisy Break Zip Hoodie EVENING HAZE, 2</t>
  </si>
  <si>
    <t>VN000MGJE4T1001</t>
  </si>
  <si>
    <t>Ward Rugby LS Knit</t>
  </si>
  <si>
    <t>Fairway/Lemon Icing</t>
  </si>
  <si>
    <t>VN000MGJE4T1.  L</t>
  </si>
  <si>
    <t>VN000MGJE4T1001 - Ward Rugby LS Knit Fairway/Lemon, Large</t>
  </si>
  <si>
    <t>VN000PFBEN91004</t>
  </si>
  <si>
    <t>VN000PFBEN91.  L</t>
  </si>
  <si>
    <t>VN000PFBEN91004 - Original Standards Bloc Taupe Mis, Large</t>
  </si>
  <si>
    <t>VN000PMDEMW1006</t>
  </si>
  <si>
    <t>MTE High-Country 3L Pan</t>
  </si>
  <si>
    <t>VN000PMDEMW1REGM</t>
  </si>
  <si>
    <t>VN000PMDEMW1006 - MTE High-Country 3L Pan, Medium, Regular</t>
  </si>
  <si>
    <t>VN000R04EMF1004</t>
  </si>
  <si>
    <t>VN000R04EMF1.  XL</t>
  </si>
  <si>
    <t>VN000R04EMF1004 - Happy Spike SS Bay Leaf, X Large</t>
  </si>
  <si>
    <t>VN000R92EMF1003</t>
  </si>
  <si>
    <t>RAW INSTINCT MIRROR SWE</t>
  </si>
  <si>
    <t>VN000R92EMF1.  S</t>
  </si>
  <si>
    <t>VN000R92EMF1003 - RAW INSTINCT MIRROR SWE Bay Leaf, Small</t>
  </si>
  <si>
    <t>TN - Tunisia</t>
  </si>
  <si>
    <t>contains 100% organically grown cotton</t>
  </si>
  <si>
    <t>VN0A5FLPBLK1006</t>
  </si>
  <si>
    <t>Authentic Chino Pant</t>
  </si>
  <si>
    <t>VN0A5FLPBLK1REG29</t>
  </si>
  <si>
    <t>VN0A5FLPBLK1006 - Authentic Chino Pant Black, 29, Regular</t>
  </si>
  <si>
    <t>VN0A7YUTBLK1005</t>
  </si>
  <si>
    <t>VN0A7YUTBLK1.  S</t>
  </si>
  <si>
    <t>VN0A7YUTBLK1005 - Flying V Oversized FLYV BLACK, Small</t>
  </si>
  <si>
    <t>VN000HRJTBB1001</t>
  </si>
  <si>
    <t>Old Skool Sport Backpac</t>
  </si>
  <si>
    <t>True Blue/Black</t>
  </si>
  <si>
    <t>VN000HRJTBB1.  OS</t>
  </si>
  <si>
    <t>VN000HRJTBB1001 - Old Skool Sport Backpac True B, One Size</t>
  </si>
  <si>
    <t>SHELL: 100% COTTON,TRIMS:100% BOVINE SPLIT LEATHER, LINING: 100% POLYESTER,POLYURETHANE COATING, EOD&amp;EOE</t>
  </si>
  <si>
    <t>VN000CTG7VF1005</t>
  </si>
  <si>
    <t>VN000CTG7VF1M  055</t>
  </si>
  <si>
    <t>VN000CTG7VF1005 - Old Skool V DAZL DGREY, 5.5, Medium</t>
  </si>
  <si>
    <t>VN000CTGEMY1014</t>
  </si>
  <si>
    <t>VN000CTGEMY1M  060</t>
  </si>
  <si>
    <t>CHECKERBOARD</t>
  </si>
  <si>
    <t>VN000CTGEMY1014 - Old Skool V CTHR CHBD LMIST, 6, Medium</t>
  </si>
  <si>
    <t>VN000D0HBMV1006</t>
  </si>
  <si>
    <t>BLACK/MULTI</t>
  </si>
  <si>
    <t>VN000D0HBMV1M  105</t>
  </si>
  <si>
    <t>VN000D0HBMV1006 - SK8-Hi Insulated POP BLKML, 10.5, Medium</t>
  </si>
  <si>
    <t>VN000D0SYJ71003</t>
  </si>
  <si>
    <t>Slip-On V</t>
  </si>
  <si>
    <t>VN000D0SYJ71M  060</t>
  </si>
  <si>
    <t>VN000D0SYJ71003 - Slip-On V GLOW BLKGR, 6, Medium</t>
  </si>
  <si>
    <t>VN000D1JBG71018</t>
  </si>
  <si>
    <t>DARK RED/GUM</t>
  </si>
  <si>
    <t>VN000D1JBG71M  040</t>
  </si>
  <si>
    <t>VN000D1JBG71018 - Hylane DARK RED/GUM, 4, Medium</t>
  </si>
  <si>
    <t>Own Retail, Ecommerce, Partnership Store</t>
  </si>
  <si>
    <t>VN000D26PWT1017</t>
  </si>
  <si>
    <t>Pewter</t>
  </si>
  <si>
    <t>VN000D26PWT1M  065</t>
  </si>
  <si>
    <t>TONAL</t>
  </si>
  <si>
    <t>VN000D26PWT1017 - Hylane TONL PEWTR, 6.5, Medium</t>
  </si>
  <si>
    <t>VN000D5V6MZ1018</t>
  </si>
  <si>
    <t>PINK/BLUE</t>
  </si>
  <si>
    <t>VN000D5V6MZ1M  040</t>
  </si>
  <si>
    <t>VN000D5V6MZ1018 - Crosspath XC PINK/BLUE, 4, Medium</t>
  </si>
  <si>
    <t>VN000D61BOC1019</t>
  </si>
  <si>
    <t>VN000D61BOC1M  040</t>
  </si>
  <si>
    <t>VN000D61BOC1019 - Ultrarange 2.0 SE GREEN/PINK, 4, Medium</t>
  </si>
  <si>
    <t>VN000D6ZO3N1007</t>
  </si>
  <si>
    <t>VN000D6ZO3N1M  040</t>
  </si>
  <si>
    <t>VN000D6ZO3N1007 - Knu Skool GUM MDPNK, 4, Medium</t>
  </si>
  <si>
    <t>VN000D7JCKP1005</t>
  </si>
  <si>
    <t>MTE Slide-On VR3Cush</t>
  </si>
  <si>
    <t>green lime</t>
  </si>
  <si>
    <t>VN000D7JCKP1M  100</t>
  </si>
  <si>
    <t>VN000D7JCKP1005 - MTE Slide-On VR3Cush green l, 10, Medium</t>
  </si>
  <si>
    <t>VN000E8CGMX1004</t>
  </si>
  <si>
    <t>Classic Slip-on Stackform</t>
  </si>
  <si>
    <t>Mauvewood/Marshmallow</t>
  </si>
  <si>
    <t>VN000E8CGMX1M  110</t>
  </si>
  <si>
    <t>VN000E8CGMX1004 - Classic Slip-On Platform CHB, 11, Medium</t>
  </si>
  <si>
    <t>VN000E8WG581007</t>
  </si>
  <si>
    <t>VN000E8WG581M  130</t>
  </si>
  <si>
    <t>VN000E8WG581007 - Old Skool FLORAL BLACK, 13, Medium</t>
  </si>
  <si>
    <t>VN000ECUB5P1003</t>
  </si>
  <si>
    <t>VN000ECUB5P1M  045</t>
  </si>
  <si>
    <t>VN000ECUB5P1003 - Old Skool KPDH BLKPL, 4.5, Medium</t>
  </si>
  <si>
    <t>VN000EFBYY61009</t>
  </si>
  <si>
    <t>VN000EFBYY61M  050</t>
  </si>
  <si>
    <t>VN000EFBYY61009 - Knu Skool Elastic Lace Black/, 5, Medium</t>
  </si>
  <si>
    <t>VN000GN0WHT1001</t>
  </si>
  <si>
    <t>VN000GN0WHT1.  OS</t>
  </si>
  <si>
    <t>VN000GN0WHT1001 - SHELBY SUNGLASSES White, One Size</t>
  </si>
  <si>
    <t>VN000NBPBLK1001</t>
  </si>
  <si>
    <t>Scanner Curved Bill Joc</t>
  </si>
  <si>
    <t>VN000NBPBLK1.  OS</t>
  </si>
  <si>
    <t>VN000NBPBLK1001 - Scanner Curved Bill Joc Black, One Size</t>
  </si>
  <si>
    <t>100%COTTON EOD</t>
  </si>
  <si>
    <t>VN000QB32N11001</t>
  </si>
  <si>
    <t>Leiva Cuff Beanie</t>
  </si>
  <si>
    <t>VN000QB32N11.  OS</t>
  </si>
  <si>
    <t>VN000QB32N11001 - Leiva Cuff Beanie oatmeal, One Size</t>
  </si>
  <si>
    <t>VN000QB9EMP1003</t>
  </si>
  <si>
    <t>VN000QB9EMP1.  L</t>
  </si>
  <si>
    <t>VN000QB9EMP1003 - Hovley Crew Coal Brown, Large</t>
  </si>
  <si>
    <t>VN000QBQEN71001</t>
  </si>
  <si>
    <t>Cuff It Crew</t>
  </si>
  <si>
    <t>VN000QBQEN71.  M</t>
  </si>
  <si>
    <t>VN000QBQEN71001 - Cuff It Crew Pink Dawn, Medium</t>
  </si>
  <si>
    <t>83%Cotton 14%Polyester 2% Nylon 1% Elastane</t>
  </si>
  <si>
    <t>VN000R51WHT1002</t>
  </si>
  <si>
    <t>VN000R51WHT1.  M</t>
  </si>
  <si>
    <t>VN000R51WHT1002 - Skate Atiba Haze Crew White, Medium</t>
  </si>
  <si>
    <t>VN0008KUBML1002</t>
  </si>
  <si>
    <t>VN0008KUBML1REGXS</t>
  </si>
  <si>
    <t>VN0008KUBML1002 - PRIMARY PRINT ELASTIC, X Small, Regular</t>
  </si>
  <si>
    <t>VN000G75D6Z1001</t>
  </si>
  <si>
    <t>VN000G75D6Z117 XL</t>
  </si>
  <si>
    <t>VN000G75D6Z1001 - PRIMARY SOLID ELASTIC B Por, X Large, 17</t>
  </si>
  <si>
    <t>VN000HCF7YO1001</t>
  </si>
  <si>
    <t>First Team OS Crew</t>
  </si>
  <si>
    <t>BITTER CHOCOLATE</t>
  </si>
  <si>
    <t>VN000HCF7YO1.  XXS</t>
  </si>
  <si>
    <t>VN000HCF7YO1001 - First Team OS Crew BITTER CHOC, XX Small</t>
  </si>
  <si>
    <t>VN000HJV7D61003</t>
  </si>
  <si>
    <t>VN000HJV7D61.  XS</t>
  </si>
  <si>
    <t>VN000HJV7D61003 - MTE Aubrey Primaloft Pu MUSHROO, X Small</t>
  </si>
  <si>
    <t>VN000HJV7D61004</t>
  </si>
  <si>
    <t>VN000HJV7D61.  XXS</t>
  </si>
  <si>
    <t>VN000HJV7D61004 - MTE Aubrey Primaloft Pu MUSHRO, XX Small</t>
  </si>
  <si>
    <t>VN000JBRZBF1002</t>
  </si>
  <si>
    <t>VN000JBRZBF1.  M</t>
  </si>
  <si>
    <t>VN000JBRZBF1002 - Vans Boxed PO LODEN GREEN, Medium</t>
  </si>
  <si>
    <t>VN000MEPJDU1002</t>
  </si>
  <si>
    <t>VN000MEPJDU1.  8</t>
  </si>
  <si>
    <t>VN000MEPJDU1002 - Union Short PARISIAN NIGHT, 8</t>
  </si>
  <si>
    <t>VN000MN07WM1004</t>
  </si>
  <si>
    <t>VN000MN07WM1.  5</t>
  </si>
  <si>
    <t>VN000MN07WM1004 - Night Watchers Fleece P TrBl, 5</t>
  </si>
  <si>
    <t>VN000P77AFM1005</t>
  </si>
  <si>
    <t>Drill Chore Denim Jacke</t>
  </si>
  <si>
    <t>Indigo Rinse</t>
  </si>
  <si>
    <t>VN000P77AFM1.  XS</t>
  </si>
  <si>
    <t>VN000P77AFM1005 - Drill Chore Denim Jacke Indigo, X Small</t>
  </si>
  <si>
    <t>VN000PK1EMW1005</t>
  </si>
  <si>
    <t>VN000PK1EMW1.  S</t>
  </si>
  <si>
    <t>VN000PK1EMW1005 - Hillgate Cropped Puffer Gray Oliv, Small</t>
  </si>
  <si>
    <t>VN000PQR02F1002</t>
  </si>
  <si>
    <t>Checker Cherries Zip Ho</t>
  </si>
  <si>
    <t>VN000PQR02F1.  6X</t>
  </si>
  <si>
    <t>6X</t>
  </si>
  <si>
    <t>VN000PQR02F1002 - Checker Cherries Zip Ho Cement Heath, 6X</t>
  </si>
  <si>
    <t>VN000PXTBLK1004</t>
  </si>
  <si>
    <t>Cactus Wire SS</t>
  </si>
  <si>
    <t>VN000PXTBLK1.  XL</t>
  </si>
  <si>
    <t>VN000PXTBLK1004 - Cactus Wire SS Black, X Large</t>
  </si>
  <si>
    <t>VN000R04EMF1003</t>
  </si>
  <si>
    <t>VN000R04EMF1.  S</t>
  </si>
  <si>
    <t>VN000R04EMF1003 - Happy Spike SS Bay Leaf, Small</t>
  </si>
  <si>
    <t>VN000REFWHT1001</t>
  </si>
  <si>
    <t>LIL BEAR OS TEE</t>
  </si>
  <si>
    <t>VN000REFWHT1.  M</t>
  </si>
  <si>
    <t>VN000REFWHT1001 - LIL BEAR OS TEE White, Medium</t>
  </si>
  <si>
    <t>VN0A3W76EMY1006</t>
  </si>
  <si>
    <t>VANS CLASSIC KIDS</t>
  </si>
  <si>
    <t>VN0A3W76EMY1.  5</t>
  </si>
  <si>
    <t>VN0A3W76EMY1006 - VANS CLASSIC KIDS Lilac Mist, 5</t>
  </si>
  <si>
    <t>VN0005V8BLK1010</t>
  </si>
  <si>
    <t>MTE Slip-On Mule TRK</t>
  </si>
  <si>
    <t>VN0005V8BLK1M  040</t>
  </si>
  <si>
    <t>VN0005V8BLK1010 - MTE Slip-On Mule TRK Black, 4, Medium</t>
  </si>
  <si>
    <t>VN000CS5PIB1003</t>
  </si>
  <si>
    <t>VN000CS5PIB1M  020</t>
  </si>
  <si>
    <t>VN000CS5PIB1003 - Old Skool Crib LPRD MDPNK, 2, Medium</t>
  </si>
  <si>
    <t>VN000CVVKAQ1031</t>
  </si>
  <si>
    <t>Crosspath Mid</t>
  </si>
  <si>
    <t>DRIZZLE</t>
  </si>
  <si>
    <t>VN000CVVKAQ1M  065</t>
  </si>
  <si>
    <t>VN000CVVKAQ1031 - Crosspath Mid DRIZZLE, 6.5, Medium</t>
  </si>
  <si>
    <t>VN000CZ71NU1011</t>
  </si>
  <si>
    <t>Sk8-Mid Reissue V</t>
  </si>
  <si>
    <t>VN000CZ71NU1M  135</t>
  </si>
  <si>
    <t>VN000CZ71NU1011 - Sk8-Mid Reissue V CTHR MBR, 13.5, Medium</t>
  </si>
  <si>
    <t>VN000D0HEMY1010</t>
  </si>
  <si>
    <t>VN000D0HEMY1M  135</t>
  </si>
  <si>
    <t>TONAL CHECK</t>
  </si>
  <si>
    <t>VN000D0HEMY1010 - SK8-Hi Insulated TNCH LMIS, 13.5, Medium</t>
  </si>
  <si>
    <t>VN000D0HKCZ1005</t>
  </si>
  <si>
    <t>VN000D0HKCZ1M  115</t>
  </si>
  <si>
    <t>VN000D0HKCZ1005 - SK8-Hi Insulated VNTG DGRE, 11.5, Medium</t>
  </si>
  <si>
    <t>VN000D2VZ3R1005</t>
  </si>
  <si>
    <t>ALPINE GREEN</t>
  </si>
  <si>
    <t>VN000D2VZ3R1M  050</t>
  </si>
  <si>
    <t>VN000D2VZ3R1005 - Old Skool ALPINE GREEN, 5, Medium</t>
  </si>
  <si>
    <t>VN000DCJGRN1001</t>
  </si>
  <si>
    <t>MTE Slip-On Hi Terrain V</t>
  </si>
  <si>
    <t>Green</t>
  </si>
  <si>
    <t>VN000DCJGRN1M  030</t>
  </si>
  <si>
    <t>VN LITTLE KIDS LIFESTYLE FTW</t>
  </si>
  <si>
    <t>VN000DCJGRN1001 - MTE Slip-On Hi Terrain V Gree, 3, Medium</t>
  </si>
  <si>
    <t>121 - FTW_Boot</t>
  </si>
  <si>
    <t>6082 - VN KD BOOTS HIGH</t>
  </si>
  <si>
    <t>VN000E87BA21008</t>
  </si>
  <si>
    <t>Old Skool Platform</t>
  </si>
  <si>
    <t>VN000E87BA21M  130</t>
  </si>
  <si>
    <t>FLORAL EMBROIDERY</t>
  </si>
  <si>
    <t>VN000E87BA21008 - Old Skool Platform FLEM BLKW, 13, Medium</t>
  </si>
  <si>
    <t>VN000E9ZYF51005</t>
  </si>
  <si>
    <t>VN000E9ZYF51M  055</t>
  </si>
  <si>
    <t>VN000E9ZYF51005 - Knu Skool Baby Blue/White, 5.5, Medium</t>
  </si>
  <si>
    <t>VN000EE1I6Y1002</t>
  </si>
  <si>
    <t>VN000EE1I6Y1M  050</t>
  </si>
  <si>
    <t>VN000EE1I6Y1002 - Old Skool V GLAZED GINGER/M, 5, Medium</t>
  </si>
  <si>
    <t>VN0A5HF8BLK1018</t>
  </si>
  <si>
    <t>VN0A5HF8BLK1M  060</t>
  </si>
  <si>
    <t>VN0A5HF8BLK1018 - Slip-On TRK Black, 6, Medium</t>
  </si>
  <si>
    <t>VN0A5HYWYOH1012</t>
  </si>
  <si>
    <t>Range EXP Hi VansGuard</t>
  </si>
  <si>
    <t>BURRO</t>
  </si>
  <si>
    <t>VN0A5HYWYOH1M  055</t>
  </si>
  <si>
    <t>SUEDE SHERPA</t>
  </si>
  <si>
    <t>VN0A5HYWYOH1012 - Range EXP Hi VansGuard SSHP, 5.5, Medium</t>
  </si>
  <si>
    <t>VN000F5TLKZ1001</t>
  </si>
  <si>
    <t>ALTA BEANIE</t>
  </si>
  <si>
    <t>VN000F5TLKZ1.  OS</t>
  </si>
  <si>
    <t>H02023</t>
  </si>
  <si>
    <t>VN000F5TLKZ1001 - ALTA BEANIE dress blues, One Size</t>
  </si>
  <si>
    <t>Shell : 52%ACRYLIC 20%NYLON  28%polyester Lining: 100% Polyester EOD</t>
  </si>
  <si>
    <t>VN000HTUM8I1001</t>
  </si>
  <si>
    <t>Vans Spirit Pom Beanie</t>
  </si>
  <si>
    <t>VN000HTUM8I1.  OS</t>
  </si>
  <si>
    <t>VN000HTUM8I1001 - Vans Spirit Pom Beanie GRAY MI, One Size</t>
  </si>
  <si>
    <t>VN000PT612Q1003</t>
  </si>
  <si>
    <t>Crestline Crew</t>
  </si>
  <si>
    <t>Solar</t>
  </si>
  <si>
    <t>VN000PT612Q1.  S</t>
  </si>
  <si>
    <t>VN000PT612Q1003 - Crestline Crew Solar, Small</t>
  </si>
  <si>
    <t>55%Polyester 40%Cotton 3%Elastane 2%Nylon</t>
  </si>
  <si>
    <t>VN000Q1FEMU1001</t>
  </si>
  <si>
    <t>VN000Q1FEMU1.  OS</t>
  </si>
  <si>
    <t>VN000Q1FEMU1001 - Vans Classic Cuff Beani Dried, One Size</t>
  </si>
  <si>
    <t>VN000QB3EMJ1001</t>
  </si>
  <si>
    <t>VN000QB3EMJ1.  OS</t>
  </si>
  <si>
    <t>VN000QB3EMJ1001 - Leiva Cuff Beanie Burnt Gold, One Size</t>
  </si>
  <si>
    <t>VN0008NACDX1006</t>
  </si>
  <si>
    <t>CHECK-5 BAGGY DENIM PAN</t>
  </si>
  <si>
    <t>VN0008NACDX1REG32</t>
  </si>
  <si>
    <t>VN0008NACDX1006 - CHECK-5 BAGGY DENIM PAN STO, 32, Regular</t>
  </si>
  <si>
    <t>VN000FVHFS81001</t>
  </si>
  <si>
    <t>Curbside Pant</t>
  </si>
  <si>
    <t>VN000FVHFS81.  22</t>
  </si>
  <si>
    <t>VN000FVHFS81001 - Curbside Pant marshmallow, 22</t>
  </si>
  <si>
    <t>VN000HZABLK1025</t>
  </si>
  <si>
    <t>VN000HZABLK130 26</t>
  </si>
  <si>
    <t>VN000HZABLK1025 - Authentic Chino Slim Pa Black, 26, 30</t>
  </si>
  <si>
    <t>VN000HZBYEH1001</t>
  </si>
  <si>
    <t>VN000HZBYEH132 33</t>
  </si>
  <si>
    <t>VN000HZBYEH1001 - Authentic Chino Relaxed DESERT T, 33, 32</t>
  </si>
  <si>
    <t>VN000HZBYEH1005</t>
  </si>
  <si>
    <t>VN000HZBYEH132 38</t>
  </si>
  <si>
    <t>VN000HZBYEH1005 - Authentic Chino Relaxed DESERT T, 38, 32</t>
  </si>
  <si>
    <t>VN000KMZH7Q1001</t>
  </si>
  <si>
    <t>CARDINAL/NAVY</t>
  </si>
  <si>
    <t>VN000KMZH7Q1.  L</t>
  </si>
  <si>
    <t>VN000KMZH7Q1001 - Classic Drop V SS Cre-B CARDINAL/, Large</t>
  </si>
  <si>
    <t>VN000KYUCI21001</t>
  </si>
  <si>
    <t>Skate Mesh Polo</t>
  </si>
  <si>
    <t>RAIN FOREST</t>
  </si>
  <si>
    <t>VN000KYUCI21.  M</t>
  </si>
  <si>
    <t>VN000KYUCI21001 - Skate Mesh Polo RAIN FOREST, Medium</t>
  </si>
  <si>
    <t>98% COTTON 2% POLY</t>
  </si>
  <si>
    <t>VN000M12IYR1001</t>
  </si>
  <si>
    <t>VN000M12IYR1.  XS</t>
  </si>
  <si>
    <t>VN000M12IYR1001 - Palmhill Denim LS Woven FADED D, X Small</t>
  </si>
  <si>
    <t>VN000M8EKCZ1004</t>
  </si>
  <si>
    <t>VN000M8EKCZ1REG36</t>
  </si>
  <si>
    <t>VN000M8EKCZ1004 - MTE Daily Solid Sidelin GRA, 36, Regular</t>
  </si>
  <si>
    <t>VN000MGTBL21003</t>
  </si>
  <si>
    <t>Blaze Crew Sweater BY</t>
  </si>
  <si>
    <t>VN000MGTBL21.  L</t>
  </si>
  <si>
    <t>VN000MGTBL21003 - Blaze Crew Sweater BY HARVEST GOL, Large</t>
  </si>
  <si>
    <t>6089 - VN KD SWEATERS</t>
  </si>
  <si>
    <t>VN000MMTBLK1002</t>
  </si>
  <si>
    <t>Pawtastic SS</t>
  </si>
  <si>
    <t>VN000MMTBLK1.  4</t>
  </si>
  <si>
    <t>VN000MMTBLK1002 - Pawtastic SS Black, 4</t>
  </si>
  <si>
    <t>VN000NWP1O71005</t>
  </si>
  <si>
    <t>VN000NWP1O71.  XS</t>
  </si>
  <si>
    <t>VN000NWP1O71005 - Z LEGACY LOOSE FT PO Asphalt, X Small</t>
  </si>
  <si>
    <t>VN000PBRBLK1004</t>
  </si>
  <si>
    <t>VN000PBRBLK1.  M</t>
  </si>
  <si>
    <t>VN000PBRBLK1004 - Chaos SS Black, Medium</t>
  </si>
  <si>
    <t>VN000PDREN71003</t>
  </si>
  <si>
    <t>VN000PDREN71.  XL</t>
  </si>
  <si>
    <t>VN000PDREN71003 - Star Checker SS Pink Dawn, X Large</t>
  </si>
  <si>
    <t>VN000PEYNAV1005</t>
  </si>
  <si>
    <t>Determined SS</t>
  </si>
  <si>
    <t>VN000PEYNAV1.  S</t>
  </si>
  <si>
    <t>VN000PEYNAV1005 - Determined SS Navy/White, Small</t>
  </si>
  <si>
    <t>VN000PGJEMF1004</t>
  </si>
  <si>
    <t>MTE Sundown Liner</t>
  </si>
  <si>
    <t>VN000PGJEMF1.  M</t>
  </si>
  <si>
    <t>VN000PGJEMF1004 - MTE Sundown Liner Bay Leaf, Medium</t>
  </si>
  <si>
    <t>VN000PK8BLK1001</t>
  </si>
  <si>
    <t>VN000PK8BLK1.  XXS</t>
  </si>
  <si>
    <t>VN000PK8BLK1001 - MTE Trek Guide Polartec Black, XX Small</t>
  </si>
  <si>
    <t>VN000PXSBLK1001</t>
  </si>
  <si>
    <t>VN000PXSBLK1.  L</t>
  </si>
  <si>
    <t>VN000PXSBLK1001 - Star Checker SS Black, Large</t>
  </si>
  <si>
    <t>VN000Q39EN91007</t>
  </si>
  <si>
    <t>After Dark Retro Hoodie</t>
  </si>
  <si>
    <t>VN000Q39EN91.  XXS</t>
  </si>
  <si>
    <t>VN000Q39EN91007 - After Dark Retro Hoodie Taupe, XX Small</t>
  </si>
  <si>
    <t>VN000QDFWHT1004</t>
  </si>
  <si>
    <t>Classic Script</t>
  </si>
  <si>
    <t>VN000QDFWHT1.  XL</t>
  </si>
  <si>
    <t>VN000QDFWHT1004 - Classic Script White, X Large</t>
  </si>
  <si>
    <t>VN000R3UU201002</t>
  </si>
  <si>
    <t>VN000R3UU201.  XL</t>
  </si>
  <si>
    <t>VN000R3UU201002 - Kari Tie Neck Top CLASSIC WHITE, X Large</t>
  </si>
  <si>
    <t>VN000R742N11002</t>
  </si>
  <si>
    <t>Script Mini Mock LS</t>
  </si>
  <si>
    <t>VN000R742N11.  L</t>
  </si>
  <si>
    <t>VN000R742N11002 - Script Mini Mock LS oatmeal, Large</t>
  </si>
  <si>
    <t>95% Cotton, 5% Elastane</t>
  </si>
  <si>
    <t>VN000RG41QI1003</t>
  </si>
  <si>
    <t>VN000RG41QI1.  L</t>
  </si>
  <si>
    <t>VN000RG41QI1003 - EVOLVE SS Light Grey Heat, Large</t>
  </si>
  <si>
    <t>VN0A5FLPBLK1005</t>
  </si>
  <si>
    <t>VN0A5FLPBLK1REG27</t>
  </si>
  <si>
    <t>VN0A5FLPBLK1005 - Authentic Chino Pant Black, 27, Regular</t>
  </si>
  <si>
    <t>VN0A5FLPBLK1004</t>
  </si>
  <si>
    <t>VN0A5FLPBLK1REG28</t>
  </si>
  <si>
    <t>VN0A5FLPBLK1004 - Authentic Chino Pant Black, 28, Regular</t>
  </si>
  <si>
    <t>VN000H4ZE2W1001</t>
  </si>
  <si>
    <t>Old Skool Drop V Backpa</t>
  </si>
  <si>
    <t>VN000H4ZE2W1.  OS</t>
  </si>
  <si>
    <t>VN000H4ZE2W1001 - Old Skool Drop V Backpa Herita, One Size</t>
  </si>
  <si>
    <t>Shell：100% Polyester Polyurethane Coating, Lining：100% Polyester Polyurethane Coating, EOD &amp; EOE</t>
  </si>
  <si>
    <t>VN000CVTWHP1012</t>
  </si>
  <si>
    <t>VN000CVTWHP1M  045</t>
  </si>
  <si>
    <t>VN000CVTWHP1012 - MTE Sk8-Hi Waterproof White, 4.5, Medium</t>
  </si>
  <si>
    <t>VN000CWEZ5D1011</t>
  </si>
  <si>
    <t>White/Blue</t>
  </si>
  <si>
    <t>VN000CWEZ5D1M  040</t>
  </si>
  <si>
    <t>VN000CWEZ5D1011 - UltraRange Neo VR3 White/Blue, 4, Medium</t>
  </si>
  <si>
    <t>VN000D0H11E1007</t>
  </si>
  <si>
    <t>VN000D0H11E1M  130</t>
  </si>
  <si>
    <t>VN000D0H11E1007 - SK8-Hi Insulated VNTG DKPPL, 13, Medium</t>
  </si>
  <si>
    <t>VN000D0SRV21011</t>
  </si>
  <si>
    <t>VN000D0SRV21M  050</t>
  </si>
  <si>
    <t>VN000D0SRV21011 - Slip-On V CTHR CHBD BLACK, 5, Medium</t>
  </si>
  <si>
    <t>VN000D0SYJ71015</t>
  </si>
  <si>
    <t>VN000D0SYJ71M  070</t>
  </si>
  <si>
    <t>VN000D0SYJ71015 - Slip-On V GLOW BLKGR, 7, Medium</t>
  </si>
  <si>
    <t>VN000D1HWWW1012</t>
  </si>
  <si>
    <t>White/White</t>
  </si>
  <si>
    <t>VN000D1HWWW1M  040</t>
  </si>
  <si>
    <t>VN000D1HWWW1012 - Upland White/White, 4, Medium</t>
  </si>
  <si>
    <t>VN000D5D17P1016</t>
  </si>
  <si>
    <t>Skate 2 Wayvee</t>
  </si>
  <si>
    <t>Green/Gum</t>
  </si>
  <si>
    <t>VN000D5D17P1M  120</t>
  </si>
  <si>
    <t>VN000D5D17P1016 - Skate 2 Wayvee Green/Gum, 12, Medium</t>
  </si>
  <si>
    <t>VN000D6SBKA1007</t>
  </si>
  <si>
    <t>Cruze 3.0</t>
  </si>
  <si>
    <t>VN000D6SBKA1M  065</t>
  </si>
  <si>
    <t>VN000D6SBKA1007 - Cruze 3.0 Black/Black, 6.5, Medium</t>
  </si>
  <si>
    <t>Action Sports, Fashion Lifestyle, Sports Inspired, Monobrand</t>
  </si>
  <si>
    <t>VN000D70CHG1018</t>
  </si>
  <si>
    <t>VN000D70CHG1M  040</t>
  </si>
  <si>
    <t>VN000D70CHG1018 - Upland NEUT DEEPT, 4, Medium</t>
  </si>
  <si>
    <t>VN000D70CHG1007</t>
  </si>
  <si>
    <t>VN000D70CHG1M  080</t>
  </si>
  <si>
    <t>VN000D70CHG1007 - Upland NEUT DEEPT, 8, Medium</t>
  </si>
  <si>
    <t>VN000D8NBKA1002</t>
  </si>
  <si>
    <t>VN000D8NBKA1M  120</t>
  </si>
  <si>
    <t>VN000D8NBKA1002 - Hylane BLST BLACK, 12, Medium</t>
  </si>
  <si>
    <t>VN000DAJBIY1010</t>
  </si>
  <si>
    <t>VN000DAJBIY1M  110</t>
  </si>
  <si>
    <t>VN000DAJBIY1010 - Knu Skool PINK/MULTI, 11, Medium</t>
  </si>
  <si>
    <t>VN000E8CGMX1002</t>
  </si>
  <si>
    <t>VN000E8CGMX1M  120</t>
  </si>
  <si>
    <t>VN000E8CGMX1002 - Classic Slip-On Platform CHB, 12, Medium</t>
  </si>
  <si>
    <t>VN000E8CGMX1001</t>
  </si>
  <si>
    <t>VN000E8CGMX1M  130</t>
  </si>
  <si>
    <t>VN000E8CGMX1001 - Classic Slip-On Platform CHB, 13, Medium</t>
  </si>
  <si>
    <t>VN000E9YLBR1005</t>
  </si>
  <si>
    <t>VN000E9YLBR1M  055</t>
  </si>
  <si>
    <t>VN000E9YLBR1005 - Old Skool Light Brown, 5.5, Medium</t>
  </si>
  <si>
    <t>VN000EA9BA21013</t>
  </si>
  <si>
    <t>Classic Slip-On Platform</t>
  </si>
  <si>
    <t>VN000EA9BA21M  130</t>
  </si>
  <si>
    <t>FLORAL CHECKERBOARD</t>
  </si>
  <si>
    <t>VN000EA9BA21013 - Classic Slip-On Platform FLO, 13, Medium</t>
  </si>
  <si>
    <t>VN000XUJB9P1004</t>
  </si>
  <si>
    <t>VN000XUJB9P1M  060</t>
  </si>
  <si>
    <t>VN000XUJB9P1004 - Old Skool Creeper PNHR BLKPK, 6, Medium</t>
  </si>
  <si>
    <t>VN000ZUVC4R1012</t>
  </si>
  <si>
    <t>Milton</t>
  </si>
  <si>
    <t>(Suede Canvas) black/whit</t>
  </si>
  <si>
    <t>VN000ZUVC4R1M  120</t>
  </si>
  <si>
    <t>VN000ZUVC4R1012 - Milton SUCV BLKWH, 12, Medium</t>
  </si>
  <si>
    <t>VN00066X6PH1001</t>
  </si>
  <si>
    <t>Classic Patch Curved Bi</t>
  </si>
  <si>
    <t>VN00066X6PH1.  OS</t>
  </si>
  <si>
    <t>VN00066X6PH1001 - Classic Patch Curved Bi Purple, One Size</t>
  </si>
  <si>
    <t>VN000JTRBLK1001</t>
  </si>
  <si>
    <t>VN000JTRBLK1.  OS</t>
  </si>
  <si>
    <t>VN000JTRBLK1001 - Classic Tall Cuff Beani Black, One Size</t>
  </si>
  <si>
    <t>VN000JTRLVB1001</t>
  </si>
  <si>
    <t>VINTAGE CAMO</t>
  </si>
  <si>
    <t>VN000JTRLVB1.  OS</t>
  </si>
  <si>
    <t>VN000JTRLVB1001 - Classic Tall Cuff Beani VINTAG, One Size</t>
  </si>
  <si>
    <t>VN000K9Y7VJ1001</t>
  </si>
  <si>
    <t>Natural</t>
  </si>
  <si>
    <t>VN000K9Y7VJ1.  OS</t>
  </si>
  <si>
    <t>VN000K9Y7VJ1001 - Core Basics Beanie Natural, One Size</t>
  </si>
  <si>
    <t>VN000MPD7WM1001</t>
  </si>
  <si>
    <t>Edgeview Visor</t>
  </si>
  <si>
    <t>VN000MPD7WM1.  OS</t>
  </si>
  <si>
    <t>VN000MPD7WM1001 - Edgeview Visor TrBl, One Size</t>
  </si>
  <si>
    <t>VN000QB4FLM1001</t>
  </si>
  <si>
    <t>VN000QB4FLM1.  OS</t>
  </si>
  <si>
    <t>VN000QB4FLM1001 - Core Basic Cuff Beanie Flame, One Size</t>
  </si>
  <si>
    <t>VN000QB4Y7X1001</t>
  </si>
  <si>
    <t>BURNT ORANGE</t>
  </si>
  <si>
    <t>VN000QB4Y7X1.  OS</t>
  </si>
  <si>
    <t>VN000QB4Y7X1001 - Core Basic Cuff Beanie BURNT O, One Size</t>
  </si>
  <si>
    <t>VN0A31J6DRB1003</t>
  </si>
  <si>
    <t>MN HUNTER II PU BELT</t>
  </si>
  <si>
    <t>Dark Brown</t>
  </si>
  <si>
    <t>VN0A31J6DRB1.  36</t>
  </si>
  <si>
    <t>VN0A31J6DRB1003 - MN HUNTER II PU BELT Dark Brown, 36</t>
  </si>
  <si>
    <t>95% Polyester 5% Viscose, Coating Polyurethane EOD</t>
  </si>
  <si>
    <t>VN0A7PQZZX11001</t>
  </si>
  <si>
    <t>Black/Gold</t>
  </si>
  <si>
    <t>VN0A7PQZZX11.  OS</t>
  </si>
  <si>
    <t>VN0A7PQZZX11001 - Belden Shades Black/Gold, One Size</t>
  </si>
  <si>
    <t>VN000G75BL21004</t>
  </si>
  <si>
    <t>VN000G75BL2119 XL</t>
  </si>
  <si>
    <t>VN000G75BL21004 - PRIMARY SOLID ELASTIC B HAR, X Large, 19</t>
  </si>
  <si>
    <t>VN000HZCBLK1018</t>
  </si>
  <si>
    <t>VN000HZCBLK130 30</t>
  </si>
  <si>
    <t>VN000HZCBLK1018 - Authentic Chino Loose P Black, 30, 30</t>
  </si>
  <si>
    <t>VN000J79BLK1004</t>
  </si>
  <si>
    <t>VN000J79BLK1.  XL</t>
  </si>
  <si>
    <t>VN000J79BLK1004 - Drew Rib Tank Black, X Large</t>
  </si>
  <si>
    <t>VN000KASFBI1001</t>
  </si>
  <si>
    <t>Marshmallow/Loden Green</t>
  </si>
  <si>
    <t>VN000KASFBI1.  S</t>
  </si>
  <si>
    <t>VN000KASFBI1001 - Mesa Stripe SS Shirt Marshmallow/, Small</t>
  </si>
  <si>
    <t>VN000KYXBLK1003</t>
  </si>
  <si>
    <t>VN000KYXBLK1.  S</t>
  </si>
  <si>
    <t>VN000KYXBLK1003 - Skate Fleece Vest Black, Small</t>
  </si>
  <si>
    <t>VN000M47BLK1001</t>
  </si>
  <si>
    <t>Metal Arch SS</t>
  </si>
  <si>
    <t>VN000M47BLK1.  M</t>
  </si>
  <si>
    <t>VN000M47BLK1001 - Metal Arch SS Black, Medium</t>
  </si>
  <si>
    <t>VN000M9KEB21007</t>
  </si>
  <si>
    <t>Cobra Cargo Skirt</t>
  </si>
  <si>
    <t>Black/Parisian Night</t>
  </si>
  <si>
    <t>VN000M9KEB21.  28</t>
  </si>
  <si>
    <t>VN000M9KEB21007 - Cobra Cargo Skirt Black/Parisian, 28</t>
  </si>
  <si>
    <t>VN000MEPJDU1005</t>
  </si>
  <si>
    <t>VN000MEPJDU1.  14</t>
  </si>
  <si>
    <t>VN000MEPJDU1005 - Union Short PARISIAN NIGHT, 14</t>
  </si>
  <si>
    <t>VN000MFWUUI1001</t>
  </si>
  <si>
    <t>VN000MFWUUI1.  4</t>
  </si>
  <si>
    <t>VN000MFWUUI1001 - Daisy Break Zip Hoodie EVENING HAZE, 4</t>
  </si>
  <si>
    <t>VN000MN07WM1003</t>
  </si>
  <si>
    <t>VN000MN07WM1.  4</t>
  </si>
  <si>
    <t>VN000MN07WM1003 - Night Watchers Fleece P TrBl, 4</t>
  </si>
  <si>
    <t>VN000P1PCLH1001</t>
  </si>
  <si>
    <t>LEFT CHEST II LOOSE SS</t>
  </si>
  <si>
    <t>VN000P1PCLH1.  XS</t>
  </si>
  <si>
    <t>VN000P1PCLH1001 - LEFT CHEST II LOOSE SS SHADOW L, X Small</t>
  </si>
  <si>
    <t>VN000P8WPWT1004</t>
  </si>
  <si>
    <t>Cromwell Knit LS</t>
  </si>
  <si>
    <t>VN000P8WPWT1.  M</t>
  </si>
  <si>
    <t>VN000P8WPWT1004 - Cromwell Knit LS Pewter, Medium</t>
  </si>
  <si>
    <t>VN000P8WPWT1002</t>
  </si>
  <si>
    <t>VN000P8WPWT1.  XL</t>
  </si>
  <si>
    <t>VN000P8WPWT1002 - Cromwell Knit LS Pewter, X Large</t>
  </si>
  <si>
    <t>VN000PA6BLK1002</t>
  </si>
  <si>
    <t>VN000PA6BLK1.  XL</t>
  </si>
  <si>
    <t>VN000PA6BLK1002 - Scripted Vans Crew Black, X Large</t>
  </si>
  <si>
    <t>VN000PK1EMW1004</t>
  </si>
  <si>
    <t>VN000PK1EMW1.  M</t>
  </si>
  <si>
    <t>VN000PK1EMW1004 - Hillgate Cropped Puffer Gray Oli, Medium</t>
  </si>
  <si>
    <t>VN000PMAEMW1006</t>
  </si>
  <si>
    <t>VN000PMAEMW1.  L</t>
  </si>
  <si>
    <t>VN000PMAEMW1006 - Hi-Country 3L Snow Jack Gray Oliv, Large</t>
  </si>
  <si>
    <t>VN000PMDEMW1003</t>
  </si>
  <si>
    <t>VN000PMDEMW1REGL</t>
  </si>
  <si>
    <t>VN000PMDEMW1003 - MTE High-Country 3L Pan, Large, Regular</t>
  </si>
  <si>
    <t>VN000PXEEMS1003</t>
  </si>
  <si>
    <t>Vans Inferno Pullover</t>
  </si>
  <si>
    <t>VN000PXEEMS1.  M</t>
  </si>
  <si>
    <t>VN000PXEEMS1003 - Vans Inferno Pullover Dark Port, Medium</t>
  </si>
  <si>
    <t>VN000PXS6JL1001</t>
  </si>
  <si>
    <t>Canary Yellow</t>
  </si>
  <si>
    <t>VN000PXS6JL1.  L</t>
  </si>
  <si>
    <t>VN000PXS6JL1001 - Star Checker SS Canary Yellow, Large</t>
  </si>
  <si>
    <t>VN000Q0PEMP1007</t>
  </si>
  <si>
    <t>Claire Embellished Baby</t>
  </si>
  <si>
    <t>VN000Q0PEMP1.  XXS</t>
  </si>
  <si>
    <t>VN000Q0PEMP1007 - Claire Embellished Baby Coal B, XX Small</t>
  </si>
  <si>
    <t>VN000R03WHT1004</t>
  </si>
  <si>
    <t>Metal Wall SS</t>
  </si>
  <si>
    <t>VN000R03WHT1.  XL</t>
  </si>
  <si>
    <t>VN000R03WHT1004 - Metal Wall SS White, X Large</t>
  </si>
  <si>
    <t>VN000R04BLK1004</t>
  </si>
  <si>
    <t>VN000R04BLK1.  XL</t>
  </si>
  <si>
    <t>VN000R04BLK1004 - Happy Spike SS Black, X Large</t>
  </si>
  <si>
    <t>VN000R7AYB21003</t>
  </si>
  <si>
    <t>STYLE 76 ll LOOSE LS TE</t>
  </si>
  <si>
    <t>VN000R7AYB21.  XL</t>
  </si>
  <si>
    <t>VN000R7AYB21003 - STYLE 76 ll LOOSE LS TE White/B, X Large</t>
  </si>
  <si>
    <t>VN000RD5EMP1002</t>
  </si>
  <si>
    <t>STOMPER LOOSE FIT CREW</t>
  </si>
  <si>
    <t>VN000RD5EMP1.  S</t>
  </si>
  <si>
    <t>VN000RD5EMP1002 - STOMPER LOOSE FIT CREW Coal Brown, Small</t>
  </si>
  <si>
    <t>VN000RG4BLK1001</t>
  </si>
  <si>
    <t>VN000RG4BLK1.  S</t>
  </si>
  <si>
    <t>VN000RG4BLK1001 - EVOLVE SS Black, Small</t>
  </si>
  <si>
    <t>VN001098NVY1001</t>
  </si>
  <si>
    <t>Oversized 1966 SS Tee</t>
  </si>
  <si>
    <t>Navy</t>
  </si>
  <si>
    <t>VN001098NVY1.  L</t>
  </si>
  <si>
    <t>VN001098NVY1001 - Oversized 1966 SS Tee Navy, Large</t>
  </si>
  <si>
    <t>VN0A2ZXXLVB1001</t>
  </si>
  <si>
    <t>Ward Cross Body Pack</t>
  </si>
  <si>
    <t>VN0A2ZXXLVB1.  OS</t>
  </si>
  <si>
    <t>VN0A2ZXXLVB1001 - Ward Cross Body Pack VINTAGE C, One Size</t>
  </si>
  <si>
    <t>SHELL: 45%COTTON, 55%CORDURA; LINING: 100% POLYESTER, POLYURETHANE COATING, EOD&amp; EOE</t>
  </si>
  <si>
    <t>VN000BCE2N11006</t>
  </si>
  <si>
    <t>VN000BCE2N11M  130</t>
  </si>
  <si>
    <t>VN000BCE2N11006 - UltraRange Neo VR3 oatmeal, 13, Medium</t>
  </si>
  <si>
    <t>VN000BCEBA21004</t>
  </si>
  <si>
    <t>VN000BCEBA21M  050</t>
  </si>
  <si>
    <t>VN000BCEBA21004 - UltraRange Neo VR3 BLACK/WHIT, 5, Medium</t>
  </si>
  <si>
    <t>VN000CQRYLZ1007</t>
  </si>
  <si>
    <t>VN000CQRYLZ1M  130</t>
  </si>
  <si>
    <t>VN000CQRYLZ1007 - Sport Low COLO RASRO, 13, Medium</t>
  </si>
  <si>
    <t>VN000CR5FS81014</t>
  </si>
  <si>
    <t>VN000CR5FS81M  040</t>
  </si>
  <si>
    <t>OVERSIZED LACE</t>
  </si>
  <si>
    <t>VN000CR5FS81014 - Old Skool OSLC MSHML, 4, Medium</t>
  </si>
  <si>
    <t>VN000CWDCRM1024</t>
  </si>
  <si>
    <t>MTE UltraRange EXO SE</t>
  </si>
  <si>
    <t>Cream</t>
  </si>
  <si>
    <t>VN000CWDCRM1M  040</t>
  </si>
  <si>
    <t>SPECKLE</t>
  </si>
  <si>
    <t>VN000CWDCRM1024 - MTE UltraRange EXO SE SPKL DB, 4, Medium</t>
  </si>
  <si>
    <t>VN000CWELZZ1013</t>
  </si>
  <si>
    <t>POOL BLUE</t>
  </si>
  <si>
    <t>VN000CWELZZ1M  080</t>
  </si>
  <si>
    <t>VN000CWELZZ1013 - UltraRange Neo VR3 POOL BLUE, 8, Medium</t>
  </si>
  <si>
    <t>VN000D0HBMV1003</t>
  </si>
  <si>
    <t>VN000D0HBMV1M  125</t>
  </si>
  <si>
    <t>VN000D0HBMV1003 - SK8-Hi Insulated POP BLKML, 12.5, Medium</t>
  </si>
  <si>
    <t>VN000D2VEMY1003</t>
  </si>
  <si>
    <t>VN000D2VEMY1M  045</t>
  </si>
  <si>
    <t>VN000D2VEMY1003 - Old Skool CTHR LMIST, 4.5, Medium</t>
  </si>
  <si>
    <t>VN000D2VEMY1002</t>
  </si>
  <si>
    <t>VN000D2VEMY1M  055</t>
  </si>
  <si>
    <t>VN000D2VEMY1002 - Old Skool CTHR LMIST, 5.5, Medium</t>
  </si>
  <si>
    <t>VN000D4MYB21005</t>
  </si>
  <si>
    <t>VN000D4MYB21M  060</t>
  </si>
  <si>
    <t>VN000D4MYB21005 - Hylane V White/Black, 6, Medium</t>
  </si>
  <si>
    <t>VN000D4SCFL1008</t>
  </si>
  <si>
    <t>VN000D4SCFL1M  040</t>
  </si>
  <si>
    <t>VN000D4SCFL1008 - Old Skool V Heart CITADEL, 4, Medium</t>
  </si>
  <si>
    <t>VN000D6WEMG1006</t>
  </si>
  <si>
    <t>Blue Mist</t>
  </si>
  <si>
    <t>VN000D6WEMG1M  065</t>
  </si>
  <si>
    <t>PASTEL</t>
  </si>
  <si>
    <t>VN000D6WEMG1006 - Old Skool PSTL BLMST, 6.5, Medium</t>
  </si>
  <si>
    <t>VN000D7UGWT1005</t>
  </si>
  <si>
    <t>CHIPMUNK</t>
  </si>
  <si>
    <t>VN000D7UGWT1M  060</t>
  </si>
  <si>
    <t>SUEDE</t>
  </si>
  <si>
    <t>VN000D7UGWT1005 - Brooklyn LS SUED MBRWN, 6, Medium</t>
  </si>
  <si>
    <t>VN000DAQ1MG1013</t>
  </si>
  <si>
    <t>Sk8-Hi Waterproof Insulat</t>
  </si>
  <si>
    <t>Grey/Grey</t>
  </si>
  <si>
    <t>VN000DAQ1MG1M  050</t>
  </si>
  <si>
    <t>VN000DAQ1MG1013 - Sk8-Hi Waterproof Insulat Gre, 5, Medium</t>
  </si>
  <si>
    <t>VN000E86BA21005</t>
  </si>
  <si>
    <t>Authentic Platform 2.0</t>
  </si>
  <si>
    <t>VN000E86BA21M  130</t>
  </si>
  <si>
    <t>VN000E86BA21005 - Authentic Platform 2.0 FLEM, 13, Medium</t>
  </si>
  <si>
    <t>VN000E9YLBR1007</t>
  </si>
  <si>
    <t>VN000E9YLBR1M  060</t>
  </si>
  <si>
    <t>VN000E9YLBR1007 - Old Skool Light Brown, 6, Medium</t>
  </si>
  <si>
    <t>VN000EC4DJR1011</t>
  </si>
  <si>
    <t>turtledove</t>
  </si>
  <si>
    <t>VN000EC4DJR1M  050</t>
  </si>
  <si>
    <t>DISTRESSED</t>
  </si>
  <si>
    <t>VN000EC4DJR1011 - Hylane DIST WHITE, 5, Medium</t>
  </si>
  <si>
    <t>VN000EK9BO51007</t>
  </si>
  <si>
    <t>UPLAND</t>
  </si>
  <si>
    <t>MULTI/MARSHMALLOW</t>
  </si>
  <si>
    <t>VN000EK9BO51M  130</t>
  </si>
  <si>
    <t>VN000EK9BO51007 - UPLAND MULTI/MARSHMALL, 13, Medium</t>
  </si>
  <si>
    <t>VN0A5FCB1N61010</t>
  </si>
  <si>
    <t>VN0A5FCB1N61M  090</t>
  </si>
  <si>
    <t>VN0A5FCB1N61010 - Skate Old Skool Pewter/White, 9, Medium</t>
  </si>
  <si>
    <t>VN000HSUF0U1001</t>
  </si>
  <si>
    <t>Vans Waffle Cuff Beanie</t>
  </si>
  <si>
    <t>Pink Dawn/Black</t>
  </si>
  <si>
    <t>VN000HSUF0U1.  OS</t>
  </si>
  <si>
    <t>VN000HSUF0U1001 - Vans Waffle Cuff Beanie Pink D, One Size</t>
  </si>
  <si>
    <t>VN000JRK97I1001</t>
  </si>
  <si>
    <t>Classic Web Belt</t>
  </si>
  <si>
    <t>VN000JRK97I1.  OS</t>
  </si>
  <si>
    <t>VN KIDS SMALL ACCESSORIES</t>
  </si>
  <si>
    <t>VN000JRK97I1001 - Classic Web Belt Classic Camo, One Size</t>
  </si>
  <si>
    <t>6104 - VN KD SMALL ACCESSOR</t>
  </si>
  <si>
    <t>100% Polyester EOD</t>
  </si>
  <si>
    <t>VN000KYHBLK1001</t>
  </si>
  <si>
    <t>Skate Thorn Web Belt</t>
  </si>
  <si>
    <t>VN000KYHBLK1.  OS</t>
  </si>
  <si>
    <t>VN000KYHBLK1001 - Skate Thorn Web Belt Black, One Size</t>
  </si>
  <si>
    <t>100% Polyester, EOD</t>
  </si>
  <si>
    <t>VN000PNVBLK1001</t>
  </si>
  <si>
    <t>Skate Blurry Stripe Bea</t>
  </si>
  <si>
    <t>VN000PNVBLK1.  OS</t>
  </si>
  <si>
    <t>VN000PNVBLK1001 - Skate Blurry Stripe Bea Black, One Size</t>
  </si>
  <si>
    <t>VN00000D1LE1005</t>
  </si>
  <si>
    <t>RANGE BAGGY TAPERED ELA</t>
  </si>
  <si>
    <t>Canteen</t>
  </si>
  <si>
    <t>VN00000D1LE1REGS</t>
  </si>
  <si>
    <t>VN00000D1LE1005 - RANGE BAGGY TAPERED ELA, Small, Regular</t>
  </si>
  <si>
    <t>VN000G75BL21001</t>
  </si>
  <si>
    <t>VN000G75BL2117 S</t>
  </si>
  <si>
    <t>VN000G75BL21001 - PRIMARY SOLID ELASTIC B HARVE, Small, 17</t>
  </si>
  <si>
    <t>VN000H2AEN61001</t>
  </si>
  <si>
    <t>COLORBLOCK HALF ZIP MOC</t>
  </si>
  <si>
    <t>VN000H2AEN61.  S</t>
  </si>
  <si>
    <t>VN000H2AEN61001 - COLORBLOCK HALF ZIP MOC Pine Fore, Small</t>
  </si>
  <si>
    <t>VN000HNAC9J1006</t>
  </si>
  <si>
    <t>MTE MILLER DOWN PUFFER</t>
  </si>
  <si>
    <t>AUBURN</t>
  </si>
  <si>
    <t>VN000HNAC9J1.  M</t>
  </si>
  <si>
    <t>VN000HNAC9J1006 - MTE MILLER DOWN PUFFER AUBURN, Medium</t>
  </si>
  <si>
    <t>VN000HZCBLK1013</t>
  </si>
  <si>
    <t>VN000HZCBLK130 32</t>
  </si>
  <si>
    <t>VN000HZCBLK1013 - Authentic Chino Loose P Black, 32, 30</t>
  </si>
  <si>
    <t>VN000J79BLK1003</t>
  </si>
  <si>
    <t>VN000J79BLK1.  S</t>
  </si>
  <si>
    <t>VN000J79BLK1003 - Drew Rib Tank Black, Small</t>
  </si>
  <si>
    <t>VN000KUR7WM1004</t>
  </si>
  <si>
    <t>VN000KUR7WM1.  S</t>
  </si>
  <si>
    <t>VN000KUR7WM1004 - Acid Check Crew Sweater TrBl, Small</t>
  </si>
  <si>
    <t>VN000M77Y7U1002</t>
  </si>
  <si>
    <t>VN000M77Y7U1.  M</t>
  </si>
  <si>
    <t>VN000M77Y7U1002 - MTE Outline Hybrid Tank AFTER DA, Medium</t>
  </si>
  <si>
    <t>VN000M8EBL21003</t>
  </si>
  <si>
    <t>VN000M8EBL21REG29</t>
  </si>
  <si>
    <t>VN000M8EBL21003 - MTE Daily Solid Sidelin HAR, 29, Regular</t>
  </si>
  <si>
    <t>VN000M8EBL21007</t>
  </si>
  <si>
    <t>VN000M8EBL21REG34</t>
  </si>
  <si>
    <t>VN000M8EBL21007 - MTE Daily Solid Sidelin HAR, 34, Regular</t>
  </si>
  <si>
    <t>VN000MC0ZUJ1003</t>
  </si>
  <si>
    <t>Check Wash Fitted Crop</t>
  </si>
  <si>
    <t>LONDON FOG</t>
  </si>
  <si>
    <t>VN000MC0ZUJ1.  S</t>
  </si>
  <si>
    <t>VN000MC0ZUJ1003 - Check Wash Fitted Crop LONDON FOG, Small</t>
  </si>
  <si>
    <t>VN000MJJCDX1005</t>
  </si>
  <si>
    <t>VN000MJJCDX1REG26</t>
  </si>
  <si>
    <t>VN000MJJCDX1005 - Check-5 Blaze Loose Pan STO, 26, Regular</t>
  </si>
  <si>
    <t>VN000MMTBLK1004</t>
  </si>
  <si>
    <t>VN000MMTBLK1.  6</t>
  </si>
  <si>
    <t>VN000MMTBLK1004 - Pawtastic SS Black, 6</t>
  </si>
  <si>
    <t>VN000PHHLVB1002</t>
  </si>
  <si>
    <t>VN000PHHLVB1REG34</t>
  </si>
  <si>
    <t>VN000PHHLVB1002 - Drill Chore Carpenter L VIN, 34, Regular</t>
  </si>
  <si>
    <t>VN000PK1EMZ1003</t>
  </si>
  <si>
    <t>Neutral Olive</t>
  </si>
  <si>
    <t>VN000PK1EMZ1.  M</t>
  </si>
  <si>
    <t>VN000PK1EMZ1003 - Hillgate Cropped Puffer Neutral, Medium</t>
  </si>
  <si>
    <t>VN000PMHENB1003</t>
  </si>
  <si>
    <t>Hellbound Snow Pant 2.0</t>
  </si>
  <si>
    <t>Warm Brown</t>
  </si>
  <si>
    <t>VN000PMHENB1REGM</t>
  </si>
  <si>
    <t>VN000PMHENB1003 - Hellbound Snow Pant 2.0, Medium, Regular</t>
  </si>
  <si>
    <t>VN000PQHE901018</t>
  </si>
  <si>
    <t>Check-5 Baggy Denim Pan</t>
  </si>
  <si>
    <t>Stonewash Black</t>
  </si>
  <si>
    <t>VN000PQHE90132 33</t>
  </si>
  <si>
    <t>VN000PQHE901018 - Check-5 Baggy Denim Pan Stonewas, 33, 32</t>
  </si>
  <si>
    <t>VN000PR3EN91007</t>
  </si>
  <si>
    <t>Afterburn Relaxed Crop</t>
  </si>
  <si>
    <t>VN000PR3EN91.  L</t>
  </si>
  <si>
    <t>VN000PR3EN91007 - Afterburn Relaxed Crop Taupe Mist, Large</t>
  </si>
  <si>
    <t>VN000PX3BLK1004</t>
  </si>
  <si>
    <t>VN000PX3BLK1.  XL</t>
  </si>
  <si>
    <t>VN000PX3BLK1004 - Metal Wall Black, X Large</t>
  </si>
  <si>
    <t>VN000PXG02F1003</t>
  </si>
  <si>
    <t>VN000PXG02F1.  XL</t>
  </si>
  <si>
    <t>VN000PXG02F1003 - Star Checker Crew Cement Heathe, X Large</t>
  </si>
  <si>
    <t>VN000QDEY281002</t>
  </si>
  <si>
    <t>Torrey Coaches Jacket</t>
  </si>
  <si>
    <t>VN000QDEY281.  M</t>
  </si>
  <si>
    <t>VN BIG KIDS OUTERWEAR</t>
  </si>
  <si>
    <t>VN000QDEY281002 - Torrey Coaches Jacket Black/Whit, Medium</t>
  </si>
  <si>
    <t>6085 - VN KD JACKETS</t>
  </si>
  <si>
    <t>VN000R03WHT1002</t>
  </si>
  <si>
    <t>VN000R03WHT1.  L</t>
  </si>
  <si>
    <t>VN000R03WHT1002 - Metal Wall SS White, Large</t>
  </si>
  <si>
    <t>VN000RARFS81005</t>
  </si>
  <si>
    <t>BLOCKED BOX PO HOODIE</t>
  </si>
  <si>
    <t>VN000RARFS81.  L</t>
  </si>
  <si>
    <t>VN000RARFS81005 - BLOCKED BOX PO HOODIE marshmallow, Large</t>
  </si>
  <si>
    <t>VN000RCHWHT1003</t>
  </si>
  <si>
    <t>Rhythm Relaxed Crop ss</t>
  </si>
  <si>
    <t>VN000RCHWHT1.  S</t>
  </si>
  <si>
    <t>VN000RCHWHT1003 - Rhythm Relaxed Crop ss White, Small</t>
  </si>
  <si>
    <t>VN000RG0EMS1005</t>
  </si>
  <si>
    <t>MIRROR V LOOSE CREW</t>
  </si>
  <si>
    <t>VN000RG0EMS1.  S</t>
  </si>
  <si>
    <t>VN000RG0EMS1005 - MIRROR V LOOSE CREW Dark Port, Small</t>
  </si>
  <si>
    <t>VN000XCUWHT1001</t>
  </si>
  <si>
    <t>VN000XCUWHT1.  M</t>
  </si>
  <si>
    <t>VN000XCUWHT1001 - CHAINED LOOSE SS White, Medium</t>
  </si>
  <si>
    <t>VN0A5FJJ3N11003</t>
  </si>
  <si>
    <t>RANGE RELAXED ELASTIC P</t>
  </si>
  <si>
    <t>DEMITASSE</t>
  </si>
  <si>
    <t>VN0A5FJJ3N11REGXS</t>
  </si>
  <si>
    <t>VN0A5FJJ3N11003 - RANGE RELAXED ELASTIC, X Small, Regular</t>
  </si>
  <si>
    <t>98% COTTON 2% STRETCH</t>
  </si>
  <si>
    <t>VN0A7YUTWHT1004</t>
  </si>
  <si>
    <t>VN0A7YUTWHT1.  XL</t>
  </si>
  <si>
    <t>VN0A7YUTWHT1004 - Flying V Oversized FLYV WHITE, X Large</t>
  </si>
  <si>
    <t>VN000HRJEMX1001</t>
  </si>
  <si>
    <t>Heritage Mustard</t>
  </si>
  <si>
    <t>VN000HRJEMX1.  OS</t>
  </si>
  <si>
    <t>VN000HRJEMX1001 - Old Skool Sport Backpac Herita, One Size</t>
  </si>
  <si>
    <t>SHELL: 100% POLYESTER, POLYURETHANE COATING, TRIMS:100% BOVINE SPLIT LEATHER, LINING: 100% POLYESTER, POLYURETHANE COATING, EOD&amp;EOE</t>
  </si>
  <si>
    <t>VN0007P9CL21004</t>
  </si>
  <si>
    <t>VN0007P9CL21M  080</t>
  </si>
  <si>
    <t>VN0007P9CL21004 - Caldrone SUME MAUVE, 8, Medium</t>
  </si>
  <si>
    <t>VN0007P9EN91011</t>
  </si>
  <si>
    <t>VN0007P9EN91M  060</t>
  </si>
  <si>
    <t>SUEDE GUM</t>
  </si>
  <si>
    <t>VN0007P9EN91011 - Caldrone SUDM TPMST, 6, Medium</t>
  </si>
  <si>
    <t>VN000CQRYLW1018</t>
  </si>
  <si>
    <t>Yellow</t>
  </si>
  <si>
    <t>VN000CQRYLW1M  040</t>
  </si>
  <si>
    <t>Gum Multi</t>
  </si>
  <si>
    <t>VN000CQRYLW1018 - Sport Low GUM DYELW, 4, Medium</t>
  </si>
  <si>
    <t>VN000CTNJBW1007</t>
  </si>
  <si>
    <t>VN000CTNJBW1M  110</t>
  </si>
  <si>
    <t>OUTDOORS</t>
  </si>
  <si>
    <t>VN000CTNJBW1007 - Speed LS OTDR WHITE, 11, Medium</t>
  </si>
  <si>
    <t>VN000CVTWHP1028</t>
  </si>
  <si>
    <t>VN000CVTWHP1M  055</t>
  </si>
  <si>
    <t>VN000CVTWHP1028 - MTE Sk8-Hi Waterproof White, 5.5, Medium</t>
  </si>
  <si>
    <t>VN000CVUOLV1006</t>
  </si>
  <si>
    <t>Crosspath</t>
  </si>
  <si>
    <t>Olive</t>
  </si>
  <si>
    <t>VN000CVUOLV1M  050</t>
  </si>
  <si>
    <t>VN000CVUOLV1006 - Crosspath Olive, 5, Medium</t>
  </si>
  <si>
    <t>VN000CYUEN61004</t>
  </si>
  <si>
    <t>VN000CYUEN61M  120</t>
  </si>
  <si>
    <t>VN000CYUEN61004 - Knu Skool Pine Forest, 12, Medium</t>
  </si>
  <si>
    <t>VN000CYVENA1002</t>
  </si>
  <si>
    <t>VN000CYVENA1M  130</t>
  </si>
  <si>
    <t>2-TONE</t>
  </si>
  <si>
    <t>VN000CYVENA1002 - Old Skool 2TNE TRQBL, 13, Medium</t>
  </si>
  <si>
    <t>VN000D0HBZW1001</t>
  </si>
  <si>
    <t>VN000D0HBZW1M  105</t>
  </si>
  <si>
    <t>VN000D0HBZW1001 - SK8-Hi Insulated Black/Whi, 10.5, Medium</t>
  </si>
  <si>
    <t>VN000D0MKCZ1014</t>
  </si>
  <si>
    <t>VN000D0MKCZ1M  055</t>
  </si>
  <si>
    <t>VN000D0MKCZ1014 - SK8-Hi Zip Insulated VNTG D, 5.5, Medium</t>
  </si>
  <si>
    <t>VN000D0MKCZ1009</t>
  </si>
  <si>
    <t>VN000D0MKCZ1M  065</t>
  </si>
  <si>
    <t>VN000D0MKCZ1009 - SK8-Hi Zip Insulated VNTG D, 6.5, Medium</t>
  </si>
  <si>
    <t>VN000D1JBO91001</t>
  </si>
  <si>
    <t>PINK/MARSHMALLOW</t>
  </si>
  <si>
    <t>VN000D1JBO91M  130</t>
  </si>
  <si>
    <t>VN000D1JBO91001 - Hylane PINK/MARSHMALLO, 13, Medium</t>
  </si>
  <si>
    <t>VN000D2VEMY1005</t>
  </si>
  <si>
    <t>VN000D2VEMY1M  070</t>
  </si>
  <si>
    <t>VN000D2VEMY1005 - Old Skool CTHR LMIST, 7, Medium</t>
  </si>
  <si>
    <t>VN000D6W2031012</t>
  </si>
  <si>
    <t>Green/Black</t>
  </si>
  <si>
    <t>VN000D6W2031M  050</t>
  </si>
  <si>
    <t>MONO POP</t>
  </si>
  <si>
    <t>VN000D6W2031012 - Old Skool MONO DGRBL, 5, Medium</t>
  </si>
  <si>
    <t>VN000D6ZO3N1009</t>
  </si>
  <si>
    <t>VN000D6ZO3N1M  050</t>
  </si>
  <si>
    <t>VN000D6ZO3N1009 - Knu Skool GUM MDPNK, 5, Medium</t>
  </si>
  <si>
    <t>VN000D7J52K1007</t>
  </si>
  <si>
    <t>VN000D7J52K1M  130</t>
  </si>
  <si>
    <t>VN000D7J52K1007 - MTE Slide-On VR3Cush Marmala, 13, Medium</t>
  </si>
  <si>
    <t>VN000DA2YY01004</t>
  </si>
  <si>
    <t>Skate Rowley</t>
  </si>
  <si>
    <t>Navy/Yellow</t>
  </si>
  <si>
    <t>VN000DA2YY01M  090</t>
  </si>
  <si>
    <t>VN000DA2YY01004 - Skate Rowley Navy/Yellow, 9, Medium</t>
  </si>
  <si>
    <t>VN000DAQ1MG1014</t>
  </si>
  <si>
    <t>VN000DAQ1MG1M  065</t>
  </si>
  <si>
    <t>VN000DAQ1MG1014 - Sk8-Hi Waterproof Insulat G, 6.5, Medium</t>
  </si>
  <si>
    <t>VN000DCJGRN1012</t>
  </si>
  <si>
    <t>VN000DCJGRN1M  025</t>
  </si>
  <si>
    <t>VN000DCJGRN1012 - MTE Slip-On Hi Terrain V Gr, 2.5, Medium</t>
  </si>
  <si>
    <t>VN000E8CGMU1001</t>
  </si>
  <si>
    <t>Mushroom/Marshmallow</t>
  </si>
  <si>
    <t>VN000E8CGMU1M  130</t>
  </si>
  <si>
    <t>VN000E8CGMU1001 - Classic Slip-on Stackform CH, 13, Medium</t>
  </si>
  <si>
    <t>VN000E8JQPT1016</t>
  </si>
  <si>
    <t>VN000E8JQPT1M  090</t>
  </si>
  <si>
    <t>VN000E8JQPT1016 - Skate Estazzo Black/Pewter, 9, Medium</t>
  </si>
  <si>
    <t>VN000KI51861005</t>
  </si>
  <si>
    <t>VN000KI51861M  030</t>
  </si>
  <si>
    <t>VN000KI51861005 - Atwood CNVS BLACK, 3, Medium</t>
  </si>
  <si>
    <t>VN0A2Z4CEL71009</t>
  </si>
  <si>
    <t>Seldan</t>
  </si>
  <si>
    <t>Elm</t>
  </si>
  <si>
    <t>VN0A2Z4CEL71M  095</t>
  </si>
  <si>
    <t>VN0A2Z4CEL71009 - Seldan OUTD ELM, 9.5, Medium</t>
  </si>
  <si>
    <t>VN0A54F4BD51016</t>
  </si>
  <si>
    <t>Old Skool Tapered</t>
  </si>
  <si>
    <t>LILAS</t>
  </si>
  <si>
    <t>VN0A54F4BD51M  050</t>
  </si>
  <si>
    <t>IN OUR HANDS</t>
  </si>
  <si>
    <t>WOMENS LIFESTYLE FOOTWEAR</t>
  </si>
  <si>
    <t>WOMENS LIFESTYLE CLASSICS FTW</t>
  </si>
  <si>
    <t>F02022</t>
  </si>
  <si>
    <t>VN0A54F4BD51016 - Old Skool Tapered ETHR HAND L, 5, Medium</t>
  </si>
  <si>
    <t>VN000KYCBLK1001</t>
  </si>
  <si>
    <t>Skate Tribal Cuff Beani</t>
  </si>
  <si>
    <t>VN000KYCBLK1.  OS</t>
  </si>
  <si>
    <t>VN000KYCBLK1001 - Skate Tribal Cuff Beani Black, One Size</t>
  </si>
  <si>
    <t>VN000LC0CVQ1001</t>
  </si>
  <si>
    <t>Matte Black/Silver Mirror</t>
  </si>
  <si>
    <t>VN000LC0CVQ1.  OS</t>
  </si>
  <si>
    <t>VN000LC0CVQ1001 - Spicoli 4 Shades Matte Black/S, One Size</t>
  </si>
  <si>
    <t>VN000QAQEMU1002</t>
  </si>
  <si>
    <t>VN000QAQEMU1.  SM</t>
  </si>
  <si>
    <t>VN000QAQEMU1002 - Hildy Bucket Dried Kelp, Small/Medium</t>
  </si>
  <si>
    <t>VN000QAWBLK1001</t>
  </si>
  <si>
    <t>VN000QAWBLK1.  OS</t>
  </si>
  <si>
    <t>VN000QAWBLK1001 - Van Doren Co. Cuff Bean Black, One Size</t>
  </si>
  <si>
    <t>VN000QBFEN61001</t>
  </si>
  <si>
    <t>Fuego Canoodle</t>
  </si>
  <si>
    <t>VN000QBFEN61.  L</t>
  </si>
  <si>
    <t>VN000QBFEN61001 - Fuego Canoodle Pine Forest, Large</t>
  </si>
  <si>
    <t>62%Cotton 36%Nylon 2%Elastane</t>
  </si>
  <si>
    <t>VN000QCMBLK1003</t>
  </si>
  <si>
    <t>VN000QCMBLK1.  32</t>
  </si>
  <si>
    <t>VN000QCMBLK1003 - Got You Belt Black, 32</t>
  </si>
  <si>
    <t>VN0A31J6DRB1004</t>
  </si>
  <si>
    <t>VN0A31J6DRB1.  38</t>
  </si>
  <si>
    <t>VN0A31J6DRB1004 - MN HUNTER II PU BELT Dark Brown, 38</t>
  </si>
  <si>
    <t>VN000G75D6Z1005</t>
  </si>
  <si>
    <t>VN000G75D6Z117 M</t>
  </si>
  <si>
    <t>VN000G75D6Z1005 - PRIMARY SOLID ELASTIC B Porc, Medium, 17</t>
  </si>
  <si>
    <t>VN000GGGYB21004</t>
  </si>
  <si>
    <t>VANS CLASSIC</t>
  </si>
  <si>
    <t>VN000GGGYB21.  XL</t>
  </si>
  <si>
    <t>VN000GGGYB21004 - VANS CLASSIC White/Black, X Large</t>
  </si>
  <si>
    <t>VN000HZABLK1024</t>
  </si>
  <si>
    <t>VN000HZABLK130 27</t>
  </si>
  <si>
    <t>VN000HZABLK1024 - Authentic Chino Slim Pa Black, 27, 30</t>
  </si>
  <si>
    <t>VN000HZBBLK1012</t>
  </si>
  <si>
    <t>VN000HZBBLK132 33</t>
  </si>
  <si>
    <t>VN000HZBBLK1012 - Authentic Chino Relaxed Black, 33, 32</t>
  </si>
  <si>
    <t>VN000M99CFL1003</t>
  </si>
  <si>
    <t>Bedford Knit Button Up</t>
  </si>
  <si>
    <t>VN000M99CFL1.  XS</t>
  </si>
  <si>
    <t>VN000M99CFL1003 - Bedford Knit Button Up CITADEL, X Small</t>
  </si>
  <si>
    <t>VN000M9SBLK1004</t>
  </si>
  <si>
    <t>VN000M9SBLK1.  XXS</t>
  </si>
  <si>
    <t>VN000M9SBLK1004 - Retro Crew Black, XX Small</t>
  </si>
  <si>
    <t>VN000MB2EB21011</t>
  </si>
  <si>
    <t>Sirelle Printed Puddle</t>
  </si>
  <si>
    <t>VN000MB2EB21.  28</t>
  </si>
  <si>
    <t>VN000MB2EB21011 - Sirelle Printed Puddle Black/Parisia, 28</t>
  </si>
  <si>
    <t>VN000MC0WHT1003</t>
  </si>
  <si>
    <t>VN000MC0WHT1.  S</t>
  </si>
  <si>
    <t>VN000MC0WHT1003 - Check Wash Fitted Crop White, Small</t>
  </si>
  <si>
    <t>VN000MK1WHT1004</t>
  </si>
  <si>
    <t>Copout SS</t>
  </si>
  <si>
    <t>VN000MK1WHT1.  XL</t>
  </si>
  <si>
    <t>VN000MK1WHT1004 - Copout SS White, X Large</t>
  </si>
  <si>
    <t>VN000MN07WM1005</t>
  </si>
  <si>
    <t>VN000MN07WM1.  6</t>
  </si>
  <si>
    <t>VN000MN07WM1005 - Night Watchers Fleece P TrBl, 6</t>
  </si>
  <si>
    <t>VN000P1PEML1003</t>
  </si>
  <si>
    <t>Cloud Blue</t>
  </si>
  <si>
    <t>VN000P1PEML1.  XXL</t>
  </si>
  <si>
    <t>VN000P1PEML1003 - LEFT CHEST II LOOSE SS Cloud B, XX Large</t>
  </si>
  <si>
    <t>VN000P5WCFL1005</t>
  </si>
  <si>
    <t>W STYLE 76 II FITTED CR</t>
  </si>
  <si>
    <t>VN000P5WCFL1.  M</t>
  </si>
  <si>
    <t>VN000P5WCFL1005 - W STYLE 76 II FITTED CR CITADEL, Medium</t>
  </si>
  <si>
    <t>96% cotton 4% elastane</t>
  </si>
  <si>
    <t>VN000P8WPWT1001</t>
  </si>
  <si>
    <t>VN000P8WPWT1.  XS</t>
  </si>
  <si>
    <t>VN000P8WPWT1001 - Cromwell Knit LS Pewter, X Small</t>
  </si>
  <si>
    <t>VN000PAUBLK1005</t>
  </si>
  <si>
    <t>VN000PAUBLK1.  M</t>
  </si>
  <si>
    <t>VN000PAUBLK1005 - Star Checker Crew Black, Medium</t>
  </si>
  <si>
    <t>VN000PJU7WM1006</t>
  </si>
  <si>
    <t>MTE TeamTeam LS Tee</t>
  </si>
  <si>
    <t>VN000PJU7WM1.  L</t>
  </si>
  <si>
    <t>VN000PJU7WM1006 - MTE TeamTeam LS Tee TrBl, Large</t>
  </si>
  <si>
    <t>VN000PK1BLK1001</t>
  </si>
  <si>
    <t>VN000PK1BLK1.  XXL</t>
  </si>
  <si>
    <t>VN000PK1BLK1001 - Hillgate Cropped Puffer Black, XX Large</t>
  </si>
  <si>
    <t>VN000PMFEB21001</t>
  </si>
  <si>
    <t>Hellbound Snow Jacket 2</t>
  </si>
  <si>
    <t>VN000PMFEB21.  M</t>
  </si>
  <si>
    <t>VN000PMFEB21001 - Hellbound Snow Jacket 2 Black/Pa, Medium</t>
  </si>
  <si>
    <t>VN000PPMBLK1003</t>
  </si>
  <si>
    <t>VN000PPMBLK1.  S</t>
  </si>
  <si>
    <t>VN000PPMBLK1003 - Shining Zip Black, Small</t>
  </si>
  <si>
    <t>VN000PR3EN91006</t>
  </si>
  <si>
    <t>VN000PR3EN91.  M</t>
  </si>
  <si>
    <t>VN000PR3EN91006 - Afterburn Relaxed Crop Taupe Mis, Medium</t>
  </si>
  <si>
    <t>VN000PR3EN91002</t>
  </si>
  <si>
    <t>VN000PR3EN91.  XL</t>
  </si>
  <si>
    <t>VN000PR3EN91002 - Afterburn Relaxed Crop Taupe Mi, X Large</t>
  </si>
  <si>
    <t>VN000PXSBLK1002</t>
  </si>
  <si>
    <t>VN000PXSBLK1.  M</t>
  </si>
  <si>
    <t>VN000PXSBLK1002 - Star Checker SS Black, Medium</t>
  </si>
  <si>
    <t>VN000PXWWHT1002</t>
  </si>
  <si>
    <t>Vans Inferno LS</t>
  </si>
  <si>
    <t>VN000PXWWHT1.  L</t>
  </si>
  <si>
    <t>VN000PXWWHT1002 - Vans Inferno LS White, Large</t>
  </si>
  <si>
    <t>VN000PY4WHT1001</t>
  </si>
  <si>
    <t>Goblin Step SS</t>
  </si>
  <si>
    <t>VN000PY4WHT1.  L</t>
  </si>
  <si>
    <t>VN000PY4WHT1001 - Goblin Step SS White, Large</t>
  </si>
  <si>
    <t>VN000Q0PEMP1006</t>
  </si>
  <si>
    <t>VN000Q0PEMP1.  XS</t>
  </si>
  <si>
    <t>VN000Q0PEMP1006 - Claire Embellished Baby Coal Br, X Small</t>
  </si>
  <si>
    <t>VN000Q33EMF1007</t>
  </si>
  <si>
    <t>Got Your Back Crew</t>
  </si>
  <si>
    <t>VN000Q33EMF1.  XXS</t>
  </si>
  <si>
    <t>VN000Q33EMF1007 - Got Your Back Crew Bay Leaf, XX Small</t>
  </si>
  <si>
    <t>VN000R04EMF1002</t>
  </si>
  <si>
    <t>VN000R04EMF1.  M</t>
  </si>
  <si>
    <t>VN000R04EMF1002 - Happy Spike SS Bay Leaf, Medium</t>
  </si>
  <si>
    <t>VN000R05WHT1002</t>
  </si>
  <si>
    <t>Classified SS</t>
  </si>
  <si>
    <t>VN000R05WHT1.  S</t>
  </si>
  <si>
    <t>VN000R05WHT1002 - Classified SS White, Small</t>
  </si>
  <si>
    <t>VN000R4Z7D61008</t>
  </si>
  <si>
    <t>Skate Loose Atiba Haze</t>
  </si>
  <si>
    <t>VN000R4Z7D61REG31</t>
  </si>
  <si>
    <t>VN000R4Z7D61008 - Skate Loose Atiba Haze MUSH, 31, Regular</t>
  </si>
  <si>
    <t>VN000R4Z7D61007</t>
  </si>
  <si>
    <t>VN000R4Z7D61REG32</t>
  </si>
  <si>
    <t>VN000R4Z7D61007 - Skate Loose Atiba Haze MUSH, 32, Regular</t>
  </si>
  <si>
    <t>VN000R4Z7D61006</t>
  </si>
  <si>
    <t>VN000R4Z7D61REG33</t>
  </si>
  <si>
    <t>VN000R4Z7D61006 - Skate Loose Atiba Haze MUSH, 33, Regular</t>
  </si>
  <si>
    <t>VN000R742N11006</t>
  </si>
  <si>
    <t>VN000R742N11.  XXL</t>
  </si>
  <si>
    <t>VN000R742N11006 - Script Mini Mock LS oatmeal, XX Large</t>
  </si>
  <si>
    <t>VN000RBCEML1003</t>
  </si>
  <si>
    <t>BY BLOCKED BOX SS TEE</t>
  </si>
  <si>
    <t>VN000RBCEML1.  XL</t>
  </si>
  <si>
    <t>VN000RBCEML1003 - BY BLOCKED BOX SS TEE Cloud Blu, X Large</t>
  </si>
  <si>
    <t>VN000RDFBLK1001</t>
  </si>
  <si>
    <t>TALK TALK OS HOODIE</t>
  </si>
  <si>
    <t>VN000RDFBLK1.  XS</t>
  </si>
  <si>
    <t>VN000RDFBLK1001 - TALK TALK OS HOODIE Black, X Small</t>
  </si>
  <si>
    <t>VN000REMBLK1005</t>
  </si>
  <si>
    <t>LIL BEAR OS HOODIE</t>
  </si>
  <si>
    <t>VN000REMBLK1.  XXS</t>
  </si>
  <si>
    <t>VN000REMBLK1005 - LIL BEAR OS HOODIE Black, XX Small</t>
  </si>
  <si>
    <t>VN0A5FNVBLK1004</t>
  </si>
  <si>
    <t>Torrey II</t>
  </si>
  <si>
    <t>VN0A5FNVBLK1.  XL</t>
  </si>
  <si>
    <t>VN0A5FNVBLK1004 - Torrey II Black, X Large</t>
  </si>
  <si>
    <t>Shell 100% Nylon (pass rain test), Lining 100% Polyester</t>
  </si>
  <si>
    <t>VN000MP6EMJ1001</t>
  </si>
  <si>
    <t>Bail Shoulder Bag</t>
  </si>
  <si>
    <t>VN000MP6EMJ1.  OS</t>
  </si>
  <si>
    <t>VN000MP6EMJ1001 - Bail Shoulder Bag Burnt Gold, One Size</t>
  </si>
  <si>
    <t>Shell : 100% Nylon, Polyurethane coating ; Lining : 100% Polyester, Polyurethane coating</t>
  </si>
  <si>
    <t>VN000BVXKAQ1001</t>
  </si>
  <si>
    <t>SK8-Low</t>
  </si>
  <si>
    <t>VN000BVXKAQ1M  050</t>
  </si>
  <si>
    <t>VN000BVXKAQ1001 - SK8-Low RTSK LGREY, 5, Medium</t>
  </si>
  <si>
    <t>Ecommerce, Own Retail, Partnership Store</t>
  </si>
  <si>
    <t>VN000CQRB9M1004</t>
  </si>
  <si>
    <t>VN000CQRB9M1M  035</t>
  </si>
  <si>
    <t>VN000CQRB9M1004 - Sport Low Black/Gum, 3.5, Medium</t>
  </si>
  <si>
    <t>VN000CQRYLZ1002</t>
  </si>
  <si>
    <t>VN000CQRYLZ1M  080</t>
  </si>
  <si>
    <t>VN000CQRYLZ1002 - Sport Low COLO RASRO, 8, Medium</t>
  </si>
  <si>
    <t>VN000CTG7VF1011</t>
  </si>
  <si>
    <t>VN000CTG7VF1M  025</t>
  </si>
  <si>
    <t>VN000CTG7VF1011 - Old Skool V DAZL DGREY, 2.5, Medium</t>
  </si>
  <si>
    <t>VN000CTG7VF1002</t>
  </si>
  <si>
    <t>VN000CTG7VF1M  040</t>
  </si>
  <si>
    <t>VN000CTG7VF1002 - Old Skool V DAZL DGREY, 4, Medium</t>
  </si>
  <si>
    <t>VN000CVV1O71013</t>
  </si>
  <si>
    <t>VN000CVV1O71M  065</t>
  </si>
  <si>
    <t>VN000CVV1O71013 - Crosspath Mid Asphalt, 6.5, Medium</t>
  </si>
  <si>
    <t>VN000CYUEN61007</t>
  </si>
  <si>
    <t>VN000CYUEN61M  105</t>
  </si>
  <si>
    <t>VN000CYUEN61007 - Knu Skool Pine Forest, 10.5, Medium</t>
  </si>
  <si>
    <t>VN000D0CY331015</t>
  </si>
  <si>
    <t>OLIVE/WHITE</t>
  </si>
  <si>
    <t>VN000D0CY331M  070</t>
  </si>
  <si>
    <t>COZY PLAID</t>
  </si>
  <si>
    <t>VN000D0CY331015 - Filmore Hi VansGuard CZYP MGR, 7, Medium</t>
  </si>
  <si>
    <t>VN000D0HBMV1005</t>
  </si>
  <si>
    <t>VN000D0HBMV1M  115</t>
  </si>
  <si>
    <t>VN000D0HBMV1005 - SK8-Hi Insulated POP BLKML, 11.5, Medium</t>
  </si>
  <si>
    <t>VN000D0HEMY1002</t>
  </si>
  <si>
    <t>VN000D0HEMY1M  115</t>
  </si>
  <si>
    <t>VN000D0HEMY1002 - SK8-Hi Insulated TNCH LMIS, 11.5, Medium</t>
  </si>
  <si>
    <t>VN000D0M11E1015</t>
  </si>
  <si>
    <t>VN000D0M11E1M  095</t>
  </si>
  <si>
    <t>VN000D0M11E1015 - SK8-Hi Zip Insulated VNTG D, 9.5, Medium</t>
  </si>
  <si>
    <t>VN000D0MBZW1012</t>
  </si>
  <si>
    <t>VN000D0MBZW1M  055</t>
  </si>
  <si>
    <t>VN000D0MBZW1012 - SK8-Hi Zip Insulated Black/, 5.5, Medium</t>
  </si>
  <si>
    <t>VN000D0MKCZ1013</t>
  </si>
  <si>
    <t>VN000D0MKCZ1M  060</t>
  </si>
  <si>
    <t>VN000D0MKCZ1013 - SK8-Hi Zip Insulated VNTG DGR, 6, Medium</t>
  </si>
  <si>
    <t>VN000D0SYJ71007</t>
  </si>
  <si>
    <t>VN000D0SYJ71M  050</t>
  </si>
  <si>
    <t>VN000D0SYJ71007 - Slip-On V GLOW BLKGR, 5, Medium</t>
  </si>
  <si>
    <t>VN000D11N1Z1009</t>
  </si>
  <si>
    <t>VN000D11N1Z1M  045</t>
  </si>
  <si>
    <t>VN000D11N1Z1009 - SK8-Mid Reissue V Insulat P, 4.5, Medium</t>
  </si>
  <si>
    <t>VN000D1JO3N1019</t>
  </si>
  <si>
    <t>VN000D1JO3N1M  050</t>
  </si>
  <si>
    <t>VN000D1JO3N1019 - Hylane SEPIA ROSE, 5, Medium</t>
  </si>
  <si>
    <t>VN000D1PDJR1005</t>
  </si>
  <si>
    <t>VN000D1PDJR1M  065</t>
  </si>
  <si>
    <t>VN000D1PDJR1005 - Sport Low turtledove, 6.5, Medium</t>
  </si>
  <si>
    <t>VN000D2VZ3R1006</t>
  </si>
  <si>
    <t>VN000D2VZ3R1M  045</t>
  </si>
  <si>
    <t>VN000D2VZ3R1006 - Old Skool ALPINE GREEN, 4.5, Medium</t>
  </si>
  <si>
    <t>VN000D4SCFL1004</t>
  </si>
  <si>
    <t>VN000D4SCFL1M  020</t>
  </si>
  <si>
    <t>VN000D4SCFL1004 - Old Skool V Heart CITADEL, 2, Medium</t>
  </si>
  <si>
    <t>VN000D7JCKP1001</t>
  </si>
  <si>
    <t>VN000D7JCKP1M  130</t>
  </si>
  <si>
    <t>VN000D7JCKP1001 - MTE Slide-On VR3Cush green l, 13, Medium</t>
  </si>
  <si>
    <t>VN000D9ACJ71013</t>
  </si>
  <si>
    <t>VN000D9ACJ71M  100</t>
  </si>
  <si>
    <t>VN000D9ACJ71013 - Mary Jane Straps METL WHITE, 10, Medium</t>
  </si>
  <si>
    <t>VN000D9ACJ71012</t>
  </si>
  <si>
    <t>VN000D9ACJ71M  110</t>
  </si>
  <si>
    <t>VN000D9ACJ71012 - Mary Jane Straps METL WHITE, 11, Medium</t>
  </si>
  <si>
    <t>VN000E7UTC41016</t>
  </si>
  <si>
    <t>SILVER/SILVER</t>
  </si>
  <si>
    <t>VN000E7UTC41M  050</t>
  </si>
  <si>
    <t>VN000E7UTC41016 - Upland SILVER/SILVER, 5, Medium</t>
  </si>
  <si>
    <t>VN000E9XCJK1011</t>
  </si>
  <si>
    <t>VN000E9XCJK1M  070</t>
  </si>
  <si>
    <t>METALLIC LEATHER</t>
  </si>
  <si>
    <t>VN000E9XCJK1011 - Knu Skool MTLR BLACK, 7, Medium</t>
  </si>
  <si>
    <t>VN000E9XCJK1010</t>
  </si>
  <si>
    <t>VN000E9XCJK1M  075</t>
  </si>
  <si>
    <t>VN000E9XCJK1010 - Knu Skool MTLR BLACK, 7.5, Medium</t>
  </si>
  <si>
    <t>VN000E9YBGP1006</t>
  </si>
  <si>
    <t>VN000E9YBGP1M  050</t>
  </si>
  <si>
    <t>VN000E9YBGP1006 - Old Skool LIGHT BLUE/GUM, 5, Medium</t>
  </si>
  <si>
    <t>VN000E9ZYF51006</t>
  </si>
  <si>
    <t>VN000E9ZYF51M  050</t>
  </si>
  <si>
    <t>VN000E9ZYF51006 - Knu Skool Baby Blue/White, 5, Medium</t>
  </si>
  <si>
    <t>VN000EE1I6Y1017</t>
  </si>
  <si>
    <t>VN000EE1I6Y1M  085</t>
  </si>
  <si>
    <t>VN000EE1I6Y1017 - Old Skool V GLAZED GINGER/M, 8.5, Medium</t>
  </si>
  <si>
    <t>VN000EF3RAS1012</t>
  </si>
  <si>
    <t>Old Skool EK</t>
  </si>
  <si>
    <t>Raspberry</t>
  </si>
  <si>
    <t>VN000EF3RAS1M  065</t>
  </si>
  <si>
    <t>VN000EF3RAS1012 - Old Skool EK CHBD DKRED, 6.5, Medium</t>
  </si>
  <si>
    <t>VN0A5JLGWHT1005</t>
  </si>
  <si>
    <t>Filmore Hi Tapered ST</t>
  </si>
  <si>
    <t>VN0A5JLGWHT1M  090</t>
  </si>
  <si>
    <t>VN0A5JLGWHT1005 - Filmore Hi Tapered ST CNVS WH, 9, Medium</t>
  </si>
  <si>
    <t>VN0008NNLKZ1001</t>
  </si>
  <si>
    <t>VANS 66 CREW</t>
  </si>
  <si>
    <t>VN0008NNLKZ1.  659</t>
  </si>
  <si>
    <t>VN0008NNLKZ1001 - VANS 66 CREW dress blues, 6.5-9</t>
  </si>
  <si>
    <t>81%Cotton 8%Nylon 7%Polyester 1%Elastane  3% Other Fiber</t>
  </si>
  <si>
    <t>VN000EZ1BLK1002</t>
  </si>
  <si>
    <t>CLASSIC VANS CREW SOCK</t>
  </si>
  <si>
    <t>VN000EZ1BLK1.  101</t>
  </si>
  <si>
    <t>VN000EZ1BLK1002 - CLASSIC VANS CREW SOCK ROX BLAC, 10-13.5</t>
  </si>
  <si>
    <t>71%Cotton, 14%Polyester, 13%Polyamide, 2%Elastane</t>
  </si>
  <si>
    <t>VN000F0U5QJ1002</t>
  </si>
  <si>
    <t>ANTELOPE</t>
  </si>
  <si>
    <t>VN000F0U5QJ1.  951</t>
  </si>
  <si>
    <t>VN000F0U5QJ1002 - Vans Drop V Crew ANTELOPE, 9.5-13</t>
  </si>
  <si>
    <t>VN000HSMVVL1002</t>
  </si>
  <si>
    <t>Vans Knit Bucket</t>
  </si>
  <si>
    <t>CARNELIAN</t>
  </si>
  <si>
    <t>VN000HSMVVL1.  LXL</t>
  </si>
  <si>
    <t>VN000HSMVVL1002 - Vans Knit Bucket CARNELIA, Large/X Large</t>
  </si>
  <si>
    <t>42%Acrylic 30%recycled Nylon 28%Nylon  EOD</t>
  </si>
  <si>
    <t>VN000JEPBLK1001</t>
  </si>
  <si>
    <t>Skate Thorne Beanie</t>
  </si>
  <si>
    <t>VN000JEPBLK1.  OS</t>
  </si>
  <si>
    <t>VN000JEPBLK1001 - Skate Thorne Beanie Black, One Size</t>
  </si>
  <si>
    <t>Acrylic yarn</t>
  </si>
  <si>
    <t>VN000ND7BLK1001</t>
  </si>
  <si>
    <t>VN000ND7BLK1.  OS</t>
  </si>
  <si>
    <t>VN000ND7BLK1001 - Out There Sunglasses Black, One Size</t>
  </si>
  <si>
    <t>VN000QABEMU1001</t>
  </si>
  <si>
    <t>Gotsie Unstructured</t>
  </si>
  <si>
    <t>VN000QABEMU1.  OS</t>
  </si>
  <si>
    <t>VN000QABEMU1001 - Gotsie Unstructured Dried Kelp, One Size</t>
  </si>
  <si>
    <t>Shell: 85%Acrylic&amp;15%Wool Lining 100% Polyester  EOD</t>
  </si>
  <si>
    <t>VN000QB9LKZ1001</t>
  </si>
  <si>
    <t>VN000QB9LKZ1.  L</t>
  </si>
  <si>
    <t>VN000QB9LKZ1001 - Hovley Crew dress blues, Large</t>
  </si>
  <si>
    <t>VN000QBQWHT1002</t>
  </si>
  <si>
    <t>VN000QBQWHT1.  M</t>
  </si>
  <si>
    <t>VN000QBQWHT1002 - Cuff It Crew White, Medium</t>
  </si>
  <si>
    <t>70%Cotton 27%Polyester 3%Elastane</t>
  </si>
  <si>
    <t>VN0A31J6DRB1001</t>
  </si>
  <si>
    <t>VN0A31J6DRB1.  32</t>
  </si>
  <si>
    <t>VN0A31J6DRB1001 - MN HUNTER II PU BELT Dark Brown, 32</t>
  </si>
  <si>
    <t>VN00046QE2W1002</t>
  </si>
  <si>
    <t>VN00046QE2W1.  M</t>
  </si>
  <si>
    <t>VN00046QE2W1002 - CENTER VEE WASH TEE DRE Heritage, Medium</t>
  </si>
  <si>
    <t>VN000GFFWHT1004</t>
  </si>
  <si>
    <t>Flying V Crew Crop II</t>
  </si>
  <si>
    <t>VN000GFFWHT1.  S</t>
  </si>
  <si>
    <t>VN000GFFWHT1004 - Flying V Crew Crop II White, Small</t>
  </si>
  <si>
    <t>VN000GGGY281003</t>
  </si>
  <si>
    <t>VN000GGGY281.  S</t>
  </si>
  <si>
    <t>VN000GGGY281003 - VANS CLASSIC Black/White, Small</t>
  </si>
  <si>
    <t>VN000H2AEN61007</t>
  </si>
  <si>
    <t>VN000H2AEN61.  XXS</t>
  </si>
  <si>
    <t>VN000H2AEN61007 - COLORBLOCK HALF ZIP MOC Pine F, XX Small</t>
  </si>
  <si>
    <t>VN000HZBYEH1021</t>
  </si>
  <si>
    <t>VN000HZBYEH130 26</t>
  </si>
  <si>
    <t>VN000HZBYEH1021 - Authentic Chino Relaxed DESERT T, 26, 30</t>
  </si>
  <si>
    <t>VN000JBMENA1002</t>
  </si>
  <si>
    <t>Vans Classic II PO</t>
  </si>
  <si>
    <t>VN000JBMENA1.  L</t>
  </si>
  <si>
    <t>VN000JBMENA1002 - Vans Classic II PO Tranquil Blue, Large</t>
  </si>
  <si>
    <t>VN000KXMY7U1002</t>
  </si>
  <si>
    <t>VN000KXMY7U1REG32</t>
  </si>
  <si>
    <t>VN000KXMY7U1002 - Skate Check-5 Loose Den AFT, 32, Regular</t>
  </si>
  <si>
    <t>VN000M26CDX1007</t>
  </si>
  <si>
    <t>Check-5 Blaze Loose Den</t>
  </si>
  <si>
    <t>VN000M26CDX1REG34</t>
  </si>
  <si>
    <t>VN000M26CDX1007 - Check-5 Blaze Loose Den STO, 34, Regular</t>
  </si>
  <si>
    <t>VN000M371O71004</t>
  </si>
  <si>
    <t>Check-5 Loose Corduroy</t>
  </si>
  <si>
    <t>VN000M371O71REG31</t>
  </si>
  <si>
    <t>VN000M371O71004 - Check-5 Loose Corduroy Asph, 31, Regular</t>
  </si>
  <si>
    <t>VN000M9RWHT1002</t>
  </si>
  <si>
    <t>Francesca Full Skirt</t>
  </si>
  <si>
    <t>VN000M9RWHT1.  XXS</t>
  </si>
  <si>
    <t>VN000M9RWHT1002 - Francesca Full Skirt White, XX Small</t>
  </si>
  <si>
    <t>58% COTTON 42% VISCOSE</t>
  </si>
  <si>
    <t>VN000MEPJDU1006</t>
  </si>
  <si>
    <t>VN000MEPJDU1.  16</t>
  </si>
  <si>
    <t>VN000MEPJDU1006 - Union Short PARISIAN NIGHT, 16</t>
  </si>
  <si>
    <t>VN000MJJCDX1004</t>
  </si>
  <si>
    <t>VN000MJJCDX1REG25</t>
  </si>
  <si>
    <t>VN000MJJCDX1004 - Check-5 Blaze Loose Pan STO, 25, Regular</t>
  </si>
  <si>
    <t>VN000MK6WHT1004</t>
  </si>
  <si>
    <t>Checker Drop SS</t>
  </si>
  <si>
    <t>VN000MK6WHT1.  XL</t>
  </si>
  <si>
    <t>VN000MK6WHT1004 - Checker Drop SS White, X Large</t>
  </si>
  <si>
    <t>VN000MMTBLK1003</t>
  </si>
  <si>
    <t>VN000MMTBLK1.  5</t>
  </si>
  <si>
    <t>VN000MMTBLK1003 - Pawtastic SS Black, 5</t>
  </si>
  <si>
    <t>VN000NWQWHT1004</t>
  </si>
  <si>
    <t>B HASTA LA SHAKA SS</t>
  </si>
  <si>
    <t>VN000NWQWHT1.  L</t>
  </si>
  <si>
    <t>VN000NWQWHT1004 - B HASTA LA SHAKA SS White, Large</t>
  </si>
  <si>
    <t>VN000P1PEML1001</t>
  </si>
  <si>
    <t>VN000P1PEML1.  L</t>
  </si>
  <si>
    <t>VN000P1PEML1001 - LEFT CHEST II LOOSE SS Cloud Blue, Large</t>
  </si>
  <si>
    <t>VN000P59E2Z1005</t>
  </si>
  <si>
    <t>SALTON LOOSE FT CREW</t>
  </si>
  <si>
    <t>Red Ochre</t>
  </si>
  <si>
    <t>VN000P59E2Z1.  XS</t>
  </si>
  <si>
    <t>VN000P59E2Z1005 - SALTON LOOSE FT CREW Red Ochre, X Small</t>
  </si>
  <si>
    <t>VN000P5GBLK1005</t>
  </si>
  <si>
    <t>Original Standards Flee</t>
  </si>
  <si>
    <t>VN000P5GBLK1REGM</t>
  </si>
  <si>
    <t>VN000P5GBLK1005 - Original Standards Flee, Medium, Regular</t>
  </si>
  <si>
    <t>80% COTTON 20% POLY</t>
  </si>
  <si>
    <t>VN000P5QC9L1004</t>
  </si>
  <si>
    <t>VN000P5QC9L1.  M</t>
  </si>
  <si>
    <t>VN000P5QC9L1004 - W SALTON RELAX CROP SS CHERRIES, Medium</t>
  </si>
  <si>
    <t>VN000P5QO3N1002</t>
  </si>
  <si>
    <t>VN000P5QO3N1.  XXL</t>
  </si>
  <si>
    <t>VN000P5QO3N1002 - W SALTON RELAX CROP SS SEPIA R, XX Large</t>
  </si>
  <si>
    <t>VN000P78BLK1004</t>
  </si>
  <si>
    <t>Drill Chore Nylon Jacke</t>
  </si>
  <si>
    <t>VN000P78BLK1.  L</t>
  </si>
  <si>
    <t>VN000P78BLK1004 - Drill Chore Nylon Jacke Black, Large</t>
  </si>
  <si>
    <t>VN000PFBEMU1001</t>
  </si>
  <si>
    <t>VN000PFBEMU1.  L</t>
  </si>
  <si>
    <t>VN000PFBEMU1001 - Original Standards Bloc Dried Kel, Large</t>
  </si>
  <si>
    <t>VN000PK1BLK1005</t>
  </si>
  <si>
    <t>VN000PK1BLK1.  S</t>
  </si>
  <si>
    <t>VN000PK1BLK1005 - Hillgate Cropped Puffer Black, Small</t>
  </si>
  <si>
    <t>VN000PK8BLK1003</t>
  </si>
  <si>
    <t>VN000PK8BLK1.  S</t>
  </si>
  <si>
    <t>VN000PK8BLK1003 - MTE Trek Guide Polartec Black, Small</t>
  </si>
  <si>
    <t>VN000PMABLK1004</t>
  </si>
  <si>
    <t>VN000PMABLK1.  M</t>
  </si>
  <si>
    <t>VN000PMABLK1004 - Hi-Country 3L Snow Jack Black, Medium</t>
  </si>
  <si>
    <t>VN000PMFENB1001</t>
  </si>
  <si>
    <t>VN000PMFENB1.  M</t>
  </si>
  <si>
    <t>VN000PMFENB1001 - Hellbound Snow Jacket 2 Warm Bro, Medium</t>
  </si>
  <si>
    <t>VN000PMHENB1001</t>
  </si>
  <si>
    <t>VN000PMHENB1REGL</t>
  </si>
  <si>
    <t>VN000PMHENB1001 - Hellbound Snow Pant 2.0, Large, Regular</t>
  </si>
  <si>
    <t>VN000PN9ZX71001</t>
  </si>
  <si>
    <t>Skate Atiba Haze Hug SS</t>
  </si>
  <si>
    <t>Spicy Mustard</t>
  </si>
  <si>
    <t>VN000PN9ZX71.  XXL</t>
  </si>
  <si>
    <t>VN000PN9ZX71001 - Skate Atiba Haze Hug SS Spicy, XX Large</t>
  </si>
  <si>
    <t>VN000PPJ02F1001</t>
  </si>
  <si>
    <t>Van-Archy Label Zip</t>
  </si>
  <si>
    <t>VN000PPJ02F1.  M</t>
  </si>
  <si>
    <t>VN000PPJ02F1001 - Van-Archy Label Zip Cement Heath, Medium</t>
  </si>
  <si>
    <t>VN000PR3EN91003</t>
  </si>
  <si>
    <t>VN000PR3EN91.  S</t>
  </si>
  <si>
    <t>VN000PR3EN91003 - Afterburn Relaxed Crop Taupe Mist, Small</t>
  </si>
  <si>
    <t>VN000PXEEMS1002</t>
  </si>
  <si>
    <t>VN000PXEEMS1.  L</t>
  </si>
  <si>
    <t>VN000PXEEMS1002 - Vans Inferno Pullover Dark Port, Large</t>
  </si>
  <si>
    <t>VN000Q30BLK1003</t>
  </si>
  <si>
    <t>Upworn Retro Crew</t>
  </si>
  <si>
    <t>VN000Q30BLK1.  XS</t>
  </si>
  <si>
    <t>VN000Q30BLK1003 - Upworn Retro Crew Black, X Small</t>
  </si>
  <si>
    <t>VN000QDEY281001</t>
  </si>
  <si>
    <t>VN000QDEY281.  S</t>
  </si>
  <si>
    <t>VN000QDEY281001 - Torrey Coaches Jacket Black/White, Small</t>
  </si>
  <si>
    <t>VN000QDFBLK1005</t>
  </si>
  <si>
    <t>VN000QDFBLK1.  L</t>
  </si>
  <si>
    <t>VN000QDFBLK1005 - Classic Script Black, Large</t>
  </si>
  <si>
    <t>VN000QF32N11003</t>
  </si>
  <si>
    <t>VN000QF32N11.  M</t>
  </si>
  <si>
    <t>VN000QF32N11003 - Everyday OS Hoodie oatmeal, Medium</t>
  </si>
  <si>
    <t>VN000R04BLK1003</t>
  </si>
  <si>
    <t>VN000R04BLK1.  S</t>
  </si>
  <si>
    <t>VN000R04BLK1003 - Happy Spike SS Black, Small</t>
  </si>
  <si>
    <t>VN000R3UU201005</t>
  </si>
  <si>
    <t>VN000R3UU201.  L</t>
  </si>
  <si>
    <t>VN000R3UU201005 - Kari Tie Neck Top CLASSIC WHITE/B, Large</t>
  </si>
  <si>
    <t>VN000R8XBLK1002</t>
  </si>
  <si>
    <t>RAW INSTINCT JACKET</t>
  </si>
  <si>
    <t>VN000R8XBLK1.  L</t>
  </si>
  <si>
    <t>VN000R8XBLK1002 - RAW INSTINCT JACKET Black, Large</t>
  </si>
  <si>
    <t>Body: 100% cotton Body Lining: 100% cotton Sleeve Lining: 100% polyester Fill: 100% polyester</t>
  </si>
  <si>
    <t>VN000R92FBG1004</t>
  </si>
  <si>
    <t>MORNING SKY</t>
  </si>
  <si>
    <t>VN000R92FBG1.  M</t>
  </si>
  <si>
    <t>VN000R92FBG1004 - RAW INSTINCT MIRROR SWE MORNING, Medium</t>
  </si>
  <si>
    <t>VN000RARFS81006</t>
  </si>
  <si>
    <t>VN000RARFS81.  M</t>
  </si>
  <si>
    <t>VN000RARFS81006 - BLOCKED BOX PO HOODIE marshmallo, Medium</t>
  </si>
  <si>
    <t>VN000RCHWHT1006</t>
  </si>
  <si>
    <t>VN000RCHWHT1.  M</t>
  </si>
  <si>
    <t>VN000RCHWHT1006 - Rhythm Relaxed Crop ss White, Medium</t>
  </si>
  <si>
    <t>VN000RFMEMV1002</t>
  </si>
  <si>
    <t>VN000RFMEMV1.  L</t>
  </si>
  <si>
    <t>VN000RFMEMV1002 - HEAVY THINKER LOOSE SS Faded Blac, Large</t>
  </si>
  <si>
    <t>VN000RFUWHT1004</t>
  </si>
  <si>
    <t>MIRROR V LOOSE SS</t>
  </si>
  <si>
    <t>VN000RFUWHT1.  XL</t>
  </si>
  <si>
    <t>VN000RFUWHT1004 - MIRROR V LOOSE SS White, X Large</t>
  </si>
  <si>
    <t>VN000RFUWHT1006</t>
  </si>
  <si>
    <t>VN000RFUWHT1.  XXL</t>
  </si>
  <si>
    <t>VN000RFUWHT1006 - MIRROR V LOOSE SS White, XX Large</t>
  </si>
  <si>
    <t>VN000RPJ7D61002</t>
  </si>
  <si>
    <t>VN000RPJ7D61.  2XL</t>
  </si>
  <si>
    <t>2XL</t>
  </si>
  <si>
    <t>VN000RPJ7D61002 - MTE Crosspath Seamless, X Large/XX Large</t>
  </si>
  <si>
    <t>96% Nylon 4% elastane 412G</t>
  </si>
  <si>
    <t>VN000SPARU01003</t>
  </si>
  <si>
    <t>Navy/Stormy Weather</t>
  </si>
  <si>
    <t>VN000SPARU01.  S</t>
  </si>
  <si>
    <t>VN000SPARU01003 - Scripted SS Tee Navy/Stormy Wea, Small</t>
  </si>
  <si>
    <t>VN00104UWHT1004</t>
  </si>
  <si>
    <t>VN00104UWHT1.  M</t>
  </si>
  <si>
    <t>VN00104UWHT1004 - Club Vans SS White, Medium</t>
  </si>
  <si>
    <t>VN0010J9WHT1006</t>
  </si>
  <si>
    <t>VN0010J9WHT1.  XXL</t>
  </si>
  <si>
    <t>VN0010J9WHT1006 - Fck The Algorithm SS Te White, XX Large</t>
  </si>
  <si>
    <t>VN000HRFBLK1001</t>
  </si>
  <si>
    <t>Vans DX Rucksack</t>
  </si>
  <si>
    <t>VN000HRFBLK1.  OS</t>
  </si>
  <si>
    <t>VN000HRFBLK1001 - Vans DX Rucksack Black, One Size</t>
  </si>
  <si>
    <t>SHELL: 100%NYLON, POLYURETHANE COATING, BACK PANEL: 100% POLYESTER, LINING: 100% POLYESTER, POLYURETHANE COATING, EOD&amp;EOE</t>
  </si>
  <si>
    <t>VN000BCECCZ1002</t>
  </si>
  <si>
    <t>VN000BCECCZ1M  120</t>
  </si>
  <si>
    <t>VN000BCECCZ1002 - UltraRange Neo VR3 MARSHMALL, 12, Medium</t>
  </si>
  <si>
    <t>VN000CQRBZW1011</t>
  </si>
  <si>
    <t>VN000CQRBZW1M  035</t>
  </si>
  <si>
    <t>VN000CQRBZW1011 - Sport Low Black/White, 3.5, Medium</t>
  </si>
  <si>
    <t>VN000CQRBZW1010</t>
  </si>
  <si>
    <t>VN000CQRBZW1M  040</t>
  </si>
  <si>
    <t>VN000CQRBZW1010 - Sport Low Black/White, 4, Medium</t>
  </si>
  <si>
    <t>VN000CTGYJ71009</t>
  </si>
  <si>
    <t>VN000CTGYJ71M  040</t>
  </si>
  <si>
    <t>VN000CTGYJ71009 - Old Skool V GLOW BLKGR, 4, Medium</t>
  </si>
  <si>
    <t>VN000CVTWHP1011</t>
  </si>
  <si>
    <t>VN000CVTWHP1M  065</t>
  </si>
  <si>
    <t>VN000CVTWHP1011 - MTE Sk8-Hi Waterproof White, 6.5, Medium</t>
  </si>
  <si>
    <t>VN000CVV50K1019</t>
  </si>
  <si>
    <t>VN000CVV50K1M  065</t>
  </si>
  <si>
    <t>VN000CVV50K1019 - Crosspath Mid GRAPE LEAF, 6.5, Medium</t>
  </si>
  <si>
    <t>VN000CYAYLZ1010</t>
  </si>
  <si>
    <t>VN000CYAYLZ1M  030</t>
  </si>
  <si>
    <t>VN000CYAYLZ1010 - Old Skool V GLTR RASRO, 3, Medium</t>
  </si>
  <si>
    <t>VN000CYUEN61003</t>
  </si>
  <si>
    <t>VN000CYUEN61M  125</t>
  </si>
  <si>
    <t>VN000CYUEN61003 - Knu Skool Pine Forest, 12.5, Medium</t>
  </si>
  <si>
    <t>VN000CYVEMY1005</t>
  </si>
  <si>
    <t>VN000CYVEMY1M  105</t>
  </si>
  <si>
    <t>VN000CYVEMY1005 - Old Skool CTHR LMIST, 10.5, Medium</t>
  </si>
  <si>
    <t>VN000CYVENA1001</t>
  </si>
  <si>
    <t>VN000CYVENA1M  135</t>
  </si>
  <si>
    <t>VN000CYVENA1001 - Old Skool 2TNE TRQBL, 13.5, Medium</t>
  </si>
  <si>
    <t>VN000D0HEMY1004</t>
  </si>
  <si>
    <t>VN000D0HEMY1M  105</t>
  </si>
  <si>
    <t>VN000D0HEMY1004 - SK8-Hi Insulated TNCH LMIS, 10.5, Medium</t>
  </si>
  <si>
    <t>VN000D10N1Z1007</t>
  </si>
  <si>
    <t>VN000D10N1Z1M  030</t>
  </si>
  <si>
    <t>VN000D10N1Z1007 - SK8-Mid Reissue V Insulat POP, 3, Medium</t>
  </si>
  <si>
    <t>VN000D1BEMU1014</t>
  </si>
  <si>
    <t>Old Skool V Bolt Strap</t>
  </si>
  <si>
    <t>VN000D1BEMU1M  050</t>
  </si>
  <si>
    <t>GLOW</t>
  </si>
  <si>
    <t>VN000D1BEMU1014 - Old Skool V Bolt Strap GLOW D, 5, Medium</t>
  </si>
  <si>
    <t>VN000D26EWR1006</t>
  </si>
  <si>
    <t>VN000D26EWR1M  065</t>
  </si>
  <si>
    <t>VN000D26EWR1006 - Hylane RTSK GRYGR, 6.5, Medium</t>
  </si>
  <si>
    <t>VN000D2VZ3R1004</t>
  </si>
  <si>
    <t>VN000D2VZ3R1M  055</t>
  </si>
  <si>
    <t>VN000D2VZ3R1004 - Old Skool ALPINE GREEN, 5.5, Medium</t>
  </si>
  <si>
    <t>VN000D4SCFL1006</t>
  </si>
  <si>
    <t>VN000D4SCFL1M  030</t>
  </si>
  <si>
    <t>VN000D4SCFL1006 - Old Skool V Heart CITADEL, 3, Medium</t>
  </si>
  <si>
    <t>VN000D5PUUI1002</t>
  </si>
  <si>
    <t>Classic Slip-On</t>
  </si>
  <si>
    <t>VN000D5PUUI1M  080</t>
  </si>
  <si>
    <t>DITSY BLOOM</t>
  </si>
  <si>
    <t>VN000D5PUUI1002 - Classic Slip-On DIBL LTPPL, 8, Medium</t>
  </si>
  <si>
    <t>VN000D61BOC1018</t>
  </si>
  <si>
    <t>VN000D61BOC1M  045</t>
  </si>
  <si>
    <t>VN000D61BOC1018 - Ultrarange 2.0 SE GREEN/PIN, 4.5, Medium</t>
  </si>
  <si>
    <t>VN000D6NBR11012</t>
  </si>
  <si>
    <t>VN000D6NBR11M  080</t>
  </si>
  <si>
    <t>VN000D6NBR11012 - Sport Low PSDE FAIRW, 8, Medium</t>
  </si>
  <si>
    <t>VN000D6W2031009</t>
  </si>
  <si>
    <t>VN000D6W2031M  065</t>
  </si>
  <si>
    <t>VN000D6W2031009 - Old Skool MONO DGRBL, 6.5, Medium</t>
  </si>
  <si>
    <t>VN000D6WYY61004</t>
  </si>
  <si>
    <t>VN000D6WYY61M  130</t>
  </si>
  <si>
    <t>VN000D6WYY61004 - Old Skool Black/Leopard, 13, Medium</t>
  </si>
  <si>
    <t>VN000D6YEZI1013</t>
  </si>
  <si>
    <t>Dalmatian/Black</t>
  </si>
  <si>
    <t>VN000D6YEZI1M  065</t>
  </si>
  <si>
    <t>Y2K</t>
  </si>
  <si>
    <t>VN000D6YEZI1013 - Classic Slip-On Y2K DALB, 6.5, Medium</t>
  </si>
  <si>
    <t>VN000D7J52K1002</t>
  </si>
  <si>
    <t>VN000D7J52K1M  080</t>
  </si>
  <si>
    <t>VN000D7J52K1002 - MTE Slide-On VR3Cush Marmalad, 8, Medium</t>
  </si>
  <si>
    <t>VN000D83O3N1004</t>
  </si>
  <si>
    <t>Super Lowpro</t>
  </si>
  <si>
    <t>VN000D83O3N1M  130</t>
  </si>
  <si>
    <t>VN000D83O3N1004 - Super Lowpro SEPIA ROSE, 13, Medium</t>
  </si>
  <si>
    <t>VN000D9ACJ71007</t>
  </si>
  <si>
    <t>VN000D9ACJ71M  065</t>
  </si>
  <si>
    <t>VN000D9ACJ71007 - Mary Jane Straps METL WHITE, 6.5, Medium</t>
  </si>
  <si>
    <t>VN000D9ACJ71015</t>
  </si>
  <si>
    <t>VN000D9ACJ71M  080</t>
  </si>
  <si>
    <t>VN000D9ACJ71015 - Mary Jane Straps METL WHITE, 8, Medium</t>
  </si>
  <si>
    <t>VN000E9YLBR1002</t>
  </si>
  <si>
    <t>VN000E9YLBR1M  040</t>
  </si>
  <si>
    <t>VN000E9YLBR1002 - Old Skool Light Brown, 4, Medium</t>
  </si>
  <si>
    <t>VN000E9YLBR1003</t>
  </si>
  <si>
    <t>VN000E9YLBR1M  045</t>
  </si>
  <si>
    <t>VN000E9YLBR1003 - Old Skool Light Brown, 4.5, Medium</t>
  </si>
  <si>
    <t>VN000E9YLBR1006</t>
  </si>
  <si>
    <t>VN000E9YLBR1M  070</t>
  </si>
  <si>
    <t>VN000E9YLBR1006 - Old Skool Light Brown, 7, Medium</t>
  </si>
  <si>
    <t>VN000ED891K1002</t>
  </si>
  <si>
    <t>VN000ED891K1M  120</t>
  </si>
  <si>
    <t>VN000ED891K1002 - SK8-Hi Waterproof Ins sepia/, 12, Medium</t>
  </si>
  <si>
    <t>VN000EDNAH91016</t>
  </si>
  <si>
    <t>Sea Green</t>
  </si>
  <si>
    <t>VN000EDNAH91M  100</t>
  </si>
  <si>
    <t>VN000EDNAH91016 - Skate Old Skool Sea Green, 10, Medium</t>
  </si>
  <si>
    <t>VN000KI51861014</t>
  </si>
  <si>
    <t>VN000KI51861M  105</t>
  </si>
  <si>
    <t>VN000KI51861014 - Atwood CNVS BLACK, 10.5, Medium</t>
  </si>
  <si>
    <t>VN000ZUVC4R1005</t>
  </si>
  <si>
    <t>VN000ZUVC4R1M  085</t>
  </si>
  <si>
    <t>VN000ZUVC4R1005 - Milton SUCV BLKWH, 8.5, Medium</t>
  </si>
  <si>
    <t>VN0A5FCB1N61013</t>
  </si>
  <si>
    <t>VN0A5FCB1N61M  075</t>
  </si>
  <si>
    <t>VN0A5FCB1N61013 - Skate Old Skool Pewter/Whit, 7.5, Medium</t>
  </si>
  <si>
    <t>VN0A5HYWYOH1013</t>
  </si>
  <si>
    <t>VN0A5HYWYOH1M  050</t>
  </si>
  <si>
    <t>VN0A5HYWYOH1013 - Range EXP Hi VansGuard SSHP B, 5, Medium</t>
  </si>
  <si>
    <t>VN000A96C891001</t>
  </si>
  <si>
    <t>FULLY COVERED BC</t>
  </si>
  <si>
    <t>OLIVE BRANCH</t>
  </si>
  <si>
    <t>VN000A96C891.  OS</t>
  </si>
  <si>
    <t>VN000A96C891001 - FULLY COVERED BC OLIVE BRANCH, One Size</t>
  </si>
  <si>
    <t>100% RECYCLED POLY</t>
  </si>
  <si>
    <t>VN000R51BLK1003</t>
  </si>
  <si>
    <t>VN000R51BLK1.  L</t>
  </si>
  <si>
    <t>VN000R51BLK1003 - Skate Atiba Haze Crew Black, Large</t>
  </si>
  <si>
    <t>VN000R51BLK1001</t>
  </si>
  <si>
    <t>VN000R51BLK1.  S</t>
  </si>
  <si>
    <t>VN000R51BLK1001 - Skate Atiba Haze Crew Black, Small</t>
  </si>
  <si>
    <t>VN0A7PR1BLK1001</t>
  </si>
  <si>
    <t>Squared Off Shades</t>
  </si>
  <si>
    <t>VN0A7PR1BLK1.  OS</t>
  </si>
  <si>
    <t>VN0A7PR1BLK1001 - Squared Off Shades Black, One Size</t>
  </si>
  <si>
    <t>VN0008NACDX1003</t>
  </si>
  <si>
    <t>VN0008NACDX1REG36</t>
  </si>
  <si>
    <t>VN0008NACDX1003 - CHECK-5 BAGGY DENIM PAN STO, 36, Regular</t>
  </si>
  <si>
    <t>VN000FYHBLH1007</t>
  </si>
  <si>
    <t>SHROOMGROW CROP CREW</t>
  </si>
  <si>
    <t>CYCLAMEN</t>
  </si>
  <si>
    <t>VN000FYHBLH1.  XXS</t>
  </si>
  <si>
    <t>VN000FYHBLH1007 - SHROOMGROW CROP CREW CYCLAMEN, XX Small</t>
  </si>
  <si>
    <t>VN000GGGYB21006</t>
  </si>
  <si>
    <t>VN000GGGYB21.  XXL</t>
  </si>
  <si>
    <t>VN000GGGYB21006 - VANS CLASSIC White/Black, XX Large</t>
  </si>
  <si>
    <t>VN000HZBEMP1024</t>
  </si>
  <si>
    <t>VN000HZBEMP130 29</t>
  </si>
  <si>
    <t>VN000HZBEMP1024 - Authentic Chino Relaxed Coal Bro, 29, 30</t>
  </si>
  <si>
    <t>VN000JBH11E1002</t>
  </si>
  <si>
    <t>BY Vans Arched II PO</t>
  </si>
  <si>
    <t>VN000JBH11E1.  M</t>
  </si>
  <si>
    <t>VN000JBH11E1002 - BY Vans Arched II PO gothic grap, Medium</t>
  </si>
  <si>
    <t>VN000JUABLK1005</t>
  </si>
  <si>
    <t>Hot Links LS Relax Crop</t>
  </si>
  <si>
    <t>VN000JUABLK1.  S</t>
  </si>
  <si>
    <t>VN000JUABLK1005 - Hot Links LS Relax Crop Black, Small</t>
  </si>
  <si>
    <t>VN000K420411002</t>
  </si>
  <si>
    <t>Brush Script LOOSE SS</t>
  </si>
  <si>
    <t>Poison Green</t>
  </si>
  <si>
    <t>VN000K420411.  M</t>
  </si>
  <si>
    <t>VN000K420411002 - Brush Script LOOSE SS Poison Gre, Medium</t>
  </si>
  <si>
    <t>VN000M60FLB1001</t>
  </si>
  <si>
    <t>Shop Front SS</t>
  </si>
  <si>
    <t>White/Sunny Yellow</t>
  </si>
  <si>
    <t>VN000M60FLB1.  XXL</t>
  </si>
  <si>
    <t>VN000M60FLB1001 - Shop Front SS White/Sunny Ye, XX Large</t>
  </si>
  <si>
    <t>VN000M98ZBF1002</t>
  </si>
  <si>
    <t>Relaxed Crop Wash SS Te</t>
  </si>
  <si>
    <t>VN000M98ZBF1.  M</t>
  </si>
  <si>
    <t>VN000M98ZBF1002 - Relaxed Crop Wash SS Te LODEN GR, Medium</t>
  </si>
  <si>
    <t>100% COTTON PFD</t>
  </si>
  <si>
    <t>VN000M9GJDU1004</t>
  </si>
  <si>
    <t>Mila Cable Knit Crop</t>
  </si>
  <si>
    <t>VN000M9GJDU1.  XL</t>
  </si>
  <si>
    <t>VN000M9GJDU1004 - Mila Cable Knit Crop PARISIAN N, X Large</t>
  </si>
  <si>
    <t>VN000M9KEB21002</t>
  </si>
  <si>
    <t>VN000M9KEB21.  23</t>
  </si>
  <si>
    <t>VN000M9KEB21002 - Cobra Cargo Skirt Black/Parisian, 23</t>
  </si>
  <si>
    <t>VN000M9SRV21001</t>
  </si>
  <si>
    <t>VN000M9SRV21.  L</t>
  </si>
  <si>
    <t>VN000M9SRV21001 - Retro Crew STORMY WEATHER, Large</t>
  </si>
  <si>
    <t>VN000MA2EMF1005</t>
  </si>
  <si>
    <t>Retro PO Hoodie</t>
  </si>
  <si>
    <t>VN000MA2EMF1.  XS</t>
  </si>
  <si>
    <t>VN000MA2EMF1005 - Retro PO Hoodie Bay Leaf, X Small</t>
  </si>
  <si>
    <t>VN000MB2EB21007</t>
  </si>
  <si>
    <t>VN000MB2EB21.  27</t>
  </si>
  <si>
    <t>VN000MB2EB21007 - Sirelle Printed Puddle Black/Parisia, 27</t>
  </si>
  <si>
    <t>VN000MB2EB21006</t>
  </si>
  <si>
    <t>VN000MB2EB21.  29</t>
  </si>
  <si>
    <t>VN000MB2EB21006 - Sirelle Printed Puddle Black/Parisia, 29</t>
  </si>
  <si>
    <t>VN000MBCWHT1003</t>
  </si>
  <si>
    <t>VN000MBCWHT1.  XL</t>
  </si>
  <si>
    <t>VN000MBCWHT1003 - Alicia Boxer Shorts White, X Large</t>
  </si>
  <si>
    <t>VN000P1PEML1006</t>
  </si>
  <si>
    <t>VN000P1PEML1.  XL</t>
  </si>
  <si>
    <t>VN000P1PEML1006 - LEFT CHEST II LOOSE SS Cloud Bl, X Large</t>
  </si>
  <si>
    <t>VN000P21JDU1001</t>
  </si>
  <si>
    <t>LEFT CHEST II LOOSE PO</t>
  </si>
  <si>
    <t>VN000P21JDU1.  XS</t>
  </si>
  <si>
    <t>VN000P21JDU1001 - LEFT CHEST II LOOSE PO PARISIAN, X Small</t>
  </si>
  <si>
    <t>VN000P59E2Z1004</t>
  </si>
  <si>
    <t>VN000P59E2Z1.  XL</t>
  </si>
  <si>
    <t>VN000P59E2Z1004 - SALTON LOOSE FT CREW Red Ochre, X Large</t>
  </si>
  <si>
    <t>VN000P78BLK1002</t>
  </si>
  <si>
    <t>VN000P78BLK1.  XL</t>
  </si>
  <si>
    <t>VN000P78BLK1002 - Drill Chore Nylon Jacke Black, X Large</t>
  </si>
  <si>
    <t>VN000PA7BLK1003</t>
  </si>
  <si>
    <t>Constant Full Zip</t>
  </si>
  <si>
    <t>VN000PA7BLK1.  XL</t>
  </si>
  <si>
    <t>VN000PA7BLK1003 - Constant Full Zip Black, X Large</t>
  </si>
  <si>
    <t>62% Cotton 38% Polyester</t>
  </si>
  <si>
    <t>VN000PB5EMP1003</t>
  </si>
  <si>
    <t>Stiller High Pile Full</t>
  </si>
  <si>
    <t>VN000PB5EMP1.  S</t>
  </si>
  <si>
    <t>VN000PB5EMP1003 - Stiller High Pile Full Coal Brown, Small</t>
  </si>
  <si>
    <t>100% POLYESTER</t>
  </si>
  <si>
    <t>VN000PDREN71001</t>
  </si>
  <si>
    <t>VN000PDREN71.  XXL</t>
  </si>
  <si>
    <t>VN000PDREN71001 - Star Checker SS Pink Dawn, XX Large</t>
  </si>
  <si>
    <t>VN000PDYWHT1006</t>
  </si>
  <si>
    <t>Goofy Ghoul SS</t>
  </si>
  <si>
    <t>VN000PDYWHT1.  XL</t>
  </si>
  <si>
    <t>VN000PDYWHT1006 - Goofy Ghoul SS White, X Large</t>
  </si>
  <si>
    <t>VN000PF7YB21003</t>
  </si>
  <si>
    <t>VN000PF7YB21.  XS</t>
  </si>
  <si>
    <t>VN000PF7YB21003 - Original Standards Stat White/B, X Small</t>
  </si>
  <si>
    <t>VN000PFBEN91005</t>
  </si>
  <si>
    <t>VN000PFBEN91.  XL</t>
  </si>
  <si>
    <t>VN000PFBEN91005 - Original Standards Bloc Taupe M, X Large</t>
  </si>
  <si>
    <t>VN000PGMEMU1004</t>
  </si>
  <si>
    <t>Stockpile Pullover</t>
  </si>
  <si>
    <t>VN000PGMEMU1.  XXL</t>
  </si>
  <si>
    <t>VN000PGMEMU1004 - Stockpile Pullover Dried Kelp, XX Large</t>
  </si>
  <si>
    <t>VN000PHDEMF1006</t>
  </si>
  <si>
    <t>VN000PHDEMF1REG34</t>
  </si>
  <si>
    <t>VN000PHDEMF1006 - Drill Chore Carpenter L Bay, 34, Regular</t>
  </si>
  <si>
    <t>VN000PHPAFM1002</t>
  </si>
  <si>
    <t>VN000PHPAFM1REG34</t>
  </si>
  <si>
    <t>VN000PHPAFM1002 - Drill Chore Carpenter L Ind, 34, Regular</t>
  </si>
  <si>
    <t>VN000PMABLK1001</t>
  </si>
  <si>
    <t>VN000PMABLK1.  L</t>
  </si>
  <si>
    <t>VN000PMABLK1001 - Hi-Country 3L Snow Jack Black, Large</t>
  </si>
  <si>
    <t>VN000PMDEMW1002</t>
  </si>
  <si>
    <t>VN000PMDEMW1REGS</t>
  </si>
  <si>
    <t>VN000PMDEMW1002 - MTE High-Country 3L Pan, Small, Regular</t>
  </si>
  <si>
    <t>VN000PXEEMS1004</t>
  </si>
  <si>
    <t>VN000PXEEMS1.  S</t>
  </si>
  <si>
    <t>VN000PXEEMS1004 - Vans Inferno Pullover Dark Port, Small</t>
  </si>
  <si>
    <t>VN000PXS6JL1003</t>
  </si>
  <si>
    <t>VN000PXS6JL1.  S</t>
  </si>
  <si>
    <t>VN000PXS6JL1003 - Star Checker SS Canary Yellow, Small</t>
  </si>
  <si>
    <t>VN000Q0VEMS1003</t>
  </si>
  <si>
    <t>Ludlow Mesh Long Sleeve</t>
  </si>
  <si>
    <t>VN000Q0VEMS1.  M</t>
  </si>
  <si>
    <t>VN000Q0VEMS1003 - Ludlow Mesh Long Sleeve Dark Por, Medium</t>
  </si>
  <si>
    <t>95% Polyester 5% Elastane</t>
  </si>
  <si>
    <t>VN000Q67EMX1008</t>
  </si>
  <si>
    <t>Annabelle Colored Denim</t>
  </si>
  <si>
    <t>VN000Q67EMX1.  27</t>
  </si>
  <si>
    <t>VN000Q67EMX1008 - Annabelle Colored Denim Heritage Mus, 27</t>
  </si>
  <si>
    <t>VN000QDFBLK1001</t>
  </si>
  <si>
    <t>VN000QDFBLK1.  M</t>
  </si>
  <si>
    <t>VN000QDFBLK1001 - Classic Script Black, Medium</t>
  </si>
  <si>
    <t>VN000R02WHT1004</t>
  </si>
  <si>
    <t>VN000R02WHT1.  M</t>
  </si>
  <si>
    <t>VN000R02WHT1004 - Shop Front SS White, Medium</t>
  </si>
  <si>
    <t>VN000R03EN71004</t>
  </si>
  <si>
    <t>VN000R03EN71.  S</t>
  </si>
  <si>
    <t>VN000R03EN71004 - Metal Wall SS Pink Dawn, Small</t>
  </si>
  <si>
    <t>VN000R04BLK1002</t>
  </si>
  <si>
    <t>VN000R04BLK1.  L</t>
  </si>
  <si>
    <t>VN000R04BLK1002 - Happy Spike SS Black, Large</t>
  </si>
  <si>
    <t>VN000R05WHT1004</t>
  </si>
  <si>
    <t>VN000R05WHT1.  L</t>
  </si>
  <si>
    <t>VN000R05WHT1004 - Classified SS White, Large</t>
  </si>
  <si>
    <t>VN000R05WHT1003</t>
  </si>
  <si>
    <t>VN000R05WHT1.  M</t>
  </si>
  <si>
    <t>VN000R05WHT1003 - Classified SS White, Medium</t>
  </si>
  <si>
    <t>VN000R05WHT1001</t>
  </si>
  <si>
    <t>VN000R05WHT1.  XL</t>
  </si>
  <si>
    <t>VN000R05WHT1001 - Classified SS White, X Large</t>
  </si>
  <si>
    <t>VN000R4Z7D61005</t>
  </si>
  <si>
    <t>VN000R4Z7D61REG34</t>
  </si>
  <si>
    <t>VN000R4Z7D61005 - Skate Loose Atiba Haze MUSH, 34, Regular</t>
  </si>
  <si>
    <t>VN000R742N11003</t>
  </si>
  <si>
    <t>VN000R742N11.  S</t>
  </si>
  <si>
    <t>VN000R742N11003 - Script Mini Mock LS oatmeal, Small</t>
  </si>
  <si>
    <t>VN000R92FBG1003</t>
  </si>
  <si>
    <t>VN000R92FBG1.  L</t>
  </si>
  <si>
    <t>VN000R92FBG1003 - RAW INSTINCT MIRROR SWE MORNING S, Large</t>
  </si>
  <si>
    <t>VN000R92FBG1005</t>
  </si>
  <si>
    <t>VN000R92FBG1.  S</t>
  </si>
  <si>
    <t>VN000R92FBG1005 - RAW INSTINCT MIRROR SWE MORNING S, Small</t>
  </si>
  <si>
    <t>VN000R94FS81005</t>
  </si>
  <si>
    <t>VN000R94FS81.  L</t>
  </si>
  <si>
    <t>VN000R94FS81005 - RAW INSTINCT FLY SS marshmallow, Large</t>
  </si>
  <si>
    <t>VN000RBCEML1004</t>
  </si>
  <si>
    <t>VN000RBCEML1.  L</t>
  </si>
  <si>
    <t>VN000RBCEML1004 - BY BLOCKED BOX SS TEE Cloud Blue, Large</t>
  </si>
  <si>
    <t>VN000RBCEML1001</t>
  </si>
  <si>
    <t>VN000RBCEML1.  S</t>
  </si>
  <si>
    <t>VN000RBCEML1001 - BY BLOCKED BOX SS TEE Cloud Blue, Small</t>
  </si>
  <si>
    <t>VN000REFWHT1007</t>
  </si>
  <si>
    <t>VN000REFWHT1.  L</t>
  </si>
  <si>
    <t>VN000REFWHT1007 - LIL BEAR OS TEE White, Large</t>
  </si>
  <si>
    <t>VN000RFUWHT1005</t>
  </si>
  <si>
    <t>VN000RFUWHT1.  XS</t>
  </si>
  <si>
    <t>VN000RFUWHT1005 - MIRROR V LOOSE SS White, X Small</t>
  </si>
  <si>
    <t>VN000RG0EML1004</t>
  </si>
  <si>
    <t>VN000RG0EML1.  XL</t>
  </si>
  <si>
    <t>VN000RG0EML1004 - MIRROR V LOOSE CREW Cloud Blue, X Large</t>
  </si>
  <si>
    <t>VN000U2CWHT1002</t>
  </si>
  <si>
    <t>CHECKSCOOP S/S</t>
  </si>
  <si>
    <t>VN000U2CWHT1.  L</t>
  </si>
  <si>
    <t>VN000U2CWHT1002 - CHECKSCOOP S/S White, Large</t>
  </si>
  <si>
    <t>100%COTTON</t>
  </si>
  <si>
    <t>JD Sports</t>
  </si>
  <si>
    <t>VN0A3CZEY281004</t>
  </si>
  <si>
    <t>LEFT CHEST LOGO TEE</t>
  </si>
  <si>
    <t>VN0A3CZEY281.  XS</t>
  </si>
  <si>
    <t>VN0A3CZEY281004 - LEFT CHEST LOGO TEE Black/White, X Small</t>
  </si>
  <si>
    <t>VN0A3W76EMY1005</t>
  </si>
  <si>
    <t>VN0A3W76EMY1.  4</t>
  </si>
  <si>
    <t>VN0A3W76EMY1005 - VANS CLASSIC KIDS Lilac Mist, 4</t>
  </si>
  <si>
    <t>VN0A4MQ35TU1002</t>
  </si>
  <si>
    <t>VN0A4MQ35TU1.  S</t>
  </si>
  <si>
    <t>VN0A4MQ35TU1002 - LEFT CHEST TEE True Navy, Small</t>
  </si>
  <si>
    <t>VN0A4MQ35TU1001</t>
  </si>
  <si>
    <t>VN0A4MQ35TU1.  XL</t>
  </si>
  <si>
    <t>VN0A4MQ35TU1001 - LEFT CHEST TEE True Navy, X Large</t>
  </si>
  <si>
    <t>VN000H56ENA1001</t>
  </si>
  <si>
    <t>Old Skool Grom Backpack</t>
  </si>
  <si>
    <t>VN000H56ENA1.  OS</t>
  </si>
  <si>
    <t>VN KIDS BAGS AND LUGGAGE</t>
  </si>
  <si>
    <t>VN KIDS BACKPACKS</t>
  </si>
  <si>
    <t>VN000H56ENA1001 - Old Skool Grom Backpack Tranqu, One Size</t>
  </si>
  <si>
    <t>528 - Kids Bags and Backpacks</t>
  </si>
  <si>
    <t>6106 - VN KD BACKPACKS</t>
  </si>
  <si>
    <t>SHELL: 100% POLYESTER, POLYURETHANE COATING, LINING: 100% POLYESTER, POLYURETHANE COATING, EOD&amp;EOE</t>
  </si>
  <si>
    <t>VN000M7MBLK1001</t>
  </si>
  <si>
    <t>MTE Trek-Rec Sling Bag</t>
  </si>
  <si>
    <t>VN000M7MBLK1.  OS</t>
  </si>
  <si>
    <t>VN000M7MBLK1001 - MTE Trek-Rec Sling Bag Black, One Size</t>
  </si>
  <si>
    <t>Shell : 100% Polyester ; Lining : 100% Polyester, EOD</t>
  </si>
  <si>
    <t>VN000M7MEMJ1001</t>
  </si>
  <si>
    <t>VN000M7MEMJ1.  OS</t>
  </si>
  <si>
    <t>VN000M7MEMJ1001 - MTE Trek-Rec Sling Bag Burnt G, One Size</t>
  </si>
  <si>
    <t>VN000CMXN1Z1006</t>
  </si>
  <si>
    <t>VN000CMXN1Z1M  080</t>
  </si>
  <si>
    <t>VN000CMXN1Z1006 - SK8-Hi PIGS RUST, 8, Medium</t>
  </si>
  <si>
    <t>VN000CQRBO51016</t>
  </si>
  <si>
    <t>VN000CQRBO51M  050</t>
  </si>
  <si>
    <t>VN000CQRBO51016 - Sport Low MULTI/MARSHMALL, 5, Medium</t>
  </si>
  <si>
    <t>Fashion Lifestyle, Monobrand, Action Sports, Sports Inspired</t>
  </si>
  <si>
    <t>VN000CRRBJ41012</t>
  </si>
  <si>
    <t>Black/Black/Black</t>
  </si>
  <si>
    <t>VN000CRRBJ41M  070</t>
  </si>
  <si>
    <t>VN000CRRBJ41012 - Mary Jane Black/Black/Bla, 7, Medium</t>
  </si>
  <si>
    <t>VN000CRRCJJ1015</t>
  </si>
  <si>
    <t>VN000CRRCJJ1M  035</t>
  </si>
  <si>
    <t>Starz</t>
  </si>
  <si>
    <t>VN000CRRCJJ1015 - Mary Jane STAR BLACK, 3.5, Medium</t>
  </si>
  <si>
    <t>VN000CS0CX21001</t>
  </si>
  <si>
    <t>GREEN</t>
  </si>
  <si>
    <t>VN000CS0CX21M  095</t>
  </si>
  <si>
    <t>VN000CS0CX21001 - Knu Skool PSDE GREEN, 9.5, Medium</t>
  </si>
  <si>
    <t>VN000CTG4481003</t>
  </si>
  <si>
    <t>Multi</t>
  </si>
  <si>
    <t>VN000CTG4481M  075</t>
  </si>
  <si>
    <t>Retro Rainbow</t>
  </si>
  <si>
    <t>VN000CTG4481003 - Old Skool V RETR WHITE, 7.5, Medium</t>
  </si>
  <si>
    <t>VN000CVVYZO1007</t>
  </si>
  <si>
    <t>TERRA COTTA</t>
  </si>
  <si>
    <t>VN000CVVYZO1M  050</t>
  </si>
  <si>
    <t>VN000CVVYZO1007 - Crosspath Mid TERRA COTTA, 5, Medium</t>
  </si>
  <si>
    <t>VN000CWECRM1003</t>
  </si>
  <si>
    <t>VN000CWECRM1M  050</t>
  </si>
  <si>
    <t>VN000CWECRM1003 - UltraRange Neo VR3 Cream, 5, Medium</t>
  </si>
  <si>
    <t>VN000CYA7VF1001</t>
  </si>
  <si>
    <t>VN000CYA7VF1M  030</t>
  </si>
  <si>
    <t>VN000CYA7VF1001 - Old Skool V DAZL DGREY, 3, Medium</t>
  </si>
  <si>
    <t>VN000CZ7RV21001</t>
  </si>
  <si>
    <t>VN000CZ7RV21M  025</t>
  </si>
  <si>
    <t>VN000CZ7RV21001 - Sk8-Mid Reissue V CTHR BLAC, 2.5, Medium</t>
  </si>
  <si>
    <t>VN000CZHPRM1002</t>
  </si>
  <si>
    <t>Filmore Hi Vansguard</t>
  </si>
  <si>
    <t>SCARAB</t>
  </si>
  <si>
    <t>VN000CZHPRM1M  085</t>
  </si>
  <si>
    <t>COZY FEELS</t>
  </si>
  <si>
    <t>VN000CZHPRM1002 - Filmore Hi Vansguard COZY B, 8.5, Medium</t>
  </si>
  <si>
    <t>VN000D0HBZW1006</t>
  </si>
  <si>
    <t>VN000D0HBZW1M  115</t>
  </si>
  <si>
    <t>VN000D0HBZW1006 - SK8-Hi Insulated Black/Whi, 11.5, Medium</t>
  </si>
  <si>
    <t>VN000D0HKCZ1008</t>
  </si>
  <si>
    <t>VN000D0HKCZ1M  030</t>
  </si>
  <si>
    <t>VN000D0HKCZ1008 - SK8-Hi Insulated VNTG DGREN, 3, Medium</t>
  </si>
  <si>
    <t>VN000D0MBZW1010</t>
  </si>
  <si>
    <t>VN000D0MBZW1M  065</t>
  </si>
  <si>
    <t>VN000D0MBZW1010 - SK8-Hi Zip Insulated Black/, 6.5, Medium</t>
  </si>
  <si>
    <t>VN000D0MKCZ1016</t>
  </si>
  <si>
    <t>VN000D0MKCZ1M  045</t>
  </si>
  <si>
    <t>VN000D0MKCZ1016 - SK8-Hi Zip Insulated VNTG D, 4.5, Medium</t>
  </si>
  <si>
    <t>VN000D0MKCZ1015</t>
  </si>
  <si>
    <t>VN000D0MKCZ1M  050</t>
  </si>
  <si>
    <t>VN000D0MKCZ1015 - SK8-Hi Zip Insulated VNTG DGR, 5, Medium</t>
  </si>
  <si>
    <t>VN000D0MKCZ1010</t>
  </si>
  <si>
    <t>VN000D0MKCZ1M  100</t>
  </si>
  <si>
    <t>VN000D0MKCZ1010 - SK8-Hi Zip Insulated VNTG DG, 10, Medium</t>
  </si>
  <si>
    <t>VN000D0SYLZ1014</t>
  </si>
  <si>
    <t>VN000D0SYLZ1M  050</t>
  </si>
  <si>
    <t>VN000D0SYLZ1014 - Slip-On V GLTR RASRO, 5, Medium</t>
  </si>
  <si>
    <t>VN000D111KP1015</t>
  </si>
  <si>
    <t>Black/Marshmallow</t>
  </si>
  <si>
    <t>VN000D111KP1M  040</t>
  </si>
  <si>
    <t>VN000D111KP1015 - SK8-Mid Reissue V Insulat CHB, 4, Medium</t>
  </si>
  <si>
    <t>VN000D11N1Z1006</t>
  </si>
  <si>
    <t>VN000D11N1Z1M  075</t>
  </si>
  <si>
    <t>VN000D11N1Z1006 - SK8-Mid Reissue V Insulat P, 7.5, Medium</t>
  </si>
  <si>
    <t>VN000D1HWWW1016</t>
  </si>
  <si>
    <t>VN000D1HWWW1M  035</t>
  </si>
  <si>
    <t>VN000D1HWWW1016 - Upland White/White, 3.5, Medium</t>
  </si>
  <si>
    <t>VN000D1JBO91004</t>
  </si>
  <si>
    <t>VN000D1JBO91M  110</t>
  </si>
  <si>
    <t>VN000D1JBO91004 - Hylane PINK/MARSHMALLO, 11, Medium</t>
  </si>
  <si>
    <t>VN000D26Y611005</t>
  </si>
  <si>
    <t>VN000D26Y611M  080</t>
  </si>
  <si>
    <t>VN000D26Y611005 - Hylane RTSK BLKBU, 8, Medium</t>
  </si>
  <si>
    <t>VN000D2VEMY1008</t>
  </si>
  <si>
    <t>VN000D2VEMY1M  040</t>
  </si>
  <si>
    <t>VN000D2VEMY1008 - Old Skool CTHR LMIST, 4, Medium</t>
  </si>
  <si>
    <t>VN000D4NKCZ1008</t>
  </si>
  <si>
    <t>VN000D4NKCZ1M  125</t>
  </si>
  <si>
    <t>VN000D4NKCZ1008 - Hylane GRAPE LEAF, 12.5, Medium</t>
  </si>
  <si>
    <t>VN000D4SCFL1005</t>
  </si>
  <si>
    <t>VN000D4SCFL1M  025</t>
  </si>
  <si>
    <t>VN000D4SCFL1005 - Old Skool V Heart CITADEL, 2.5, Medium</t>
  </si>
  <si>
    <t>VN000D5VBYS1008</t>
  </si>
  <si>
    <t>PEYOTE</t>
  </si>
  <si>
    <t>VN000D5VBYS1M  040</t>
  </si>
  <si>
    <t>VN000D5VBYS1008 - Crosspath XC PEYOTE, 4, Medium</t>
  </si>
  <si>
    <t>VN000D6W2031008</t>
  </si>
  <si>
    <t>VN000D6W2031M  070</t>
  </si>
  <si>
    <t>VN000D6W2031008 - Old Skool MONO DGRBL, 7, Medium</t>
  </si>
  <si>
    <t>VN000D6WCJK1012</t>
  </si>
  <si>
    <t>VN000D6WCJK1M  065</t>
  </si>
  <si>
    <t>VN000D6WCJK1012 - Old Skool BLACK, 6.5, Medium</t>
  </si>
  <si>
    <t>VN000D6WYY61005</t>
  </si>
  <si>
    <t>VN000D6WYY61M  120</t>
  </si>
  <si>
    <t>VN000D6WYY61005 - Old Skool Black/Leopard, 12, Medium</t>
  </si>
  <si>
    <t>VN000D6YEZI1018</t>
  </si>
  <si>
    <t>VN000D6YEZI1M  060</t>
  </si>
  <si>
    <t>VN000D6YEZI1018 - Classic Slip-On Y2K DALB, 6, Medium</t>
  </si>
  <si>
    <t>VN000D6ZPNK1016</t>
  </si>
  <si>
    <t>Pink</t>
  </si>
  <si>
    <t>VN000D6ZPNK1M  060</t>
  </si>
  <si>
    <t>NEON</t>
  </si>
  <si>
    <t>VN000D6ZPNK1016 - Knu Skool NEON DPINK, 6, Medium</t>
  </si>
  <si>
    <t>VN000D70CHG1004</t>
  </si>
  <si>
    <t>VN000D70CHG1M  050</t>
  </si>
  <si>
    <t>VN000D70CHG1004 - Upland NEUT DEEPT, 5, Medium</t>
  </si>
  <si>
    <t>VN000D9ACJ71016</t>
  </si>
  <si>
    <t>VN000D9ACJ71M  070</t>
  </si>
  <si>
    <t>VN000D9ACJ71016 - Mary Jane Straps METL WHITE, 7, Medium</t>
  </si>
  <si>
    <t>VN000D9ACJ71005</t>
  </si>
  <si>
    <t>VN000D9ACJ71M  085</t>
  </si>
  <si>
    <t>VN000D9ACJ71005 - Mary Jane Straps METL WHITE, 8.5, Medium</t>
  </si>
  <si>
    <t>VN000D9ACJ71004</t>
  </si>
  <si>
    <t>VN000D9ACJ71M  095</t>
  </si>
  <si>
    <t>VN000D9ACJ71004 - Mary Jane Straps METL WHITE, 9.5, Medium</t>
  </si>
  <si>
    <t>VN000DAZF881013</t>
  </si>
  <si>
    <t>Old Skool Waterproof Insu</t>
  </si>
  <si>
    <t>Taupe/Orange</t>
  </si>
  <si>
    <t>VN000DAZF881M  065</t>
  </si>
  <si>
    <t>VN000DAZF881013 - Old Skool Waterproof Insu T, 6.5, Medium</t>
  </si>
  <si>
    <t>VN000E89OXS1010</t>
  </si>
  <si>
    <t>MARSHMALLOW/RACING RED</t>
  </si>
  <si>
    <t>VN000E89OXS1M  080</t>
  </si>
  <si>
    <t>VN000E89OXS1010 - Super Lowpro SUED WHTRD, 8, Medium</t>
  </si>
  <si>
    <t>VN000E8CGMX1007</t>
  </si>
  <si>
    <t>VN000E8CGMX1M  095</t>
  </si>
  <si>
    <t>VN000E8CGMX1007 - Classic Slip-On Platform CH, 9.5, Medium</t>
  </si>
  <si>
    <t>VN000E8WG581017</t>
  </si>
  <si>
    <t>VN000E8WG581M  110</t>
  </si>
  <si>
    <t>VN000E8WG581017 - Old Skool FLORAL BLACK, 11, Medium</t>
  </si>
  <si>
    <t>VN000EA9BA21012</t>
  </si>
  <si>
    <t>VN000EA9BA21M  120</t>
  </si>
  <si>
    <t>VN000EA9BA21012 - Classic Slip-On Platform FLO, 12, Medium</t>
  </si>
  <si>
    <t>VN000EC4B5T1017</t>
  </si>
  <si>
    <t>Black/Metallic</t>
  </si>
  <si>
    <t>VN000EC4B5T1M  065</t>
  </si>
  <si>
    <t>VN000EC4B5T1017 - Hylane STUD BLACK, 6.5, Medium</t>
  </si>
  <si>
    <t>VN000EC4DJR1016</t>
  </si>
  <si>
    <t>VN000EC4DJR1M  065</t>
  </si>
  <si>
    <t>VN000EC4DJR1016 - Hylane DIST WHITE, 6.5, Medium</t>
  </si>
  <si>
    <t>VN000EC4RV21018</t>
  </si>
  <si>
    <t>VN000EC4RV21M  040</t>
  </si>
  <si>
    <t>VN000EC4RV21018 - Hylane FLEM BLACK, 4, Medium</t>
  </si>
  <si>
    <t>VN000S65ZS61012</t>
  </si>
  <si>
    <t>Speed WS</t>
  </si>
  <si>
    <t>PEACH BEIGE</t>
  </si>
  <si>
    <t>VN000S65ZS61M  130</t>
  </si>
  <si>
    <t>VN000S65ZS61012 - Speed WS PEACH BEIGE, 13, Medium</t>
  </si>
  <si>
    <t>VN0A5FCB1N61001</t>
  </si>
  <si>
    <t>VN0A5FCB1N61M  070</t>
  </si>
  <si>
    <t>VN0A5FCB1N61001 - Skate Old Skool Pewter/White, 7, Medium</t>
  </si>
  <si>
    <t>VN0A5KR5YJ71016</t>
  </si>
  <si>
    <t>Cruze Too CC</t>
  </si>
  <si>
    <t>VN0A5KR5YJ71M  050</t>
  </si>
  <si>
    <t>VN0A5KR5YJ71016 - Cruze Too CC Black/Green, 5, Medium</t>
  </si>
  <si>
    <t>VN000EZ1CG41001</t>
  </si>
  <si>
    <t>surf the web</t>
  </si>
  <si>
    <t>VN000EZ1CG41.  016</t>
  </si>
  <si>
    <t>VN000EZ1CG41001 - CLASSIC VANS CREW SOCK surf the web, 1-6</t>
  </si>
  <si>
    <t>VN000F9HBSM1001</t>
  </si>
  <si>
    <t>CHEETAH CHECK BEANIE</t>
  </si>
  <si>
    <t>MOJAVE DESERT</t>
  </si>
  <si>
    <t>VN000F9HBSM1.  OS</t>
  </si>
  <si>
    <t>VN000F9HBSM1001 - CHEETAH CHECK BEANIE MOJAVE DE, One Size</t>
  </si>
  <si>
    <t>VN000GMZ1RE1001</t>
  </si>
  <si>
    <t>Felix Sunglasses</t>
  </si>
  <si>
    <t>Tortoise Shell</t>
  </si>
  <si>
    <t>VN000GMZ1RE1.  OS</t>
  </si>
  <si>
    <t>VN000GMZ1RE1001 - Felix Sunglasses Tortoise Shel, One Size</t>
  </si>
  <si>
    <t>VN000HSXEMX1001</t>
  </si>
  <si>
    <t>Densmore Wide Cuff Bean</t>
  </si>
  <si>
    <t>VN000HSXEMX1.  OS</t>
  </si>
  <si>
    <t>VN000HSXEMX1001 - Densmore Wide Cuff Bean Herita, One Size</t>
  </si>
  <si>
    <t>VN000JQ7WHT1001</t>
  </si>
  <si>
    <t>VN000JQ7WHT1.  122</t>
  </si>
  <si>
    <t>VN000JQ7WHT1001 - Vans Classic Half Crew Whi, 12-24 Months</t>
  </si>
  <si>
    <t>68%Cotton 25%Polyester 3%Nylon 2%Elastodiene 2%Elastane</t>
  </si>
  <si>
    <t>VN000ND7SLV1001</t>
  </si>
  <si>
    <t>Silver</t>
  </si>
  <si>
    <t>VN000ND7SLV1.  OS</t>
  </si>
  <si>
    <t>VN000ND7SLV1001 - Out There Sunglasses Silver, One Size</t>
  </si>
  <si>
    <t>VN000PKHBLK1001</t>
  </si>
  <si>
    <t>Crestline Unstructured</t>
  </si>
  <si>
    <t>VN000PKHBLK1.  OS</t>
  </si>
  <si>
    <t>VN000PKHBLK1001 - Crestline Unstructured Black, One Size</t>
  </si>
  <si>
    <t>VN000Q1GEN71001</t>
  </si>
  <si>
    <t>VN000Q1GEN71.  OS</t>
  </si>
  <si>
    <t>VN000Q1GEN71001 - Core Basic Cuff Beanie Pink Da, One Size</t>
  </si>
  <si>
    <t>VN000QBQWHT1003</t>
  </si>
  <si>
    <t>VN000QBQWHT1.  S</t>
  </si>
  <si>
    <t>VN000QBQWHT1003 - Cuff It Crew White, Small</t>
  </si>
  <si>
    <t>VN000R50BLK1001</t>
  </si>
  <si>
    <t>Skate Atiba Haze 5 Pane</t>
  </si>
  <si>
    <t>VN000R50BLK1.  OS</t>
  </si>
  <si>
    <t>VN000R50BLK1001 - Skate Atiba Haze 5 Pane Black, One Size</t>
  </si>
  <si>
    <t>VN000Y5XBA51001</t>
  </si>
  <si>
    <t>Black/Charcoal</t>
  </si>
  <si>
    <t>VN000Y5XBA51.  OS</t>
  </si>
  <si>
    <t>VN000Y5XBA51001 - Vans Laces 45" Black/Charcoal, One Size</t>
  </si>
  <si>
    <t>VN0A31J6DRB1002</t>
  </si>
  <si>
    <t>VN0A31J6DRB1.  34</t>
  </si>
  <si>
    <t>VN0A31J6DRB1002 - MN HUNTER II PU BELT Dark Brown, 34</t>
  </si>
  <si>
    <t>VN0008KUBML1003</t>
  </si>
  <si>
    <t>VN0008KUBML1REGXL</t>
  </si>
  <si>
    <t>VN0008KUBML1003 - PRIMARY PRINT ELASTIC, X Large, Regular</t>
  </si>
  <si>
    <t>VN0008NACDX1008</t>
  </si>
  <si>
    <t>VN0008NACDX1REG30</t>
  </si>
  <si>
    <t>VN0008NACDX1008 - CHECK-5 BAGGY DENIM PAN STO, 30, Regular</t>
  </si>
  <si>
    <t>VN000HHEC9J1001</t>
  </si>
  <si>
    <t>First Team Relax Crop</t>
  </si>
  <si>
    <t>VN000HHEC9J1.  S</t>
  </si>
  <si>
    <t>VN000HHEC9J1001 - First Team Relax Crop AUBURN, Small</t>
  </si>
  <si>
    <t>VN000HJQBLK1001</t>
  </si>
  <si>
    <t>Piper Stadium Vest</t>
  </si>
  <si>
    <t>VN000HJQBLK1.  XXS</t>
  </si>
  <si>
    <t>VN000HJQBLK1001 - Piper Stadium Vest Black, XX Small</t>
  </si>
  <si>
    <t>60% Polyester, 39% Wool, 1% Nylon</t>
  </si>
  <si>
    <t>VN000HPFFS81001</t>
  </si>
  <si>
    <t>Vans Boxed Sherpa Qzip</t>
  </si>
  <si>
    <t>VN000HPFFS81.  L</t>
  </si>
  <si>
    <t>VN000HPFFS81001 - Vans Boxed Sherpa Qzip marshmallo, Large</t>
  </si>
  <si>
    <t>VN000HU0BLK1001</t>
  </si>
  <si>
    <t>Thanx Again PO Fleece-B</t>
  </si>
  <si>
    <t>VN000HU0BLK1.  M</t>
  </si>
  <si>
    <t>VN000HU0BLK1001 - Thanx Again PO Fleece-B Black, Medium</t>
  </si>
  <si>
    <t>VN000IVEBLK1003</t>
  </si>
  <si>
    <t>STYLE 76 SS</t>
  </si>
  <si>
    <t>VN000IVEBLK1.  L</t>
  </si>
  <si>
    <t>VN000IVEBLK1003 - STYLE 76 SS Black, Large</t>
  </si>
  <si>
    <t>VN000M12IYR1003</t>
  </si>
  <si>
    <t>VN000M12IYR1.  L</t>
  </si>
  <si>
    <t>VN000M12IYR1003 - Palmhill Denim LS Woven FADED DEN, Large</t>
  </si>
  <si>
    <t>VN000M1KBLK1003</t>
  </si>
  <si>
    <t>VN000M1KBLK1.  S</t>
  </si>
  <si>
    <t>VN000M1KBLK1003 - Star V Pullover Black, Small</t>
  </si>
  <si>
    <t>VN000M27CFL1002</t>
  </si>
  <si>
    <t>VN000M27CFL1REG34</t>
  </si>
  <si>
    <t>VN000M27CFL1002 - Check-5 Loose Denim Pan CIT, 34, Regular</t>
  </si>
  <si>
    <t>VN000M2P1O71002</t>
  </si>
  <si>
    <t>MTE Craggy Peaks PO</t>
  </si>
  <si>
    <t>VN000M2P1O71.  S</t>
  </si>
  <si>
    <t>VN000M2P1O71002 - MTE Craggy Peaks PO Asphalt, Small</t>
  </si>
  <si>
    <t>VN000M6XC9F1001</t>
  </si>
  <si>
    <t>VN000M6XC9F1.  L</t>
  </si>
  <si>
    <t>VN000M6XC9F1001 - MTE Trek Guide Womens P EGRET, Large</t>
  </si>
  <si>
    <t>VN000M6XEMW1004</t>
  </si>
  <si>
    <t>VN000M6XEMW1.  XL</t>
  </si>
  <si>
    <t>VN000M6XEMW1004 - MTE Trek Guide Womens P Gray Ol, X Large</t>
  </si>
  <si>
    <t>VN000M6ZZBF1005</t>
  </si>
  <si>
    <t>VN000M6ZZBF1.  XXS</t>
  </si>
  <si>
    <t>VN000M6ZZBF1005 - MTE Cascade Pant LODEN GREEN, XX Small</t>
  </si>
  <si>
    <t>VN000M77Y7U1001</t>
  </si>
  <si>
    <t>VN000M77Y7U1.  L</t>
  </si>
  <si>
    <t>VN000M77Y7U1001 - MTE Outline Hybrid Tank AFTER DAR, Large</t>
  </si>
  <si>
    <t>VN000M9KEB21001</t>
  </si>
  <si>
    <t>VN000M9KEB21.  22</t>
  </si>
  <si>
    <t>VN000M9KEB21001 - Cobra Cargo Skirt Black/Parisian, 22</t>
  </si>
  <si>
    <t>VN000M9KEB21003</t>
  </si>
  <si>
    <t>VN000M9KEB21.  24</t>
  </si>
  <si>
    <t>VN000M9KEB21003 - Cobra Cargo Skirt Black/Parisian, 24</t>
  </si>
  <si>
    <t>VN000MAND4C1003</t>
  </si>
  <si>
    <t>Bennett Quilted Bomber</t>
  </si>
  <si>
    <t>VN000MAND4C1.  XL</t>
  </si>
  <si>
    <t>VN000MAND4C1003 - Bennett Quilted Bomber Turkish, X Large</t>
  </si>
  <si>
    <t>VN000MB5Y7J1003</t>
  </si>
  <si>
    <t>Sirelle 5 Pocket Puddle</t>
  </si>
  <si>
    <t>GREY WASH</t>
  </si>
  <si>
    <t>VN000MB5Y7J1.  24</t>
  </si>
  <si>
    <t>VN000MB5Y7J1003 - Sirelle 5 Pocket Puddle GREY WASH, 24</t>
  </si>
  <si>
    <t>VN000MBX1O71005</t>
  </si>
  <si>
    <t>VN000MBX1O71.  XS</t>
  </si>
  <si>
    <t>VN000MBX1O71005 - Blur Fitted Crop Tank Asphalt, X Small</t>
  </si>
  <si>
    <t>VN000MN2BR11006</t>
  </si>
  <si>
    <t>Sixty Sixers Jersey Dre</t>
  </si>
  <si>
    <t>VN000MN2BR11.  XXS</t>
  </si>
  <si>
    <t>VN000MN2BR11006 - Sixty Sixers Jersey Dre FAIRWA, XX Small</t>
  </si>
  <si>
    <t>VN000NUYO3N1004</t>
  </si>
  <si>
    <t>ESSENTIAL RACER TANK</t>
  </si>
  <si>
    <t>VN000NUYO3N1.  XXS</t>
  </si>
  <si>
    <t>VN000NUYO3N1004 - ESSENTIAL RACER TANK SEPIA ROS, XX Small</t>
  </si>
  <si>
    <t>95% cotton 5% elastane</t>
  </si>
  <si>
    <t>VN000P1P6JL1002</t>
  </si>
  <si>
    <t>VN000P1P6JL1.  M</t>
  </si>
  <si>
    <t>VN000P1P6JL1002 - LEFT CHEST II LOOSE SS Canary Ye, Medium</t>
  </si>
  <si>
    <t>VN000P20EMU1006</t>
  </si>
  <si>
    <t>LEFT CHEST II LOOSE CRE</t>
  </si>
  <si>
    <t>VN000P20EMU1.  XL</t>
  </si>
  <si>
    <t>VN000P20EMU1006 - LEFT CHEST II LOOSE CRE Dried K, X Large</t>
  </si>
  <si>
    <t>VN000P78EMP1006</t>
  </si>
  <si>
    <t>VN000P78EMP1.  L</t>
  </si>
  <si>
    <t>VN000P78EMP1006 - Drill Chore Nylon Jacke Coal Brow, Large</t>
  </si>
  <si>
    <t>VN000P88BLK1003</t>
  </si>
  <si>
    <t>Dillon SS Woven</t>
  </si>
  <si>
    <t>VN000P88BLK1.  L</t>
  </si>
  <si>
    <t>VN000P88BLK1003 - Dillon SS Woven Black, Large</t>
  </si>
  <si>
    <t>VN000P8MEMW1004</t>
  </si>
  <si>
    <t>Cameron Stripe SS Knit</t>
  </si>
  <si>
    <t>VN000P8MEMW1.  XS</t>
  </si>
  <si>
    <t>VN000P8MEMW1004 - Cameron Stripe SS Knit Gray Oli, X Small</t>
  </si>
  <si>
    <t>VN000PBXWHT1006</t>
  </si>
  <si>
    <t>3D Retroval SS</t>
  </si>
  <si>
    <t>VN000PBXWHT1.  XXL</t>
  </si>
  <si>
    <t>VN000PBXWHT1006 - 3D Retroval SS White, XX Large</t>
  </si>
  <si>
    <t>VN000PFBBRR1004</t>
  </si>
  <si>
    <t>VN000PFBBRR1.  S</t>
  </si>
  <si>
    <t>VN000PFBBRR1004 - Original Standards Bloc Black/Rac, Small</t>
  </si>
  <si>
    <t>VN000PGJEMF1002</t>
  </si>
  <si>
    <t>VN000PGJEMF1.  S</t>
  </si>
  <si>
    <t>VN000PGJEMF1002 - MTE Sundown Liner Bay Leaf, Small</t>
  </si>
  <si>
    <t>VN000PGJEMF1003</t>
  </si>
  <si>
    <t>VN000PGJEMF1.  XS</t>
  </si>
  <si>
    <t>VN000PGJEMF1003 - MTE Sundown Liner Bay Leaf, X Small</t>
  </si>
  <si>
    <t>VN000PHDEMF1009</t>
  </si>
  <si>
    <t>VN000PHDEMF1REG31</t>
  </si>
  <si>
    <t>VN000PHDEMF1009 - Drill Chore Carpenter L Bay, 31, Regular</t>
  </si>
  <si>
    <t>VN000PM3BLK1006</t>
  </si>
  <si>
    <t>Deep Daze 3L Snow Bib P</t>
  </si>
  <si>
    <t>VN000PM3BLK1REGL</t>
  </si>
  <si>
    <t>VN000PM3BLK1006 - Deep Daze 3L Snow Bib P, Large, Regular</t>
  </si>
  <si>
    <t>VN000PMDBLK1006</t>
  </si>
  <si>
    <t>VN000PMDBLK1REGL</t>
  </si>
  <si>
    <t>VN000PMDBLK1006 - MTE High-Country 3L Pan, Large, Regular</t>
  </si>
  <si>
    <t>VN000PMFENB1004</t>
  </si>
  <si>
    <t>VN000PMFENB1.  L</t>
  </si>
  <si>
    <t>VN000PMFENB1004 - Hellbound Snow Jacket 2 Warm Brow, Large</t>
  </si>
  <si>
    <t>VN000PMHENB1006</t>
  </si>
  <si>
    <t>VN000PMHENB1REGS</t>
  </si>
  <si>
    <t>VN000PMHENB1006 - Hellbound Snow Pant 2.0, Small, Regular</t>
  </si>
  <si>
    <t>VN000PNKEMJ1003</t>
  </si>
  <si>
    <t>Skate Atiba Haze Hillz</t>
  </si>
  <si>
    <t>VN000PNKEMJ1.  XL</t>
  </si>
  <si>
    <t>VN000PNKEMJ1003 - Skate Atiba Haze Hillz Burnt Go, X Large</t>
  </si>
  <si>
    <t>VN000PTBF0W1005</t>
  </si>
  <si>
    <t>Heights High Pile Full</t>
  </si>
  <si>
    <t>Black/Herritage Mustard</t>
  </si>
  <si>
    <t>VN000PTBF0W1.  XL</t>
  </si>
  <si>
    <t>VN000PTBF0W1005 - Heights High Pile Full Black/He, X Large</t>
  </si>
  <si>
    <t>VN000PXSWHT1001</t>
  </si>
  <si>
    <t>VN000PXSWHT1.  L</t>
  </si>
  <si>
    <t>VN000PXSWHT1001 - Star Checker SS White, Large</t>
  </si>
  <si>
    <t>VN000PY4WHT1003</t>
  </si>
  <si>
    <t>VN000PY4WHT1.  M</t>
  </si>
  <si>
    <t>VN000PY4WHT1003 - Goblin Step SS White, Medium</t>
  </si>
  <si>
    <t>VN000Q09GC61004</t>
  </si>
  <si>
    <t>VN000Q09GC61REG29</t>
  </si>
  <si>
    <t>VN000Q09GC61004 - Check-5 Loose Denim Pan Mid, 29, Regular</t>
  </si>
  <si>
    <t>VN000Q35EMP1004</t>
  </si>
  <si>
    <t>VN000Q35EMP1.  L</t>
  </si>
  <si>
    <t>VN000Q35EMP1004 - Earthbound OS Crew Coal Brown, Large</t>
  </si>
  <si>
    <t>VN000Q35EMP1003</t>
  </si>
  <si>
    <t>VN000Q35EMP1.  M</t>
  </si>
  <si>
    <t>VN000Q35EMP1003 - Earthbound OS Crew Coal Brown, Medium</t>
  </si>
  <si>
    <t>VN000Q35RV21005</t>
  </si>
  <si>
    <t>VN000Q35RV21.  S</t>
  </si>
  <si>
    <t>VN000Q35RV21005 - Earthbound OS Crew STORMY WEATHER, Small</t>
  </si>
  <si>
    <t>VN000Q67EMX1006</t>
  </si>
  <si>
    <t>VN000Q67EMX1.  29</t>
  </si>
  <si>
    <t>VN000Q67EMX1006 - Annabelle Colored Denim Heritage Mus, 29</t>
  </si>
  <si>
    <t>VN000QDFWHT1003</t>
  </si>
  <si>
    <t>VN000QDFWHT1.  S</t>
  </si>
  <si>
    <t>VN000QDFWHT1003 - Classic Script White, Small</t>
  </si>
  <si>
    <t>VN000R38EN61003</t>
  </si>
  <si>
    <t>Skate Atiba Haze Milita</t>
  </si>
  <si>
    <t>VN000R38EN61.  S</t>
  </si>
  <si>
    <t>VN000R38EN61003 - Skate Atiba Haze Milita Pine Fore, Small</t>
  </si>
  <si>
    <t>VN000R742N11004</t>
  </si>
  <si>
    <t>VN000R742N11.  XL</t>
  </si>
  <si>
    <t>VN000R742N11004 - Script Mini Mock LS oatmeal, X Large</t>
  </si>
  <si>
    <t>VN000R74EMS1004</t>
  </si>
  <si>
    <t>VN000R74EMS1.  M</t>
  </si>
  <si>
    <t>VN000R74EMS1004 - Script Mini Mock LS Dark Port, Medium</t>
  </si>
  <si>
    <t>VN000R7AYB21001</t>
  </si>
  <si>
    <t>VN000R7AYB21.  XXL</t>
  </si>
  <si>
    <t>VN000R7AYB21001 - STYLE 76 ll LOOSE LS TE White/, XX Large</t>
  </si>
  <si>
    <t>VN000RD1EMW1004</t>
  </si>
  <si>
    <t>Cameron Tee</t>
  </si>
  <si>
    <t>VN000RD1EMW1.  XL</t>
  </si>
  <si>
    <t>VN000RD1EMW1004 - Cameron Tee Gray Olive, X Large</t>
  </si>
  <si>
    <t>VN000RD27D61006</t>
  </si>
  <si>
    <t>FLEECE DRESS</t>
  </si>
  <si>
    <t>VN000RD27D61.  XXS</t>
  </si>
  <si>
    <t>VN000RD27D61006 - FLEECE DRESS MUSHROOM, XX Small</t>
  </si>
  <si>
    <t>VN000RD6ZRY1004</t>
  </si>
  <si>
    <t>VN000RD6ZRY1.  XL</t>
  </si>
  <si>
    <t>VN000RD6ZRY1004 - EARTHBOUND LOOSE FIT SS MAUVEWO, X Large</t>
  </si>
  <si>
    <t>VN000RD71O71002</t>
  </si>
  <si>
    <t>VN000RD71O71.  M</t>
  </si>
  <si>
    <t>VN000RD71O71002 - EARTHBOUND LOOSE PO FLE Asphalt, Medium</t>
  </si>
  <si>
    <t>VN000RDFBLK1004</t>
  </si>
  <si>
    <t>VN000RDFBLK1.  S</t>
  </si>
  <si>
    <t>VN000RDFBLK1004 - TALK TALK OS HOODIE Black, Small</t>
  </si>
  <si>
    <t>VN000RG0EML1002</t>
  </si>
  <si>
    <t>VN000RG0EML1.  M</t>
  </si>
  <si>
    <t>VN000RG0EML1002 - MIRROR V LOOSE CREW Cloud Blue, Medium</t>
  </si>
  <si>
    <t>VN000RG0EMS1004</t>
  </si>
  <si>
    <t>VN000RG0EMS1.  M</t>
  </si>
  <si>
    <t>VN000RG0EMS1004 - MIRROR V LOOSE CREW Dark Port, Medium</t>
  </si>
  <si>
    <t>VN000RG41QI1002</t>
  </si>
  <si>
    <t>VN000RG41QI1.  XL</t>
  </si>
  <si>
    <t>VN000RG41QI1002 - EVOLVE SS Light Grey Heat, X Large</t>
  </si>
  <si>
    <t>VN000U2CWHT1001</t>
  </si>
  <si>
    <t>VN000U2CWHT1.  S</t>
  </si>
  <si>
    <t>VN000U2CWHT1001 - CHECKSCOOP S/S White, Small</t>
  </si>
  <si>
    <t>VN000XBZIZQ1004</t>
  </si>
  <si>
    <t>LEOPARD OVAL RINGER TEE</t>
  </si>
  <si>
    <t>RACING RED</t>
  </si>
  <si>
    <t>VN000XBZIZQ1.  S</t>
  </si>
  <si>
    <t>VN000XBZIZQ1004 - LEOPARD OVAL RINGER TEE RACING RE, Small</t>
  </si>
  <si>
    <t>VN00104UWHT1003</t>
  </si>
  <si>
    <t>VN00104UWHT1.  L</t>
  </si>
  <si>
    <t>VN00104UWHT1003 - Club Vans SS White, Large</t>
  </si>
  <si>
    <t>VN0A4CZ1BLK1003</t>
  </si>
  <si>
    <t>MN VANS CITY TEE BER</t>
  </si>
  <si>
    <t>VN0A4CZ1BLK1.  M</t>
  </si>
  <si>
    <t>VN0A4CZ1BLK1003 - MN VANS CITY TEE BER Black, Medium</t>
  </si>
  <si>
    <t>Own Retail|Partnership Store|Ecommerce</t>
  </si>
  <si>
    <t>VN0A5JHIBLK1002</t>
  </si>
  <si>
    <t>WM Ground Work Overa</t>
  </si>
  <si>
    <t>VN0A5JHIBLK1.  XS</t>
  </si>
  <si>
    <t>VN0A5JHIBLK1002 - WM Ground Work Overa Black, X Small</t>
  </si>
  <si>
    <t>VN0A7Y3X6OG1005</t>
  </si>
  <si>
    <t>VN0A7Y3X6OG1.  XL</t>
  </si>
  <si>
    <t>VN0A7Y3X6OG1005 - Classic Vans PO-B Concrete Heat, X Large</t>
  </si>
  <si>
    <t>VN000H4WZRY1001</t>
  </si>
  <si>
    <t>VN000H4WZRY1.  OS</t>
  </si>
  <si>
    <t>VN000H4WZRY1001 - Old Skool Backpack MAUVEWOOD, One Size</t>
  </si>
  <si>
    <t>VN000HRGBLK1001</t>
  </si>
  <si>
    <t>Resolute Backpack</t>
  </si>
  <si>
    <t>VN000HRGBLK1.  OS</t>
  </si>
  <si>
    <t>VN000HRGBLK1001 - Resolute Backpack Black, One Size</t>
  </si>
  <si>
    <t>SHELL: 100% POLYESTER, POLYURETHANE COATING,  SIDE POCKET:85% NYLON, 15% ELASTANE, LINING: 100% POLYESTER, POLYURETHANE COATING, EOD</t>
  </si>
  <si>
    <t>VN0007P9CL21010</t>
  </si>
  <si>
    <t>VN0007P9CL21M  050</t>
  </si>
  <si>
    <t>VN0007P9CL21010 - Caldrone SUME MAUVE, 5, Medium</t>
  </si>
  <si>
    <t>VN0007P9CL21009</t>
  </si>
  <si>
    <t>VN0007P9CL21M  055</t>
  </si>
  <si>
    <t>VN0007P9CL21009 - Caldrone SUME MAUVE, 5.5, Medium</t>
  </si>
  <si>
    <t>VN000CMXN1Z1001</t>
  </si>
  <si>
    <t>VN000CMXN1Z1M  110</t>
  </si>
  <si>
    <t>VN000CMXN1Z1001 - SK8-Hi PIGS RUST, 11, Medium</t>
  </si>
  <si>
    <t>VN000CQRBO51019</t>
  </si>
  <si>
    <t>VN000CQRBO51M  035</t>
  </si>
  <si>
    <t>VN000CQRBO51019 - Sport Low MULTI/MARSHMALL, 3.5, Medium</t>
  </si>
  <si>
    <t>VN000CQRYLZ1013</t>
  </si>
  <si>
    <t>VN000CQRYLZ1M  065</t>
  </si>
  <si>
    <t>VN000CQRYLZ1013 - Sport Low COLO RASRO, 6.5, Medium</t>
  </si>
  <si>
    <t>VN000CTG4481001</t>
  </si>
  <si>
    <t>VN000CTG4481M  095</t>
  </si>
  <si>
    <t>VN000CTG4481001 - Old Skool V RETR WHITE, 9.5, Medium</t>
  </si>
  <si>
    <t>VN000CTNJBW1014</t>
  </si>
  <si>
    <t>VN000CTNJBW1M  095</t>
  </si>
  <si>
    <t>VN000CTNJBW1014 - Speed LS OTDR WHITE, 9.5, Medium</t>
  </si>
  <si>
    <t>VN000CVVBA21005</t>
  </si>
  <si>
    <t>VN000CVVBA21M  035</t>
  </si>
  <si>
    <t>VN000CVVBA21005 - Crosspath Mid BLACK/WHITE, 3.5, Medium</t>
  </si>
  <si>
    <t>VN000CVVYZO1009</t>
  </si>
  <si>
    <t>VN000CVVYZO1M  040</t>
  </si>
  <si>
    <t>VN000CVVYZO1009 - Crosspath Mid TERRA COTTA, 4, Medium</t>
  </si>
  <si>
    <t>VN000CWDCRM1032</t>
  </si>
  <si>
    <t>VN000CWDCRM1M  080</t>
  </si>
  <si>
    <t>VN000CWDCRM1032 - MTE UltraRange EXO SE SPKL DB, 8, Medium</t>
  </si>
  <si>
    <t>VN000CWEEEI1018</t>
  </si>
  <si>
    <t>PINE NEEDLE</t>
  </si>
  <si>
    <t>VN000CWEEEI1M  040</t>
  </si>
  <si>
    <t>VN000CWEEEI1018 - UltraRange Neo VR3 PINE NEEDL, 4, Medium</t>
  </si>
  <si>
    <t>VN000CYAYJ71003</t>
  </si>
  <si>
    <t>VN000CYAYJ71M  025</t>
  </si>
  <si>
    <t>VN000CYAYJ71003 - Old Skool V GLOW BLKGR, 2.5, Medium</t>
  </si>
  <si>
    <t>VN000CZHCFB1014</t>
  </si>
  <si>
    <t>Coffee/Black</t>
  </si>
  <si>
    <t>VN000CZHCFB1M  075</t>
  </si>
  <si>
    <t>POP STITCH</t>
  </si>
  <si>
    <t>VN000CZHCFB1014 - Filmore Hi Vansguard POPS M, 7.5, Medium</t>
  </si>
  <si>
    <t>VN000D0HBMV1001</t>
  </si>
  <si>
    <t>VN000D0HBMV1M  135</t>
  </si>
  <si>
    <t>VN000D0HBMV1001 - SK8-Hi Insulated POP BLKML, 13.5, Medium</t>
  </si>
  <si>
    <t>VN000D26GWT1004</t>
  </si>
  <si>
    <t>VN000D26GWT1M  050</t>
  </si>
  <si>
    <t>VN000D26GWT1004 - Hylane TONL MBRWN, 5, Medium</t>
  </si>
  <si>
    <t>VN000D2T0V71004</t>
  </si>
  <si>
    <t>Rose</t>
  </si>
  <si>
    <t>VN000D2T0V71M  065</t>
  </si>
  <si>
    <t>VN000D2T0V71004 - Knu Skool Rose, 6.5, Medium</t>
  </si>
  <si>
    <t>VN000D2T0V71003</t>
  </si>
  <si>
    <t>VN000D2T0V71M  070</t>
  </si>
  <si>
    <t>VN000D2T0V71003 - Knu Skool Rose, 7, Medium</t>
  </si>
  <si>
    <t>VN000D2VZ3R1001</t>
  </si>
  <si>
    <t>VN000D2VZ3R1M  040</t>
  </si>
  <si>
    <t>VN000D2VZ3R1001 - Old Skool ALPINE GREEN, 4, Medium</t>
  </si>
  <si>
    <t>VN000D4N2B61002</t>
  </si>
  <si>
    <t>BLACK/DRIZZLE</t>
  </si>
  <si>
    <t>VN000D4N2B61M  125</t>
  </si>
  <si>
    <t>VN000D4N2B61002 - Hylane BLACK/DRIZZLE, 12.5, Medium</t>
  </si>
  <si>
    <t>VN000D5D17P1018</t>
  </si>
  <si>
    <t>VN000D5D17P1M  110</t>
  </si>
  <si>
    <t>VN000D5D17P1018 - Skate 2 Wayvee Green/Gum, 11, Medium</t>
  </si>
  <si>
    <t>VN000D61BKA1013</t>
  </si>
  <si>
    <t>VN000D61BKA1M  065</t>
  </si>
  <si>
    <t>RIPSTOP</t>
  </si>
  <si>
    <t>VN000D61BKA1013 - Ultrarange 2.0 SE RPST BLAC, 6.5, Medium</t>
  </si>
  <si>
    <t>VN000D61EMP1006</t>
  </si>
  <si>
    <t>VN000D61EMP1M  065</t>
  </si>
  <si>
    <t>VN000D61EMP1006 - Ultrarange 2.0 SE RPST CLBR, 6.5, Medium</t>
  </si>
  <si>
    <t>VN000D6ZEMW1009</t>
  </si>
  <si>
    <t>VN000D6ZEMW1M  120</t>
  </si>
  <si>
    <t>VN000D6ZEMW1009 - Knu Skool CTHR GROLV, 12, Medium</t>
  </si>
  <si>
    <t>VN000D75O3N1006</t>
  </si>
  <si>
    <t>VN000D75O3N1M  040</t>
  </si>
  <si>
    <t>VN000D75O3N1006 - Knu Skool POP MDPNK, 4, Medium</t>
  </si>
  <si>
    <t>VN000D7ZY7U1016</t>
  </si>
  <si>
    <t>VN000D7ZY7U1M  050</t>
  </si>
  <si>
    <t>VN000D7ZY7U1016 - Old Skool PSDE AFDRK, 5, Medium</t>
  </si>
  <si>
    <t>VN000DA2YY01006</t>
  </si>
  <si>
    <t>VN000DA2YY01M  080</t>
  </si>
  <si>
    <t>VN000DA2YY01006 - Skate Rowley Navy/Yellow, 8, Medium</t>
  </si>
  <si>
    <t>VN000DAQTWH1014</t>
  </si>
  <si>
    <t>Tan/White</t>
  </si>
  <si>
    <t>VN000DAQTWH1M  080</t>
  </si>
  <si>
    <t>VN000DAQTWH1014 - Sk8-Hi Waterproof Insulat Tan, 8, Medium</t>
  </si>
  <si>
    <t>VN000DARC9F1010</t>
  </si>
  <si>
    <t>SK8-Hi GORE-TEX Insulated</t>
  </si>
  <si>
    <t>VN000DARC9F1M  065</t>
  </si>
  <si>
    <t>VN000DARC9F1010 - SK8-Hi GORE-TEX Insulated E, 6.5, Medium</t>
  </si>
  <si>
    <t>VN000E9RG581004</t>
  </si>
  <si>
    <t>VN000E9RG581M  105</t>
  </si>
  <si>
    <t>VN000E9RG581004 - Old Skool FLORAL BLACK, 10.5, Medium</t>
  </si>
  <si>
    <t>VN000E9RG581001</t>
  </si>
  <si>
    <t>VN000E9RG581M  125</t>
  </si>
  <si>
    <t>VN000E9RG581001 - Old Skool FLORAL BLACK, 12.5, Medium</t>
  </si>
  <si>
    <t>VN000E9ZYF51001</t>
  </si>
  <si>
    <t>VN000E9ZYF51M  045</t>
  </si>
  <si>
    <t>VN000E9ZYF51001 - Knu Skool Baby Blue/White, 4.5, Medium</t>
  </si>
  <si>
    <t>VN000EDNAH91015</t>
  </si>
  <si>
    <t>VN000EDNAH91M  105</t>
  </si>
  <si>
    <t>VN000EDNAH91015 - Skate Old Skool Sea Green, 10.5, Medium</t>
  </si>
  <si>
    <t>VN000EE1I6Y1005</t>
  </si>
  <si>
    <t>VN000EE1I6Y1M  075</t>
  </si>
  <si>
    <t>VN000EE1I6Y1005 - Old Skool V GLAZED GINGER/M, 7.5, Medium</t>
  </si>
  <si>
    <t>VN000EFBYY61004</t>
  </si>
  <si>
    <t>VN000EFBYY61M  085</t>
  </si>
  <si>
    <t>VN000EFBYY61004 - Knu Skool Elastic Lace Blac, 8.5, Medium</t>
  </si>
  <si>
    <t>VN000EG59X11007</t>
  </si>
  <si>
    <t>Skate Slip-On</t>
  </si>
  <si>
    <t>Black/White/Gum</t>
  </si>
  <si>
    <t>VN000EG59X11M  090</t>
  </si>
  <si>
    <t>SKULL PILE</t>
  </si>
  <si>
    <t>VN000EG59X11007 - Skate Slip-On SLPL BLKWH, 9, Medium</t>
  </si>
  <si>
    <t>VN000EG59X11006</t>
  </si>
  <si>
    <t>VN000EG59X11M  095</t>
  </si>
  <si>
    <t>VN000EG59X11006 - Skate Slip-On SLPL BLKWH, 9.5, Medium</t>
  </si>
  <si>
    <t>VN000ZUVFM51007</t>
  </si>
  <si>
    <t>(Suede Canvas)Chrcoal/Wht</t>
  </si>
  <si>
    <t>VN000ZUVFM51M  095</t>
  </si>
  <si>
    <t>VN000ZUVFM51007 - Milton SUCV CHCWH, 9.5, Medium</t>
  </si>
  <si>
    <t>VN0A4BTTPWT1010</t>
  </si>
  <si>
    <t>VN0A4BTTPWT1M  080</t>
  </si>
  <si>
    <t>VN0A4BTTPWT1010 - Rowley Classic Pewter, 8, Medium</t>
  </si>
  <si>
    <t>VN0A4BVSBKA1018</t>
  </si>
  <si>
    <t>UltraRange EXO Hi MTE-2</t>
  </si>
  <si>
    <t>VN0A4BVSBKA1M  040</t>
  </si>
  <si>
    <t>VN0A4BVSBKA1018 - UltraRange EXO Hi MTE-2 Black, 4, Medium</t>
  </si>
  <si>
    <t>VN0A4U1KWHT1005</t>
  </si>
  <si>
    <t>VN0A4U1KWHT1M  050</t>
  </si>
  <si>
    <t>VN0A4U1KWHT1005 - MTE UltraRange EXO White, 5, Medium</t>
  </si>
  <si>
    <t>VN0A5KR52391018</t>
  </si>
  <si>
    <t>VN0A5KR52391M  040</t>
  </si>
  <si>
    <t>MULTI BLOCK</t>
  </si>
  <si>
    <t>VN0A5KR52391018 - Cruze Too CC MUBL MDGRY, 4, Medium</t>
  </si>
  <si>
    <t>VN0A5KS5BMV1007</t>
  </si>
  <si>
    <t>UltraRange EXO Hi MTE-1</t>
  </si>
  <si>
    <t>VN0A5KS5BMV1M  065</t>
  </si>
  <si>
    <t>VN0A5KS5BMV1007 - UltraRange EXO Hi MTE-1 BLA, 6.5, Medium</t>
  </si>
  <si>
    <t>VN0007A8BLK1001</t>
  </si>
  <si>
    <t>RIGHT ANGLES SUNGLASSES</t>
  </si>
  <si>
    <t>VN0007A8BLK1.  OS</t>
  </si>
  <si>
    <t>VN0007A8BLK1001 - RIGHT ANGLES SUNGLASSES Black, One Size</t>
  </si>
  <si>
    <t>FRAME:52% POLYCARBONATE,  48% CUPRONICKEL  LENS: 100% POLYCARBONATE</t>
  </si>
  <si>
    <t>VN000GNKWHT1001</t>
  </si>
  <si>
    <t>CLASSIC CREW</t>
  </si>
  <si>
    <t>VN000GNKWHT1.  016</t>
  </si>
  <si>
    <t>VN000GNKWHT1001 - CLASSIC CREW White, 1-6</t>
  </si>
  <si>
    <t>70% Cotton 17% Nylon 7% Polyester 5%Elastodiene 1% Elastane</t>
  </si>
  <si>
    <t>VN000HSQKOU1001</t>
  </si>
  <si>
    <t>Original Shallow Cuff B</t>
  </si>
  <si>
    <t>BLACK/ASPHALT</t>
  </si>
  <si>
    <t>VN000HSQKOU1.  OS</t>
  </si>
  <si>
    <t>VN000HSQKOU1001 - Original Shallow Cuff B BLACK/, One Size</t>
  </si>
  <si>
    <t>100% ACRYLIC</t>
  </si>
  <si>
    <t>VN000HSUY7X1001</t>
  </si>
  <si>
    <t>VN000HSUY7X1.  OS</t>
  </si>
  <si>
    <t>VN000HSUY7X1001 - Vans Waffle Cuff Beanie BURNT, One Size</t>
  </si>
  <si>
    <t>VN000HSXHTG1001</t>
  </si>
  <si>
    <t>VN000HSXHTG1.  OS</t>
  </si>
  <si>
    <t>VN000HSXHTG1001 - Densmore Wide Cuff Bean Heathe, One Size</t>
  </si>
  <si>
    <t>VN000HT39JC1002</t>
  </si>
  <si>
    <t>Vans Original Crew</t>
  </si>
  <si>
    <t>Bungee Cord</t>
  </si>
  <si>
    <t>VN000HT39JC1.  659</t>
  </si>
  <si>
    <t>VN000HT39JC1002 - Vans Original Crew Bungee Cord, 6.5-9</t>
  </si>
  <si>
    <t>82%Cotton 9%Nylon 6%Polyester 2%Elastodiene 1%Elastane</t>
  </si>
  <si>
    <t>VN000PNTEMP1001</t>
  </si>
  <si>
    <t>Spinal V Beanie</t>
  </si>
  <si>
    <t>VN000PNTEMP1.  OS</t>
  </si>
  <si>
    <t>VN000PNTEMP1001 - Spinal V Beanie Coal Brown, One Size</t>
  </si>
  <si>
    <t>80%Recycled polyester 20%Wool, EOD</t>
  </si>
  <si>
    <t>VN000Q1UWHT1001</t>
  </si>
  <si>
    <t>VN000Q1UWHT1.  024</t>
  </si>
  <si>
    <t>VN000Q1UWHT1001 - Classic Crew White, 2-4T</t>
  </si>
  <si>
    <t>VN000QAGBLK1001</t>
  </si>
  <si>
    <t>Classic Script Snapback</t>
  </si>
  <si>
    <t>VN000QAGBLK1.  OS</t>
  </si>
  <si>
    <t>VN000QAGBLK1001 - Classic Script Snapback Black, One Size</t>
  </si>
  <si>
    <t>VN000QAXEN71001</t>
  </si>
  <si>
    <t>VN000QAXEN71.  OS</t>
  </si>
  <si>
    <t>VN000QAXEN71001 - Revelle Cuff Beanie Pink Dawn, One Size</t>
  </si>
  <si>
    <t>VN000QB6EN71003</t>
  </si>
  <si>
    <t>Larrea Crew</t>
  </si>
  <si>
    <t>VN000QB6EN71.  S</t>
  </si>
  <si>
    <t>VN000QB6EN71003 - Larrea Crew Pink Dawn, Small</t>
  </si>
  <si>
    <t>76%Cotton 12%Nylon 11%Polyester 1%Elastane</t>
  </si>
  <si>
    <t>VN000QBQEN71002</t>
  </si>
  <si>
    <t>VN000QBQEN71.  S</t>
  </si>
  <si>
    <t>VN000QBQEN71002 - Cuff It Crew Pink Dawn, Small</t>
  </si>
  <si>
    <t>VN000QCMY281002</t>
  </si>
  <si>
    <t>VN000QCMY281.  34</t>
  </si>
  <si>
    <t>VN000QCMY281002 - Got You Belt Black/White, 34</t>
  </si>
  <si>
    <t>VN0A31J6BLK1002</t>
  </si>
  <si>
    <t>VN0A31J6BLK1.  34</t>
  </si>
  <si>
    <t>VN0A31J6BLK1002 - MN HUNTER II PU BELT Black, 34</t>
  </si>
  <si>
    <t>VN0A48HDD451001</t>
  </si>
  <si>
    <t>Classic Canoodle 6.5-10</t>
  </si>
  <si>
    <t>LAVENDER MIST</t>
  </si>
  <si>
    <t>VN0A48HDD451.  OS</t>
  </si>
  <si>
    <t>VN0A48HDD451001 - Classic Canoodle 6.5-10 Lavend, One Size</t>
  </si>
  <si>
    <t>74%Cotton 24%Nylon 2%Elastane</t>
  </si>
  <si>
    <t>VN00046QE2W1007</t>
  </si>
  <si>
    <t>VN00046QE2W1.  XXS</t>
  </si>
  <si>
    <t>VN00046QE2W1007 - CENTER VEE WASH TEE DRE Herita, XX Small</t>
  </si>
  <si>
    <t>VN0008N6BLK1007</t>
  </si>
  <si>
    <t>VN0008N6BLK1REG31</t>
  </si>
  <si>
    <t>VN0008N6BLK1007 - SERVICE CARGO LOOSE TAP Bla, 31, Regular</t>
  </si>
  <si>
    <t>VN0008NACDX1004</t>
  </si>
  <si>
    <t>VN0008NACDX1REG34</t>
  </si>
  <si>
    <t>VN0008NACDX1004 - CHECK-5 BAGGY DENIM PAN STO, 34, Regular</t>
  </si>
  <si>
    <t>VN000G75D6Z1011</t>
  </si>
  <si>
    <t>VN000G75D6Z117 XS</t>
  </si>
  <si>
    <t>VN000G75D6Z1011 - PRIMARY SOLID ELASTIC B Por, X Small, 17</t>
  </si>
  <si>
    <t>VN000G75D6Z1008</t>
  </si>
  <si>
    <t>VN000G75D6Z119 XXL</t>
  </si>
  <si>
    <t>VN000G75D6Z1008 - PRIMARY SOLID ELASTIC B Po, XX Large, 19</t>
  </si>
  <si>
    <t>VN000GGGY281006</t>
  </si>
  <si>
    <t>VN000GGGY281.  XXL</t>
  </si>
  <si>
    <t>VN000GGGY281006 - VANS CLASSIC Black/White, XX Large</t>
  </si>
  <si>
    <t>VN000HGJFS81007</t>
  </si>
  <si>
    <t>Union Relaxed Carpenter</t>
  </si>
  <si>
    <t>VN000HGJFS81.  28</t>
  </si>
  <si>
    <t>VN000HGJFS81007 - Union Relaxed Carpenter marshmallow, 28</t>
  </si>
  <si>
    <t>VN000HHAM8I1005</t>
  </si>
  <si>
    <t>Antica Boxy LS Shirt</t>
  </si>
  <si>
    <t>VN000HHAM8I1.  L</t>
  </si>
  <si>
    <t>VN000HHAM8I1005 - Antica Boxy LS Shirt GRAY MIST, Large</t>
  </si>
  <si>
    <t>VN000HHEC9J1004</t>
  </si>
  <si>
    <t>VN000HHEC9J1.  M</t>
  </si>
  <si>
    <t>VN000HHEC9J1004 - First Team Relax Crop AUBURN, Medium</t>
  </si>
  <si>
    <t>VN000HZABLK1008</t>
  </si>
  <si>
    <t>VN000HZABLK130 28</t>
  </si>
  <si>
    <t>VN000HZABLK1008 - Authentic Chino Slim Pa Black, 28, 30</t>
  </si>
  <si>
    <t>VN000HZBYEH1011</t>
  </si>
  <si>
    <t>VN000HZBYEH132 34</t>
  </si>
  <si>
    <t>VN000HZBYEH1011 - Authentic Chino Relaxed DESERT T, 34, 32</t>
  </si>
  <si>
    <t>VN000IVF7WM1001</t>
  </si>
  <si>
    <t>VN000IVF7WM1.  L</t>
  </si>
  <si>
    <t>VN000IVF7WM1001 - Vans Classic TrBl, Large</t>
  </si>
  <si>
    <t>VN000JBRZBF1001</t>
  </si>
  <si>
    <t>VN000JBRZBF1.  L</t>
  </si>
  <si>
    <t>VN000JBRZBF1001 - Vans Boxed PO LODEN GREEN, Large</t>
  </si>
  <si>
    <t>VN000JF5BLK1005</t>
  </si>
  <si>
    <t>W ESSENTIAL FT RLX CREW</t>
  </si>
  <si>
    <t>VN000JF5BLK1.  S</t>
  </si>
  <si>
    <t>VN000JF5BLK1005 - W ESSENTIAL FT RLX CREW Black, Small</t>
  </si>
  <si>
    <t>VN000JUABLK1006</t>
  </si>
  <si>
    <t>VN000JUABLK1.  M</t>
  </si>
  <si>
    <t>VN000JUABLK1006 - Hot Links LS Relax Crop Black, Medium</t>
  </si>
  <si>
    <t>VN000KTBCI21006</t>
  </si>
  <si>
    <t>MTE Trek Guide Pant</t>
  </si>
  <si>
    <t>VN000KTBCI21REGL</t>
  </si>
  <si>
    <t>VN000KTBCI21006 - MTE Trek Guide Pant RAIN, Large, Regular</t>
  </si>
  <si>
    <t>VN000KTBCI21001</t>
  </si>
  <si>
    <t>VN000KTBCI21REGM</t>
  </si>
  <si>
    <t>VN000KTBCI21001 - MTE Trek Guide Pant RAI, Medium, Regular</t>
  </si>
  <si>
    <t>VN000KUEJDU1004</t>
  </si>
  <si>
    <t>Bergman Stripe SS</t>
  </si>
  <si>
    <t>VN000KUEJDU1.  M</t>
  </si>
  <si>
    <t>VN000KUEJDU1004 - Bergman Stripe SS PARISIAN NIGHT, Medium</t>
  </si>
  <si>
    <t>80% Cotton, 20% Polyester</t>
  </si>
  <si>
    <t>VN000M0XKCZ1004</t>
  </si>
  <si>
    <t>Skate Lisa Lisa Crew</t>
  </si>
  <si>
    <t>VN000M0XKCZ1.  XL</t>
  </si>
  <si>
    <t>VN000M0XKCZ1004 - Skate Lisa Lisa Crew GRAPE LEAF, X Large</t>
  </si>
  <si>
    <t>Action Sports|Sports Inspired|Monobrand|Fashion Lifestyle</t>
  </si>
  <si>
    <t>New</t>
  </si>
  <si>
    <t>VN000M330E01005</t>
  </si>
  <si>
    <t>MTE Trek Guide Short</t>
  </si>
  <si>
    <t>Sepia</t>
  </si>
  <si>
    <t>VN000M330E01REGXS</t>
  </si>
  <si>
    <t>VN000M330E01005 - MTE Trek Guide Short S, X Small, Regular</t>
  </si>
  <si>
    <t>VN000M6XC9F1006</t>
  </si>
  <si>
    <t>VN000M6XC9F1.  XS</t>
  </si>
  <si>
    <t>VN000M6XC9F1006 - MTE Trek Guide Womens P EGRET, X Small</t>
  </si>
  <si>
    <t>VN000M77Y7U1004</t>
  </si>
  <si>
    <t>VN000M77Y7U1.  XL</t>
  </si>
  <si>
    <t>VN000M77Y7U1004 - MTE Outline Hybrid Tank AFTER D, X Large</t>
  </si>
  <si>
    <t>VN000M84FS81001</t>
  </si>
  <si>
    <t>MTE Off Grid SS Tee</t>
  </si>
  <si>
    <t>VN000M84FS81.  L</t>
  </si>
  <si>
    <t>VN000M84FS81001 - MTE Off Grid SS Tee marshmallow, Large</t>
  </si>
  <si>
    <t>VN000M8JY281005</t>
  </si>
  <si>
    <t>MTE Everride Scalloped</t>
  </si>
  <si>
    <t>VN000M8JY281REG32</t>
  </si>
  <si>
    <t>VN000M8JY281005 - MTE Everride Scalloped Blac, 32, Regular</t>
  </si>
  <si>
    <t>50% RECYCLED POLY 50% POLY DURABLE 2- WAY STRETCH - PRINTED 57/58" 175g</t>
  </si>
  <si>
    <t>VN000M97WHT1006</t>
  </si>
  <si>
    <t>Drew Baby Tee</t>
  </si>
  <si>
    <t>VN000M97WHT1.  M</t>
  </si>
  <si>
    <t>VN000M97WHT1006 - Drew Baby Tee White, Medium</t>
  </si>
  <si>
    <t>VN000M9SEMJ1001</t>
  </si>
  <si>
    <t>VN000M9SEMJ1.  L</t>
  </si>
  <si>
    <t>VN000M9SEMJ1001 - Retro Crew Burnt Gold, Large</t>
  </si>
  <si>
    <t>VN000MA9ZBF1001</t>
  </si>
  <si>
    <t>Firemade Bloussant Hood</t>
  </si>
  <si>
    <t>VN000MA9ZBF1.  XXS</t>
  </si>
  <si>
    <t>VN000MA9ZBF1001 - Firemade Bloussant Hood LODEN, XX Small</t>
  </si>
  <si>
    <t>70% Cotton 30% Polyester</t>
  </si>
  <si>
    <t>VN000MBAE301007</t>
  </si>
  <si>
    <t>Bedford Knit Short</t>
  </si>
  <si>
    <t>VN000MBAE301.  S</t>
  </si>
  <si>
    <t>VN000MBAE301007 - Bedford Knit Short Lemon Icing, Small</t>
  </si>
  <si>
    <t>VN000MBCWHT1006</t>
  </si>
  <si>
    <t>VN000MBCWHT1.  XXL</t>
  </si>
  <si>
    <t>VN000MBCWHT1006 - Alicia Boxer Shorts White, XX Large</t>
  </si>
  <si>
    <t>VN000MBCWHT1007</t>
  </si>
  <si>
    <t>VN000MBCWHT1.  XXS</t>
  </si>
  <si>
    <t>VN000MBCWHT1007 - Alicia Boxer Shorts White, XX Small</t>
  </si>
  <si>
    <t>VN000MBEE301002</t>
  </si>
  <si>
    <t>VN000MBEE301.  29</t>
  </si>
  <si>
    <t>VN000MBEE301002 - Jennifer Shortie Lemon Icing, 29</t>
  </si>
  <si>
    <t>VN000MBEFS81007</t>
  </si>
  <si>
    <t>VN000MBEFS81.  29</t>
  </si>
  <si>
    <t>VN000MBEFS81007 - Jennifer Shortie marshmallow, 29</t>
  </si>
  <si>
    <t>VN000MC0WHT1004</t>
  </si>
  <si>
    <t>VN000MC0WHT1.  XL</t>
  </si>
  <si>
    <t>VN000MC0WHT1004 - Check Wash Fitted Crop White, X Large</t>
  </si>
  <si>
    <t>VN000MCMBLK1002</t>
  </si>
  <si>
    <t>Palm Impresa Oversized</t>
  </si>
  <si>
    <t>VN000MCMBLK1.  XXS</t>
  </si>
  <si>
    <t>VN000MCMBLK1002 - Palm Impresa Oversized Black, XX Small</t>
  </si>
  <si>
    <t>VN000MGTBL21002</t>
  </si>
  <si>
    <t>VN000MGTBL21.  XL</t>
  </si>
  <si>
    <t>VN000MGTBL21002 - Blaze Crew Sweater BY HARVEST G, X Large</t>
  </si>
  <si>
    <t>VN000MK9WHT1001</t>
  </si>
  <si>
    <t>Night Watchers LS</t>
  </si>
  <si>
    <t>VN000MK9WHT1.  L</t>
  </si>
  <si>
    <t>KIDS TOPS</t>
  </si>
  <si>
    <t>KIDS T-SHIRTS</t>
  </si>
  <si>
    <t>VN000MK9WHT1001 - Night Watchers LS White, Large</t>
  </si>
  <si>
    <t>VN000MMTBLK1005</t>
  </si>
  <si>
    <t>VN000MMTBLK1.  7</t>
  </si>
  <si>
    <t>VN000MMTBLK1005 - Pawtastic SS Black, 7</t>
  </si>
  <si>
    <t>VN000MN2BR11002</t>
  </si>
  <si>
    <t>VN000MN2BR11.  M</t>
  </si>
  <si>
    <t>VN000MN2BR11002 - Sixty Sixers Jersey Dre FAIRWAY, Medium</t>
  </si>
  <si>
    <t>VN000NY1C9L1007</t>
  </si>
  <si>
    <t>ETHEREAL RETRO FIT PO</t>
  </si>
  <si>
    <t>VN000NY1C9L1.  XXS</t>
  </si>
  <si>
    <t>VN000NY1C9L1007 - ETHEREAL RETRO FIT PO CHERRIES, XX Small</t>
  </si>
  <si>
    <t>VN000P1PRNE1006</t>
  </si>
  <si>
    <t>HINT OF MINT</t>
  </si>
  <si>
    <t>VN000P1PRNE1.  L</t>
  </si>
  <si>
    <t>VN000P1PRNE1006 - LEFT CHEST II LOOSE SS HINT OF MI, Large</t>
  </si>
  <si>
    <t>VN000P21EMU1001</t>
  </si>
  <si>
    <t>VN000P21EMU1.  L</t>
  </si>
  <si>
    <t>VN000P21EMU1001 - LEFT CHEST II LOOSE PO Dried Kelp, Large</t>
  </si>
  <si>
    <t>VN000P50EMW1002</t>
  </si>
  <si>
    <t>STYLE 76 II LOOSE SS TE</t>
  </si>
  <si>
    <t>VN000P50EMW1.  XL</t>
  </si>
  <si>
    <t>VN000P50EMW1002 - STYLE 76 II LOOSE SS TE Gray Ol, X Large</t>
  </si>
  <si>
    <t>VN000P58CHG1005</t>
  </si>
  <si>
    <t>VN000P58CHG1.  XS</t>
  </si>
  <si>
    <t>VN000P58CHG1005 - SALTON LOOSE FT PO DEEP TAUPE, X Small</t>
  </si>
  <si>
    <t>VN000P73Y281006</t>
  </si>
  <si>
    <t>VN000P73Y281.  M</t>
  </si>
  <si>
    <t>VN000P73Y281006 - Torrey Nylon Coaches Ja Black/Wh, Medium</t>
  </si>
  <si>
    <t>VN000P73Y281001</t>
  </si>
  <si>
    <t>VN000P73Y281.  XXL</t>
  </si>
  <si>
    <t>VN000P73Y281001 - Torrey Nylon Coaches Ja Black/, XX Large</t>
  </si>
  <si>
    <t>VN000P78BLK1005</t>
  </si>
  <si>
    <t>VN000P78BLK1.  M</t>
  </si>
  <si>
    <t>VN000P78BLK1005 - Drill Chore Nylon Jacke Black, Medium</t>
  </si>
  <si>
    <t>VN000P7AEN61003</t>
  </si>
  <si>
    <t>VN000P7AEN61.  S</t>
  </si>
  <si>
    <t>VN000P7AEN61003 - McAvoy Sherpa Lined Sta Pine Fore, Small</t>
  </si>
  <si>
    <t>VN000PAUBLK1002</t>
  </si>
  <si>
    <t>VN000PAUBLK1.  XS</t>
  </si>
  <si>
    <t>VN000PAUBLK1002 - Star Checker Crew Black, X Small</t>
  </si>
  <si>
    <t>VN000PBRWHT1001</t>
  </si>
  <si>
    <t>VN000PBRWHT1.  L</t>
  </si>
  <si>
    <t>VN000PBRWHT1001 - Chaos SS White, Large</t>
  </si>
  <si>
    <t>VN000PDR6JL1005</t>
  </si>
  <si>
    <t>VN000PDR6JL1.  XXL</t>
  </si>
  <si>
    <t>VN000PDR6JL1005 - Star Checker SS Canary Yellow, XX Large</t>
  </si>
  <si>
    <t>VN000PDREMS1002</t>
  </si>
  <si>
    <t>VN000PDREMS1.  XL</t>
  </si>
  <si>
    <t>VN000PDREMS1002 - Star Checker SS Dark Port, X Large</t>
  </si>
  <si>
    <t>VN000PDYWHT1003</t>
  </si>
  <si>
    <t>VN000PDYWHT1.  M</t>
  </si>
  <si>
    <t>VN000PDYWHT1003 - Goofy Ghoul SS White, Medium</t>
  </si>
  <si>
    <t>VN000PFBBRR1006</t>
  </si>
  <si>
    <t>VN000PFBBRR1.  XS</t>
  </si>
  <si>
    <t>VN000PFBBRR1006 - Original Standards Bloc Black/R, X Small</t>
  </si>
  <si>
    <t>VN000PFF2B61003</t>
  </si>
  <si>
    <t>VN000PFF2B61.  L</t>
  </si>
  <si>
    <t>VN000PFF2B61003 - Original Standards Bloc BLACK/DRI, Large</t>
  </si>
  <si>
    <t>VN000PFF2B61006</t>
  </si>
  <si>
    <t>VN000PFF2B61.  M</t>
  </si>
  <si>
    <t>VN000PFF2B61006 - Original Standards Bloc BLACK/DR, Medium</t>
  </si>
  <si>
    <t>VN000PGJEMF1005</t>
  </si>
  <si>
    <t>VN000PGJEMF1.  XL</t>
  </si>
  <si>
    <t>VN000PGJEMF1005 - MTE Sundown Liner Bay Leaf, X Large</t>
  </si>
  <si>
    <t>VN000PH6IYR1017</t>
  </si>
  <si>
    <t>VN000PH6IYR132 31</t>
  </si>
  <si>
    <t>VN000PH6IYR1017 - Check-5 Loose Denim Pan FADED DE, 31, 32</t>
  </si>
  <si>
    <t>VN000PH6IYR1013</t>
  </si>
  <si>
    <t>VN000PH6IYR132 33</t>
  </si>
  <si>
    <t>VN000PH6IYR1013 - Check-5 Loose Denim Pan FADED DE, 33, 32</t>
  </si>
  <si>
    <t>VN000PJSD3Z1001</t>
  </si>
  <si>
    <t>MTE Keep Out SS Tee</t>
  </si>
  <si>
    <t>ELM</t>
  </si>
  <si>
    <t>VN000PJSD3Z1.  XXL</t>
  </si>
  <si>
    <t>VN000PJSD3Z1001 - MTE Keep Out SS Tee Elm, XX Large</t>
  </si>
  <si>
    <t>VN000PK1BLK1006</t>
  </si>
  <si>
    <t>VN000PK1BLK1.  M</t>
  </si>
  <si>
    <t>VN000PK1BLK1006 - Hillgate Cropped Puffer Black, Medium</t>
  </si>
  <si>
    <t>VN000PK1BLK1004</t>
  </si>
  <si>
    <t>VN000PK1BLK1.  XS</t>
  </si>
  <si>
    <t>VN000PK1BLK1004 - Hillgate Cropped Puffer Black, X Small</t>
  </si>
  <si>
    <t>VN000PK1EMZ1002</t>
  </si>
  <si>
    <t>VN000PK1EMZ1.  L</t>
  </si>
  <si>
    <t>VN000PK1EMZ1002 - Hillgate Cropped Puffer Neutral O, Large</t>
  </si>
  <si>
    <t>VN000PK2EN91003</t>
  </si>
  <si>
    <t>VN000PK2EN91.  S</t>
  </si>
  <si>
    <t>VN000PK2EN91003 - Hillgate AOP Cropped Pu Taupe Mis, Small</t>
  </si>
  <si>
    <t>VN000PK5BLK1007</t>
  </si>
  <si>
    <t>MTE Hillgate Cropped Ve</t>
  </si>
  <si>
    <t>VN000PK5BLK1.  XXS</t>
  </si>
  <si>
    <t>VN000PK5BLK1007 - MTE Hillgate Cropped Ve Black, XX Small</t>
  </si>
  <si>
    <t>VN000PM3BLK1002</t>
  </si>
  <si>
    <t>VN000PM3BLK1REGM</t>
  </si>
  <si>
    <t>VN000PM3BLK1002 - Deep Daze 3L Snow Bib P, Medium, Regular</t>
  </si>
  <si>
    <t>VN000PM3BLK1005</t>
  </si>
  <si>
    <t>VN000PM3BLK1REGS</t>
  </si>
  <si>
    <t>VN000PM3BLK1005 - Deep Daze 3L Snow Bib P, Small, Regular</t>
  </si>
  <si>
    <t>VN000PMA9JC1004</t>
  </si>
  <si>
    <t>VN000PMA9JC1.  M</t>
  </si>
  <si>
    <t>VN000PMA9JC1004 - Hi-Country 3L Snow Jack Bungee C, Medium</t>
  </si>
  <si>
    <t>VN000PMDEMW1005</t>
  </si>
  <si>
    <t>VN000PMDEMW1REGXL</t>
  </si>
  <si>
    <t>VN000PMDEMW1005 - MTE High-Country 3L Pa, X Large, Regular</t>
  </si>
  <si>
    <t>VN000PMNEMP1004</t>
  </si>
  <si>
    <t>Skate Garage Denim Jack</t>
  </si>
  <si>
    <t>VN000PMNEMP1.  XL</t>
  </si>
  <si>
    <t>VN000PMNEMP1004 - Skate Garage Denim Jack Coal Br, X Large</t>
  </si>
  <si>
    <t>VN000PMNEMP1005</t>
  </si>
  <si>
    <t>VN000PMNEMP1.  XS</t>
  </si>
  <si>
    <t>VN000PMNEMP1005 - Skate Garage Denim Jack Coal Br, X Small</t>
  </si>
  <si>
    <t>VN000PN9ZX71004</t>
  </si>
  <si>
    <t>VN000PN9ZX71.  M</t>
  </si>
  <si>
    <t>VN000PN9ZX71004 - Skate Atiba Haze Hug SS Spicy Mu, Medium</t>
  </si>
  <si>
    <t>VN000PNKEMJ1006</t>
  </si>
  <si>
    <t>VN000PNKEMJ1.  L</t>
  </si>
  <si>
    <t>VN000PNKEMJ1006 - Skate Atiba Haze Hillz Burnt Gold, Large</t>
  </si>
  <si>
    <t>VN000PQWBLK1007</t>
  </si>
  <si>
    <t>Upworn Fitted Tank</t>
  </si>
  <si>
    <t>VN000PQWBLK1.  L</t>
  </si>
  <si>
    <t>VN000PQWBLK1007 - Upworn Fitted Tank Black, Large</t>
  </si>
  <si>
    <t>VN000PR3BLK1001</t>
  </si>
  <si>
    <t>VN000PR3BLK1.  S</t>
  </si>
  <si>
    <t>VN000PR3BLK1001 - Afterburn Relaxed Crop Black, Small</t>
  </si>
  <si>
    <t>VN000PR485T1001</t>
  </si>
  <si>
    <t>Era Script Relaxed Crop</t>
  </si>
  <si>
    <t>Frost Gray</t>
  </si>
  <si>
    <t>VN000PR485T1.  L</t>
  </si>
  <si>
    <t>VN000PR485T1001 - Era Script Relaxed Crop Frost Gra, Large</t>
  </si>
  <si>
    <t>VN000PXSBLK1003</t>
  </si>
  <si>
    <t>VN000PXSBLK1.  S</t>
  </si>
  <si>
    <t>VN000PXSBLK1003 - Star Checker SS Black, Small</t>
  </si>
  <si>
    <t>VN000PXXWHT1003</t>
  </si>
  <si>
    <t>VN000PXXWHT1.  M</t>
  </si>
  <si>
    <t>VN000PXXWHT1003 - Let Loose SS White, Medium</t>
  </si>
  <si>
    <t>VN000Q7712Q1001</t>
  </si>
  <si>
    <t>Skate Atiba Haze Zip</t>
  </si>
  <si>
    <t>VN000Q7712Q1.  L</t>
  </si>
  <si>
    <t>VN000Q7712Q1001 - Skate Atiba Haze Zip Solar, Large</t>
  </si>
  <si>
    <t>VN000QDFWHT1001</t>
  </si>
  <si>
    <t>VN000QDFWHT1.  L</t>
  </si>
  <si>
    <t>VN000QDFWHT1001 - Classic Script White, Large</t>
  </si>
  <si>
    <t>VN000QXUEN71004</t>
  </si>
  <si>
    <t>VN000QXUEN71.  XL</t>
  </si>
  <si>
    <t>VN000QXUEN71004 - Original Standards Stat Pink Da, X Large</t>
  </si>
  <si>
    <t>VN000R03WHT1001</t>
  </si>
  <si>
    <t>VN000R03WHT1.  M</t>
  </si>
  <si>
    <t>VN000R03WHT1001 - Metal Wall SS White, Medium</t>
  </si>
  <si>
    <t>VN000R04BLK1001</t>
  </si>
  <si>
    <t>VN000R04BLK1.  M</t>
  </si>
  <si>
    <t>VN000R04BLK1001 - Happy Spike SS Black, Medium</t>
  </si>
  <si>
    <t>VN000R04EMF1001</t>
  </si>
  <si>
    <t>VN000R04EMF1.  L</t>
  </si>
  <si>
    <t>VN000R04EMF1001 - Happy Spike SS Bay Leaf, Large</t>
  </si>
  <si>
    <t>VN000R742N11001</t>
  </si>
  <si>
    <t>VN000R742N11.  M</t>
  </si>
  <si>
    <t>VN000R742N11001 - Script Mini Mock LS oatmeal, Medium</t>
  </si>
  <si>
    <t>VN000RAPE2Z1006</t>
  </si>
  <si>
    <t>BLOCKED BOX LOOSE SS</t>
  </si>
  <si>
    <t>VN000RAPE2Z1.  M</t>
  </si>
  <si>
    <t>VN000RAPE2Z1006 - BLOCKED BOX LOOSE SS Red Ochre, Medium</t>
  </si>
  <si>
    <t>VN000RC1O8W1003</t>
  </si>
  <si>
    <t>Cruzing Ringer Tee</t>
  </si>
  <si>
    <t>ASPHALT HEATHER</t>
  </si>
  <si>
    <t>VN000RC1O8W1.  S</t>
  </si>
  <si>
    <t>VN000RC1O8W1003 - Cruzing Ringer Tee ASPHALT HEATHE, Small</t>
  </si>
  <si>
    <t>VN000RD1O321002</t>
  </si>
  <si>
    <t>PASTEL PINK</t>
  </si>
  <si>
    <t>VN000RD1O321.  M</t>
  </si>
  <si>
    <t>VN000RD1O321002 - Cameron Tee PASTEL PINK, Medium</t>
  </si>
  <si>
    <t>VN000RDFBLK1007</t>
  </si>
  <si>
    <t>VN000RDFBLK1.  XXS</t>
  </si>
  <si>
    <t>VN000RDFBLK1007 - TALK TALK OS HOODIE Black, XX Small</t>
  </si>
  <si>
    <t>VN000REMBLK1004</t>
  </si>
  <si>
    <t>VN000REMBLK1.  XS</t>
  </si>
  <si>
    <t>VN000REMBLK1004 - LIL BEAR OS HOODIE Black, X Small</t>
  </si>
  <si>
    <t>VN000RFR1QI1004</t>
  </si>
  <si>
    <t>HEAVY THINKER LOOSE FIT</t>
  </si>
  <si>
    <t>VN000RFR1QI1.  S</t>
  </si>
  <si>
    <t>VN000RFR1QI1004 - HEAVY THINKER LOOSE FIT Light Gre, Small</t>
  </si>
  <si>
    <t>VN000RK6EMW1003</t>
  </si>
  <si>
    <t>MTE Crestline SS Tee</t>
  </si>
  <si>
    <t>VN000RK6EMW1.  S</t>
  </si>
  <si>
    <t>VN000RK6EMW1003 - MTE Crestline SS Tee Gray Olive, Small</t>
  </si>
  <si>
    <t>VN000U2CWHT1005</t>
  </si>
  <si>
    <t>VN000U2CWHT1.  XS</t>
  </si>
  <si>
    <t>VN000U2CWHT1005 - CHECKSCOOP S/S White, X Small</t>
  </si>
  <si>
    <t>VN000W4GCI21004</t>
  </si>
  <si>
    <t>Lucky Spare S/S</t>
  </si>
  <si>
    <t>VN000W4GCI21.  XL</t>
  </si>
  <si>
    <t>VN000W4GCI21004 - Lucky Spare S/S RAIN FOREST, X Large</t>
  </si>
  <si>
    <t>VN0A5JPN7051002</t>
  </si>
  <si>
    <t>WM AUTHENTIC WMN CHI</t>
  </si>
  <si>
    <t>VN0A5JPN7051.  31</t>
  </si>
  <si>
    <t>AUTHENTIC</t>
  </si>
  <si>
    <t>VN0A5JPN7051002 - WM AUTHENTIC WMN CHI AUTH BLACK, 31</t>
  </si>
  <si>
    <t>58% COTTON 39% POLYESTER 3% ELASTANE</t>
  </si>
  <si>
    <t>VN0A7YUTBLK1003</t>
  </si>
  <si>
    <t>VN0A7YUTBLK1.  XS</t>
  </si>
  <si>
    <t>VN0A7YUTBLK1003 - Flying V Oversized FLYV BLACK, X Small</t>
  </si>
  <si>
    <t>VN0007Q3BGK1017</t>
  </si>
  <si>
    <t>SK8-Hi Reissue Side Zip</t>
  </si>
  <si>
    <t>GREEN/MULTI</t>
  </si>
  <si>
    <t>VN0007Q3BGK1M  050</t>
  </si>
  <si>
    <t>GLOW SHARKS</t>
  </si>
  <si>
    <t>VN0007Q3BGK1017 - SK8-Hi Reissue Side Zip GLSH, 5, Medium</t>
  </si>
  <si>
    <t>VN0007Q3EMY1004</t>
  </si>
  <si>
    <t>VN0007Q3EMY1M  065</t>
  </si>
  <si>
    <t>VN0007Q3EMY1004 - SK8-Hi Reissue Side Zip GLT, 6.5, Medium</t>
  </si>
  <si>
    <t>VN000BCEBA21003</t>
  </si>
  <si>
    <t>VN000BCEBA21M  045</t>
  </si>
  <si>
    <t>VN000BCEBA21003 - UltraRange Neo VR3 BLACK/WH, 4.5, Medium</t>
  </si>
  <si>
    <t>VN000BCEBKA1010</t>
  </si>
  <si>
    <t>VN000BCEBKA1M  080</t>
  </si>
  <si>
    <t>VN000BCEBKA1010 - UltraRange Neo VR3 Black/Blac, 8, Medium</t>
  </si>
  <si>
    <t>VN000BCELLC1007</t>
  </si>
  <si>
    <t>VN000BCELLC1M  065</t>
  </si>
  <si>
    <t>VN000BCELLC1007 - UltraRange Neo VR3 Lilac, 6.5, Medium</t>
  </si>
  <si>
    <t>VN000CQR6PH1001</t>
  </si>
  <si>
    <t>VN000CQR6PH1M  130</t>
  </si>
  <si>
    <t>VN000CQR6PH1001 - Sport Low GUM DKPPL, 13, Medium</t>
  </si>
  <si>
    <t>VN000CQRYLZ1015</t>
  </si>
  <si>
    <t>VN000CQRYLZ1M  095</t>
  </si>
  <si>
    <t>VN000CQRYLZ1015 - Sport Low COLO RASRO, 9.5, Medium</t>
  </si>
  <si>
    <t>VN000CR5FS81016</t>
  </si>
  <si>
    <t>VN000CR5FS81M  065</t>
  </si>
  <si>
    <t>VN000CR5FS81016 - Old Skool OSLC MSHML, 6.5, Medium</t>
  </si>
  <si>
    <t>VN000CR5FS81010</t>
  </si>
  <si>
    <t>VN000CR5FS81M  080</t>
  </si>
  <si>
    <t>VN000CR5FS81010 - Old Skool OSLC MSHML, 8, Medium</t>
  </si>
  <si>
    <t>VN000CRRCJJ1014</t>
  </si>
  <si>
    <t>VN000CRRCJJ1M  040</t>
  </si>
  <si>
    <t>VN000CRRCJJ1014 - Mary Jane STAR BLACK, 4, Medium</t>
  </si>
  <si>
    <t>VN000CRRD3X1013</t>
  </si>
  <si>
    <t>VN000CRRD3X1M  065</t>
  </si>
  <si>
    <t>VN000CRRD3X1013 - Mary Jane PREP CORAL, 6.5, Medium</t>
  </si>
  <si>
    <t>VN000CT8HCZ1018</t>
  </si>
  <si>
    <t>ATMOSPHERE</t>
  </si>
  <si>
    <t>VN000CT8HCZ1M  040</t>
  </si>
  <si>
    <t>VN000CT8HCZ1018 - Old Skool CTHR ATMOS, 4, Medium</t>
  </si>
  <si>
    <t>VN000CTG4481011</t>
  </si>
  <si>
    <t>VN000CTG4481M  070</t>
  </si>
  <si>
    <t>VN000CTG4481011 - Old Skool V RETR WHITE, 7, Medium</t>
  </si>
  <si>
    <t>VN000CTGREB1017</t>
  </si>
  <si>
    <t>Red/Black</t>
  </si>
  <si>
    <t>VN000CTGREB1M  080</t>
  </si>
  <si>
    <t>GLITTER PLAID</t>
  </si>
  <si>
    <t>VN000CTGREB1017 - Old Skool V GLTP DRDBL, 8, Medium</t>
  </si>
  <si>
    <t>VN000CTGYLZ1009</t>
  </si>
  <si>
    <t>VN000CTGYLZ1M  065</t>
  </si>
  <si>
    <t>VN000CTGYLZ1009 - Old Skool V GLTR RASRO, 6.5, Medium</t>
  </si>
  <si>
    <t>VN000CVTBGF1019</t>
  </si>
  <si>
    <t>GRAY</t>
  </si>
  <si>
    <t>VN000CVTBGF1M  040</t>
  </si>
  <si>
    <t>VN000CVTBGF1019 - MTE Sk8-Hi Waterproof GRAY, 4, Medium</t>
  </si>
  <si>
    <t>VN000CVUPRP1007</t>
  </si>
  <si>
    <t>VN000CVUPRP1M  045</t>
  </si>
  <si>
    <t>VN000CVUPRP1007 - Crosspath Purple, 4.5, Medium</t>
  </si>
  <si>
    <t>VN000CWC4481034</t>
  </si>
  <si>
    <t>VN000CWC4481M  040</t>
  </si>
  <si>
    <t>VN000CWC4481034 - MTE UltraRange EXO SPKL WHITE, 4, Medium</t>
  </si>
  <si>
    <t>VN000CWEBLU1022</t>
  </si>
  <si>
    <t>Blue</t>
  </si>
  <si>
    <t>VN000CWEBLU1M  095</t>
  </si>
  <si>
    <t>MONO</t>
  </si>
  <si>
    <t>VN000CWEBLU1022 - UltraRange Neo VR3 MONO DBL, 9.5, Medium</t>
  </si>
  <si>
    <t>VN000CYABMC1010</t>
  </si>
  <si>
    <t>MULTI</t>
  </si>
  <si>
    <t>VN000CYABMC1M  030</t>
  </si>
  <si>
    <t>VN000CYABMC1010 - Old Skool V RETR MULTI, 3, Medium</t>
  </si>
  <si>
    <t>VN000CYAEMY1003</t>
  </si>
  <si>
    <t>VN000CYAEMY1M  025</t>
  </si>
  <si>
    <t>VN000CYAEMY1003 - Old Skool V CTHR CHBD LMIST, 2.5, Medium</t>
  </si>
  <si>
    <t>VN000CYAEMY1007</t>
  </si>
  <si>
    <t>VN000CYAEMY1M  125</t>
  </si>
  <si>
    <t>VN000CYAEMY1007 - Old Skool V CTHR CHBD LMIS, 12.5, Medium</t>
  </si>
  <si>
    <t>VN000CYU4Y41005</t>
  </si>
  <si>
    <t>Black/Bungee Cord</t>
  </si>
  <si>
    <t>VN000CYU4Y41M  025</t>
  </si>
  <si>
    <t>VN000CYU4Y41005 - Knu Skool 2TNE BLACK, 2.5, Medium</t>
  </si>
  <si>
    <t>VN000CYU4Y41003</t>
  </si>
  <si>
    <t>VN000CYU4Y41M  105</t>
  </si>
  <si>
    <t>VN000CYU4Y41003 - Knu Skool 2TNE BLACK, 10.5, Medium</t>
  </si>
  <si>
    <t>VN000CYU4Y41001</t>
  </si>
  <si>
    <t>VN000CYU4Y41M  115</t>
  </si>
  <si>
    <t>VN000CYU4Y41001 - Knu Skool 2TNE BLACK, 11.5, Medium</t>
  </si>
  <si>
    <t>VN000CYU4Y41012</t>
  </si>
  <si>
    <t>VN000CYU4Y41M  120</t>
  </si>
  <si>
    <t>VN000CYU4Y41012 - Knu Skool 2TNE BLACK, 12, Medium</t>
  </si>
  <si>
    <t>VN000CYU4Y41008</t>
  </si>
  <si>
    <t>VN000CYU4Y41M  125</t>
  </si>
  <si>
    <t>VN000CYU4Y41008 - Knu Skool 2TNE BLACK, 12.5, Medium</t>
  </si>
  <si>
    <t>VN000CYU4Y41010</t>
  </si>
  <si>
    <t>VN000CYU4Y41M  135</t>
  </si>
  <si>
    <t>VN000CYU4Y41010 - Knu Skool 2TNE BLACK, 13.5, Medium</t>
  </si>
  <si>
    <t>VN000CYUEN61005</t>
  </si>
  <si>
    <t>VN000CYUEN61M  115</t>
  </si>
  <si>
    <t>VN000CYUEN61005 - Knu Skool Pine Forest, 11.5, Medium</t>
  </si>
  <si>
    <t>VN000CZ7BLA1001</t>
  </si>
  <si>
    <t>VN000CZ7BLA1M  120</t>
  </si>
  <si>
    <t>DENIM</t>
  </si>
  <si>
    <t>VN000CZ7BLA1001 - Sk8-Mid Reissue V DENM BLACK, 12, Medium</t>
  </si>
  <si>
    <t>VN000CZ7RV21011</t>
  </si>
  <si>
    <t>VN000CZ7RV21M  030</t>
  </si>
  <si>
    <t>VN000CZ7RV21011 - Sk8-Mid Reissue V CTHR BLACK, 3, Medium</t>
  </si>
  <si>
    <t>VN000CZHCFB1012</t>
  </si>
  <si>
    <t>VN000CZHCFB1M  085</t>
  </si>
  <si>
    <t>VN000CZHCFB1012 - Filmore Hi Vansguard POPS M, 8.5, Medium</t>
  </si>
  <si>
    <t>VN000D0HBZW1012</t>
  </si>
  <si>
    <t>VN000D0HBZW1M  120</t>
  </si>
  <si>
    <t>VN000D0HBZW1012 - SK8-Hi Insulated Black/White, 12, Medium</t>
  </si>
  <si>
    <t>VN000D0S1NU1014</t>
  </si>
  <si>
    <t>VN000D0S1NU1M  050</t>
  </si>
  <si>
    <t>VN000D0S1NU1014 - Slip-On V CTHR CHBD MBRWN, 5, Medium</t>
  </si>
  <si>
    <t>VN000D0SYJ71002</t>
  </si>
  <si>
    <t>VN000D0SYJ71M  065</t>
  </si>
  <si>
    <t>VN000D0SYJ71002 - Slip-On V GLOW BLKGR, 6.5, Medium</t>
  </si>
  <si>
    <t>VN000D111KP1006</t>
  </si>
  <si>
    <t>VN000D111KP1M  045</t>
  </si>
  <si>
    <t>VN000D111KP1006 - SK8-Mid Reissue V Insulat C, 4.5, Medium</t>
  </si>
  <si>
    <t>VN000D11N1Z1001</t>
  </si>
  <si>
    <t>VN000D11N1Z1M  050</t>
  </si>
  <si>
    <t>VN000D11N1Z1001 - SK8-Mid Reissue V Insulat POP, 5, Medium</t>
  </si>
  <si>
    <t>VN000D1J4C61001</t>
  </si>
  <si>
    <t>plum purple</t>
  </si>
  <si>
    <t>VN000D1J4C61M  110</t>
  </si>
  <si>
    <t>VN000D1J4C61001 - Hylane plum purple, 11, Medium</t>
  </si>
  <si>
    <t>VN000D1JBYS1005</t>
  </si>
  <si>
    <t>VN000D1JBYS1M  050</t>
  </si>
  <si>
    <t>VN000D1JBYS1005 - Hylane PEYOTE, 5, Medium</t>
  </si>
  <si>
    <t>VN000D1JCFL1010</t>
  </si>
  <si>
    <t>VN000D1JCFL1M  040</t>
  </si>
  <si>
    <t>VN000D1JCFL1010 - Hylane CITADEL, 4, Medium</t>
  </si>
  <si>
    <t>VN000D1JOVM1013</t>
  </si>
  <si>
    <t>MARSHMALLOW/GUM</t>
  </si>
  <si>
    <t>VN000D1JOVM1M  065</t>
  </si>
  <si>
    <t>VN000D1JOVM1013 - Hylane VNTG WHITE, 6.5, Medium</t>
  </si>
  <si>
    <t>VN000D1JY231002</t>
  </si>
  <si>
    <t>VN000D1JY231M  070</t>
  </si>
  <si>
    <t>VN000D1JY231002 - Hylane Black/Yellow, 7, Medium</t>
  </si>
  <si>
    <t>VN000D26GWT1012</t>
  </si>
  <si>
    <t>VN000D26GWT1M  080</t>
  </si>
  <si>
    <t>VN000D26GWT1012 - Hylane TONL MBRWN, 8, Medium</t>
  </si>
  <si>
    <t>VN000D26PWT1006</t>
  </si>
  <si>
    <t>VN000D26PWT1M  050</t>
  </si>
  <si>
    <t>VN000D26PWT1006 - Hylane TONL PEWTR, 5, Medium</t>
  </si>
  <si>
    <t>VN000D4N2081006</t>
  </si>
  <si>
    <t>Grey/Pink</t>
  </si>
  <si>
    <t>VN000D4N2081M  110</t>
  </si>
  <si>
    <t>POP SIDESTRIPE</t>
  </si>
  <si>
    <t>VN000D4N2081006 - Hylane POPS DKGRY, 11, Medium</t>
  </si>
  <si>
    <t>VN000D4NBZW1007</t>
  </si>
  <si>
    <t>VN000D4NBZW1M  105</t>
  </si>
  <si>
    <t>VN000D4NBZW1007 - Hylane Black/White, 10.5, Medium</t>
  </si>
  <si>
    <t>VN000D4SCFL1007</t>
  </si>
  <si>
    <t>VN000D4SCFL1M  035</t>
  </si>
  <si>
    <t>VN000D4SCFL1007 - Old Skool V Heart CITADEL, 3.5, Medium</t>
  </si>
  <si>
    <t>VN000D4SCFL1014</t>
  </si>
  <si>
    <t>VN000D4SCFL1M  070</t>
  </si>
  <si>
    <t>VN000D4SCFL1014 - Old Skool V Heart CITADEL, 7, Medium</t>
  </si>
  <si>
    <t>VN000D5PZCF1002</t>
  </si>
  <si>
    <t>RHODODENDRON</t>
  </si>
  <si>
    <t>VN000D5PZCF1M  120</t>
  </si>
  <si>
    <t>VN000D5PZCF1002 - Classic Slip-On CTHR CHBD MR, 12, Medium</t>
  </si>
  <si>
    <t>VN000D5VN431017</t>
  </si>
  <si>
    <t>VN000D5VN431M  045</t>
  </si>
  <si>
    <t>VN000D5VN431017 - Crosspath XC GREY/BLACK, 4.5, Medium</t>
  </si>
  <si>
    <t>VN000D610VW1019</t>
  </si>
  <si>
    <t>VN000D610VW1M  050</t>
  </si>
  <si>
    <t>VN000D610VW1019 - Ultrarange 2.0 SE RPST WHITE, 5, Medium</t>
  </si>
  <si>
    <t>VN000D6CCI21009</t>
  </si>
  <si>
    <t>VN000D6CCI21M  105</t>
  </si>
  <si>
    <t>TRI-TONE</t>
  </si>
  <si>
    <t>VN000D6CCI21009 - Knu Skool TRIT RAINF, 10.5, Medium</t>
  </si>
  <si>
    <t>VN000D6W7WM1019</t>
  </si>
  <si>
    <t>VN000D6W7WM1M  050</t>
  </si>
  <si>
    <t>VN000D6W7WM1019 - Old Skool SUED DBLUE, 5, Medium</t>
  </si>
  <si>
    <t>VN000D6WEMW1005</t>
  </si>
  <si>
    <t>VN000D6WEMW1M  050</t>
  </si>
  <si>
    <t>VN000D6WEMW1005 - Old Skool CTHR GROLV, 5, Medium</t>
  </si>
  <si>
    <t>VN000D6WY281014</t>
  </si>
  <si>
    <t>VN000D6WY281M  050</t>
  </si>
  <si>
    <t>VN000D6WY281014 - Old Skool Black/White, 5, Medium</t>
  </si>
  <si>
    <t>VN000D6YEZI1002</t>
  </si>
  <si>
    <t>VN000D6YEZI1M  050</t>
  </si>
  <si>
    <t>VN000D6YEZI1002 - Classic Slip-On Y2K DALB, 5, Medium</t>
  </si>
  <si>
    <t>VN000D6ZEMY1012</t>
  </si>
  <si>
    <t>VN000D6ZEMY1M  065</t>
  </si>
  <si>
    <t>VN000D6ZEMY1012 - Knu Skool 2TNE LMIST, 6.5, Medium</t>
  </si>
  <si>
    <t>VN000D70E2Y1001</t>
  </si>
  <si>
    <t>Pistachio Green</t>
  </si>
  <si>
    <t>VN000D70E2Y1M  130</t>
  </si>
  <si>
    <t>FAT LACE</t>
  </si>
  <si>
    <t>VN000D70E2Y1001 - Upland FTLC PSTGR, 13, Medium</t>
  </si>
  <si>
    <t>VN000D75O3N1007</t>
  </si>
  <si>
    <t>VN000D75O3N1M  045</t>
  </si>
  <si>
    <t>VN000D75O3N1007 - Knu Skool POP MDPNK, 4.5, Medium</t>
  </si>
  <si>
    <t>VN000D75Y281004</t>
  </si>
  <si>
    <t>VN000D75Y281M  120</t>
  </si>
  <si>
    <t>VN000D75Y281004 - Knu Skool RHIN BLKWH, 12, Medium</t>
  </si>
  <si>
    <t>VN000D7Z0BP1004</t>
  </si>
  <si>
    <t>GRAY/MARSHMALLOW</t>
  </si>
  <si>
    <t>VN000D7Z0BP1M  095</t>
  </si>
  <si>
    <t>VN000D7Z0BP1004 - Old Skool CHBD MGREY, 9.5, Medium</t>
  </si>
  <si>
    <t>VN000D81O3N1012</t>
  </si>
  <si>
    <t>VN000D81O3N1M  130</t>
  </si>
  <si>
    <t>VN000D81O3N1012 - Hylane FTLC MDPNK, 13, Medium</t>
  </si>
  <si>
    <t>VN000D9Y0CS1013</t>
  </si>
  <si>
    <t>GRAY/GUM</t>
  </si>
  <si>
    <t>VN000D9Y0CS1M  065</t>
  </si>
  <si>
    <t>VN000D9Y0CS1013 - Old Skool GRAY/GUM, 6.5, Medium</t>
  </si>
  <si>
    <t>VN000D9YTUP1002</t>
  </si>
  <si>
    <t>VN000D9YTUP1M  050</t>
  </si>
  <si>
    <t>VN000D9YTUP1002 - Old Skool MONO DBEIG, 5, Medium</t>
  </si>
  <si>
    <t>VN000D9YTUP1009</t>
  </si>
  <si>
    <t>VN000D9YTUP1M  065</t>
  </si>
  <si>
    <t>VN000D9YTUP1009 - Old Skool MONO DBEIG, 6.5, Medium</t>
  </si>
  <si>
    <t>VN000DA2YY01017</t>
  </si>
  <si>
    <t>VN000DA2YY01M  070</t>
  </si>
  <si>
    <t>VN000DA2YY01017 - Skate Rowley Navy/Yellow, 7, Medium</t>
  </si>
  <si>
    <t>VN000DAJKL41006</t>
  </si>
  <si>
    <t>BLACK/LILAC ROSE</t>
  </si>
  <si>
    <t>VN000DAJKL41M  065</t>
  </si>
  <si>
    <t>VN000DAJKL41006 - Knu Skool PNHR BLACK, 6.5, Medium</t>
  </si>
  <si>
    <t>VN000DCFEMF1015</t>
  </si>
  <si>
    <t>SK8-Hi Tapered</t>
  </si>
  <si>
    <t>VN000DCFEMF1M  120</t>
  </si>
  <si>
    <t>VN000DCFEMF1015 - SK8-Hi Tapered PSDE BAYLF, 12, Medium</t>
  </si>
  <si>
    <t>VN000E9RG581011</t>
  </si>
  <si>
    <t>VN000E9RG581M  130</t>
  </si>
  <si>
    <t>VN000E9RG581011 - Old Skool FLORAL BLACK, 13, Medium</t>
  </si>
  <si>
    <t>VN000E9YBGP1008</t>
  </si>
  <si>
    <t>VN000E9YBGP1M  035</t>
  </si>
  <si>
    <t>VN000E9YBGP1008 - Old Skool LIGHT BLUE/GUM, 3.5, Medium</t>
  </si>
  <si>
    <t>VN000EA7HFV1014</t>
  </si>
  <si>
    <t>VN000EA7HFV1M  115</t>
  </si>
  <si>
    <t>VN000EA7HFV1014 - Rowley Classic PEYOTE/TRUE, 11.5, Medium</t>
  </si>
  <si>
    <t>VN000EDN7D61012</t>
  </si>
  <si>
    <t>VN000EDN7D61M  100</t>
  </si>
  <si>
    <t>VN000EDN7D61012 - Skate Old Skool MUSHROOM, 10, Medium</t>
  </si>
  <si>
    <t>VN000EDNAH91005</t>
  </si>
  <si>
    <t>VN000EDNAH91M  090</t>
  </si>
  <si>
    <t>VN000EDNAH91005 - Skate Old Skool Sea Green, 9, Medium</t>
  </si>
  <si>
    <t>VN000EE1I6Y1008</t>
  </si>
  <si>
    <t>VN000EE1I6Y1M  095</t>
  </si>
  <si>
    <t>VN000EE1I6Y1008 - Old Skool V GLAZED GINGER/M, 9.5, Medium</t>
  </si>
  <si>
    <t>VN000SF4JDU1007</t>
  </si>
  <si>
    <t>VN000SF4JDU1M  065</t>
  </si>
  <si>
    <t>VN000SF4JDU1007 - Rowley Classic PARISIAN NIG, 6.5, Medium</t>
  </si>
  <si>
    <t>VN000VOB4K11013</t>
  </si>
  <si>
    <t>Winston</t>
  </si>
  <si>
    <t>(Canvas) Navy/White</t>
  </si>
  <si>
    <t>VN000VOB4K11M  130</t>
  </si>
  <si>
    <t>VN000VOB4K11013 - Winston CNVS NVWH, 13, Medium</t>
  </si>
  <si>
    <t>VN0A4U16ASX1018</t>
  </si>
  <si>
    <t>(GINGHAM BLOCK)PASTELTRWT</t>
  </si>
  <si>
    <t>VN0A4U16ASX1M  050</t>
  </si>
  <si>
    <t>S02022</t>
  </si>
  <si>
    <t>VN0A4U16ASX1018 - SK8-Hi Tapered (GINGHAM BLOCK, 5, Medium</t>
  </si>
  <si>
    <t>6116 - VN UX SHOES MID</t>
  </si>
  <si>
    <t>VN0A5FCB1N61012</t>
  </si>
  <si>
    <t>VN0A5FCB1N61M  080</t>
  </si>
  <si>
    <t>VN0A5FCB1N61012 - Skate Old Skool Pewter/White, 8, Medium</t>
  </si>
  <si>
    <t>VN0008NMJDU1002</t>
  </si>
  <si>
    <t>Vans Classic Crew</t>
  </si>
  <si>
    <t>VN0008NMJDU1.  659</t>
  </si>
  <si>
    <t>VN0008NMJDU1002 - Vans Classic Crew PARISIAN NIGHT, 6.5-9</t>
  </si>
  <si>
    <t>77%Cotton 21%Polyester 2%Elastane</t>
  </si>
  <si>
    <t>VN000A9HBLK1001</t>
  </si>
  <si>
    <t>PSYCH SKATE CLASSICS BU</t>
  </si>
  <si>
    <t>VN000A9HBLK1.  ML</t>
  </si>
  <si>
    <t>VN000A9HBLK1001 - PSYCH SKATE CLASSICS BU SC, Medium/Large</t>
  </si>
  <si>
    <t>VN000EZBBLK1001</t>
  </si>
  <si>
    <t>Classic Vans Snapback</t>
  </si>
  <si>
    <t>VN000EZBBLK1.  OS</t>
  </si>
  <si>
    <t>VN000EZBBLK1001 - Classic Vans Snapback Black, One Size</t>
  </si>
  <si>
    <t>80% Acrylic 20% Wool, EOD</t>
  </si>
  <si>
    <t>VN000F10BLK1001</t>
  </si>
  <si>
    <t>CLASSIC NO SHOW</t>
  </si>
  <si>
    <t>VN000F10BLK1.  951</t>
  </si>
  <si>
    <t>VN000F10BLK1001 - CLASSIC NO SHOW ROX BLACK, 9.5-13</t>
  </si>
  <si>
    <t>71% Cotton, 21% Polyester, 6% Polyamide, 2% Elastane</t>
  </si>
  <si>
    <t>VN000GMNFS81001</t>
  </si>
  <si>
    <t>VN000GMNFS81.  651</t>
  </si>
  <si>
    <t>VN000GMNFS81001 - Vans Scrunch Crew marshmallow, 6.5-10</t>
  </si>
  <si>
    <t>VN000HSMVVL1001</t>
  </si>
  <si>
    <t>VN000HSMVVL1.  SM</t>
  </si>
  <si>
    <t>VN000HSMVVL1001 - Vans Knit Bucket CARNELIAN, Small/Medium</t>
  </si>
  <si>
    <t>VN000HSQ1RE1001</t>
  </si>
  <si>
    <t>VN000HSQ1RE1.  OS</t>
  </si>
  <si>
    <t>VN000HSQ1RE1001 - Original Shallow Cuff B Tortoi, One Size</t>
  </si>
  <si>
    <t>VN000JEQBLK1002</t>
  </si>
  <si>
    <t>Skate Standard Crew</t>
  </si>
  <si>
    <t>VN000JEQBLK1.  951</t>
  </si>
  <si>
    <t>VN000JEQBLK1002 - Skate Standard Crew Black, 9.5-13</t>
  </si>
  <si>
    <t>45% Polyester 38% Cotton  12% Nylon  4% Elastodiene  1% Elastane</t>
  </si>
  <si>
    <t>VN000Q18JDU1001</t>
  </si>
  <si>
    <t>Let Loose Unstructured</t>
  </si>
  <si>
    <t>VN000Q18JDU1.  OS</t>
  </si>
  <si>
    <t>VN000Q18JDU1001 - Let Loose Unstructured PARISIA, One Size</t>
  </si>
  <si>
    <t>VN000QB3EMT1001</t>
  </si>
  <si>
    <t>Deep Twilight</t>
  </si>
  <si>
    <t>VN000QB3EMT1.  OS</t>
  </si>
  <si>
    <t>VN000QB3EMT1001 - Leiva Cuff Beanie Deep Twiligh, One Size</t>
  </si>
  <si>
    <t>VN000QB8EMU1003</t>
  </si>
  <si>
    <t>VN000QB8EMU1.  S</t>
  </si>
  <si>
    <t>VN000QB8EMU1003 - Stowers Crew Dried Kelp, Small</t>
  </si>
  <si>
    <t>VN000QBPWHT1003</t>
  </si>
  <si>
    <t>VN000QBPWHT1.  M</t>
  </si>
  <si>
    <t>VN000QBPWHT1003 - Lettuce Have It Half Cr White, Medium</t>
  </si>
  <si>
    <t>VN000R10EN61003</t>
  </si>
  <si>
    <t>VN000R10EN61.  S</t>
  </si>
  <si>
    <t>VN000R10EN61003 - Vans Classic Half Crew Pine Fores, Small</t>
  </si>
  <si>
    <t>VN000R51WHT1003</t>
  </si>
  <si>
    <t>VN000R51WHT1.  L</t>
  </si>
  <si>
    <t>VN000R51WHT1003 - Skate Atiba Haze Crew White, Large</t>
  </si>
  <si>
    <t>VN0A31J6BLK1003</t>
  </si>
  <si>
    <t>VN0A31J6BLK1.  36</t>
  </si>
  <si>
    <t>VN0A31J6BLK1003 - MN HUNTER II PU BELT Black, 36</t>
  </si>
  <si>
    <t>VN0A34GRC8B1001</t>
  </si>
  <si>
    <t>WM COURT SIDE PRINTE</t>
  </si>
  <si>
    <t>VN0A34GRC8B1.  OS</t>
  </si>
  <si>
    <t>VN0A34GRC8B1001 - WM COURT SIDE PRINTE SWEET LAV, One Size</t>
  </si>
  <si>
    <t>VN0A36IU1M71001</t>
  </si>
  <si>
    <t>MN VANS CURVED BILL</t>
  </si>
  <si>
    <t>Golden Brown</t>
  </si>
  <si>
    <t>VN0A36IU1M71.  OS</t>
  </si>
  <si>
    <t>VN0A36IU1M71001 - MN VANS CURVED BILL Golden Bro, One Size</t>
  </si>
  <si>
    <t>100% COTTON EOD</t>
  </si>
  <si>
    <t>VN0A36S8HNB1001</t>
  </si>
  <si>
    <t>BY OFF THE WALL POM</t>
  </si>
  <si>
    <t>SYCAMORE/BLACK</t>
  </si>
  <si>
    <t>VN0A36S8HNB1.  OS</t>
  </si>
  <si>
    <t>H02021</t>
  </si>
  <si>
    <t>VN0A36S8HNB1001 - BY OFF THE WALL POM SYCAMORE/B, One Size</t>
  </si>
  <si>
    <t>89% Acrylic 9% Nylon 2% Elastane  Pompom: 100% Acrylic EOD</t>
  </si>
  <si>
    <t>VN0A3HZJBLK1001</t>
  </si>
  <si>
    <t>SPICOLI BENDABLE SHADES</t>
  </si>
  <si>
    <t>VN0A3HZJBLK1.  OS</t>
  </si>
  <si>
    <t>VN0A3HZJBLK1001 - SPICOLI BENDABLE SHADES Black, One Size</t>
  </si>
  <si>
    <t>6099 - VN KD EYEWEAR</t>
  </si>
  <si>
    <t>VN00000D1LE1003</t>
  </si>
  <si>
    <t>VN00000D1LE1REGXS</t>
  </si>
  <si>
    <t>VN00000D1LE1003 - RANGE BAGGY TAPERED EL, X Small, Regular</t>
  </si>
  <si>
    <t>VN000462CHJ1007</t>
  </si>
  <si>
    <t>DRILL II CHORE PRINT JA</t>
  </si>
  <si>
    <t>BLACKBERRY WINE</t>
  </si>
  <si>
    <t>VN000462CHJ1.  XXS</t>
  </si>
  <si>
    <t>VN000462CHJ1007 - DRILL II CHORE PRINT JA BLACKB, XX Small</t>
  </si>
  <si>
    <t>VN00077VM8I1003</t>
  </si>
  <si>
    <t>Half Zip Mock Pullover</t>
  </si>
  <si>
    <t>VN00077VM8I1.  M</t>
  </si>
  <si>
    <t>VN00077VM8I1003 - Half Zip Mock Pullover GRAY MIST, Medium</t>
  </si>
  <si>
    <t>VN0008KUJDU1004</t>
  </si>
  <si>
    <t>VN0008KUJDU1REGXL</t>
  </si>
  <si>
    <t>VN0008KUJDU1004 - PRIMARY PRINT ELASTIC, X Large, Regular</t>
  </si>
  <si>
    <t>VN000C9VFS81010</t>
  </si>
  <si>
    <t>Check-5 Baggy Denim Sho</t>
  </si>
  <si>
    <t>VN000C9VFS81REG28</t>
  </si>
  <si>
    <t>VN000C9VFS81010 - Check-5 Baggy Denim Sho mar, 28, Regular</t>
  </si>
  <si>
    <t>VN000G75D6Z1009</t>
  </si>
  <si>
    <t>VN000G75D6Z117 XXL</t>
  </si>
  <si>
    <t>VN000G75D6Z1009 - PRIMARY SOLID ELASTIC B Po, XX Large, 17</t>
  </si>
  <si>
    <t>VN000GGGEAY1003</t>
  </si>
  <si>
    <t>Burgundy/Spicy Mustard</t>
  </si>
  <si>
    <t>VN000GGGEAY1.  XL</t>
  </si>
  <si>
    <t>VN000GGGEAY1003 - VANS CLASSIC Burgundy/Spicy, X Large</t>
  </si>
  <si>
    <t>VN000GGGY281004</t>
  </si>
  <si>
    <t>VN000GGGY281.  XL</t>
  </si>
  <si>
    <t>VN000GGGY281004 - VANS CLASSIC Black/White, X Large</t>
  </si>
  <si>
    <t>VN000GGGYB21003</t>
  </si>
  <si>
    <t>VN000GGGYB21.  S</t>
  </si>
  <si>
    <t>VN000GGGYB21003 - VANS CLASSIC White/Black, Small</t>
  </si>
  <si>
    <t>VN000HNTDAD1003</t>
  </si>
  <si>
    <t>Stevens Denim LS Woven</t>
  </si>
  <si>
    <t>PAVEMENT (WASHED BLACK)</t>
  </si>
  <si>
    <t>VN000HNTDAD1.  S</t>
  </si>
  <si>
    <t>VN000HNTDAD1003 - Stevens Denim LS Woven Pavement (, Small</t>
  </si>
  <si>
    <t>VN000HZADZ91004</t>
  </si>
  <si>
    <t>VN000HZADZ9130 29</t>
  </si>
  <si>
    <t>VN000HZADZ91004 - Authentic Chino Slim Pa Dirt, 29, 30</t>
  </si>
  <si>
    <t>VN000IVEBLK1001</t>
  </si>
  <si>
    <t>VN000IVEBLK1.  S</t>
  </si>
  <si>
    <t>VN000IVEBLK1001 - STYLE 76 SS Black, Small</t>
  </si>
  <si>
    <t>VN000J9JZR61010</t>
  </si>
  <si>
    <t>Skate Drill Chore AVE L</t>
  </si>
  <si>
    <t>CHOCOLATE BROWN</t>
  </si>
  <si>
    <t>VN000J9JZR61REG28</t>
  </si>
  <si>
    <t>VN000J9JZR61010 - Skate Drill Chore AVE L CHO, 28, Regular</t>
  </si>
  <si>
    <t>VN000JF5BLK1001</t>
  </si>
  <si>
    <t>VN000JF5BLK1.  XL</t>
  </si>
  <si>
    <t>VN000JF5BLK1001 - W ESSENTIAL FT RLX CREW Black, X Large</t>
  </si>
  <si>
    <t>VN000JUABLK1007</t>
  </si>
  <si>
    <t>VN000JUABLK1.  L</t>
  </si>
  <si>
    <t>VN000JUABLK1007 - Hot Links LS Relax Crop Black, Large</t>
  </si>
  <si>
    <t>VN000K0ULVB1001</t>
  </si>
  <si>
    <t>Torrey Canvas Coach Jac</t>
  </si>
  <si>
    <t>VN000K0ULVB1.  L</t>
  </si>
  <si>
    <t>VN000K0ULVB1001 - Torrey Canvas Coach Jac VINTAGE C, Large</t>
  </si>
  <si>
    <t>VN000K3NCFL1004</t>
  </si>
  <si>
    <t>VN000K3NCFL1.  M</t>
  </si>
  <si>
    <t>VN000K3NCFL1004 - MTE Crosspath Legging CITADEL, Medium</t>
  </si>
  <si>
    <t>VN000K420411003</t>
  </si>
  <si>
    <t>VN000K420411.  S</t>
  </si>
  <si>
    <t>VN000K420411003 - Brush Script LOOSE SS Poison Gree, Small</t>
  </si>
  <si>
    <t>VN000K4XCDX1006</t>
  </si>
  <si>
    <t>Drill Chore Denim Sherp</t>
  </si>
  <si>
    <t>VN000K4XCDX1.  XXL</t>
  </si>
  <si>
    <t>VN000K4XCDX1006 - Drill Chore Denim Sherp STONEW, XX Large</t>
  </si>
  <si>
    <t>VN000KASFS81002</t>
  </si>
  <si>
    <t>VN000KASFS81.  XS</t>
  </si>
  <si>
    <t>VN000KASFS81002 - Mesa Stripe SS Shirt marshmallo, X Small</t>
  </si>
  <si>
    <t>VN000KURBLK1002</t>
  </si>
  <si>
    <t>VN000KURBLK1.  XS</t>
  </si>
  <si>
    <t>VN000KURBLK1002 - Acid Check Crew Sweater Black, X Small</t>
  </si>
  <si>
    <t>VN000KURBLK1003</t>
  </si>
  <si>
    <t>VN000KURBLK1.  XXL</t>
  </si>
  <si>
    <t>VN000KURBLK1003 - Acid Check Crew Sweater Black, XX Large</t>
  </si>
  <si>
    <t>VN000M1KBLK1004</t>
  </si>
  <si>
    <t>VN000M1KBLK1.  XL</t>
  </si>
  <si>
    <t>VN000M1KBLK1004 - Star V Pullover Black, X Large</t>
  </si>
  <si>
    <t>VN000M2ABLK1007</t>
  </si>
  <si>
    <t>Fatigue Cargo Loose Tap</t>
  </si>
  <si>
    <t>VN000M2ABLK1REG28</t>
  </si>
  <si>
    <t>VN000M2ABLK1007 - Fatigue Cargo Loose Tap Bla, 28, Regular</t>
  </si>
  <si>
    <t>98% Cotton 2% Elastane</t>
  </si>
  <si>
    <t>VN000M39DZ91010</t>
  </si>
  <si>
    <t>VN000M39DZ91REG29</t>
  </si>
  <si>
    <t>VN000M39DZ91010 - Drill Chore Carpenter L Dir, 29, Regular</t>
  </si>
  <si>
    <t>VN000M5FCLH1001</t>
  </si>
  <si>
    <t>Times Up SS</t>
  </si>
  <si>
    <t>VN000M5FCLH1.  L</t>
  </si>
  <si>
    <t>VN000M5FCLH1001 - Times Up SS SHADOW LIME, Large</t>
  </si>
  <si>
    <t>VN000M5G6PH1005</t>
  </si>
  <si>
    <t>Dollface SS</t>
  </si>
  <si>
    <t>VN000M5G6PH1.  XS</t>
  </si>
  <si>
    <t>VN000M5G6PH1005 - Dollface SS Purple Haze, X Small</t>
  </si>
  <si>
    <t>VN000M6DBLK1002</t>
  </si>
  <si>
    <t>Next Time SS</t>
  </si>
  <si>
    <t>VN000M6DBLK1.  XL</t>
  </si>
  <si>
    <t>VN000M6DBLK1002 - Next Time SS Black, X Large</t>
  </si>
  <si>
    <t>VN000M6XEMW1006</t>
  </si>
  <si>
    <t>VN000M6XEMW1.  M</t>
  </si>
  <si>
    <t>VN000M6XEMW1006 - MTE Trek Guide Womens P Gray Oli, Medium</t>
  </si>
  <si>
    <t>VN000M71HCZ1007</t>
  </si>
  <si>
    <t>MTE Open Space Jumpsuit</t>
  </si>
  <si>
    <t>VN000M71HCZ1.  XXS</t>
  </si>
  <si>
    <t>VN000M71HCZ1007 - MTE Open Space Jumpsuit ATMOSP, XX Small</t>
  </si>
  <si>
    <t>VN000M77Y7U1006</t>
  </si>
  <si>
    <t>VN000M77Y7U1.  XXL</t>
  </si>
  <si>
    <t>VN000M77Y7U1006 - MTE Outline Hybrid Tank AFTER, XX Large</t>
  </si>
  <si>
    <t>VN000M77Y7U1007</t>
  </si>
  <si>
    <t>VN000M77Y7U1.  XXS</t>
  </si>
  <si>
    <t>VN000M77Y7U1007 - MTE Outline Hybrid Tank AFTER, XX Small</t>
  </si>
  <si>
    <t>VN000M8G1O71006</t>
  </si>
  <si>
    <t>MTE Daily Sideline Boar</t>
  </si>
  <si>
    <t>VN000M8G1O71REG29</t>
  </si>
  <si>
    <t>VN000M8G1O71006 - MTE Daily Sideline Boar Asp, 29, Regular</t>
  </si>
  <si>
    <t>Recycled Sturdy Stretch Printed C0 90%Recycled Poly, 10%Spandex</t>
  </si>
  <si>
    <t>VN000M8JY281001</t>
  </si>
  <si>
    <t>VN000M8JY281REG28</t>
  </si>
  <si>
    <t>VN000M8JY281001 - MTE Everride Scalloped Blac, 28, Regular</t>
  </si>
  <si>
    <t>VN000M8UBLK1005</t>
  </si>
  <si>
    <t>Drew Rib Tube Top</t>
  </si>
  <si>
    <t>VN000M8UBLK1.  XXS</t>
  </si>
  <si>
    <t>VN000M8UBLK1005 - Drew Rib Tube Top Black, XX Small</t>
  </si>
  <si>
    <t>VN000M9DBLK1005</t>
  </si>
  <si>
    <t>Stevies Sports Jersey</t>
  </si>
  <si>
    <t>VN000M9DBLK1.  XS</t>
  </si>
  <si>
    <t>VN000M9DBLK1005 - Stevies Sports Jersey Black, X Small</t>
  </si>
  <si>
    <t>VN000M9MZUJ1003</t>
  </si>
  <si>
    <t>Charmeuse Diana Column</t>
  </si>
  <si>
    <t>VN000M9MZUJ1.  S</t>
  </si>
  <si>
    <t>VN000M9MZUJ1003 - Charmeuse Diana Column LONDON FOG, Small</t>
  </si>
  <si>
    <t>VN000M9MZUJ1006</t>
  </si>
  <si>
    <t>VN000M9MZUJ1.  XXL</t>
  </si>
  <si>
    <t>VN000M9MZUJ1006 - Charmeuse Diana Column LONDON, XX Large</t>
  </si>
  <si>
    <t>VN000M9SBLK1001</t>
  </si>
  <si>
    <t>VN000M9SBLK1.  L</t>
  </si>
  <si>
    <t>VN000M9SBLK1001 - Retro Crew Black, Large</t>
  </si>
  <si>
    <t>VN000M9SEMJ1004</t>
  </si>
  <si>
    <t>VN000M9SEMJ1.  XL</t>
  </si>
  <si>
    <t>VN000M9SEMJ1004 - Retro Crew Burnt Gold, X Large</t>
  </si>
  <si>
    <t>VN000MAB1O71005</t>
  </si>
  <si>
    <t>Missed Flights Bloussan</t>
  </si>
  <si>
    <t>VN000MAB1O71.  XXS</t>
  </si>
  <si>
    <t>VN000MAB1O71005 - Missed Flights Bloussan Asphal, XX Small</t>
  </si>
  <si>
    <t>VN000MB2EB21008</t>
  </si>
  <si>
    <t>VN000MB2EB21.  24</t>
  </si>
  <si>
    <t>VN000MB2EB21008 - Sirelle Printed Puddle Black/Parisia, 24</t>
  </si>
  <si>
    <t>VN000MC0ZUJ1001</t>
  </si>
  <si>
    <t>VN000MC0ZUJ1.  L</t>
  </si>
  <si>
    <t>VN000MC0ZUJ1001 - Check Wash Fitted Crop LONDON FOG, Large</t>
  </si>
  <si>
    <t>VN000MK6C9L1002</t>
  </si>
  <si>
    <t>VN000MK6C9L1.  M</t>
  </si>
  <si>
    <t>VN000MK6C9L1002 - Checker Drop SS CHERRIES JUBILE, Medium</t>
  </si>
  <si>
    <t>VN000NTSD6Z1002</t>
  </si>
  <si>
    <t>VN000NTSD6Z1.  S</t>
  </si>
  <si>
    <t>VN000NTSD6Z1002 - 66 BAKED IN LOOSE SS Porcelain Ro, Small</t>
  </si>
  <si>
    <t>VN000NWQWHT1002</t>
  </si>
  <si>
    <t>VN000NWQWHT1.  S</t>
  </si>
  <si>
    <t>VN000NWQWHT1002 - B HASTA LA SHAKA SS White, Small</t>
  </si>
  <si>
    <t>VN000P1PEML1005</t>
  </si>
  <si>
    <t>VN000P1PEML1.  S</t>
  </si>
  <si>
    <t>VN000P1PEML1005 - LEFT CHEST II LOOSE SS Cloud Blue, Small</t>
  </si>
  <si>
    <t>VN000P51EMS1003</t>
  </si>
  <si>
    <t>STYLE 76 II LOOSE FT PO</t>
  </si>
  <si>
    <t>VN000P51EMS1.  L</t>
  </si>
  <si>
    <t>VN000P51EMS1003 - STYLE 76 II LOOSE FT PO Dark Port, Large</t>
  </si>
  <si>
    <t>VN000P51EMS1001</t>
  </si>
  <si>
    <t>VN000P51EMS1.  M</t>
  </si>
  <si>
    <t>VN000P51EMS1001 - STYLE 76 II LOOSE FT PO Dark Por, Medium</t>
  </si>
  <si>
    <t>VN000P51EMS1002</t>
  </si>
  <si>
    <t>VN000P51EMS1.  S</t>
  </si>
  <si>
    <t>VN000P51EMS1002 - STYLE 76 II LOOSE FT PO Dark Port, Small</t>
  </si>
  <si>
    <t>VN000P58EMW1004</t>
  </si>
  <si>
    <t>VN000P58EMW1.  XXL</t>
  </si>
  <si>
    <t>VN000P58EMW1004 - SALTON LOOSE FT PO Gray Olive, XX Large</t>
  </si>
  <si>
    <t>VN000P59E2Z1002</t>
  </si>
  <si>
    <t>VN000P59E2Z1.  M</t>
  </si>
  <si>
    <t>VN000P59E2Z1002 - SALTON LOOSE FT CREW Red Ochre, Medium</t>
  </si>
  <si>
    <t>VN000P59E2Z1003</t>
  </si>
  <si>
    <t>VN000P59E2Z1.  S</t>
  </si>
  <si>
    <t>VN000P59E2Z1003 - SALTON LOOSE FT CREW Red Ochre, Small</t>
  </si>
  <si>
    <t>VN000P5GBLK1001</t>
  </si>
  <si>
    <t>VN000P5GBLK1REGS</t>
  </si>
  <si>
    <t>VN000P5GBLK1001 - Original Standards Flee, Small, Regular</t>
  </si>
  <si>
    <t>VN000P5S14A1003</t>
  </si>
  <si>
    <t>B SALTON SS</t>
  </si>
  <si>
    <t>VN000P5S14A1.  M</t>
  </si>
  <si>
    <t>VN000P5S14A1003 - B SALTON SS Chili Pepper, Medium</t>
  </si>
  <si>
    <t>VN000P5SEMW1001</t>
  </si>
  <si>
    <t>VN000P5SEMW1.  L</t>
  </si>
  <si>
    <t>VN000P5SEMW1001 - B SALTON SS Gray Olive, Large</t>
  </si>
  <si>
    <t>VN000P5T5TU1001</t>
  </si>
  <si>
    <t>B SALTON LOOSE PO</t>
  </si>
  <si>
    <t>VN000P5T5TU1.  L</t>
  </si>
  <si>
    <t>VN000P5T5TU1001 - B SALTON LOOSE PO True Navy, Large</t>
  </si>
  <si>
    <t>VN000P5WCFL1001</t>
  </si>
  <si>
    <t>VN000P5WCFL1.  L</t>
  </si>
  <si>
    <t>VN000P5WCFL1001 - W STYLE 76 II FITTED CR CITADEL, Large</t>
  </si>
  <si>
    <t>VN000P5WCFL1007</t>
  </si>
  <si>
    <t>VN000P5WCFL1.  XL</t>
  </si>
  <si>
    <t>VN000P5WCFL1007 - W STYLE 76 II FITTED CR CITADEL, X Large</t>
  </si>
  <si>
    <t>VN000P77AFM1006</t>
  </si>
  <si>
    <t>VN000P77AFM1.  XXL</t>
  </si>
  <si>
    <t>VN000P77AFM1006 - Drill Chore Denim Jacke Indigo, XX Large</t>
  </si>
  <si>
    <t>VN000P7AEN61004</t>
  </si>
  <si>
    <t>VN000P7AEN61.  XL</t>
  </si>
  <si>
    <t>VN000P7AEN61004 - McAvoy Sherpa Lined Sta Pine Fo, X Large</t>
  </si>
  <si>
    <t>VN000P7DCDX1005</t>
  </si>
  <si>
    <t>Camo Denim Trucker Jack</t>
  </si>
  <si>
    <t>VN000P7DCDX1.  XS</t>
  </si>
  <si>
    <t>VN000P7DCDX1005 - Camo Denim Trucker Jack STONEWA, X Small</t>
  </si>
  <si>
    <t>VN000P7ECDX1002</t>
  </si>
  <si>
    <t>VN000P7ECDX1.  XS</t>
  </si>
  <si>
    <t>VN000P7ECDX1002 - Denim Baseball Jacket STONEWASH, X Small</t>
  </si>
  <si>
    <t>VN000P8GBLK1002</t>
  </si>
  <si>
    <t>Deteremined Pullover</t>
  </si>
  <si>
    <t>VN000P8GBLK1.  M</t>
  </si>
  <si>
    <t>VN000P8GBLK1002 - Deteremined Pullover Black, Medium</t>
  </si>
  <si>
    <t>VN000PE7WHT1001</t>
  </si>
  <si>
    <t>VN000PE7WHT1.  XXL</t>
  </si>
  <si>
    <t>VN000PE7WHT1001 - Happy Spike SS White, XX Large</t>
  </si>
  <si>
    <t>VN000PFBEMU1004</t>
  </si>
  <si>
    <t>VN000PFBEMU1.  XXL</t>
  </si>
  <si>
    <t>VN000PFBEMU1004 - Original Standards Bloc Dried, XX Large</t>
  </si>
  <si>
    <t>VN000PFBEN91006</t>
  </si>
  <si>
    <t>VN000PFBEN91.  XXL</t>
  </si>
  <si>
    <t>VN000PFBEN91006 - Original Standards Bloc Taupe, XX Large</t>
  </si>
  <si>
    <t>VN000PFF2B61005</t>
  </si>
  <si>
    <t>VN000PFF2B61.  XL</t>
  </si>
  <si>
    <t>VN000PFF2B61005 - Original Standards Bloc BLACK/D, X Large</t>
  </si>
  <si>
    <t>VN000PGKFS81001</t>
  </si>
  <si>
    <t>Metal Wall Full Zip</t>
  </si>
  <si>
    <t>VN000PGKFS81.  XXL</t>
  </si>
  <si>
    <t>VN000PGKFS81001 - Metal Wall Full Zip marshmallo, XX Large</t>
  </si>
  <si>
    <t>VN000PH6IYR1010</t>
  </si>
  <si>
    <t>VN000PH6IYR132 36</t>
  </si>
  <si>
    <t>VN000PH6IYR1010 - Check-5 Loose Denim Pan FADED DE, 36, 32</t>
  </si>
  <si>
    <t>VN000PJMBLK1004</t>
  </si>
  <si>
    <t>MTE TeamTeam Full Zip</t>
  </si>
  <si>
    <t>VN000PJMBLK1.  XL</t>
  </si>
  <si>
    <t>VN000PJMBLK1004 - MTE TeamTeam Full Zip Black, X Large</t>
  </si>
  <si>
    <t>VN000PJMBLK1006</t>
  </si>
  <si>
    <t>VN000PJMBLK1.  XXL</t>
  </si>
  <si>
    <t>VN000PJMBLK1006 - MTE TeamTeam Full Zip Black, XX Large</t>
  </si>
  <si>
    <t>VN000PJMZBF1001</t>
  </si>
  <si>
    <t>VN000PJMZBF1.  L</t>
  </si>
  <si>
    <t>VN000PJMZBF1001 - MTE TeamTeam Full Zip LODEN GREEN, Large</t>
  </si>
  <si>
    <t>VN000PJSD3Z1005</t>
  </si>
  <si>
    <t>VN000PJSD3Z1.  M</t>
  </si>
  <si>
    <t>VN000PJSD3Z1005 - MTE Keep Out SS Tee Elm, Medium</t>
  </si>
  <si>
    <t>VN000PJSD3Z1004</t>
  </si>
  <si>
    <t>VN000PJSD3Z1.  S</t>
  </si>
  <si>
    <t>VN000PJSD3Z1004 - MTE Keep Out SS Tee Elm, Small</t>
  </si>
  <si>
    <t>VN000PJSD3Z1003</t>
  </si>
  <si>
    <t>VN000PJSD3Z1.  XL</t>
  </si>
  <si>
    <t>VN000PJSD3Z1003 - MTE Keep Out SS Tee Elm, X Large</t>
  </si>
  <si>
    <t>VN000PK3BLK1003</t>
  </si>
  <si>
    <t>MTE Hillgate Long Puffe</t>
  </si>
  <si>
    <t>VN000PK3BLK1.  XL</t>
  </si>
  <si>
    <t>VN000PK3BLK1003 - MTE Hillgate Long Puffe Black, X Large</t>
  </si>
  <si>
    <t>VN000PM39JC1001</t>
  </si>
  <si>
    <t>VN000PM39JC1REGM</t>
  </si>
  <si>
    <t>VN000PM39JC1001 - Deep Daze 3L Snow Bib P, Medium, Regular</t>
  </si>
  <si>
    <t>VN000PMABLK1002</t>
  </si>
  <si>
    <t>VN000PMABLK1.  S</t>
  </si>
  <si>
    <t>VN000PMABLK1002 - Hi-Country 3L Snow Jack Black, Small</t>
  </si>
  <si>
    <t>VN000PMDBLK1005</t>
  </si>
  <si>
    <t>VN000PMDBLK1REGS</t>
  </si>
  <si>
    <t>VN000PMDBLK1005 - MTE High-Country 3L Pan, Small, Regular</t>
  </si>
  <si>
    <t>VN000PMFEB21002</t>
  </si>
  <si>
    <t>VN000PMFEB21.  XL</t>
  </si>
  <si>
    <t>VN000PMFEB21002 - Hellbound Snow Jacket 2 Black/P, X Large</t>
  </si>
  <si>
    <t>VN000PMFENB1005</t>
  </si>
  <si>
    <t>VN000PMFENB1.  S</t>
  </si>
  <si>
    <t>VN000PMFENB1005 - Hellbound Snow Jacket 2 Warm Brow, Small</t>
  </si>
  <si>
    <t>VN000PMNEMP1006</t>
  </si>
  <si>
    <t>VN000PMNEMP1.  XXL</t>
  </si>
  <si>
    <t>VN000PMNEMP1006 - Skate Garage Denim Jack Coal B, XX Large</t>
  </si>
  <si>
    <t>VN000PMXEMU1005</t>
  </si>
  <si>
    <t>Skate LS Thermal</t>
  </si>
  <si>
    <t>VN000PMXEMU1.  M</t>
  </si>
  <si>
    <t>VN000PMXEMU1005 - Skate LS Thermal Dried Kelp, Medium</t>
  </si>
  <si>
    <t>VN000PN9ZX71005</t>
  </si>
  <si>
    <t>VN000PN9ZX71.  XL</t>
  </si>
  <si>
    <t>VN000PN9ZX71005 - Skate Atiba Haze Hug SS Spicy M, X Large</t>
  </si>
  <si>
    <t>VN000PQWBLK1005</t>
  </si>
  <si>
    <t>VN000PQWBLK1.  XS</t>
  </si>
  <si>
    <t>VN000PQWBLK1005 - Upworn Fitted Tank Black, X Small</t>
  </si>
  <si>
    <t>VN000PREEMW1004</t>
  </si>
  <si>
    <t>Perforate OS SS</t>
  </si>
  <si>
    <t>VN000PREEMW1.  XS</t>
  </si>
  <si>
    <t>VN000PREEMW1004 - Perforate OS SS Gray Olive, X Small</t>
  </si>
  <si>
    <t>VN000PTGEN71003</t>
  </si>
  <si>
    <t>Archived Crop SS</t>
  </si>
  <si>
    <t>VN000PTGEN71.  L</t>
  </si>
  <si>
    <t>VN000PTGEN71003 - Archived Crop SS Pink Dawn, Large</t>
  </si>
  <si>
    <t>VN000PUEFS81002</t>
  </si>
  <si>
    <t>Cherrylace LS</t>
  </si>
  <si>
    <t>VN000PUEFS81.  S</t>
  </si>
  <si>
    <t>VN000PUEFS81002 - Cherrylace LS marshmallow, Small</t>
  </si>
  <si>
    <t>VN000PXSWHT1002</t>
  </si>
  <si>
    <t>VN000PXSWHT1.  M</t>
  </si>
  <si>
    <t>VN000PXSWHT1002 - Star Checker SS White, Medium</t>
  </si>
  <si>
    <t>VN000PXSWHT1003</t>
  </si>
  <si>
    <t>VN000PXSWHT1.  S</t>
  </si>
  <si>
    <t>VN000PXSWHT1003 - Star Checker SS White, Small</t>
  </si>
  <si>
    <t>VN000PXWWHT1001</t>
  </si>
  <si>
    <t>VN000PXWWHT1.  S</t>
  </si>
  <si>
    <t>VN000PXWWHT1001 - Vans Inferno LS White, Small</t>
  </si>
  <si>
    <t>VN000PY4BLK1004</t>
  </si>
  <si>
    <t>VN000PY4BLK1.  M</t>
  </si>
  <si>
    <t>VN000PY4BLK1004 - Goblin Step SS Black, Medium</t>
  </si>
  <si>
    <t>VN000PY8EMF1003</t>
  </si>
  <si>
    <t>Vans Mouf SS</t>
  </si>
  <si>
    <t>VN000PY8EMF1.  S</t>
  </si>
  <si>
    <t>VN000PY8EMF1003 - Vans Mouf SS Bay Leaf, Small</t>
  </si>
  <si>
    <t>VN000Q08BLK1003</t>
  </si>
  <si>
    <t>VN000Q08BLK1REG30</t>
  </si>
  <si>
    <t>VN000Q08BLK1003 - Authentic Chino Loose P Bla, 30, Regular</t>
  </si>
  <si>
    <t>VN000Q0PEMP1002</t>
  </si>
  <si>
    <t>VN000Q0PEMP1.  XL</t>
  </si>
  <si>
    <t>VN000Q0PEMP1002 - Claire Embellished Baby Coal Br, X Large</t>
  </si>
  <si>
    <t>VN000Q30BLK1004</t>
  </si>
  <si>
    <t>VN000Q30BLK1.  XXS</t>
  </si>
  <si>
    <t>VN000Q30BLK1004 - Upworn Retro Crew Black, XX Small</t>
  </si>
  <si>
    <t>VN000Q35EMP1001</t>
  </si>
  <si>
    <t>VN000Q35EMP1.  XL</t>
  </si>
  <si>
    <t>VN000Q35EMP1001 - Earthbound OS Crew Coal Brown, X Large</t>
  </si>
  <si>
    <t>VN000Q35EMP1007</t>
  </si>
  <si>
    <t>VN000Q35EMP1.  XXS</t>
  </si>
  <si>
    <t>VN000Q35EMP1007 - Earthbound OS Crew Coal Brown, XX Small</t>
  </si>
  <si>
    <t>VN000Q39EN91001</t>
  </si>
  <si>
    <t>VN000Q39EN91.  L</t>
  </si>
  <si>
    <t>VN000Q39EN91001 - After Dark Retro Hoodie Taupe Mis, Large</t>
  </si>
  <si>
    <t>VN000Q39EN91004</t>
  </si>
  <si>
    <t>VN000Q39EN91.  XL</t>
  </si>
  <si>
    <t>VN000Q39EN91004 - After Dark Retro Hoodie Taupe M, X Large</t>
  </si>
  <si>
    <t>VN000Q53EMS1002</t>
  </si>
  <si>
    <t>Suffolk Cheetah Check P</t>
  </si>
  <si>
    <t>VN000Q53EMS1.  XS</t>
  </si>
  <si>
    <t>VN000Q53EMS1002 - Suffolk Cheetah Check P Dark Po, X Small</t>
  </si>
  <si>
    <t>VN000Q67EMX1002</t>
  </si>
  <si>
    <t>VN000Q67EMX1.  22</t>
  </si>
  <si>
    <t>VN000Q67EMX1002 - Annabelle Colored Denim Heritage Mus, 22</t>
  </si>
  <si>
    <t>VN000Q67EMX1011</t>
  </si>
  <si>
    <t>VN000Q67EMX1.  24</t>
  </si>
  <si>
    <t>VN000Q67EMX1011 - Annabelle Colored Denim Heritage Mus, 24</t>
  </si>
  <si>
    <t>VN000Q74EN61010</t>
  </si>
  <si>
    <t>VN000Q74EN61REG32</t>
  </si>
  <si>
    <t>VN000Q74EN61010 - Skate Loose Atiba Haze Pine, 32, Regular</t>
  </si>
  <si>
    <t>VN000Q77BLK1003</t>
  </si>
  <si>
    <t>VN000Q77BLK1.  XXL</t>
  </si>
  <si>
    <t>VN000Q77BLK1003 - Skate Atiba Haze Zip Black, XX Large</t>
  </si>
  <si>
    <t>VN000R02WHT1003</t>
  </si>
  <si>
    <t>VN000R02WHT1.  L</t>
  </si>
  <si>
    <t>VN000R02WHT1003 - Shop Front SS White, Large</t>
  </si>
  <si>
    <t>VN000R38EN61002</t>
  </si>
  <si>
    <t>VN000R38EN61.  XL</t>
  </si>
  <si>
    <t>VN000R38EN61002 - Skate Atiba Haze Milita Pine Fo, X Large</t>
  </si>
  <si>
    <t>VN000R4Z7D61009</t>
  </si>
  <si>
    <t>VN000R4Z7D61REG30</t>
  </si>
  <si>
    <t>VN000R4Z7D61009 - Skate Loose Atiba Haze MUSH, 30, Regular</t>
  </si>
  <si>
    <t>VN000R8XBLK1001</t>
  </si>
  <si>
    <t>VN000R8XBLK1.  M</t>
  </si>
  <si>
    <t>VN000R8XBLK1001 - RAW INSTINCT JACKET Black, Medium</t>
  </si>
  <si>
    <t>VN000RAPFS81002</t>
  </si>
  <si>
    <t>VN000RAPFS81.  S</t>
  </si>
  <si>
    <t>VN000RAPFS81002 - BLOCKED BOX LOOSE SS marshmallow, Small</t>
  </si>
  <si>
    <t>VN000RBYY7U1007</t>
  </si>
  <si>
    <t>Truckstop Bomber Jacket</t>
  </si>
  <si>
    <t>VN000RBYY7U1.  S</t>
  </si>
  <si>
    <t>VN000RBYY7U1007 - Truckstop Bomber Jacket AFTER DAR, Small</t>
  </si>
  <si>
    <t>VN000RC1O8W1006</t>
  </si>
  <si>
    <t>VN000RC1O8W1.  M</t>
  </si>
  <si>
    <t>VN000RC1O8W1006 - Cruzing Ringer Tee ASPHALT HEATH, Medium</t>
  </si>
  <si>
    <t>VN000RCHWHT1007</t>
  </si>
  <si>
    <t>VN000RCHWHT1.  L</t>
  </si>
  <si>
    <t>VN000RCHWHT1007 - Rhythm Relaxed Crop ss White, Large</t>
  </si>
  <si>
    <t>VN000RD71O71001</t>
  </si>
  <si>
    <t>VN000RD71O71.  L</t>
  </si>
  <si>
    <t>VN000RD71O71001 - EARTHBOUND LOOSE PO FLE Asphalt, Large</t>
  </si>
  <si>
    <t>VN000REFWHT1006</t>
  </si>
  <si>
    <t>VN000REFWHT1.  S</t>
  </si>
  <si>
    <t>VN000REFWHT1006 - LIL BEAR OS TEE White, Small</t>
  </si>
  <si>
    <t>VN000RFMEMV1004</t>
  </si>
  <si>
    <t>VN000RFMEMV1.  S</t>
  </si>
  <si>
    <t>VN000RFMEMV1004 - HEAVY THINKER LOOSE SS Faded Blac, Small</t>
  </si>
  <si>
    <t>VN000RG0EML1001</t>
  </si>
  <si>
    <t>VN000RG0EML1.  L</t>
  </si>
  <si>
    <t>VN000RG0EML1001 - MIRROR V LOOSE CREW Cloud Blue, Large</t>
  </si>
  <si>
    <t>VN000RG0EMS1001</t>
  </si>
  <si>
    <t>VN000RG0EMS1.  XL</t>
  </si>
  <si>
    <t>VN000RG0EMS1001 - MIRROR V LOOSE CREW Dark Port, X Large</t>
  </si>
  <si>
    <t>VN000RG4WHT1005</t>
  </si>
  <si>
    <t>VN000RG4WHT1.  XL</t>
  </si>
  <si>
    <t>VN000RG4WHT1005 - EVOLVE SS White, X Large</t>
  </si>
  <si>
    <t>VN000RG4WHT1003</t>
  </si>
  <si>
    <t>VN000RG4WHT1.  XXL</t>
  </si>
  <si>
    <t>VN000RG4WHT1003 - EVOLVE SS White, XX Large</t>
  </si>
  <si>
    <t>VN000SN1BLK1004</t>
  </si>
  <si>
    <t>VN000SN1BLK1.  XL</t>
  </si>
  <si>
    <t>VN000SN1BLK1004 - Vans Classic PO Black, X Large</t>
  </si>
  <si>
    <t>VN000XBZIZQ1005</t>
  </si>
  <si>
    <t>VN000XBZIZQ1.  M</t>
  </si>
  <si>
    <t>VN000XBZIZQ1005 - LEOPARD OVAL RINGER TEE RACING R, Medium</t>
  </si>
  <si>
    <t>VN0A3CZEC9L1003</t>
  </si>
  <si>
    <t>VN0A3CZEC9L1.  XL</t>
  </si>
  <si>
    <t>VN0A3CZEC9L1003 - LEFT CHEST LOGO TEE CHERRIES JU, X Large</t>
  </si>
  <si>
    <t>VN0A3CZEY281005</t>
  </si>
  <si>
    <t>VN0A3CZEY281.  S</t>
  </si>
  <si>
    <t>VN0A3CZEY281005 - LEFT CHEST LOGO TEE Black/White, Small</t>
  </si>
  <si>
    <t>VN0A5FJJ1RE1002</t>
  </si>
  <si>
    <t>VN0A5FJJ1RE1REGM</t>
  </si>
  <si>
    <t>VN0A5FJJ1RE1002 - RANGE RELAXED ELASTIC P, Medium, Regular</t>
  </si>
  <si>
    <t>VN0A5FLPD4C1008</t>
  </si>
  <si>
    <t>VN0A5FLPD4C1REG26</t>
  </si>
  <si>
    <t>VN0A5FLPD4C1008 - Authentic Chino Pant Turkis, 26, Regular</t>
  </si>
  <si>
    <t>VN0A5JHIBLK1003</t>
  </si>
  <si>
    <t>VN0A5JHIBLK1.  XL</t>
  </si>
  <si>
    <t>VN0A5JHIBLK1003 - WM Ground Work Overa Black, X Large</t>
  </si>
  <si>
    <t>VN0A7S4SE901007</t>
  </si>
  <si>
    <t>DRILL CHORE LOOSE DENIM</t>
  </si>
  <si>
    <t>VN0A7S4SE901REG32</t>
  </si>
  <si>
    <t>VN0A7S4SE901007 - DRILL CHORE LOOSE DENIM Sto, 32, Regular</t>
  </si>
  <si>
    <t>VN0A7YUTBLK1007</t>
  </si>
  <si>
    <t>VN0A7YUTBLK1.  L</t>
  </si>
  <si>
    <t>VN0A7YUTBLK1007 - Flying V Oversized FLYV BLACK, Large</t>
  </si>
  <si>
    <t>VN0A7YUTBLK1006</t>
  </si>
  <si>
    <t>VN0A7YUTBLK1.  M</t>
  </si>
  <si>
    <t>VN0A7YUTBLK1006 - Flying V Oversized FLYV BLACK, Medium</t>
  </si>
  <si>
    <t>VN0A7YUTBLK1001</t>
  </si>
  <si>
    <t>VN0A7YUTBLK1.  XXS</t>
  </si>
  <si>
    <t>VN0A7YUTBLK1001 - Flying V Oversized FLYV BLACK, XX Small</t>
  </si>
  <si>
    <t>VN000H4YD3Z1001</t>
  </si>
  <si>
    <t>Old Skool Classic Backp</t>
  </si>
  <si>
    <t>VN000H4YD3Z1.  OS</t>
  </si>
  <si>
    <t>VN000H4YD3Z1001 - Old Skool Classic Backp Elm, One Size</t>
  </si>
  <si>
    <t>VN000Q9829B1001</t>
  </si>
  <si>
    <t>Black Camo</t>
  </si>
  <si>
    <t>VN000Q9829B1.  OS</t>
  </si>
  <si>
    <t>VN000Q9829B1001 - Omit Backpack Black Camo, One Size</t>
  </si>
  <si>
    <t>SHELL: 100% POLYESTER, LINING: 100% POLYESTER, POLYURETHANE COATING, EOD</t>
  </si>
  <si>
    <t>VN000BCE2N11015</t>
  </si>
  <si>
    <t>VN000BCE2N11M  080</t>
  </si>
  <si>
    <t>VN000BCE2N11015 - UltraRange Neo VR3 oatmeal, 8, Medium</t>
  </si>
  <si>
    <t>VN000BCEBA21001</t>
  </si>
  <si>
    <t>VN000BCEBA21M  035</t>
  </si>
  <si>
    <t>VN000BCEBA21001 - UltraRange Neo VR3 BLACK/WH, 3.5, Medium</t>
  </si>
  <si>
    <t>VN000BCEBA21010</t>
  </si>
  <si>
    <t>VN000BCEBA21M  080</t>
  </si>
  <si>
    <t>VN000BCEBA21010 - UltraRange Neo VR3 BLACK/WHIT, 8, Medium</t>
  </si>
  <si>
    <t>VN000BVXKAQ1002</t>
  </si>
  <si>
    <t>VN000BVXKAQ1M  045</t>
  </si>
  <si>
    <t>VN000BVXKAQ1002 - SK8-Low RTSK LGREY, 4.5, Medium</t>
  </si>
  <si>
    <t>VN000BVZ2391002</t>
  </si>
  <si>
    <t>VN000BVZ2391M  090</t>
  </si>
  <si>
    <t>WOOL</t>
  </si>
  <si>
    <t>VN000BVZ2391002 - Classic Slip-On WOOL MDGRY, 9, Medium</t>
  </si>
  <si>
    <t>VN000CQ04C31001</t>
  </si>
  <si>
    <t>PINK/PURPLE</t>
  </si>
  <si>
    <t>VN000CQ04C31M  070</t>
  </si>
  <si>
    <t>Duo Color</t>
  </si>
  <si>
    <t>VN000CQ04C31001 - SK8-Mid Reissue V DUO PKPRP, 7, Medium</t>
  </si>
  <si>
    <t>VN000CQ04C31005</t>
  </si>
  <si>
    <t>VN000CQ04C31M  075</t>
  </si>
  <si>
    <t>VN000CQ04C31005 - SK8-Mid Reissue V DUO PKPRP, 7.5, Medium</t>
  </si>
  <si>
    <t>VN000CQR52K1011</t>
  </si>
  <si>
    <t>VN000CQR52K1M  130</t>
  </si>
  <si>
    <t>VN000CQR52K1011 - Sport Low GUM DKORG, 13, Medium</t>
  </si>
  <si>
    <t>VN000CQR6PH1007</t>
  </si>
  <si>
    <t>VN000CQR6PH1M  095</t>
  </si>
  <si>
    <t>VN000CQR6PH1007 - Sport Low GUM DKPPL, 9.5, Medium</t>
  </si>
  <si>
    <t>VN000CQRBO51018</t>
  </si>
  <si>
    <t>VN000CQRBO51M  040</t>
  </si>
  <si>
    <t>VN000CQRBO51018 - Sport Low MULTI/MARSHMALL, 4, Medium</t>
  </si>
  <si>
    <t>VN000CQRBO51010</t>
  </si>
  <si>
    <t>VN000CQRBO51M  080</t>
  </si>
  <si>
    <t>VN000CQRBO51010 - Sport Low MULTI/MARSHMALL, 8, Medium</t>
  </si>
  <si>
    <t>VN000CQRO3N1010</t>
  </si>
  <si>
    <t>VN000CQRO3N1M  080</t>
  </si>
  <si>
    <t>VN000CQRO3N1010 - Sport Low GUM MDPNK, 8, Medium</t>
  </si>
  <si>
    <t>VN000CQRYLW1009</t>
  </si>
  <si>
    <t>VN000CQRYLW1M  050</t>
  </si>
  <si>
    <t>VN000CQRYLW1009 - Sport Low GUM DYELW, 5, Medium</t>
  </si>
  <si>
    <t>VN000CRRBJ41014</t>
  </si>
  <si>
    <t>VN000CRRBJ41M  060</t>
  </si>
  <si>
    <t>VN000CRRBJ41014 - Mary Jane Black/Black/Bla, 6, Medium</t>
  </si>
  <si>
    <t>VN000CRRBJ41013</t>
  </si>
  <si>
    <t>VN000CRRBJ41M  065</t>
  </si>
  <si>
    <t>VN000CRRBJ41013 - Mary Jane Black/Black/Bla, 6.5, Medium</t>
  </si>
  <si>
    <t>VN000CRRBJ41010</t>
  </si>
  <si>
    <t>VN000CRRBJ41M  080</t>
  </si>
  <si>
    <t>VN000CRRBJ41010 - Mary Jane Black/Black/Bla, 8, Medium</t>
  </si>
  <si>
    <t>VN000CRRBJ41006</t>
  </si>
  <si>
    <t>VN000CRRBJ41M  100</t>
  </si>
  <si>
    <t>VN000CRRBJ41006 - Mary Jane Black/Black/Bla, 10, Medium</t>
  </si>
  <si>
    <t>VN000CRRCCZ1019</t>
  </si>
  <si>
    <t>VN000CRRCCZ1M  035</t>
  </si>
  <si>
    <t>VN000CRRCCZ1019 - Mary Jane STAR MSHML, 3.5, Medium</t>
  </si>
  <si>
    <t>VN000CRRD3X1003</t>
  </si>
  <si>
    <t>VN000CRRD3X1M  080</t>
  </si>
  <si>
    <t>VN000CRRD3X1003 - Mary Jane PREP CORAL, 8, Medium</t>
  </si>
  <si>
    <t>VN000CS0D4C1011</t>
  </si>
  <si>
    <t>VN000CS0D4C1M  070</t>
  </si>
  <si>
    <t>BABY</t>
  </si>
  <si>
    <t>VN000CS0D4C1011 - Knu Skool BABY TURKI, 7, Medium</t>
  </si>
  <si>
    <t>VN000CTG4481005</t>
  </si>
  <si>
    <t>VN000CTG4481M  040</t>
  </si>
  <si>
    <t>VN000CTG4481005 - Old Skool V RETR WHITE, 4, Medium</t>
  </si>
  <si>
    <t>VN000CTG4481002</t>
  </si>
  <si>
    <t>VN000CTG4481M  085</t>
  </si>
  <si>
    <t>VN000CTG4481002 - Old Skool V RETR WHITE, 8.5, Medium</t>
  </si>
  <si>
    <t>VN000CTG7VF1001</t>
  </si>
  <si>
    <t>VN000CTG7VF1M  030</t>
  </si>
  <si>
    <t>VN000CTG7VF1001 - Old Skool V DAZL DGREY, 3, Medium</t>
  </si>
  <si>
    <t>VN000CTG7VF1012</t>
  </si>
  <si>
    <t>VN000CTG7VF1M  075</t>
  </si>
  <si>
    <t>VN000CTG7VF1012 - Old Skool V DAZL DGREY, 7.5, Medium</t>
  </si>
  <si>
    <t>VN000CTGYJ71006</t>
  </si>
  <si>
    <t>VN000CTGYJ71M  025</t>
  </si>
  <si>
    <t>VN000CTGYJ71006 - Old Skool V GLOW BLKGR, 2.5, Medium</t>
  </si>
  <si>
    <t>VN000CTGYJ71007</t>
  </si>
  <si>
    <t>VN000CTGYJ71M  030</t>
  </si>
  <si>
    <t>VN000CTGYJ71007 - Old Skool V GLOW BLKGR, 3, Medium</t>
  </si>
  <si>
    <t>VN000CTGYJ71008</t>
  </si>
  <si>
    <t>VN000CTGYJ71M  035</t>
  </si>
  <si>
    <t>VN000CTGYJ71008 - Old Skool V GLOW BLKGR, 3.5, Medium</t>
  </si>
  <si>
    <t>VN000CV4EMR1004</t>
  </si>
  <si>
    <t>Coral Rust</t>
  </si>
  <si>
    <t>VN000CV4EMR1M  065</t>
  </si>
  <si>
    <t>VN000CV4EMR1004 - Filmore Decon CNVS CORST, 6.5, Medium</t>
  </si>
  <si>
    <t>VN000CV4WWW1008</t>
  </si>
  <si>
    <t>VN000CV4WWW1M  080</t>
  </si>
  <si>
    <t>VN000CV4WWW1008 - Filmore Decon CNVS WHITE, 8, Medium</t>
  </si>
  <si>
    <t>VN000CVM7YO1006</t>
  </si>
  <si>
    <t>MTE Half Cab GORE-TEX</t>
  </si>
  <si>
    <t>VN000CVM7YO1M  080</t>
  </si>
  <si>
    <t>VN000CVM7YO1006 - MTE Half Cab GORE-TEX BITTER, 8, Medium</t>
  </si>
  <si>
    <t>VN000CVTGRN1030</t>
  </si>
  <si>
    <t>VN000CVTGRN1M  065</t>
  </si>
  <si>
    <t>VN000CVTGRN1030 - MTE Sk8-Hi Waterproof Green, 6.5, Medium</t>
  </si>
  <si>
    <t>VN000CVUBLK1018</t>
  </si>
  <si>
    <t>VN000CVUBLK1M  090</t>
  </si>
  <si>
    <t>REFLECTIVE</t>
  </si>
  <si>
    <t>VN000CVUBLK1018 - Crosspath RFLC BLACK, 9, Medium</t>
  </si>
  <si>
    <t>VN000CWCY491011</t>
  </si>
  <si>
    <t>Brown/Black</t>
  </si>
  <si>
    <t>VN000CWCY491M  075</t>
  </si>
  <si>
    <t>VN000CWCY491011 - MTE UltraRange EXO Brown/Bl, 7.5, Medium</t>
  </si>
  <si>
    <t>VN000CWDCRM1023</t>
  </si>
  <si>
    <t>VN000CWDCRM1M  050</t>
  </si>
  <si>
    <t>VN000CWDCRM1023 - MTE UltraRange EXO SE SPKL DB, 5, Medium</t>
  </si>
  <si>
    <t>VN000CWE9JC1002</t>
  </si>
  <si>
    <t>VN000CWE9JC1M  040</t>
  </si>
  <si>
    <t>VN000CWE9JC1002 - UltraRange Neo VR3 MONO MDBRN, 4, Medium</t>
  </si>
  <si>
    <t>VN000CWEBLU1012</t>
  </si>
  <si>
    <t>VN000CWEBLU1M  130</t>
  </si>
  <si>
    <t>VN000CWEBLU1012 - UltraRange Neo VR3 MONO DBLU, 13, Medium</t>
  </si>
  <si>
    <t>VN000CYABMC1005</t>
  </si>
  <si>
    <t>VN000CYABMC1M  025</t>
  </si>
  <si>
    <t>VN000CYABMC1005 - Old Skool V RETR MULTI, 2.5, Medium</t>
  </si>
  <si>
    <t>VN000CYARV21012</t>
  </si>
  <si>
    <t>VN000CYARV21M  025</t>
  </si>
  <si>
    <t>VN000CYARV21012 - Old Skool V CTHR CHBD BLACK, 2.5, Medium</t>
  </si>
  <si>
    <t>VN000CYAYJ71009</t>
  </si>
  <si>
    <t>VN000CYAYJ71M  030</t>
  </si>
  <si>
    <t>VN000CYAYJ71009 - Old Skool V GLOW BLKGR, 3, Medium</t>
  </si>
  <si>
    <t>VN000CYVENA1007</t>
  </si>
  <si>
    <t>VN000CYVENA1M  105</t>
  </si>
  <si>
    <t>VN000CYVENA1007 - Old Skool 2TNE TRQBL, 10.5, Medium</t>
  </si>
  <si>
    <t>VN000CZ7BLA1006</t>
  </si>
  <si>
    <t>VN000CZ7BLA1M  015</t>
  </si>
  <si>
    <t>VN000CZ7BLA1006 - Sk8-Mid Reissue V DENM BLAC, 1.5, Medium</t>
  </si>
  <si>
    <t>VN000D0H11E1010</t>
  </si>
  <si>
    <t>VN000D0H11E1M  110</t>
  </si>
  <si>
    <t>VN000D0H11E1010 - SK8-Hi Insulated VNTG DKPPL, 11, Medium</t>
  </si>
  <si>
    <t>VN000D0HBMV1004</t>
  </si>
  <si>
    <t>VN000D0HBMV1M  120</t>
  </si>
  <si>
    <t>VN000D0HBMV1004 - SK8-Hi Insulated POP BLKML, 12, Medium</t>
  </si>
  <si>
    <t>VN000D0HBZW1009</t>
  </si>
  <si>
    <t>VN000D0HBZW1M  125</t>
  </si>
  <si>
    <t>VN000D0HBZW1009 - SK8-Hi Insulated Black/Whi, 12.5, Medium</t>
  </si>
  <si>
    <t>VN000D0HEMY1012</t>
  </si>
  <si>
    <t>VN000D0HEMY1M  125</t>
  </si>
  <si>
    <t>VN000D0HEMY1012 - SK8-Hi Insulated TNCH LMIS, 12.5, Medium</t>
  </si>
  <si>
    <t>VN000D0KEN61010</t>
  </si>
  <si>
    <t>VN000D0KEN61M  070</t>
  </si>
  <si>
    <t>VN000D0KEN61010 - Knu Skool Elastic Lace Pine F, 7, Medium</t>
  </si>
  <si>
    <t>VN000D0MKCZ1001</t>
  </si>
  <si>
    <t>VN000D0MKCZ1M  040</t>
  </si>
  <si>
    <t>VN000D0MKCZ1001 - SK8-Hi Zip Insulated VNTG DGR, 4, Medium</t>
  </si>
  <si>
    <t>VN000D0MKCZ1008</t>
  </si>
  <si>
    <t>VN000D0MKCZ1M  070</t>
  </si>
  <si>
    <t>VN000D0MKCZ1008 - SK8-Hi Zip Insulated VNTG DGR, 7, Medium</t>
  </si>
  <si>
    <t>VN000D0MKCZ1003</t>
  </si>
  <si>
    <t>VN000D0MKCZ1M  085</t>
  </si>
  <si>
    <t>VN000D0MKCZ1003 - SK8-Hi Zip Insulated VNTG D, 8.5, Medium</t>
  </si>
  <si>
    <t>VN000D0SYJ71008</t>
  </si>
  <si>
    <t>VN000D0SYJ71M  045</t>
  </si>
  <si>
    <t>VN000D0SYJ71008 - Slip-On V GLOW BLKGR, 4.5, Medium</t>
  </si>
  <si>
    <t>VN000D0SYLZ1003</t>
  </si>
  <si>
    <t>VN000D0SYLZ1M  075</t>
  </si>
  <si>
    <t>VN000D0SYLZ1003 - Slip-On V GLTR RASRO, 7.5, Medium</t>
  </si>
  <si>
    <t>VN000D11N1Z1007</t>
  </si>
  <si>
    <t>VN000D11N1Z1M  060</t>
  </si>
  <si>
    <t>VN000D11N1Z1007 - SK8-Mid Reissue V Insulat POP, 6, Medium</t>
  </si>
  <si>
    <t>VN000D11N1Z1017</t>
  </si>
  <si>
    <t>VN000D11N1Z1M  065</t>
  </si>
  <si>
    <t>VN000D11N1Z1017 - SK8-Mid Reissue V Insulat P, 6.5, Medium</t>
  </si>
  <si>
    <t>VN000D11N1Z1003</t>
  </si>
  <si>
    <t>VN000D11N1Z1M  100</t>
  </si>
  <si>
    <t>VN000D11N1Z1003 - SK8-Mid Reissue V Insulat PO, 10, Medium</t>
  </si>
  <si>
    <t>VN000D1HWWW1011</t>
  </si>
  <si>
    <t>VN000D1HWWW1M  050</t>
  </si>
  <si>
    <t>VN000D1HWWW1011 - Upland White/White, 5, Medium</t>
  </si>
  <si>
    <t>VN000D1J4VT1007</t>
  </si>
  <si>
    <t>Black/Charcoal/Purple</t>
  </si>
  <si>
    <t>VN000D1J4VT1M  070</t>
  </si>
  <si>
    <t>VN000D1J4VT1007 - Hylane Black/Charcoal/, 7, Medium</t>
  </si>
  <si>
    <t>VN000D1JBO91002</t>
  </si>
  <si>
    <t>VN000D1JBO91M  120</t>
  </si>
  <si>
    <t>VN000D1JBO91002 - Hylane PINK/MARSHMALLO, 12, Medium</t>
  </si>
  <si>
    <t>VN000D1JOVM1016</t>
  </si>
  <si>
    <t>VN000D1JOVM1M  050</t>
  </si>
  <si>
    <t>VN000D1JOVM1016 - Hylane VNTG WHITE, 5, Medium</t>
  </si>
  <si>
    <t>VN000D1JOVM1001</t>
  </si>
  <si>
    <t>VN000D1JOVM1M  130</t>
  </si>
  <si>
    <t>VN000D1JOVM1001 - Hylane VNTG WHITE, 13, Medium</t>
  </si>
  <si>
    <t>VN000D1PDJR1002</t>
  </si>
  <si>
    <t>VN000D1PDJR1M  080</t>
  </si>
  <si>
    <t>VN000D1PDJR1002 - Sport Low turtledove, 8, Medium</t>
  </si>
  <si>
    <t>VN000D26DFN1017</t>
  </si>
  <si>
    <t>BROWN</t>
  </si>
  <si>
    <t>VN000D26DFN1M  065</t>
  </si>
  <si>
    <t>VN000D26DFN1017 - Hylane SUED BROWN, 6.5, Medium</t>
  </si>
  <si>
    <t>VN000D26EWR1019</t>
  </si>
  <si>
    <t>VN000D26EWR1M  035</t>
  </si>
  <si>
    <t>VN000D26EWR1019 - Hylane RTSK GRYGR, 3.5, Medium</t>
  </si>
  <si>
    <t>VN000D26GWT1005</t>
  </si>
  <si>
    <t>VN000D26GWT1M  040</t>
  </si>
  <si>
    <t>VN000D26GWT1005 - Hylane TONL MBRWN, 4, Medium</t>
  </si>
  <si>
    <t>VN000D2YBKA1005</t>
  </si>
  <si>
    <t>SK8-Mid Reissue</t>
  </si>
  <si>
    <t>VN000D2YBKA1M  050</t>
  </si>
  <si>
    <t>VN000D2YBKA1005 - SK8-Mid Reissue Black/Black, 5, Medium</t>
  </si>
  <si>
    <t>VN000D3212S1004</t>
  </si>
  <si>
    <t>stargazer</t>
  </si>
  <si>
    <t>VN000D3212S1M  050</t>
  </si>
  <si>
    <t>PIG SUEDE</t>
  </si>
  <si>
    <t>VN000D3212S1004 - SK8-Hi PGSU DBLUE, 5, Medium</t>
  </si>
  <si>
    <t>VN000D4MKCZ1010</t>
  </si>
  <si>
    <t>VN000D4MKCZ1M  045</t>
  </si>
  <si>
    <t>VN000D4MKCZ1010 - Hylane V GRAPE LEAF, 4.5, Medium</t>
  </si>
  <si>
    <t>VN000D4MKCZ1012</t>
  </si>
  <si>
    <t>VN000D4MKCZ1M  050</t>
  </si>
  <si>
    <t>VN000D4MKCZ1012 - Hylane V GRAPE LEAF, 5, Medium</t>
  </si>
  <si>
    <t>VN000D4NDJR1007</t>
  </si>
  <si>
    <t>VN000D4NDJR1M  015</t>
  </si>
  <si>
    <t>VN000D4NDJR1007 - Hylane 2TNE WHITE, 1.5, Medium</t>
  </si>
  <si>
    <t>VN000D4NDJR1010</t>
  </si>
  <si>
    <t>VN000D4NDJR1M  115</t>
  </si>
  <si>
    <t>VN000D4NDJR1010 - Hylane 2TNE WHITE, 11.5, Medium</t>
  </si>
  <si>
    <t>VN000D4NDJR1005</t>
  </si>
  <si>
    <t>VN000D4NDJR1M  120</t>
  </si>
  <si>
    <t>VN000D4NDJR1005 - Hylane 2TNE WHITE, 12, Medium</t>
  </si>
  <si>
    <t>VN000D4SCFL1011</t>
  </si>
  <si>
    <t>VN000D4SCFL1M  055</t>
  </si>
  <si>
    <t>VN000D4SCFL1011 - Old Skool V Heart CITADEL, 5.5, Medium</t>
  </si>
  <si>
    <t>VN000D4SCFL1017</t>
  </si>
  <si>
    <t>VN000D4SCFL1M  085</t>
  </si>
  <si>
    <t>VN000D4SCFL1017 - Old Skool V Heart CITADEL, 8.5, Medium</t>
  </si>
  <si>
    <t>VN000D5NWHT1013</t>
  </si>
  <si>
    <t>VN000D5NWHT1M  065</t>
  </si>
  <si>
    <t>MONO CHECKERBOARD</t>
  </si>
  <si>
    <t>VN000D5NWHT1013 - Old Skool MOCB WHITE, 6.5, Medium</t>
  </si>
  <si>
    <t>VN000D5RBRG1009</t>
  </si>
  <si>
    <t>Skate Old Skool 36 +</t>
  </si>
  <si>
    <t>Burgundy</t>
  </si>
  <si>
    <t>VN000D5RBRG1M  090</t>
  </si>
  <si>
    <t>VN000D5RBRG1009 - Skate Old Skool 36 + GUM BRGD, 9, Medium</t>
  </si>
  <si>
    <t>VN000D60O3N1001</t>
  </si>
  <si>
    <t>VN000D60O3N1M  130</t>
  </si>
  <si>
    <t>VN000D60O3N1001 - Ultrarange 2.0 RW SEPIA ROSE, 13, Medium</t>
  </si>
  <si>
    <t>VN000D6WEMG1002</t>
  </si>
  <si>
    <t>VN000D6WEMG1M  100</t>
  </si>
  <si>
    <t>VN000D6WEMG1002 - Old Skool PSTL BLMST, 10, Medium</t>
  </si>
  <si>
    <t>VN000D6WRPK1016</t>
  </si>
  <si>
    <t>BROWN/PINK</t>
  </si>
  <si>
    <t>VN000D6WRPK1M  050</t>
  </si>
  <si>
    <t>VN000D6WRPK1016 - Old Skool POP BRNPK, 5, Medium</t>
  </si>
  <si>
    <t>VN000D6YEMH1014</t>
  </si>
  <si>
    <t>Burnt Butterscotch</t>
  </si>
  <si>
    <t>VN000D6YEMH1M  060</t>
  </si>
  <si>
    <t>VN000D6YEMH1014 - Classic Slip-On PSDE BRNBT, 6, Medium</t>
  </si>
  <si>
    <t>VN000D6YEMY1004</t>
  </si>
  <si>
    <t>VN000D6YEMY1M  060</t>
  </si>
  <si>
    <t>VN000D6YEMY1004 - Classic Slip-On PSTL LMIST, 6, Medium</t>
  </si>
  <si>
    <t>VN000D6YEMY1019</t>
  </si>
  <si>
    <t>VN000D6YEMY1M  070</t>
  </si>
  <si>
    <t>VN000D6YEMY1019 - Classic Slip-On PSTL LMIST, 7, Medium</t>
  </si>
  <si>
    <t>VN000D6ZE2S1015</t>
  </si>
  <si>
    <t>Sun Kiss</t>
  </si>
  <si>
    <t>VN000D6ZE2S1M  095</t>
  </si>
  <si>
    <t>Floral Laces</t>
  </si>
  <si>
    <t>VN000D6ZE2S1015 - Knu Skool FLOR SNKSS, 9.5, Medium</t>
  </si>
  <si>
    <t>VN000D6ZO3N1002</t>
  </si>
  <si>
    <t>VN000D6ZO3N1M  130</t>
  </si>
  <si>
    <t>VN000D6ZO3N1002 - Knu Skool GUM MDPNK, 13, Medium</t>
  </si>
  <si>
    <t>VN000D6ZORA1018</t>
  </si>
  <si>
    <t>Orange</t>
  </si>
  <si>
    <t>VN000D6ZORA1M  060</t>
  </si>
  <si>
    <t>VN000D6ZORA1018 - Knu Skool NEON DORNG, 6, Medium</t>
  </si>
  <si>
    <t>VN000D75Y281001</t>
  </si>
  <si>
    <t>VN000D75Y281M  130</t>
  </si>
  <si>
    <t>VN000D75Y281001 - Knu Skool RHIN BLKWH, 13, Medium</t>
  </si>
  <si>
    <t>VN000D80BF01019</t>
  </si>
  <si>
    <t>BROWN/MULTI</t>
  </si>
  <si>
    <t>VN000D80BF01M  060</t>
  </si>
  <si>
    <t>Thrift Store</t>
  </si>
  <si>
    <t>VN000D80BF01019 - SK8-Hi THRI MULTI, 6, Medium</t>
  </si>
  <si>
    <t>VN000D80BF01017</t>
  </si>
  <si>
    <t>VN000D80BF01M  070</t>
  </si>
  <si>
    <t>VN000D80BF01017 - SK8-Hi THRI MULTI, 7, Medium</t>
  </si>
  <si>
    <t>VN000D83SQ71001</t>
  </si>
  <si>
    <t>CORNSTALK</t>
  </si>
  <si>
    <t>VN000D83SQ71M  130</t>
  </si>
  <si>
    <t>VN000D83SQ71001 - Super Lowpro CORNSTALK, 13, Medium</t>
  </si>
  <si>
    <t>VN000D85EME1010</t>
  </si>
  <si>
    <t>Skate Curren Caples</t>
  </si>
  <si>
    <t>Emerald</t>
  </si>
  <si>
    <t>VN000D85EME1M  075</t>
  </si>
  <si>
    <t>VN000D85EME1010 - Skate Curren Caples Emerald, 7.5, Medium</t>
  </si>
  <si>
    <t>VN000D85EME1008</t>
  </si>
  <si>
    <t>VN000D85EME1M  085</t>
  </si>
  <si>
    <t>VN000D85EME1008 - Skate Curren Caples Emerald, 8.5, Medium</t>
  </si>
  <si>
    <t>VN000D9ACJ71010</t>
  </si>
  <si>
    <t>VN000D9ACJ71M  035</t>
  </si>
  <si>
    <t>VN000D9ACJ71010 - Mary Jane Straps METL WHITE, 3.5, Medium</t>
  </si>
  <si>
    <t>VN000D9ACJ71003</t>
  </si>
  <si>
    <t>VN000D9ACJ71M  105</t>
  </si>
  <si>
    <t>VN000D9ACJ71003 - Mary Jane Straps METL WHIT, 10.5, Medium</t>
  </si>
  <si>
    <t>VN000D9ACJ71011</t>
  </si>
  <si>
    <t>VN000D9ACJ71M  120</t>
  </si>
  <si>
    <t>VN000D9ACJ71011 - Mary Jane Straps METL WHITE, 12, Medium</t>
  </si>
  <si>
    <t>VN000D9YRWZ1011</t>
  </si>
  <si>
    <t>PINK/GUM</t>
  </si>
  <si>
    <t>VN000D9YRWZ1M  050</t>
  </si>
  <si>
    <t>VN000D9YRWZ1011 - Old Skool PINK/GUM, 5, Medium</t>
  </si>
  <si>
    <t>VN000D9YTUP1001</t>
  </si>
  <si>
    <t>VN000D9YTUP1M  045</t>
  </si>
  <si>
    <t>VN000D9YTUP1001 - Old Skool MONO DBEIG, 4.5, Medium</t>
  </si>
  <si>
    <t>VN000D9YTUP1007</t>
  </si>
  <si>
    <t>VN000D9YTUP1M  055</t>
  </si>
  <si>
    <t>VN000D9YTUP1007 - Old Skool MONO DBEIG, 5.5, Medium</t>
  </si>
  <si>
    <t>VN000DA1Z341014</t>
  </si>
  <si>
    <t>Skate AVE 2.0</t>
  </si>
  <si>
    <t>White/Orange</t>
  </si>
  <si>
    <t>VN000DA1Z341M  105</t>
  </si>
  <si>
    <t>FADE</t>
  </si>
  <si>
    <t>VN000DA1Z341014 - Skate AVE 2.0 FADE WHTOR, 10.5, Medium</t>
  </si>
  <si>
    <t>VN000DA2B9M1018</t>
  </si>
  <si>
    <t>VN000DA2B9M1M  075</t>
  </si>
  <si>
    <t>VN000DA2B9M1018 - Skate Rowley FADE BLACK, 7.5, Medium</t>
  </si>
  <si>
    <t>VN000DAHY401010</t>
  </si>
  <si>
    <t>Blue/Black</t>
  </si>
  <si>
    <t>VN000DAHY401M  090</t>
  </si>
  <si>
    <t>VN000DAHY401010 - Classic Slip-On THRI NAVY, 9, Medium</t>
  </si>
  <si>
    <t>VN000DAMLM31004</t>
  </si>
  <si>
    <t>Crosspath XC GORE-TEX MTE</t>
  </si>
  <si>
    <t>hot coral</t>
  </si>
  <si>
    <t>VN000DAMLM31M  050</t>
  </si>
  <si>
    <t>VN000DAMLM31004 - Crosspath XC GORE-TEX MTE hot, 5, Medium</t>
  </si>
  <si>
    <t>VN000DAQRPK1007</t>
  </si>
  <si>
    <t>VN000DAQRPK1M  050</t>
  </si>
  <si>
    <t>VN000DAQRPK1007 - Sk8-Hi Waterproof Insulat Bro, 5, Medium</t>
  </si>
  <si>
    <t>VN000DARBKL1017</t>
  </si>
  <si>
    <t>BROWN/KHAKI</t>
  </si>
  <si>
    <t>VN000DARBKL1M  065</t>
  </si>
  <si>
    <t>VN000DARBKL1017 - SK8-Hi GORE-TEX Insulated B, 6.5, Medium</t>
  </si>
  <si>
    <t>VN000DARC9F1011</t>
  </si>
  <si>
    <t>VN000DARC9F1M  060</t>
  </si>
  <si>
    <t>VN000DARC9F1011 - SK8-Hi GORE-TEX Insulated EGR, 6, Medium</t>
  </si>
  <si>
    <t>VN000DAZSTN1018</t>
  </si>
  <si>
    <t>STONE</t>
  </si>
  <si>
    <t>VN000DAZSTN1M  060</t>
  </si>
  <si>
    <t>VN000DAZSTN1018 - Old Skool Waterproof Insu STO, 6, Medium</t>
  </si>
  <si>
    <t>VN000DAZSTN1013</t>
  </si>
  <si>
    <t>VN000DAZSTN1M  065</t>
  </si>
  <si>
    <t>VN000DAZSTN1013 - Old Skool Waterproof Insu S, 6.5, Medium</t>
  </si>
  <si>
    <t>VN000DB3Y231010</t>
  </si>
  <si>
    <t>VN000DB3Y231M  110</t>
  </si>
  <si>
    <t>VN000DB3Y231010 - Old Skool Black/Yellow, 11, Medium</t>
  </si>
  <si>
    <t>VN000DCBYJ71019</t>
  </si>
  <si>
    <t>SK8-Hi GORE-TEX</t>
  </si>
  <si>
    <t>VN000DCBYJ71M  035</t>
  </si>
  <si>
    <t>VN000DCBYJ71019 - SK8-Hi GORE-TEX OUTD BLKGR, 3.5, Medium</t>
  </si>
  <si>
    <t>VN000DCE2VZ1007</t>
  </si>
  <si>
    <t>Classic White</t>
  </si>
  <si>
    <t>VN000DCE2VZ1M  065</t>
  </si>
  <si>
    <t>GRUNGE</t>
  </si>
  <si>
    <t>VN000DCE2VZ1007 - Old Skool Creeper GRNG WHIT, 6.5, Medium</t>
  </si>
  <si>
    <t>VN000DCEBRD1006</t>
  </si>
  <si>
    <t>VN000DCEBRD1M  050</t>
  </si>
  <si>
    <t>VN000DCEBRD1006 - Old Skool Creeper GRNG DRRED, 5, Medium</t>
  </si>
  <si>
    <t>VN000DCEBRD1004</t>
  </si>
  <si>
    <t>VN000DCEBRD1M  065</t>
  </si>
  <si>
    <t>VN000DCEBRD1004 - Old Skool Creeper GRNG DRRE, 6.5, Medium</t>
  </si>
  <si>
    <t>VN000DCJGRN1008</t>
  </si>
  <si>
    <t>VN000DCJGRN1M  135</t>
  </si>
  <si>
    <t>VN000DCJGRN1008 - MTE Slip-On Hi Terrain V G, 13.5, Medium</t>
  </si>
  <si>
    <t>VN000E89YG41018</t>
  </si>
  <si>
    <t>Black/Silver</t>
  </si>
  <si>
    <t>VN000E89YG41M  050</t>
  </si>
  <si>
    <t>VN000E89YG41018 - Super Lowpro SUED BLKSV, 5, Medium</t>
  </si>
  <si>
    <t>VN000E9RG581005</t>
  </si>
  <si>
    <t>VN000E9RG581M  135</t>
  </si>
  <si>
    <t>VN000E9RG581005 - Old Skool FLORAL BLACK, 13.5, Medium</t>
  </si>
  <si>
    <t>VN000EB4BRO1003</t>
  </si>
  <si>
    <t>Sk8-Hi Insulated</t>
  </si>
  <si>
    <t>VN000EB4BRO1M  110</t>
  </si>
  <si>
    <t>VN000EB4BRO1003 - Sk8-Hi Insulated Brown, 11, Medium</t>
  </si>
  <si>
    <t>VN000EB4KAQ1009</t>
  </si>
  <si>
    <t>VN000EB4KAQ1M  050</t>
  </si>
  <si>
    <t>VN000EB4KAQ1009 - Sk8-Hi Insulated DRIZZLE, 5, Medium</t>
  </si>
  <si>
    <t>VN000EFBCJK1006</t>
  </si>
  <si>
    <t>VN000EFBCJK1M  065</t>
  </si>
  <si>
    <t>VN000EFBCJK1006 - Knu Skool Elastic Lace DAZL, 6.5, Medium</t>
  </si>
  <si>
    <t>VN000EG8B5T1017</t>
  </si>
  <si>
    <t>Old Skool DS</t>
  </si>
  <si>
    <t>VN000EG8B5T1M  080</t>
  </si>
  <si>
    <t>VN000EG8B5T1017 - Old Skool DS SUED BLACK, 8, Medium</t>
  </si>
  <si>
    <t>VN000KI51861015</t>
  </si>
  <si>
    <t>VN000KI51861M  110</t>
  </si>
  <si>
    <t>VN000KI51861015 - Atwood CNVS BLACK, 11, Medium</t>
  </si>
  <si>
    <t>VN000SF4N3U1004</t>
  </si>
  <si>
    <t>GRAPE LEAF/GUM</t>
  </si>
  <si>
    <t>VN000SF4N3U1M  080</t>
  </si>
  <si>
    <t>VN000SF4N3U1004 - Rowley Classic GRAPE LEAF/GUM, 8, Medium</t>
  </si>
  <si>
    <t>VN000VO44K11017</t>
  </si>
  <si>
    <t>VN000VO44K11M  120</t>
  </si>
  <si>
    <t>VN000VO44K11017 - Winston CNVS NVWH, 12, Medium</t>
  </si>
  <si>
    <t>VN000VOB4K11006</t>
  </si>
  <si>
    <t>VN000VOB4K11M  090</t>
  </si>
  <si>
    <t>VN000VOB4K11006 - Winston CNVS NVWH, 9, Medium</t>
  </si>
  <si>
    <t>VN000Y12YS51011</t>
  </si>
  <si>
    <t>Mary Jane Creeper</t>
  </si>
  <si>
    <t>Leopard/Black</t>
  </si>
  <si>
    <t>VN000Y12YS51M  120</t>
  </si>
  <si>
    <t>VN000Y12YS51011 - Mary Jane Creeper Leopard/Bl, 12, Medium</t>
  </si>
  <si>
    <t>VN0A347ZDDU1006</t>
  </si>
  <si>
    <t>(Canvas) oxblood/black</t>
  </si>
  <si>
    <t>VN0A347ZDDU1M  090</t>
  </si>
  <si>
    <t>VN0A347ZDDU1006 - Winston CNVS DRDBL, 9, Medium</t>
  </si>
  <si>
    <t>VN0A4UWM2QL1018</t>
  </si>
  <si>
    <t>UltraRange EXO SE</t>
  </si>
  <si>
    <t>Black Fade</t>
  </si>
  <si>
    <t>VN0A4UWM2QL1M  065</t>
  </si>
  <si>
    <t>MESH</t>
  </si>
  <si>
    <t>VN0A4UWM2QL1018 - UltraRange EXO SE MESH BLAC, 6.5, Medium</t>
  </si>
  <si>
    <t>VN0A5FCAPIB1003</t>
  </si>
  <si>
    <t>VN0A5FCAPIB1M  080</t>
  </si>
  <si>
    <t>VN0A5FCAPIB1003 - Skate Slip-On Pink/Black, 8, Medium</t>
  </si>
  <si>
    <t>VN0A5FCAPIB1010</t>
  </si>
  <si>
    <t>VN0A5FCAPIB1M  100</t>
  </si>
  <si>
    <t>VN0A5FCAPIB1010 - Skate Slip-On Pink/Black, 10, Medium</t>
  </si>
  <si>
    <t>VN0A5FCB1N61016</t>
  </si>
  <si>
    <t>VN0A5FCB1N61M  050</t>
  </si>
  <si>
    <t>VN0A5FCB1N61016 - Skate Old Skool Pewter/White, 5, Medium</t>
  </si>
  <si>
    <t>VN0A5HZY6J61006</t>
  </si>
  <si>
    <t>SK8-Hi MTE-1</t>
  </si>
  <si>
    <t>DRIZZLE/MARSHMALLOW</t>
  </si>
  <si>
    <t>VN0A5HZY6J61M  040</t>
  </si>
  <si>
    <t>VN0A5HZY6J61006 - SK8-Hi MTE-1 DRIZZLE/MARSHMA, 4, Medium</t>
  </si>
  <si>
    <t>VN0A5JICNUT1015</t>
  </si>
  <si>
    <t>Skate Rowan</t>
  </si>
  <si>
    <t>NAVY/WHITE</t>
  </si>
  <si>
    <t>VN0A5JICNUT1M  080</t>
  </si>
  <si>
    <t>VN0A5JICNUT1015 - Skate Rowan NAVY/WHITE, 8, Medium</t>
  </si>
  <si>
    <t>VN0A5JLTJBW1006</t>
  </si>
  <si>
    <t>Filmore Hi Zip</t>
  </si>
  <si>
    <t>VN0A5JLTJBW1M  045</t>
  </si>
  <si>
    <t>VN0A5JLTJBW1006 - Filmore Hi Zip CHRO LTGRY, 4.5, Medium</t>
  </si>
  <si>
    <t>VN0A5JLTJBW1007</t>
  </si>
  <si>
    <t>VN0A5JLTJBW1M  050</t>
  </si>
  <si>
    <t>VN0A5JLTJBW1007 - Filmore Hi Zip CHRO LTGRY, 5, Medium</t>
  </si>
  <si>
    <t>VN0A5KY9BRO1008</t>
  </si>
  <si>
    <t>Surf Boot Hi ST 3mm</t>
  </si>
  <si>
    <t>VN0A5KY9BRO1M  040</t>
  </si>
  <si>
    <t>HARRY BRYANT</t>
  </si>
  <si>
    <t>VN0A5KY9BRO1008 - Surf Boot Hi ST 3mm HARR MBRW, 4, Medium</t>
  </si>
  <si>
    <t>Collaboration</t>
  </si>
  <si>
    <t>VN000EZ1BZ01002</t>
  </si>
  <si>
    <t>DEEP FOREST</t>
  </si>
  <si>
    <t>VN000EZ1BZ01.  101</t>
  </si>
  <si>
    <t>VN000EZ1BZ01002 - CLASSIC VANS CREW SOCK DEEP FOR, 10-13.5</t>
  </si>
  <si>
    <t>SOLID COLORWAYS: 71%Cotton, 14%Polyester, 13%Polyamide, 2%Elastane    DEEP FOREST CHECK: 55% Polyamide, 40% Cotton,  5% Elastane</t>
  </si>
  <si>
    <t>VN000EZ1OC21002</t>
  </si>
  <si>
    <t>Ochre</t>
  </si>
  <si>
    <t>VN000EZ1OC21.  101</t>
  </si>
  <si>
    <t>VN000EZ1OC21002 - CLASSIC VANS CREW SOCK Ochre, 10-13.5</t>
  </si>
  <si>
    <t>VN000EZ4YB21001</t>
  </si>
  <si>
    <t>VANS DROP V LOGO CREW S</t>
  </si>
  <si>
    <t>VN000EZ4YB21.  016</t>
  </si>
  <si>
    <t>VN000EZ4YB21001 - VANS DROP V LOGO CREW S White/Black, 1-6</t>
  </si>
  <si>
    <t>65%Cotton 28%Polyester 3%Elastodiene 2%Nylon 2%Elastane</t>
  </si>
  <si>
    <t>VN000F0GZCF1001</t>
  </si>
  <si>
    <t>Vans Half Crew</t>
  </si>
  <si>
    <t>VN000F0GZCF1.  951</t>
  </si>
  <si>
    <t>VN000F0GZCF1001 - Vans Half Crew RHODODENDRON, 9.5-13</t>
  </si>
  <si>
    <t>80% Cotton 16% Nylon 3% Elastodiene 1% Elastane</t>
  </si>
  <si>
    <t>VN000FTEBLK1002</t>
  </si>
  <si>
    <t>SPOOKY VANS CREW SOCK</t>
  </si>
  <si>
    <t>VN000FTEBLK1.  016</t>
  </si>
  <si>
    <t>VN000FTEBLK1002 - SPOOKY VANS CREW SOCK Black, 1-6</t>
  </si>
  <si>
    <t>73% Cotton 15% Polyester 6% Nylon 4% Elastodiene 2% Elastane</t>
  </si>
  <si>
    <t>VN000GM0BLK1002</t>
  </si>
  <si>
    <t>LEVEL UP II BUCKET</t>
  </si>
  <si>
    <t>VN000GM0BLK1.  LXL</t>
  </si>
  <si>
    <t>VN000GM0BLK1002 - LEVEL UP II BUCKET Black, Large/X Large</t>
  </si>
  <si>
    <t>100% Nylon EOD</t>
  </si>
  <si>
    <t>VN000GMTCHN1001</t>
  </si>
  <si>
    <t>FRUIT FUN CANOODLE</t>
  </si>
  <si>
    <t>CHINTZ ROSE</t>
  </si>
  <si>
    <t>VN000GMTCHN1.  651</t>
  </si>
  <si>
    <t>VN000GMTCHN1001 - FRUIT FUN CANOODLE CHINTZ ROSE, 6.5-10</t>
  </si>
  <si>
    <t>C/W1:53% Cotton 45% Nylon 2% Elastane, C/W2:70% Cotton 28% Nylon 2% Elastane, C/W3:50% Cotton 48% Nylon 2% Elastane</t>
  </si>
  <si>
    <t>VN000GMZWHT1001</t>
  </si>
  <si>
    <t>VN000GMZWHT1.  OS</t>
  </si>
  <si>
    <t>VN000GMZWHT1001 - Felix Sunglasses White, One Size</t>
  </si>
  <si>
    <t>VN000GNDBLK1002</t>
  </si>
  <si>
    <t>VANS EYE CREW</t>
  </si>
  <si>
    <t>VN000GNDBLK1.  101</t>
  </si>
  <si>
    <t>VN000GNDBLK1002 - VANS EYE CREW Black, 10-13.5</t>
  </si>
  <si>
    <t>70% Cotton 14% Polyester 9% Nylon 5% Elastodiene 2% Elastane</t>
  </si>
  <si>
    <t>VN000HEARNE1001</t>
  </si>
  <si>
    <t>Court Side Curved Bill</t>
  </si>
  <si>
    <t>VN000HEARNE1.  OS</t>
  </si>
  <si>
    <t>VN000HEARNE1001 - Court Side Curved Bill HINT OF, One Size</t>
  </si>
  <si>
    <t>VN000HMSE8A1001</t>
  </si>
  <si>
    <t>LX Surplus Socks</t>
  </si>
  <si>
    <t>Sea Spray</t>
  </si>
  <si>
    <t>VN000HMSE8A1.  951</t>
  </si>
  <si>
    <t>VN000HMSE8A1001 - LX Surplus Socks Sea Spray, 9.5-13</t>
  </si>
  <si>
    <t>86%Cotton 7%Polyester 6%Nylon 1%Elastane</t>
  </si>
  <si>
    <t>Fashion Lifestyle|Monobrand|Sports Inspired</t>
  </si>
  <si>
    <t>VN000J4VRV21001</t>
  </si>
  <si>
    <t>VN000J4VRV21.  OS</t>
  </si>
  <si>
    <t>VN000J4VRV21001 - Classic Vans Snapback STORMY W, One Size</t>
  </si>
  <si>
    <t>VN000J4ZDAB1001</t>
  </si>
  <si>
    <t>Chillest Pom Beanie</t>
  </si>
  <si>
    <t>LAMBS WOOL</t>
  </si>
  <si>
    <t>VN000J4ZDAB1.  OS</t>
  </si>
  <si>
    <t>VN000J4ZDAB1001 - Chillest Pom Beanie Lambs Wool, One Size</t>
  </si>
  <si>
    <t>VN000K61BLK1001</t>
  </si>
  <si>
    <t>MTE Expedition 5 Panel</t>
  </si>
  <si>
    <t>VN000K61BLK1.  OS</t>
  </si>
  <si>
    <t>VN000K61BLK1001 - MTE Expedition 5 Panel Black, One Size</t>
  </si>
  <si>
    <t>100% NYLON, EOD</t>
  </si>
  <si>
    <t>VN000KYE1NU1001</t>
  </si>
  <si>
    <t>VN000KYE1NU1.  951</t>
  </si>
  <si>
    <t>VN000KYE1NU1001 - Skate Mike G Crew Walnut, 9.5-13</t>
  </si>
  <si>
    <t>VN000LC0C9L1001</t>
  </si>
  <si>
    <t>VN000LC0C9L1.  OS</t>
  </si>
  <si>
    <t>VN000LC0C9L1001 - Spicoli 4 Shades CHERRIES JUBI, One Size</t>
  </si>
  <si>
    <t>VN000MNFO3N1001</t>
  </si>
  <si>
    <t>VN000MNFO3N1.  016</t>
  </si>
  <si>
    <t>VN000MNFO3N1001 - Lettuce Have It Half Cr SEPIA ROSE, 1-6</t>
  </si>
  <si>
    <t>71%Cotton 25%Polyester 2%Nylon 2%Elastane</t>
  </si>
  <si>
    <t>VN000Q1F7WM1001</t>
  </si>
  <si>
    <t>VN000Q1F7WM1.  OS</t>
  </si>
  <si>
    <t>VN000Q1F7WM1001 - Vans Classic Cuff Beani TrBl, One Size</t>
  </si>
  <si>
    <t>VN000QBEF0E1003</t>
  </si>
  <si>
    <t>VN000QBEF0E1.  M</t>
  </si>
  <si>
    <t>VN000QBEF0E1003 - Vans Drop V Crew Black/Burnt Gol, Medium</t>
  </si>
  <si>
    <t>VN000QBKYLZ1003</t>
  </si>
  <si>
    <t>VN000QBKYLZ1.  S</t>
  </si>
  <si>
    <t>VN000QBKYLZ1003 - Peek-A-Check Half Crew RASPBERRY, Small</t>
  </si>
  <si>
    <t>VN000QBM7UG1002</t>
  </si>
  <si>
    <t>VN000QBM7UG1.  S</t>
  </si>
  <si>
    <t>VN000QBM7UG1002 - Plaimor Crew Dchshnd, Small</t>
  </si>
  <si>
    <t>VN000QBWEN71001</t>
  </si>
  <si>
    <t>VN000QBWEN71.  L</t>
  </si>
  <si>
    <t>VN000QBWEN71001 - Classic Half Crew Pink Dawn, Large</t>
  </si>
  <si>
    <t>VN000UOUYEH1001</t>
  </si>
  <si>
    <t>VN000UOUYEH1.  OS</t>
  </si>
  <si>
    <t>VN000UOUYEH1001 - Milford Beanie DESERT TAUPE, One Size</t>
  </si>
  <si>
    <t>VN000V3HCRO1001</t>
  </si>
  <si>
    <t>M AUTO PILOT</t>
  </si>
  <si>
    <t>Chrome</t>
  </si>
  <si>
    <t>VN000V3HCRO1.  OS</t>
  </si>
  <si>
    <t>MENS MISC ACCESSORIES</t>
  </si>
  <si>
    <t>MENS EYEWEAR</t>
  </si>
  <si>
    <t>F02015</t>
  </si>
  <si>
    <t>VN000V3HCRO1001 - M AUTO PILOT, One Size</t>
  </si>
  <si>
    <t>6023 - VN MN EYEWEAR</t>
  </si>
  <si>
    <t>VN000XZY4QU1001</t>
  </si>
  <si>
    <t>VN000XZY4QU1.  OS</t>
  </si>
  <si>
    <t>S02019</t>
  </si>
  <si>
    <t>VN000XZY4QU1001 - Vans Laces 36" Port Royale, One Size</t>
  </si>
  <si>
    <t>VN000XZYKCZ1001</t>
  </si>
  <si>
    <t>VN000XZYKCZ1.  OS</t>
  </si>
  <si>
    <t>VN000XZYKCZ1001 - Vans Laces 36" GRAPE LEAF, One Size</t>
  </si>
  <si>
    <t>VN000YBSWHT1001</t>
  </si>
  <si>
    <t>UY CLASSIC KICK YOUT</t>
  </si>
  <si>
    <t>VN000YBSWHT1.  OS</t>
  </si>
  <si>
    <t>VN000YBSWHT1001 - UY CLASSIC KICK YOUT WHITE, One Size</t>
  </si>
  <si>
    <t>89% Cotton 8% Polyester 2% Nylon 1% Elastane</t>
  </si>
  <si>
    <t>VN0A3I5L2N11001</t>
  </si>
  <si>
    <t>MN BRUCKNER CUFF BEA</t>
  </si>
  <si>
    <t>VN0A3I5L2N11.  OS</t>
  </si>
  <si>
    <t>VN0A3I5L2N11001 - MN BRUCKNER CUFF BEA OATMEAL, One Size</t>
  </si>
  <si>
    <t>VN0A48HI4481001</t>
  </si>
  <si>
    <t>WM 1-6 3PK ASST CANO</t>
  </si>
  <si>
    <t>VN0A48HI4481.  OS</t>
  </si>
  <si>
    <t>H02022</t>
  </si>
  <si>
    <t>VN0A48HI4481001 - WM 1-6 3PK ASST CANO Multi, One Size</t>
  </si>
  <si>
    <t>BLACK AND WHITE COLORWAY: 72% Cotton, 25% Polyamide, 3% Elastane. HEATHER GREY COLORWAY: 76% Cotton, 21% Polyamide, 3% Elastane</t>
  </si>
  <si>
    <t>VN0A7PTC85W1001</t>
  </si>
  <si>
    <t>DROP V CLASSIC SOCK</t>
  </si>
  <si>
    <t>Lemon Chrome</t>
  </si>
  <si>
    <t>VN0A7PTC85W1.  OS</t>
  </si>
  <si>
    <t>VN0A7PTC85W1001 - DROP V CLASSIC SOCK Lemon Chro, One Size</t>
  </si>
  <si>
    <t>C/W1: 49%Cotton 24%Polyester 22%Nylon 3%Elastodiene 2%Elastane              C/W2：61%Cotton 32%Polyester 3%Elastodiene 2% Nylon 2%Ela</t>
  </si>
  <si>
    <t>VN0A7S96D6Z1002</t>
  </si>
  <si>
    <t>Vans Patch Bucket</t>
  </si>
  <si>
    <t>VN0A7S96D6Z1.  SM</t>
  </si>
  <si>
    <t>VN0A7S96D6Z1002 - Vans Patch Bucket Porcelai, Small/Medium</t>
  </si>
  <si>
    <t>VN0A7SCBOC21001</t>
  </si>
  <si>
    <t>POST SHALLOW CUFF BEANI</t>
  </si>
  <si>
    <t>VN0A7SCBOC21.  OS</t>
  </si>
  <si>
    <t>VN0A7SCBOC21001 - POST SHALLOW CUFF BEANI Ochre, One Size</t>
  </si>
  <si>
    <t>100% Recycled Polyester EOD</t>
  </si>
  <si>
    <t>VN00000D1LE1006</t>
  </si>
  <si>
    <t>VN00000D1LE1REGM</t>
  </si>
  <si>
    <t>VN00000D1LE1006 - RANGE BAGGY TAPERED ELA, Medium, Regular</t>
  </si>
  <si>
    <t>VN0007VBG5O1003</t>
  </si>
  <si>
    <t>FRESH PEAR TIE DYE LS T</t>
  </si>
  <si>
    <t>BLUE GLOW</t>
  </si>
  <si>
    <t>VN0007VBG5O1.  S</t>
  </si>
  <si>
    <t>VN0007VBG5O1003 - FRESH PEAR TIE DYE LS T BLUE GLOW, Small</t>
  </si>
  <si>
    <t>100%cotton</t>
  </si>
  <si>
    <t>VN0008N5CR61007</t>
  </si>
  <si>
    <t>SERVICE CARGO CORD LOOS</t>
  </si>
  <si>
    <t>COFFEE LIQUEUR</t>
  </si>
  <si>
    <t>VN0008N5CR61REG31</t>
  </si>
  <si>
    <t>VN0008N5CR61007 - SERVICE CARGO CORD LOOS COF, 31, Regular</t>
  </si>
  <si>
    <t>VN0008N6BLK1003</t>
  </si>
  <si>
    <t>VN0008N6BLK1REG36</t>
  </si>
  <si>
    <t>VN0008N6BLK1003 - SERVICE CARGO LOOSE TAP Bla, 36, Regular</t>
  </si>
  <si>
    <t>VN0008TKD021005</t>
  </si>
  <si>
    <t>LOWER CORECASE SS TEE</t>
  </si>
  <si>
    <t>ICEBERG GREEN/DRESS BLS</t>
  </si>
  <si>
    <t>VN0008TKD021.  S</t>
  </si>
  <si>
    <t>VN0008TKD021005 - LOWER CORECASE SS TEE ICEBERG GRE, Small</t>
  </si>
  <si>
    <t>VN000A7DCDC1002</t>
  </si>
  <si>
    <t>JAGGER SWEATER CARDIGAN</t>
  </si>
  <si>
    <t>BLACK/GINGER BREAD</t>
  </si>
  <si>
    <t>VN000A7DCDC1.  2XL</t>
  </si>
  <si>
    <t>AMUSEMENT 66</t>
  </si>
  <si>
    <t>VN000A7DCDC1002 - JAGGER SWEATER CARDIGA, X Large/XX Large</t>
  </si>
  <si>
    <t>MDSC 63%acrylic 33%nylon 4%spandex 1/13</t>
  </si>
  <si>
    <t>VN000EUMDSB1003</t>
  </si>
  <si>
    <t>PRINT BOX 2.0 SS</t>
  </si>
  <si>
    <t>Dusty Blue</t>
  </si>
  <si>
    <t>VN000EUMDSB1.  5</t>
  </si>
  <si>
    <t>VN000EUMDSB1003 - PRINT BOX 2.0 SS Dusty Blue, 5</t>
  </si>
  <si>
    <t>VN000G8MEHC1002</t>
  </si>
  <si>
    <t>AMSTONE SS TOP GR</t>
  </si>
  <si>
    <t>Autumn Leaf</t>
  </si>
  <si>
    <t>VN000G8MEHC1.  M</t>
  </si>
  <si>
    <t>VN000G8MEHC1002 - AMSTONE SS TOP GR Autumn Leaf, Medium</t>
  </si>
  <si>
    <t>100% Viscose</t>
  </si>
  <si>
    <t>VN000GA0DJR1004</t>
  </si>
  <si>
    <t>Alder Relaxed Pleated P</t>
  </si>
  <si>
    <t>VN000GA0DJR1.  26</t>
  </si>
  <si>
    <t>VN000GA0DJR1004 - Alder Relaxed Pleated P turtledove, 26</t>
  </si>
  <si>
    <t>80% POLY 20% VISCOSE</t>
  </si>
  <si>
    <t>VN000GBECJL1004</t>
  </si>
  <si>
    <t>SKELETON SS</t>
  </si>
  <si>
    <t>ICEBERG GREEN</t>
  </si>
  <si>
    <t>VN000GBECJL1.  L</t>
  </si>
  <si>
    <t>VN000GBECJL1004 - SKELETON SS ICEBERG GREEN, Large</t>
  </si>
  <si>
    <t>100% BCI Cotton</t>
  </si>
  <si>
    <t>VN000GDCBLK1002</t>
  </si>
  <si>
    <t>EYEBALLIE SS</t>
  </si>
  <si>
    <t>VN000GDCBLK1.  M</t>
  </si>
  <si>
    <t>VN000GDCBLK1002 - EYEBALLIE SS Black, Medium</t>
  </si>
  <si>
    <t>VN000GDFBLK1002</t>
  </si>
  <si>
    <t>OG LOGO LS</t>
  </si>
  <si>
    <t>VN000GDFBLK1.  M</t>
  </si>
  <si>
    <t>VN000GDFBLK1002 - OG LOGO LS Black, Medium</t>
  </si>
  <si>
    <t>VN000GDGWHT1003</t>
  </si>
  <si>
    <t>OG LOGO SS</t>
  </si>
  <si>
    <t>VN000GDGWHT1.  S</t>
  </si>
  <si>
    <t>VN000GDGWHT1003 - OG LOGO SS White, Small</t>
  </si>
  <si>
    <t>VN000GGC15P1002</t>
  </si>
  <si>
    <t>ELEVATED DOUBLE KNIT MO</t>
  </si>
  <si>
    <t>White Heather</t>
  </si>
  <si>
    <t>VN000GGC15P1.  S</t>
  </si>
  <si>
    <t>VN000GGC15P1002 - ELEVATED DOUBLE KNIT MO White Hea, Small</t>
  </si>
  <si>
    <t>55% Cotton, 45% Polyester</t>
  </si>
  <si>
    <t>VN000GGGEAY1004</t>
  </si>
  <si>
    <t>VN000GGGEAY1.  S</t>
  </si>
  <si>
    <t>VN000GGGEAY1004 - VANS CLASSIC Burgundy/Spicy, Small</t>
  </si>
  <si>
    <t>VN000GGGYB21005</t>
  </si>
  <si>
    <t>VN000GGGYB21.  XS</t>
  </si>
  <si>
    <t>VN000GGGYB21005 - VANS CLASSIC White/Black, X Small</t>
  </si>
  <si>
    <t>VN000GWNBLK1005</t>
  </si>
  <si>
    <t>Sidewalk Pant</t>
  </si>
  <si>
    <t>VN000GWNBLK1.  XS</t>
  </si>
  <si>
    <t>VN000GWNBLK1005 - Sidewalk Pant Black, X Small</t>
  </si>
  <si>
    <t>VN000H5EFS81004</t>
  </si>
  <si>
    <t>MTE Foundry Crop Puff H</t>
  </si>
  <si>
    <t>VN000H5EFS81.  S</t>
  </si>
  <si>
    <t>VN000H5EFS81004 - MTE Foundry Crop Puff H marshmall, Small</t>
  </si>
  <si>
    <t>VN000HAWBLK1005</t>
  </si>
  <si>
    <t>MTE Polartec Relaxed Fl</t>
  </si>
  <si>
    <t>VN000HAWBLK1REGXS</t>
  </si>
  <si>
    <t>VN000HAWBLK1005 - MTE Polartec Relaxed F, X Small, Regular</t>
  </si>
  <si>
    <t>VN000HGJFS81008</t>
  </si>
  <si>
    <t>VN000HGJFS81.  22</t>
  </si>
  <si>
    <t>VN000HGJFS81008 - Union Relaxed Carpenter marshmallow, 22</t>
  </si>
  <si>
    <t>VN000HHEC9J1002</t>
  </si>
  <si>
    <t>VN000HHEC9J1.  L</t>
  </si>
  <si>
    <t>VN000HHEC9J1002 - First Team Relax Crop AUBURN, Large</t>
  </si>
  <si>
    <t>VN000HMQ1CI1002</t>
  </si>
  <si>
    <t>Copley Bomber Jacket</t>
  </si>
  <si>
    <t>VN000HMQ1CI1.  XXL</t>
  </si>
  <si>
    <t>VN000HMQ1CI1002 - Copley Bomber Jacket Dark Fore, XX Large</t>
  </si>
  <si>
    <t>VN000HNE2LN1002</t>
  </si>
  <si>
    <t>Clifton Down Bomber</t>
  </si>
  <si>
    <t>green gables</t>
  </si>
  <si>
    <t>VN000HNE2LN1.  M</t>
  </si>
  <si>
    <t>VN000HNE2LN1002 - Clifton Down Bomber green gables, Medium</t>
  </si>
  <si>
    <t>VN000HQ3M8I1004</t>
  </si>
  <si>
    <t>VN000HQ3M8I1.  S</t>
  </si>
  <si>
    <t>VN000HQ3M8I1004 - Syd Sweater Vest GRAY MIST, Small</t>
  </si>
  <si>
    <t>VN000HZABLK1026</t>
  </si>
  <si>
    <t>VN000HZABLK130 25</t>
  </si>
  <si>
    <t>VN000HZABLK1026 - Authentic Chino Slim Pa Black, 25, 30</t>
  </si>
  <si>
    <t>VN000HZBBLK1006</t>
  </si>
  <si>
    <t>VN000HZBBLK132 36</t>
  </si>
  <si>
    <t>VN000HZBBLK1006 - Authentic Chino Relaxed Black, 36, 32</t>
  </si>
  <si>
    <t>VN000HZBEMP1025</t>
  </si>
  <si>
    <t>VN000HZBEMP130 28</t>
  </si>
  <si>
    <t>VN000HZBEMP1025 - Authentic Chino Relaxed Coal Bro, 28, 30</t>
  </si>
  <si>
    <t>VN000HZBYEH1022</t>
  </si>
  <si>
    <t>VN000HZBYEH130 25</t>
  </si>
  <si>
    <t>VN000HZBYEH1022 - Authentic Chino Relaxed DESERT T, 25, 30</t>
  </si>
  <si>
    <t>VN000HZCBLK1019</t>
  </si>
  <si>
    <t>VN000HZCBLK130 29</t>
  </si>
  <si>
    <t>VN000HZCBLK1019 - Authentic Chino Loose P Black, 29, 30</t>
  </si>
  <si>
    <t>VN000IVEBLK1002</t>
  </si>
  <si>
    <t>VN000IVEBLK1.  XL</t>
  </si>
  <si>
    <t>VN000IVEBLK1002 - STYLE 76 SS Black, X Large</t>
  </si>
  <si>
    <t>VN000IVEWHT1002</t>
  </si>
  <si>
    <t>VN000IVEWHT1.  M</t>
  </si>
  <si>
    <t>VN000IVEWHT1002 - STYLE 76 SS White, Medium</t>
  </si>
  <si>
    <t>VN000J9JZR61009</t>
  </si>
  <si>
    <t>VN000J9JZR61REG29</t>
  </si>
  <si>
    <t>VN000J9JZR61009 - Skate Drill Chore AVE L CHO, 29, Regular</t>
  </si>
  <si>
    <t>VN000JB5JDU1001</t>
  </si>
  <si>
    <t>VN000JB5JDU1.  XL</t>
  </si>
  <si>
    <t>VN000JB5JDU1001 - Copley Bomber Jacket PARISIAN N, X Large</t>
  </si>
  <si>
    <t>VN000JBEBLK1004</t>
  </si>
  <si>
    <t>Full Patched II PO</t>
  </si>
  <si>
    <t>VN000JBEBLK1.  M</t>
  </si>
  <si>
    <t>VN000JBEBLK1004 - Full Patched II PO Black, Medium</t>
  </si>
  <si>
    <t>VN000JBK02F1002</t>
  </si>
  <si>
    <t>Digital Repair PO</t>
  </si>
  <si>
    <t>VN000JBK02F1.  S</t>
  </si>
  <si>
    <t>VN000JBK02F1002 - Digital Repair PO Cement Heather, Small</t>
  </si>
  <si>
    <t>65% cotton 35% polyester</t>
  </si>
  <si>
    <t>VN000JBRBR11003</t>
  </si>
  <si>
    <t>VN000JBRBR11.  S</t>
  </si>
  <si>
    <t>VN000JBRBR11003 - Vans Boxed PO FAIRWAY, Small</t>
  </si>
  <si>
    <t>VN000JC5LKZ1004</t>
  </si>
  <si>
    <t>Ovaline LS</t>
  </si>
  <si>
    <t>VN000JC5LKZ1.  XL</t>
  </si>
  <si>
    <t>VN000JC5LKZ1004 - Ovaline LS dress blues, X Large</t>
  </si>
  <si>
    <t>VN000JGPBLK1006</t>
  </si>
  <si>
    <t>VARSITY TANK DRESS</t>
  </si>
  <si>
    <t>VN000JGPBLK1.  M</t>
  </si>
  <si>
    <t>VN000JGPBLK1006 - VARSITY TANK DRESS Black, Medium</t>
  </si>
  <si>
    <t>93% Cotton, 7% Elastane</t>
  </si>
  <si>
    <t>VN000JGPBLK1003</t>
  </si>
  <si>
    <t>VN000JGPBLK1.  XS</t>
  </si>
  <si>
    <t>VN000JGPBLK1003 - VARSITY TANK DRESS Black, X Small</t>
  </si>
  <si>
    <t>VN000K0DDBC1001</t>
  </si>
  <si>
    <t>Printed Sidewalk Pant G</t>
  </si>
  <si>
    <t>VN000K0DDBC1.  M</t>
  </si>
  <si>
    <t>VN000K0DDBC1001 - Printed Sidewalk Pant G Bungee C, Medium</t>
  </si>
  <si>
    <t>VN000K420411004</t>
  </si>
  <si>
    <t>VN000K420411.  XL</t>
  </si>
  <si>
    <t>VN000K420411004 - Brush Script LOOSE SS Poison Gr, X Large</t>
  </si>
  <si>
    <t>VN000K9ABLK1002</t>
  </si>
  <si>
    <t>B FLAME HOODIE</t>
  </si>
  <si>
    <t>VN000K9ABLK1.  M</t>
  </si>
  <si>
    <t>VN000K9ABLK1002 - B FLAME HOODIE Black, Medium</t>
  </si>
  <si>
    <t>VN000KASFS81001</t>
  </si>
  <si>
    <t>VN000KASFS81.  S</t>
  </si>
  <si>
    <t>VN000KASFS81001 - Mesa Stripe SS Shirt marshmallow, Small</t>
  </si>
  <si>
    <t>VN000KTBCI21003</t>
  </si>
  <si>
    <t>VN000KTBCI21REGXL</t>
  </si>
  <si>
    <t>VN000KTBCI21003 - MTE Trek Guide Pant RA, X Large, Regular</t>
  </si>
  <si>
    <t>VN000KTBEMF1002</t>
  </si>
  <si>
    <t>VN000KTBEMF1REGM</t>
  </si>
  <si>
    <t>VN000KTBEMF1002 - MTE Trek Guide Pant Bay, Medium, Regular</t>
  </si>
  <si>
    <t>VN000KV1EMW1006</t>
  </si>
  <si>
    <t>Drill Chore Canvas Jack</t>
  </si>
  <si>
    <t>VN000KV1EMW1.  L</t>
  </si>
  <si>
    <t>VN000KV1EMW1006 - Drill Chore Canvas Jack Gray Oliv, Large</t>
  </si>
  <si>
    <t>VN000KVEBLK1004</t>
  </si>
  <si>
    <t>LX Spade Utility Vest</t>
  </si>
  <si>
    <t>VN000KVEBLK1.  XL</t>
  </si>
  <si>
    <t>VN000KVEBLK1004 - LX Spade Utility Vest Black, X Large</t>
  </si>
  <si>
    <t>VN000M07BLK1006</t>
  </si>
  <si>
    <t>Skate Swirl Zip</t>
  </si>
  <si>
    <t>VN000M07BLK1.  XL</t>
  </si>
  <si>
    <t>VN000M07BLK1006 - Skate Swirl Zip Black, X Large</t>
  </si>
  <si>
    <t>VN000M1ABML1004</t>
  </si>
  <si>
    <t>Tranquil SS Woven</t>
  </si>
  <si>
    <t>VN000M1ABML1.  L</t>
  </si>
  <si>
    <t>VN000M1ABML1004 - Tranquil SS Woven Black/Multi, Large</t>
  </si>
  <si>
    <t>VN000M37ZBF1001</t>
  </si>
  <si>
    <t>VN000M37ZBF1REG28</t>
  </si>
  <si>
    <t>VN000M37ZBF1001 - Check-5 Loose Corduroy LODE, 28, Regular</t>
  </si>
  <si>
    <t>VN000M4W4SS1003</t>
  </si>
  <si>
    <t>M RIDGE PANT</t>
  </si>
  <si>
    <t>Pirate Black/Pirate Black</t>
  </si>
  <si>
    <t>VN000M4W4SS1.  S</t>
  </si>
  <si>
    <t>MENS BOTTOMS</t>
  </si>
  <si>
    <t>MENS PANTS</t>
  </si>
  <si>
    <t>F02014</t>
  </si>
  <si>
    <t>VN000M4W4SS1003 - M RIDGE PANT PirtBlk/PirtBlk, Small</t>
  </si>
  <si>
    <t>VN000M5G6PH1001</t>
  </si>
  <si>
    <t>VN000M5G6PH1.  L</t>
  </si>
  <si>
    <t>VN000M5G6PH1001 - Dollface SS Purple Haze, Large</t>
  </si>
  <si>
    <t>VN000M60EMU1006</t>
  </si>
  <si>
    <t>VN000M60EMU1.  XXL</t>
  </si>
  <si>
    <t>VN000M60EMU1006 - Shop Front SS Dried Kelp, XX Large</t>
  </si>
  <si>
    <t>VN000M6XEMW1002</t>
  </si>
  <si>
    <t>VN000M6XEMW1.  XXL</t>
  </si>
  <si>
    <t>VN000M6XEMW1002 - MTE Trek Guide Womens P Gray O, XX Large</t>
  </si>
  <si>
    <t>VN000M8EKCZ1001</t>
  </si>
  <si>
    <t>VN000M8EKCZ1REG29</t>
  </si>
  <si>
    <t>VN000M8EKCZ1001 - MTE Daily Solid Sidelin GRA, 29, Regular</t>
  </si>
  <si>
    <t>VN000M8G1O71007</t>
  </si>
  <si>
    <t>VN000M8G1O71REG34</t>
  </si>
  <si>
    <t>VN000M8G1O71007 - MTE Daily Sideline Boar Asp, 34, Regular</t>
  </si>
  <si>
    <t>VN000M8JY281009</t>
  </si>
  <si>
    <t>VN000M8JY281REG38</t>
  </si>
  <si>
    <t>VN000M8JY281009 - MTE Everride Scalloped Blac, 38, Regular</t>
  </si>
  <si>
    <t>VN000M8NUUI1001</t>
  </si>
  <si>
    <t>Checkered Drip Hoodie</t>
  </si>
  <si>
    <t>VN000M8NUUI1.  L</t>
  </si>
  <si>
    <t>VN000M8NUUI1001 - Checkered Drip Hoodie EVENING HAZ, Large</t>
  </si>
  <si>
    <t>VN000M9DZBF1005</t>
  </si>
  <si>
    <t>VN000M9DZBF1.  XS</t>
  </si>
  <si>
    <t>VN000M9DZBF1005 - Stevies Sports Jersey LODEN GRE, X Small</t>
  </si>
  <si>
    <t>VN000M9MZUJ1002</t>
  </si>
  <si>
    <t>VN000M9MZUJ1.  M</t>
  </si>
  <si>
    <t>VN000M9MZUJ1002 - Charmeuse Diana Column LONDON FO, Medium</t>
  </si>
  <si>
    <t>VN000MA2CLH1007</t>
  </si>
  <si>
    <t>VN000MA2CLH1.  XXS</t>
  </si>
  <si>
    <t>VN000MA2CLH1007 - Retro PO Hoodie SHADOW LIME, XX Small</t>
  </si>
  <si>
    <t>VN000MA2EMF1001</t>
  </si>
  <si>
    <t>VN000MA2EMF1.  M</t>
  </si>
  <si>
    <t>VN000MA2EMF1001 - Retro PO Hoodie Bay Leaf, Medium</t>
  </si>
  <si>
    <t>VN000MAT7WM1002</t>
  </si>
  <si>
    <t>Relay Track Pant</t>
  </si>
  <si>
    <t>VN000MAT7WM1.  XS</t>
  </si>
  <si>
    <t>VN000MAT7WM1002 - Relay Track Pant TrBl, X Small</t>
  </si>
  <si>
    <t>VN000MBEFS81012</t>
  </si>
  <si>
    <t>VN000MBEFS81.  32</t>
  </si>
  <si>
    <t>VN000MBEFS81012 - Jennifer Shortie marshmallow, 32</t>
  </si>
  <si>
    <t>VN000MBHC9L1012</t>
  </si>
  <si>
    <t>Sirelle Over-Dyed Cut-O</t>
  </si>
  <si>
    <t>VN000MBHC9L1.  25</t>
  </si>
  <si>
    <t>VN000MBHC9L1012 - Sirelle Over-Dyed Cut-O CHERRIES JUB, 25</t>
  </si>
  <si>
    <t>VN000MBX1O71006</t>
  </si>
  <si>
    <t>VN000MBX1O71.  XXL</t>
  </si>
  <si>
    <t>VN000MBX1O71006 - Blur Fitted Crop Tank Asphalt, XX Large</t>
  </si>
  <si>
    <t>VN000MC06PH1007</t>
  </si>
  <si>
    <t>VN000MC06PH1.  XXS</t>
  </si>
  <si>
    <t>VN000MC06PH1007 - Check Wash Fitted Crop Purple, XX Small</t>
  </si>
  <si>
    <t>VN000MC0WHT1006</t>
  </si>
  <si>
    <t>VN000MC0WHT1.  XXL</t>
  </si>
  <si>
    <t>VN000MC0WHT1006 - Check Wash Fitted Crop White, XX Large</t>
  </si>
  <si>
    <t>VN000MCRBLK1003</t>
  </si>
  <si>
    <t>Decay Oversized SS</t>
  </si>
  <si>
    <t>VN000MCRBLK1.  S</t>
  </si>
  <si>
    <t>VN000MCRBLK1003 - Decay Oversized SS Black, Small</t>
  </si>
  <si>
    <t>VN000MDSYB21003</t>
  </si>
  <si>
    <t>Clare Raglan Tee</t>
  </si>
  <si>
    <t>VN000MDSYB21.  S</t>
  </si>
  <si>
    <t>VN000MDSYB21003 - Clare Raglan Tee White/Black, Small</t>
  </si>
  <si>
    <t>100% cotton 1x1 rib</t>
  </si>
  <si>
    <t>VN000ME602F1003</t>
  </si>
  <si>
    <t>Supply Boutique Pant</t>
  </si>
  <si>
    <t>VN000ME602F1.  S</t>
  </si>
  <si>
    <t>VN000ME602F1003 - Supply Boutique Pant Cement Heath, Small</t>
  </si>
  <si>
    <t>VN000MJVDZ91002</t>
  </si>
  <si>
    <t>VN000MJVDZ91REG25</t>
  </si>
  <si>
    <t>VN000MJVDZ91002 - Drill Chore Carpenter L Dir, 25, Regular</t>
  </si>
  <si>
    <t>VN000MK2BL21004</t>
  </si>
  <si>
    <t>Sneaky SS</t>
  </si>
  <si>
    <t>VN000MK2BL21.  XL</t>
  </si>
  <si>
    <t>VN000MK2BL21004 - Sneaky SS HARVEST GOLD, X Large</t>
  </si>
  <si>
    <t>VN000MKQFS81004</t>
  </si>
  <si>
    <t>Shreddler SS</t>
  </si>
  <si>
    <t>VN000MKQFS81.  XL</t>
  </si>
  <si>
    <t>VN000MKQFS81004 - Shreddler SS marshmallow, X Large</t>
  </si>
  <si>
    <t>VN000MKXRNE1004</t>
  </si>
  <si>
    <t>VN000MKXRNE1.  XL</t>
  </si>
  <si>
    <t>VN000MKXRNE1004 - Next Time SS HINT OF MINT, X Large</t>
  </si>
  <si>
    <t>VN000MM1WHT1004</t>
  </si>
  <si>
    <t>Patched In SS</t>
  </si>
  <si>
    <t>VN000MM1WHT1.  XL</t>
  </si>
  <si>
    <t>VN000MM1WHT1004 - Patched In SS White, X Large</t>
  </si>
  <si>
    <t>VN000MMMBLK1006</t>
  </si>
  <si>
    <t>Pizza Me SS</t>
  </si>
  <si>
    <t>VN000MMMBLK1.  3</t>
  </si>
  <si>
    <t>VN000MMMBLK1006 - Pizza Me SS Black, 3</t>
  </si>
  <si>
    <t>VN000MMTBLK1006</t>
  </si>
  <si>
    <t>VN000MMTBLK1.  2</t>
  </si>
  <si>
    <t>VN000MMTBLK1006 - Pawtastic SS Black, 2</t>
  </si>
  <si>
    <t>VN000MMTBLK1001</t>
  </si>
  <si>
    <t>VN000MMTBLK1.  3</t>
  </si>
  <si>
    <t>VN000MMTBLK1001 - Pawtastic SS Black, 3</t>
  </si>
  <si>
    <t>VN000MN2BR11001</t>
  </si>
  <si>
    <t>VN000MN2BR11.  L</t>
  </si>
  <si>
    <t>VN000MN2BR11001 - Sixty Sixers Jersey Dre FAIRWAY, Large</t>
  </si>
  <si>
    <t>VN000NDNCUQ1006</t>
  </si>
  <si>
    <t>Wren Colorblock Full Zi</t>
  </si>
  <si>
    <t>Gothic Olive</t>
  </si>
  <si>
    <t>VN000NDNCUQ1.  S</t>
  </si>
  <si>
    <t>VN000NDNCUQ1006 - Wren Colorblock Full Zi Gothic Ol, Small</t>
  </si>
  <si>
    <t>VN000NDUBLK1005</t>
  </si>
  <si>
    <t>Nimi Full Zip Jacket</t>
  </si>
  <si>
    <t>VN000NDUBLK1.  XS</t>
  </si>
  <si>
    <t>VN000NDUBLK1005 - Nimi Full Zip Jacket Black, X Small</t>
  </si>
  <si>
    <t>VN000NKS02F1006</t>
  </si>
  <si>
    <t>Original Standards Oval</t>
  </si>
  <si>
    <t>VN000NKS02F1.  XXL</t>
  </si>
  <si>
    <t>VN000NKS02F1006 - Original Standards Oval Cement, XX Large</t>
  </si>
  <si>
    <t>VN000NTSD6Z1001</t>
  </si>
  <si>
    <t>VN000NTSD6Z1.  L</t>
  </si>
  <si>
    <t>VN000NTSD6Z1001 - 66 BAKED IN LOOSE SS Porcelain Ro, Large</t>
  </si>
  <si>
    <t>VN000NWQWHT1003</t>
  </si>
  <si>
    <t>VN000NWQWHT1.  M</t>
  </si>
  <si>
    <t>VN000NWQWHT1003 - B HASTA LA SHAKA SS White, Medium</t>
  </si>
  <si>
    <t>VN000P1P12Q1001</t>
  </si>
  <si>
    <t>VN000P1P12Q1.  L</t>
  </si>
  <si>
    <t>VN000P1P12Q1001 - LEFT CHEST II LOOSE SS Solar, Large</t>
  </si>
  <si>
    <t>VN000P1PEML1004</t>
  </si>
  <si>
    <t>VN000P1PEML1.  M</t>
  </si>
  <si>
    <t>VN000P1PEML1004 - LEFT CHEST II LOOSE SS Cloud Blu, Medium</t>
  </si>
  <si>
    <t>VN000P1PEMU1004</t>
  </si>
  <si>
    <t>VN000P1PEMU1.  XL</t>
  </si>
  <si>
    <t>VN000P1PEMU1004 - LEFT CHEST II LOOSE SS Dried Ke, X Large</t>
  </si>
  <si>
    <t>VN000P1S1QI1006</t>
  </si>
  <si>
    <t>LEFT CHEST II LOOSE LS</t>
  </si>
  <si>
    <t>VN000P1S1QI1.  XXL</t>
  </si>
  <si>
    <t>VN000P1S1QI1006 - LEFT CHEST II LOOSE LS Light G, XX Large</t>
  </si>
  <si>
    <t>60% cotton 40% polyester</t>
  </si>
  <si>
    <t>VN000P21EMU1005</t>
  </si>
  <si>
    <t>VN000P21EMU1.  XS</t>
  </si>
  <si>
    <t>VN000P21EMU1005 - LEFT CHEST II LOOSE PO Dried Ke, X Small</t>
  </si>
  <si>
    <t>VN000P50EMF1004</t>
  </si>
  <si>
    <t>VN000P50EMF1.  L</t>
  </si>
  <si>
    <t>VN000P50EMF1004 - STYLE 76 II LOOSE SS TE Bay Leaf, Large</t>
  </si>
  <si>
    <t>VN000P51EMS1006</t>
  </si>
  <si>
    <t>VN000P51EMS1.  XL</t>
  </si>
  <si>
    <t>VN000P51EMS1006 - STYLE 76 II LOOSE FT PO Dark Po, X Large</t>
  </si>
  <si>
    <t>VN000P51EMS1004</t>
  </si>
  <si>
    <t>VN000P51EMS1.  XS</t>
  </si>
  <si>
    <t>VN000P51EMS1004 - STYLE 76 II LOOSE FT PO Dark Po, X Small</t>
  </si>
  <si>
    <t>VN000P51O321002</t>
  </si>
  <si>
    <t>VN000P51O321.  M</t>
  </si>
  <si>
    <t>VN000P51O321002 - STYLE 76 II LOOSE FT PO PASTEL P, Medium</t>
  </si>
  <si>
    <t>VN000P52Y281004</t>
  </si>
  <si>
    <t>STYLE 76 II LOOSE FT CR</t>
  </si>
  <si>
    <t>VN000P52Y281.  XL</t>
  </si>
  <si>
    <t>VN000P52Y281004 - STYLE 76 II LOOSE FT CR Black/W, X Large</t>
  </si>
  <si>
    <t>VN000P56EMW1006</t>
  </si>
  <si>
    <t>SALTON LOOSE SS</t>
  </si>
  <si>
    <t>VN000P56EMW1.  XXL</t>
  </si>
  <si>
    <t>VN000P56EMW1006 - SALTON LOOSE SS Gray Olive, XX Large</t>
  </si>
  <si>
    <t>VN000P58O3N1002</t>
  </si>
  <si>
    <t>VN000P58O3N1.  M</t>
  </si>
  <si>
    <t>VN000P58O3N1002 - SALTON LOOSE FT PO SEPIA ROSE, Medium</t>
  </si>
  <si>
    <t>VN000P5S14A1002</t>
  </si>
  <si>
    <t>VN000P5S14A1.  L</t>
  </si>
  <si>
    <t>VN000P5S14A1002 - B SALTON SS Chili Pepper, Large</t>
  </si>
  <si>
    <t>VN000P5S14A1004</t>
  </si>
  <si>
    <t>VN000P5S14A1.  S</t>
  </si>
  <si>
    <t>VN000P5S14A1004 - B SALTON SS Chili Pepper, Small</t>
  </si>
  <si>
    <t>VN000P5SEMW1002</t>
  </si>
  <si>
    <t>VN000P5SEMW1.  M</t>
  </si>
  <si>
    <t>VN000P5SEMW1002 - B SALTON SS Gray Olive, Medium</t>
  </si>
  <si>
    <t>VN000P5SEMW1004</t>
  </si>
  <si>
    <t>VN000P5SEMW1.  XL</t>
  </si>
  <si>
    <t>VN000P5SEMW1004 - B SALTON SS Gray Olive, X Large</t>
  </si>
  <si>
    <t>VN000P73Y281002</t>
  </si>
  <si>
    <t>VN000P73Y281.  L</t>
  </si>
  <si>
    <t>VN000P73Y281002 - Torrey Nylon Coaches Ja Black/Whi, Large</t>
  </si>
  <si>
    <t>VN000P8A02F1002</t>
  </si>
  <si>
    <t>VN000P8A02F1.  XS</t>
  </si>
  <si>
    <t>VN000P8A02F1002 - Original Standards 2-To Cement, X Small</t>
  </si>
  <si>
    <t>VN000P8A02F1001</t>
  </si>
  <si>
    <t>VN000P8A02F1.  XXL</t>
  </si>
  <si>
    <t>VN000P8A02F1001 - Original Standards 2-To Cement, XX Large</t>
  </si>
  <si>
    <t>VN000P8GBLK1001</t>
  </si>
  <si>
    <t>VN000P8GBLK1.  L</t>
  </si>
  <si>
    <t>VN000P8GBLK1001 - Deteremined Pullover Black, Large</t>
  </si>
  <si>
    <t>VN000P93EMT1006</t>
  </si>
  <si>
    <t>Classified Crew Sweater</t>
  </si>
  <si>
    <t>VN000P93EMT1.  XL</t>
  </si>
  <si>
    <t>VN000P93EMT1006 - Classified Crew Sweater Deep Tw, X Large</t>
  </si>
  <si>
    <t>93%cotton 7% polyamide</t>
  </si>
  <si>
    <t>VN000PAUBLK1004</t>
  </si>
  <si>
    <t>VN000PAUBLK1.  S</t>
  </si>
  <si>
    <t>VN000PAUBLK1004 - Star Checker Crew Black, Small</t>
  </si>
  <si>
    <t>VN000PAZBLK1001</t>
  </si>
  <si>
    <t>VN000PAZBLK1.  S</t>
  </si>
  <si>
    <t>VN000PAZBLK1001 - Punk Patch Pullover Black, Small</t>
  </si>
  <si>
    <t>VN000PBX6JL1005</t>
  </si>
  <si>
    <t>VN000PBX6JL1.  L</t>
  </si>
  <si>
    <t>VN000PBX6JL1005 - 3D Retroval SS Canary Yellow, Large</t>
  </si>
  <si>
    <t>VN000PCXEMS1005</t>
  </si>
  <si>
    <t>Style Tips SS</t>
  </si>
  <si>
    <t>VN000PCXEMS1.  L</t>
  </si>
  <si>
    <t>VN000PCXEMS1005 - Style Tips SS Dark Port, Large</t>
  </si>
  <si>
    <t>VN000PDREMS1004</t>
  </si>
  <si>
    <t>VN000PDREMS1.  M</t>
  </si>
  <si>
    <t>VN000PDREMS1004 - Star Checker SS Dark Port, Medium</t>
  </si>
  <si>
    <t>VN000PEYF0D1003</t>
  </si>
  <si>
    <t>Bay Leaf/Black</t>
  </si>
  <si>
    <t>VN000PEYF0D1.  XL</t>
  </si>
  <si>
    <t>VN000PEYF0D1003 - Determined SS Bay Leaf/Black, X Large</t>
  </si>
  <si>
    <t>VN000PGKFS81006</t>
  </si>
  <si>
    <t>VN000PGKFS81.  L</t>
  </si>
  <si>
    <t>VN000PGKFS81006 - Metal Wall Full Zip marshmallow, Large</t>
  </si>
  <si>
    <t>VN000PGKFS81003</t>
  </si>
  <si>
    <t>VN000PGKFS81.  XL</t>
  </si>
  <si>
    <t>VN000PGKFS81003 - Metal Wall Full Zip marshmallow, X Large</t>
  </si>
  <si>
    <t>VN000PH6IYR1022</t>
  </si>
  <si>
    <t>VN000PH6IYR130 29</t>
  </si>
  <si>
    <t>VN000PH6IYR1022 - Check-5 Loose Denim Pan FADED DE, 29, 30</t>
  </si>
  <si>
    <t>VN000PHPAFM1010</t>
  </si>
  <si>
    <t>VN000PHPAFM1REG32</t>
  </si>
  <si>
    <t>VN000PHPAFM1010 - Drill Chore Carpenter L Ind, 32, Regular</t>
  </si>
  <si>
    <t>VN000PJ7BLK1002</t>
  </si>
  <si>
    <t>MTE Bridgewood Reversib</t>
  </si>
  <si>
    <t>VN000PJ7BLK1.  XL</t>
  </si>
  <si>
    <t>VN000PJ7BLK1002 - MTE Bridgewood Reversib Black, X Large</t>
  </si>
  <si>
    <t>VN000PJMBLK1003</t>
  </si>
  <si>
    <t>VN000PJMBLK1.  S</t>
  </si>
  <si>
    <t>VN000PJMBLK1003 - MTE TeamTeam Full Zip Black, Small</t>
  </si>
  <si>
    <t>VN000PJMZBF1006</t>
  </si>
  <si>
    <t>VN000PJMZBF1.  XXL</t>
  </si>
  <si>
    <t>VN000PJMZBF1006 - MTE TeamTeam Full Zip LODEN GR, XX Large</t>
  </si>
  <si>
    <t>VN000PJSBLK1002</t>
  </si>
  <si>
    <t>VN000PJSBLK1.  XXL</t>
  </si>
  <si>
    <t>VN000PJSBLK1002 - MTE Keep Out SS Tee Black, XX Large</t>
  </si>
  <si>
    <t>VN000PJSD3Z1006</t>
  </si>
  <si>
    <t>VN000PJSD3Z1.  L</t>
  </si>
  <si>
    <t>VN000PJSD3Z1006 - MTE Keep Out SS Tee Elm, Large</t>
  </si>
  <si>
    <t>VN000PKEEN61003</t>
  </si>
  <si>
    <t>MTE Kennett Printed PO</t>
  </si>
  <si>
    <t>VN000PKEEN61.  S</t>
  </si>
  <si>
    <t>VN000PKEEN61003 - MTE Kennett Printed PO Pine Fores, Small</t>
  </si>
  <si>
    <t>60% COTTON / 40% RECYCLED POLYESTER</t>
  </si>
  <si>
    <t>VN000PMABLK1003</t>
  </si>
  <si>
    <t>VN000PMABLK1.  XS</t>
  </si>
  <si>
    <t>VN000PMABLK1003 - Hi-Country 3L Snow Jack Black, X Small</t>
  </si>
  <si>
    <t>VN000PMAEMW1003</t>
  </si>
  <si>
    <t>VN000PMAEMW1.  XL</t>
  </si>
  <si>
    <t>VN000PMAEMW1003 - Hi-Country 3L Snow Jack Gray Ol, X Large</t>
  </si>
  <si>
    <t>VN000PMFEB21005</t>
  </si>
  <si>
    <t>VN000PMFEB21.  S</t>
  </si>
  <si>
    <t>VN000PMFEB21005 - Hellbound Snow Jacket 2 Black/Par, Small</t>
  </si>
  <si>
    <t>VN000PMHEB21006</t>
  </si>
  <si>
    <t>VN000PMHEB21REGXL</t>
  </si>
  <si>
    <t>VN000PMHEB21006 - Hellbound Snow Pant 2., X Large, Regular</t>
  </si>
  <si>
    <t>VN000PMHENB1005</t>
  </si>
  <si>
    <t>VN000PMHENB1REGXL</t>
  </si>
  <si>
    <t>VN000PMHENB1005 - Hellbound Snow Pant 2., X Large, Regular</t>
  </si>
  <si>
    <t>VN000PMNEMP1001</t>
  </si>
  <si>
    <t>VN000PMNEMP1.  L</t>
  </si>
  <si>
    <t>VN000PMNEMP1001 - Skate Garage Denim Jack Coal Brow, Large</t>
  </si>
  <si>
    <t>VN000PMNEMP1002</t>
  </si>
  <si>
    <t>VN000PMNEMP1.  M</t>
  </si>
  <si>
    <t>VN000PMNEMP1002 - Skate Garage Denim Jack Coal Bro, Medium</t>
  </si>
  <si>
    <t>VN000PMXEMU1004</t>
  </si>
  <si>
    <t>VN000PMXEMU1.  S</t>
  </si>
  <si>
    <t>VN000PMXEMU1004 - Skate LS Thermal Dried Kelp, Small</t>
  </si>
  <si>
    <t>VN000PMXEMU1003</t>
  </si>
  <si>
    <t>VN000PMXEMU1.  XL</t>
  </si>
  <si>
    <t>VN000PMXEMU1003 - Skate LS Thermal Dried Kelp, X Large</t>
  </si>
  <si>
    <t>VN000PN9ZX71002</t>
  </si>
  <si>
    <t>VN000PN9ZX71.  XS</t>
  </si>
  <si>
    <t>VN000PN9ZX71002 - Skate Atiba Haze Hug SS Spicy M, X Small</t>
  </si>
  <si>
    <t>VN000PNABLK1003</t>
  </si>
  <si>
    <t>Skate Flame SS Tee</t>
  </si>
  <si>
    <t>VN000PNABLK1.  XL</t>
  </si>
  <si>
    <t>VN000PNABLK1003 - Skate Flame SS Tee Black, X Large</t>
  </si>
  <si>
    <t>VN000PNCRKZ1006</t>
  </si>
  <si>
    <t>Skate Splatter SS Tee</t>
  </si>
  <si>
    <t>ASH HEATHER</t>
  </si>
  <si>
    <t>VN000PNCRKZ1.  L</t>
  </si>
  <si>
    <t>VN000PNCRKZ1006 - Skate Splatter SS Tee ASH HEATHER, Large</t>
  </si>
  <si>
    <t>VN000PNCRKZ1005</t>
  </si>
  <si>
    <t>VN000PNCRKZ1.  M</t>
  </si>
  <si>
    <t>VN000PNCRKZ1005 - Skate Splatter SS Tee ASH HEATHE, Medium</t>
  </si>
  <si>
    <t>VN000PPJ02F1004</t>
  </si>
  <si>
    <t>VN000PPJ02F1.  S</t>
  </si>
  <si>
    <t>VN000PPJ02F1004 - Van-Archy Label Zip Cement Heathe, Small</t>
  </si>
  <si>
    <t>VN000PPUEN71002</t>
  </si>
  <si>
    <t>The Chain Hoodie</t>
  </si>
  <si>
    <t>VN000PPUEN71.  M</t>
  </si>
  <si>
    <t>VN000PPUEN71002 - The Chain Hoodie Pink Dawn, Medium</t>
  </si>
  <si>
    <t>VN000PQWBLK1001</t>
  </si>
  <si>
    <t>VN000PQWBLK1.  S</t>
  </si>
  <si>
    <t>VN000PQWBLK1001 - Upworn Fitted Tank Black, Small</t>
  </si>
  <si>
    <t>VN000PQWEMF1003</t>
  </si>
  <si>
    <t>VN000PQWEMF1.  M</t>
  </si>
  <si>
    <t>VN000PQWEMF1003 - Upworn Fitted Tank Bay Leaf, Medium</t>
  </si>
  <si>
    <t>VN000PQWEMF1005</t>
  </si>
  <si>
    <t>VN000PQWEMF1.  XS</t>
  </si>
  <si>
    <t>VN000PQWEMF1005 - Upworn Fitted Tank Bay Leaf, X Small</t>
  </si>
  <si>
    <t>VN000PQWEMF1001</t>
  </si>
  <si>
    <t>VN000PQWEMF1.  XXL</t>
  </si>
  <si>
    <t>VN000PQWEMF1001 - Upworn Fitted Tank Bay Leaf, XX Large</t>
  </si>
  <si>
    <t>VN000PR2BLK1004</t>
  </si>
  <si>
    <t>Monotonic Fitted Tank</t>
  </si>
  <si>
    <t>VN000PR2BLK1.  S</t>
  </si>
  <si>
    <t>VN000PR2BLK1004 - Monotonic Fitted Tank Black, Small</t>
  </si>
  <si>
    <t>VN000PR3BLK1003</t>
  </si>
  <si>
    <t>VN000PR3BLK1.  L</t>
  </si>
  <si>
    <t>VN000PR3BLK1003 - Afterburn Relaxed Crop Black, Large</t>
  </si>
  <si>
    <t>VN000PR3EN91004</t>
  </si>
  <si>
    <t>VN000PR3EN91.  XXS</t>
  </si>
  <si>
    <t>VN000PR3EN91004 - Afterburn Relaxed Crop Taupe M, XX Small</t>
  </si>
  <si>
    <t>VN000PR485T1002</t>
  </si>
  <si>
    <t>VN000PR485T1.  M</t>
  </si>
  <si>
    <t>VN000PR485T1002 - Era Script Relaxed Crop Frost Gr, Medium</t>
  </si>
  <si>
    <t>VN000PR485T1006</t>
  </si>
  <si>
    <t>VN000PR485T1.  XS</t>
  </si>
  <si>
    <t>VN000PR485T1006 - Era Script Relaxed Crop Frost G, X Small</t>
  </si>
  <si>
    <t>VN000PREEMW1002</t>
  </si>
  <si>
    <t>VN000PREEMW1.  S</t>
  </si>
  <si>
    <t>VN000PREEMW1002 - Perforate OS SS Gray Olive, Small</t>
  </si>
  <si>
    <t>VN000PTBF0W1001</t>
  </si>
  <si>
    <t>VN000PTBF0W1.  L</t>
  </si>
  <si>
    <t>VN000PTBF0W1001 - Heights High Pile Full Black/Herr, Large</t>
  </si>
  <si>
    <t>VN000PWQGRH1001</t>
  </si>
  <si>
    <t>Imprint SS BFF Tee</t>
  </si>
  <si>
    <t>Grey Heather</t>
  </si>
  <si>
    <t>VN000PWQGRH1.  L</t>
  </si>
  <si>
    <t>VN000PWQGRH1001 - Imprint SS BFF Tee Grey Heather, Large</t>
  </si>
  <si>
    <t>30/1 90% cotton 10% polyester</t>
  </si>
  <si>
    <t>VN000PWVEMW1001</t>
  </si>
  <si>
    <t>Classic Oval Crew</t>
  </si>
  <si>
    <t>VN000PWVEMW1.  L</t>
  </si>
  <si>
    <t>VN000PWVEMW1001 - Classic Oval Crew Gray Olive, Large</t>
  </si>
  <si>
    <t>VN000PWVEMW1002</t>
  </si>
  <si>
    <t>VN000PWVEMW1.  M</t>
  </si>
  <si>
    <t>VN000PWVEMW1002 - Classic Oval Crew Gray Olive, Medium</t>
  </si>
  <si>
    <t>VN000PWVEMW1004</t>
  </si>
  <si>
    <t>VN000PWVEMW1.  XL</t>
  </si>
  <si>
    <t>VN000PWVEMW1004 - Classic Oval Crew Gray Olive, X Large</t>
  </si>
  <si>
    <t>VN000PWXBLK1004</t>
  </si>
  <si>
    <t>VN000PWXBLK1.  L</t>
  </si>
  <si>
    <t>VN000PWXBLK1004 - Stockpile Pullover Black, Large</t>
  </si>
  <si>
    <t>VN000PX2EMP1003</t>
  </si>
  <si>
    <t>Rippled Full Zip</t>
  </si>
  <si>
    <t>VN000PX2EMP1.  L</t>
  </si>
  <si>
    <t>VN000PX2EMP1003 - Rippled Full Zip Coal Brown, Large</t>
  </si>
  <si>
    <t>VN000PX3EN61002</t>
  </si>
  <si>
    <t>VN000PX3EN61.  M</t>
  </si>
  <si>
    <t>VN000PX3EN61002 - Metal Wall Pine Forest, Medium</t>
  </si>
  <si>
    <t>VN000PX3EN61003</t>
  </si>
  <si>
    <t>VN000PX3EN61.  S</t>
  </si>
  <si>
    <t>VN000PX3EN61003 - Metal Wall Pine Forest, Small</t>
  </si>
  <si>
    <t>VN000PX9RV21001</t>
  </si>
  <si>
    <t>Let Loose Pullover</t>
  </si>
  <si>
    <t>VN000PX9RV21.  L</t>
  </si>
  <si>
    <t>VN000PX9RV21001 - Let Loose Pullover STORMY WEATHER, Large</t>
  </si>
  <si>
    <t>VN000PX9RV21002</t>
  </si>
  <si>
    <t>VN000PX9RV21.  M</t>
  </si>
  <si>
    <t>VN000PX9RV21002 - Let Loose Pullover STORMY WEATHE, Medium</t>
  </si>
  <si>
    <t>VN000PXG02F1004</t>
  </si>
  <si>
    <t>VN000PXG02F1.  M</t>
  </si>
  <si>
    <t>VN000PXG02F1004 - Star Checker Crew Cement Heather, Medium</t>
  </si>
  <si>
    <t>VN000PXG02F1002</t>
  </si>
  <si>
    <t>VN000PXG02F1.  S</t>
  </si>
  <si>
    <t>VN000PXG02F1002 - Star Checker Crew Cement Heather, Small</t>
  </si>
  <si>
    <t>VN000PXMCDX1002</t>
  </si>
  <si>
    <t>VN000PXMCDX1.  L</t>
  </si>
  <si>
    <t>VN000PXMCDX1002 - Denim Baseball Jacket STONEWASH/B, Large</t>
  </si>
  <si>
    <t>VN000PXTRV21003</t>
  </si>
  <si>
    <t>VN000PXTRV21.  S</t>
  </si>
  <si>
    <t>VN000PXTRV21003 - Cactus Wire SS STORMY WEATHER, Small</t>
  </si>
  <si>
    <t>VN000PXWWHT1003</t>
  </si>
  <si>
    <t>VN000PXWWHT1.  XL</t>
  </si>
  <si>
    <t>VN000PXWWHT1003 - Vans Inferno LS White, X Large</t>
  </si>
  <si>
    <t>VN000PXXBLK1002</t>
  </si>
  <si>
    <t>VN000PXXBLK1.  S</t>
  </si>
  <si>
    <t>VN000PXXBLK1002 - Let Loose SS Black, Small</t>
  </si>
  <si>
    <t>VN000PXXWHT1001</t>
  </si>
  <si>
    <t>VN000PXXWHT1.  XL</t>
  </si>
  <si>
    <t>VN000PXXWHT1001 - Let Loose SS White, X Large</t>
  </si>
  <si>
    <t>VN000PY4WHT1002</t>
  </si>
  <si>
    <t>VN000PY4WHT1.  S</t>
  </si>
  <si>
    <t>VN000PY4WHT1002 - Goblin Step SS White, Small</t>
  </si>
  <si>
    <t>VN000PYXJDU1002</t>
  </si>
  <si>
    <t>Dizzy Bear Full Zip</t>
  </si>
  <si>
    <t>VN000PYXJDU1.  6</t>
  </si>
  <si>
    <t>VN000PYXJDU1002 - Dizzy Bear Full Zip PARISIAN NIGHT, 6</t>
  </si>
  <si>
    <t>VN000Q09GC61006</t>
  </si>
  <si>
    <t>VN000Q09GC61REG23</t>
  </si>
  <si>
    <t>VN000Q09GC61006 - Check-5 Loose Denim Pan Mid, 23, Regular</t>
  </si>
  <si>
    <t>VN000Q0ACDX1006</t>
  </si>
  <si>
    <t>Check-5 Loose Camo Prin</t>
  </si>
  <si>
    <t>VN000Q0ACDX1REG26</t>
  </si>
  <si>
    <t>VN000Q0ACDX1006 - Check-5 Loose Camo Prin STO, 26, Regular</t>
  </si>
  <si>
    <t>VN000Q0PEMP1003</t>
  </si>
  <si>
    <t>VN000Q0PEMP1.  XXL</t>
  </si>
  <si>
    <t>VN000Q0PEMP1003 - Claire Embellished Baby Coal B, XX Large</t>
  </si>
  <si>
    <t>VN000Q0VEMS1005</t>
  </si>
  <si>
    <t>VN000Q0VEMS1.  S</t>
  </si>
  <si>
    <t>VN000Q0VEMS1005 - Ludlow Mesh Long Sleeve Dark Port, Small</t>
  </si>
  <si>
    <t>VN000Q3002F1004</t>
  </si>
  <si>
    <t>VN000Q3002F1.  XL</t>
  </si>
  <si>
    <t>VN000Q3002F1004 - Upworn Retro Crew Cement Heathe, X Large</t>
  </si>
  <si>
    <t>VN000Q39EN91002</t>
  </si>
  <si>
    <t>VN000Q39EN91.  M</t>
  </si>
  <si>
    <t>VN000Q39EN91002 - After Dark Retro Hoodie Taupe Mi, Medium</t>
  </si>
  <si>
    <t>VN000Q74EN61005</t>
  </si>
  <si>
    <t>VN000Q74EN61REG29</t>
  </si>
  <si>
    <t>VN000Q74EN61005 - Skate Loose Atiba Haze Pine, 29, Regular</t>
  </si>
  <si>
    <t>VN000Q74EN61008</t>
  </si>
  <si>
    <t>VN000Q74EN61REG30</t>
  </si>
  <si>
    <t>VN000Q74EN61008 - Skate Loose Atiba Haze Pine, 30, Regular</t>
  </si>
  <si>
    <t>VN000Q7712Q1005</t>
  </si>
  <si>
    <t>VN000Q7712Q1.  XL</t>
  </si>
  <si>
    <t>VN000Q7712Q1005 - Skate Atiba Haze Zip Solar, X Large</t>
  </si>
  <si>
    <t>VN000QF3BLK1007</t>
  </si>
  <si>
    <t>VN000QF3BLK1.  L</t>
  </si>
  <si>
    <t>VN000QF3BLK1007 - Everyday OS Hoodie Black, Large</t>
  </si>
  <si>
    <t>VN000QFGDJR1002</t>
  </si>
  <si>
    <t>ALLOVER CHECK CREW SS</t>
  </si>
  <si>
    <t>VN000QFGDJR1.  M</t>
  </si>
  <si>
    <t>VN000QFGDJR1002 - ALLOVER CHECK CREW SS turtledove, Medium</t>
  </si>
  <si>
    <t>Lifestyle</t>
  </si>
  <si>
    <t>VN000QN8Y281003</t>
  </si>
  <si>
    <t>FULL PATCH</t>
  </si>
  <si>
    <t>VN000QN8Y281.  S</t>
  </si>
  <si>
    <t>VN000QN8Y281003 - FULL PATCH Black/White, Small</t>
  </si>
  <si>
    <t>VN000QN8Y281005</t>
  </si>
  <si>
    <t>VN000QN8Y281.  XS</t>
  </si>
  <si>
    <t>VN000QN8Y281005 - FULL PATCH Black/White, X Small</t>
  </si>
  <si>
    <t>VN000R03EN71002</t>
  </si>
  <si>
    <t>VN000R03EN71.  L</t>
  </si>
  <si>
    <t>VN000R03EN71002 - Metal Wall SS Pink Dawn, Large</t>
  </si>
  <si>
    <t>VN000R05ATH1002</t>
  </si>
  <si>
    <t>Athletic Heather</t>
  </si>
  <si>
    <t>VN000R05ATH1.  M</t>
  </si>
  <si>
    <t>VN000R05ATH1002 - Classified SS Athletic Heathe, Medium</t>
  </si>
  <si>
    <t>30/1 90% COTTON 10% POLYESTER</t>
  </si>
  <si>
    <t>VN000R4Z7D61011</t>
  </si>
  <si>
    <t>VN000R4Z7D61REG29</t>
  </si>
  <si>
    <t>VN000R4Z7D61011 - Skate Loose Atiba Haze MUSH, 29, Regular</t>
  </si>
  <si>
    <t>VN000R4ZEMP1004</t>
  </si>
  <si>
    <t>VN000R4ZEMP1REG34</t>
  </si>
  <si>
    <t>VN000R4ZEMP1004 - Skate Loose Atiba Haze Coal, 34, Regular</t>
  </si>
  <si>
    <t>VN000R52FS81006</t>
  </si>
  <si>
    <t>Kawaii Sweater Hoodie</t>
  </si>
  <si>
    <t>VN000R52FS81.  XXS</t>
  </si>
  <si>
    <t>VN000R52FS81006 - Kawaii Sweater Hoodie marshmal, XX Small</t>
  </si>
  <si>
    <t>65%acrylic 35%polyester</t>
  </si>
  <si>
    <t>VN000R8XBLK1006</t>
  </si>
  <si>
    <t>VN000R8XBLK1.  S</t>
  </si>
  <si>
    <t>VN000R8XBLK1006 - RAW INSTINCT JACKET Black, Small</t>
  </si>
  <si>
    <t>VN000R8XBLK1004</t>
  </si>
  <si>
    <t>VN000R8XBLK1.  XS</t>
  </si>
  <si>
    <t>VN000R8XBLK1004 - RAW INSTINCT JACKET Black, X Small</t>
  </si>
  <si>
    <t>VN000R90EMV1002</t>
  </si>
  <si>
    <t>RAW INSTINCT FZ HOODIE</t>
  </si>
  <si>
    <t>VN000R90EMV1.  L</t>
  </si>
  <si>
    <t>VN000R90EMV1002 - RAW INSTINCT FZ HOODIE Faded Blac, Large</t>
  </si>
  <si>
    <t>VN000R92EMF1001</t>
  </si>
  <si>
    <t>VN000R92EMF1.  L</t>
  </si>
  <si>
    <t>VN000R92EMF1001 - RAW INSTINCT MIRROR SWE Bay Leaf, Large</t>
  </si>
  <si>
    <t>VN000R92EMF1002</t>
  </si>
  <si>
    <t>VN000R92EMF1.  M</t>
  </si>
  <si>
    <t>VN000R92EMF1002 - RAW INSTINCT MIRROR SWE Bay Leaf, Medium</t>
  </si>
  <si>
    <t>VN000R92EMF1005</t>
  </si>
  <si>
    <t>VN000R92EMF1.  XS</t>
  </si>
  <si>
    <t>VN000R92EMF1005 - RAW INSTINCT MIRROR SWE Bay Lea, X Small</t>
  </si>
  <si>
    <t>VN000R92FBG1006</t>
  </si>
  <si>
    <t>VN000R92FBG1.  XL</t>
  </si>
  <si>
    <t>VN000R92FBG1006 - RAW INSTINCT MIRROR SWE MORNING, X Large</t>
  </si>
  <si>
    <t>VN000R92FBG1001</t>
  </si>
  <si>
    <t>VN000R92FBG1.  XS</t>
  </si>
  <si>
    <t>VN000R92FBG1001 - RAW INSTINCT MIRROR SWE MORNING, X Small</t>
  </si>
  <si>
    <t>VN000R95EMV1003</t>
  </si>
  <si>
    <t>RAW INSTINCT THINKER SS</t>
  </si>
  <si>
    <t>VN000R95EMV1.  XL</t>
  </si>
  <si>
    <t>VN000R95EMV1003 - RAW INSTINCT THINKER SS Faded B, X Large</t>
  </si>
  <si>
    <t>VN000R95EMV1002</t>
  </si>
  <si>
    <t>VN000R95EMV1.  XS</t>
  </si>
  <si>
    <t>VN000R95EMV1002 - RAW INSTINCT THINKER SS Faded B, X Small</t>
  </si>
  <si>
    <t>VN000RAPFS81006</t>
  </si>
  <si>
    <t>VN000RAPFS81.  XXL</t>
  </si>
  <si>
    <t>VN000RAPFS81006 - BLOCKED BOX LOOSE SS marshmall, XX Large</t>
  </si>
  <si>
    <t>VN000RC0Y7U1006</t>
  </si>
  <si>
    <t>Emily DIY Pants</t>
  </si>
  <si>
    <t>VN000RC0Y7U1.  29</t>
  </si>
  <si>
    <t>VN000RC0Y7U1006 - Emily DIY Pants AFTER DARK, 29</t>
  </si>
  <si>
    <t>VN000RFR1QI1006</t>
  </si>
  <si>
    <t>VN000RFR1QI1.  XS</t>
  </si>
  <si>
    <t>VN000RFR1QI1006 - HEAVY THINKER LOOSE FIT Light G, X Small</t>
  </si>
  <si>
    <t>VN000RG0EML1006</t>
  </si>
  <si>
    <t>VN000RG0EML1.  XXL</t>
  </si>
  <si>
    <t>VN000RG0EML1006 - MIRROR V LOOSE CREW Cloud Blue, XX Large</t>
  </si>
  <si>
    <t>VN000RG0EMS1002</t>
  </si>
  <si>
    <t>VN000RG0EMS1.  XS</t>
  </si>
  <si>
    <t>VN000RG0EMS1002 - MIRROR V LOOSE CREW Dark Port, X Small</t>
  </si>
  <si>
    <t>VN000XBZIZQ1002</t>
  </si>
  <si>
    <t>VN000XBZIZQ1.  XS</t>
  </si>
  <si>
    <t>VN000XBZIZQ1002 - LEOPARD OVAL RINGER TEE RACING, X Small</t>
  </si>
  <si>
    <t>VN000Y8VY281002</t>
  </si>
  <si>
    <t>VANS CLASSIC TANK</t>
  </si>
  <si>
    <t>VN000Y8VY281.  M</t>
  </si>
  <si>
    <t>VN000Y8VY281002 - VANS CLASSIC TANK Black/White, Medium</t>
  </si>
  <si>
    <t>VN00104UEMS1004</t>
  </si>
  <si>
    <t>VN00104UEMS1.  XL</t>
  </si>
  <si>
    <t>VN00104UEMS1004 - Club Vans SS Dark Port, X Large</t>
  </si>
  <si>
    <t>VN0A3CZENAV1002</t>
  </si>
  <si>
    <t>VN0A3CZENAV1.  XS</t>
  </si>
  <si>
    <t>VN0A3CZENAV1002 - LEFT CHEST LOGO TEE Navy/White, X Small</t>
  </si>
  <si>
    <t>VN0A3CZEYB21001</t>
  </si>
  <si>
    <t>VN0A3CZEYB21.  XS</t>
  </si>
  <si>
    <t>VN0A3CZEYB21001 - LEFT CHEST LOGO TEE White/Black, X Small</t>
  </si>
  <si>
    <t>VN0A3HWCBLK1004</t>
  </si>
  <si>
    <t>BY EXPOSITION CHECK</t>
  </si>
  <si>
    <t>VN0A3HWCBLK1.  S</t>
  </si>
  <si>
    <t>VN0A3HWCBLK1004 - BY EXPOSITION CHECK Black, Small</t>
  </si>
  <si>
    <t>VN0A5FJJ1RE1003</t>
  </si>
  <si>
    <t>VN0A5FJJ1RE1REGS</t>
  </si>
  <si>
    <t>VN0A5FJJ1RE1003 - RANGE RELAXED ELASTIC P, Small, Regular</t>
  </si>
  <si>
    <t>VN000H4ZZX71001</t>
  </si>
  <si>
    <t>VN000H4ZZX71.  OS</t>
  </si>
  <si>
    <t>VN000H4ZZX71001 - Old Skool Drop V Backpa Spicy, One Size</t>
  </si>
  <si>
    <t>VN000Q9F29B1001</t>
  </si>
  <si>
    <t>Hooked On Bag</t>
  </si>
  <si>
    <t>VN000Q9F29B1.  OS</t>
  </si>
  <si>
    <t>VN000Q9F29B1001 - Hooked On Bag Black Camo, One Size</t>
  </si>
  <si>
    <t>VN0005UF6QU1009</t>
  </si>
  <si>
    <t>Greener Pastures</t>
  </si>
  <si>
    <t>VN0005UF6QU1M  085</t>
  </si>
  <si>
    <t>VN0005UF6QU1009 - Old Skool CTHR DKGRN, 8.5, Medium</t>
  </si>
  <si>
    <t>VN0007P9KAQ1004</t>
  </si>
  <si>
    <t>VN0007P9KAQ1M  095</t>
  </si>
  <si>
    <t>VN0007P9KAQ1004 - Caldrone SUME LGREY, 9.5, Medium</t>
  </si>
  <si>
    <t>VN0009Q7YY61007</t>
  </si>
  <si>
    <t>VN0009Q7YY61M  060</t>
  </si>
  <si>
    <t>VN0009Q7YY61007 - Classic Slip-On Black/Leopard, 6, Medium</t>
  </si>
  <si>
    <t>VN000BCEBA21007</t>
  </si>
  <si>
    <t>VN000BCEBA21M  065</t>
  </si>
  <si>
    <t>VN000BCEBA21007 - UltraRange Neo VR3 BLACK/WH, 6.5, Medium</t>
  </si>
  <si>
    <t>VN000BCELLC1016</t>
  </si>
  <si>
    <t>VN000BCELLC1M  070</t>
  </si>
  <si>
    <t>VN000BCELLC1016 - UltraRange Neo VR3 Lilac, 7, Medium</t>
  </si>
  <si>
    <t>VN000BCELLC1005</t>
  </si>
  <si>
    <t>VN000BCELLC1M  085</t>
  </si>
  <si>
    <t>VN000BCELLC1005 - UltraRange Neo VR3 Lilac, 8.5, Medium</t>
  </si>
  <si>
    <t>VN000BVS1M71005</t>
  </si>
  <si>
    <t>Colfax Elevate MTE-2</t>
  </si>
  <si>
    <t>VN000BVS1M71M  050</t>
  </si>
  <si>
    <t>VN000BVS1M71005 - Colfax Elevate MTE-2 Golden B, 5, Medium</t>
  </si>
  <si>
    <t>6044 - VN WM BOOTS HIGH</t>
  </si>
  <si>
    <t>VN000BVXKAQ1017</t>
  </si>
  <si>
    <t>VN000BVXKAQ1M  065</t>
  </si>
  <si>
    <t>VN000BVXKAQ1017 - SK8-Low RTSK LGREY, 6.5, Medium</t>
  </si>
  <si>
    <t>VN000BVZ2391016</t>
  </si>
  <si>
    <t>VN000BVZ2391M  100</t>
  </si>
  <si>
    <t>VN000BVZ2391016 - Classic Slip-On WOOL MDGRY, 10, Medium</t>
  </si>
  <si>
    <t>VN000CP6BXC1002</t>
  </si>
  <si>
    <t>Knu Stack</t>
  </si>
  <si>
    <t>VN000CP6BXC1M  120</t>
  </si>
  <si>
    <t>SKATER</t>
  </si>
  <si>
    <t>VN000CP6BXC1002 - Knu Stack SKAT GRAY, 12, Medium</t>
  </si>
  <si>
    <t>VN000CQR5QJ1012</t>
  </si>
  <si>
    <t>VN000CQR5QJ1M  065</t>
  </si>
  <si>
    <t>VN000CQR5QJ1012 - Sport Low SUED ANTEL, 6.5, Medium</t>
  </si>
  <si>
    <t>VN000CR5FS81018</t>
  </si>
  <si>
    <t>VN000CR5FS81M  050</t>
  </si>
  <si>
    <t>VN000CR5FS81018 - Old Skool OSLC MSHML, 5, Medium</t>
  </si>
  <si>
    <t>VN000CRPKHK1001</t>
  </si>
  <si>
    <t>Khaki</t>
  </si>
  <si>
    <t>VN000CRPKHK1M  130</t>
  </si>
  <si>
    <t>VN000CRPKHK1001 - Knu Skool Khaki, 13, Medium</t>
  </si>
  <si>
    <t>VN000CRRBJ41019</t>
  </si>
  <si>
    <t>VN000CRRBJ41M  035</t>
  </si>
  <si>
    <t>VN000CRRBJ41019 - Mary Jane Black/Black/Bla, 3.5, Medium</t>
  </si>
  <si>
    <t>VN000CRRBJ41005</t>
  </si>
  <si>
    <t>VN000CRRBJ41M  105</t>
  </si>
  <si>
    <t>VN000CRRBJ41005 - Mary Jane Black/Black/Bla, 10.5, Medium</t>
  </si>
  <si>
    <t>VN000CRRD3X1004</t>
  </si>
  <si>
    <t>VN000CRRD3X1M  130</t>
  </si>
  <si>
    <t>VN000CRRD3X1004 - Mary Jane PREP CORAL, 13, Medium</t>
  </si>
  <si>
    <t>VN000CRVEN71003</t>
  </si>
  <si>
    <t>VN000CRVEN71M  010</t>
  </si>
  <si>
    <t>VN000CRVEN71003 - SK8-Hi Crib GLTR PKDWN, 1, Medium</t>
  </si>
  <si>
    <t>VN000CS0BRO1012</t>
  </si>
  <si>
    <t>VN000CS0BRO1M  090</t>
  </si>
  <si>
    <t>VN000CS0BRO1012 - Knu Skool PSDE MBRWN, 9, Medium</t>
  </si>
  <si>
    <t>VN000CS0BRO1005</t>
  </si>
  <si>
    <t>VN000CS0BRO1M  095</t>
  </si>
  <si>
    <t>VN000CS0BRO1005 - Knu Skool PSDE MBRWN, 9.5, Medium</t>
  </si>
  <si>
    <t>VN000CS3ULE1015</t>
  </si>
  <si>
    <t>DACHSHUND/MARSHMALLOW</t>
  </si>
  <si>
    <t>VN000CS3ULE1M  070</t>
  </si>
  <si>
    <t>LEATHER</t>
  </si>
  <si>
    <t>VN000CS3ULE1015 - Filmore Hi VansGuard LTHR MBR, 7, Medium</t>
  </si>
  <si>
    <t>VN000CS5PIB1004</t>
  </si>
  <si>
    <t>VN000CS5PIB1M  010</t>
  </si>
  <si>
    <t>VN000CS5PIB1004 - Old Skool Crib LPRD MDPNK, 1, Medium</t>
  </si>
  <si>
    <t>VN000CTG1NU1008</t>
  </si>
  <si>
    <t>VN000CTG1NU1M  095</t>
  </si>
  <si>
    <t>VN000CTG1NU1008 - Old Skool V CTHR CHBD MBRWN, 9.5, Medium</t>
  </si>
  <si>
    <t>VN000CTG4481004</t>
  </si>
  <si>
    <t>VN000CTG4481M  045</t>
  </si>
  <si>
    <t>VN000CTG4481004 - Old Skool V RETR WHITE, 4.5, Medium</t>
  </si>
  <si>
    <t>VN000CTG4481015</t>
  </si>
  <si>
    <t>VN000CTG4481M  050</t>
  </si>
  <si>
    <t>VN000CTG4481015 - Old Skool V RETR WHITE, 5, Medium</t>
  </si>
  <si>
    <t>VN000CTGEMY1006</t>
  </si>
  <si>
    <t>VN000CTGEMY1M  070</t>
  </si>
  <si>
    <t>VN000CTGEMY1006 - Old Skool V CTHR CHBD LMIST, 7, Medium</t>
  </si>
  <si>
    <t>VN000CTGPIB1008</t>
  </si>
  <si>
    <t>VN000CTGPIB1M  050</t>
  </si>
  <si>
    <t>VN000CTGPIB1008 - Old Skool V LPRD MDPNK, 5, Medium</t>
  </si>
  <si>
    <t>VN000CTGRV21015</t>
  </si>
  <si>
    <t>VN000CTGRV21M  045</t>
  </si>
  <si>
    <t>VN000CTGRV21015 - Old Skool V CTHR BLACK, 4.5, Medium</t>
  </si>
  <si>
    <t>VN000CTGY091014</t>
  </si>
  <si>
    <t>Black/Red</t>
  </si>
  <si>
    <t>VN000CTGY091M  050</t>
  </si>
  <si>
    <t>RETRO POP</t>
  </si>
  <si>
    <t>VN000CTGY091014 - Old Skool V RETR BLACK, 5, Medium</t>
  </si>
  <si>
    <t>VN000CTGYJ71010</t>
  </si>
  <si>
    <t>VN000CTGYJ71M  045</t>
  </si>
  <si>
    <t>VN000CTGYJ71010 - Old Skool V GLOW BLKGR, 4.5, Medium</t>
  </si>
  <si>
    <t>VN000CVS4MG1011</t>
  </si>
  <si>
    <t>MTE Sk8-Hi GORE-TEX</t>
  </si>
  <si>
    <t>Incense</t>
  </si>
  <si>
    <t>VN000CVS4MG1M  040</t>
  </si>
  <si>
    <t>VN000CVS4MG1011 - MTE Sk8-Hi GORE-TEX Incense, 4, Medium</t>
  </si>
  <si>
    <t>VN000CVTCX61012</t>
  </si>
  <si>
    <t>Olive Drab</t>
  </si>
  <si>
    <t>VN000CVTCX61M  065</t>
  </si>
  <si>
    <t>VN000CVTCX61012 - MTE Sk8-Hi Waterproof Olive, 6.5, Medium</t>
  </si>
  <si>
    <t>VN000CVTUOV1006</t>
  </si>
  <si>
    <t>MARSHMALLOW/LEOPARD</t>
  </si>
  <si>
    <t>VN000CVTUOV1M  040</t>
  </si>
  <si>
    <t>VN000CVTUOV1006 - MTE Sk8-Hi Waterproof MARSHMA, 4, Medium</t>
  </si>
  <si>
    <t>VN000CVU85T1007</t>
  </si>
  <si>
    <t>VN000CVU85T1M  040</t>
  </si>
  <si>
    <t>VN000CVU85T1007 - Crosspath Frost Gray, 4, Medium</t>
  </si>
  <si>
    <t>VN000CVUN1Z1018</t>
  </si>
  <si>
    <t>VN000CVUN1Z1M  040</t>
  </si>
  <si>
    <t>VN000CVUN1Z1018 - Crosspath GLAZED GINGER, 4, Medium</t>
  </si>
  <si>
    <t>VN000CVUPRP1017</t>
  </si>
  <si>
    <t>VN000CVUPRP1M  040</t>
  </si>
  <si>
    <t>VN000CVUPRP1017 - Crosspath Purple, 4, Medium</t>
  </si>
  <si>
    <t>VN000CVUPRP1001</t>
  </si>
  <si>
    <t>VN000CVUPRP1M  130</t>
  </si>
  <si>
    <t>VN000CVUPRP1001 - Crosspath Purple, 13, Medium</t>
  </si>
  <si>
    <t>VN000CVVKAQ1003</t>
  </si>
  <si>
    <t>VN000CVVKAQ1M  080</t>
  </si>
  <si>
    <t>VN000CVVKAQ1003 - Crosspath Mid DRIZZLE, 8, Medium</t>
  </si>
  <si>
    <t>VN000CWEBER1019</t>
  </si>
  <si>
    <t>BLUE/MULTI</t>
  </si>
  <si>
    <t>VN000CWEBER1M  040</t>
  </si>
  <si>
    <t>VN000CWEBER1019 - UltraRange Neo VR3 BLUE/MULTI, 4, Medium</t>
  </si>
  <si>
    <t>VN000CWEBLU1006</t>
  </si>
  <si>
    <t>VN000CWEBLU1M  080</t>
  </si>
  <si>
    <t>VN000CWEBLU1006 - UltraRange Neo VR3 MONO DBLUE, 8, Medium</t>
  </si>
  <si>
    <t>VN000CWEN1Z1015</t>
  </si>
  <si>
    <t>VN000CWEN1Z1M  040</t>
  </si>
  <si>
    <t>VN000CWEN1Z1015 - UltraRange Neo VR3 GLAZED GIN, 4, Medium</t>
  </si>
  <si>
    <t>VN000CYKEN71003</t>
  </si>
  <si>
    <t>VN000CYKEN71M  010</t>
  </si>
  <si>
    <t>VN000CYKEN71003 - Mary Jane DAZL PKDWN, 1, Medium</t>
  </si>
  <si>
    <t>VN000CYUE2T1010</t>
  </si>
  <si>
    <t>Willowherb</t>
  </si>
  <si>
    <t>VN000CYUE2T1M  105</t>
  </si>
  <si>
    <t>Bright Gum</t>
  </si>
  <si>
    <t>VN000CYUE2T1010 - Knu Skool BRIG WLHRB, 10.5, Medium</t>
  </si>
  <si>
    <t>VN000CYUEN61011</t>
  </si>
  <si>
    <t>VN000CYUEN61M  015</t>
  </si>
  <si>
    <t>VN000CYUEN61011 - Knu Skool Pine Forest, 1.5, Medium</t>
  </si>
  <si>
    <t>VN000CYVENA1005</t>
  </si>
  <si>
    <t>VN000CYVENA1M  115</t>
  </si>
  <si>
    <t>VN000CYVENA1005 - Old Skool 2TNE TRQBL, 11.5, Medium</t>
  </si>
  <si>
    <t>VN000CZ7BLA1010</t>
  </si>
  <si>
    <t>VN000CZ7BLA1M  125</t>
  </si>
  <si>
    <t>VN000CZ7BLA1010 - Sk8-Mid Reissue V DENM BLA, 12.5, Medium</t>
  </si>
  <si>
    <t>VN000CZ7BLA1008</t>
  </si>
  <si>
    <t>VN000CZ7BLA1M  135</t>
  </si>
  <si>
    <t>VN000CZ7BLA1008 - Sk8-Mid Reissue V DENM BLA, 13.5, Medium</t>
  </si>
  <si>
    <t>VN000CZ7O331011</t>
  </si>
  <si>
    <t>VN000CZ7O331M  115</t>
  </si>
  <si>
    <t>VN000CZ7O331011 - Sk8-Mid Reissue V LEGL LTB, 11.5, Medium</t>
  </si>
  <si>
    <t>VN000D0CY331003</t>
  </si>
  <si>
    <t>VN000D0CY331M  065</t>
  </si>
  <si>
    <t>VN000D0CY331003 - Filmore Hi VansGuard CZYP M, 6.5, Medium</t>
  </si>
  <si>
    <t>VN000D0HBZW1005</t>
  </si>
  <si>
    <t>VN000D0HBZW1M  010</t>
  </si>
  <si>
    <t>VN000D0HBZW1005 - SK8-Hi Insulated Black/White, 1, Medium</t>
  </si>
  <si>
    <t>VN000D0HEMY1007</t>
  </si>
  <si>
    <t>VN000D0HEMY1M  010</t>
  </si>
  <si>
    <t>VN000D0HEMY1007 - SK8-Hi Insulated TNCH LMIST, 1, Medium</t>
  </si>
  <si>
    <t>VN000D0HEMY1008</t>
  </si>
  <si>
    <t>VN000D0HEMY1M  030</t>
  </si>
  <si>
    <t>VN000D0HEMY1008 - SK8-Hi Insulated TNCH LMIST, 3, Medium</t>
  </si>
  <si>
    <t>VN000D0HEMY1011</t>
  </si>
  <si>
    <t>VN000D0HEMY1M  130</t>
  </si>
  <si>
    <t>VN000D0HEMY1011 - SK8-Hi Insulated TNCH LMIST, 13, Medium</t>
  </si>
  <si>
    <t>VN000D0JRV21003</t>
  </si>
  <si>
    <t>VN000D0JRV21M  030</t>
  </si>
  <si>
    <t>VN000D0JRV21003 - Classic Slip-On CTHR CHBD BLA, 3, Medium</t>
  </si>
  <si>
    <t>VN000D0KEN61007</t>
  </si>
  <si>
    <t>VN000D0KEN61M  045</t>
  </si>
  <si>
    <t>VN000D0KEN61007 - Knu Skool Elastic Lace Pine, 4.5, Medium</t>
  </si>
  <si>
    <t>VN000D0KEN61008</t>
  </si>
  <si>
    <t>VN000D0KEN61M  095</t>
  </si>
  <si>
    <t>VN000D0KEN61008 - Knu Skool Elastic Lace Pine, 9.5, Medium</t>
  </si>
  <si>
    <t>VN000D0MBZW1014</t>
  </si>
  <si>
    <t>VN000D0MBZW1M  045</t>
  </si>
  <si>
    <t>VN000D0MBZW1014 - SK8-Hi Zip Insulated Black/, 4.5, Medium</t>
  </si>
  <si>
    <t>VN000D0MBZW1007</t>
  </si>
  <si>
    <t>VN000D0MBZW1M  095</t>
  </si>
  <si>
    <t>VN000D0MBZW1007 - SK8-Hi Zip Insulated Black/, 9.5, Medium</t>
  </si>
  <si>
    <t>VN000D0S1NU1012</t>
  </si>
  <si>
    <t>VN000D0S1NU1M  070</t>
  </si>
  <si>
    <t>VN000D0S1NU1012 - Slip-On V CTHR CHBD MBRWN, 7, Medium</t>
  </si>
  <si>
    <t>VN000D1111E1004</t>
  </si>
  <si>
    <t>VN000D1111E1M  085</t>
  </si>
  <si>
    <t>VN000D1111E1004 - SK8-Mid Reissue V Insulat P, 8.5, Medium</t>
  </si>
  <si>
    <t>VN000D111KP1003</t>
  </si>
  <si>
    <t>VN000D111KP1M  075</t>
  </si>
  <si>
    <t>VN000D111KP1003 - SK8-Mid Reissue V Insulat C, 7.5, Medium</t>
  </si>
  <si>
    <t>VN000D11N1Z1014</t>
  </si>
  <si>
    <t>VN000D11N1Z1M  090</t>
  </si>
  <si>
    <t>VN000D11N1Z1014 - SK8-Mid Reissue V Insulat POP, 9, Medium</t>
  </si>
  <si>
    <t>VN000D11N1Z1004</t>
  </si>
  <si>
    <t>VN000D11N1Z1M  095</t>
  </si>
  <si>
    <t>VN000D11N1Z1004 - SK8-Mid Reissue V Insulat P, 9.5, Medium</t>
  </si>
  <si>
    <t>VN000D1H7VF1008</t>
  </si>
  <si>
    <t>VN000D1H7VF1M  130</t>
  </si>
  <si>
    <t>VN000D1H7VF1008 - Upland NEUT DGREY, 13, Medium</t>
  </si>
  <si>
    <t>VN000D1J6891019</t>
  </si>
  <si>
    <t>Baby Blue</t>
  </si>
  <si>
    <t>VN000D1J6891M  075</t>
  </si>
  <si>
    <t>VN000D1J6891019 - Hylane POP DBLUE, 7.5, Medium</t>
  </si>
  <si>
    <t>VN000D1JJ4C1012</t>
  </si>
  <si>
    <t>MINT/BLUE</t>
  </si>
  <si>
    <t>VN000D1JJ4C1M  115</t>
  </si>
  <si>
    <t>VN000D1JJ4C1012 - Hylane MINT/BLUE, 11.5, Medium</t>
  </si>
  <si>
    <t>VN000D1JPBQ1015</t>
  </si>
  <si>
    <t>Pewter/Black</t>
  </si>
  <si>
    <t>VN000D1JPBQ1M  060</t>
  </si>
  <si>
    <t>VN000D1JPBQ1015 - Hylane Pewter/Black, 6, Medium</t>
  </si>
  <si>
    <t>VN000D1JV0N1011</t>
  </si>
  <si>
    <t>GREEN/MARSHMALLOW</t>
  </si>
  <si>
    <t>VN000D1JV0N1M  050</t>
  </si>
  <si>
    <t>VN000D1JV0N1011 - Hylane GREEN/MARSHMALL, 5, Medium</t>
  </si>
  <si>
    <t>VN000D1JV0N1003</t>
  </si>
  <si>
    <t>VN000D1JV0N1M  095</t>
  </si>
  <si>
    <t>VN000D1JV0N1003 - Hylane GREEN/MARSHMALL, 9.5, Medium</t>
  </si>
  <si>
    <t>VN000D26E2Z1013</t>
  </si>
  <si>
    <t>VN000D26E2Z1M  110</t>
  </si>
  <si>
    <t>VN000D26E2Z1013 - Hylane TRIT RDOCH, 11, Medium</t>
  </si>
  <si>
    <t>VN000D26GWT1001</t>
  </si>
  <si>
    <t>VN000D26GWT1M  035</t>
  </si>
  <si>
    <t>VN000D26GWT1001 - Hylane TONL MBRWN, 3.5, Medium</t>
  </si>
  <si>
    <t>VN000D26KGR1007</t>
  </si>
  <si>
    <t>KHAKI/GREEN</t>
  </si>
  <si>
    <t>VN000D26KGR1M  065</t>
  </si>
  <si>
    <t>VN000D26KGR1007 - Hylane TRIT TRTKG, 6.5, Medium</t>
  </si>
  <si>
    <t>VN000D26PWT1009</t>
  </si>
  <si>
    <t>VN000D26PWT1M  035</t>
  </si>
  <si>
    <t>VN000D26PWT1009 - Hylane TONL PEWTR, 3.5, Medium</t>
  </si>
  <si>
    <t>VN000D26WGR1013</t>
  </si>
  <si>
    <t>White/Green</t>
  </si>
  <si>
    <t>VN000D26WGR1M  130</t>
  </si>
  <si>
    <t>VARSITY</t>
  </si>
  <si>
    <t>VN000D26WGR1013 - Hylane VRST WHTGR, 13, Medium</t>
  </si>
  <si>
    <t>VN000D32WTM1014</t>
  </si>
  <si>
    <t>White/Multi</t>
  </si>
  <si>
    <t>VN000D32WTM1M  130</t>
  </si>
  <si>
    <t>VN000D32WTM1014 - SK8-Hi VRST WHITE, 13, Medium</t>
  </si>
  <si>
    <t>VN000D45EMY1001</t>
  </si>
  <si>
    <t>VN000D45EMY1M  060</t>
  </si>
  <si>
    <t>VN000D45EMY1001 - Skate Estazzo Lilac Mist, 6, Medium</t>
  </si>
  <si>
    <t>VN000D45NWH1001</t>
  </si>
  <si>
    <t>Brown/White</t>
  </si>
  <si>
    <t>VN000D45NWH1M  105</t>
  </si>
  <si>
    <t>VN000D45NWH1001 - Skate Estazzo Brown/White, 10.5, Medium</t>
  </si>
  <si>
    <t>VN000D4MNVY1007</t>
  </si>
  <si>
    <t>VN000D4MNVY1M  040</t>
  </si>
  <si>
    <t>VN000D4MNVY1007 - Hylane V SUED NAVY, 4, Medium</t>
  </si>
  <si>
    <t>VN000D4N2081003</t>
  </si>
  <si>
    <t>VN000D4N2081M  115</t>
  </si>
  <si>
    <t>VN000D4N2081003 - Hylane POPS DKGRY, 11.5, Medium</t>
  </si>
  <si>
    <t>VN000D4N2B61004</t>
  </si>
  <si>
    <t>VN000D4N2B61M  115</t>
  </si>
  <si>
    <t>VN000D4N2B61004 - Hylane BLACK/DRIZZLE, 11.5, Medium</t>
  </si>
  <si>
    <t>VN000D4NBKA1002</t>
  </si>
  <si>
    <t>VN000D4NBKA1M  105</t>
  </si>
  <si>
    <t>VN000D4NBKA1002 - Hylane Black/Black, 10.5, Medium</t>
  </si>
  <si>
    <t>VN000D4NBZW1010</t>
  </si>
  <si>
    <t>VN000D4NBZW1M  010</t>
  </si>
  <si>
    <t>VN000D4NBZW1010 - Hylane Black/White, 1, Medium</t>
  </si>
  <si>
    <t>VN000D4NBZW1006</t>
  </si>
  <si>
    <t>VN000D4NBZW1M  110</t>
  </si>
  <si>
    <t>VN000D4NBZW1006 - Hylane Black/White, 11, Medium</t>
  </si>
  <si>
    <t>VN000D4NBZW1005</t>
  </si>
  <si>
    <t>VN000D4NBZW1M  115</t>
  </si>
  <si>
    <t>VN000D4NBZW1005 - Hylane Black/White, 11.5, Medium</t>
  </si>
  <si>
    <t>VN000D4NBZW1001</t>
  </si>
  <si>
    <t>VN000D4NBZW1M  135</t>
  </si>
  <si>
    <t>VN000D4NBZW1001 - Hylane Black/White, 13.5, Medium</t>
  </si>
  <si>
    <t>VN000D4NDJR1008</t>
  </si>
  <si>
    <t>VN000D4NDJR1M  025</t>
  </si>
  <si>
    <t>VN000D4NDJR1008 - Hylane 2TNE WHITE, 2.5, Medium</t>
  </si>
  <si>
    <t>VN000D4NDJR1011</t>
  </si>
  <si>
    <t>VN000D4NDJR1M  125</t>
  </si>
  <si>
    <t>VN000D4NDJR1011 - Hylane 2TNE WHITE, 12.5, Medium</t>
  </si>
  <si>
    <t>VN000D4NKCZ1006</t>
  </si>
  <si>
    <t>VN000D4NKCZ1M  135</t>
  </si>
  <si>
    <t>VN000D4NKCZ1006 - Hylane GRAPE LEAF, 13.5, Medium</t>
  </si>
  <si>
    <t>VN000D4PIY71004</t>
  </si>
  <si>
    <t>BLACK/ASPHALT/WHITE</t>
  </si>
  <si>
    <t>VN000D4PIY71M  055</t>
  </si>
  <si>
    <t>VN BIG KIDS LIFESTYLE FTW</t>
  </si>
  <si>
    <t>VN000D4PIY71004 - Hylane BLACK/ASPHALT/W, 5.5, Medium</t>
  </si>
  <si>
    <t>VN000D4SCFL1009</t>
  </si>
  <si>
    <t>VN000D4SCFL1M  045</t>
  </si>
  <si>
    <t>VN000D4SCFL1009 - Old Skool V Heart CITADEL, 4.5, Medium</t>
  </si>
  <si>
    <t>VN000D4SCFL1013</t>
  </si>
  <si>
    <t>VN000D4SCFL1M  065</t>
  </si>
  <si>
    <t>VN000D4SCFL1013 - Old Skool V Heart CITADEL, 6.5, Medium</t>
  </si>
  <si>
    <t>VN000D4SCFL1015</t>
  </si>
  <si>
    <t>VN000D4SCFL1M  075</t>
  </si>
  <si>
    <t>VN000D4SCFL1015 - Old Skool V Heart CITADEL, 7.5, Medium</t>
  </si>
  <si>
    <t>VN000D5D17P1019</t>
  </si>
  <si>
    <t>VN000D5D17P1M  105</t>
  </si>
  <si>
    <t>VN000D5D17P1019 - Skate 2 Wayvee Green/Gum, 10.5, Medium</t>
  </si>
  <si>
    <t>VN000D5DDUF1011</t>
  </si>
  <si>
    <t>blanc de blanc/azure blue</t>
  </si>
  <si>
    <t>VN000D5DDUF1M  080</t>
  </si>
  <si>
    <t>VN000D5DDUF1011 - Skate 2 Wayvee blanc de blanc, 8, Medium</t>
  </si>
  <si>
    <t>VN000D5IBKA1004</t>
  </si>
  <si>
    <t>VN000D5IBKA1M  050</t>
  </si>
  <si>
    <t>VN000D5IBKA1004 - SK8-Hi Black/Black, 5, Medium</t>
  </si>
  <si>
    <t>VN000D5PCJA1001</t>
  </si>
  <si>
    <t>VN000D5PCJA1M  130</t>
  </si>
  <si>
    <t>VN000D5PCJA1001 - Classic Slip-On MOCB WHITE, 13, Medium</t>
  </si>
  <si>
    <t>VN000D5RBRG1010</t>
  </si>
  <si>
    <t>VN000D5RBRG1M  085</t>
  </si>
  <si>
    <t>VN000D5RBRG1010 - Skate Old Skool 36 + GUM BR, 8.5, Medium</t>
  </si>
  <si>
    <t>VN000D5RBRG1008</t>
  </si>
  <si>
    <t>VN000D5RBRG1M  095</t>
  </si>
  <si>
    <t>VN000D5RBRG1008 - Skate Old Skool 36 + GUM BR, 9.5, Medium</t>
  </si>
  <si>
    <t>VN000D60RV21019</t>
  </si>
  <si>
    <t>VN000D60RV21M  085</t>
  </si>
  <si>
    <t>VN000D60RV21019 - Ultrarange 2.0 RW STORMY WE, 8.5, Medium</t>
  </si>
  <si>
    <t>VN000D60RV21008</t>
  </si>
  <si>
    <t>VN000D60RV21M  090</t>
  </si>
  <si>
    <t>VN000D60RV21008 - Ultrarange 2.0 RW STORMY WEAT, 9, Medium</t>
  </si>
  <si>
    <t>VN000D60RV21016</t>
  </si>
  <si>
    <t>VN000D60RV21M  120</t>
  </si>
  <si>
    <t>VN000D60RV21016 - Ultrarange 2.0 RW STORMY WEA, 12, Medium</t>
  </si>
  <si>
    <t>VN000D610VW1017</t>
  </si>
  <si>
    <t>VN000D610VW1M  070</t>
  </si>
  <si>
    <t>VN000D610VW1017 - Ultrarange 2.0 SE RPST WHITE, 7, Medium</t>
  </si>
  <si>
    <t>VN000D6F2391009</t>
  </si>
  <si>
    <t>VN000D6F2391M  100</t>
  </si>
  <si>
    <t>Varsity Block</t>
  </si>
  <si>
    <t>VN000D6F2391009 - Upland VARS MDGRY, 10, Medium</t>
  </si>
  <si>
    <t>VN000D6FLKZ1019</t>
  </si>
  <si>
    <t>VN000D6FLKZ1M  040</t>
  </si>
  <si>
    <t>VN000D6FLKZ1019 - Upland SUED DBLUE, 4, Medium</t>
  </si>
  <si>
    <t>VN000D6SBM81005</t>
  </si>
  <si>
    <t>VN000D6SBM81M  080</t>
  </si>
  <si>
    <t>STITCH SIDESTRIPE</t>
  </si>
  <si>
    <t>VN000D6SBM81005 - Cruze 3.0 STIT BLACK, 8, Medium</t>
  </si>
  <si>
    <t>VN000D6W11E1011</t>
  </si>
  <si>
    <t>VN000D6W11E1M  060</t>
  </si>
  <si>
    <t>VN000D6W11E1011 - Old Skool SUED DKPPL, 6, Medium</t>
  </si>
  <si>
    <t>VN000D6W52K1018</t>
  </si>
  <si>
    <t>VN000D6W52K1M  040</t>
  </si>
  <si>
    <t>VN000D6W52K1018 - Old Skool CTHR DKORG, 4, Medium</t>
  </si>
  <si>
    <t>VN000D6W7WM1001</t>
  </si>
  <si>
    <t>VN000D6W7WM1M  065</t>
  </si>
  <si>
    <t>VN000D6W7WM1001 - Old Skool SUED DBLUE, 6.5, Medium</t>
  </si>
  <si>
    <t>VN000D6WCJJ1010</t>
  </si>
  <si>
    <t>VN000D6WCJJ1M  065</t>
  </si>
  <si>
    <t>Duo Suede</t>
  </si>
  <si>
    <t>VN000D6WCJJ1010 - Old Skool DOSD BLACK, 6.5, Medium</t>
  </si>
  <si>
    <t>VN000D6WCJK1002</t>
  </si>
  <si>
    <t>VN000D6WCJK1M  050</t>
  </si>
  <si>
    <t>VN000D6WCJK1002 - Old Skool BLACK, 5, Medium</t>
  </si>
  <si>
    <t>VN000D6WEMW1017</t>
  </si>
  <si>
    <t>VN000D6WEMW1M  100</t>
  </si>
  <si>
    <t>VN000D6WEMW1017 - Old Skool CTHR GROLV, 10, Medium</t>
  </si>
  <si>
    <t>VN000D6WEMW1014</t>
  </si>
  <si>
    <t>VN000D6WEMW1M  115</t>
  </si>
  <si>
    <t>VN000D6WEMW1014 - Old Skool CTHR GROLV, 11.5, Medium</t>
  </si>
  <si>
    <t>VN000D6WRPK1018</t>
  </si>
  <si>
    <t>VN000D6WRPK1M  040</t>
  </si>
  <si>
    <t>VN000D6WRPK1018 - Old Skool POP BRNPK, 4, Medium</t>
  </si>
  <si>
    <t>VN000D6WRPK1011</t>
  </si>
  <si>
    <t>VN000D6WRPK1M  055</t>
  </si>
  <si>
    <t>VN000D6WRPK1011 - Old Skool POP BRNPK, 5.5, Medium</t>
  </si>
  <si>
    <t>VN000D6WRPK1010</t>
  </si>
  <si>
    <t>VN000D6WRPK1M  065</t>
  </si>
  <si>
    <t>VN000D6WRPK1010 - Old Skool POP BRNPK, 6.5, Medium</t>
  </si>
  <si>
    <t>VN000D6YEMH1012</t>
  </si>
  <si>
    <t>VN000D6YEMH1M  070</t>
  </si>
  <si>
    <t>VN000D6YEMH1012 - Classic Slip-On PSDE BRNBT, 7, Medium</t>
  </si>
  <si>
    <t>VN000D6YEMY1006</t>
  </si>
  <si>
    <t>VN000D6YEMY1M  050</t>
  </si>
  <si>
    <t>VN000D6YEMY1006 - Classic Slip-On PSTL LMIST, 5, Medium</t>
  </si>
  <si>
    <t>VN000D6YEZI1001</t>
  </si>
  <si>
    <t>VN000D6YEZI1M  055</t>
  </si>
  <si>
    <t>VN000D6YEZI1001 - Classic Slip-On Y2K DALB, 5.5, Medium</t>
  </si>
  <si>
    <t>VN000D6YEZI1017</t>
  </si>
  <si>
    <t>VN000D6YEZI1M  070</t>
  </si>
  <si>
    <t>VN000D6YEZI1017 - Classic Slip-On Y2K DALB, 7, Medium</t>
  </si>
  <si>
    <t>VN000D6YEZI1016</t>
  </si>
  <si>
    <t>VN000D6YEZI1M  075</t>
  </si>
  <si>
    <t>VN000D6YEZI1016 - Classic Slip-On Y2K DALB, 7.5, Medium</t>
  </si>
  <si>
    <t>VN000D6ZEZI1008</t>
  </si>
  <si>
    <t>VN000D6ZEZI1M  065</t>
  </si>
  <si>
    <t>VN000D6ZEZI1008 - Knu Skool Y2K DALB, 6.5, Medium</t>
  </si>
  <si>
    <t>VN000D6ZO3N1008</t>
  </si>
  <si>
    <t>VN000D6ZO3N1M  045</t>
  </si>
  <si>
    <t>VN000D6ZO3N1008 - Knu Skool GUM MDPNK, 4.5, Medium</t>
  </si>
  <si>
    <t>VN000D70E2Y1004</t>
  </si>
  <si>
    <t>VN000D70E2Y1M  110</t>
  </si>
  <si>
    <t>VN000D70E2Y1004 - Upland FTLC PSTGR, 11, Medium</t>
  </si>
  <si>
    <t>VN000D70ZRY1013</t>
  </si>
  <si>
    <t>VN000D70ZRY1M  065</t>
  </si>
  <si>
    <t>VN000D70ZRY1013 - Upland BABY MPINK, 6.5, Medium</t>
  </si>
  <si>
    <t>VN000D750CK1001</t>
  </si>
  <si>
    <t>OATMEAL/MARSHMALLOW</t>
  </si>
  <si>
    <t>VN000D750CK1M  120</t>
  </si>
  <si>
    <t>VN000D750CK1001 - Knu Skool OATMEAL/MARSHMA, 12, Medium</t>
  </si>
  <si>
    <t>VN000D7U4QU1012</t>
  </si>
  <si>
    <t>VN000D7U4QU1M  055</t>
  </si>
  <si>
    <t>VN000D7U4QU1012 - Brooklyn LS SUCV DRRED, 5.5, Medium</t>
  </si>
  <si>
    <t>VN000D7Z6N01019</t>
  </si>
  <si>
    <t>LEOPARD/PURPLE</t>
  </si>
  <si>
    <t>VN000D7Z6N01M  040</t>
  </si>
  <si>
    <t>VN000D7Z6N01019 - Old Skool LEOPARD/PURPLE, 4, Medium</t>
  </si>
  <si>
    <t>VN000D7ZJDU1012</t>
  </si>
  <si>
    <t>VN000D7ZJDU1M  065</t>
  </si>
  <si>
    <t>VN000D7ZJDU1012 - Old Skool PARISIAN NIGHT, 6.5, Medium</t>
  </si>
  <si>
    <t>VN000D83O3N1005</t>
  </si>
  <si>
    <t>VN000D83O3N1M  120</t>
  </si>
  <si>
    <t>VN000D83O3N1005 - Super Lowpro SEPIA ROSE, 12, Medium</t>
  </si>
  <si>
    <t>VN000D83SQ71002</t>
  </si>
  <si>
    <t>VN000D83SQ71M  120</t>
  </si>
  <si>
    <t>VN000D83SQ71002 - Super Lowpro CORNSTALK, 12, Medium</t>
  </si>
  <si>
    <t>VN000D8NZ5D1013</t>
  </si>
  <si>
    <t>VN000D8NZ5D1M  065</t>
  </si>
  <si>
    <t>VN000D8NZ5D1013 - Hylane White/Blue, 6.5, Medium</t>
  </si>
  <si>
    <t>VN000D9ABLA1001</t>
  </si>
  <si>
    <t>VN000D9ABLA1M  130</t>
  </si>
  <si>
    <t>VN000D9ABLA1001 - Mary Jane Straps METL BLACK, 13, Medium</t>
  </si>
  <si>
    <t>VN000D9ACJ71018</t>
  </si>
  <si>
    <t>VN000D9ACJ71M  050</t>
  </si>
  <si>
    <t>VN000D9ACJ71018 - Mary Jane Straps METL WHITE, 5, Medium</t>
  </si>
  <si>
    <t>VN000D9ACJ71002</t>
  </si>
  <si>
    <t>VN000D9ACJ71M  115</t>
  </si>
  <si>
    <t>VN000D9ACJ71002 - Mary Jane Straps METL WHIT, 11.5, Medium</t>
  </si>
  <si>
    <t>VN000D9YRWZ1019</t>
  </si>
  <si>
    <t>VN000D9YRWZ1M  035</t>
  </si>
  <si>
    <t>VN000D9YRWZ1019 - Old Skool PINK/GUM, 3.5, Medium</t>
  </si>
  <si>
    <t>VN000D9YRWZ1008</t>
  </si>
  <si>
    <t>VN000D9YRWZ1M  065</t>
  </si>
  <si>
    <t>VN000D9YRWZ1008 - Old Skool PINK/GUM, 6.5, Medium</t>
  </si>
  <si>
    <t>VN000DA1Z341013</t>
  </si>
  <si>
    <t>VN000DA1Z341M  075</t>
  </si>
  <si>
    <t>VN000DA1Z341013 - Skate AVE 2.0 FADE WHTOR, 7.5, Medium</t>
  </si>
  <si>
    <t>VN000DA1Z341012</t>
  </si>
  <si>
    <t>VN000DA1Z341M  080</t>
  </si>
  <si>
    <t>VN000DA1Z341012 - Skate AVE 2.0 FADE WHTOR, 8, Medium</t>
  </si>
  <si>
    <t>VN000DA2B9M1017</t>
  </si>
  <si>
    <t>VN000DA2B9M1M  080</t>
  </si>
  <si>
    <t>VN000DA2B9M1017 - Skate Rowley FADE BLACK, 8, Medium</t>
  </si>
  <si>
    <t>VN000DA4D7U1019</t>
  </si>
  <si>
    <t>Skate Kyle Walker Wafflec</t>
  </si>
  <si>
    <t>WHITE/MINT</t>
  </si>
  <si>
    <t>VN000DA4D7U1M  050</t>
  </si>
  <si>
    <t>VN000DA4D7U1019 - Skate Kyle Walker Wafflec WHI, 5, Medium</t>
  </si>
  <si>
    <t>VN000DAH7UG1012</t>
  </si>
  <si>
    <t>VN000DAH7UG1M  100</t>
  </si>
  <si>
    <t>VANS CHECK</t>
  </si>
  <si>
    <t>VN000DAH7UG1012 - Classic Slip-On VNCH MBRWN, 10, Medium</t>
  </si>
  <si>
    <t>VN000DAJYJ71003</t>
  </si>
  <si>
    <t>VN000DAJYJ71M  100</t>
  </si>
  <si>
    <t>VN000DAJYJ71003 - Knu Skool POP BLKGR, 10, Medium</t>
  </si>
  <si>
    <t>VN000DAMLM31017</t>
  </si>
  <si>
    <t>VN000DAMLM31M  080</t>
  </si>
  <si>
    <t>VN000DAMLM31017 - Crosspath XC GORE-TEX MTE hot, 8, Medium</t>
  </si>
  <si>
    <t>VN000DAQ02Y1016</t>
  </si>
  <si>
    <t>Port/Black</t>
  </si>
  <si>
    <t>VN000DAQ02Y1M  050</t>
  </si>
  <si>
    <t>VN000DAQ02Y1016 - Sk8-Hi Waterproof Insulat Por, 5, Medium</t>
  </si>
  <si>
    <t>VN000DAQ02Y1015</t>
  </si>
  <si>
    <t>VN000DAQ02Y1M  060</t>
  </si>
  <si>
    <t>VN000DAQ02Y1015 - Sk8-Hi Waterproof Insulat Por, 6, Medium</t>
  </si>
  <si>
    <t>VN000DAQ02Y1014</t>
  </si>
  <si>
    <t>VN000DAQ02Y1M  070</t>
  </si>
  <si>
    <t>VN000DAQ02Y1014 - Sk8-Hi Waterproof Insulat Por, 7, Medium</t>
  </si>
  <si>
    <t>VN000DAQ02Y1010</t>
  </si>
  <si>
    <t>VN000DAQ02Y1M  110</t>
  </si>
  <si>
    <t>VN000DAQ02Y1010 - Sk8-Hi Waterproof Insulat Po, 11, Medium</t>
  </si>
  <si>
    <t>VN000DAQ1MG1018</t>
  </si>
  <si>
    <t>VN000DAQ1MG1M  070</t>
  </si>
  <si>
    <t>VN000DAQ1MG1018 - Sk8-Hi Waterproof Insulat Gre, 7, Medium</t>
  </si>
  <si>
    <t>VN000DAQTWH1018</t>
  </si>
  <si>
    <t>VN000DAQTWH1M  060</t>
  </si>
  <si>
    <t>VN000DAQTWH1018 - Sk8-Hi Waterproof Insulat Tan, 6, Medium</t>
  </si>
  <si>
    <t>VN000DARBKL1018</t>
  </si>
  <si>
    <t>VN000DARBKL1M  060</t>
  </si>
  <si>
    <t>VN000DARBKL1018 - SK8-Hi GORE-TEX Insulated Bro, 6, Medium</t>
  </si>
  <si>
    <t>VN000DARC9F1013</t>
  </si>
  <si>
    <t>VN000DARC9F1M  050</t>
  </si>
  <si>
    <t>VN000DARC9F1013 - SK8-Hi GORE-TEX Insulated EGR, 5, Medium</t>
  </si>
  <si>
    <t>VN000DAZF881016</t>
  </si>
  <si>
    <t>VN000DAZF881M  050</t>
  </si>
  <si>
    <t>VN000DAZF881016 - Old Skool Waterproof Insu Tau, 5, Medium</t>
  </si>
  <si>
    <t>VN000DB3D3X1008</t>
  </si>
  <si>
    <t>VN000DB3D3X1M  065</t>
  </si>
  <si>
    <t>VN000DB3D3X1008 - Old Skool Coral Blush, 6.5, Medium</t>
  </si>
  <si>
    <t>VN000E7UTC41004</t>
  </si>
  <si>
    <t>VN000E7UTC41M  095</t>
  </si>
  <si>
    <t>VN000E7UTC41004 - Upland SILVER/SILVER, 9.5, Medium</t>
  </si>
  <si>
    <t>VN000E897WM1018</t>
  </si>
  <si>
    <t>VN000E897WM1M  040</t>
  </si>
  <si>
    <t>VN000E897WM1018 - Super Lowpro SUED DBLUE, 4, Medium</t>
  </si>
  <si>
    <t>VN000E89OXS1013</t>
  </si>
  <si>
    <t>VN000E89OXS1M  065</t>
  </si>
  <si>
    <t>VN000E89OXS1013 - Super Lowpro SUED WHTRD, 6.5, Medium</t>
  </si>
  <si>
    <t>VN000E89YG41014</t>
  </si>
  <si>
    <t>VN000E89YG41M  085</t>
  </si>
  <si>
    <t>VN000E89YG41014 - Super Lowpro SUED BLKSV, 8.5, Medium</t>
  </si>
  <si>
    <t>VN000E8WIZQ1010</t>
  </si>
  <si>
    <t>VN000E8WIZQ1M  080</t>
  </si>
  <si>
    <t>POP LACE</t>
  </si>
  <si>
    <t>VN000E8WIZQ1010 - Old Skool POLA DRRED, 8, Medium</t>
  </si>
  <si>
    <t>VN000E9RG581006</t>
  </si>
  <si>
    <t>VN000E9RG581M  115</t>
  </si>
  <si>
    <t>VN000E9RG581006 - Old Skool FLORAL BLACK, 11.5, Medium</t>
  </si>
  <si>
    <t>VN000E9RZ3R1009</t>
  </si>
  <si>
    <t>VN000E9RZ3R1M  025</t>
  </si>
  <si>
    <t>LOGO</t>
  </si>
  <si>
    <t>VN000E9RZ3R1009 - Old Skool LOGO MDGRY, 2.5, Medium</t>
  </si>
  <si>
    <t>VN000E9RZ3R1003</t>
  </si>
  <si>
    <t>VN000E9RZ3R1M  125</t>
  </si>
  <si>
    <t>VN000E9RZ3R1003 - Old Skool LOGO MDGRY, 12.5, Medium</t>
  </si>
  <si>
    <t>VN000E9YLBR1004</t>
  </si>
  <si>
    <t>VN000E9YLBR1M  050</t>
  </si>
  <si>
    <t>VN000E9YLBR1004 - Old Skool Light Brown, 5, Medium</t>
  </si>
  <si>
    <t>VN000EB4TAN1011</t>
  </si>
  <si>
    <t>Tan</t>
  </si>
  <si>
    <t>VN000EB4TAN1M  040</t>
  </si>
  <si>
    <t>VN000EB4TAN1011 - Sk8-Hi Insulated Tan, 4, Medium</t>
  </si>
  <si>
    <t>VN000EDN7D61003</t>
  </si>
  <si>
    <t>VN000EDN7D61M  090</t>
  </si>
  <si>
    <t>VN000EDN7D61003 - Skate Old Skool MUSHROOM, 9, Medium</t>
  </si>
  <si>
    <t>VN000EDN9X11005</t>
  </si>
  <si>
    <t>VN000EDN9X11M  085</t>
  </si>
  <si>
    <t>VN000EDN9X11005 - Skate Old Skool SLPL BLKWH, 8.5, Medium</t>
  </si>
  <si>
    <t>VN000EDN9X11001</t>
  </si>
  <si>
    <t>VN000EDN9X11M  120</t>
  </si>
  <si>
    <t>VN000EDN9X11001 - Skate Old Skool SLPL BLKWH, 12, Medium</t>
  </si>
  <si>
    <t>VN000EDNAH91017</t>
  </si>
  <si>
    <t>VN000EDNAH91M  095</t>
  </si>
  <si>
    <t>VN000EDNAH91017 - Skate Old Skool Sea Green, 9.5, Medium</t>
  </si>
  <si>
    <t>VN000EF37VF1006</t>
  </si>
  <si>
    <t>VN000EF37VF1M  060</t>
  </si>
  <si>
    <t>CAMO</t>
  </si>
  <si>
    <t>VN000EF37VF1006 - Old Skool EK CAMO DGREY, 6, Medium</t>
  </si>
  <si>
    <t>VN000EG59X11005</t>
  </si>
  <si>
    <t>VN000EG59X11M  100</t>
  </si>
  <si>
    <t>VN000EG59X11005 - Skate Slip-On SLPL BLKWH, 10, Medium</t>
  </si>
  <si>
    <t>VN000V25B5T1016</t>
  </si>
  <si>
    <t>VN000V25B5T1M  035</t>
  </si>
  <si>
    <t>VN000V25B5T1016 - Old Skool STUD BLACK, 3.5, Medium</t>
  </si>
  <si>
    <t>VN000V68Y611004</t>
  </si>
  <si>
    <t>VN000V68Y611M  050</t>
  </si>
  <si>
    <t>VN000V68Y611004 - SK8-Hi KPDH BLKBU, 5, Medium</t>
  </si>
  <si>
    <t>VN000V8EGUG1009</t>
  </si>
  <si>
    <t>Mushroom/Taupe Mist</t>
  </si>
  <si>
    <t>VN000V8EGUG1M  095</t>
  </si>
  <si>
    <t>VN000V8EGUG1009 - Old Skool Platform SUED MSH, 9.5, Medium</t>
  </si>
  <si>
    <t>VN000VB4CJK1001</t>
  </si>
  <si>
    <t>VN000VB4CJK1M  135</t>
  </si>
  <si>
    <t>VN000VB4CJK1001 - Knu Skool DAZL BLACK, 13.5, Medium</t>
  </si>
  <si>
    <t>VN000VO44K11002</t>
  </si>
  <si>
    <t>VN000VO44K11M  015</t>
  </si>
  <si>
    <t>VN000VO44K11002 - Winston CNVS NVWH, 1.5, Medium</t>
  </si>
  <si>
    <t>VN000VO44K11020</t>
  </si>
  <si>
    <t>VN000VO44K11M  135</t>
  </si>
  <si>
    <t>VN000VO44K11020 - Winston CNVS NVWH, 13.5, Medium</t>
  </si>
  <si>
    <t>VN000VOB4WV1002</t>
  </si>
  <si>
    <t>(Canvas) Pewter/White</t>
  </si>
  <si>
    <t>VN000VOB4WV1M  070</t>
  </si>
  <si>
    <t>VN000VOB4WV1002 - Winston CNVS PWTWH, 7, Medium</t>
  </si>
  <si>
    <t>VN000VOB4WV1003</t>
  </si>
  <si>
    <t>VN000VOB4WV1M  075</t>
  </si>
  <si>
    <t>VN000VOB4WV1003 - Winston CNVS PWTWH, 7.5, Medium</t>
  </si>
  <si>
    <t>VN000W9T9AL1004</t>
  </si>
  <si>
    <t>POWDER PINK/TRUE WHITE</t>
  </si>
  <si>
    <t>VN000W9T9AL1M  105</t>
  </si>
  <si>
    <t>VN000W9T9AL1004 - Old Skool POWDER PINK/TRU, 10.5, Medium</t>
  </si>
  <si>
    <t>VN000ZSRGQ01005</t>
  </si>
  <si>
    <t>Milton V</t>
  </si>
  <si>
    <t>(F15 SUEDE) NAVY/STV NAVY</t>
  </si>
  <si>
    <t>VN000ZSRGQ01M  040</t>
  </si>
  <si>
    <t>F15 SUEDE</t>
  </si>
  <si>
    <t>VN000ZSRGQ01005 - Milton V SUED F15S NAVY, 4, Medium</t>
  </si>
  <si>
    <t>VN000ZSRGQ01007</t>
  </si>
  <si>
    <t>VN000ZSRGQ01M  050</t>
  </si>
  <si>
    <t>VN000ZSRGQ01007 - Milton V SUED F15S NAVY, 5, Medium</t>
  </si>
  <si>
    <t>VN000ZSRGQ01010</t>
  </si>
  <si>
    <t>VN000ZSRGQ01M  065</t>
  </si>
  <si>
    <t>VN000ZSRGQ01010 - Milton V SUED F15S NAVY, 6.5, Medium</t>
  </si>
  <si>
    <t>VN0A2Z4CEL71004</t>
  </si>
  <si>
    <t>VN0A2Z4CEL71M  065</t>
  </si>
  <si>
    <t>VN0A2Z4CEL71004 - Seldan OUTD ELM, 6.5, Medium</t>
  </si>
  <si>
    <t>VN0A347ZDDU1004</t>
  </si>
  <si>
    <t>VN0A347ZDDU1M  080</t>
  </si>
  <si>
    <t>VN0A347ZDDU1004 - Winston CNVS DRDBL, 8, Medium</t>
  </si>
  <si>
    <t>VN0A3TKN6BT1004</t>
  </si>
  <si>
    <t>VN0A3TKN6BT1M  050</t>
  </si>
  <si>
    <t>VN0A3TKN6BT1004 - SK8-Hi Platform 2.0 Black/Tru, 5, Medium</t>
  </si>
  <si>
    <t>VN0A3TKN6BT1014</t>
  </si>
  <si>
    <t>VN0A3TKN6BT1M  100</t>
  </si>
  <si>
    <t>VN0A3TKN6BT1014 - SK8-Hi Platform 2.0 Black/Tr, 10, Medium</t>
  </si>
  <si>
    <t>VN0A4BVSBKA1016</t>
  </si>
  <si>
    <t>VN0A4BVSBKA1M  050</t>
  </si>
  <si>
    <t>VN0A4BVSBKA1016 - UltraRange EXO Hi MTE-2 Black, 5, Medium</t>
  </si>
  <si>
    <t>VN0A5FCB1N61017</t>
  </si>
  <si>
    <t>VN0A5FCB1N61M  045</t>
  </si>
  <si>
    <t>VN0A5FCB1N61017 - Skate Old Skool Pewter/Whit, 4.5, Medium</t>
  </si>
  <si>
    <t>VN0A5FCB1N61011</t>
  </si>
  <si>
    <t>VN0A5FCB1N61M  085</t>
  </si>
  <si>
    <t>VN0A5FCB1N61011 - Skate Old Skool Pewter/Whit, 8.5, Medium</t>
  </si>
  <si>
    <t>VN0A5FCB1N61009</t>
  </si>
  <si>
    <t>VN0A5FCB1N61M  095</t>
  </si>
  <si>
    <t>VN0A5FCB1N61009 - Skate Old Skool Pewter/Whit, 9.5, Medium</t>
  </si>
  <si>
    <t>VN0A5FCB1N61003</t>
  </si>
  <si>
    <t>VN0A5FCB1N61M  130</t>
  </si>
  <si>
    <t>VN0A5FCB1N61003 - Skate Old Skool Pewter/White, 13, Medium</t>
  </si>
  <si>
    <t>VN0A5FCDGPE1009</t>
  </si>
  <si>
    <t>Skate Half Cab</t>
  </si>
  <si>
    <t>Grape</t>
  </si>
  <si>
    <t>VN0A5FCDGPE1M  090</t>
  </si>
  <si>
    <t>CROC</t>
  </si>
  <si>
    <t>VN0A5FCDGPE1009 - Skate Half Cab CROC DKPPL, 9, Medium</t>
  </si>
  <si>
    <t>VN0A5HYWA3I1012</t>
  </si>
  <si>
    <t>(SUEDE)TUFFET/MARSHMALLOW</t>
  </si>
  <si>
    <t>VN0A5HYWA3I1M  055</t>
  </si>
  <si>
    <t>VN0A5HYWA3I1012 - Range EXP Hi VansGuard MTE, 5.5, Medium</t>
  </si>
  <si>
    <t>VN000EZ26M31001</t>
  </si>
  <si>
    <t>DROP V CLASSIC CHECK CR</t>
  </si>
  <si>
    <t>true red/true blue</t>
  </si>
  <si>
    <t>VN000EZ26M31.  016</t>
  </si>
  <si>
    <t>VN000EZ26M31001 - DROP V CLASSIC CHECK CR true red/tr, 1-6</t>
  </si>
  <si>
    <t>66%Cotton 19%Polyester 10%Nylon 3%Elastodiene 2%Elastane</t>
  </si>
  <si>
    <t>VN000F0SY281002</t>
  </si>
  <si>
    <t>FLAME CHECK CREW</t>
  </si>
  <si>
    <t>VN000F0SY281.  951</t>
  </si>
  <si>
    <t>VN000F0SY281002 - FLAME CHECK CREW Black/White, 9.5-13</t>
  </si>
  <si>
    <t>71% Cotton 13% Polyester 10% Nylon 4% Elastodiene 2% Elastane</t>
  </si>
  <si>
    <t>Ecommerce|Own Retail</t>
  </si>
  <si>
    <t>VN000F0XCLH1002</t>
  </si>
  <si>
    <t>VN000F0XCLH1.  951</t>
  </si>
  <si>
    <t>VN000F0XCLH1002 - Classic Crew SHADOW LIME, 9.5-13</t>
  </si>
  <si>
    <t>C/W1:76% Cotton 13% Nylon 7% Polyester 3%Elastodiene 1% Elastane;C/W2:76% Cotton 13% Nylon 7% Polyester 3%Elastodiene 1% Elastane;C/</t>
  </si>
  <si>
    <t>VN000FN8BED1001</t>
  </si>
  <si>
    <t>ANIMOES CANOODLE-B</t>
  </si>
  <si>
    <t>SHELL CORAL</t>
  </si>
  <si>
    <t>VN000FN8BED1.  651</t>
  </si>
  <si>
    <t>VN000FN8BED1001 - ANIMOES CANOODLE-B SHELL CORAL, 6.5-10</t>
  </si>
  <si>
    <t>VN000GKMCHJ1001</t>
  </si>
  <si>
    <t>WHAMMY LOW UNSTRUCTURED</t>
  </si>
  <si>
    <t>VN000GKMCHJ1.  OS</t>
  </si>
  <si>
    <t>VN000GKMCHJ1001 - WHAMMY LOW UNSTRUCTURED BLACKB, One Size</t>
  </si>
  <si>
    <t>VN000GMQEHC1001</t>
  </si>
  <si>
    <t>OVERSTIMULATED CANOODLE</t>
  </si>
  <si>
    <t>VN000GMQEHC1.  651</t>
  </si>
  <si>
    <t>VN000GMQEHC1001 - OVERSTIMULATED CANOODLE Autumn L, 6.5-10</t>
  </si>
  <si>
    <t>63% Cotton  23% Polyester  11% Nylon  3% Elastane</t>
  </si>
  <si>
    <t>VN000HSR2N11001</t>
  </si>
  <si>
    <t>Spray On Cuff Beanie</t>
  </si>
  <si>
    <t>VN000HSR2N11.  OS</t>
  </si>
  <si>
    <t>VN000HSR2N11001 - Spray On Cuff Beanie oatmeal, One Size</t>
  </si>
  <si>
    <t>VN000HSZFS81001</t>
  </si>
  <si>
    <t>Vans 66 Earflap Pom Bea</t>
  </si>
  <si>
    <t>VN000HSZFS81.  OS</t>
  </si>
  <si>
    <t>VN000HSZFS81001 - Vans 66 Earflap Pom Bea marshm, One Size</t>
  </si>
  <si>
    <t>42%Acrylic 30%recycled Nylon 28%Nylon EOD</t>
  </si>
  <si>
    <t>VN000HT0CIF1001</t>
  </si>
  <si>
    <t>Bennett Pom Beanie</t>
  </si>
  <si>
    <t>GRAPE JAM</t>
  </si>
  <si>
    <t>VN000HT0CIF1.  OS</t>
  </si>
  <si>
    <t>VN000HT0CIF1001 - Bennett Pom Beanie GRAPE JAM, One Size</t>
  </si>
  <si>
    <t>71% ACRYLIC/16% NYLON/12% WOOL/1% EOD</t>
  </si>
  <si>
    <t>VN000HT1LKZ1001</t>
  </si>
  <si>
    <t>Vans Check Pom Beanie</t>
  </si>
  <si>
    <t>VN000HT1LKZ1.  OS</t>
  </si>
  <si>
    <t>VN000HT1LKZ1001 - Vans Check Pom Beanie dress bl, One Size</t>
  </si>
  <si>
    <t>VN000J4TBLK1001</t>
  </si>
  <si>
    <t>Half Box Curved Bill Jo</t>
  </si>
  <si>
    <t>VN000J4TBLK1.  OS</t>
  </si>
  <si>
    <t>VN000J4TBLK1001 - Half Box Curved Bill Jo Black, One Size</t>
  </si>
  <si>
    <t>VN000M7UZBF1002</t>
  </si>
  <si>
    <t>MTE Wilder Bucket Hat</t>
  </si>
  <si>
    <t>VN000M7UZBF1.  SM</t>
  </si>
  <si>
    <t>VN000M7UZBF1002 - MTE Wilder Bucket Hat LODE, Small/Medium</t>
  </si>
  <si>
    <t>100% NYLON EOD</t>
  </si>
  <si>
    <t>VN000NBRBLK1001</t>
  </si>
  <si>
    <t>Vans Classic Strapback</t>
  </si>
  <si>
    <t>VN000NBRBLK1.  OS</t>
  </si>
  <si>
    <t>VN000NBRBLK1001 - Vans Classic Strapback Black, One Size</t>
  </si>
  <si>
    <t>VN000Q1ABRD1001</t>
  </si>
  <si>
    <t>Vans Classic Snapback</t>
  </si>
  <si>
    <t>VN000Q1ABRD1.  OS</t>
  </si>
  <si>
    <t>VN000Q1ABRD1001 - Vans Classic Snapback Bordeaux, One Size</t>
  </si>
  <si>
    <t>VN000Q94EN71001</t>
  </si>
  <si>
    <t>VN000Q94EN71.  XS</t>
  </si>
  <si>
    <t>VN000Q94EN71001 - Classic Script Half Cre Pink Da, X Small</t>
  </si>
  <si>
    <t>VN000QAGLVB1001</t>
  </si>
  <si>
    <t>VN000QAGLVB1.  OS</t>
  </si>
  <si>
    <t>VN000QAGLVB1001 - Classic Script Snapback VINTAG, One Size</t>
  </si>
  <si>
    <t>Shell : 100% Cotton EOD</t>
  </si>
  <si>
    <t>VN000QAREN61001</t>
  </si>
  <si>
    <t>Off The Wall Hood</t>
  </si>
  <si>
    <t>VN000QAREN61.  OS</t>
  </si>
  <si>
    <t>VN000QAREN61001 - Off The Wall Hood Pine Forest, One Size</t>
  </si>
  <si>
    <t>VN000QB2EMP1001</t>
  </si>
  <si>
    <t>VN000QB2EMP1.  OS</t>
  </si>
  <si>
    <t>VN000QB2EMP1001 - Vans Classic Cuff Beani Coal B, One Size</t>
  </si>
  <si>
    <t>VN000QB9EMP1001</t>
  </si>
  <si>
    <t>VN000QB9EMP1.  M</t>
  </si>
  <si>
    <t>VN000QB9EMP1001 - Hovley Crew Coal Brown, Medium</t>
  </si>
  <si>
    <t>VN000QBEF0E1001</t>
  </si>
  <si>
    <t>VN000QBEF0E1.  L</t>
  </si>
  <si>
    <t>VN000QBEF0E1001 - Vans Drop V Crew Black/Burnt Gol, Large</t>
  </si>
  <si>
    <t>VN000QBQEN71003</t>
  </si>
  <si>
    <t>VN000QBQEN71.  L</t>
  </si>
  <si>
    <t>VN000QBQEN71003 - Cuff It Crew Pink Dawn, Large</t>
  </si>
  <si>
    <t>VN000QBSBLK1003</t>
  </si>
  <si>
    <t>Bergman Low Crew</t>
  </si>
  <si>
    <t>VN000QBSBLK1.  S</t>
  </si>
  <si>
    <t>VN000QBSBLK1003 - Bergman Low Crew Black, Small</t>
  </si>
  <si>
    <t>66%Cotton 28%Polyester 3%Elastodiene  2%Nylon 1%Elastane</t>
  </si>
  <si>
    <t>VN000QCKBLK1002</t>
  </si>
  <si>
    <t>Check Leather Belt</t>
  </si>
  <si>
    <t>VN000QCKBLK1.  LXL</t>
  </si>
  <si>
    <t>VN000QCKBLK1002 - Check Leather Belt Black, Large/X Large</t>
  </si>
  <si>
    <t>VN000XS9IZH1001</t>
  </si>
  <si>
    <t>MN CLASSIC SUPER NO</t>
  </si>
  <si>
    <t>BLACK ASSORTED</t>
  </si>
  <si>
    <t>VN000XS9IZH1.  OS</t>
  </si>
  <si>
    <t>VN000XS9IZH1001 - MN CLASSIC SUPER NO ROX OXFRD, One Size</t>
  </si>
  <si>
    <t>BLACK AND WHITE COLORWAYS: 71% Cotton, 21% Polyester, 6% Polyamide, 2% Elastane HEATHER GREY COLORWAY: 96% Polyester, 3% Polyamide,</t>
  </si>
  <si>
    <t>VN0A3I5LBHH1001</t>
  </si>
  <si>
    <t>VN0A3I5LBHH1.  OS</t>
  </si>
  <si>
    <t>VN0A3I5LBHH1001 - MN BRUCKNER CUFF BEA Black Hea, One Size</t>
  </si>
  <si>
    <t>VN0A48HCYB21001</t>
  </si>
  <si>
    <t>WM CLASSIC CANOODLE</t>
  </si>
  <si>
    <t>VN0A48HCYB21.  OS</t>
  </si>
  <si>
    <t>VN0A48HCYB21001 - WM CLASSIC CANOODLE White/Blac, One Size</t>
  </si>
  <si>
    <t>72% Cotton 25% Polyamide 3% Elastane</t>
  </si>
  <si>
    <t>VN0A7PR496O1001</t>
  </si>
  <si>
    <t>CUTLEY SHADES</t>
  </si>
  <si>
    <t>Brown Tortoise</t>
  </si>
  <si>
    <t>VN0A7PR496O1.  OS</t>
  </si>
  <si>
    <t>VN0A7PR496O1001 - CUTLEY SHADES Brown Tortoise, One Size</t>
  </si>
  <si>
    <t>VN0A7S9EZMK1001</t>
  </si>
  <si>
    <t>CLASSIC 3/4 CREW (6.5-9</t>
  </si>
  <si>
    <t>ANTIQUE WHITE/DRESS BLUES</t>
  </si>
  <si>
    <t>VN0A7S9EZMK1.  OS</t>
  </si>
  <si>
    <t>VN0A7S9EZMK1001 - CLASSIC 3/4 CREW (6.5-9 ANTIQU, One Size</t>
  </si>
  <si>
    <t>55%Cotton 37%Polyester 5%Nylon 3%Elastane</t>
  </si>
  <si>
    <t>VN0A7S9FZMK1001</t>
  </si>
  <si>
    <t>CLASSIC 3/4 CREW (9.5-1</t>
  </si>
  <si>
    <t>VN0A7S9FZMK1.  OS</t>
  </si>
  <si>
    <t>VN0A7S9FZMK1001 - CLASSIC 3/4 CREW (9.5-1 ANTIQU, One Size</t>
  </si>
  <si>
    <t>VN0002QQYB21004</t>
  </si>
  <si>
    <t>MN VANS CLASSIC RAGL</t>
  </si>
  <si>
    <t>VN0002QQYB21.  XL</t>
  </si>
  <si>
    <t>VN0002QQYB21004 - MN VANS CLASSIC RAGL White/Blac, X Large</t>
  </si>
  <si>
    <t>VN000389BQC1002</t>
  </si>
  <si>
    <t>COSMOS SS TOP</t>
  </si>
  <si>
    <t>CLEARLY AQUA</t>
  </si>
  <si>
    <t>VN000389BQC1.  M</t>
  </si>
  <si>
    <t>VN000389BQC1002 - COSMOS SS TOP CLEARLY AQUA, Medium</t>
  </si>
  <si>
    <t>230g 2x2 Rib - Rayon Poly Nylon Elastane</t>
  </si>
  <si>
    <t>VN000395WHT1003</t>
  </si>
  <si>
    <t>RESORT WASH SWEATPANT</t>
  </si>
  <si>
    <t>VN000395WHT1.  XS</t>
  </si>
  <si>
    <t>VN000395WHT1003 - RESORT WASH SWEATPANT White, X Small</t>
  </si>
  <si>
    <t>80% Cotton,20% Polyester</t>
  </si>
  <si>
    <t>VN0003P3YB21003</t>
  </si>
  <si>
    <t>BY VANS CLASSIC RAGL</t>
  </si>
  <si>
    <t>VN0003P3YB21.  S</t>
  </si>
  <si>
    <t>VN0003P3YB21003 - BY VANS CLASSIC RAGL White/Black, Small</t>
  </si>
  <si>
    <t>VN0003P3YB21004</t>
  </si>
  <si>
    <t>VN0003P3YB21.  XL</t>
  </si>
  <si>
    <t>VN0003P3YB21004 - BY VANS CLASSIC RAGL White/Blac, X Large</t>
  </si>
  <si>
    <t>VN00074M4QU1004</t>
  </si>
  <si>
    <t>ELIZA OS WOVEN SHACKET</t>
  </si>
  <si>
    <t>VN00074M4QU1.  XL</t>
  </si>
  <si>
    <t>VN00074M4QU1004 - ELIZA OS WOVEN SHACKET Port Roy, X Large</t>
  </si>
  <si>
    <t>VN0007ZBBML1003</t>
  </si>
  <si>
    <t>Primary Print Elastic B</t>
  </si>
  <si>
    <t>VN0007ZBBML1REGM</t>
  </si>
  <si>
    <t>VN BIG KIDS SWIMWEAR</t>
  </si>
  <si>
    <t>VN0007ZBBML1003 - Primary Print Elastic B, Medium, Regular</t>
  </si>
  <si>
    <t>6095 - VN KD SWIMWEAR</t>
  </si>
  <si>
    <t>100% Recycled Poly Suede - Print C0 75D*100D/220T*104T 150gms/58/59</t>
  </si>
  <si>
    <t>VN0007ZCBLK1003</t>
  </si>
  <si>
    <t>THE DAILY SIDELINES BOA</t>
  </si>
  <si>
    <t>VN0007ZCBLK1REG24</t>
  </si>
  <si>
    <t>VN0007ZCBLK1003 - THE DAILY SIDELINES BOA Bla, 24, Regular</t>
  </si>
  <si>
    <t>100% Polyester / Knit / Warp Knit - Tricot / 58.0 in cuttable/ 165.0 g/m2 / T50 / Polyester 0.0 TBD /  0.0 TBD /  / PD /</t>
  </si>
  <si>
    <t>VN0008KKCR61004</t>
  </si>
  <si>
    <t>MTE Voyage Essentials B</t>
  </si>
  <si>
    <t>VN0008KKCR61REG30</t>
  </si>
  <si>
    <t>VN0008KKCR61004 - MTE Voyage Essentials B COF, 30, Regular</t>
  </si>
  <si>
    <t>VN0008KUJDU1003</t>
  </si>
  <si>
    <t>VN0008KUJDU1REGS</t>
  </si>
  <si>
    <t>VN0008KUJDU1003 - PRIMARY PRINT ELASTIC B, Small, Regular</t>
  </si>
  <si>
    <t>VN0008N6BLK1009</t>
  </si>
  <si>
    <t>VN0008N6BLK1REG29</t>
  </si>
  <si>
    <t>VN0008N6BLK1009 - SERVICE CARGO LOOSE TAP Bla, 29, Regular</t>
  </si>
  <si>
    <t>VN0008N6EMU1005</t>
  </si>
  <si>
    <t>VN0008N6EMU1REG29</t>
  </si>
  <si>
    <t>VN0008N6EMU1005 - SERVICE CARGO LOOSE TAP Dri, 29, Regular</t>
  </si>
  <si>
    <t>VN0008NAE901006</t>
  </si>
  <si>
    <t>VN0008NAE901REG29</t>
  </si>
  <si>
    <t>VN0008NAE901006 - CHECK-5 BAGGY DENIM PAN Sto, 29, Regular</t>
  </si>
  <si>
    <t>VN0008NAE901005</t>
  </si>
  <si>
    <t>VN0008NAE901REG30</t>
  </si>
  <si>
    <t>VN0008NAE901005 - CHECK-5 BAGGY DENIM PAN Sto, 30, Regular</t>
  </si>
  <si>
    <t>VN000G6MBDX1005</t>
  </si>
  <si>
    <t>HAVENWOOD CARDIGAN</t>
  </si>
  <si>
    <t>BISTRO GREEN</t>
  </si>
  <si>
    <t>VN000G6MBDX1.  S</t>
  </si>
  <si>
    <t>VN000G6MBDX1005 - HAVENWOOD CARDIGAN BISTRO GREEN, Small</t>
  </si>
  <si>
    <t>MDSC 63% Acrylic, 33% Nylon, 4% Elastane</t>
  </si>
  <si>
    <t>VN000G75D6Z1010</t>
  </si>
  <si>
    <t>VN000G75D6Z119 XS</t>
  </si>
  <si>
    <t>VN000G75D6Z1010 - PRIMARY SOLID ELASTIC B Por, X Small, 19</t>
  </si>
  <si>
    <t>VN000G81BLK1006</t>
  </si>
  <si>
    <t>DUNTON BASEBALL JACKET</t>
  </si>
  <si>
    <t>VN000G81BLK1.  XXL</t>
  </si>
  <si>
    <t>VN000G81BLK1006 - DUNTON BASEBALL JACKET Black, XX Large</t>
  </si>
  <si>
    <t>VN000GA0BLK1005</t>
  </si>
  <si>
    <t>VN000GA0BLK1.  29</t>
  </si>
  <si>
    <t>VN000GA0BLK1005 - Alder Relaxed Pleated P Black, 29</t>
  </si>
  <si>
    <t>VN000GA0D3Z1002</t>
  </si>
  <si>
    <t>VN000GA0D3Z1.  24</t>
  </si>
  <si>
    <t>VN000GA0D3Z1002 - Alder Relaxed Pleated P Elm, 24</t>
  </si>
  <si>
    <t>VN000GCHLKZ1004</t>
  </si>
  <si>
    <t>ALWAYS &amp; FOREVER PO</t>
  </si>
  <si>
    <t>VN000GCHLKZ1.  S</t>
  </si>
  <si>
    <t>VN000GCHLKZ1004 - ALWAYS &amp; FOREVER PO dress blues, Small</t>
  </si>
  <si>
    <t>BG - Bulgaria</t>
  </si>
  <si>
    <t>VN000GDFBLK1001</t>
  </si>
  <si>
    <t>VN000GDFBLK1.  L</t>
  </si>
  <si>
    <t>VN000GDFBLK1001 - OG LOGO LS Black, Large</t>
  </si>
  <si>
    <t>VN000GF8WHT1003</t>
  </si>
  <si>
    <t>BODEGA SS</t>
  </si>
  <si>
    <t>VN000GF8WHT1.  M</t>
  </si>
  <si>
    <t>VN000GF8WHT1003 - BODEGA SS White, Medium</t>
  </si>
  <si>
    <t>VN000GGC15P1001</t>
  </si>
  <si>
    <t>VN000GGC15P1.  M</t>
  </si>
  <si>
    <t>VN000GGC15P1001 - ELEVATED DOUBLE KNIT MO White He, Medium</t>
  </si>
  <si>
    <t>VN000GH8BLK1007</t>
  </si>
  <si>
    <t>FLAMINGHOST FITTED TANK</t>
  </si>
  <si>
    <t>VN000GH8BLK1.  XS</t>
  </si>
  <si>
    <t>VN000GH8BLK1007 - FLAMINGHOST FITTED TANK Black, X Small</t>
  </si>
  <si>
    <t>VN000GJ6BLK1001</t>
  </si>
  <si>
    <t>GUITAR SOLO OVERSIZED</t>
  </si>
  <si>
    <t>VN000GJ6BLK1.  L</t>
  </si>
  <si>
    <t>VN000GJ6BLK1001 - GUITAR SOLO OVERSIZED Black, Large</t>
  </si>
  <si>
    <t>14's 100% cotton</t>
  </si>
  <si>
    <t>VN000HANCDX1009</t>
  </si>
  <si>
    <t>Service Cargo Loose Den</t>
  </si>
  <si>
    <t>VN000HANCDX1REG38</t>
  </si>
  <si>
    <t>VN000HANCDX1009 - Service Cargo Loose Den STO, 38, Regular</t>
  </si>
  <si>
    <t>VN000HDZKOU1002</t>
  </si>
  <si>
    <t>Harrison Rugby LS Knit</t>
  </si>
  <si>
    <t>VN000HDZKOU1.  M</t>
  </si>
  <si>
    <t>VN000HDZKOU1002 - Harrison Rugby LS Knit BLACK/ASP, Medium</t>
  </si>
  <si>
    <t>VN000HMFWHT1006</t>
  </si>
  <si>
    <t>LX Printed Knit Sweater</t>
  </si>
  <si>
    <t>VN000HMFWHT1.  XXL</t>
  </si>
  <si>
    <t>VN000HMFWHT1006 - LX Printed Knit Sweater White, XX Large</t>
  </si>
  <si>
    <t>100% Cotton, 12GG 2ENDS</t>
  </si>
  <si>
    <t>VN000HMQF0E1001</t>
  </si>
  <si>
    <t>VN000HMQF0E1.  L</t>
  </si>
  <si>
    <t>VN000HMQF0E1001 - Copley Bomber Jacket Black/Burnt, Large</t>
  </si>
  <si>
    <t>VN000HMQJDU1003</t>
  </si>
  <si>
    <t>VN000HMQJDU1.  XS</t>
  </si>
  <si>
    <t>VN000HMQJDU1003 - Copley Bomber Jacket PARISIAN N, X Small</t>
  </si>
  <si>
    <t>VN000HN197I1001</t>
  </si>
  <si>
    <t>LX Oversized Sherpa Hoo</t>
  </si>
  <si>
    <t>VN000HN197I1.  XS</t>
  </si>
  <si>
    <t>VN000HN197I1001 - LX Oversized Sherpa Hoo Classic, X Small</t>
  </si>
  <si>
    <t>VN000HN9DRJ1005</t>
  </si>
  <si>
    <t>MTE Ward 3-1 Utility Ja</t>
  </si>
  <si>
    <t>Black/Green Gables</t>
  </si>
  <si>
    <t>VN000HN9DRJ1.  XS</t>
  </si>
  <si>
    <t>VN000HN9DRJ1005 - MTE Ward 3-1 Utility Ja Black/G, X Small</t>
  </si>
  <si>
    <t>VN000HNFD401006</t>
  </si>
  <si>
    <t>MTE Kane Primaloft Jack</t>
  </si>
  <si>
    <t>FIESTA</t>
  </si>
  <si>
    <t>VN000HNFD401.  S</t>
  </si>
  <si>
    <t>VN000HNFD401006 - MTE Kane Primaloft Jack Fiesta, Small</t>
  </si>
  <si>
    <t>100% Polyamide</t>
  </si>
  <si>
    <t>VN000HU0QID1004</t>
  </si>
  <si>
    <t>VN000HU0QID1.  XXS</t>
  </si>
  <si>
    <t>VN000HU0QID1004 - Thanx Again PO Fleece-B FADED, XX Small</t>
  </si>
  <si>
    <t>VN000HZBBLK1003</t>
  </si>
  <si>
    <t>VN000HZBBLK132 38</t>
  </si>
  <si>
    <t>VN000HZBBLK1003 - Authentic Chino Relaxed Black, 38, 32</t>
  </si>
  <si>
    <t>VN000HZBKCZ1020</t>
  </si>
  <si>
    <t>VN000HZBKCZ130 32</t>
  </si>
  <si>
    <t>VN000HZBKCZ1020 - Authentic Chino Relaxed GRAPE LE, 32, 30</t>
  </si>
  <si>
    <t>VN000HZCBLK1015</t>
  </si>
  <si>
    <t>VN000HZCBLK130 31</t>
  </si>
  <si>
    <t>VN000HZCBLK1015 - Authentic Chino Loose P Black, 31, 30</t>
  </si>
  <si>
    <t>VN000IVEZX71004</t>
  </si>
  <si>
    <t>VN000IVEZX71.  XL</t>
  </si>
  <si>
    <t>VN000IVEZX71004 - STYLE 76 SS Spicy Mustard, X Large</t>
  </si>
  <si>
    <t>VN000IVFBRD1004</t>
  </si>
  <si>
    <t>VN000IVFBRD1.  XL</t>
  </si>
  <si>
    <t>VN000IVFBRD1004 - Vans Classic Bordeaux, X Large</t>
  </si>
  <si>
    <t>VN000J9JZR61003</t>
  </si>
  <si>
    <t>VN000J9JZR61REG36</t>
  </si>
  <si>
    <t>VN000J9JZR61003 - Skate Drill Chore AVE L CHO, 36, Regular</t>
  </si>
  <si>
    <t>VN000JBDDBC1001</t>
  </si>
  <si>
    <t>Half Box Camo Fleece Pa</t>
  </si>
  <si>
    <t>VN000JBDDBC1REGL</t>
  </si>
  <si>
    <t>VN000JBDDBC1001 - Half Box Camo Fleece Pa, Large, Regular</t>
  </si>
  <si>
    <t>VN000JBK02F1003</t>
  </si>
  <si>
    <t>VN000JBK02F1.  M</t>
  </si>
  <si>
    <t>VN000JBK02F1003 - Digital Repair PO Cement Heather, Medium</t>
  </si>
  <si>
    <t>VN000JBK02F1001</t>
  </si>
  <si>
    <t>VN000JBK02F1.  XL</t>
  </si>
  <si>
    <t>VN000JBK02F1001 - Digital Repair PO Cement Heathe, X Large</t>
  </si>
  <si>
    <t>VN000JBMCIB1004</t>
  </si>
  <si>
    <t>PESTO</t>
  </si>
  <si>
    <t>VN000JBMCIB1.  XL</t>
  </si>
  <si>
    <t>VN000JBMCIB1004 - Vans Classic II PO PESTO, X Large</t>
  </si>
  <si>
    <t>VN000JBRBR11004</t>
  </si>
  <si>
    <t>VN000JBRBR11.  XL</t>
  </si>
  <si>
    <t>VN000JBRBR11004 - Vans Boxed PO FAIRWAY, X Large</t>
  </si>
  <si>
    <t>VN000JC0J5F1001</t>
  </si>
  <si>
    <t>BY Caps Loose PO</t>
  </si>
  <si>
    <t>VN000JC0J5F1.  S</t>
  </si>
  <si>
    <t>VN000JC0J5F1001 - BY Caps Loose PO VERDANT GREEN, Small</t>
  </si>
  <si>
    <t>56% Cotton/44%Polyester</t>
  </si>
  <si>
    <t>VN000JC5LKZ1003</t>
  </si>
  <si>
    <t>VN000JC5LKZ1.  S</t>
  </si>
  <si>
    <t>VN000JC5LKZ1003 - Ovaline LS dress blues, Small</t>
  </si>
  <si>
    <t>VN000JCXWHT1004</t>
  </si>
  <si>
    <t>High Roller LS</t>
  </si>
  <si>
    <t>VN000JCXWHT1.  XL</t>
  </si>
  <si>
    <t>VN000JCXWHT1004 - High Roller LS White, X Large</t>
  </si>
  <si>
    <t>VN000JF5BLK1003</t>
  </si>
  <si>
    <t>VN000JF5BLK1.  L</t>
  </si>
  <si>
    <t>VN000JF5BLK1003 - W ESSENTIAL FT RLX CREW Black, Large</t>
  </si>
  <si>
    <t>VN000JF5BLK1006</t>
  </si>
  <si>
    <t>VN000JF5BLK1.  XS</t>
  </si>
  <si>
    <t>VN000JF5BLK1006 - W ESSENTIAL FT RLX CREW Black, X Small</t>
  </si>
  <si>
    <t>VN000JQP7YO1005</t>
  </si>
  <si>
    <t>MTE CRESTLINE SS TEE</t>
  </si>
  <si>
    <t>VN000JQP7YO1.  M</t>
  </si>
  <si>
    <t>VN000JQP7YO1005 - MTE CRESTLINE SS TEE BITTER CHOC, Medium</t>
  </si>
  <si>
    <t>VN000JT37W61003</t>
  </si>
  <si>
    <t>Antica Boxy Denim LS Sh</t>
  </si>
  <si>
    <t>Stone Wash</t>
  </si>
  <si>
    <t>VN000JT37W61.  M</t>
  </si>
  <si>
    <t>VN000JT37W61003 - Antica Boxy Denim LS Sh StnWsh, Medium</t>
  </si>
  <si>
    <t>VN000JT37W61001</t>
  </si>
  <si>
    <t>VN000JT37W61.  XL</t>
  </si>
  <si>
    <t>VN000JT37W61001 - Antica Boxy Denim LS Sh StnWsh, X Large</t>
  </si>
  <si>
    <t>VN000JY412S1005</t>
  </si>
  <si>
    <t>MTE Polartec Hz Hoodie</t>
  </si>
  <si>
    <t>VN000JY412S1.  XS</t>
  </si>
  <si>
    <t>VN000JY412S1005 - MTE Polartec Hz Hoodie stargaze, X Small</t>
  </si>
  <si>
    <t>VN000JY4BLK1004</t>
  </si>
  <si>
    <t>VN000JY4BLK1.  S</t>
  </si>
  <si>
    <t>VN000JY4BLK1004 - MTE Polartec Hz Hoodie Black, Small</t>
  </si>
  <si>
    <t>VN000JYD14A1001</t>
  </si>
  <si>
    <t>Style 76 PO</t>
  </si>
  <si>
    <t>VN000JYD14A1.  L</t>
  </si>
  <si>
    <t>VN000JYD14A1001 - Style 76 PO Chili Pepper, Large</t>
  </si>
  <si>
    <t>VN000JYD14A1003</t>
  </si>
  <si>
    <t>VN000JYD14A1.  M</t>
  </si>
  <si>
    <t>VN000JYD14A1003 - Style 76 PO Chili Pepper, Medium</t>
  </si>
  <si>
    <t>VN000K0DDBC1003</t>
  </si>
  <si>
    <t>VN000K0DDBC1.  L</t>
  </si>
  <si>
    <t>VN000K0DDBC1003 - Printed Sidewalk Pant G Bungee Co, Large</t>
  </si>
  <si>
    <t>VN000K42D451002</t>
  </si>
  <si>
    <t>VN000K42D451.  L</t>
  </si>
  <si>
    <t>VN000K42D451002 - Brush Script LOOSE SS Lavender Mi, Large</t>
  </si>
  <si>
    <t>VN000K42E2Z1003</t>
  </si>
  <si>
    <t>VN000K42E2Z1.  S</t>
  </si>
  <si>
    <t>VN000K42E2Z1003 - Brush Script LOOSE SS Red Ochre, Small</t>
  </si>
  <si>
    <t>VN000K8WBLK1001</t>
  </si>
  <si>
    <t>GR FELIDAE DROP V PO</t>
  </si>
  <si>
    <t>VN000K8WBLK1.  S</t>
  </si>
  <si>
    <t>VN000K8WBLK1001 - GR FELIDAE DROP V PO Black, Small</t>
  </si>
  <si>
    <t>VN000K98BLK1002</t>
  </si>
  <si>
    <t>EXPOSITION CHECK II CRE</t>
  </si>
  <si>
    <t>VN000K98BLK1.  M</t>
  </si>
  <si>
    <t>VN000K98BLK1002 - EXPOSITION CHECK II CRE Black, Medium</t>
  </si>
  <si>
    <t>VN000K98EN61001</t>
  </si>
  <si>
    <t>VN000K98EN61.  XL</t>
  </si>
  <si>
    <t>VN000K98EN61001 - EXPOSITION CHECK II CRE Pine Fo, X Large</t>
  </si>
  <si>
    <t>VN000KTAEMB1004</t>
  </si>
  <si>
    <t>VN000KTAEMB1.  XL</t>
  </si>
  <si>
    <t>VN000KTAEMB1004 - MTE Spectrum Windbreake Aged Gr, X Large</t>
  </si>
  <si>
    <t>VN000KUE02F1006</t>
  </si>
  <si>
    <t>VN000KUE02F1.  L</t>
  </si>
  <si>
    <t>VN000KUE02F1006 - Bergman Stripe SS Cement Heather, Large</t>
  </si>
  <si>
    <t>VN000KV2JDU1001</t>
  </si>
  <si>
    <t>Drill Chore Corduroy Ja</t>
  </si>
  <si>
    <t>VN000KV2JDU1.  L</t>
  </si>
  <si>
    <t>VN000KV2JDU1001 - Drill Chore Corduroy Ja PARISIAN, Large</t>
  </si>
  <si>
    <t>VN000KV2JDU1002</t>
  </si>
  <si>
    <t>VN000KV2JDU1.  M</t>
  </si>
  <si>
    <t>VN000KV2JDU1002 - Drill Chore Corduroy Ja PARISIAN, Medium</t>
  </si>
  <si>
    <t>VN000KVEBLK1006</t>
  </si>
  <si>
    <t>VN000KVEBLK1.  L</t>
  </si>
  <si>
    <t>VN000KVEBLK1006 - LX Spade Utility Vest Black, Large</t>
  </si>
  <si>
    <t>VN000M10ZUJ1006</t>
  </si>
  <si>
    <t>Nate Corduroy LS Woven</t>
  </si>
  <si>
    <t>VN000M10ZUJ1.  S</t>
  </si>
  <si>
    <t>VN000M10ZUJ1006 - Nate Corduroy LS Woven LONDON FOG, Small</t>
  </si>
  <si>
    <t>VN000M10ZUJ1001</t>
  </si>
  <si>
    <t>VN000M10ZUJ1.  XL</t>
  </si>
  <si>
    <t>VN000M10ZUJ1001 - Nate Corduroy LS Woven LONDON F, X Large</t>
  </si>
  <si>
    <t>VN000M10ZUJ1003</t>
  </si>
  <si>
    <t>VN000M10ZUJ1.  XS</t>
  </si>
  <si>
    <t>VN000M10ZUJ1003 - Nate Corduroy LS Woven LONDON F, X Small</t>
  </si>
  <si>
    <t>VN000M1PC9L1001</t>
  </si>
  <si>
    <t>Major Type Pullover</t>
  </si>
  <si>
    <t>VN000M1PC9L1.  L</t>
  </si>
  <si>
    <t>VN000M1PC9L1001 - Major Type Pullover CHERRIES JUBI, Large</t>
  </si>
  <si>
    <t>VN000M1PC9L1002</t>
  </si>
  <si>
    <t>VN000M1PC9L1.  M</t>
  </si>
  <si>
    <t>VN000M1PC9L1002 - Major Type Pullover CHERRIES JUB, Medium</t>
  </si>
  <si>
    <t>VN000M1PC9L1004</t>
  </si>
  <si>
    <t>VN000M1PC9L1.  XL</t>
  </si>
  <si>
    <t>VN000M1PC9L1004 - Major Type Pullover CHERRIES JU, X Large</t>
  </si>
  <si>
    <t>VN000M27CFL1012</t>
  </si>
  <si>
    <t>VN000M27CFL1REG31</t>
  </si>
  <si>
    <t>VN000M27CFL1012 - Check-5 Loose Denim Pan CIT, 31, Regular</t>
  </si>
  <si>
    <t>VN000M29DDN1012</t>
  </si>
  <si>
    <t>Fatigue Loose Tapered D</t>
  </si>
  <si>
    <t>VN000M29DDN1REG36</t>
  </si>
  <si>
    <t>VN000M29DDN1012 - Fatigue Loose Tapered D Dar, 36, Regular</t>
  </si>
  <si>
    <t>VN000M2P1O71006</t>
  </si>
  <si>
    <t>VN000M2P1O71.  L</t>
  </si>
  <si>
    <t>VN000M2P1O71006 - MTE Craggy Peaks PO Asphalt, Large</t>
  </si>
  <si>
    <t>VN000M37ZBF1002</t>
  </si>
  <si>
    <t>VN000M37ZBF1REG29</t>
  </si>
  <si>
    <t>VN000M37ZBF1002 - Check-5 Loose Corduroy LODE, 29, Regular</t>
  </si>
  <si>
    <t>VN000M39D4C1006</t>
  </si>
  <si>
    <t>VN000M39D4C1REG31</t>
  </si>
  <si>
    <t>VN000M39D4C1006 - Drill Chore Carpenter L Tur, 31, Regular</t>
  </si>
  <si>
    <t>VN000M3AZBF1002</t>
  </si>
  <si>
    <t>Fatigue Loose Short</t>
  </si>
  <si>
    <t>VN000M3AZBF1REG36</t>
  </si>
  <si>
    <t>VN000M3AZBF1002 - Fatigue Loose Short LODEN G, 36, Regular</t>
  </si>
  <si>
    <t>VN000M3GJDU1001</t>
  </si>
  <si>
    <t>VN000M3GJDU1REGXXL</t>
  </si>
  <si>
    <t>VN000M3GJDU1001 - Primary Crazy Print L, XX Large, Regular</t>
  </si>
  <si>
    <t>VN000M3VBLK1006</t>
  </si>
  <si>
    <t>Read The Room SS</t>
  </si>
  <si>
    <t>VN000M3VBLK1.  S</t>
  </si>
  <si>
    <t>VN000M3VBLK1006 - Read The Room SS Black, Small</t>
  </si>
  <si>
    <t>VN000M4W4SS1005</t>
  </si>
  <si>
    <t>VN000M4W4SS1.  XXL</t>
  </si>
  <si>
    <t>VN000M4W4SS1005 - M RIDGE PANT PirtBlk/PirtBlk, XX Large</t>
  </si>
  <si>
    <t>VN000M5FCLH1004</t>
  </si>
  <si>
    <t>VN000M5FCLH1.  XL</t>
  </si>
  <si>
    <t>VN000M5FCLH1004 - Times Up SS SHADOW LIME, X Large</t>
  </si>
  <si>
    <t>VN000M6ZZBF1004</t>
  </si>
  <si>
    <t>VN000M6ZZBF1.  XXL</t>
  </si>
  <si>
    <t>VN000M6ZZBF1004 - MTE Cascade Pant LODEN GREEN, XX Large</t>
  </si>
  <si>
    <t>VN000M8EBL21006</t>
  </si>
  <si>
    <t>VN000M8EBL21REG36</t>
  </si>
  <si>
    <t>VN000M8EBL21006 - MTE Daily Solid Sidelin HAR, 36, Regular</t>
  </si>
  <si>
    <t>VN000M8G1O71005</t>
  </si>
  <si>
    <t>VN000M8G1O71REG30</t>
  </si>
  <si>
    <t>VN000M8G1O71005 - MTE Daily Sideline Boar Asp, 30, Regular</t>
  </si>
  <si>
    <t>VN000M8G1O71008</t>
  </si>
  <si>
    <t>VN000M8G1O71REG33</t>
  </si>
  <si>
    <t>VN000M8G1O71008 - MTE Daily Sideline Boar Asp, 33, Regular</t>
  </si>
  <si>
    <t>VN000M8HZBF1008</t>
  </si>
  <si>
    <t>VN000M8HZBF1REG34</t>
  </si>
  <si>
    <t>VN000M8HZBF1008 - MTE Everride Scalloped LODE, 34, Regular</t>
  </si>
  <si>
    <t>50% RECYCLED POLY 50% POLY DURABLE 2-WAY STRETCH - SOLID 57/58" 175g</t>
  </si>
  <si>
    <t>VN000M8JY281008</t>
  </si>
  <si>
    <t>VN000M8JY281REG36</t>
  </si>
  <si>
    <t>VN000M8JY281008 - MTE Everride Scalloped Blac, 36, Regular</t>
  </si>
  <si>
    <t>VN000M8UBLK1002</t>
  </si>
  <si>
    <t>VN000M8UBLK1.  M</t>
  </si>
  <si>
    <t>VN000M8UBLK1002 - Drew Rib Tube Top Black, Medium</t>
  </si>
  <si>
    <t>VN000M8UBLK1006</t>
  </si>
  <si>
    <t>VN000M8UBLK1.  XS</t>
  </si>
  <si>
    <t>VN000M8UBLK1006 - Drew Rib Tube Top Black, X Small</t>
  </si>
  <si>
    <t>VN000M8UWHT1005</t>
  </si>
  <si>
    <t>VN000M8UWHT1.  XL</t>
  </si>
  <si>
    <t>VN000M8UWHT1005 - Drew Rib Tube Top White, X Large</t>
  </si>
  <si>
    <t>VN000M99CFL1005</t>
  </si>
  <si>
    <t>VN000M99CFL1.  XXS</t>
  </si>
  <si>
    <t>VN000M99CFL1005 - Bedford Knit Button Up CITADEL, XX Small</t>
  </si>
  <si>
    <t>VN000M9DBLK1007</t>
  </si>
  <si>
    <t>VN000M9DBLK1.  XXS</t>
  </si>
  <si>
    <t>VN000M9DBLK1007 - Stevies Sports Jersey Black, XX Small</t>
  </si>
  <si>
    <t>VN000M9MZUJ1004</t>
  </si>
  <si>
    <t>VN000M9MZUJ1.  XL</t>
  </si>
  <si>
    <t>VN000M9MZUJ1004 - Charmeuse Diana Column LONDON F, X Large</t>
  </si>
  <si>
    <t>VN000M9MZUJ1005</t>
  </si>
  <si>
    <t>VN000M9MZUJ1.  XS</t>
  </si>
  <si>
    <t>VN000M9MZUJ1005 - Charmeuse Diana Column LONDON F, X Small</t>
  </si>
  <si>
    <t>VN000M9SBLK1002</t>
  </si>
  <si>
    <t>VN000M9SBLK1.  M</t>
  </si>
  <si>
    <t>VN000M9SBLK1002 - Retro Crew Black, Medium</t>
  </si>
  <si>
    <t>VN000M9SEMJ1002</t>
  </si>
  <si>
    <t>VN000M9SEMJ1.  M</t>
  </si>
  <si>
    <t>VN000M9SEMJ1002 - Retro Crew Burnt Gold, Medium</t>
  </si>
  <si>
    <t>VN000M9SRV21003</t>
  </si>
  <si>
    <t>VN000M9SRV21.  S</t>
  </si>
  <si>
    <t>VN000M9SRV21003 - Retro Crew STORMY WEATHER, Small</t>
  </si>
  <si>
    <t>VN000M9SRV21004</t>
  </si>
  <si>
    <t>VN000M9SRV21.  XL</t>
  </si>
  <si>
    <t>VN000M9SRV21004 - Retro Crew STORMY WEATHER, X Large</t>
  </si>
  <si>
    <t>VN000M9SRV21007</t>
  </si>
  <si>
    <t>VN000M9SRV21.  XXS</t>
  </si>
  <si>
    <t>VN000M9SRV21007 - Retro Crew STORMY WEATHER, XX Small</t>
  </si>
  <si>
    <t>VN000MA21O71001</t>
  </si>
  <si>
    <t>VN000MA21O71.  M</t>
  </si>
  <si>
    <t>VN000MA21O71001 - Retro PO Hoodie Asphalt, Medium</t>
  </si>
  <si>
    <t>VN000MA21O71002</t>
  </si>
  <si>
    <t>VN000MA21O71.  S</t>
  </si>
  <si>
    <t>VN000MA21O71002 - Retro PO Hoodie Asphalt, Small</t>
  </si>
  <si>
    <t>VN000MA2EMF1002</t>
  </si>
  <si>
    <t>VN000MA2EMF1.  L</t>
  </si>
  <si>
    <t>VN000MA2EMF1002 - Retro PO Hoodie Bay Leaf, Large</t>
  </si>
  <si>
    <t>VN000MA2EMF1007</t>
  </si>
  <si>
    <t>VN000MA2EMF1.  S</t>
  </si>
  <si>
    <t>VN000MA2EMF1007 - Retro PO Hoodie Bay Leaf, Small</t>
  </si>
  <si>
    <t>VN000MAEBLK1001</t>
  </si>
  <si>
    <t>Detention OS Hoodie</t>
  </si>
  <si>
    <t>VN000MAEBLK1.  M</t>
  </si>
  <si>
    <t>VN000MAEBLK1001 - Detention OS Hoodie Black, Medium</t>
  </si>
  <si>
    <t>VN000MAME2W1006</t>
  </si>
  <si>
    <t>Bleachers OS Hoodie</t>
  </si>
  <si>
    <t>VN000MAME2W1.  XXL</t>
  </si>
  <si>
    <t>VN000MAME2W1006 - Bleachers OS Hoodie Heritage B, XX Large</t>
  </si>
  <si>
    <t>VN000MAT7WM1006</t>
  </si>
  <si>
    <t>VN000MAT7WM1.  M</t>
  </si>
  <si>
    <t>VN000MAT7WM1006 - Relay Track Pant TrBl, Medium</t>
  </si>
  <si>
    <t>VN000MB3ZBF1009</t>
  </si>
  <si>
    <t>Cobra Cargo Pants</t>
  </si>
  <si>
    <t>VN000MB3ZBF1.  26</t>
  </si>
  <si>
    <t>VN000MB3ZBF1009 - Cobra Cargo Pants LODEN GREEN, 26</t>
  </si>
  <si>
    <t>VN000MB3ZBF1005</t>
  </si>
  <si>
    <t>VN000MB3ZBF1.  30</t>
  </si>
  <si>
    <t>VN000MB3ZBF1005 - Cobra Cargo Pants LODEN GREEN, 30</t>
  </si>
  <si>
    <t>VN000MBEFS81009</t>
  </si>
  <si>
    <t>VN000MBEFS81.  27</t>
  </si>
  <si>
    <t>VN000MBEFS81009 - Jennifer Shortie marshmallow, 27</t>
  </si>
  <si>
    <t>VN000MBHC9L1004</t>
  </si>
  <si>
    <t>VN000MBHC9L1.  26</t>
  </si>
  <si>
    <t>VN000MBHC9L1004 - Sirelle Over-Dyed Cut-O CHERRIES JUB, 26</t>
  </si>
  <si>
    <t>VN000MBHC9L1009</t>
  </si>
  <si>
    <t>VN000MBHC9L1.  27</t>
  </si>
  <si>
    <t>VN000MBHC9L1009 - Sirelle Over-Dyed Cut-O CHERRIES JUB, 27</t>
  </si>
  <si>
    <t>VN000MBHC9L1003</t>
  </si>
  <si>
    <t>VN000MBHC9L1.  34</t>
  </si>
  <si>
    <t>VN000MBHC9L1003 - Sirelle Over-Dyed Cut-O CHERRIES JUB, 34</t>
  </si>
  <si>
    <t>VN000MBXFS81006</t>
  </si>
  <si>
    <t>VN000MBXFS81.  XXL</t>
  </si>
  <si>
    <t>VN000MBXFS81006 - Blur Fitted Crop Tank marshmal, XX Large</t>
  </si>
  <si>
    <t>VN000MC0ZUJ1004</t>
  </si>
  <si>
    <t>VN000MC0ZUJ1.  XL</t>
  </si>
  <si>
    <t>VN000MC0ZUJ1004 - Check Wash Fitted Crop LONDON F, X Large</t>
  </si>
  <si>
    <t>VN000MC8E301002</t>
  </si>
  <si>
    <t>Nightwash SS Relax Crop</t>
  </si>
  <si>
    <t>VN000MC8E301.  XXS</t>
  </si>
  <si>
    <t>VN000MC8E301002 - Nightwash SS Relax Crop Lemon, XX Small</t>
  </si>
  <si>
    <t>VN000MEMZBF1002</t>
  </si>
  <si>
    <t>Sidewalk Cargo Skirt</t>
  </si>
  <si>
    <t>VN000MEMZBF1.  M</t>
  </si>
  <si>
    <t>VN000MEMZBF1002 - Sidewalk Cargo Skirt LODEN GREEN, Medium</t>
  </si>
  <si>
    <t>6094 - VN KD SKIRTS &amp; SKORT</t>
  </si>
  <si>
    <t>VN000MFWUUI1004</t>
  </si>
  <si>
    <t>VN000MFWUUI1.  6X</t>
  </si>
  <si>
    <t>VN000MFWUUI1004 - Daisy Break Zip Hoodie EVENING HAZE, 6X</t>
  </si>
  <si>
    <t>VN000MG8UUI1006</t>
  </si>
  <si>
    <t>Daisy Break SS</t>
  </si>
  <si>
    <t>VN000MG8UUI1.  2</t>
  </si>
  <si>
    <t>VN000MG8UUI1006 - Daisy Break SS EVENING HAZE, 2</t>
  </si>
  <si>
    <t>VN000MGGBLK1002</t>
  </si>
  <si>
    <t>Lawson Solid SS Woven</t>
  </si>
  <si>
    <t>VN000MGGBLK1.  M</t>
  </si>
  <si>
    <t>VN000MGGBLK1002 - Lawson Solid SS Woven Black, Medium</t>
  </si>
  <si>
    <t>86% Cotton 14% Linen</t>
  </si>
  <si>
    <t>VN000MH702F1004</t>
  </si>
  <si>
    <t>Metal Arch Loose Pullov</t>
  </si>
  <si>
    <t>VN000MH702F1.  XL</t>
  </si>
  <si>
    <t>VN000MH702F1004 - Metal Arch Loose Pullov Cement, X Large</t>
  </si>
  <si>
    <t>88% Cotton 12% Polyester</t>
  </si>
  <si>
    <t>VN000MH9BLK1003</t>
  </si>
  <si>
    <t>Vortex Pullover</t>
  </si>
  <si>
    <t>VN000MH9BLK1.  S</t>
  </si>
  <si>
    <t>VN000MH9BLK1003 - Vortex Pullover Black, Small</t>
  </si>
  <si>
    <t>VN000MJ6BLK1001</t>
  </si>
  <si>
    <t>Mister Sinister Loose C</t>
  </si>
  <si>
    <t>VN000MJ6BLK1.  XL</t>
  </si>
  <si>
    <t>VN000MJ6BLK1001 - Mister Sinister Loose C Black, X Large</t>
  </si>
  <si>
    <t>VN000MK8BLK1001</t>
  </si>
  <si>
    <t>Mister Sinister SS</t>
  </si>
  <si>
    <t>VN000MK8BLK1.  L</t>
  </si>
  <si>
    <t>VN000MK8BLK1001 - Mister Sinister SS Black, Large</t>
  </si>
  <si>
    <t>VN000MK8BLK1002</t>
  </si>
  <si>
    <t>VN000MK8BLK1.  M</t>
  </si>
  <si>
    <t>VN000MK8BLK1002 - Mister Sinister SS Black, Medium</t>
  </si>
  <si>
    <t>VN000MK8BLK1004</t>
  </si>
  <si>
    <t>VN000MK8BLK1.  XL</t>
  </si>
  <si>
    <t>VN000MK8BLK1004 - Mister Sinister SS Black, X Large</t>
  </si>
  <si>
    <t>VN000MKU6PH1004</t>
  </si>
  <si>
    <t>Old Skool SS</t>
  </si>
  <si>
    <t>VN000MKU6PH1.  XL</t>
  </si>
  <si>
    <t>VN000MKU6PH1004 - Old Skool SS Purple Haze, X Large</t>
  </si>
  <si>
    <t>VN000MKYBLK1003</t>
  </si>
  <si>
    <t>Retro Co SS</t>
  </si>
  <si>
    <t>VN000MKYBLK1.  S</t>
  </si>
  <si>
    <t>VN000MKYBLK1003 - Retro Co SS Black, Small</t>
  </si>
  <si>
    <t>VN000MMC7WM1001</t>
  </si>
  <si>
    <t>Night Watchers FZ</t>
  </si>
  <si>
    <t>VN000MMC7WM1.  2</t>
  </si>
  <si>
    <t>VN000MMC7WM1001 - Night Watchers FZ TrBl, 2</t>
  </si>
  <si>
    <t>VN000MMC7WM1002</t>
  </si>
  <si>
    <t>VN000MMC7WM1.  3</t>
  </si>
  <si>
    <t>VN000MMC7WM1002 - Night Watchers FZ TrBl, 3</t>
  </si>
  <si>
    <t>VN000ND8JDU1005</t>
  </si>
  <si>
    <t>Braden Stripe Knit</t>
  </si>
  <si>
    <t>VN000ND8JDU1.  S</t>
  </si>
  <si>
    <t>VN000ND8JDU1005 - Braden Stripe Knit PARISIAN NIGHT, Small</t>
  </si>
  <si>
    <t>VN000NDQBLK1002</t>
  </si>
  <si>
    <t>Slip Stream Full Zip Ja</t>
  </si>
  <si>
    <t>VN000NDQBLK1.  XS</t>
  </si>
  <si>
    <t>VN000NDQBLK1002 - Slip Stream Full Zip Ja Black, X Small</t>
  </si>
  <si>
    <t>VN000NU0WHT1003</t>
  </si>
  <si>
    <t>CHUCKLING DUO LOOSE SS</t>
  </si>
  <si>
    <t>VN000NU0WHT1.  S</t>
  </si>
  <si>
    <t>VN000NU0WHT1003 - CHUCKLING DUO LOOSE SS White, Small</t>
  </si>
  <si>
    <t>VN000NUYO3N1006</t>
  </si>
  <si>
    <t>VN000NUYO3N1.  XS</t>
  </si>
  <si>
    <t>VN000NUYO3N1006 - ESSENTIAL RACER TANK SEPIA ROSE, X Small</t>
  </si>
  <si>
    <t>VN000NWBCFL1004</t>
  </si>
  <si>
    <t>ESSENTIAL FT RELAXED CR</t>
  </si>
  <si>
    <t>VN000NWBCFL1.  XL</t>
  </si>
  <si>
    <t>VN000NWBCFL1004 - ESSENTIAL FT RELAXED CR CITADEL, X Large</t>
  </si>
  <si>
    <t>VN000NWGCLH1003</t>
  </si>
  <si>
    <t>SKULL LA SHAKA LOOSE SS</t>
  </si>
  <si>
    <t>VN000NWGCLH1.  S</t>
  </si>
  <si>
    <t>VN000NWGCLH1003 - SKULL LA SHAKA LOOSE SS SHADOW LI, Small</t>
  </si>
  <si>
    <t>VN000NZDC9L1003</t>
  </si>
  <si>
    <t>TAF FT LOOSE PO</t>
  </si>
  <si>
    <t>VN000NZDC9L1.  S</t>
  </si>
  <si>
    <t>VN000NZDC9L1003 - TAF FT LOOSE PO CHERRIES JUBILE, Small</t>
  </si>
  <si>
    <t>VN000NZDC9L1005</t>
  </si>
  <si>
    <t>VN000NZDC9L1.  XS</t>
  </si>
  <si>
    <t>VN000NZDC9L1005 - TAF FT LOOSE PO CHERRIES JUBILE, X Small</t>
  </si>
  <si>
    <t>VN000P1P4MG1002</t>
  </si>
  <si>
    <t>VN000P1P4MG1.  XS</t>
  </si>
  <si>
    <t>VN000P1P4MG1002 - LEFT CHEST II LOOSE SS Incense, X Small</t>
  </si>
  <si>
    <t>VN000P1P6JL1006</t>
  </si>
  <si>
    <t>VN000P1P6JL1.  XXL</t>
  </si>
  <si>
    <t>VN000P1P6JL1006 - LEFT CHEST II LOOSE SS Canary, XX Large</t>
  </si>
  <si>
    <t>VN000P1PBR11004</t>
  </si>
  <si>
    <t>VN000P1PBR11.  L</t>
  </si>
  <si>
    <t>VN000P1PBR11004 - LEFT CHEST II LOOSE SS FAIRWAY, Large</t>
  </si>
  <si>
    <t>VN000P1PBR11002</t>
  </si>
  <si>
    <t>VN000P1PBR11.  XL</t>
  </si>
  <si>
    <t>VN000P1PBR11002 - LEFT CHEST II LOOSE SS FAIRWAY, X Large</t>
  </si>
  <si>
    <t>VN000P1PEMU1003</t>
  </si>
  <si>
    <t>VN000P1PEMU1.  M</t>
  </si>
  <si>
    <t>VN000P1PEMU1003 - LEFT CHEST II LOOSE SS Dried Kel, Medium</t>
  </si>
  <si>
    <t>VN000P20EMU1001</t>
  </si>
  <si>
    <t>VN000P20EMU1.  L</t>
  </si>
  <si>
    <t>VN000P20EMU1001 - LEFT CHEST II LOOSE CRE Dried Kel, Large</t>
  </si>
  <si>
    <t>VN000P20EMU1004</t>
  </si>
  <si>
    <t>VN000P20EMU1.  XXL</t>
  </si>
  <si>
    <t>VN000P20EMU1004 - LEFT CHEST II LOOSE CRE Dried, XX Large</t>
  </si>
  <si>
    <t>VN000P20ZRY1004</t>
  </si>
  <si>
    <t>VN000P20ZRY1.  S</t>
  </si>
  <si>
    <t>VN000P20ZRY1004 - LEFT CHEST II LOOSE CRE MAUVEWOOD, Small</t>
  </si>
  <si>
    <t>VN000P20ZRY1005</t>
  </si>
  <si>
    <t>VN000P20ZRY1.  XL</t>
  </si>
  <si>
    <t>VN000P20ZRY1005 - LEFT CHEST II LOOSE CRE MAUVEWO, X Large</t>
  </si>
  <si>
    <t>VN000P21EMU1004</t>
  </si>
  <si>
    <t>VN000P21EMU1.  XL</t>
  </si>
  <si>
    <t>VN000P21EMU1004 - LEFT CHEST II LOOSE PO Dried Ke, X Large</t>
  </si>
  <si>
    <t>VN000P21JDU1006</t>
  </si>
  <si>
    <t>VN000P21JDU1.  L</t>
  </si>
  <si>
    <t>VN000P21JDU1006 - LEFT CHEST II LOOSE PO PARISIAN N, Large</t>
  </si>
  <si>
    <t>VN000P21JDU1004</t>
  </si>
  <si>
    <t>VN000P21JDU1.  XL</t>
  </si>
  <si>
    <t>VN000P21JDU1004 - LEFT CHEST II LOOSE PO PARISIAN, X Large</t>
  </si>
  <si>
    <t>VN000P4YC9L1006</t>
  </si>
  <si>
    <t>TAF LOOSE SS</t>
  </si>
  <si>
    <t>VN000P4YC9L1.  XXL</t>
  </si>
  <si>
    <t>VN000P4YC9L1006 - TAF LOOSE SS CHERRIES JUBILE, XX Large</t>
  </si>
  <si>
    <t>VN000P50EMF1002</t>
  </si>
  <si>
    <t>VN000P50EMF1.  M</t>
  </si>
  <si>
    <t>VN000P50EMF1002 - STYLE 76 II LOOSE SS TE Bay Leaf, Medium</t>
  </si>
  <si>
    <t>VN000P50EMW1006</t>
  </si>
  <si>
    <t>VN000P50EMW1.  M</t>
  </si>
  <si>
    <t>VN000P50EMW1006 - STYLE 76 II LOOSE SS TE Gray Oli, Medium</t>
  </si>
  <si>
    <t>VN000P50EMW1001</t>
  </si>
  <si>
    <t>VN000P50EMW1.  S</t>
  </si>
  <si>
    <t>VN000P50EMW1001 - STYLE 76 II LOOSE SS TE Gray Oliv, Small</t>
  </si>
  <si>
    <t>VN000P50YB21003</t>
  </si>
  <si>
    <t>VN000P50YB21.  M</t>
  </si>
  <si>
    <t>VN000P50YB21003 - STYLE 76 II LOOSE SS TE White/Bl, Medium</t>
  </si>
  <si>
    <t>VN000P51Y281002</t>
  </si>
  <si>
    <t>VN000P51Y281.  L</t>
  </si>
  <si>
    <t>VN000P51Y281002 - STYLE 76 II LOOSE FT PO Black/Whi, Large</t>
  </si>
  <si>
    <t>VN000P51Y281004</t>
  </si>
  <si>
    <t>VN000P51Y281.  S</t>
  </si>
  <si>
    <t>VN000P51Y281004 - STYLE 76 II LOOSE FT PO Black/Whi, Small</t>
  </si>
  <si>
    <t>VN000P52Y281002</t>
  </si>
  <si>
    <t>VN000P52Y281.  M</t>
  </si>
  <si>
    <t>VN000P52Y281002 - STYLE 76 II LOOSE FT CR Black/Wh, Medium</t>
  </si>
  <si>
    <t>VN000P56EMW1002</t>
  </si>
  <si>
    <t>VN000P56EMW1.  L</t>
  </si>
  <si>
    <t>VN000P56EMW1002 - SALTON LOOSE SS Gray Olive, Large</t>
  </si>
  <si>
    <t>VN000P58E2Z1005</t>
  </si>
  <si>
    <t>VN000P58E2Z1.  XS</t>
  </si>
  <si>
    <t>VN000P58E2Z1005 - SALTON LOOSE FT PO Red Ochre, X Small</t>
  </si>
  <si>
    <t>VN000P58EMW1003</t>
  </si>
  <si>
    <t>VN000P58EMW1.  XS</t>
  </si>
  <si>
    <t>VN000P58EMW1003 - SALTON LOOSE FT PO Gray Olive, X Small</t>
  </si>
  <si>
    <t>VN000P59E2Z1001</t>
  </si>
  <si>
    <t>VN000P59E2Z1.  L</t>
  </si>
  <si>
    <t>VN000P59E2Z1001 - SALTON LOOSE FT CREW Red Ochre, Large</t>
  </si>
  <si>
    <t>VN000P5D02F1005</t>
  </si>
  <si>
    <t>VN000P5D02F1.  XL</t>
  </si>
  <si>
    <t>VN000P5D02F1005 - Original Standards Crew Cement, X Large</t>
  </si>
  <si>
    <t>VN000P5GBLK1004</t>
  </si>
  <si>
    <t>VN000P5GBLK1REGXL</t>
  </si>
  <si>
    <t>VN000P5GBLK1004 - Original Standards Fle, X Large, Regular</t>
  </si>
  <si>
    <t>VN000P5RO3N1002</t>
  </si>
  <si>
    <t>G SALTON RELAX CROP SS</t>
  </si>
  <si>
    <t>VN000P5RO3N1.  M</t>
  </si>
  <si>
    <t>VN000P5RO3N1002 - G SALTON RELAX CROP SS SEPIA ROS, Medium</t>
  </si>
  <si>
    <t>VN000P5T5TU1003</t>
  </si>
  <si>
    <t>VN000P5T5TU1.  S</t>
  </si>
  <si>
    <t>VN000P5T5TU1003 - B SALTON LOOSE PO True Navy, Small</t>
  </si>
  <si>
    <t>VN000P5T5TU1004</t>
  </si>
  <si>
    <t>VN000P5T5TU1.  XL</t>
  </si>
  <si>
    <t>VN000P5T5TU1004 - B SALTON LOOSE PO True Navy, X Large</t>
  </si>
  <si>
    <t>VN000P78BLK1003</t>
  </si>
  <si>
    <t>VN000P78BLK1.  XS</t>
  </si>
  <si>
    <t>VN000P78BLK1003 - Drill Chore Nylon Jacke Black, X Small</t>
  </si>
  <si>
    <t>VN000P7U2N11004</t>
  </si>
  <si>
    <t>Crestmont Plaid Shacket</t>
  </si>
  <si>
    <t>VN000P7U2N11.  XL</t>
  </si>
  <si>
    <t>VN000P7U2N11004 - Crestmont Plaid Shacket oatmeal, X Large</t>
  </si>
  <si>
    <t>VN000P7UJDU1004</t>
  </si>
  <si>
    <t>VN000P7UJDU1.  XL</t>
  </si>
  <si>
    <t>VN000P7UJDU1004 - Crestmont Plaid Shacket PARISIA, X Large</t>
  </si>
  <si>
    <t>VN000P86F0V1004</t>
  </si>
  <si>
    <t>Fallon SS Woven</t>
  </si>
  <si>
    <t>Taupe Mist/Black</t>
  </si>
  <si>
    <t>VN000P86F0V1.  L</t>
  </si>
  <si>
    <t>VN000P86F0V1004 - Fallon SS Woven Taupe Mist/Blac, Large</t>
  </si>
  <si>
    <t>98% Cotton 2% Spandex</t>
  </si>
  <si>
    <t>VN000P86F0V1002</t>
  </si>
  <si>
    <t>VN000P86F0V1.  S</t>
  </si>
  <si>
    <t>VN000P86F0V1002 - Fallon SS Woven Taupe Mist/Blac, Small</t>
  </si>
  <si>
    <t>VN000P88BLK1006</t>
  </si>
  <si>
    <t>VN000P88BLK1.  XL</t>
  </si>
  <si>
    <t>VN000P88BLK1006 - Dillon SS Woven Black, X Large</t>
  </si>
  <si>
    <t>VN000P8CJDU1001</t>
  </si>
  <si>
    <t>VN000P8CJDU1.  XXL</t>
  </si>
  <si>
    <t>VN000P8CJDU1001 - Original Standards 2-To PARISI, XX Large</t>
  </si>
  <si>
    <t>VN000PA6BLK1005</t>
  </si>
  <si>
    <t>VN000PA6BLK1.  L</t>
  </si>
  <si>
    <t>VN000PA6BLK1005 - Scripted Vans Crew Black, Large</t>
  </si>
  <si>
    <t>VN000PAABLK1004</t>
  </si>
  <si>
    <t>Grown From The Ground U</t>
  </si>
  <si>
    <t>VN000PAABLK1.  XL</t>
  </si>
  <si>
    <t>VN000PAABLK1004 - Grown From The Ground U Black, X Large</t>
  </si>
  <si>
    <t>VN000PAABLK1001</t>
  </si>
  <si>
    <t>VN000PAABLK1.  XS</t>
  </si>
  <si>
    <t>VN000PAABLK1001 - Grown From The Ground U Black, X Small</t>
  </si>
  <si>
    <t>VN000PAABLK1003</t>
  </si>
  <si>
    <t>VN000PAABLK1.  XXL</t>
  </si>
  <si>
    <t>VN000PAABLK1003 - Grown From The Ground U Black, XX Large</t>
  </si>
  <si>
    <t>VN000PAHEN71005</t>
  </si>
  <si>
    <t>Transcend Pullover</t>
  </si>
  <si>
    <t>VN000PAHEN71.  M</t>
  </si>
  <si>
    <t>VN000PAHEN71005 - Transcend Pullover Pink Dawn, Medium</t>
  </si>
  <si>
    <t>VN000PAZBLK1004</t>
  </si>
  <si>
    <t>VN000PAZBLK1.  M</t>
  </si>
  <si>
    <t>VN000PAZBLK1004 - Punk Patch Pullover Black, Medium</t>
  </si>
  <si>
    <t>VN000PBRBLK1006</t>
  </si>
  <si>
    <t>VN000PBRBLK1.  XS</t>
  </si>
  <si>
    <t>VN000PBRBLK1006 - Chaos SS Black, X Small</t>
  </si>
  <si>
    <t>VN000PCAWHT1001</t>
  </si>
  <si>
    <t>Art Skool SS</t>
  </si>
  <si>
    <t>VN000PCAWHT1.  L</t>
  </si>
  <si>
    <t>VN000PCAWHT1001 - Art Skool SS White, Large</t>
  </si>
  <si>
    <t>VN000PCWEMT1006</t>
  </si>
  <si>
    <t>Mixed Lot SS</t>
  </si>
  <si>
    <t>VN000PCWEMT1.  L</t>
  </si>
  <si>
    <t>VN000PCWEMT1006 - Mixed Lot SS Deep Twilight, Large</t>
  </si>
  <si>
    <t>VN000PCWEMT1001</t>
  </si>
  <si>
    <t>VN000PCWEMT1.  XL</t>
  </si>
  <si>
    <t>VN000PCWEMT1001 - Mixed Lot SS Deep Twilight, X Large</t>
  </si>
  <si>
    <t>VN000PCXEMS1004</t>
  </si>
  <si>
    <t>VN000PCXEMS1.  M</t>
  </si>
  <si>
    <t>VN000PCXEMS1004 - Style Tips SS Dark Port, Medium</t>
  </si>
  <si>
    <t>VN000PCXEMS1002</t>
  </si>
  <si>
    <t>VN000PCXEMS1.  XL</t>
  </si>
  <si>
    <t>VN000PCXEMS1002 - Style Tips SS Dark Port, X Large</t>
  </si>
  <si>
    <t>VN000PCYWHT1003</t>
  </si>
  <si>
    <t>Traffic Cone SS</t>
  </si>
  <si>
    <t>VN000PCYWHT1.  XXL</t>
  </si>
  <si>
    <t>VN000PCYWHT1003 - Traffic Cone SS White, XX Large</t>
  </si>
  <si>
    <t>VN000PD7EMS1001</t>
  </si>
  <si>
    <t>Vans Hov LS</t>
  </si>
  <si>
    <t>VN000PD7EMS1.  L</t>
  </si>
  <si>
    <t>VN000PD7EMS1001 - Vans Hov LS Dark Port, Large</t>
  </si>
  <si>
    <t>VN000PDABLK1002</t>
  </si>
  <si>
    <t>Sting Wagon SS</t>
  </si>
  <si>
    <t>VN000PDABLK1.  L</t>
  </si>
  <si>
    <t>VN000PDABLK1002 - Sting Wagon SS Black, Large</t>
  </si>
  <si>
    <t>VN000PDABLK1003</t>
  </si>
  <si>
    <t>VN000PDABLK1.  M</t>
  </si>
  <si>
    <t>VN000PDABLK1003 - Sting Wagon SS Black, Medium</t>
  </si>
  <si>
    <t>VN000PDREMS1003</t>
  </si>
  <si>
    <t>VN000PDREMS1.  S</t>
  </si>
  <si>
    <t>VN000PDREMS1003 - Star Checker SS Dark Port, Small</t>
  </si>
  <si>
    <t>VN000PDREMS1005</t>
  </si>
  <si>
    <t>VN000PDREMS1.  XXL</t>
  </si>
  <si>
    <t>VN000PDREMS1005 - Star Checker SS Dark Port, XX Large</t>
  </si>
  <si>
    <t>VN000PDREN71004</t>
  </si>
  <si>
    <t>VN000PDREN71.  S</t>
  </si>
  <si>
    <t>VN000PDREN71004 - Star Checker SS Pink Dawn, Small</t>
  </si>
  <si>
    <t>VN000PDYEMP1002</t>
  </si>
  <si>
    <t>VN000PDYEMP1.  XL</t>
  </si>
  <si>
    <t>VN000PDYEMP1002 - Goofy Ghoul SS Coal Brown, X Large</t>
  </si>
  <si>
    <t>VN000PDYWHT1001</t>
  </si>
  <si>
    <t>VN000PDYWHT1.  XS</t>
  </si>
  <si>
    <t>VN000PDYWHT1001 - Goofy Ghoul SS White, X Small</t>
  </si>
  <si>
    <t>VN000PE7BLK1003</t>
  </si>
  <si>
    <t>VN000PE7BLK1.  S</t>
  </si>
  <si>
    <t>VN000PE7BLK1003 - Happy Spike SS Black, Small</t>
  </si>
  <si>
    <t>VN000PE7BLK1005</t>
  </si>
  <si>
    <t>VN000PE7BLK1.  XL</t>
  </si>
  <si>
    <t>VN000PE7BLK1005 - Happy Spike SS Black, X Large</t>
  </si>
  <si>
    <t>VN000PEWEMU1001</t>
  </si>
  <si>
    <t>Stacked Hi SS Tee</t>
  </si>
  <si>
    <t>VN000PEWEMU1.  L</t>
  </si>
  <si>
    <t>VN000PEWEMU1001 - Stacked Hi SS Tee Dried Kelp, Large</t>
  </si>
  <si>
    <t>VN000PEWEMU1002</t>
  </si>
  <si>
    <t>VN000PEWEMU1.  S</t>
  </si>
  <si>
    <t>VN000PEWEMU1002 - Stacked Hi SS Tee Dried Kelp, Small</t>
  </si>
  <si>
    <t>VN000PEWEMU1006</t>
  </si>
  <si>
    <t>VN000PEWEMU1.  XXL</t>
  </si>
  <si>
    <t>VN000PEWEMU1006 - Stacked Hi SS Tee Dried Kelp, XX Large</t>
  </si>
  <si>
    <t>VN000PFBF2L1001</t>
  </si>
  <si>
    <t>WHITE/Drizzle</t>
  </si>
  <si>
    <t>VN000PFBF2L1.  L</t>
  </si>
  <si>
    <t>VN000PFBF2L1001 - Original Standards Bloc WHITE/Dri, Large</t>
  </si>
  <si>
    <t>VN000PFF2B61004</t>
  </si>
  <si>
    <t>VN000PFF2B61.  XXL</t>
  </si>
  <si>
    <t>VN000PFF2B61004 - Original Standards Bloc BLACK/, XX Large</t>
  </si>
  <si>
    <t>VN000PGMEMU1003</t>
  </si>
  <si>
    <t>VN000PGMEMU1.  L</t>
  </si>
  <si>
    <t>VN000PGMEMU1003 - Stockpile Pullover Dried Kelp, Large</t>
  </si>
  <si>
    <t>VN000PGMEMU1005</t>
  </si>
  <si>
    <t>VN000PGMEMU1.  XL</t>
  </si>
  <si>
    <t>VN000PGMEMU1005 - Stockpile Pullover Dried Kelp, X Large</t>
  </si>
  <si>
    <t>VN000PGMY281003</t>
  </si>
  <si>
    <t>VN000PGMY281.  XXL</t>
  </si>
  <si>
    <t>VN000PGMY281003 - Stockpile Pullover Black/White, XX Large</t>
  </si>
  <si>
    <t>VN000PH6IYR1023</t>
  </si>
  <si>
    <t>VN000PH6IYR130 28</t>
  </si>
  <si>
    <t>VN000PH6IYR1023 - Check-5 Loose Denim Pan FADED DE, 28, 30</t>
  </si>
  <si>
    <t>VN000PH6IYR1005</t>
  </si>
  <si>
    <t>VN000PH6IYR132 34</t>
  </si>
  <si>
    <t>VN000PH6IYR1005 - Check-5 Loose Denim Pan FADED DE, 34, 32</t>
  </si>
  <si>
    <t>VN000PH8CDX1007</t>
  </si>
  <si>
    <t>VN000PH8CDX1REG29</t>
  </si>
  <si>
    <t>VN000PH8CDX1007 - Check-5 Loose Camo Prin STO, 29, Regular</t>
  </si>
  <si>
    <t>VN000PH8CDX1003</t>
  </si>
  <si>
    <t>VN000PH8CDX1REG32</t>
  </si>
  <si>
    <t>VN000PH8CDX1003 - Check-5 Loose Camo Prin STO, 32, Regular</t>
  </si>
  <si>
    <t>VN000PH8CDX1009</t>
  </si>
  <si>
    <t>VN000PH8CDX1REG33</t>
  </si>
  <si>
    <t>VN000PH8CDX1009 - Check-5 Loose Camo Prin STO, 33, Regular</t>
  </si>
  <si>
    <t>VN000PH8CDX1004</t>
  </si>
  <si>
    <t>VN000PH8CDX1REG34</t>
  </si>
  <si>
    <t>VN000PH8CDX1004 - Check-5 Loose Camo Prin STO, 34, Regular</t>
  </si>
  <si>
    <t>VN000PHPAFM1008</t>
  </si>
  <si>
    <t>VN000PHPAFM1REG30</t>
  </si>
  <si>
    <t>VN000PHPAFM1008 - Drill Chore Carpenter L Ind, 30, Regular</t>
  </si>
  <si>
    <t>VN000PJ7BLK1005</t>
  </si>
  <si>
    <t>VN000PJ7BLK1.  L</t>
  </si>
  <si>
    <t>VN000PJ7BLK1005 - MTE Bridgewood Reversib Black, Large</t>
  </si>
  <si>
    <t>VN000PJ7BLK1003</t>
  </si>
  <si>
    <t>VN000PJ7BLK1.  M</t>
  </si>
  <si>
    <t>VN000PJ7BLK1003 - MTE Bridgewood Reversib Black, Medium</t>
  </si>
  <si>
    <t>VN000PJ7BLK1004</t>
  </si>
  <si>
    <t>VN000PJ7BLK1.  S</t>
  </si>
  <si>
    <t>VN000PJ7BLK1004 - MTE Bridgewood Reversib Black, Small</t>
  </si>
  <si>
    <t>VN000PJ7KCZ1004</t>
  </si>
  <si>
    <t>VN000PJ7KCZ1.  L</t>
  </si>
  <si>
    <t>VN000PJ7KCZ1004 - MTE Bridgewood Reversib GRAPE LEA, Large</t>
  </si>
  <si>
    <t>VN000PJHLKZ1004</t>
  </si>
  <si>
    <t>MTE Outline Hybrid LS</t>
  </si>
  <si>
    <t>VN000PJHLKZ1.  S</t>
  </si>
  <si>
    <t>VN000PJHLKZ1004 - MTE Outline Hybrid LS dress blues, Small</t>
  </si>
  <si>
    <t>VN000PJMZBF1002</t>
  </si>
  <si>
    <t>VN000PJMZBF1.  M</t>
  </si>
  <si>
    <t>VN000PJMZBF1002 - MTE TeamTeam Full Zip LODEN GREE, Medium</t>
  </si>
  <si>
    <t>VN000PJMZBF1003</t>
  </si>
  <si>
    <t>VN000PJMZBF1.  S</t>
  </si>
  <si>
    <t>VN000PJMZBF1003 - MTE TeamTeam Full Zip LODEN GREEN, Small</t>
  </si>
  <si>
    <t>VN000PJMZBF1004</t>
  </si>
  <si>
    <t>VN000PJMZBF1.  XL</t>
  </si>
  <si>
    <t>VN000PJMZBF1004 - MTE TeamTeam Full Zip LODEN GRE, X Large</t>
  </si>
  <si>
    <t>VN000PJR3N11001</t>
  </si>
  <si>
    <t>MTE Mesa PO</t>
  </si>
  <si>
    <t>VN000PJR3N11.  XL</t>
  </si>
  <si>
    <t>VN000PJR3N11001 - MTE Mesa PO demitasse, X Large</t>
  </si>
  <si>
    <t>VN000PJSBLK1006</t>
  </si>
  <si>
    <t>VN000PJSBLK1.  L</t>
  </si>
  <si>
    <t>VN000PJSBLK1006 - MTE Keep Out SS Tee Black, Large</t>
  </si>
  <si>
    <t>VN000PJSD3Z1002</t>
  </si>
  <si>
    <t>VN000PJSD3Z1.  XS</t>
  </si>
  <si>
    <t>VN000PJSD3Z1002 - MTE Keep Out SS Tee Elm, X Small</t>
  </si>
  <si>
    <t>VN000PJTC9F1001</t>
  </si>
  <si>
    <t>MTE Ribcage Reversible</t>
  </si>
  <si>
    <t>VN000PJTC9F1.  XXL</t>
  </si>
  <si>
    <t>VN000PJTC9F1001 - MTE Ribcage Reversible EGRET, XX Large</t>
  </si>
  <si>
    <t>VN000PJU7WM1005</t>
  </si>
  <si>
    <t>VN000PJU7WM1.  M</t>
  </si>
  <si>
    <t>VN000PJU7WM1005 - MTE TeamTeam LS Tee TrBl, Medium</t>
  </si>
  <si>
    <t>VN000PJU7WM1003</t>
  </si>
  <si>
    <t>VN000PJU7WM1.  XL</t>
  </si>
  <si>
    <t>VN000PJU7WM1003 - MTE TeamTeam LS Tee TrBl, X Large</t>
  </si>
  <si>
    <t>VN000PJU7WM1002</t>
  </si>
  <si>
    <t>VN000PJU7WM1.  XS</t>
  </si>
  <si>
    <t>VN000PJU7WM1002 - MTE TeamTeam LS Tee TrBl, X Small</t>
  </si>
  <si>
    <t>VN000PJU7WM1001</t>
  </si>
  <si>
    <t>VN000PJU7WM1.  XXL</t>
  </si>
  <si>
    <t>VN000PJU7WM1001 - MTE TeamTeam LS Tee TrBl, XX Large</t>
  </si>
  <si>
    <t>VN000PK0ZRY1003</t>
  </si>
  <si>
    <t>MTE Kennett Polar Fleec</t>
  </si>
  <si>
    <t>VN000PK0ZRY1.  S</t>
  </si>
  <si>
    <t>VN000PK0ZRY1003 - MTE Kennett Polar Fleec MAUVEWOOD, Small</t>
  </si>
  <si>
    <t>VN000PK8BLK1002</t>
  </si>
  <si>
    <t>VN000PK8BLK1.  XS</t>
  </si>
  <si>
    <t>VN000PK8BLK1002 - MTE Trek Guide Polartec Black, X Small</t>
  </si>
  <si>
    <t>VN000PKEEN61004</t>
  </si>
  <si>
    <t>VN000PKEEN61.  L</t>
  </si>
  <si>
    <t>VN000PKEEN61004 - MTE Kennett Printed PO Pine Fores, Large</t>
  </si>
  <si>
    <t>VN000PM39JC1002</t>
  </si>
  <si>
    <t>VN000PM39JC1REGXL</t>
  </si>
  <si>
    <t>VN000PM39JC1002 - Deep Daze 3L Snow Bib, X Large, Regular</t>
  </si>
  <si>
    <t>VN000PMA9JC1005</t>
  </si>
  <si>
    <t>VN000PMA9JC1.  L</t>
  </si>
  <si>
    <t>VN000PMA9JC1005 - Hi-Country 3L Snow Jack Bungee Co, Large</t>
  </si>
  <si>
    <t>VN000PMABLK1006</t>
  </si>
  <si>
    <t>VN000PMABLK1.  XXL</t>
  </si>
  <si>
    <t>VN000PMABLK1006 - Hi-Country 3L Snow Jack Black, XX Large</t>
  </si>
  <si>
    <t>VN000PMDBLK1004</t>
  </si>
  <si>
    <t>VN000PMDBLK1REGXS</t>
  </si>
  <si>
    <t>VN000PMDBLK1004 - MTE High-Country 3L Pa, X Small, Regular</t>
  </si>
  <si>
    <t>VN000PMDEMW1001</t>
  </si>
  <si>
    <t>VN000PMDEMW1REGXS</t>
  </si>
  <si>
    <t>VN000PMDEMW1001 - MTE High-Country 3L Pa, X Small, Regular</t>
  </si>
  <si>
    <t>VN000PMDEMW1004</t>
  </si>
  <si>
    <t>VN000PMDEMW1REGXXL</t>
  </si>
  <si>
    <t>VN000PMDEMW1004 - MTE High-Country 3L P, XX Large, Regular</t>
  </si>
  <si>
    <t>VN000PMFEB21003</t>
  </si>
  <si>
    <t>VN000PMFEB21.  XXL</t>
  </si>
  <si>
    <t>VN000PMFEB21003 - Hellbound Snow Jacket 2 Black/, XX Large</t>
  </si>
  <si>
    <t>VN000PMFENB1002</t>
  </si>
  <si>
    <t>VN000PMFENB1.  XL</t>
  </si>
  <si>
    <t>VN000PMFENB1002 - Hellbound Snow Jacket 2 Warm Br, X Large</t>
  </si>
  <si>
    <t>VN000PMHEB21001</t>
  </si>
  <si>
    <t>VN000PMHEB21REGS</t>
  </si>
  <si>
    <t>VN000PMHEB21001 - Hellbound Snow Pant 2.0, Small, Regular</t>
  </si>
  <si>
    <t>VN000PMHEB21004</t>
  </si>
  <si>
    <t>VN000PMHEB21REGXXL</t>
  </si>
  <si>
    <t>VN000PMHEB21004 - Hellbound Snow Pant 2, XX Large, Regular</t>
  </si>
  <si>
    <t>VN000PMHENB1004</t>
  </si>
  <si>
    <t>VN000PMHENB1REGXS</t>
  </si>
  <si>
    <t>VN000PMHENB1004 - Hellbound Snow Pant 2., X Small, Regular</t>
  </si>
  <si>
    <t>VN000PMXEMU1006</t>
  </si>
  <si>
    <t>VN000PMXEMU1.  L</t>
  </si>
  <si>
    <t>VN000PMXEMU1006 - Skate LS Thermal Dried Kelp, Large</t>
  </si>
  <si>
    <t>VN000PMXEMU1002</t>
  </si>
  <si>
    <t>VN000PMXEMU1.  XS</t>
  </si>
  <si>
    <t>VN000PMXEMU1002 - Skate LS Thermal Dried Kelp, X Small</t>
  </si>
  <si>
    <t>VN000PN9ZX71006</t>
  </si>
  <si>
    <t>VN000PN9ZX71.  L</t>
  </si>
  <si>
    <t>VN000PN9ZX71006 - Skate Atiba Haze Hug SS Spicy Mus, Large</t>
  </si>
  <si>
    <t>VN000PNCRKZ1003</t>
  </si>
  <si>
    <t>VN000PNCRKZ1.  XL</t>
  </si>
  <si>
    <t>VN000PNCRKZ1003 - Skate Splatter SS Tee ASH HEATH, X Large</t>
  </si>
  <si>
    <t>VN000PNGEMV1005</t>
  </si>
  <si>
    <t>Skate Mike G Goblins SS</t>
  </si>
  <si>
    <t>VN000PNGEMV1.  XXL</t>
  </si>
  <si>
    <t>VN000PNGEMV1005 - Skate Mike G Goblins SS Faded, XX Large</t>
  </si>
  <si>
    <t>VN000PPJ02F1003</t>
  </si>
  <si>
    <t>VN000PPJ02F1.  L</t>
  </si>
  <si>
    <t>VN000PPJ02F1003 - Van-Archy Label Zip Cement Heathe, Large</t>
  </si>
  <si>
    <t>VN000PPKEMP1003</t>
  </si>
  <si>
    <t>Vans Inferno Full Zip</t>
  </si>
  <si>
    <t>VN000PPKEMP1.  S</t>
  </si>
  <si>
    <t>VN000PPKEMP1003 - Vans Inferno Full Zip Coal Brown, Small</t>
  </si>
  <si>
    <t>VN000PPUEN71001</t>
  </si>
  <si>
    <t>VN000PPUEN71.  L</t>
  </si>
  <si>
    <t>VN000PPUEN71001 - The Chain Hoodie Pink Dawn, Large</t>
  </si>
  <si>
    <t>VN000PPUEN71003</t>
  </si>
  <si>
    <t>VN000PPUEN71.  S</t>
  </si>
  <si>
    <t>VN000PPUEN71003 - The Chain Hoodie Pink Dawn, Small</t>
  </si>
  <si>
    <t>VN000PQHE901004</t>
  </si>
  <si>
    <t>VN000PQHE90132 32</t>
  </si>
  <si>
    <t>VN000PQHE901004 - Check-5 Baggy Denim Pan Stonewas, 32, 32</t>
  </si>
  <si>
    <t>VN000PR2BLK1007</t>
  </si>
  <si>
    <t>VN000PR2BLK1.  XXS</t>
  </si>
  <si>
    <t>VN000PR2BLK1007 - Monotonic Fitted Tank Black, XX Small</t>
  </si>
  <si>
    <t>VN000PR3BLK1004</t>
  </si>
  <si>
    <t>VN000PR3BLK1.  M</t>
  </si>
  <si>
    <t>VN000PR3BLK1004 - Afterburn Relaxed Crop Black, Medium</t>
  </si>
  <si>
    <t>VN000PR485T1005</t>
  </si>
  <si>
    <t>VN000PR485T1.  S</t>
  </si>
  <si>
    <t>VN000PR485T1005 - Era Script Relaxed Crop Frost Gra, Small</t>
  </si>
  <si>
    <t>VN000PR485T1003</t>
  </si>
  <si>
    <t>VN000PR485T1.  XL</t>
  </si>
  <si>
    <t>VN000PR485T1003 - Era Script Relaxed Crop Frost G, X Large</t>
  </si>
  <si>
    <t>VN000PR4EMV1006</t>
  </si>
  <si>
    <t>VN000PR4EMV1.  L</t>
  </si>
  <si>
    <t>VN000PR4EMV1006 - Era Script Relaxed Crop Faded Bla, Large</t>
  </si>
  <si>
    <t>VN000PR4EMV1007</t>
  </si>
  <si>
    <t>VN000PR4EMV1.  M</t>
  </si>
  <si>
    <t>VN000PR4EMV1007 - Era Script Relaxed Crop Faded Bl, Medium</t>
  </si>
  <si>
    <t>VN000PR4EMV1003</t>
  </si>
  <si>
    <t>VN000PR4EMV1.  XS</t>
  </si>
  <si>
    <t>VN000PR4EMV1003 - Era Script Relaxed Crop Faded B, X Small</t>
  </si>
  <si>
    <t>VN000PREEMW1006</t>
  </si>
  <si>
    <t>VN000PREEMW1.  L</t>
  </si>
  <si>
    <t>VN000PREEMW1006 - Perforate OS SS Gray Olive, Large</t>
  </si>
  <si>
    <t>VN000PREEMW1001</t>
  </si>
  <si>
    <t>VN000PREEMW1.  M</t>
  </si>
  <si>
    <t>VN000PREEMW1001 - Perforate OS SS Gray Olive, Medium</t>
  </si>
  <si>
    <t>VN000PRKEN91003</t>
  </si>
  <si>
    <t>Unpatched OS SS</t>
  </si>
  <si>
    <t>VN000PRKEN91.  XXL</t>
  </si>
  <si>
    <t>VN000PRKEN91003 - Unpatched OS SS Taupe Mist, XX Large</t>
  </si>
  <si>
    <t>VN000PRKEN91007</t>
  </si>
  <si>
    <t>VN000PRKEN91.  XXS</t>
  </si>
  <si>
    <t>VN000PRKEN91007 - Unpatched OS SS Taupe Mist, XX Small</t>
  </si>
  <si>
    <t>VN000PRKRV21001</t>
  </si>
  <si>
    <t>VN000PRKRV21.  XXS</t>
  </si>
  <si>
    <t>VN000PRKRV21001 - Unpatched OS SS STORMY WEATHER, XX Small</t>
  </si>
  <si>
    <t>VN000PTBF0W1006</t>
  </si>
  <si>
    <t>VN000PTBF0W1.  M</t>
  </si>
  <si>
    <t>VN000PTBF0W1006 - Heights High Pile Full Black/Her, Medium</t>
  </si>
  <si>
    <t>VN000PTBF0W1004</t>
  </si>
  <si>
    <t>VN000PTBF0W1.  XXL</t>
  </si>
  <si>
    <t>VN000PTBF0W1004 - Heights High Pile Full Black/H, XX Large</t>
  </si>
  <si>
    <t>VN000PTTBRD1003</t>
  </si>
  <si>
    <t>Cloud Rush SS</t>
  </si>
  <si>
    <t>VN000PTTBRD1.  L</t>
  </si>
  <si>
    <t>VN000PTTBRD1003 - Cloud Rush SS Bordeaux, Large</t>
  </si>
  <si>
    <t>VN000PTTBRD1001</t>
  </si>
  <si>
    <t>VN000PTTBRD1.  M</t>
  </si>
  <si>
    <t>VN000PTTBRD1001 - Cloud Rush SS Bordeaux, Medium</t>
  </si>
  <si>
    <t>VN000PWXBLK1002</t>
  </si>
  <si>
    <t>VN000PWXBLK1.  XL</t>
  </si>
  <si>
    <t>VN000PWXBLK1002 - Stockpile Pullover Black, X Large</t>
  </si>
  <si>
    <t>VN000PWXEMW1002</t>
  </si>
  <si>
    <t>VN000PWXEMW1.  M</t>
  </si>
  <si>
    <t>VN000PWXEMW1002 - Stockpile Pullover Gray Olive, Medium</t>
  </si>
  <si>
    <t>VN000PWXEMW1004</t>
  </si>
  <si>
    <t>VN000PWXEMW1.  XL</t>
  </si>
  <si>
    <t>VN000PWXEMW1004 - Stockpile Pullover Gray Olive, X Large</t>
  </si>
  <si>
    <t>VN000PX2EMP1001</t>
  </si>
  <si>
    <t>VN000PX2EMP1.  M</t>
  </si>
  <si>
    <t>VN000PX2EMP1001 - Rippled Full Zip Coal Brown, Medium</t>
  </si>
  <si>
    <t>VN000PX3BLK1001</t>
  </si>
  <si>
    <t>VN000PX3BLK1.  L</t>
  </si>
  <si>
    <t>VN000PX3BLK1001 - Metal Wall Black, Large</t>
  </si>
  <si>
    <t>VN000PX3BLK1003</t>
  </si>
  <si>
    <t>VN000PX3BLK1.  M</t>
  </si>
  <si>
    <t>VN000PX3BLK1003 - Metal Wall Black, Medium</t>
  </si>
  <si>
    <t>VN000PX9RV21004</t>
  </si>
  <si>
    <t>VN000PX9RV21.  XL</t>
  </si>
  <si>
    <t>VN000PX9RV21004 - Let Loose Pullover STORMY WEATH, X Large</t>
  </si>
  <si>
    <t>VN000PXMCDX1004</t>
  </si>
  <si>
    <t>VN000PXMCDX1.  XL</t>
  </si>
  <si>
    <t>VN000PXMCDX1004 - Denim Baseball Jacket STONEWASH, X Large</t>
  </si>
  <si>
    <t>VN000PXNJDU1002</t>
  </si>
  <si>
    <t>Mcavoy Zip Station Jack</t>
  </si>
  <si>
    <t>VN000PXNJDU1.  S</t>
  </si>
  <si>
    <t>VN000PXNJDU1002 - Mcavoy Zip Station Jack PARISIAN, Small</t>
  </si>
  <si>
    <t>VN000PXS6JL1002</t>
  </si>
  <si>
    <t>VN000PXS6JL1.  M</t>
  </si>
  <si>
    <t>VN000PXS6JL1002 - Star Checker SS Canary Yellow, Medium</t>
  </si>
  <si>
    <t>VN000PXXWHT1004</t>
  </si>
  <si>
    <t>VN000PXXWHT1.  L</t>
  </si>
  <si>
    <t>VN000PXXWHT1004 - Let Loose SS White, Large</t>
  </si>
  <si>
    <t>VN000PY4BLK1001</t>
  </si>
  <si>
    <t>VN000PY4BLK1.  S</t>
  </si>
  <si>
    <t>VN000PY4BLK1001 - Goblin Step SS Black, Small</t>
  </si>
  <si>
    <t>VN000PY4BLK1002</t>
  </si>
  <si>
    <t>VN000PY4BLK1.  XL</t>
  </si>
  <si>
    <t>VN000PY4BLK1002 - Goblin Step SS Black, X Large</t>
  </si>
  <si>
    <t>VN000PY4WHT1004</t>
  </si>
  <si>
    <t>VN000PY4WHT1.  XL</t>
  </si>
  <si>
    <t>VN000PY4WHT1004 - Goblin Step SS White, X Large</t>
  </si>
  <si>
    <t>VN000PYXJDU1005</t>
  </si>
  <si>
    <t>VN000PYXJDU1.  2</t>
  </si>
  <si>
    <t>VN000PYXJDU1005 - Dizzy Bear Full Zip PARISIAN NIGHT, 2</t>
  </si>
  <si>
    <t>VN000Q07BLK1003</t>
  </si>
  <si>
    <t>Scribbled Past Fleece P</t>
  </si>
  <si>
    <t>VN000Q07BLK1.  4</t>
  </si>
  <si>
    <t>VN000Q07BLK1003 - Scribbled Past Fleece P Black, 4</t>
  </si>
  <si>
    <t>VN000Q09GC61003</t>
  </si>
  <si>
    <t>VN000Q09GC61REG28</t>
  </si>
  <si>
    <t>VN000Q09GC61003 - Check-5 Loose Denim Pan Mid, 28, Regular</t>
  </si>
  <si>
    <t>VN000Q0ACDX1005</t>
  </si>
  <si>
    <t>VN000Q0ACDX1REG27</t>
  </si>
  <si>
    <t>VN000Q0ACDX1005 - Check-5 Loose Camo Prin STO, 27, Regular</t>
  </si>
  <si>
    <t>VN000Q39EN91005</t>
  </si>
  <si>
    <t>VN000Q39EN91.  XS</t>
  </si>
  <si>
    <t>VN000Q39EN91005 - After Dark Retro Hoodie Taupe M, X Small</t>
  </si>
  <si>
    <t>VN000Q43JDU1003</t>
  </si>
  <si>
    <t>Ladywall Retro Zip Hood</t>
  </si>
  <si>
    <t>VN000Q43JDU1.  S</t>
  </si>
  <si>
    <t>VN000Q43JDU1003 - Ladywall Retro Zip Hood PARISIAN, Small</t>
  </si>
  <si>
    <t>VN000Q49BLK1007</t>
  </si>
  <si>
    <t>Broadway Bomber</t>
  </si>
  <si>
    <t>VN000Q49BLK1.  L</t>
  </si>
  <si>
    <t>VN000Q49BLK1007 - Broadway Bomber Black, Large</t>
  </si>
  <si>
    <t>70% COTTON 30% POLYESTER</t>
  </si>
  <si>
    <t>VN000Q49BLK1002</t>
  </si>
  <si>
    <t>VN000Q49BLK1.  XL</t>
  </si>
  <si>
    <t>VN000Q49BLK1002 - Broadway Bomber Black, X Large</t>
  </si>
  <si>
    <t>VN000Q7429B1003</t>
  </si>
  <si>
    <t>VN000Q7429B1REG28</t>
  </si>
  <si>
    <t>VN000Q7429B1003 - Skate Loose Atiba Haze Blac, 28, Regular</t>
  </si>
  <si>
    <t>VN000Q74EN61009</t>
  </si>
  <si>
    <t>VN000Q74EN61REG31</t>
  </si>
  <si>
    <t>VN000Q74EN61009 - Skate Loose Atiba Haze Pine, 31, Regular</t>
  </si>
  <si>
    <t>VN000Q74EN61012</t>
  </si>
  <si>
    <t>VN000Q74EN61REG34</t>
  </si>
  <si>
    <t>VN000Q74EN61012 - Skate Loose Atiba Haze Pine, 34, Regular</t>
  </si>
  <si>
    <t>VN000QDFBLK1006</t>
  </si>
  <si>
    <t>VN000QDFBLK1.  XL</t>
  </si>
  <si>
    <t>VN000QDFBLK1006 - Classic Script Black, X Large</t>
  </si>
  <si>
    <t>VN000R02WHT1001</t>
  </si>
  <si>
    <t>VN000R02WHT1.  S</t>
  </si>
  <si>
    <t>VN000R02WHT1001 - Shop Front SS White, Small</t>
  </si>
  <si>
    <t>VN000R03EN71003</t>
  </si>
  <si>
    <t>VN000R03EN71.  M</t>
  </si>
  <si>
    <t>VN000R03EN71003 - Metal Wall SS Pink Dawn, Medium</t>
  </si>
  <si>
    <t>VN000R03WHT1003</t>
  </si>
  <si>
    <t>VN000R03WHT1.  S</t>
  </si>
  <si>
    <t>VN000R03WHT1003 - Metal Wall SS White, Small</t>
  </si>
  <si>
    <t>VN000R05ATH1001</t>
  </si>
  <si>
    <t>VN000R05ATH1.  L</t>
  </si>
  <si>
    <t>VN000R05ATH1001 - Classified SS Athletic Heathe, Large</t>
  </si>
  <si>
    <t>VN000R15EML1006</t>
  </si>
  <si>
    <t>Caked SS</t>
  </si>
  <si>
    <t>VN000R15EML1.  M</t>
  </si>
  <si>
    <t>VN000R15EML1006 - Caked SS Cloud Blue, Medium</t>
  </si>
  <si>
    <t>VN000R15FS81006</t>
  </si>
  <si>
    <t>VN000R15FS81.  L</t>
  </si>
  <si>
    <t>VN000R15FS81006 - Caked SS marshmallow, Large</t>
  </si>
  <si>
    <t>VN000R4ZEMP1013</t>
  </si>
  <si>
    <t>VN000R4ZEMP1REG30</t>
  </si>
  <si>
    <t>VN000R4ZEMP1013 - Skate Loose Atiba Haze Coal, 30, Regular</t>
  </si>
  <si>
    <t>VN000R742N11007</t>
  </si>
  <si>
    <t>VN000R742N11.  XXS</t>
  </si>
  <si>
    <t>VN000R742N11007 - Script Mini Mock LS oatmeal, XX Small</t>
  </si>
  <si>
    <t>VN000R74EMS1006</t>
  </si>
  <si>
    <t>VN000R74EMS1.  XXS</t>
  </si>
  <si>
    <t>VN000R74EMS1006 - Script Mini Mock LS Dark Port, XX Small</t>
  </si>
  <si>
    <t>VN000R7AY281004</t>
  </si>
  <si>
    <t>VN000R7AY281.  S</t>
  </si>
  <si>
    <t>VN000R7AY281004 - STYLE 76 ll LOOSE LS TE Black/Whi, Small</t>
  </si>
  <si>
    <t>VN000R8XBLK1003</t>
  </si>
  <si>
    <t>VN000R8XBLK1.  XXL</t>
  </si>
  <si>
    <t>VN000R8XBLK1003 - RAW INSTINCT JACKET Black, XX Large</t>
  </si>
  <si>
    <t>VN000R8ZBLK1001</t>
  </si>
  <si>
    <t>RAW INSTINCT VEST</t>
  </si>
  <si>
    <t>VN000R8ZBLK1.  XS</t>
  </si>
  <si>
    <t>VN000R8ZBLK1001 - RAW INSTINCT VEST Black, X Small</t>
  </si>
  <si>
    <t>Body: 100% cotton Lining: 100% cotton Fill: 100% polyester</t>
  </si>
  <si>
    <t>VN000R95EMV1004</t>
  </si>
  <si>
    <t>VN000R95EMV1.  S</t>
  </si>
  <si>
    <t>VN000R95EMV1004 - RAW INSTINCT THINKER SS Faded Bla, Small</t>
  </si>
  <si>
    <t>VN000RAPFS81005</t>
  </si>
  <si>
    <t>VN000RAPFS81.  XS</t>
  </si>
  <si>
    <t>VN000RAPFS81005 - BLOCKED BOX LOOSE SS marshmallo, X Small</t>
  </si>
  <si>
    <t>VN000RBYY7U1003</t>
  </si>
  <si>
    <t>VN000RBYY7U1.  M</t>
  </si>
  <si>
    <t>VN000RBYY7U1003 - Truckstop Bomber Jacket AFTER DA, Medium</t>
  </si>
  <si>
    <t>VN000RC1O8W1007</t>
  </si>
  <si>
    <t>VN000RC1O8W1.  L</t>
  </si>
  <si>
    <t>VN000RC1O8W1007 - Cruzing Ringer Tee ASPHALT HEATHE, Large</t>
  </si>
  <si>
    <t>VN000RC1O8W1005</t>
  </si>
  <si>
    <t>VN000RC1O8W1.  XS</t>
  </si>
  <si>
    <t>VN000RC1O8W1005 - Cruzing Ringer Tee ASPHALT HEAT, X Small</t>
  </si>
  <si>
    <t>VN000RCHWHT1005</t>
  </si>
  <si>
    <t>VN000RCHWHT1.  XL</t>
  </si>
  <si>
    <t>VN000RCHWHT1005 - Rhythm Relaxed Crop ss White, X Large</t>
  </si>
  <si>
    <t>VN000RD1EMW1001</t>
  </si>
  <si>
    <t>VN000RD1EMW1.  L</t>
  </si>
  <si>
    <t>VN000RD1EMW1001 - Cameron Tee Gray Olive, Large</t>
  </si>
  <si>
    <t>VN000RD1O321004</t>
  </si>
  <si>
    <t>VN000RD1O321.  XL</t>
  </si>
  <si>
    <t>VN000RD1O321004 - Cameron Tee PASTEL PINK, X Large</t>
  </si>
  <si>
    <t>VN000RD1O321005</t>
  </si>
  <si>
    <t>VN000RD1O321.  XS</t>
  </si>
  <si>
    <t>VN000RD1O321005 - Cameron Tee PASTEL PINK, X Small</t>
  </si>
  <si>
    <t>VN000RD4EMP1002</t>
  </si>
  <si>
    <t>VN000RD4EMP1.  M</t>
  </si>
  <si>
    <t>VN000RD4EMP1002 - STOMPER LOOSE FIT SS TE Coal Bro, Medium</t>
  </si>
  <si>
    <t>VN000RD4EN91003</t>
  </si>
  <si>
    <t>VN000RD4EN91.  L</t>
  </si>
  <si>
    <t>VN000RD4EN91003 - STOMPER LOOSE FIT SS TE Taupe Mis, Large</t>
  </si>
  <si>
    <t>VN000RD4EN91004</t>
  </si>
  <si>
    <t>VN000RD4EN91.  M</t>
  </si>
  <si>
    <t>VN000RD4EN91004 - STOMPER LOOSE FIT SS TE Taupe Mi, Medium</t>
  </si>
  <si>
    <t>VN000REFWHT1005</t>
  </si>
  <si>
    <t>VN000REFWHT1.  XL</t>
  </si>
  <si>
    <t>VN000REFWHT1005 - LIL BEAR OS TEE White, X Large</t>
  </si>
  <si>
    <t>VN000REFWHT1004</t>
  </si>
  <si>
    <t>VN000REFWHT1.  XS</t>
  </si>
  <si>
    <t>VN000REFWHT1004 - LIL BEAR OS TEE White, X Small</t>
  </si>
  <si>
    <t>VN000REMBLK1003</t>
  </si>
  <si>
    <t>VN000REMBLK1.  L</t>
  </si>
  <si>
    <t>VN000REMBLK1003 - LIL BEAR OS HOODIE Black, Large</t>
  </si>
  <si>
    <t>VN000RFR1QI1001</t>
  </si>
  <si>
    <t>VN000RFR1QI1.  L</t>
  </si>
  <si>
    <t>VN000RFR1QI1001 - HEAVY THINKER LOOSE FIT Light Gre, Large</t>
  </si>
  <si>
    <t>VN000RFR1QI1002</t>
  </si>
  <si>
    <t>VN000RFR1QI1.  XL</t>
  </si>
  <si>
    <t>VN000RFR1QI1002 - HEAVY THINKER LOOSE FIT Light G, X Large</t>
  </si>
  <si>
    <t>VN000RFRBLK1001</t>
  </si>
  <si>
    <t>VN000RFRBLK1.  XL</t>
  </si>
  <si>
    <t>VN000RFRBLK1001 - HEAVY THINKER LOOSE FIT Black, X Large</t>
  </si>
  <si>
    <t>VN000RFUBLK1006</t>
  </si>
  <si>
    <t>VN000RFUBLK1.  L</t>
  </si>
  <si>
    <t>VN000RFUBLK1006 - MIRROR V LOOSE SS Black, Large</t>
  </si>
  <si>
    <t>VN000RFUBLK1005</t>
  </si>
  <si>
    <t>VN000RFUBLK1.  XS</t>
  </si>
  <si>
    <t>VN000RFUBLK1005 - MIRROR V LOOSE SS Black, X Small</t>
  </si>
  <si>
    <t>VN000RG2BLK1001</t>
  </si>
  <si>
    <t>VN000RG2BLK1.  L</t>
  </si>
  <si>
    <t>VN000RG2BLK1001 - EVOLVE PO HOODIE Black, Large</t>
  </si>
  <si>
    <t>VN000RG44QU1005</t>
  </si>
  <si>
    <t>VN000RG44QU1.  XXL</t>
  </si>
  <si>
    <t>VN000RG44QU1005 - EVOLVE SS Port Royale, XX Large</t>
  </si>
  <si>
    <t>VN000RJYPWT1002</t>
  </si>
  <si>
    <t>MTE Peak Quarter Zip</t>
  </si>
  <si>
    <t>VN000RJYPWT1.  L</t>
  </si>
  <si>
    <t>VN000RJYPWT1002 - MTE Peak Quarter Zip Pewter, Large</t>
  </si>
  <si>
    <t>VN000RJYPWT1003</t>
  </si>
  <si>
    <t>VN000RJYPWT1.  M</t>
  </si>
  <si>
    <t>VN000RJYPWT1003 - MTE Peak Quarter Zip Pewter, Medium</t>
  </si>
  <si>
    <t>VN000WBBBLK1003</t>
  </si>
  <si>
    <t>Holder OS Hoodie</t>
  </si>
  <si>
    <t>VN000WBBBLK1.  S</t>
  </si>
  <si>
    <t>VN000WBBBLK1003 - Holder OS Hoodie Black, Small</t>
  </si>
  <si>
    <t>VN000XBZIZQ1006</t>
  </si>
  <si>
    <t>VN000XBZIZQ1.  L</t>
  </si>
  <si>
    <t>VN000XBZIZQ1006 - LEOPARD OVAL RINGER TEE RACING RE, Large</t>
  </si>
  <si>
    <t>VN000XOIY281003</t>
  </si>
  <si>
    <t>VANS CLASSIC LS</t>
  </si>
  <si>
    <t>VN000XOIY281.  S</t>
  </si>
  <si>
    <t>VN000XOIY281003 - VANS CLASSIC LS Black/White, Small</t>
  </si>
  <si>
    <t>VN000XR4FS81004</t>
  </si>
  <si>
    <t>V2K CAMERON TEE</t>
  </si>
  <si>
    <t>VN000XR4FS81.  XXS</t>
  </si>
  <si>
    <t>VN000XR4FS81004 - V2K CAMERON TEE marshmallow, XX Small</t>
  </si>
  <si>
    <t>VN000XR62N11005</t>
  </si>
  <si>
    <t>V2K OS HOODIE</t>
  </si>
  <si>
    <t>VN000XR62N11.  XS</t>
  </si>
  <si>
    <t>VN000XR62N11005 - V2K OS HOODIE oatmeal, X Small</t>
  </si>
  <si>
    <t>VN000XR62N11001</t>
  </si>
  <si>
    <t>VN000XR62N11.  XXS</t>
  </si>
  <si>
    <t>VN000XR62N11001 - V2K OS HOODIE oatmeal, XX Small</t>
  </si>
  <si>
    <t>VN000Y8VY281003</t>
  </si>
  <si>
    <t>VN000Y8VY281.  S</t>
  </si>
  <si>
    <t>VN000Y8VY281003 - VANS CLASSIC TANK Black/White, Small</t>
  </si>
  <si>
    <t>VN000Y8VYB21002</t>
  </si>
  <si>
    <t>VN000Y8VYB21.  M</t>
  </si>
  <si>
    <t>VN000Y8VYB21002 - VANS CLASSIC TANK White/Black, Medium</t>
  </si>
  <si>
    <t>VN001096WHT1003</t>
  </si>
  <si>
    <t>Ascending SS Tee</t>
  </si>
  <si>
    <t>VN001096WHT1.  XXL</t>
  </si>
  <si>
    <t>VN001096WHT1003 - Ascending SS Tee White, XX Large</t>
  </si>
  <si>
    <t>VN0010J9BLK1004</t>
  </si>
  <si>
    <t>VN0010J9BLK1.  S</t>
  </si>
  <si>
    <t>VN0010J9BLK1004 - Fck The Algorithm SS Te Black, Small</t>
  </si>
  <si>
    <t>VN0A3CZEY281001</t>
  </si>
  <si>
    <t>VN0A3CZEY281.  L</t>
  </si>
  <si>
    <t>VN0A3CZEY281001 - LEFT CHEST LOGO TEE Black/White, Large</t>
  </si>
  <si>
    <t>VN0A3UDDWHT1003</t>
  </si>
  <si>
    <t>MN 2018 VANS CITY TE</t>
  </si>
  <si>
    <t>VN0A3UDDWHT1.  M</t>
  </si>
  <si>
    <t>VN0A3UDDWHT1003 - MN 2018 VANS CITY TE White, Medium</t>
  </si>
  <si>
    <t>VN0A3W76BLK1001</t>
  </si>
  <si>
    <t>VN0A3W76BLK1.  7</t>
  </si>
  <si>
    <t>VN0A3W76BLK1001 - VANS CLASSIC KIDS Black, 7</t>
  </si>
  <si>
    <t>VN0A3W76EMY1004</t>
  </si>
  <si>
    <t>VN0A3W76EMY1.  3</t>
  </si>
  <si>
    <t>VN0A3W76EMY1004 - VANS CLASSIC KIDS Lilac Mist, 3</t>
  </si>
  <si>
    <t>VN0A49MUY281002</t>
  </si>
  <si>
    <t>BY VANS CLASSIC PO K</t>
  </si>
  <si>
    <t>VN0A49MUY281.  4</t>
  </si>
  <si>
    <t>VN0A49MUY281002 - BY VANS CLASSIC PO K Black/White, 4</t>
  </si>
  <si>
    <t>VN0A49OYBLK1003</t>
  </si>
  <si>
    <t>LONG CHECK TWOFER</t>
  </si>
  <si>
    <t>VN0A49OYBLK1.  L</t>
  </si>
  <si>
    <t>VN0A49OYBLK1003 - LONG CHECK TWOFER Black, Large</t>
  </si>
  <si>
    <t>VN0A49OYBLK1001</t>
  </si>
  <si>
    <t>VN0A49OYBLK1.  S</t>
  </si>
  <si>
    <t>VN0A49OYBLK1001 - LONG CHECK TWOFER Black, Small</t>
  </si>
  <si>
    <t>VN0A4CYYWHT1003</t>
  </si>
  <si>
    <t>MN VANS CITY TEE VAL</t>
  </si>
  <si>
    <t>VN0A4CYYWHT1.  S</t>
  </si>
  <si>
    <t>VN0A4CYYWHT1003 - MN VANS CITY TEE VAL White, Small</t>
  </si>
  <si>
    <t>VN0A54YJBLK1005</t>
  </si>
  <si>
    <t>WM CHECK BOOM HOOD-B</t>
  </si>
  <si>
    <t>VN0A54YJBLK1.  XL</t>
  </si>
  <si>
    <t>VN0A54YJBLK1005 - WM CHECK BOOM HOOD-B DITS BLACK, X Large</t>
  </si>
  <si>
    <t>Shell 100% Polyester (pass rain test), Hood 80% Cotton 20% Polyester, Main Lining 100% Polyester, Hood lining 100% Nylon (pass rain</t>
  </si>
  <si>
    <t>VN0A5AUBDSB1002</t>
  </si>
  <si>
    <t>GR SAS SHORT</t>
  </si>
  <si>
    <t>VN0A5AUBDSB1.  M</t>
  </si>
  <si>
    <t>VN0A5AUBDSB1002 - GR SAS SHORT Dusty Blue, Medium</t>
  </si>
  <si>
    <t>VN0A5FJ7DZ91001</t>
  </si>
  <si>
    <t>MN AUTHENTIC CHINO S</t>
  </si>
  <si>
    <t>VN0A5FJ7DZ91REG28</t>
  </si>
  <si>
    <t>VN0A5FJ7DZ91001 - MN AUTHENTIC CHINO S Dirt, 28, Regular</t>
  </si>
  <si>
    <t>NI - Nicaragua</t>
  </si>
  <si>
    <t>VN0A5FJX1O71008</t>
  </si>
  <si>
    <t>VN0A5FJX1O71REG30</t>
  </si>
  <si>
    <t>VN0A5FJX1O71008 - AUTHENTIC CHINO RELAXED Asp, 30, Regular</t>
  </si>
  <si>
    <t>VN0A5FLPBLK1003</t>
  </si>
  <si>
    <t>VN0A5FLPBLK1REG25</t>
  </si>
  <si>
    <t>VN0A5FLPBLK1003 - Authentic Chino Pant Black, 25, Regular</t>
  </si>
  <si>
    <t>VN0A5JHIBLK1001</t>
  </si>
  <si>
    <t>VN0A5JHIBLK1.  XXL</t>
  </si>
  <si>
    <t>VN0A5JHIBLK1001 - WM Ground Work Overa Black, XX Large</t>
  </si>
  <si>
    <t>VN0A5KEZBLK1004</t>
  </si>
  <si>
    <t>RANGE ELASTIC WAIST PAN</t>
  </si>
  <si>
    <t>VN0A5KEZBLK1.  4</t>
  </si>
  <si>
    <t>VN0A5KEZBLK1004 - RANGE ELASTIC WAIST PAN Black, 4</t>
  </si>
  <si>
    <t>VN0A7RMDDJR1001</t>
  </si>
  <si>
    <t>FLYING V OS LS HOODIE</t>
  </si>
  <si>
    <t>VN0A7RMDDJR1.  M</t>
  </si>
  <si>
    <t>VN0A7RMDDJR1001 - FLYING V OS LS HOODIE FLYV WHITE, Medium</t>
  </si>
  <si>
    <t>VN0A7U7KCHN1004</t>
  </si>
  <si>
    <t>FLYING V KIDS</t>
  </si>
  <si>
    <t>VN0A7U7KCHN1.  5</t>
  </si>
  <si>
    <t>VN0A7U7KCHN1004 - FLYING V KIDS FLYV CHINT, 5</t>
  </si>
  <si>
    <t>VN0A7U7KCHN1005</t>
  </si>
  <si>
    <t>VN0A7U7KCHN1.  6</t>
  </si>
  <si>
    <t>VN0A7U7KCHN1005 - FLYING V KIDS FLYV CHINT, 6</t>
  </si>
  <si>
    <t>VN0A7U7KCHN1006</t>
  </si>
  <si>
    <t>VN0A7U7KCHN1.  6X</t>
  </si>
  <si>
    <t>VN0A7U7KCHN1006 - FLYING V KIDS FLYV CHINT, 6X</t>
  </si>
  <si>
    <t>VN0A7Y4RLKZ1004</t>
  </si>
  <si>
    <t>CLASSIC VANS PO-B</t>
  </si>
  <si>
    <t>VN0A7Y4RLKZ1.  XL</t>
  </si>
  <si>
    <t>VN0A7Y4RLKZ1004 - CLASSIC VANS PO-B dress blues, X Large</t>
  </si>
  <si>
    <t>VN0A7YUTBLK1004</t>
  </si>
  <si>
    <t>VN0A7YUTBLK1.  XL</t>
  </si>
  <si>
    <t>VN0A7YUTBLK1004 - Flying V Oversized FLYV BLACK, X Large</t>
  </si>
  <si>
    <t>VN0A7YUTWHT1003</t>
  </si>
  <si>
    <t>VN0A7YUTWHT1.  XS</t>
  </si>
  <si>
    <t>VN0A7YUTWHT1003 - Flying V Oversized FLYV WHITE, X Small</t>
  </si>
  <si>
    <t>VN000H58ENA1001</t>
  </si>
  <si>
    <t>Old Skool Pencil Pouch</t>
  </si>
  <si>
    <t>VN000H58ENA1.  OS</t>
  </si>
  <si>
    <t>VN KIDS OTHER BAGS</t>
  </si>
  <si>
    <t>VN000H58ENA1001 - Old Skool Pencil Pouch Tranqui, One Size</t>
  </si>
  <si>
    <t>6107 - VN KD BAGS</t>
  </si>
  <si>
    <t>SHELL: 100% POLYESTER, POLYURETHANE COATING, LINING: 100% POLYESTER, POLYURETHANE COATING, EOD</t>
  </si>
  <si>
    <t>VN000HDDE2W1001</t>
  </si>
  <si>
    <t>Field Trippin Rucksack</t>
  </si>
  <si>
    <t>VN000HDDE2W1.  OS</t>
  </si>
  <si>
    <t>VN000HDDE2W1001 - Field Trippin Rucksack Heritag, One Size</t>
  </si>
  <si>
    <t>SHELL: 100% COTTON, LINING: 100% POLYESTER, POLYURETHANE COATING, EOD&amp;EOE</t>
  </si>
  <si>
    <t>VN000HRFEN61001</t>
  </si>
  <si>
    <t>VN000HRFEN61.  OS</t>
  </si>
  <si>
    <t>VN000HRFEN61001 - Vans DX Rucksack Pine Forest, One Size</t>
  </si>
  <si>
    <t>VN000HRJ6PH1001</t>
  </si>
  <si>
    <t>VN000HRJ6PH1.  OS</t>
  </si>
  <si>
    <t>VN000HRJ6PH1001 - Old Skool Sport Backpac Purple, One Size</t>
  </si>
  <si>
    <t>SHELL:100%POLYESTER, POLYURETHANE COATING; BOTTOM :100%  BOVINE SPLIT LEATHER,LINING:100%POLYESTER,EOD&amp;EOE</t>
  </si>
  <si>
    <t>VN000KYJBLK1001</t>
  </si>
  <si>
    <t>Skate Overnight Pack</t>
  </si>
  <si>
    <t>VN000KYJBLK1.  OS</t>
  </si>
  <si>
    <t>VN000KYJBLK1001 - Skate Overnight Pack Black, One Size</t>
  </si>
  <si>
    <t>SHELL: 100%POLYESTER,POLYURETHANE COATING; INSIDE POCKET:85% NYLON, 15% ELASTANE;  LINING: 100% POLYESTER,POLYURETHANE COATING,EOD&amp;E</t>
  </si>
  <si>
    <t>VN000M7MZBF1001</t>
  </si>
  <si>
    <t>VN000M7MZBF1.  OS</t>
  </si>
  <si>
    <t>VN000M7MZBF1001 - MTE Trek-Rec Sling Bag LODEN G, One Size</t>
  </si>
  <si>
    <t>VN000Q99Y7X1001</t>
  </si>
  <si>
    <t>Scatter Backpack</t>
  </si>
  <si>
    <t>VN000Q99Y7X1.  OS</t>
  </si>
  <si>
    <t>VN000Q99Y7X1001 - Scatter Backpack BURNT ORANGE, One Size</t>
  </si>
  <si>
    <t>VN0005UFBLL1016</t>
  </si>
  <si>
    <t>FRENCH OAK</t>
  </si>
  <si>
    <t>VN0005UFBLL1M  050</t>
  </si>
  <si>
    <t>VN0005UFBLL1016 - Old Skool CTHR FRNOK, 5, Medium</t>
  </si>
  <si>
    <t>VN0005UFBLL1014</t>
  </si>
  <si>
    <t>VN0005UFBLL1M  060</t>
  </si>
  <si>
    <t>VN0005UFBLL1014 - Old Skool CTHR FRNOK, 6, Medium</t>
  </si>
  <si>
    <t>VN0005UFBLL1012</t>
  </si>
  <si>
    <t>VN0005UFBLL1M  070</t>
  </si>
  <si>
    <t>VN0005UFBLL1012 - Old Skool CTHR FRNOK, 7, Medium</t>
  </si>
  <si>
    <t>VN0005UFBLL1011</t>
  </si>
  <si>
    <t>VN0005UFBLL1M  075</t>
  </si>
  <si>
    <t>VN0005UFBLL1011 - Old Skool CTHR FRNOK, 7.5, Medium</t>
  </si>
  <si>
    <t>VN0005W8BLU1019</t>
  </si>
  <si>
    <t>Filmore</t>
  </si>
  <si>
    <t>VN0005W8BLU1M  105</t>
  </si>
  <si>
    <t>VARIETY SIDEWALL</t>
  </si>
  <si>
    <t>VN0005W8BLU1019 - Filmore VARI DBLUE, 10.5, Medium</t>
  </si>
  <si>
    <t>VN0007NK3N11009</t>
  </si>
  <si>
    <t>SK8-Hi MTE-2</t>
  </si>
  <si>
    <t>VN0007NK3N11M  075</t>
  </si>
  <si>
    <t>UTILITY POP</t>
  </si>
  <si>
    <t>VN0007NK3N11009 - SK8-Hi MTE-2 UTIL MDBRN, 7.5, Medium</t>
  </si>
  <si>
    <t>VN0007NK4581011</t>
  </si>
  <si>
    <t>VN0007NK4581M  040</t>
  </si>
  <si>
    <t>2-TONE UTILITY</t>
  </si>
  <si>
    <t>VN0007NK4581011 - SK8-Hi MTE-2 2TON BLKRD, 4, Medium</t>
  </si>
  <si>
    <t>VN0007NKBKA1006</t>
  </si>
  <si>
    <t>VN0007NKBKA1M  115</t>
  </si>
  <si>
    <t>VN0007NKBKA1006 - SK8-Hi MTE-2 Black/Black, 11.5, Medium</t>
  </si>
  <si>
    <t>VN0007NSBY11019</t>
  </si>
  <si>
    <t>SHADOW</t>
  </si>
  <si>
    <t>VN0007NSBY11M  130</t>
  </si>
  <si>
    <t>VN0007NSBY11019 - SK8-Hi PSDE SHADO, 13, Medium</t>
  </si>
  <si>
    <t>VN0007NSRED1002</t>
  </si>
  <si>
    <t>Red</t>
  </si>
  <si>
    <t>VN0007NSRED1M  040</t>
  </si>
  <si>
    <t>VINTAGE POP</t>
  </si>
  <si>
    <t>VN0007NSRED1002 - SK8-Hi VINT DRRED, 4, Medium</t>
  </si>
  <si>
    <t>VN0007P9EN91012</t>
  </si>
  <si>
    <t>VN0007P9EN91M  055</t>
  </si>
  <si>
    <t>VN0007P9EN91012 - Caldrone SUDM TPMST, 5.5, Medium</t>
  </si>
  <si>
    <t>VN0007Q3DJR1015</t>
  </si>
  <si>
    <t>VN0007Q3DJR1M  040</t>
  </si>
  <si>
    <t>VN0007Q3DJR1015 - SK8-Hi Reissue Side Zip DAZL, 4, Medium</t>
  </si>
  <si>
    <t>VN0009PZDRV1008</t>
  </si>
  <si>
    <t>Old Skool Stackform</t>
  </si>
  <si>
    <t>Dark Purple</t>
  </si>
  <si>
    <t>VN0009PZDRV1M  070</t>
  </si>
  <si>
    <t>MONO EMBROIDERY</t>
  </si>
  <si>
    <t>VN0009PZDRV1008 - Old Skool Platform MONO DPRPL, 7, Medium</t>
  </si>
  <si>
    <t>VN0009Q0BGF1018</t>
  </si>
  <si>
    <t>SK8-Hi Tapered VR3</t>
  </si>
  <si>
    <t>VN0009Q0BGF1M  040</t>
  </si>
  <si>
    <t>VN0009Q0BGF1018 - SK8-Hi Tapered VR3 LTHR DKBLU, 4, Medium</t>
  </si>
  <si>
    <t>VN0009QCCJI1012</t>
  </si>
  <si>
    <t>VN0009QCCJI1M  045</t>
  </si>
  <si>
    <t>GUM BUMPER</t>
  </si>
  <si>
    <t>VN0009QCCJI1012 - Knu Skool GMBP BLACK, 4.5, Medium</t>
  </si>
  <si>
    <t>VN0009QMBLA1019</t>
  </si>
  <si>
    <t>SK8-Hi DR MTE-2</t>
  </si>
  <si>
    <t>VN0009QMBLA1M  130</t>
  </si>
  <si>
    <t>VN0009QMBLA1019 - SK8-Hi DR MTE-2 BLACK, 13, Medium</t>
  </si>
  <si>
    <t>VN000BCEBMV1003</t>
  </si>
  <si>
    <t>VN000BCEBMV1M  055</t>
  </si>
  <si>
    <t>VN000BCEBMV1003 - UltraRange Neo VR3 BLACK/MU, 5.5, Medium</t>
  </si>
  <si>
    <t>VN000BCECCZ1013</t>
  </si>
  <si>
    <t>VN000BCECCZ1M  060</t>
  </si>
  <si>
    <t>VN000BCECCZ1013 - UltraRange Neo VR3 MARSHMALLO, 6, Medium</t>
  </si>
  <si>
    <t>VN000BCECCZ1006</t>
  </si>
  <si>
    <t>VN000BCECCZ1M  095</t>
  </si>
  <si>
    <t>VN000BCECCZ1006 - UltraRange Neo VR3 MARSHMAL, 9.5, Medium</t>
  </si>
  <si>
    <t>VN000BCELLC1003</t>
  </si>
  <si>
    <t>VN000BCELLC1M  105</t>
  </si>
  <si>
    <t>VN000BCELLC1003 - UltraRange Neo VR3 Lilac, 10.5, Medium</t>
  </si>
  <si>
    <t>VN000BCELZZ1018</t>
  </si>
  <si>
    <t>VN000BCELZZ1M  040</t>
  </si>
  <si>
    <t>VN000BCELZZ1018 - UltraRange Neo VR3 POOL BLUE, 4, Medium</t>
  </si>
  <si>
    <t>VN000BCERV21004</t>
  </si>
  <si>
    <t>VN000BCERV21M  040</t>
  </si>
  <si>
    <t>VN000BCERV21004 - UltraRange Neo VR3 STORMY WEA, 4, Medium</t>
  </si>
  <si>
    <t>VN000BVZ1NU1004</t>
  </si>
  <si>
    <t>VN000BVZ1NU1M  060</t>
  </si>
  <si>
    <t>VN000BVZ1NU1004 - Classic Slip-On CTHR CHBD MBR, 6, Medium</t>
  </si>
  <si>
    <t>VN000BVZ1NU1007</t>
  </si>
  <si>
    <t>VN000BVZ1NU1M  090</t>
  </si>
  <si>
    <t>VN000BVZ1NU1007 - Classic Slip-On CTHR CHBD MBR, 9, Medium</t>
  </si>
  <si>
    <t>VN000BVZ2391003</t>
  </si>
  <si>
    <t>VN000BVZ2391M  095</t>
  </si>
  <si>
    <t>VN000BVZ2391003 - Classic Slip-On WOOL MDGRY, 9.5, Medium</t>
  </si>
  <si>
    <t>VN000BVZ2391008</t>
  </si>
  <si>
    <t>VN000BVZ2391M  110</t>
  </si>
  <si>
    <t>VN000BVZ2391008 - Classic Slip-On WOOL MDGRY, 11, Medium</t>
  </si>
  <si>
    <t>VN000BVZ2391009</t>
  </si>
  <si>
    <t>VN000BVZ2391M  120</t>
  </si>
  <si>
    <t>VN000BVZ2391009 - Classic Slip-On WOOL MDGRY, 12, Medium</t>
  </si>
  <si>
    <t>VN000BVZCJL1010</t>
  </si>
  <si>
    <t>VN000BVZCJL1M  035</t>
  </si>
  <si>
    <t>VN000BVZCJL1010 - Classic Slip-On CTHR CHBD I, 3.5, Medium</t>
  </si>
  <si>
    <t>VN000BW7B7G1007</t>
  </si>
  <si>
    <t>Brown/Gum</t>
  </si>
  <si>
    <t>VN000BW7B7G1M  065</t>
  </si>
  <si>
    <t>VN000BW7B7G1007 - SK8-Hi OUTD MBRWN, 6.5, Medium</t>
  </si>
  <si>
    <t>VN000BW7RV21017</t>
  </si>
  <si>
    <t>VN000BW7RV21M  050</t>
  </si>
  <si>
    <t>VN000BW7RV21017 - SK8-Hi CTHR BLACK, 5, Medium</t>
  </si>
  <si>
    <t>VN000BWB0VW1011</t>
  </si>
  <si>
    <t>Lowland CC</t>
  </si>
  <si>
    <t>VN000BWB0VW1M  100</t>
  </si>
  <si>
    <t>VINTAGE SPORT</t>
  </si>
  <si>
    <t>VN000BWB0VW1011 - Lowland CC VTSO WHITE, 10, Medium</t>
  </si>
  <si>
    <t>VN000CN1E301016</t>
  </si>
  <si>
    <t>VN000CN1E301M  080</t>
  </si>
  <si>
    <t>NUBUCK</t>
  </si>
  <si>
    <t>VN000CN1E301016 - Classic Slip-on Stackform NUB, 8, Medium</t>
  </si>
  <si>
    <t>VN000CP5BMC1008</t>
  </si>
  <si>
    <t>VN000CP5BMC1M  060</t>
  </si>
  <si>
    <t>SHERPA</t>
  </si>
  <si>
    <t>VN000CP5BMC1008 - Old Skool SHRP MULTI, 6, Medium</t>
  </si>
  <si>
    <t>VN000CP5BMC1010</t>
  </si>
  <si>
    <t>VN000CP5BMC1M  070</t>
  </si>
  <si>
    <t>VN000CP5BMC1010 - Old Skool SHRP MULTI, 7, Medium</t>
  </si>
  <si>
    <t>VN000CPZC2R1013</t>
  </si>
  <si>
    <t>LIME SHERB</t>
  </si>
  <si>
    <t>VN000CPZC2R1M  040</t>
  </si>
  <si>
    <t>VN000CPZC2R1013 - Old Skool V GLTR LMSHR, 4, Medium</t>
  </si>
  <si>
    <t>VN000CQ04C31010</t>
  </si>
  <si>
    <t>VN000CQ04C31M  045</t>
  </si>
  <si>
    <t>VN000CQ04C31010 - SK8-Mid Reissue V DUO PKPRP, 4.5, Medium</t>
  </si>
  <si>
    <t>VN000CQ04C31016</t>
  </si>
  <si>
    <t>VN000CQ04C31M  050</t>
  </si>
  <si>
    <t>VN000CQ04C31016 - SK8-Mid Reissue V DUO PKPRP, 5, Medium</t>
  </si>
  <si>
    <t>VN000CQ04C31014</t>
  </si>
  <si>
    <t>VN000CQ04C31M  060</t>
  </si>
  <si>
    <t>VN000CQ04C31014 - SK8-Mid Reissue V DUO PKPRP, 6, Medium</t>
  </si>
  <si>
    <t>VN000CQ04C31003</t>
  </si>
  <si>
    <t>VN000CQ04C31M  085</t>
  </si>
  <si>
    <t>VN000CQ04C31003 - SK8-Mid Reissue V DUO PKPRP, 8.5, Medium</t>
  </si>
  <si>
    <t>VN000CQ04C31002</t>
  </si>
  <si>
    <t>VN000CQ04C31M  095</t>
  </si>
  <si>
    <t>VN000CQ04C31002 - SK8-Mid Reissue V DUO PKPRP, 9.5, Medium</t>
  </si>
  <si>
    <t>VN000CQ0BLK1015</t>
  </si>
  <si>
    <t>VN000CQ0BLK1M  040</t>
  </si>
  <si>
    <t>VN000CQ0BLK1015 - SK8-Mid Reissue V DENM BLACK, 4, Medium</t>
  </si>
  <si>
    <t>VN000CQ0BLK1013</t>
  </si>
  <si>
    <t>VN000CQ0BLK1M  060</t>
  </si>
  <si>
    <t>VN000CQ0BLK1013 - SK8-Mid Reissue V DENM BLACK, 6, Medium</t>
  </si>
  <si>
    <t>VN000CQ0BLK1001</t>
  </si>
  <si>
    <t>VN000CQ0BLK1M  095</t>
  </si>
  <si>
    <t>VN000CQ0BLK1001 - SK8-Mid Reissue V DENM BLAC, 9.5, Medium</t>
  </si>
  <si>
    <t>VN000CQ0BMW1011</t>
  </si>
  <si>
    <t>VN000CQ0BMW1M  050</t>
  </si>
  <si>
    <t>Glow Skeletons</t>
  </si>
  <si>
    <t>VN000CQ0BMW1011 - SK8-Mid Reissue V GLSK BLKWH, 5, Medium</t>
  </si>
  <si>
    <t>VN000CQ0BRO1012</t>
  </si>
  <si>
    <t>VN000CQ0BRO1M  045</t>
  </si>
  <si>
    <t>VN000CQ0BRO1012 - SK8-Mid Reissue V TNCH MBRW, 4.5, Medium</t>
  </si>
  <si>
    <t>VN000CQ0EMY1004</t>
  </si>
  <si>
    <t>VN000CQ0EMY1M  070</t>
  </si>
  <si>
    <t>VN000CQ0EMY1004 - SK8-Mid Reissue V CTHR LMIST, 7, Medium</t>
  </si>
  <si>
    <t>VN000CQ0EMY1002</t>
  </si>
  <si>
    <t>VN000CQ0EMY1M  080</t>
  </si>
  <si>
    <t>VN000CQ0EMY1002 - SK8-Mid Reissue V CTHR LMIST, 8, Medium</t>
  </si>
  <si>
    <t>VN000CQ0EMY1013</t>
  </si>
  <si>
    <t>VN000CQ0EMY1M  090</t>
  </si>
  <si>
    <t>VN000CQ0EMY1013 - SK8-Mid Reissue V CTHR LMIST, 9, Medium</t>
  </si>
  <si>
    <t>VN000CQ0Y091010</t>
  </si>
  <si>
    <t>VN000CQ0Y091M  040</t>
  </si>
  <si>
    <t>VN000CQ0Y091010 - SK8-Mid Reissue V RETR BLACK, 4, Medium</t>
  </si>
  <si>
    <t>VN000CQ0Y091008</t>
  </si>
  <si>
    <t>VN000CQ0Y091M  050</t>
  </si>
  <si>
    <t>VN000CQ0Y091008 - SK8-Mid Reissue V RETR BLACK, 5, Medium</t>
  </si>
  <si>
    <t>VN000CQ0Y091006</t>
  </si>
  <si>
    <t>VN000CQ0Y091M  060</t>
  </si>
  <si>
    <t>VN000CQ0Y091006 - SK8-Mid Reissue V RETR BLACK, 6, Medium</t>
  </si>
  <si>
    <t>VN000CQ0Y091003</t>
  </si>
  <si>
    <t>VN000CQ0Y091M  075</t>
  </si>
  <si>
    <t>VN000CQ0Y091003 - SK8-Mid Reissue V RETR BLAC, 7.5, Medium</t>
  </si>
  <si>
    <t>VN000CQ0Y091016</t>
  </si>
  <si>
    <t>VN000CQ0Y091M  085</t>
  </si>
  <si>
    <t>VN000CQ0Y091016 - SK8-Mid Reissue V RETR BLAC, 8.5, Medium</t>
  </si>
  <si>
    <t>VN000CQ0Y091002</t>
  </si>
  <si>
    <t>VN000CQ0Y091M  095</t>
  </si>
  <si>
    <t>VN000CQ0Y091002 - SK8-Mid Reissue V RETR BLAC, 9.5, Medium</t>
  </si>
  <si>
    <t>VN000CQF2VM1013</t>
  </si>
  <si>
    <t>Rowley XLT</t>
  </si>
  <si>
    <t>Gunmetal</t>
  </si>
  <si>
    <t>VN000CQF2VM1M  065</t>
  </si>
  <si>
    <t>OFF ROAD</t>
  </si>
  <si>
    <t>VN000CQF2VM1013 - Rowley XLT LX OFFR DGREY, 6.5, Medium</t>
  </si>
  <si>
    <t>Majority Leather w/ Textile</t>
  </si>
  <si>
    <t>VN000CQFBL21013</t>
  </si>
  <si>
    <t>VN000CQFBL21M  065</t>
  </si>
  <si>
    <t>VN000CQFBL21013 - Rowley XLT LX OFFR HRVGD, 6.5, Medium</t>
  </si>
  <si>
    <t>VN000CQRCFL1015</t>
  </si>
  <si>
    <t>VN000CQRCFL1M  050</t>
  </si>
  <si>
    <t>VN000CQRCFL1015 - Sport Low COLO CITAD, 5, Medium</t>
  </si>
  <si>
    <t>VN000CQRYLZ1019</t>
  </si>
  <si>
    <t>VN000CQRYLZ1M  110</t>
  </si>
  <si>
    <t>VN000CQRYLZ1019 - Sport Low COLO RASRO, 11, Medium</t>
  </si>
  <si>
    <t>VN000CR5EPO1015</t>
  </si>
  <si>
    <t>Pure Grey</t>
  </si>
  <si>
    <t>VN000CR5EPO1M  070</t>
  </si>
  <si>
    <t>VN000CR5EPO1015 - Old Skool CTHR PRGRY, 7, Medium</t>
  </si>
  <si>
    <t>VN000CRRBJ41017</t>
  </si>
  <si>
    <t>VN000CRRBJ41M  045</t>
  </si>
  <si>
    <t>VN000CRRBJ41017 - Mary Jane Black/Black/Bla, 4.5, Medium</t>
  </si>
  <si>
    <t>VN000CRRBJ41001</t>
  </si>
  <si>
    <t>VN000CRRBJ41M  130</t>
  </si>
  <si>
    <t>VN000CRRBJ41001 - Mary Jane Black/Black/Bla, 13, Medium</t>
  </si>
  <si>
    <t>VN000CS0BRO1004</t>
  </si>
  <si>
    <t>VN000CS0BRO1M  100</t>
  </si>
  <si>
    <t>VN000CS0BRO1004 - Knu Skool PSDE MBRWN, 10, Medium</t>
  </si>
  <si>
    <t>VN000CS0D4C1010</t>
  </si>
  <si>
    <t>VN000CS0D4C1M  080</t>
  </si>
  <si>
    <t>VN000CS0D4C1010 - Knu Skool BABY TURKI, 8, Medium</t>
  </si>
  <si>
    <t>VN000CS3ULE1009</t>
  </si>
  <si>
    <t>VN000CS3ULE1M  085</t>
  </si>
  <si>
    <t>VN000CS3ULE1009 - Filmore Hi VansGuard LTHR M, 8.5, Medium</t>
  </si>
  <si>
    <t>VN000CT8HCZ1013</t>
  </si>
  <si>
    <t>VN000CT8HCZ1M  065</t>
  </si>
  <si>
    <t>VN000CT8HCZ1013 - Old Skool CTHR ATMOS, 6.5, Medium</t>
  </si>
  <si>
    <t>VN000CT8HCZ1001</t>
  </si>
  <si>
    <t>VN000CT8HCZ1M  130</t>
  </si>
  <si>
    <t>VN000CT8HCZ1001 - Old Skool CTHR ATMOS, 13, Medium</t>
  </si>
  <si>
    <t>VN000CTG1NU1012</t>
  </si>
  <si>
    <t>VN000CTG1NU1M  050</t>
  </si>
  <si>
    <t>VN000CTG1NU1012 - Old Skool V CTHR CHBD MBRWN, 5, Medium</t>
  </si>
  <si>
    <t>VN000CTG1NU1014</t>
  </si>
  <si>
    <t>VN000CTG1NU1M  070</t>
  </si>
  <si>
    <t>VN000CTG1NU1014 - Old Skool V CTHR CHBD MBRWN, 7, Medium</t>
  </si>
  <si>
    <t>VN000CTG4481013</t>
  </si>
  <si>
    <t>VN000CTG4481M  060</t>
  </si>
  <si>
    <t>VN000CTG4481013 - Old Skool V RETR WHITE, 6, Medium</t>
  </si>
  <si>
    <t>VN000CTG7VF1008</t>
  </si>
  <si>
    <t>VN000CTG7VF1M  020</t>
  </si>
  <si>
    <t>VN000CTG7VF1008 - Old Skool V DAZL DGREY, 2, Medium</t>
  </si>
  <si>
    <t>VN000CTG7VF1003</t>
  </si>
  <si>
    <t>VN000CTG7VF1M  045</t>
  </si>
  <si>
    <t>VN000CTG7VF1003 - Old Skool V DAZL DGREY, 4.5, Medium</t>
  </si>
  <si>
    <t>VN000CTGPIB1009</t>
  </si>
  <si>
    <t>VN000CTGPIB1M  045</t>
  </si>
  <si>
    <t>VN000CTGPIB1009 - Old Skool V LPRD MDPNK, 4.5, Medium</t>
  </si>
  <si>
    <t>VN000CTGPIB1001</t>
  </si>
  <si>
    <t>VN000CTGPIB1M  060</t>
  </si>
  <si>
    <t>VN000CTGPIB1001 - Old Skool V LPRD MDPNK, 6, Medium</t>
  </si>
  <si>
    <t>VN000CTGPIB1013</t>
  </si>
  <si>
    <t>VN000CTGPIB1M  085</t>
  </si>
  <si>
    <t>VN000CTGPIB1013 - Old Skool V LPRD MDPNK, 8.5, Medium</t>
  </si>
  <si>
    <t>VN000CTGREB1002</t>
  </si>
  <si>
    <t>VN000CTGREB1M  055</t>
  </si>
  <si>
    <t>VN000CTGREB1002 - Old Skool V GLTP DRDBL, 5.5, Medium</t>
  </si>
  <si>
    <t>VN000CTGRV21009</t>
  </si>
  <si>
    <t>VN000CTGRV21M  040</t>
  </si>
  <si>
    <t>VN000CTGRV21009 - Old Skool V CTHR BLACK, 4, Medium</t>
  </si>
  <si>
    <t>VN000CTMYY21006</t>
  </si>
  <si>
    <t>White/Navy</t>
  </si>
  <si>
    <t>VN000CTMYY21M  100</t>
  </si>
  <si>
    <t>SPORT POP</t>
  </si>
  <si>
    <t>VN000CTMYY21006 - Rowley XLT SPPO WHTNV, 10, Medium</t>
  </si>
  <si>
    <t>VN000CVR2PR1018</t>
  </si>
  <si>
    <t>MTE Sk8-Hi DR Waterproof</t>
  </si>
  <si>
    <t>Teak</t>
  </si>
  <si>
    <t>VN000CVR2PR1M  040</t>
  </si>
  <si>
    <t>VN000CVR2PR1018 - MTE Sk8-Hi DR Waterproof Teak, 4, Medium</t>
  </si>
  <si>
    <t>VN000CVRN1Z1002</t>
  </si>
  <si>
    <t>VN000CVRN1Z1M  120</t>
  </si>
  <si>
    <t>VN000CVRN1Z1002 - MTE Sk8-Hi DR Waterproof GLA, 12, Medium</t>
  </si>
  <si>
    <t>VN000CVS1OJ1005</t>
  </si>
  <si>
    <t>Blackout</t>
  </si>
  <si>
    <t>VN000CVS1OJ1M  070</t>
  </si>
  <si>
    <t>VN000CVS1OJ1005 - MTE Sk8-Hi GORE-TEX Blackout, 7, Medium</t>
  </si>
  <si>
    <t>VN000CVT7YO1005</t>
  </si>
  <si>
    <t>VN000CVT7YO1M  040</t>
  </si>
  <si>
    <t>VN000CVT7YO1005 - MTE Sk8-Hi Waterproof BITTER, 4, Medium</t>
  </si>
  <si>
    <t>VN000CVT7YO1007</t>
  </si>
  <si>
    <t>VN000CVT7YO1M  050</t>
  </si>
  <si>
    <t>VN000CVT7YO1007 - MTE Sk8-Hi Waterproof BITTER, 5, Medium</t>
  </si>
  <si>
    <t>VN000CVU1LO1004</t>
  </si>
  <si>
    <t>Coffee/Brick Red</t>
  </si>
  <si>
    <t>VN000CVU1LO1M  070</t>
  </si>
  <si>
    <t>VN000CVU1LO1004 - Crosspath RFLC MDBRN, 7, Medium</t>
  </si>
  <si>
    <t>VN000CVU85T1018</t>
  </si>
  <si>
    <t>VN000CVU85T1M  050</t>
  </si>
  <si>
    <t>VN000CVU85T1018 - Crosspath Frost Gray, 5, Medium</t>
  </si>
  <si>
    <t>VN000CVUBLK1003</t>
  </si>
  <si>
    <t>VN000CVUBLK1M  050</t>
  </si>
  <si>
    <t>VN000CVUBLK1003 - Crosspath RFLC BLACK, 5, Medium</t>
  </si>
  <si>
    <t>VN000CVUBLK1009</t>
  </si>
  <si>
    <t>VN000CVUBLK1M  065</t>
  </si>
  <si>
    <t>VN000CVUBLK1009 - Crosspath RFLC BLACK, 6.5, Medium</t>
  </si>
  <si>
    <t>VN000CVUBLK1006</t>
  </si>
  <si>
    <t>VN000CVUBLK1M  080</t>
  </si>
  <si>
    <t>VN000CVUBLK1006 - Crosspath RFLC BLACK, 8, Medium</t>
  </si>
  <si>
    <t>VN000CVUBLK1005</t>
  </si>
  <si>
    <t>VN000CVUBLK1M  085</t>
  </si>
  <si>
    <t>VN000CVUBLK1005 - Crosspath RFLC BLACK, 8.5, Medium</t>
  </si>
  <si>
    <t>VN000CVUBLK1001</t>
  </si>
  <si>
    <t>VN000CVUBLK1M  095</t>
  </si>
  <si>
    <t>VN000CVUBLK1001 - Crosspath RFLC BLACK, 9.5, Medium</t>
  </si>
  <si>
    <t>VN000CVUBLK1013</t>
  </si>
  <si>
    <t>VN000CVUBLK1M  120</t>
  </si>
  <si>
    <t>VN000CVUBLK1013 - Crosspath RFLC BLACK, 12, Medium</t>
  </si>
  <si>
    <t>VN000CVUBLU1012</t>
  </si>
  <si>
    <t>VN000CVUBLU1M  040</t>
  </si>
  <si>
    <t>VN000CVUBLU1012 - Crosspath Blue, 4, Medium</t>
  </si>
  <si>
    <t>VN000CVUBLU1017</t>
  </si>
  <si>
    <t>VN000CVUBLU1M  080</t>
  </si>
  <si>
    <t>VN000CVUBLU1017 - Crosspath Blue, 8, Medium</t>
  </si>
  <si>
    <t>VN000CVUCRM1007</t>
  </si>
  <si>
    <t>VN000CVUCRM1M  050</t>
  </si>
  <si>
    <t>VN000CVUCRM1007 - Crosspath Cream, 5, Medium</t>
  </si>
  <si>
    <t>VN000CVUDRB1018</t>
  </si>
  <si>
    <t>VN000CVUDRB1M  065</t>
  </si>
  <si>
    <t>VN000CVUDRB1018 - Crosspath Dark Brown, 6.5, Medium</t>
  </si>
  <si>
    <t>VN000CVUDRB1008</t>
  </si>
  <si>
    <t>VN000CVUDRB1M  085</t>
  </si>
  <si>
    <t>VN000CVUDRB1008 - Crosspath Dark Brown, 8.5, Medium</t>
  </si>
  <si>
    <t>VN000CVUDRB1004</t>
  </si>
  <si>
    <t>VN000CVUDRB1M  105</t>
  </si>
  <si>
    <t>VN000CVUDRB1004 - Crosspath Dark Brown, 10.5, Medium</t>
  </si>
  <si>
    <t>VN000CVUE2V1010</t>
  </si>
  <si>
    <t>Warm Taupe</t>
  </si>
  <si>
    <t>VN000CVUE2V1M  070</t>
  </si>
  <si>
    <t>VN000CVUE2V1010 - Crosspath Warm Taupe, 7, Medium</t>
  </si>
  <si>
    <t>VN000CVULKZ1018</t>
  </si>
  <si>
    <t>VN000CVULKZ1M  065</t>
  </si>
  <si>
    <t>VN000CVULKZ1018 - Crosspath dress blues, 6.5, Medium</t>
  </si>
  <si>
    <t>VN000CVUOLV1004</t>
  </si>
  <si>
    <t>VN000CVUOLV1M  040</t>
  </si>
  <si>
    <t>VN000CVUOLV1004 - Crosspath Olive, 4, Medium</t>
  </si>
  <si>
    <t>VN000CVUOLV1009</t>
  </si>
  <si>
    <t>VN000CVUOLV1M  065</t>
  </si>
  <si>
    <t>VN000CVUOLV1009 - Crosspath Olive, 6.5, Medium</t>
  </si>
  <si>
    <t>VN000CVURPK1013</t>
  </si>
  <si>
    <t>VN000CVURPK1M  080</t>
  </si>
  <si>
    <t>VN000CVURPK1013 - Crosspath Brown/Pink, 8, Medium</t>
  </si>
  <si>
    <t>VN000CVV7YO1005</t>
  </si>
  <si>
    <t>VN000CVV7YO1M  080</t>
  </si>
  <si>
    <t>VN000CVV7YO1005 - Crosspath Mid BITTER CHOCOLAT, 8, Medium</t>
  </si>
  <si>
    <t>VN000CVVBA21013</t>
  </si>
  <si>
    <t>VN000CVVBA21M  050</t>
  </si>
  <si>
    <t>VN000CVVBA21013 - Crosspath Mid BLACK/WHITE, 5, Medium</t>
  </si>
  <si>
    <t>VN000CVVCRM1011</t>
  </si>
  <si>
    <t>VN000CVVCRM1M  050</t>
  </si>
  <si>
    <t>VN000CVVCRM1011 - Crosspath Mid Cream, 5, Medium</t>
  </si>
  <si>
    <t>VN000CVVN1Z1019</t>
  </si>
  <si>
    <t>VN000CVVN1Z1M  060</t>
  </si>
  <si>
    <t>VN000CVVN1Z1019 - Crosspath Mid GLAZED GINGER, 6, Medium</t>
  </si>
  <si>
    <t>VN000CVVOLV1006</t>
  </si>
  <si>
    <t>VN000CVVOLV1M  050</t>
  </si>
  <si>
    <t>VN000CVVOLV1006 - Crosspath Mid Olive, 5, Medium</t>
  </si>
  <si>
    <t>VN000CWDCRM1019</t>
  </si>
  <si>
    <t>VN000CWDCRM1M  070</t>
  </si>
  <si>
    <t>VN000CWDCRM1019 - MTE UltraRange EXO SE SPKL DB, 7, Medium</t>
  </si>
  <si>
    <t>VN000CWEBLU1033</t>
  </si>
  <si>
    <t>VN000CWEBLU1M  110</t>
  </si>
  <si>
    <t>VN000CWEBLU1033 - UltraRange Neo VR3 MONO DBLU, 11, Medium</t>
  </si>
  <si>
    <t>VN000CWEKKK1019</t>
  </si>
  <si>
    <t>NATURAL/MULTI</t>
  </si>
  <si>
    <t>VN000CWEKKK1M  035</t>
  </si>
  <si>
    <t>VN000CWEKKK1019 - UltraRange Neo VR3 NATURAL/, 3.5, Medium</t>
  </si>
  <si>
    <t>VN000CWESQ71019</t>
  </si>
  <si>
    <t>VN000CWESQ71M  065</t>
  </si>
  <si>
    <t>VN000CWESQ71019 - UltraRange Neo VR3 SUED LTB, 6.5, Medium</t>
  </si>
  <si>
    <t>VN000CWF11H1011</t>
  </si>
  <si>
    <t>MTE UltraRange VR3</t>
  </si>
  <si>
    <t>GRAY MULTI</t>
  </si>
  <si>
    <t>VN000CWF11H1M  040</t>
  </si>
  <si>
    <t>SPACE DYE</t>
  </si>
  <si>
    <t>VN000CWF11H1011 - MTE UltraRange VR3 SPDY GRMLT, 4, Medium</t>
  </si>
  <si>
    <t>VN000CWF9JC1018</t>
  </si>
  <si>
    <t>VN000CWF9JC1M  050</t>
  </si>
  <si>
    <t>VN000CWF9JC1018 - MTE UltraRange VR3 Bungee Cor, 5, Medium</t>
  </si>
  <si>
    <t>VN000CXVOVI1007</t>
  </si>
  <si>
    <t>Ashwood Hi</t>
  </si>
  <si>
    <t>KHAKI/MARSHMALLOW</t>
  </si>
  <si>
    <t>VN000CXVOVI1M  140</t>
  </si>
  <si>
    <t>VN000CXVOVI1007 - Ashwood Hi OUTD KHAKI, 14, Medium</t>
  </si>
  <si>
    <t>VN000CYAEMY1012</t>
  </si>
  <si>
    <t>VN000CYAEMY1M  030</t>
  </si>
  <si>
    <t>VN000CYAEMY1012 - Old Skool V CTHR CHBD LMIST, 3, Medium</t>
  </si>
  <si>
    <t>VN000CYAEMY1009</t>
  </si>
  <si>
    <t>VN000CYAEMY1M  115</t>
  </si>
  <si>
    <t>VN000CYAEMY1009 - Old Skool V CTHR CHBD LMIS, 11.5, Medium</t>
  </si>
  <si>
    <t>VN000CYARV21011</t>
  </si>
  <si>
    <t>VN000CYARV21M  030</t>
  </si>
  <si>
    <t>VN000CYARV21011 - Old Skool V CTHR CHBD BLACK, 3, Medium</t>
  </si>
  <si>
    <t>VN000CYEEMY1005</t>
  </si>
  <si>
    <t>Sk8-Hi Reissue Side Zip</t>
  </si>
  <si>
    <t>VN000CYEEMY1M  025</t>
  </si>
  <si>
    <t>VN000CYEEMY1005 - Sk8-Hi Reissue Side Zip GLT, 2.5, Medium</t>
  </si>
  <si>
    <t>VN000CYPBML1006</t>
  </si>
  <si>
    <t>VN000CYPBML1M  110</t>
  </si>
  <si>
    <t>ROMANTIC FLORAL</t>
  </si>
  <si>
    <t>VN000CYPBML1006 - Sk8-Hi Reissue Side Zip RMFL, 11, Medium</t>
  </si>
  <si>
    <t>VN000CYU4QU1002</t>
  </si>
  <si>
    <t>VN000CYU4QU1M  015</t>
  </si>
  <si>
    <t>VN000CYU4QU1002 - Knu Skool Port Royale, 1.5, Medium</t>
  </si>
  <si>
    <t>VN000CYU4QU1007</t>
  </si>
  <si>
    <t>VN000CYU4QU1M  115</t>
  </si>
  <si>
    <t>VN000CYU4QU1007 - Knu Skool Port Royale, 11.5, Medium</t>
  </si>
  <si>
    <t>VN000CYU4QU1006</t>
  </si>
  <si>
    <t>VN000CYU4QU1M  120</t>
  </si>
  <si>
    <t>VN000CYU4QU1006 - Knu Skool Port Royale, 12, Medium</t>
  </si>
  <si>
    <t>VN000CYUE2T1003</t>
  </si>
  <si>
    <t>VN000CYUE2T1M  030</t>
  </si>
  <si>
    <t>VN000CYUE2T1003 - Knu Skool BRIG WLHRB, 3, Medium</t>
  </si>
  <si>
    <t>VN000CYUEN61001</t>
  </si>
  <si>
    <t>VN000CYUEN61M  135</t>
  </si>
  <si>
    <t>VN000CYUEN61001 - Knu Skool Pine Forest, 13.5, Medium</t>
  </si>
  <si>
    <t>VN000CYVENA1010</t>
  </si>
  <si>
    <t>VN000CYVENA1M  020</t>
  </si>
  <si>
    <t>VN000CYVENA1010 - Old Skool 2TNE TRQBL, 2, Medium</t>
  </si>
  <si>
    <t>VN000CZ7BLA1012</t>
  </si>
  <si>
    <t>VN000CZ7BLA1M  030</t>
  </si>
  <si>
    <t>VN000CZ7BLA1012 - Sk8-Mid Reissue V DENM BLACK, 3, Medium</t>
  </si>
  <si>
    <t>VN000CZ7EMW1005</t>
  </si>
  <si>
    <t>VN000CZ7EMW1M  010</t>
  </si>
  <si>
    <t>VN000CZ7EMW1005 - Sk8-Mid Reissue V SSHP GROLV, 1, Medium</t>
  </si>
  <si>
    <t>VN000CZ7EMW1009</t>
  </si>
  <si>
    <t>VN000CZ7EMW1M  105</t>
  </si>
  <si>
    <t>VN000CZ7EMW1009 - Sk8-Mid Reissue V SSHP GRO, 10.5, Medium</t>
  </si>
  <si>
    <t>VN000CZ7EMW1003</t>
  </si>
  <si>
    <t>VN000CZ7EMW1M  115</t>
  </si>
  <si>
    <t>VN000CZ7EMW1003 - Sk8-Mid Reissue V SSHP GRO, 11.5, Medium</t>
  </si>
  <si>
    <t>VN000CZ7EMW1002</t>
  </si>
  <si>
    <t>VN000CZ7EMW1M  120</t>
  </si>
  <si>
    <t>VN000CZ7EMW1002 - Sk8-Mid Reissue V SSHP GROLV, 12, Medium</t>
  </si>
  <si>
    <t>VN000CZ7EMW1001</t>
  </si>
  <si>
    <t>VN000CZ7EMW1M  125</t>
  </si>
  <si>
    <t>VN000CZ7EMW1001 - Sk8-Mid Reissue V SSHP GRO, 12.5, Medium</t>
  </si>
  <si>
    <t>VN000CZ7RV21006</t>
  </si>
  <si>
    <t>VN000CZ7RV21M  125</t>
  </si>
  <si>
    <t>VN000CZ7RV21006 - Sk8-Mid Reissue V CTHR BLA, 12.5, Medium</t>
  </si>
  <si>
    <t>VN000D07L371006</t>
  </si>
  <si>
    <t>Black Leather</t>
  </si>
  <si>
    <t>VN000D07L371M  045</t>
  </si>
  <si>
    <t>Grunge Core</t>
  </si>
  <si>
    <t>VN000D07L371006 - Mary Jane Creeper GRCO BLAC, 4.5, Medium</t>
  </si>
  <si>
    <t>VN000D07YB21010</t>
  </si>
  <si>
    <t>VN000D07YB21M  075</t>
  </si>
  <si>
    <t>Grunge Ballet</t>
  </si>
  <si>
    <t>VN000D07YB21010 - Mary Jane Creeper GRBA WHTB, 7.5, Medium</t>
  </si>
  <si>
    <t>VN000D0ENGM1010</t>
  </si>
  <si>
    <t>Old Skool Lowpro</t>
  </si>
  <si>
    <t>Navy/Gum</t>
  </si>
  <si>
    <t>VN000D0ENGM1M  045</t>
  </si>
  <si>
    <t>VN000D0ENGM1010 - Old Skool Lowpro Navy/Gum, 4.5, Medium</t>
  </si>
  <si>
    <t>VN000D0HBMV1007</t>
  </si>
  <si>
    <t>VN000D0HBMV1M  030</t>
  </si>
  <si>
    <t>VN000D0HBMV1007 - SK8-Hi Insulated POP BLKML, 3, Medium</t>
  </si>
  <si>
    <t>VN000D0HBZW1002</t>
  </si>
  <si>
    <t>VN000D0HBZW1M  030</t>
  </si>
  <si>
    <t>VN000D0HBZW1002 - SK8-Hi Insulated Black/White, 3, Medium</t>
  </si>
  <si>
    <t>VN000D0HBZW1007</t>
  </si>
  <si>
    <t>VN000D0HBZW1M  135</t>
  </si>
  <si>
    <t>VN000D0HBZW1007 - SK8-Hi Insulated Black/Whi, 13.5, Medium</t>
  </si>
  <si>
    <t>VN000D0HEMY1009</t>
  </si>
  <si>
    <t>VN000D0HEMY1M  025</t>
  </si>
  <si>
    <t>VN000D0HEMY1009 - SK8-Hi Insulated TNCH LMIST, 2.5, Medium</t>
  </si>
  <si>
    <t>VN000D0HEMY1003</t>
  </si>
  <si>
    <t>VN000D0HEMY1M  110</t>
  </si>
  <si>
    <t>VN000D0HEMY1003 - SK8-Hi Insulated TNCH LMIST, 11, Medium</t>
  </si>
  <si>
    <t>VN000D0HEMY1001</t>
  </si>
  <si>
    <t>VN000D0HEMY1M  120</t>
  </si>
  <si>
    <t>VN000D0HEMY1001 - SK8-Hi Insulated TNCH LMIST, 12, Medium</t>
  </si>
  <si>
    <t>VN000D0HKCZ1012</t>
  </si>
  <si>
    <t>VN000D0HKCZ1M  010</t>
  </si>
  <si>
    <t>VN000D0HKCZ1012 - SK8-Hi Insulated VNTG DGREN, 1, Medium</t>
  </si>
  <si>
    <t>VN000D0HKCZ1003</t>
  </si>
  <si>
    <t>VN000D0HKCZ1M  130</t>
  </si>
  <si>
    <t>VN000D0HKCZ1003 - SK8-Hi Insulated VNTG DGREN, 13, Medium</t>
  </si>
  <si>
    <t>VN000D0JYJ71003</t>
  </si>
  <si>
    <t>VN000D0JYJ71M  110</t>
  </si>
  <si>
    <t>VN000D0JYJ71003 - Classic Slip-On GLOW BLKGR, 11, Medium</t>
  </si>
  <si>
    <t>VN000D0KEN61014</t>
  </si>
  <si>
    <t>VN000D0KEN61M  040</t>
  </si>
  <si>
    <t>VN000D0KEN61014 - Knu Skool Elastic Lace Pine F, 4, Medium</t>
  </si>
  <si>
    <t>VN000D0KEN61006</t>
  </si>
  <si>
    <t>VN000D0KEN61M  060</t>
  </si>
  <si>
    <t>VN000D0KEN61006 - Knu Skool Elastic Lace Pine F, 6, Medium</t>
  </si>
  <si>
    <t>VN000D0KEN61009</t>
  </si>
  <si>
    <t>VN000D0KEN61M  075</t>
  </si>
  <si>
    <t>VN000D0KEN61009 - Knu Skool Elastic Lace Pine, 7.5, Medium</t>
  </si>
  <si>
    <t>VN000D0KEN61004</t>
  </si>
  <si>
    <t>VN000D0KEN61M  085</t>
  </si>
  <si>
    <t>VN000D0KEN61004 - Knu Skool Elastic Lace Pine, 8.5, Medium</t>
  </si>
  <si>
    <t>VN000D0M11E1005</t>
  </si>
  <si>
    <t>VN000D0M11E1M  025</t>
  </si>
  <si>
    <t>VN000D0M11E1005 - SK8-Hi Zip Insulated VNTG D, 2.5, Medium</t>
  </si>
  <si>
    <t>VN000D0M11E1009</t>
  </si>
  <si>
    <t>VN000D0M11E1M  035</t>
  </si>
  <si>
    <t>VN000D0M11E1009 - SK8-Hi Zip Insulated VNTG D, 3.5, Medium</t>
  </si>
  <si>
    <t>VN000D0MBZW1011</t>
  </si>
  <si>
    <t>VN000D0MBZW1M  060</t>
  </si>
  <si>
    <t>VN000D0MBZW1011 - SK8-Hi Zip Insulated Black/Wh, 6, Medium</t>
  </si>
  <si>
    <t>VN000D0MBZW1003</t>
  </si>
  <si>
    <t>VN000D0MBZW1M  080</t>
  </si>
  <si>
    <t>VN000D0MBZW1003 - SK8-Hi Zip Insulated Black/Wh, 8, Medium</t>
  </si>
  <si>
    <t>VN000D0MBZW1002</t>
  </si>
  <si>
    <t>VN000D0MBZW1M  085</t>
  </si>
  <si>
    <t>VN000D0MBZW1002 - SK8-Hi Zip Insulated Black/, 8.5, Medium</t>
  </si>
  <si>
    <t>VN000D0MKCZ1007</t>
  </si>
  <si>
    <t>VN000D0MKCZ1M  020</t>
  </si>
  <si>
    <t>VN000D0MKCZ1007 - SK8-Hi Zip Insulated VNTG DGR, 2, Medium</t>
  </si>
  <si>
    <t>VN000D0MKCZ1006</t>
  </si>
  <si>
    <t>VN000D0MKCZ1M  030</t>
  </si>
  <si>
    <t>VN000D0MKCZ1006 - SK8-Hi Zip Insulated VNTG DGR, 3, Medium</t>
  </si>
  <si>
    <t>VN000D0MKCZ1005</t>
  </si>
  <si>
    <t>VN000D0MKCZ1M  075</t>
  </si>
  <si>
    <t>VN000D0MKCZ1005 - SK8-Hi Zip Insulated VNTG D, 7.5, Medium</t>
  </si>
  <si>
    <t>VN000D0MKCZ1004</t>
  </si>
  <si>
    <t>VN000D0MKCZ1M  080</t>
  </si>
  <si>
    <t>VN000D0MKCZ1004 - SK8-Hi Zip Insulated VNTG DGR, 8, Medium</t>
  </si>
  <si>
    <t>VN000D0MKCZ1011</t>
  </si>
  <si>
    <t>VN000D0MKCZ1M  095</t>
  </si>
  <si>
    <t>VN000D0MKCZ1011 - SK8-Hi Zip Insulated VNTG D, 9.5, Medium</t>
  </si>
  <si>
    <t>VN000D0PEMW1009</t>
  </si>
  <si>
    <t>VN000D0PEMW1M  065</t>
  </si>
  <si>
    <t>VN000D0PEMW1009 - SK8-Mid Reissue V SSHP GROL, 6.5, Medium</t>
  </si>
  <si>
    <t>VN000D0S1NU1002</t>
  </si>
  <si>
    <t>VN000D0S1NU1M  085</t>
  </si>
  <si>
    <t>VN000D0S1NU1002 - Slip-On V CTHR CHBD MBRWN, 8.5, Medium</t>
  </si>
  <si>
    <t>VN000D0S7051005</t>
  </si>
  <si>
    <t>VN000D0S7051M  060</t>
  </si>
  <si>
    <t>VN000D0S7051005 - Slip-On V RETR BLACK, 6, Medium</t>
  </si>
  <si>
    <t>VN000D0SYJ71001</t>
  </si>
  <si>
    <t>VN000D0SYJ71M  020</t>
  </si>
  <si>
    <t>VN000D0SYJ71001 - Slip-On V GLOW BLKGR, 2, Medium</t>
  </si>
  <si>
    <t>VN000D0SYJ71005</t>
  </si>
  <si>
    <t>VN000D0SYJ71M  030</t>
  </si>
  <si>
    <t>VN000D0SYJ71005 - Slip-On V GLOW BLKGR, 3, Medium</t>
  </si>
  <si>
    <t>VN000D0SYJ71016</t>
  </si>
  <si>
    <t>VN000D0SYJ71M  040</t>
  </si>
  <si>
    <t>VN000D0SYJ71016 - Slip-On V GLOW BLKGR, 4, Medium</t>
  </si>
  <si>
    <t>VN000D1011E1003</t>
  </si>
  <si>
    <t>VN000D1011E1M  030</t>
  </si>
  <si>
    <t>VN000D1011E1003 - SK8-Mid Reissue V Insulat POP, 3, Medium</t>
  </si>
  <si>
    <t>VN000D1011E1009</t>
  </si>
  <si>
    <t>VN000D1011E1M  105</t>
  </si>
  <si>
    <t>VN000D1011E1009 - SK8-Mid Reissue V Insulat, 10.5, Medium</t>
  </si>
  <si>
    <t>VN000D1011E1004</t>
  </si>
  <si>
    <t>VN000D1011E1M  110</t>
  </si>
  <si>
    <t>VN000D1011E1004 - SK8-Mid Reissue V Insulat PO, 11, Medium</t>
  </si>
  <si>
    <t>VN000D10N1Z1008</t>
  </si>
  <si>
    <t>VN000D10N1Z1M  025</t>
  </si>
  <si>
    <t>VN000D10N1Z1008 - SK8-Mid Reissue V Insulat P, 2.5, Medium</t>
  </si>
  <si>
    <t>VN000D10N1Z1006</t>
  </si>
  <si>
    <t>VN000D10N1Z1M  105</t>
  </si>
  <si>
    <t>VN000D10N1Z1006 - SK8-Mid Reissue V Insulat, 10.5, Medium</t>
  </si>
  <si>
    <t>VN000D1111E1012</t>
  </si>
  <si>
    <t>VN000D1111E1M  075</t>
  </si>
  <si>
    <t>VN000D1111E1012 - SK8-Mid Reissue V Insulat P, 7.5, Medium</t>
  </si>
  <si>
    <t>VN000D111KP1013</t>
  </si>
  <si>
    <t>VN000D111KP1M  060</t>
  </si>
  <si>
    <t>VN000D111KP1013 - SK8-Mid Reissue V Insulat CHB, 6, Medium</t>
  </si>
  <si>
    <t>VN000D111KP1004</t>
  </si>
  <si>
    <t>VN000D111KP1M  065</t>
  </si>
  <si>
    <t>VN000D111KP1004 - SK8-Mid Reissue V Insulat C, 6.5, Medium</t>
  </si>
  <si>
    <t>VN000D111KP1012</t>
  </si>
  <si>
    <t>VN000D111KP1M  070</t>
  </si>
  <si>
    <t>VN000D111KP1012 - SK8-Mid Reissue V Insulat CHB, 7, Medium</t>
  </si>
  <si>
    <t>VN000D11N1Z1010</t>
  </si>
  <si>
    <t>VN000D11N1Z1M  040</t>
  </si>
  <si>
    <t>VN000D11N1Z1010 - SK8-Mid Reissue V Insulat POP, 4, Medium</t>
  </si>
  <si>
    <t>VN000D12BIY1009</t>
  </si>
  <si>
    <t>VN000D12BIY1M  120</t>
  </si>
  <si>
    <t>VN000D12BIY1009 - MTE Slip-On Hi Terrain V PIN, 12, Medium</t>
  </si>
  <si>
    <t>VN000D1BEMU1016</t>
  </si>
  <si>
    <t>VN000D1BEMU1M  020</t>
  </si>
  <si>
    <t>VN000D1BEMU1016 - Old Skool V Bolt Strap GLOW D, 2, Medium</t>
  </si>
  <si>
    <t>VN000D1BEMU1003</t>
  </si>
  <si>
    <t>VN000D1BEMU1M  030</t>
  </si>
  <si>
    <t>VN000D1BEMU1003 - Old Skool V Bolt Strap GLOW D, 3, Medium</t>
  </si>
  <si>
    <t>VN000D1BEMU1007</t>
  </si>
  <si>
    <t>VN000D1BEMU1M  070</t>
  </si>
  <si>
    <t>VN000D1BEMU1007 - Old Skool V Bolt Strap GLOW D, 7, Medium</t>
  </si>
  <si>
    <t>VN000D1HBXC1007</t>
  </si>
  <si>
    <t>VN000D1HBXC1M  045</t>
  </si>
  <si>
    <t>VN000D1HBXC1007 - Upland GRAY, 4.5, Medium</t>
  </si>
  <si>
    <t>VN000D1HO3N1003</t>
  </si>
  <si>
    <t>VN000D1HO3N1M  130</t>
  </si>
  <si>
    <t>VN000D1HO3N1003 - Upland POP MDPNK, 13, Medium</t>
  </si>
  <si>
    <t>VN000D1J4C61013</t>
  </si>
  <si>
    <t>VN000D1J4C61M  050</t>
  </si>
  <si>
    <t>VN000D1J4C61013 - Hylane plum purple, 5, Medium</t>
  </si>
  <si>
    <t>VN000D1J7D61019</t>
  </si>
  <si>
    <t>VN000D1J7D61M  040</t>
  </si>
  <si>
    <t>VN000D1J7D61019 - Hylane 2TNE MDBRN, 4, Medium</t>
  </si>
  <si>
    <t>VN000D1JBRO1004</t>
  </si>
  <si>
    <t>VN000D1JBRO1M  095</t>
  </si>
  <si>
    <t>VN000D1JBRO1004 - Hylane Brown, 9.5, Medium</t>
  </si>
  <si>
    <t>VN000D1JV0N1001</t>
  </si>
  <si>
    <t>VN000D1JV0N1M  085</t>
  </si>
  <si>
    <t>VN000D1JV0N1001 - Hylane GREEN/MARSHMALL, 8.5, Medium</t>
  </si>
  <si>
    <t>VN000D1JV0N1002</t>
  </si>
  <si>
    <t>VN000D1JV0N1M  090</t>
  </si>
  <si>
    <t>VN000D1JV0N1002 - Hylane GREEN/MARSHMALL, 9, Medium</t>
  </si>
  <si>
    <t>VN000D1JY231008</t>
  </si>
  <si>
    <t>VN000D1JY231M  035</t>
  </si>
  <si>
    <t>VN000D1JY231008 - Hylane Black/Yellow, 3.5, Medium</t>
  </si>
  <si>
    <t>VN000D1P89F1005</t>
  </si>
  <si>
    <t>Turtle Dove</t>
  </si>
  <si>
    <t>VN000D1P89F1M  105</t>
  </si>
  <si>
    <t>VN000D1P89F1005 - Sport Low GUM LTBGE, 10.5, Medium</t>
  </si>
  <si>
    <t>VN000D1PDJR1018</t>
  </si>
  <si>
    <t>VN000D1PDJR1M  110</t>
  </si>
  <si>
    <t>VN000D1PDJR1018 - Sport Low turtledove, 11, Medium</t>
  </si>
  <si>
    <t>VN000D1PDJR1017</t>
  </si>
  <si>
    <t>VN000D1PDJR1M  115</t>
  </si>
  <si>
    <t>VN000D1PDJR1017 - Sport Low turtledove, 11.5, Medium</t>
  </si>
  <si>
    <t>VN000D221NU1013</t>
  </si>
  <si>
    <t>VN000D221NU1M  065</t>
  </si>
  <si>
    <t>VN000D221NU1013 - Knu Skool CTHR MBRWN, 6.5, Medium</t>
  </si>
  <si>
    <t>VN000D22B9P1002</t>
  </si>
  <si>
    <t>VN000D22B9P1M  070</t>
  </si>
  <si>
    <t>COLOR BLOCKING</t>
  </si>
  <si>
    <t>VN000D22B9P1002 - Knu Skool COLO BLKPK, 7, Medium</t>
  </si>
  <si>
    <t>VN000D22BGG1011</t>
  </si>
  <si>
    <t>GRAY/MULTI</t>
  </si>
  <si>
    <t>VN000D22BGG1M  060</t>
  </si>
  <si>
    <t>VN000D22BGG1011 - Knu Skool PSDE MULTI, 6, Medium</t>
  </si>
  <si>
    <t>VN000D22BGG1005</t>
  </si>
  <si>
    <t>VN000D22BGG1M  090</t>
  </si>
  <si>
    <t>VN000D22BGG1005 - Knu Skool PSDE MULTI, 9, Medium</t>
  </si>
  <si>
    <t>VN000D22EMU1003</t>
  </si>
  <si>
    <t>VN000D22EMU1M  040</t>
  </si>
  <si>
    <t>VN000D22EMU1003 - Knu Skool PSDE DRKLP, 4, Medium</t>
  </si>
  <si>
    <t>VN000D22WTM1004</t>
  </si>
  <si>
    <t>VN000D22WTM1M  120</t>
  </si>
  <si>
    <t>VN000D22WTM1004 - Knu Skool VRST WHITE, 12, Medium</t>
  </si>
  <si>
    <t>VN000D26CJG1011</t>
  </si>
  <si>
    <t>RED</t>
  </si>
  <si>
    <t>VN000D26CJG1M  095</t>
  </si>
  <si>
    <t>VN000D26CJG1011 - Hylane SUED RED, 9.5, Medium</t>
  </si>
  <si>
    <t>VN000D26CJG1010</t>
  </si>
  <si>
    <t>VN000D26CJG1M  100</t>
  </si>
  <si>
    <t>VN000D26CJG1010 - Hylane SUED RED, 10, Medium</t>
  </si>
  <si>
    <t>VN000D26DFN1019</t>
  </si>
  <si>
    <t>VN000D26DFN1M  050</t>
  </si>
  <si>
    <t>VN000D26DFN1019 - Hylane SUED BROWN, 5, Medium</t>
  </si>
  <si>
    <t>VN000D26GWT1018</t>
  </si>
  <si>
    <t>VN000D26GWT1M  075</t>
  </si>
  <si>
    <t>VN000D26GWT1018 - Hylane TONL MBRWN, 7.5, Medium</t>
  </si>
  <si>
    <t>VN000D26GWT1008</t>
  </si>
  <si>
    <t>VN000D26GWT1M  085</t>
  </si>
  <si>
    <t>VN000D26GWT1008 - Hylane TONL MBRWN, 8.5, Medium</t>
  </si>
  <si>
    <t>VN000D26PWT1008</t>
  </si>
  <si>
    <t>VN000D26PWT1M  040</t>
  </si>
  <si>
    <t>VN000D26PWT1008 - Hylane TONL PEWTR, 4, Medium</t>
  </si>
  <si>
    <t>VN000D26Y611019</t>
  </si>
  <si>
    <t>VN000D26Y611M  035</t>
  </si>
  <si>
    <t>VN000D26Y611019 - Hylane RTSK BLKBU, 3.5, Medium</t>
  </si>
  <si>
    <t>VN000D281OJ1016</t>
  </si>
  <si>
    <t>MTE Snow-Kicker GORE-TEX</t>
  </si>
  <si>
    <t>VN000D281OJ1M  050</t>
  </si>
  <si>
    <t>VN000D281OJ1016 - MTE Snow-Kicker GORE-TEX Blac, 5, Medium</t>
  </si>
  <si>
    <t>6005 - VN MN BOOTS MID</t>
  </si>
  <si>
    <t>VN000D2DEMF1004</t>
  </si>
  <si>
    <t>MTE Standard Waterproof</t>
  </si>
  <si>
    <t>VN000D2DEMF1M  080</t>
  </si>
  <si>
    <t>VN000D2DEMF1004 - MTE Standard Waterproof Bay L, 8, Medium</t>
  </si>
  <si>
    <t>VN000D2VBLA1004</t>
  </si>
  <si>
    <t>VN000D2VBLA1M  060</t>
  </si>
  <si>
    <t>VANS LOGO</t>
  </si>
  <si>
    <t>VN000D2VBLA1004 - Old Skool VNLG BLACK, 6, Medium</t>
  </si>
  <si>
    <t>VN000D3QEMP1006</t>
  </si>
  <si>
    <t>BMX Sk8-Hi</t>
  </si>
  <si>
    <t>VN000D3QEMP1M  080</t>
  </si>
  <si>
    <t>VN000D3QEMP1006 - BMX Sk8-Hi Coal Brown, 8, Medium</t>
  </si>
  <si>
    <t>VN000D45EMY1010</t>
  </si>
  <si>
    <t>VN000D45EMY1M  100</t>
  </si>
  <si>
    <t>VN000D45EMY1010 - Skate Estazzo Lilac Mist, 10, Medium</t>
  </si>
  <si>
    <t>VN000D4MKCZ1009</t>
  </si>
  <si>
    <t>VN000D4MKCZ1M  040</t>
  </si>
  <si>
    <t>VN000D4MKCZ1009 - Hylane V GRAPE LEAF, 4, Medium</t>
  </si>
  <si>
    <t>VN000D4MKCZ1013</t>
  </si>
  <si>
    <t>VN000D4MKCZ1M  060</t>
  </si>
  <si>
    <t>VN000D4MKCZ1013 - Hylane V GRAPE LEAF, 6, Medium</t>
  </si>
  <si>
    <t>VN000D4MKCZ1015</t>
  </si>
  <si>
    <t>VN000D4MKCZ1M  070</t>
  </si>
  <si>
    <t>VN000D4MKCZ1015 - Hylane V GRAPE LEAF, 7, Medium</t>
  </si>
  <si>
    <t>VN000D4MNVY1017</t>
  </si>
  <si>
    <t>VN000D4MNVY1M  020</t>
  </si>
  <si>
    <t>VN000D4MNVY1017 - Hylane V SUED NAVY, 2, Medium</t>
  </si>
  <si>
    <t>VN000D4MNVY1009</t>
  </si>
  <si>
    <t>VN000D4MNVY1M  030</t>
  </si>
  <si>
    <t>VN000D4MNVY1009 - Hylane V SUED NAVY, 3, Medium</t>
  </si>
  <si>
    <t>VN000D4MYB21010</t>
  </si>
  <si>
    <t>VN000D4MYB21M  070</t>
  </si>
  <si>
    <t>VN000D4MYB21010 - Hylane V White/Black, 7, Medium</t>
  </si>
  <si>
    <t>VN000D4N2B61005</t>
  </si>
  <si>
    <t>VN000D4N2B61M  105</t>
  </si>
  <si>
    <t>VN000D4N2B61005 - Hylane BLACK/DRIZZLE, 10.5, Medium</t>
  </si>
  <si>
    <t>VN000D4N2B61003</t>
  </si>
  <si>
    <t>VN000D4N2B61M  120</t>
  </si>
  <si>
    <t>VN000D4N2B61003 - Hylane BLACK/DRIZZLE, 12, Medium</t>
  </si>
  <si>
    <t>VN000D4NBKA1011</t>
  </si>
  <si>
    <t>VN000D4NBKA1M  115</t>
  </si>
  <si>
    <t>VN000D4NBKA1011 - Hylane Black/Black, 11.5, Medium</t>
  </si>
  <si>
    <t>VN000D4NBZW1008</t>
  </si>
  <si>
    <t>VN000D4NBZW1M  030</t>
  </si>
  <si>
    <t>VN000D4NBZW1008 - Hylane Black/White, 3, Medium</t>
  </si>
  <si>
    <t>VN000D4NBZW1004</t>
  </si>
  <si>
    <t>VN000D4NBZW1M  120</t>
  </si>
  <si>
    <t>VN000D4NBZW1004 - Hylane Black/White, 12, Medium</t>
  </si>
  <si>
    <t>VN000D4NBZW1002</t>
  </si>
  <si>
    <t>VN000D4NBZW1M  130</t>
  </si>
  <si>
    <t>VN000D4NBZW1002 - Hylane Black/White, 13, Medium</t>
  </si>
  <si>
    <t>VN000D4SCFL1002</t>
  </si>
  <si>
    <t>VN000D4SCFL1M  095</t>
  </si>
  <si>
    <t>VN000D4SCFL1002 - Old Skool V Heart CITADEL, 9.5, Medium</t>
  </si>
  <si>
    <t>VN000D5D17P1007</t>
  </si>
  <si>
    <t>VN000D5D17P1M  070</t>
  </si>
  <si>
    <t>VN000D5D17P1007 - Skate 2 Wayvee Green/Gum, 7, Medium</t>
  </si>
  <si>
    <t>VN000D5D17P1006</t>
  </si>
  <si>
    <t>VN000D5D17P1M  075</t>
  </si>
  <si>
    <t>VN000D5D17P1006 - Skate 2 Wayvee Green/Gum, 7.5, Medium</t>
  </si>
  <si>
    <t>VN000D5D17P1002</t>
  </si>
  <si>
    <t>VN000D5D17P1M  095</t>
  </si>
  <si>
    <t>VN000D5D17P1002 - Skate 2 Wayvee Green/Gum, 9.5, Medium</t>
  </si>
  <si>
    <t>VN000D5DDUF1001</t>
  </si>
  <si>
    <t>VN000D5DDUF1M  050</t>
  </si>
  <si>
    <t>VN000D5DDUF1001 - Skate 2 Wayvee blanc de blanc, 5, Medium</t>
  </si>
  <si>
    <t>VN000D5R11U1001</t>
  </si>
  <si>
    <t>Khaki/Burnt Orange</t>
  </si>
  <si>
    <t>VN000D5R11U1M  070</t>
  </si>
  <si>
    <t>VN000D5R11U1001 - Skate Old Skool 36 + Khaki/Bu, 7, Medium</t>
  </si>
  <si>
    <t>VN000D5R9DH1005</t>
  </si>
  <si>
    <t>White/Gum</t>
  </si>
  <si>
    <t>VN000D5R9DH1M  120</t>
  </si>
  <si>
    <t>VN000D5R9DH1005 - Skate Old Skool 36 + White/G, 12, Medium</t>
  </si>
  <si>
    <t>VN000D5RBRG1012</t>
  </si>
  <si>
    <t>VN000D5RBRG1M  075</t>
  </si>
  <si>
    <t>VN000D5RBRG1012 - Skate Old Skool 36 + GUM BR, 7.5, Medium</t>
  </si>
  <si>
    <t>VN000D5RBRG1011</t>
  </si>
  <si>
    <t>VN000D5RBRG1M  080</t>
  </si>
  <si>
    <t>VN000D5RBRG1011 - Skate Old Skool 36 + GUM BRGD, 8, Medium</t>
  </si>
  <si>
    <t>VN000D5RBRG1007</t>
  </si>
  <si>
    <t>VN000D5RBRG1M  100</t>
  </si>
  <si>
    <t>VN000D5RBRG1007 - Skate Old Skool 36 + GUM BRG, 10, Medium</t>
  </si>
  <si>
    <t>VN000D5RBRG1005</t>
  </si>
  <si>
    <t>VN000D5RBRG1M  110</t>
  </si>
  <si>
    <t>VN000D5RBRG1005 - Skate Old Skool 36 + GUM BRG, 11, Medium</t>
  </si>
  <si>
    <t>VN000D5RY521004</t>
  </si>
  <si>
    <t>Red/White</t>
  </si>
  <si>
    <t>VN000D5RY521M  105</t>
  </si>
  <si>
    <t>VN000D5RY521004 - Skate Old Skool 36 + Red/W, 10.5, Medium</t>
  </si>
  <si>
    <t>VN000D5VBH71018</t>
  </si>
  <si>
    <t>VN000D5VBH71M  040</t>
  </si>
  <si>
    <t>VN000D5VBH71018 - Crosspath XC LIGHT GRAY, 4, Medium</t>
  </si>
  <si>
    <t>VN000D5VDRB1001</t>
  </si>
  <si>
    <t>VN000D5VDRB1M  085</t>
  </si>
  <si>
    <t>VN000D5VDRB1001 - Crosspath XC Dark Brown, 8.5, Medium</t>
  </si>
  <si>
    <t>VN000D5VZRY1015</t>
  </si>
  <si>
    <t>VN000D5VZRY1M  060</t>
  </si>
  <si>
    <t>VN000D5VZRY1015 - Crosspath XC MAUVEWOOD, 6, Medium</t>
  </si>
  <si>
    <t>VN000D5VZRY1010</t>
  </si>
  <si>
    <t>VN000D5VZRY1M  105</t>
  </si>
  <si>
    <t>VN000D5VZRY1010 - Crosspath XC MAUVEWOOD, 10.5, Medium</t>
  </si>
  <si>
    <t>VN000D60CRM1018</t>
  </si>
  <si>
    <t>VN000D60CRM1M  040</t>
  </si>
  <si>
    <t>VN000D60CRM1018 - Ultrarange 2.0 RW Cream, 4, Medium</t>
  </si>
  <si>
    <t>VN000D60CRM1003</t>
  </si>
  <si>
    <t>VN000D60CRM1M  050</t>
  </si>
  <si>
    <t>VN000D60CRM1003 - Ultrarange 2.0 RW Cream, 5, Medium</t>
  </si>
  <si>
    <t>VN000D60EMW1019</t>
  </si>
  <si>
    <t>VN000D60EMW1M  050</t>
  </si>
  <si>
    <t>VN000D60EMW1019 - Ultrarange 2.0 RW Gray Olive, 5, Medium</t>
  </si>
  <si>
    <t>VN000D60EMW1017</t>
  </si>
  <si>
    <t>VN000D60EMW1M  060</t>
  </si>
  <si>
    <t>VN000D60EMW1017 - Ultrarange 2.0 RW Gray Olive, 6, Medium</t>
  </si>
  <si>
    <t>VN000D60EMW1009</t>
  </si>
  <si>
    <t>VN000D60EMW1M  065</t>
  </si>
  <si>
    <t>VN000D60EMW1009 - Ultrarange 2.0 RW Gray Oliv, 6.5, Medium</t>
  </si>
  <si>
    <t>VN000D60RV21017</t>
  </si>
  <si>
    <t>VN000D60RV21M  080</t>
  </si>
  <si>
    <t>VN000D60RV21017 - Ultrarange 2.0 RW STORMY WEAT, 8, Medium</t>
  </si>
  <si>
    <t>VN000D60RV21002</t>
  </si>
  <si>
    <t>VN000D60RV21M  110</t>
  </si>
  <si>
    <t>VN000D60RV21002 - Ultrarange 2.0 RW STORMY WEA, 11, Medium</t>
  </si>
  <si>
    <t>VN000D60RV21001</t>
  </si>
  <si>
    <t>VN000D60RV21M  115</t>
  </si>
  <si>
    <t>VN000D60RV21001 - Ultrarange 2.0 RW STORMY W, 11.5, Medium</t>
  </si>
  <si>
    <t>VN000D610VW1012</t>
  </si>
  <si>
    <t>VN000D610VW1M  035</t>
  </si>
  <si>
    <t>VN000D610VW1012 - Ultrarange 2.0 SE RPST WHIT, 3.5, Medium</t>
  </si>
  <si>
    <t>VN000D610VW1009</t>
  </si>
  <si>
    <t>VN000D610VW1M  055</t>
  </si>
  <si>
    <t>VN000D610VW1009 - Ultrarange 2.0 SE RPST WHIT, 5.5, Medium</t>
  </si>
  <si>
    <t>VN000D610VW1018</t>
  </si>
  <si>
    <t>VN000D610VW1M  060</t>
  </si>
  <si>
    <t>VN000D610VW1018 - Ultrarange 2.0 SE RPST WHITE, 6, Medium</t>
  </si>
  <si>
    <t>VN000D610VW1008</t>
  </si>
  <si>
    <t>VN000D610VW1M  065</t>
  </si>
  <si>
    <t>VN000D610VW1008 - Ultrarange 2.0 SE RPST WHIT, 6.5, Medium</t>
  </si>
  <si>
    <t>VN000D610VW1007</t>
  </si>
  <si>
    <t>VN000D610VW1M  075</t>
  </si>
  <si>
    <t>VN000D610VW1007 - Ultrarange 2.0 SE RPST WHIT, 7.5, Medium</t>
  </si>
  <si>
    <t>VN000D61EMP1015</t>
  </si>
  <si>
    <t>VN000D61EMP1M  090</t>
  </si>
  <si>
    <t>VN000D61EMP1015 - Ultrarange 2.0 SE RPST CLBRN, 9, Medium</t>
  </si>
  <si>
    <t>VN000D61TBN1016</t>
  </si>
  <si>
    <t>VN000D61TBN1M  130</t>
  </si>
  <si>
    <t>VN000D61TBN1016 - Ultrarange 2.0 SE Tobacco Br, 13, Medium</t>
  </si>
  <si>
    <t>VN000D6CCI21011</t>
  </si>
  <si>
    <t>VN000D6CCI21M  095</t>
  </si>
  <si>
    <t>VN000D6CCI21011 - Knu Skool TRIT RAINF, 9.5, Medium</t>
  </si>
  <si>
    <t>VN000D6CFCJ1009</t>
  </si>
  <si>
    <t>String</t>
  </si>
  <si>
    <t>VN000D6CFCJ1M  130</t>
  </si>
  <si>
    <t>CREPE</t>
  </si>
  <si>
    <t>VN000D6CFCJ1009 - Knu Skool CRPE STRNG, 13, Medium</t>
  </si>
  <si>
    <t>VN000D6F2391011</t>
  </si>
  <si>
    <t>VN000D6F2391M  090</t>
  </si>
  <si>
    <t>VN000D6F2391011 - Upland VARS MDGRY, 9, Medium</t>
  </si>
  <si>
    <t>VN000D6F2391010</t>
  </si>
  <si>
    <t>VN000D6F2391M  095</t>
  </si>
  <si>
    <t>VN000D6F2391010 - Upland VARS MDGRY, 9.5, Medium</t>
  </si>
  <si>
    <t>VN000D6F2391006</t>
  </si>
  <si>
    <t>VN000D6F2391M  115</t>
  </si>
  <si>
    <t>VN000D6F2391006 - Upland VARS MDGRY, 11.5, Medium</t>
  </si>
  <si>
    <t>VN000D6F2391005</t>
  </si>
  <si>
    <t>VN000D6F2391M  120</t>
  </si>
  <si>
    <t>VN000D6F2391005 - Upland VARS MDGRY, 12, Medium</t>
  </si>
  <si>
    <t>VN000D6FBF01019</t>
  </si>
  <si>
    <t>VN000D6FBF01M  040</t>
  </si>
  <si>
    <t>TONAL BLOCK</t>
  </si>
  <si>
    <t>VN000D6FBF01019 - Upland TNLB MULTI, 4, Medium</t>
  </si>
  <si>
    <t>VN000D6FBGK1001</t>
  </si>
  <si>
    <t>VN000D6FBGK1M  055</t>
  </si>
  <si>
    <t>VN000D6FBGK1001 - Upland TNLB MULTI, 5.5, Medium</t>
  </si>
  <si>
    <t>VN000D6FEME1016</t>
  </si>
  <si>
    <t>VN000D6FEME1M  050</t>
  </si>
  <si>
    <t>CONTRAST STITCH</t>
  </si>
  <si>
    <t>VN000D6FEME1016 - Upland CTST DGREN, 5, Medium</t>
  </si>
  <si>
    <t>VN000D6FEME1014</t>
  </si>
  <si>
    <t>VN000D6FEME1M  065</t>
  </si>
  <si>
    <t>VN000D6FEME1014 - Upland CTST DGREN, 6.5, Medium</t>
  </si>
  <si>
    <t>VN000D6FY491011</t>
  </si>
  <si>
    <t>VN000D6FY491M  100</t>
  </si>
  <si>
    <t>VN000D6FY491011 - Upland VARS MBWBL, 10, Medium</t>
  </si>
  <si>
    <t>VN000D6FY7U1007</t>
  </si>
  <si>
    <t>VN000D6FY7U1M  065</t>
  </si>
  <si>
    <t>VN000D6FY7U1007 - Upland CTST AFDRK, 6.5, Medium</t>
  </si>
  <si>
    <t>VN000D6N24O1003</t>
  </si>
  <si>
    <t>Green/Blue</t>
  </si>
  <si>
    <t>VN000D6N24O1M  105</t>
  </si>
  <si>
    <t>SPORT</t>
  </si>
  <si>
    <t>VN000D6N24O1003 - Sport Low SPRT DKGRN, 10.5, Medium</t>
  </si>
  <si>
    <t>VN000D6SCJA1001</t>
  </si>
  <si>
    <t>VN000D6SCJA1M  085</t>
  </si>
  <si>
    <t>VN000D6SCJA1001 - Cruze 3.0 STIT WHITE, 8.5, Medium</t>
  </si>
  <si>
    <t>VN000D6SCJA1018</t>
  </si>
  <si>
    <t>VN000D6SCJA1M  100</t>
  </si>
  <si>
    <t>VN000D6SCJA1018 - Cruze 3.0 STIT WHITE, 10, Medium</t>
  </si>
  <si>
    <t>VN000D6SYW31014</t>
  </si>
  <si>
    <t>Black/Red/White</t>
  </si>
  <si>
    <t>VN000D6SYW31M  080</t>
  </si>
  <si>
    <t>VN000D6SYW31014 - Cruze 3.0 Black/Red/White, 8, Medium</t>
  </si>
  <si>
    <t>VN000D6W11E1010</t>
  </si>
  <si>
    <t>VN000D6W11E1M  055</t>
  </si>
  <si>
    <t>VN000D6W11E1010 - Old Skool SUED DKPPL, 5.5, Medium</t>
  </si>
  <si>
    <t>VN000D6W2031010</t>
  </si>
  <si>
    <t>VN000D6W2031M  060</t>
  </si>
  <si>
    <t>VN000D6W2031010 - Old Skool MONO DGRBL, 6, Medium</t>
  </si>
  <si>
    <t>VN000D6W2031002</t>
  </si>
  <si>
    <t>VN000D6W2031M  130</t>
  </si>
  <si>
    <t>VN000D6W2031002 - Old Skool MONO DGRBL, 13, Medium</t>
  </si>
  <si>
    <t>VN000D6W7D61008</t>
  </si>
  <si>
    <t>VN000D6W7D61M  040</t>
  </si>
  <si>
    <t>VN000D6W7D61008 - Old Skool 2TNE MDBRN, 4, Medium</t>
  </si>
  <si>
    <t>VN000D6WEMG1013</t>
  </si>
  <si>
    <t>VN000D6WEMG1M  045</t>
  </si>
  <si>
    <t>VN000D6WEMG1013 - Old Skool PSTL BLMST, 4.5, Medium</t>
  </si>
  <si>
    <t>VN000D6WEMG1007</t>
  </si>
  <si>
    <t>VN000D6WEMG1M  060</t>
  </si>
  <si>
    <t>VN000D6WEMG1007 - Old Skool PSTL BLMST, 6, Medium</t>
  </si>
  <si>
    <t>VN000D6WEMG1005</t>
  </si>
  <si>
    <t>VN000D6WEMG1M  070</t>
  </si>
  <si>
    <t>VN000D6WEMG1005 - Old Skool PSTL BLMST, 7, Medium</t>
  </si>
  <si>
    <t>VN000D6WEMG1004</t>
  </si>
  <si>
    <t>VN000D6WEMG1M  075</t>
  </si>
  <si>
    <t>VN000D6WEMG1004 - Old Skool PSTL BLMST, 7.5, Medium</t>
  </si>
  <si>
    <t>VN000D6WEMU1018</t>
  </si>
  <si>
    <t>VN000D6WEMU1M  040</t>
  </si>
  <si>
    <t>VN000D6WEMU1018 - Old Skool BASI DRKLP, 4, Medium</t>
  </si>
  <si>
    <t>VN000D6WEMU1007</t>
  </si>
  <si>
    <t>VN000D6WEMU1M  095</t>
  </si>
  <si>
    <t>VN000D6WEMU1007 - Old Skool BASI DRKLP, 9.5, Medium</t>
  </si>
  <si>
    <t>VN000D6WEMW1006</t>
  </si>
  <si>
    <t>VN000D6WEMW1M  045</t>
  </si>
  <si>
    <t>VN000D6WEMW1006 - Old Skool CTHR GROLV, 4.5, Medium</t>
  </si>
  <si>
    <t>VN000D6WEMW1018</t>
  </si>
  <si>
    <t>VN000D6WEMW1M  095</t>
  </si>
  <si>
    <t>VN000D6WEMW1018 - Old Skool CTHR GROLV, 9.5, Medium</t>
  </si>
  <si>
    <t>VN000D6WEMW1013</t>
  </si>
  <si>
    <t>VN000D6WEMW1M  120</t>
  </si>
  <si>
    <t>VN000D6WEMW1013 - Old Skool CTHR GROLV, 12, Medium</t>
  </si>
  <si>
    <t>VN000D6WRPK1015</t>
  </si>
  <si>
    <t>VN000D6WRPK1M  060</t>
  </si>
  <si>
    <t>VN000D6WRPK1015 - Old Skool POP BRNPK, 6, Medium</t>
  </si>
  <si>
    <t>VN000D6WY7U1003</t>
  </si>
  <si>
    <t>VN000D6WY7U1M  070</t>
  </si>
  <si>
    <t>VN000D6WY7U1003 - Old Skool PGSU AFDRK, 7, Medium</t>
  </si>
  <si>
    <t>VN000D6YEMH1002</t>
  </si>
  <si>
    <t>VN000D6YEMH1M  055</t>
  </si>
  <si>
    <t>VN000D6YEMH1002 - Classic Slip-On PSDE BRNBT, 5.5, Medium</t>
  </si>
  <si>
    <t>VN000D6YEMY1018</t>
  </si>
  <si>
    <t>VN000D6YEMY1M  065</t>
  </si>
  <si>
    <t>VN000D6YEMY1018 - Classic Slip-On PSTL LMIST, 6.5, Medium</t>
  </si>
  <si>
    <t>VN000D6YEZI1019</t>
  </si>
  <si>
    <t>VN000D6YEZI1M  045</t>
  </si>
  <si>
    <t>VN000D6YEZI1019 - Classic Slip-On Y2K DALB, 4.5, Medium</t>
  </si>
  <si>
    <t>VN000D6YEZI1007</t>
  </si>
  <si>
    <t>VN000D6YEZI1M  080</t>
  </si>
  <si>
    <t>VN000D6YEZI1007 - Classic Slip-On Y2K DALB, 8, Medium</t>
  </si>
  <si>
    <t>VN000D6YIZQ1001</t>
  </si>
  <si>
    <t>VN000D6YIZQ1M  090</t>
  </si>
  <si>
    <t>VN000D6YIZQ1001 - Classic Slip-On CHBD RHIN DRR, 9, Medium</t>
  </si>
  <si>
    <t>VN000D6ZEMT1012</t>
  </si>
  <si>
    <t>VN000D6ZEMT1M  060</t>
  </si>
  <si>
    <t>VN000D6ZEMT1012 - Knu Skool GUM DPTWL, 6, Medium</t>
  </si>
  <si>
    <t>VN000D6ZEMY1006</t>
  </si>
  <si>
    <t>VN000D6ZEMY1M  070</t>
  </si>
  <si>
    <t>VN000D6ZEMY1006 - Knu Skool 2TNE LMIST, 7, Medium</t>
  </si>
  <si>
    <t>VN000D6ZEZI1012</t>
  </si>
  <si>
    <t>VN000D6ZEZI1M  040</t>
  </si>
  <si>
    <t>VN000D6ZEZI1012 - Knu Skool Y2K DALB, 4, Medium</t>
  </si>
  <si>
    <t>VN000D6ZEZI1016</t>
  </si>
  <si>
    <t>VN000D6ZEZI1M  050</t>
  </si>
  <si>
    <t>VN000D6ZEZI1016 - Knu Skool Y2K DALB, 5, Medium</t>
  </si>
  <si>
    <t>VN000D6ZEZI1005</t>
  </si>
  <si>
    <t>VN000D6ZEZI1M  080</t>
  </si>
  <si>
    <t>VN000D6ZEZI1005 - Knu Skool Y2K DALB, 8, Medium</t>
  </si>
  <si>
    <t>VN000D6ZORA1015</t>
  </si>
  <si>
    <t>VN000D6ZORA1M  050</t>
  </si>
  <si>
    <t>VN000D6ZORA1015 - Knu Skool NEON DORNG, 5, Medium</t>
  </si>
  <si>
    <t>VN000D6ZORA1019</t>
  </si>
  <si>
    <t>VN000D6ZORA1M  055</t>
  </si>
  <si>
    <t>VN000D6ZORA1019 - Knu Skool NEON DORNG, 5.5, Medium</t>
  </si>
  <si>
    <t>VN000D6ZORA1004</t>
  </si>
  <si>
    <t>VN000D6ZORA1M  065</t>
  </si>
  <si>
    <t>VN000D6ZORA1004 - Knu Skool NEON DORNG, 6.5, Medium</t>
  </si>
  <si>
    <t>VN000D6ZORA1003</t>
  </si>
  <si>
    <t>VN000D6ZORA1M  070</t>
  </si>
  <si>
    <t>VN000D6ZORA1003 - Knu Skool NEON DORNG, 7, Medium</t>
  </si>
  <si>
    <t>VN000D6ZORA1002</t>
  </si>
  <si>
    <t>VN000D6ZORA1M  075</t>
  </si>
  <si>
    <t>VN000D6ZORA1002 - Knu Skool NEON DORNG, 7.5, Medium</t>
  </si>
  <si>
    <t>VN000D6ZTTN1006</t>
  </si>
  <si>
    <t>VN000D6ZTTN1M  075</t>
  </si>
  <si>
    <t>VN000D6ZTTN1006 - Knu Skool PGSU PRGRY, 7.5, Medium</t>
  </si>
  <si>
    <t>VN000D70BM81004</t>
  </si>
  <si>
    <t>VN000D70BM81M  080</t>
  </si>
  <si>
    <t>VN000D70BM81004 - Upland Y2K BLACK, 8, Medium</t>
  </si>
  <si>
    <t>VN000D7ABKA1012</t>
  </si>
  <si>
    <t>Upland Mule</t>
  </si>
  <si>
    <t>VN000D7ABKA1M  050</t>
  </si>
  <si>
    <t>VN000D7ABKA1012 - Upland Mule Black/Black, 5, Medium</t>
  </si>
  <si>
    <t>VN000D7G29B1004</t>
  </si>
  <si>
    <t>MTE La Costa Slide-On</t>
  </si>
  <si>
    <t>VN000D7G29B1M  100</t>
  </si>
  <si>
    <t>VN000D7G29B1004 - MTE La Costa Slide-On CAMO B, 10, Medium</t>
  </si>
  <si>
    <t>VN000D7JCKP1006</t>
  </si>
  <si>
    <t>VN000D7JCKP1M  110</t>
  </si>
  <si>
    <t>VN000D7JCKP1006 - MTE Slide-On VR3Cush green l, 11, Medium</t>
  </si>
  <si>
    <t>VN000D7Z1NU1011</t>
  </si>
  <si>
    <t>VN000D7Z1NU1M  095</t>
  </si>
  <si>
    <t>VN000D7Z1NU1011 - Old Skool CTHR MBRWN, 9.5, Medium</t>
  </si>
  <si>
    <t>VN000D7Z6N01001</t>
  </si>
  <si>
    <t>VN000D7Z6N01M  050</t>
  </si>
  <si>
    <t>VN000D7Z6N01001 - Old Skool LEOPARD/PURPLE, 5, Medium</t>
  </si>
  <si>
    <t>VN000D7Z6N01005</t>
  </si>
  <si>
    <t>VN000D7Z6N01M  065</t>
  </si>
  <si>
    <t>VN000D7Z6N01005 - Old Skool LEOPARD/PURPLE, 6.5, Medium</t>
  </si>
  <si>
    <t>VN000D7ZM8I1004</t>
  </si>
  <si>
    <t>VN000D7ZM8I1M  090</t>
  </si>
  <si>
    <t>VN000D7ZM8I1004 - Old Skool BASI MGRGY, 9, Medium</t>
  </si>
  <si>
    <t>VN000D7ZM8I1016</t>
  </si>
  <si>
    <t>VN000D7ZM8I1M  115</t>
  </si>
  <si>
    <t>VN000D7ZM8I1016 - Old Skool BASI MGRGY, 11.5, Medium</t>
  </si>
  <si>
    <t>VN000D80BF01018</t>
  </si>
  <si>
    <t>VN000D80BF01M  065</t>
  </si>
  <si>
    <t>VN000D80BF01018 - SK8-Hi THRI MULTI, 6.5, Medium</t>
  </si>
  <si>
    <t>VN000D83RNE1003</t>
  </si>
  <si>
    <t>VN000D83RNE1M  035</t>
  </si>
  <si>
    <t>VN000D83RNE1003 - Super Lowpro HINT OF MINT, 3.5, Medium</t>
  </si>
  <si>
    <t>VN000D85EME1004</t>
  </si>
  <si>
    <t>VN000D85EME1M  110</t>
  </si>
  <si>
    <t>VN000D85EME1004 - Skate Curren Caples Emerald, 11, Medium</t>
  </si>
  <si>
    <t>VN000D8X6PH1013</t>
  </si>
  <si>
    <t>VN000D8X6PH1M  045</t>
  </si>
  <si>
    <t>VN000D8X6PH1013 - Sport Low Purple Haze, 4.5, Medium</t>
  </si>
  <si>
    <t>VN000D9ACJ71001</t>
  </si>
  <si>
    <t>VN000D9ACJ71M  130</t>
  </si>
  <si>
    <t>VN000D9ACJ71001 - Mary Jane Straps METL WHITE, 13, Medium</t>
  </si>
  <si>
    <t>VN000D9Y0CS1018</t>
  </si>
  <si>
    <t>VN000D9Y0CS1M  035</t>
  </si>
  <si>
    <t>VN000D9Y0CS1018 - Old Skool GRAY/GUM, 3.5, Medium</t>
  </si>
  <si>
    <t>VN000D9YBGK1016</t>
  </si>
  <si>
    <t>VN000D9YBGK1M  065</t>
  </si>
  <si>
    <t>VN000D9YBGK1016 - Old Skool PSDE MULTI, 6.5, Medium</t>
  </si>
  <si>
    <t>VN000D9YBX91009</t>
  </si>
  <si>
    <t>NAVY</t>
  </si>
  <si>
    <t>VN000D9YBX91M  090</t>
  </si>
  <si>
    <t>VN000D9YBX91009 - Old Skool DENM NAVY, 9, Medium</t>
  </si>
  <si>
    <t>VN000D9YRV21017</t>
  </si>
  <si>
    <t>VN000D9YRV21M  060</t>
  </si>
  <si>
    <t>VN000D9YRV21017 - Old Skool CTHR BLACK, 6, Medium</t>
  </si>
  <si>
    <t>VN000D9YTUP1004</t>
  </si>
  <si>
    <t>VN000D9YTUP1M  035</t>
  </si>
  <si>
    <t>VN000D9YTUP1004 - Old Skool MONO DBEIG, 3.5, Medium</t>
  </si>
  <si>
    <t>VN000D9YTUP1011</t>
  </si>
  <si>
    <t>VN000D9YTUP1M  075</t>
  </si>
  <si>
    <t>VN000D9YTUP1011 - Old Skool MONO DBEIG, 7.5, Medium</t>
  </si>
  <si>
    <t>VN000D9YTUP1006</t>
  </si>
  <si>
    <t>VN000D9YTUP1M  080</t>
  </si>
  <si>
    <t>VN000D9YTUP1006 - Old Skool MONO DBEIG, 8, Medium</t>
  </si>
  <si>
    <t>VN000D9ZKOU1019</t>
  </si>
  <si>
    <t>Skate Half Cab Wafflecup</t>
  </si>
  <si>
    <t>VN000D9ZKOU1M  090</t>
  </si>
  <si>
    <t>VN000D9ZKOU1019 - Skate Half Cab Wafflecup BLAC, 9, Medium</t>
  </si>
  <si>
    <t>VN000D9ZKOU1013</t>
  </si>
  <si>
    <t>VN000D9ZKOU1M  100</t>
  </si>
  <si>
    <t>VN000D9ZKOU1013 - Skate Half Cab Wafflecup BLA, 10, Medium</t>
  </si>
  <si>
    <t>VN000D9ZYB21005</t>
  </si>
  <si>
    <t>VN000D9ZYB21M  035</t>
  </si>
  <si>
    <t>VN000D9ZYB21005 - Skate Half Cab Wafflecup Wh, 3.5, Medium</t>
  </si>
  <si>
    <t>VN000D9ZYB21001</t>
  </si>
  <si>
    <t>VN000D9ZYB21M  080</t>
  </si>
  <si>
    <t>VN000D9ZYB21001 - Skate Half Cab Wafflecup Whit, 8, Medium</t>
  </si>
  <si>
    <t>VN000DA18DX1016</t>
  </si>
  <si>
    <t>Estate Blue</t>
  </si>
  <si>
    <t>VN000DA18DX1M  040</t>
  </si>
  <si>
    <t>VN000DA18DX1016 - Skate AVE 2.0 FADE DBLUE, 4, Medium</t>
  </si>
  <si>
    <t>VN000DA18DX1006</t>
  </si>
  <si>
    <t>VN000DA18DX1M  065</t>
  </si>
  <si>
    <t>VN000DA18DX1006 - Skate AVE 2.0 FADE DBLUE, 6.5, Medium</t>
  </si>
  <si>
    <t>VN000DA18DX1018</t>
  </si>
  <si>
    <t>VN000DA18DX1M  075</t>
  </si>
  <si>
    <t>VN000DA18DX1018 - Skate AVE 2.0 FADE DBLUE, 7.5, Medium</t>
  </si>
  <si>
    <t>VN000DA1Z341019</t>
  </si>
  <si>
    <t>VN000DA1Z341M  035</t>
  </si>
  <si>
    <t>VN000DA1Z341019 - Skate AVE 2.0 FADE WHTOR, 3.5, Medium</t>
  </si>
  <si>
    <t>VN000DA2B9M1013</t>
  </si>
  <si>
    <t>VN000DA2B9M1M  035</t>
  </si>
  <si>
    <t>VN000DA2B9M1013 - Skate Rowley FADE BLACK, 3.5, Medium</t>
  </si>
  <si>
    <t>VN000DA2B9M1002</t>
  </si>
  <si>
    <t>VN000DA2B9M1M  110</t>
  </si>
  <si>
    <t>VN000DA2B9M1002 - Skate Rowley FADE BLACK, 11, Medium</t>
  </si>
  <si>
    <t>VN000DAH7UG1007</t>
  </si>
  <si>
    <t>VN000DAH7UG1M  055</t>
  </si>
  <si>
    <t>VN000DAH7UG1007 - Classic Slip-On VNCH MBRWN, 5.5, Medium</t>
  </si>
  <si>
    <t>VN000DAHRV21006</t>
  </si>
  <si>
    <t>VN000DAHRV21M  045</t>
  </si>
  <si>
    <t>VN000DAHRV21006 - Classic Slip-On CTHR CHBD B, 4.5, Medium</t>
  </si>
  <si>
    <t>VN000DAHRV21007</t>
  </si>
  <si>
    <t>VN000DAHRV21M  055</t>
  </si>
  <si>
    <t>VN000DAHRV21007 - Classic Slip-On CTHR CHBD B, 5.5, Medium</t>
  </si>
  <si>
    <t>VN000DAHRV21001</t>
  </si>
  <si>
    <t>VN000DAHRV21M  115</t>
  </si>
  <si>
    <t>VN000DAHRV21001 - Classic Slip-On CTHR CHBD, 11.5, Medium</t>
  </si>
  <si>
    <t>VN000DAHY401011</t>
  </si>
  <si>
    <t>VN000DAHY401M  085</t>
  </si>
  <si>
    <t>VN000DAHY401011 - Classic Slip-On THRI NAVY, 8.5, Medium</t>
  </si>
  <si>
    <t>VN000DAHY401009</t>
  </si>
  <si>
    <t>VN000DAHY401M  095</t>
  </si>
  <si>
    <t>VN000DAHY401009 - Classic Slip-On THRI NAVY, 9.5, Medium</t>
  </si>
  <si>
    <t>VN000DAHY401008</t>
  </si>
  <si>
    <t>VN000DAHY401M  100</t>
  </si>
  <si>
    <t>VN000DAHY401008 - Classic Slip-On THRI NAVY, 10, Medium</t>
  </si>
  <si>
    <t>VN000DAHY401002</t>
  </si>
  <si>
    <t>VN000DAHY401M  120</t>
  </si>
  <si>
    <t>VN000DAHY401002 - Classic Slip-On THRI NAVY, 12, Medium</t>
  </si>
  <si>
    <t>VN000DAMLM31001</t>
  </si>
  <si>
    <t>VN000DAMLM31M  065</t>
  </si>
  <si>
    <t>VN000DAMLM31001 - Crosspath XC GORE-TEX MTE h, 6.5, Medium</t>
  </si>
  <si>
    <t>VN000DAMRMO1013</t>
  </si>
  <si>
    <t>BLACK/DUSTY OLIVE</t>
  </si>
  <si>
    <t>VN000DAMRMO1M  085</t>
  </si>
  <si>
    <t>VN000DAMRMO1013 - Crosspath XC GORE-TEX MTE B, 8.5, Medium</t>
  </si>
  <si>
    <t>VN000DAQ02Y1017</t>
  </si>
  <si>
    <t>VN000DAQ02Y1M  045</t>
  </si>
  <si>
    <t>VN000DAQ02Y1017 - Sk8-Hi Waterproof Insulat P, 4.5, Medium</t>
  </si>
  <si>
    <t>VN000DAQ02Y1008</t>
  </si>
  <si>
    <t>VN000DAQ02Y1M  055</t>
  </si>
  <si>
    <t>VN000DAQ02Y1008 - Sk8-Hi Waterproof Insulat P, 5.5, Medium</t>
  </si>
  <si>
    <t>VN000DAQ02Y1007</t>
  </si>
  <si>
    <t>VN000DAQ02Y1M  065</t>
  </si>
  <si>
    <t>VN000DAQ02Y1007 - Sk8-Hi Waterproof Insulat P, 6.5, Medium</t>
  </si>
  <si>
    <t>VN000DAQ1MG1010</t>
  </si>
  <si>
    <t>VN000DAQ1MG1M  055</t>
  </si>
  <si>
    <t>VN000DAQ1MG1010 - Sk8-Hi Waterproof Insulat G, 5.5, Medium</t>
  </si>
  <si>
    <t>VN000DAQ1MG1015</t>
  </si>
  <si>
    <t>VN000DAQ1MG1M  060</t>
  </si>
  <si>
    <t>VN000DAQ1MG1015 - Sk8-Hi Waterproof Insulat Gre, 6, Medium</t>
  </si>
  <si>
    <t>VN000DAQ1MG1017</t>
  </si>
  <si>
    <t>VN000DAQ1MG1M  075</t>
  </si>
  <si>
    <t>VN000DAQ1MG1017 - Sk8-Hi Waterproof Insulat G, 7.5, Medium</t>
  </si>
  <si>
    <t>VN000DAQ1MG1004</t>
  </si>
  <si>
    <t>VN000DAQ1MG1M  080</t>
  </si>
  <si>
    <t>VN000DAQ1MG1004 - Sk8-Hi Waterproof Insulat Gre, 8, Medium</t>
  </si>
  <si>
    <t>VN000DAQ91K1002</t>
  </si>
  <si>
    <t>VN000DAQ91K1M  080</t>
  </si>
  <si>
    <t>VN000DAQ91K1002 - Sk8-Hi Waterproof Insulat sep, 8, Medium</t>
  </si>
  <si>
    <t>VN000DAQ9DH1016</t>
  </si>
  <si>
    <t>VN000DAQ9DH1M  085</t>
  </si>
  <si>
    <t>VN000DAQ9DH1016 - Sk8-Hi Waterproof Insulat W, 8.5, Medium</t>
  </si>
  <si>
    <t>VN000DAQRPK1003</t>
  </si>
  <si>
    <t>VN000DAQRPK1M  080</t>
  </si>
  <si>
    <t>VN000DAQRPK1003 - Sk8-Hi Waterproof Insulat Bro, 8, Medium</t>
  </si>
  <si>
    <t>VN000DAQRV21015</t>
  </si>
  <si>
    <t>VN000DAQRV21M  050</t>
  </si>
  <si>
    <t>VN000DAQRV21015 - Sk8-Hi Waterproof Insulat STO, 5, Medium</t>
  </si>
  <si>
    <t>VN000DAQTWH1019</t>
  </si>
  <si>
    <t>VN000DAQTWH1M  055</t>
  </si>
  <si>
    <t>VN000DAQTWH1019 - Sk8-Hi Waterproof Insulat T, 5.5, Medium</t>
  </si>
  <si>
    <t>VN000DAQTWH1015</t>
  </si>
  <si>
    <t>VN000DAQTWH1M  075</t>
  </si>
  <si>
    <t>VN000DAQTWH1015 - Sk8-Hi Waterproof Insulat T, 7.5, Medium</t>
  </si>
  <si>
    <t>VN000DAQY491015</t>
  </si>
  <si>
    <t>VN000DAQY491M  090</t>
  </si>
  <si>
    <t>VN000DAQY491015 - Sk8-Hi Waterproof Insulat Bro, 9, Medium</t>
  </si>
  <si>
    <t>VN000DAQZO21010</t>
  </si>
  <si>
    <t>OATMEAL/BLACK</t>
  </si>
  <si>
    <t>VN000DAQZO21M  090</t>
  </si>
  <si>
    <t>VN000DAQZO21010 - Sk8-Hi Waterproof Insulat OAT, 9, Medium</t>
  </si>
  <si>
    <t>VN000DAQZO21009</t>
  </si>
  <si>
    <t>VN000DAQZO21M  095</t>
  </si>
  <si>
    <t>VN000DAQZO21009 - Sk8-Hi Waterproof Insulat O, 9.5, Medium</t>
  </si>
  <si>
    <t>VN000DARBKL1005</t>
  </si>
  <si>
    <t>VN000DARBKL1M  045</t>
  </si>
  <si>
    <t>VN000DARBKL1005 - SK8-Hi GORE-TEX Insulated B, 4.5, Medium</t>
  </si>
  <si>
    <t>VN000DARBKL1006</t>
  </si>
  <si>
    <t>VN000DARBKL1M  050</t>
  </si>
  <si>
    <t>VN000DARBKL1006 - SK8-Hi GORE-TEX Insulated Bro, 5, Medium</t>
  </si>
  <si>
    <t>VN000DARC9F1004</t>
  </si>
  <si>
    <t>VN000DARC9F1M  035</t>
  </si>
  <si>
    <t>VN000DARC9F1004 - SK8-Hi GORE-TEX Insulated E, 3.5, Medium</t>
  </si>
  <si>
    <t>VN000DARC9F1014</t>
  </si>
  <si>
    <t>VN000DARC9F1M  045</t>
  </si>
  <si>
    <t>VN000DARC9F1014 - SK8-Hi GORE-TEX Insulated E, 4.5, Medium</t>
  </si>
  <si>
    <t>VN000DARC9F1003</t>
  </si>
  <si>
    <t>VN000DARC9F1M  075</t>
  </si>
  <si>
    <t>VN000DARC9F1003 - SK8-Hi GORE-TEX Insulated E, 7.5, Medium</t>
  </si>
  <si>
    <t>VN000DARF871016</t>
  </si>
  <si>
    <t>Dark Green/Dark Brown</t>
  </si>
  <si>
    <t>VN000DARF871M  095</t>
  </si>
  <si>
    <t>VN000DARF871016 - SK8-Hi GORE-TEX Insulated D, 9.5, Medium</t>
  </si>
  <si>
    <t>VN000DAYF871008</t>
  </si>
  <si>
    <t>Mountain Mid GORE-TEX Ins</t>
  </si>
  <si>
    <t>VN000DAYF871M  080</t>
  </si>
  <si>
    <t>VN000DAYF871008 - Mountain Mid GORE-TEX Ins Dar, 8, Medium</t>
  </si>
  <si>
    <t>6006 - VN MN BOOTS HIGH</t>
  </si>
  <si>
    <t>VN000DAZSTN1014</t>
  </si>
  <si>
    <t>VN000DAZSTN1M  050</t>
  </si>
  <si>
    <t>VN000DAZSTN1014 - Old Skool Waterproof Insu STO, 5, Medium</t>
  </si>
  <si>
    <t>VN000DAZSTN1019</t>
  </si>
  <si>
    <t>VN000DAZSTN1M  055</t>
  </si>
  <si>
    <t>VN000DAZSTN1019 - Old Skool Waterproof Insu S, 5.5, Medium</t>
  </si>
  <si>
    <t>VN000DAZSTN1012</t>
  </si>
  <si>
    <t>VN000DAZSTN1M  070</t>
  </si>
  <si>
    <t>VN000DAZSTN1012 - Old Skool Waterproof Insu STO, 7, Medium</t>
  </si>
  <si>
    <t>VN000DAZSTN1011</t>
  </si>
  <si>
    <t>VN000DAZSTN1M  075</t>
  </si>
  <si>
    <t>VN000DAZSTN1011 - Old Skool Waterproof Insu S, 7.5, Medium</t>
  </si>
  <si>
    <t>VN000DAZSTN1009</t>
  </si>
  <si>
    <t>VN000DAZSTN1M  090</t>
  </si>
  <si>
    <t>VN000DAZSTN1009 - Old Skool Waterproof Insu STO, 9, Medium</t>
  </si>
  <si>
    <t>VN000DCBYJ71003</t>
  </si>
  <si>
    <t>VN000DCBYJ71M  085</t>
  </si>
  <si>
    <t>VN000DCBYJ71003 - SK8-Hi GORE-TEX OUTD BLKGR, 8.5, Medium</t>
  </si>
  <si>
    <t>VN000DCBYJ71002</t>
  </si>
  <si>
    <t>VN000DCBYJ71M  090</t>
  </si>
  <si>
    <t>VN000DCBYJ71002 - SK8-Hi GORE-TEX OUTD BLKGR, 9, Medium</t>
  </si>
  <si>
    <t>VN000DCE2VZ1013</t>
  </si>
  <si>
    <t>VN000DCE2VZ1M  050</t>
  </si>
  <si>
    <t>VN000DCE2VZ1013 - Old Skool Creeper GRNG WHITE, 5, Medium</t>
  </si>
  <si>
    <t>VN000DCEBRD1017</t>
  </si>
  <si>
    <t>VN000DCEBRD1M  080</t>
  </si>
  <si>
    <t>VN000DCEBRD1017 - Old Skool Creeper GRNG DRRED, 8, Medium</t>
  </si>
  <si>
    <t>VN000DCJGRN1010</t>
  </si>
  <si>
    <t>VN000DCJGRN1M  015</t>
  </si>
  <si>
    <t>VN000DCJGRN1010 - MTE Slip-On Hi Terrain V Gr, 1.5, Medium</t>
  </si>
  <si>
    <t>VN000E7UTC41014</t>
  </si>
  <si>
    <t>VN000E7UTC41M  080</t>
  </si>
  <si>
    <t>VN000E7UTC41014 - Upland SILVER/SILVER, 8, Medium</t>
  </si>
  <si>
    <t>VN000E7UTC41001</t>
  </si>
  <si>
    <t>VN000E7UTC41M  120</t>
  </si>
  <si>
    <t>VN000E7UTC41001 - Upland SILVER/SILVER, 12, Medium</t>
  </si>
  <si>
    <t>VN000E89OXS1019</t>
  </si>
  <si>
    <t>VN000E89OXS1M  035</t>
  </si>
  <si>
    <t>VN000E89OXS1019 - Super Lowpro SUED WHTRD, 3.5, Medium</t>
  </si>
  <si>
    <t>VN000E89YG41002</t>
  </si>
  <si>
    <t>VN000E89YG41M  075</t>
  </si>
  <si>
    <t>VN000E89YG41002 - Super Lowpro SUED BLKSV, 7.5, Medium</t>
  </si>
  <si>
    <t>VN000E89YG41001</t>
  </si>
  <si>
    <t>VN000E89YG41M  080</t>
  </si>
  <si>
    <t>VN000E89YG41001 - Super Lowpro SUED BLKSV, 8, Medium</t>
  </si>
  <si>
    <t>VN000E8CGMU1007</t>
  </si>
  <si>
    <t>VN000E8CGMU1M  095</t>
  </si>
  <si>
    <t>VN000E8CGMU1007 - Classic Slip-on Stackform C, 9.5, Medium</t>
  </si>
  <si>
    <t>VN000E8WBGF1016</t>
  </si>
  <si>
    <t>VN000E8WBGF1M  040</t>
  </si>
  <si>
    <t>METALLIC POP</t>
  </si>
  <si>
    <t>VN000E8WBGF1016 - Old Skool MTLC GRAY, 4, Medium</t>
  </si>
  <si>
    <t>VN000E8WBRD1002</t>
  </si>
  <si>
    <t>VN000E8WBRD1M  040</t>
  </si>
  <si>
    <t>VN000E8WBRD1002 - Old Skool MTLC DRRED, 4, Medium</t>
  </si>
  <si>
    <t>VN000E8WBRD1006</t>
  </si>
  <si>
    <t>VN000E8WBRD1M  050</t>
  </si>
  <si>
    <t>VN000E8WBRD1006 - Old Skool MTLC DRRED, 5, Medium</t>
  </si>
  <si>
    <t>VN000E8WBRD1014</t>
  </si>
  <si>
    <t>VN000E8WBRD1M  065</t>
  </si>
  <si>
    <t>VN000E8WBRD1014 - Old Skool MTLC DRRED, 6.5, Medium</t>
  </si>
  <si>
    <t>VN000E8WCCZ1018</t>
  </si>
  <si>
    <t>VN000E8WCCZ1M  035</t>
  </si>
  <si>
    <t>VN000E8WCCZ1018 - Old Skool POLA MSHML, 3.5, Medium</t>
  </si>
  <si>
    <t>VN000E8WIZQ1013</t>
  </si>
  <si>
    <t>VN000E8WIZQ1M  065</t>
  </si>
  <si>
    <t>VN000E8WIZQ1013 - Old Skool POLA DRRED, 6.5, Medium</t>
  </si>
  <si>
    <t>VN000E8WYS51014</t>
  </si>
  <si>
    <t>VN000E8WYS51M  115</t>
  </si>
  <si>
    <t>VN000E8WYS51014 - Old Skool Leopard/Black, 11.5, Medium</t>
  </si>
  <si>
    <t>VN000E91BA51005</t>
  </si>
  <si>
    <t>VN000E91BA51M  070</t>
  </si>
  <si>
    <t>REFLECTIVE SIDESTRP</t>
  </si>
  <si>
    <t>VN000E91BA51005 - Hylane RFSS BLACK, 7, Medium</t>
  </si>
  <si>
    <t>VN000EA9BA21019</t>
  </si>
  <si>
    <t>VN000EA9BA21M  035</t>
  </si>
  <si>
    <t>VN000EA9BA21019 - Classic Slip-On Platform FL, 3.5, Medium</t>
  </si>
  <si>
    <t>VN000EA9BA21018</t>
  </si>
  <si>
    <t>VN000EA9BA21M  040</t>
  </si>
  <si>
    <t>VN000EA9BA21018 - Classic Slip-On Platform FLOR, 4, Medium</t>
  </si>
  <si>
    <t>VN000EB4KAQ1015</t>
  </si>
  <si>
    <t>VN000EB4KAQ1M  065</t>
  </si>
  <si>
    <t>VN000EB4KAQ1015 - Sk8-Hi Insulated DRIZZLE, 6.5, Medium</t>
  </si>
  <si>
    <t>VN000EB4TAN1007</t>
  </si>
  <si>
    <t>VN000EB4TAN1M  065</t>
  </si>
  <si>
    <t>VN000EB4TAN1007 - Sk8-Hi Insulated Tan, 6.5, Medium</t>
  </si>
  <si>
    <t>VN000EB4TAN1017</t>
  </si>
  <si>
    <t>VN000EB4TAN1M  080</t>
  </si>
  <si>
    <t>VN000EB4TAN1017 - Sk8-Hi Insulated Tan, 8, Medium</t>
  </si>
  <si>
    <t>VN000EBAQPT1012</t>
  </si>
  <si>
    <t>VN000EBAQPT1M  065</t>
  </si>
  <si>
    <t>VN000EBAQPT1012 - Old Skool EK CHBD BLACK, 6.5, Medium</t>
  </si>
  <si>
    <t>VN000EBAQPT1003</t>
  </si>
  <si>
    <t>VN000EBAQPT1M  130</t>
  </si>
  <si>
    <t>VN000EBAQPT1003 - Old Skool EK CHBD BLACK, 13, Medium</t>
  </si>
  <si>
    <t>VN000EC4RV21013</t>
  </si>
  <si>
    <t>VN000EC4RV21M  065</t>
  </si>
  <si>
    <t>VN000EC4RV21013 - Hylane FLEM BLACK, 6.5, Medium</t>
  </si>
  <si>
    <t>VN000EC4RV21010</t>
  </si>
  <si>
    <t>VN000EC4RV21M  080</t>
  </si>
  <si>
    <t>VN000EC4RV21010 - Hylane FLEM BLACK, 8, Medium</t>
  </si>
  <si>
    <t>VN000EC4RV21001</t>
  </si>
  <si>
    <t>VN000EC4RV21M  130</t>
  </si>
  <si>
    <t>VN000EC4RV21001 - Hylane FLEM BLACK, 13, Medium</t>
  </si>
  <si>
    <t>VN000ECGBFC1006</t>
  </si>
  <si>
    <t>Old Skool Patchwork</t>
  </si>
  <si>
    <t>DARK GRAY/BLACK</t>
  </si>
  <si>
    <t>VN000ECGBFC1M  090</t>
  </si>
  <si>
    <t>VN000ECGBFC1006 - Old Skool Patchwork DARK GRAY, 9, Medium</t>
  </si>
  <si>
    <t>VN000ECGBFC1005</t>
  </si>
  <si>
    <t>VN000ECGBFC1M  095</t>
  </si>
  <si>
    <t>VN000ECGBFC1005 - Old Skool Patchwork DARK GR, 9.5, Medium</t>
  </si>
  <si>
    <t>VN000ECUB5P1004</t>
  </si>
  <si>
    <t>VN000ECUB5P1M  050</t>
  </si>
  <si>
    <t>VN000ECUB5P1004 - Old Skool KPDH BLKPL, 5, Medium</t>
  </si>
  <si>
    <t>VN000ED2YS51015</t>
  </si>
  <si>
    <t>VN000ED2YS51M  095</t>
  </si>
  <si>
    <t>VN000ED2YS51015 - Classic Slip-On Leopard/Bla, 9.5, Medium</t>
  </si>
  <si>
    <t>VN000ED891K1001</t>
  </si>
  <si>
    <t>VN000ED891K1M  130</t>
  </si>
  <si>
    <t>VN000ED891K1001 - SK8-Hi Waterproof Ins sepia/, 13, Medium</t>
  </si>
  <si>
    <t>VN000EDN7D61014</t>
  </si>
  <si>
    <t>VN000EDN7D61M  085</t>
  </si>
  <si>
    <t>VN000EDN7D61014 - Skate Old Skool MUSHROOM, 8.5, Medium</t>
  </si>
  <si>
    <t>VN000EDN7D61013</t>
  </si>
  <si>
    <t>VN000EDN7D61M  095</t>
  </si>
  <si>
    <t>VN000EDN7D61013 - Skate Old Skool MUSHROOM, 9.5, Medium</t>
  </si>
  <si>
    <t>VN000EDN7D61011</t>
  </si>
  <si>
    <t>VN000EDN7D61M  105</t>
  </si>
  <si>
    <t>VN000EDN7D61011 - Skate Old Skool MUSHROOM, 10.5, Medium</t>
  </si>
  <si>
    <t>VN000EDN7D61002</t>
  </si>
  <si>
    <t>VN000EDN7D61M  110</t>
  </si>
  <si>
    <t>VN000EDN7D61002 - Skate Old Skool MUSHROOM, 11, Medium</t>
  </si>
  <si>
    <t>VN000EDN9X11006</t>
  </si>
  <si>
    <t>VN000EDN9X11M  095</t>
  </si>
  <si>
    <t>VN000EDN9X11006 - Skate Old Skool SLPL BLKWH, 9.5, Medium</t>
  </si>
  <si>
    <t>VN000EDN9X11010</t>
  </si>
  <si>
    <t>VN000EDN9X11M  110</t>
  </si>
  <si>
    <t>VN000EDN9X11010 - Skate Old Skool SLPL BLKWH, 11, Medium</t>
  </si>
  <si>
    <t>VN000EDN9X11009</t>
  </si>
  <si>
    <t>VN000EDN9X11M  130</t>
  </si>
  <si>
    <t>VN000EDN9X11009 - Skate Old Skool SLPL BLKWH, 13, Medium</t>
  </si>
  <si>
    <t>VN000EDNAH91011</t>
  </si>
  <si>
    <t>VN000EDNAH91M  060</t>
  </si>
  <si>
    <t>VN000EDNAH91011 - Skate Old Skool Sea Green, 6, Medium</t>
  </si>
  <si>
    <t>VN000EFBCJK1002</t>
  </si>
  <si>
    <t>VN000EFBCJK1M  035</t>
  </si>
  <si>
    <t>VN000EFBCJK1002 - Knu Skool Elastic Lace DAZL, 3.5, Medium</t>
  </si>
  <si>
    <t>VN000EFBYY61014</t>
  </si>
  <si>
    <t>VN000EFBYY61M  075</t>
  </si>
  <si>
    <t>VN000EFBYY61014 - Knu Skool Elastic Lace Blac, 7.5, Medium</t>
  </si>
  <si>
    <t>VN000EG59X11015</t>
  </si>
  <si>
    <t>VN000EG59X11M  075</t>
  </si>
  <si>
    <t>VN000EG59X11015 - Skate Slip-On SLPL BLKWH, 7.5, Medium</t>
  </si>
  <si>
    <t>VN000EG59X11008</t>
  </si>
  <si>
    <t>VN000EG59X11M  085</t>
  </si>
  <si>
    <t>VN000EG59X11008 - Skate Slip-On SLPL BLKWH, 8.5, Medium</t>
  </si>
  <si>
    <t>VN000EG59X11004</t>
  </si>
  <si>
    <t>VN000EG59X11M  105</t>
  </si>
  <si>
    <t>VN000EG59X11004 - Skate Slip-On SLPL BLKWH, 10.5, Medium</t>
  </si>
  <si>
    <t>VN000EG59X11003</t>
  </si>
  <si>
    <t>VN000EG59X11M  110</t>
  </si>
  <si>
    <t>VN000EG59X11003 - Skate Slip-On SLPL BLKWH, 11, Medium</t>
  </si>
  <si>
    <t>VN000EG59X11001</t>
  </si>
  <si>
    <t>VN000EG59X11M  120</t>
  </si>
  <si>
    <t>VN000EG59X11001 - Skate Slip-On SLPL BLKWH, 12, Medium</t>
  </si>
  <si>
    <t>VN000V160E01015</t>
  </si>
  <si>
    <t>VN000V160E01M  120</t>
  </si>
  <si>
    <t>PATENT</t>
  </si>
  <si>
    <t>VN000V160E01015 - Mary Jane Creeper PTNT MDBRN, 12, Medium</t>
  </si>
  <si>
    <t>VN000V16EMT1007</t>
  </si>
  <si>
    <t>VN000V16EMT1M  035</t>
  </si>
  <si>
    <t>VN000V16EMT1007 - Mary Jane Creeper PTNT DPTW, 3.5, Medium</t>
  </si>
  <si>
    <t>VN000V68B5P1004</t>
  </si>
  <si>
    <t>VN000V68B5P1M  050</t>
  </si>
  <si>
    <t>VN000V68B5P1004 - SK8-Hi KPDH BLKPL, 5, Medium</t>
  </si>
  <si>
    <t>VN000VO44K11016</t>
  </si>
  <si>
    <t>VN000VO44K11M  115</t>
  </si>
  <si>
    <t>VN000VO44K11016 - Winston CNVS NVWH, 11.5, Medium</t>
  </si>
  <si>
    <t>VN000ZUVC4R1004</t>
  </si>
  <si>
    <t>VN000ZUVC4R1M  080</t>
  </si>
  <si>
    <t>VN000ZUVC4R1004 - Milton SUCV BLKWH, 8, Medium</t>
  </si>
  <si>
    <t>VN0A2Z42BMA1016</t>
  </si>
  <si>
    <t>VN0A2Z42BMA1M  070</t>
  </si>
  <si>
    <t>HEAVY CANVAS</t>
  </si>
  <si>
    <t>VN0A2Z42BMA1016 - Old Skool HVCV BLACK, 7, Medium</t>
  </si>
  <si>
    <t>VN0A347ZDDU1007</t>
  </si>
  <si>
    <t>VN0A347ZDDU1M  095</t>
  </si>
  <si>
    <t>VN0A347ZDDU1007 - Winston CNVS DRDBL, 9.5, Medium</t>
  </si>
  <si>
    <t>VN0A3B3UW001001</t>
  </si>
  <si>
    <t>True White</t>
  </si>
  <si>
    <t>VN0A3B3UW001M  080</t>
  </si>
  <si>
    <t>VN0A3B3UW001001 - Old Skool Platform True White, 8, Medium</t>
  </si>
  <si>
    <t>VN0A3D29OIU1017</t>
  </si>
  <si>
    <t>(SUEDE/CANVAS)BLACK/TRWHT</t>
  </si>
  <si>
    <t>VN0A3D29OIU1M  115</t>
  </si>
  <si>
    <t>VN0A3D29OIU1017 - Old Skool V SUCV BLKWH, 11.5, Medium</t>
  </si>
  <si>
    <t>VN0A3TKN6BT1001</t>
  </si>
  <si>
    <t>VN0A3TKN6BT1M  035</t>
  </si>
  <si>
    <t>VN0A3TKN6BT1001 - SK8-Hi Platform 2.0 Black/T, 3.5, Medium</t>
  </si>
  <si>
    <t>VN0A3TKN6BT1007</t>
  </si>
  <si>
    <t>VN0A3TKN6BT1M  065</t>
  </si>
  <si>
    <t>VN0A3TKN6BT1007 - SK8-Hi Platform 2.0 Black/T, 6.5, Medium</t>
  </si>
  <si>
    <t>VN0A4BVSBKA1013</t>
  </si>
  <si>
    <t>VN0A4BVSBKA1M  065</t>
  </si>
  <si>
    <t>VN0A4BVSBKA1013 - UltraRange EXO Hi MTE-2 Bla, 6.5, Medium</t>
  </si>
  <si>
    <t>VN0A4BXBKAQ1016</t>
  </si>
  <si>
    <t>VN0A4BXBKAQ1M  070</t>
  </si>
  <si>
    <t>VN0A4BXBKAQ1016 - MTE UltraRange VR3 DRIZZLE, 7, Medium</t>
  </si>
  <si>
    <t>VN0A4U1K3MZ1009</t>
  </si>
  <si>
    <t>DARK GREEN/BLACK</t>
  </si>
  <si>
    <t>VN0A4U1K3MZ1M  100</t>
  </si>
  <si>
    <t>VN0A4U1K3MZ1009 - MTE UltraRange EXO dark gree, 10, Medium</t>
  </si>
  <si>
    <t>VN0A4UWM2LN1015</t>
  </si>
  <si>
    <t>VN0A4UWM2LN1M  045</t>
  </si>
  <si>
    <t>VN0A4UWM2LN1015 - UltraRange EXO SE green gab, 4.5, Medium</t>
  </si>
  <si>
    <t>VN0A4UWM2LN1001</t>
  </si>
  <si>
    <t>VN0A4UWM2LN1M  050</t>
  </si>
  <si>
    <t>VN0A4UWM2LN1001 - UltraRange EXO SE green gable, 5, Medium</t>
  </si>
  <si>
    <t>VN0A4UWMBP11017</t>
  </si>
  <si>
    <t>MARSHMALLOW/MULTI</t>
  </si>
  <si>
    <t>VN0A4UWMBP11M  040</t>
  </si>
  <si>
    <t>VN0A4UWMBP11017 - UltraRange EXO SE MARSHMALLOW, 4, Medium</t>
  </si>
  <si>
    <t>VN0A5FCAPIB1002</t>
  </si>
  <si>
    <t>VN0A5FCAPIB1M  085</t>
  </si>
  <si>
    <t>VN0A5FCAPIB1002 - Skate Slip-On Pink/Black, 8.5, Medium</t>
  </si>
  <si>
    <t>VN0A5FCAPIB1011</t>
  </si>
  <si>
    <t>VN0A5FCAPIB1M  095</t>
  </si>
  <si>
    <t>VN0A5FCAPIB1011 - Skate Slip-On Pink/Black, 9.5, Medium</t>
  </si>
  <si>
    <t>VN0A5FCAPIB1008</t>
  </si>
  <si>
    <t>VN0A5FCAPIB1M  110</t>
  </si>
  <si>
    <t>VN0A5FCAPIB1008 - Skate Slip-On Pink/Black, 11, Medium</t>
  </si>
  <si>
    <t>VN0A5FCAPIB1007</t>
  </si>
  <si>
    <t>VN0A5FCAPIB1M  115</t>
  </si>
  <si>
    <t>VN0A5FCAPIB1007 - Skate Slip-On Pink/Black, 11.5, Medium</t>
  </si>
  <si>
    <t>VN0A5FCAPIB1006</t>
  </si>
  <si>
    <t>VN0A5FCAPIB1M  120</t>
  </si>
  <si>
    <t>VN0A5FCAPIB1006 - Skate Slip-On Pink/Black, 12, Medium</t>
  </si>
  <si>
    <t>VN0A5FCB1N61007</t>
  </si>
  <si>
    <t>VN0A5FCB1N61M  105</t>
  </si>
  <si>
    <t>VN0A5FCB1N61007 - Skate Old Skool Pewter/Whi, 10.5, Medium</t>
  </si>
  <si>
    <t>VN0A5FCBB9M1005</t>
  </si>
  <si>
    <t>VN0A5FCBB9M1M  070</t>
  </si>
  <si>
    <t>VN0A5FCBB9M1005 - Skate Old Skool Black/Gum, 7, Medium</t>
  </si>
  <si>
    <t>VN0A5FCDEMW1016</t>
  </si>
  <si>
    <t>VN0A5FCDEMW1M  035</t>
  </si>
  <si>
    <t>VN0A5FCDEMW1016 - Skate Half Cab Gray Olive, 3.5, Medium</t>
  </si>
  <si>
    <t>VN0A5FCDGPE1011</t>
  </si>
  <si>
    <t>VN0A5FCDGPE1M  080</t>
  </si>
  <si>
    <t>VN0A5FCDGPE1011 - Skate Half Cab CROC DKPPL, 8, Medium</t>
  </si>
  <si>
    <t>VN0A5FCDGPE1010</t>
  </si>
  <si>
    <t>VN0A5FCDGPE1M  085</t>
  </si>
  <si>
    <t>VN0A5FCDGPE1010 - Skate Half Cab CROC DKPPL, 8.5, Medium</t>
  </si>
  <si>
    <t>VN0A5HYWA3I1013</t>
  </si>
  <si>
    <t>VN0A5HYWA3I1M  050</t>
  </si>
  <si>
    <t>VN0A5HYWA3I1013 - Range EXP Hi VansGuard MTE MD, 5, Medium</t>
  </si>
  <si>
    <t>VN0A5HZK1KP1010</t>
  </si>
  <si>
    <t>VN0A5HZK1KP1M  110</t>
  </si>
  <si>
    <t>VN0A5HZK1KP1010 - Filmore Hi VansGuard LTHR BL, 11, Medium</t>
  </si>
  <si>
    <t>VN0A5HZK9BY1013</t>
  </si>
  <si>
    <t>VN0A5HZK9BY1M  075</t>
  </si>
  <si>
    <t>VN0A5HZK9BY1013 - Filmore Hi VansGuard MTE BL, 7.5, Medium</t>
  </si>
  <si>
    <t>VN0A5JICNUT1006</t>
  </si>
  <si>
    <t>VN0A5JICNUT1M  075</t>
  </si>
  <si>
    <t>VN0A5JICNUT1006 - Skate Rowan NAVY/WHITE, 7.5, Medium</t>
  </si>
  <si>
    <t>VN0A5JICNUT1005</t>
  </si>
  <si>
    <t>VN0A5JICNUT1M  085</t>
  </si>
  <si>
    <t>VN0A5JICNUT1005 - Skate Rowan NAVY/WHITE, 8.5, Medium</t>
  </si>
  <si>
    <t>VN0A5KYCPBQ1018</t>
  </si>
  <si>
    <t>VN0A5KYCPBQ1M  040</t>
  </si>
  <si>
    <t>VN0A5KYCPBQ1018 - SK8-Hi MTE-2 Pewter/Black, 4, Medium</t>
  </si>
  <si>
    <t>VN0A5KYCZF51016</t>
  </si>
  <si>
    <t>Khaki/Black</t>
  </si>
  <si>
    <t>VN0A5KYCZF51M  050</t>
  </si>
  <si>
    <t>VN0A5KYCZF51016 - SK8-Hi MTE-2 Khaki/Black, 5, Medium</t>
  </si>
  <si>
    <t>VN0A7Q5PBKN1003</t>
  </si>
  <si>
    <t>SK8-Hi Tapered Platform</t>
  </si>
  <si>
    <t>SEA SALT</t>
  </si>
  <si>
    <t>VN0A7Q5PBKN1M  115</t>
  </si>
  <si>
    <t>XL KNIT</t>
  </si>
  <si>
    <t>VN0A7Q5PBKN1003 - SK8-Hi Tapered Platform XL, 11.5, Medium</t>
  </si>
  <si>
    <t>6117 - VN UX SHOES HIGH</t>
  </si>
  <si>
    <t>Fashion Lifestyle, Monobrand</t>
  </si>
  <si>
    <t>VN00033QWHT1001</t>
  </si>
  <si>
    <t>ON HOLD LANYARD</t>
  </si>
  <si>
    <t>VN00033QWHT1.  OS</t>
  </si>
  <si>
    <t>VN00033QWHT1001 - ON HOLD LANYARD White, One Size</t>
  </si>
  <si>
    <t>Shell : 100% Polyester, Lining : 100% Polyester, Trim Material : 100% Polyurethane, EOD</t>
  </si>
  <si>
    <t>VN000613Y281001</t>
  </si>
  <si>
    <t>FLAME CHECKIN CREW</t>
  </si>
  <si>
    <t>VN000613Y281.  016</t>
  </si>
  <si>
    <t>VN000613Y281001 - FLAME CHECKIN CREW Black/White, 1-6</t>
  </si>
  <si>
    <t>72% Cotton 13% Polyester 10% Nylon 1% Elastane 4% Other Fiber</t>
  </si>
  <si>
    <t>VN000623CBK1002</t>
  </si>
  <si>
    <t>FLAMING VANS CREW</t>
  </si>
  <si>
    <t>VN000623CBK1.  101</t>
  </si>
  <si>
    <t>VN000623CBK1002 - FLAMING VANS CREW BLACK/LIME GR, 10-13.5</t>
  </si>
  <si>
    <t>65% Cotton 17% Nylon 12% Polyester 2% Elastane 4% Other Fiber</t>
  </si>
  <si>
    <t>VN0006760E01002</t>
  </si>
  <si>
    <t>COMFYCUSH CREW</t>
  </si>
  <si>
    <t>VN0006760E01.  659</t>
  </si>
  <si>
    <t>VN0006760E01002 - COMFYCUSH CREW CMCS MDBRN, 6.5-9</t>
  </si>
  <si>
    <t>84%Cotton 14%Polyester 1%Elastane 1%Other Fiber</t>
  </si>
  <si>
    <t>VN0007A8J3Q1001</t>
  </si>
  <si>
    <t>GREY TORTOISE</t>
  </si>
  <si>
    <t>VN0007A8J3Q1.  OS</t>
  </si>
  <si>
    <t>VN0007A8J3Q1001 - RIGHT ANGLES SUNGLASSES GREY T, One Size</t>
  </si>
  <si>
    <t>VN0008NSLKZ1001</t>
  </si>
  <si>
    <t>MUSIC ACADEMY CREW</t>
  </si>
  <si>
    <t>VN0008NSLKZ1.  659</t>
  </si>
  <si>
    <t>VN0008NSLKZ1001 - MUSIC ACADEMY CREW dress blues, 6.5-9</t>
  </si>
  <si>
    <t>52% Cotton 29% Nylon 13% Polyester 4% Elastodiene 2% Elastane</t>
  </si>
  <si>
    <t>VN0008NSLKZ1002</t>
  </si>
  <si>
    <t>VN0008NSLKZ1.  951</t>
  </si>
  <si>
    <t>VN0008NSLKZ1002 - MUSIC ACADEMY CREW dress blues, 9.5-13</t>
  </si>
  <si>
    <t>VN0008P7BLK1001</t>
  </si>
  <si>
    <t>VANS 66 UNSTRUCTURED</t>
  </si>
  <si>
    <t>VN0008P7BLK1.  OS</t>
  </si>
  <si>
    <t>VN0008P7BLK1001 - VANS 66 UNSTRUCTURED Black, One Size</t>
  </si>
  <si>
    <t>Shell: 100% Cotton Lining 80%Polyester&amp;20%Cotton EOD</t>
  </si>
  <si>
    <t>VN000CAQBLK1002</t>
  </si>
  <si>
    <t>DJ ROCKET JAM CREW SOCK</t>
  </si>
  <si>
    <t>VN000CAQBLK1.  101</t>
  </si>
  <si>
    <t>VN000CAQBLK1002 - DJ ROCKET JAM CREW SOCK Black, 10-13.5</t>
  </si>
  <si>
    <t>58%Cotton 25%Polyester 12%Nylon 3%Elastodiene 2%Elastane</t>
  </si>
  <si>
    <t>VN000EZ1J5F1001</t>
  </si>
  <si>
    <t>VN000EZ1J5F1.  101</t>
  </si>
  <si>
    <t>VN000EZ1J5F1001 - CLASSIC VANS CREW SOCK VERDANT, 10-13.5</t>
  </si>
  <si>
    <t>C/W1 HEATHER GREY:82% Polyester 14% Nylon 3%Elastodiene 1% Elastane; C/W2:76% Cotton 13% Nylon 7% Polyester 3%Elastodiene 1% Elastan</t>
  </si>
  <si>
    <t>VN000EZ47WM1001</t>
  </si>
  <si>
    <t>VN000EZ47WM1.  101</t>
  </si>
  <si>
    <t>VN000EZ47WM1001 - VANS DROP V LOGO CREW S TrBl, 10-13.5</t>
  </si>
  <si>
    <t>VN000F0HZBF1002</t>
  </si>
  <si>
    <t>Vans Art Half Crew</t>
  </si>
  <si>
    <t>VN000F0HZBF1.  659</t>
  </si>
  <si>
    <t>VN000F0HZBF1002 - Vans Art Half Crew LODEN GREEN, 6.5-9</t>
  </si>
  <si>
    <t>VN000F0HZBF1001</t>
  </si>
  <si>
    <t>VN000F0HZBF1.  951</t>
  </si>
  <si>
    <t>VN000F0HZBF1001 - Vans Art Half Crew LODEN GREEN, 9.5-13</t>
  </si>
  <si>
    <t>VN000F0UJDU1002</t>
  </si>
  <si>
    <t>VN000F0UJDU1.  659</t>
  </si>
  <si>
    <t>VN000F0UJDU1002 - Vans Drop V Crew PARISIAN NIGHT, 6.5-9</t>
  </si>
  <si>
    <t>66%Cotton 27%Polyester 3%Elastodiene 2% Nylon 2%Elastane</t>
  </si>
  <si>
    <t>VN000F0UJDU1001</t>
  </si>
  <si>
    <t>VN000F0UJDU1.  951</t>
  </si>
  <si>
    <t>VN000F0UJDU1001 - Vans Drop V Crew PARISIAN NIGHT, 9.5-13</t>
  </si>
  <si>
    <t>VN000F0XBLK1001</t>
  </si>
  <si>
    <t>VN000F0XBLK1.  659</t>
  </si>
  <si>
    <t>VN000F0XBLK1001 - Classic Crew ROX BLACK, 6.5-9</t>
  </si>
  <si>
    <t>VN000F0XBLK1002</t>
  </si>
  <si>
    <t>VN000F0XBLK1.  951</t>
  </si>
  <si>
    <t>VN000F0XBLK1002 - Classic Crew ROX BLACK, 9.5-13</t>
  </si>
  <si>
    <t>VN000F0XWHT1002</t>
  </si>
  <si>
    <t>VN000F0XWHT1.  951</t>
  </si>
  <si>
    <t>VN000F0XWHT1002 - Classic Crew ROX WHITE, 9.5-13</t>
  </si>
  <si>
    <t>VN000GK8BR11001</t>
  </si>
  <si>
    <t>Easy Patch Camper</t>
  </si>
  <si>
    <t>VN000GK8BR11.  OS</t>
  </si>
  <si>
    <t>VN000GK8BR11001 - Easy Patch Camper FAIRWAY, One Size</t>
  </si>
  <si>
    <t>Shell: 100% Polyester  EOD</t>
  </si>
  <si>
    <t>VN000GM0BLK1001</t>
  </si>
  <si>
    <t>VN000GM0BLK1.  SM</t>
  </si>
  <si>
    <t>VN000GM0BLK1001 - LEVEL UP II BUCKET Black, Small/Medium</t>
  </si>
  <si>
    <t>VN000GMX1611001</t>
  </si>
  <si>
    <t>66 Sunglasses</t>
  </si>
  <si>
    <t>Tortoise</t>
  </si>
  <si>
    <t>VN000GMX1611.  OS</t>
  </si>
  <si>
    <t>VN000GMX1611001 - 66 Sunglasses Tortoise, One Size</t>
  </si>
  <si>
    <t>FRAME:88% ACETATE,12%  CUPRONICKEL LENS:100% NYLON</t>
  </si>
  <si>
    <t>VN000GMXEHC1001</t>
  </si>
  <si>
    <t>VN000GMXEHC1.  OS</t>
  </si>
  <si>
    <t>VN000GMXEHC1001 - 66 Sunglasses Autumn Leaf, One Size</t>
  </si>
  <si>
    <t>VN000GNDBLK1001</t>
  </si>
  <si>
    <t>VN000GNDBLK1.  016</t>
  </si>
  <si>
    <t>VN000GNDBLK1001 - VANS EYE CREW Black, 1-6</t>
  </si>
  <si>
    <t>VN000GNKCIF1001</t>
  </si>
  <si>
    <t>VN000GNKCIF1.  016</t>
  </si>
  <si>
    <t>VN000GNKCIF1001 - CLASSIC CREW GRAPE JAM, 1-6</t>
  </si>
  <si>
    <t>VN000HMSE8A1002</t>
  </si>
  <si>
    <t>VN000HMSE8A1.  659</t>
  </si>
  <si>
    <t>VN000HMSE8A1002 - LX Surplus Socks Sea Spray, 6.5-9</t>
  </si>
  <si>
    <t>VN000HSRLKZ1001</t>
  </si>
  <si>
    <t>VN000HSRLKZ1.  OS</t>
  </si>
  <si>
    <t>VN000HSRLKZ1001 - Spray On Cuff Beanie dress blu, One Size</t>
  </si>
  <si>
    <t>VN000HST9JC1001</t>
  </si>
  <si>
    <t>Bagley Tall Cuff Beanie</t>
  </si>
  <si>
    <t>VN000HST9JC1.  OS</t>
  </si>
  <si>
    <t>VN000HST9JC1001 - Bagley Tall Cuff Beanie Bungee, One Size</t>
  </si>
  <si>
    <t>VN000HSTBLK1001</t>
  </si>
  <si>
    <t>VN000HSTBLK1.  OS</t>
  </si>
  <si>
    <t>VN000HSTBLK1001 - Bagley Tall Cuff Beanie Black, One Size</t>
  </si>
  <si>
    <t>VN000HSZD401001</t>
  </si>
  <si>
    <t>VN000HSZD401.  OS</t>
  </si>
  <si>
    <t>VN000HSZD401001 - Vans 66 Earflap Pom Bea Fiesta, One Size</t>
  </si>
  <si>
    <t>VN000HT2CUQ1001</t>
  </si>
  <si>
    <t>MTE Crestline Crew</t>
  </si>
  <si>
    <t>VN000HT2CUQ1.  659</t>
  </si>
  <si>
    <t>VN000HT2CUQ1001 - MTE Crestline Crew Gothic Olive, 6.5-9</t>
  </si>
  <si>
    <t>58%Polyester 36%Cotton 3%Elastodiene 2%Elastane 1%Nylon</t>
  </si>
  <si>
    <t>VN000JEQBLK1001</t>
  </si>
  <si>
    <t>VN000JEQBLK1.  659</t>
  </si>
  <si>
    <t>VN000JEQBLK1001 - Skate Standard Crew Black, 6.5-9</t>
  </si>
  <si>
    <t>VN000K9YHTG1001</t>
  </si>
  <si>
    <t>VN000K9YHTG1.  OS</t>
  </si>
  <si>
    <t>VN000K9YHTG1001 - Core Basics Beanie Heather Gre, One Size</t>
  </si>
  <si>
    <t>VN000KXQCI21001</t>
  </si>
  <si>
    <t>Skate Thorn Crew</t>
  </si>
  <si>
    <t>VN000KXQCI21.  659</t>
  </si>
  <si>
    <t>VN000KXQCI21001 - Skate Thorn Crew RAIN FOREST, 6.5-9</t>
  </si>
  <si>
    <t>55%Cotton 27%Polyester 13%Nylon 3%Elastodiene 2%Elastane</t>
  </si>
  <si>
    <t>VN000LC0CVS1001</t>
  </si>
  <si>
    <t>Matte White/Red Mirror</t>
  </si>
  <si>
    <t>VN000LC0CVS1.  OS</t>
  </si>
  <si>
    <t>S02015</t>
  </si>
  <si>
    <t>VN000LC0CVS1001 - Spicoli 4 Shades Matte White/R, One Size</t>
  </si>
  <si>
    <t>VN000LC0E111001</t>
  </si>
  <si>
    <t>VN000LC0E111.  OS</t>
  </si>
  <si>
    <t>VN000LC0E111001 - Spicoli 4 Shades Black/Charcoa, One Size</t>
  </si>
  <si>
    <t>VN000LC0FZF1001</t>
  </si>
  <si>
    <t>Translucent HoneyTortoise</t>
  </si>
  <si>
    <t>VN000LC0FZF1.  OS</t>
  </si>
  <si>
    <t>VN000LC0FZF1001 - Spicoli 4 Shades Translucent H, One Size</t>
  </si>
  <si>
    <t>VN000M7X6PH1001</t>
  </si>
  <si>
    <t>MTE Zones Half Crew</t>
  </si>
  <si>
    <t>VN000M7X6PH1.  651</t>
  </si>
  <si>
    <t>VN000M7X6PH1001 - MTE Zones Half Crew Purple Haze, 6.5-10</t>
  </si>
  <si>
    <t>53%Cotton 28%Polyester 15%Nylon 4%Elastane</t>
  </si>
  <si>
    <t>VN000MPGBLK1001</t>
  </si>
  <si>
    <t>Reserve Jockey</t>
  </si>
  <si>
    <t>VN000MPGBLK1.  OS</t>
  </si>
  <si>
    <t>VN000MPGBLK1001 - Reserve Jockey Black, One Size</t>
  </si>
  <si>
    <t>VN000PKT1NU1003</t>
  </si>
  <si>
    <t>VN000PKT1NU1.  L</t>
  </si>
  <si>
    <t>VN000PKT1NU1003 - MTE Toptrails Crew Walnut, Large</t>
  </si>
  <si>
    <t>VN000QA6EN61001</t>
  </si>
  <si>
    <t>Check Side Curved Bill</t>
  </si>
  <si>
    <t>VN000QA6EN61.  OS</t>
  </si>
  <si>
    <t>VN000QA6EN61001 - Check Side Curved Bill Pine Fo, One Size</t>
  </si>
  <si>
    <t>VN000QA8BLK1001</t>
  </si>
  <si>
    <t>Ground Up Tall Camper</t>
  </si>
  <si>
    <t>VN000QA8BLK1.  OS</t>
  </si>
  <si>
    <t>VN000QA8BLK1001 - Ground Up Tall Camper Black, One Size</t>
  </si>
  <si>
    <t>VN000QAFEMP1001</t>
  </si>
  <si>
    <t>Vans Formula Snapback</t>
  </si>
  <si>
    <t>VN000QAFEMP1.  OS</t>
  </si>
  <si>
    <t>VN000QAFEMP1001 - Vans Formula Snapback Coal Bro, One Size</t>
  </si>
  <si>
    <t>Shell : 80% Acrylic 20% Wool EOD</t>
  </si>
  <si>
    <t>VN000QB27WM1001</t>
  </si>
  <si>
    <t>VN000QB27WM1.  OS</t>
  </si>
  <si>
    <t>VN000QB27WM1001 - Vans Classic Cuff Beani TrBl, One Size</t>
  </si>
  <si>
    <t>VN000QBBBLK1003</t>
  </si>
  <si>
    <t>Danith Crew</t>
  </si>
  <si>
    <t>VN000QBBBLK1.  M</t>
  </si>
  <si>
    <t>VN000QBBBLK1003 - Danith Crew Black, Medium</t>
  </si>
  <si>
    <t>68%Cotton 13%Polyester 12%Nylon 5%Elastodiene 2% Elastane</t>
  </si>
  <si>
    <t>VN000QBM7UG1001</t>
  </si>
  <si>
    <t>VN000QBM7UG1.  M</t>
  </si>
  <si>
    <t>VN000QBM7UG1001 - Plaimor Crew Dchshnd, Medium</t>
  </si>
  <si>
    <t>VN000QBPWHT1002</t>
  </si>
  <si>
    <t>VN000QBPWHT1.  S</t>
  </si>
  <si>
    <t>VN000QBPWHT1002 - Lettuce Have It Half Cr White, Small</t>
  </si>
  <si>
    <t>VN000QBWJDU1004</t>
  </si>
  <si>
    <t>VN000QBWJDU1.  XL</t>
  </si>
  <si>
    <t>VN000QBWJDU1004 - Classic Half Crew PARISIAN NIGH, X Large</t>
  </si>
  <si>
    <t>VN000R98BLK1001</t>
  </si>
  <si>
    <t>RAW INSTINCT BEANIE</t>
  </si>
  <si>
    <t>VN000R98BLK1.  OS</t>
  </si>
  <si>
    <t>VN000R98BLK1001 - RAW INSTINCT BEANIE Black, One Size</t>
  </si>
  <si>
    <t>VN000TL5WHT1002</t>
  </si>
  <si>
    <t>Vans Crew (9.5-13, 3p-B</t>
  </si>
  <si>
    <t>VN000TL5WHT1.  OS</t>
  </si>
  <si>
    <t>VN000TL5WHT1002 - Vans Crew (9.5-13, 3p-B Whit, One Size</t>
  </si>
  <si>
    <t>71% Cotton 21% Polyester 5% Polyamide 3% Elastane</t>
  </si>
  <si>
    <t>VN000Y5XPNK1001</t>
  </si>
  <si>
    <t>VN000Y5XPNK1.  OS</t>
  </si>
  <si>
    <t>F02021</t>
  </si>
  <si>
    <t>VN000Y5XPNK1001 - Vans Laces 45" Pink, One Size</t>
  </si>
  <si>
    <t>VN0A311PBLK1001</t>
  </si>
  <si>
    <t>MN VANS SKATE CREW (</t>
  </si>
  <si>
    <t>VN0A311PBLK1.  OS</t>
  </si>
  <si>
    <t>VN0A311PBLK1001 - MN VANS SKATE CREW ( Black, One Size</t>
  </si>
  <si>
    <t>46% Polyester 38% Cotton 11% Nylon 1% Elastane 4%Other Fiber</t>
  </si>
  <si>
    <t>VN0A31J6BLK1004</t>
  </si>
  <si>
    <t>VN0A31J6BLK1.  38</t>
  </si>
  <si>
    <t>VN0A31J6BLK1004 - MN HUNTER II PU BELT Black, 38</t>
  </si>
  <si>
    <t>VN0A3H47PNO1001</t>
  </si>
  <si>
    <t>BY SPICOLI SHADES BO</t>
  </si>
  <si>
    <t>WHITE/ROYAL BLUE MIRROR</t>
  </si>
  <si>
    <t>VN0A3H47PNO1.  OS</t>
  </si>
  <si>
    <t>KIDS MISC ACCESSORIES</t>
  </si>
  <si>
    <t>KIDS EYEWEAR</t>
  </si>
  <si>
    <t>INL</t>
  </si>
  <si>
    <t>S02018</t>
  </si>
  <si>
    <t>VN0A3H47PNO1001 - BY SPICOLI SHADES BO WHITE/ROY, One Size</t>
  </si>
  <si>
    <t>frame:100% polycarbonate lens:100% polycarbonate</t>
  </si>
  <si>
    <t>VN0A47XCBLK1001</t>
  </si>
  <si>
    <t>WM HIGH PERFORMANCE</t>
  </si>
  <si>
    <t>VN0A47XCBLK1.  OS</t>
  </si>
  <si>
    <t>WOMENS MISC ACCESSORIES</t>
  </si>
  <si>
    <t>WOMENS SMALL ACCESSORIES</t>
  </si>
  <si>
    <t>F02020</t>
  </si>
  <si>
    <t>VN0A47XCBLK1001 - WM HIGH PERFORMANCE BLACK, One Size</t>
  </si>
  <si>
    <t>6066 - VN WM SMALL ACCESSOR</t>
  </si>
  <si>
    <t>100% Silicon, EOD</t>
  </si>
  <si>
    <t>VN0A48HJ4481001</t>
  </si>
  <si>
    <t>WM 6.5-10 3P AST CAN</t>
  </si>
  <si>
    <t>VN0A48HJ4481.  OS</t>
  </si>
  <si>
    <t>VN0A48HJ4481001 - WM 6.5-10 3P AST CAN ROX WHITE, One Size</t>
  </si>
  <si>
    <t>BLACK AND WHITE COLORWAY: 72% Cotton, 25% Polyamide, 3% Elastane. HEATHER GREY: 77% Cotton 21% Polyamide 2% Elastane</t>
  </si>
  <si>
    <t>VN0A542NRKZ1001</t>
  </si>
  <si>
    <t>MN NEW VARSITY CREW</t>
  </si>
  <si>
    <t>VN0A542NRKZ1.  OS</t>
  </si>
  <si>
    <t>MENS SOCKS</t>
  </si>
  <si>
    <t>MENS FASHION SOCKS</t>
  </si>
  <si>
    <t>S02021</t>
  </si>
  <si>
    <t>VN0A542NRKZ1001 - MN NEW VARSITY CREW ASH HEATHE, One Size</t>
  </si>
  <si>
    <t>6029 - VN MN SOCKS</t>
  </si>
  <si>
    <t>49% Cotton 26% Polyester 19% Nylon 4% Elastodiene 2% Elastane</t>
  </si>
  <si>
    <t>Own Retail, Partnership Store, Ecommerce</t>
  </si>
  <si>
    <t>VN0A5LGXDJR1001</t>
  </si>
  <si>
    <t>WM 6.5-10 1P FUZZ SC</t>
  </si>
  <si>
    <t>VN0A5LGXDJR1.  OS</t>
  </si>
  <si>
    <t>VN0A5LGXDJR1001 - WM 6.5-10 1P FUZZ SC turtledov, One Size</t>
  </si>
  <si>
    <t>90% Nylon  9% Polyester  1% Elastane</t>
  </si>
  <si>
    <t>VN0A7PQZY281001</t>
  </si>
  <si>
    <t>VN0A7PQZY281.  OS</t>
  </si>
  <si>
    <t>VN0A7PQZY281001 - Belden Shades Black/White, One Size</t>
  </si>
  <si>
    <t>VN0A7PR1PA91001</t>
  </si>
  <si>
    <t>VN0A7PR1PA91.  OS</t>
  </si>
  <si>
    <t>VN0A7PR1PA91001 - Squared Off Shades CHEETAH TOR, One Size</t>
  </si>
  <si>
    <t>VN0A7S96BLK1002</t>
  </si>
  <si>
    <t>VN0A7S96BLK1.  LXL</t>
  </si>
  <si>
    <t>VN0A7S96BLK1002 - Vans Patch Bucket Black, Large/X Large</t>
  </si>
  <si>
    <t>VN000389BQC1004</t>
  </si>
  <si>
    <t>VN000389BQC1.  XL</t>
  </si>
  <si>
    <t>VN000389BQC1004 - COSMOS SS TOP CLEARLY AQUA, X Large</t>
  </si>
  <si>
    <t>VN000389BQC1005</t>
  </si>
  <si>
    <t>VN000389BQC1.  XS</t>
  </si>
  <si>
    <t>VN000389BQC1005 - COSMOS SS TOP CLEARLY AQUA, X Small</t>
  </si>
  <si>
    <t>VN000395WHT1004</t>
  </si>
  <si>
    <t>VN000395WHT1.  XL</t>
  </si>
  <si>
    <t>VN000395WHT1004 - RESORT WASH SWEATPANT White, X Large</t>
  </si>
  <si>
    <t>VN000395WHT1001</t>
  </si>
  <si>
    <t>VN000395WHT1.  XXS</t>
  </si>
  <si>
    <t>VN000395WHT1001 - RESORT WASH SWEATPANT White, XX Small</t>
  </si>
  <si>
    <t>VN0003P3ATA1003</t>
  </si>
  <si>
    <t>White/Camo</t>
  </si>
  <si>
    <t>VN0003P3ATA1.  S</t>
  </si>
  <si>
    <t>VN0003P3ATA1003 - BY VANS CLASSIC RAGL WHITE/CAMO, Small</t>
  </si>
  <si>
    <t>CH - Switzerland</t>
  </si>
  <si>
    <t>VN00045DBQL1001</t>
  </si>
  <si>
    <t>BOOM BOOM CHECK IT HOOD</t>
  </si>
  <si>
    <t>ROSE SMOKE</t>
  </si>
  <si>
    <t>VN00045DBQL1.  L</t>
  </si>
  <si>
    <t>VN00045DBQL1001 - BOOM BOOM CHECK IT HOOD ROSE SMOK, Large</t>
  </si>
  <si>
    <t>VN000508BKA1002</t>
  </si>
  <si>
    <t>DROP V BFF PO-B</t>
  </si>
  <si>
    <t>VN000508BKA1.  XS</t>
  </si>
  <si>
    <t>VN000508BKA1002 - DROP V BFF PO-B Black/Black, X Small</t>
  </si>
  <si>
    <t>74% cotton 26% polyester</t>
  </si>
  <si>
    <t>VN00065PG5O1001</t>
  </si>
  <si>
    <t>MARBLE PO</t>
  </si>
  <si>
    <t>VN00065PG5O1.  XL</t>
  </si>
  <si>
    <t>VN00065PG5O1001 - MARBLE PO BLUE GLOW, X Large</t>
  </si>
  <si>
    <t>60% Cotton - 40% Polyester</t>
  </si>
  <si>
    <t>VN00074MBYP1006</t>
  </si>
  <si>
    <t>VN00074MBYP1.  M</t>
  </si>
  <si>
    <t>VN00074MBYP1006 - ELIZA OS WOVEN SHACKET FUDGE, Medium</t>
  </si>
  <si>
    <t>VN0007Z5G5O1002</t>
  </si>
  <si>
    <t>MARBLE FLEECE SHORT</t>
  </si>
  <si>
    <t>VN0007Z5G5O1REGM</t>
  </si>
  <si>
    <t>VN0007Z5G5O1002 - MARBLE FLEECE SHORT BLU, Medium, Regular</t>
  </si>
  <si>
    <t>VN00087WBLK1001</t>
  </si>
  <si>
    <t>HOLE SHOT PO</t>
  </si>
  <si>
    <t>VN00087WBLK1.  XL</t>
  </si>
  <si>
    <t>VN00087WBLK1001 - HOLE SHOT PO Black, X Large</t>
  </si>
  <si>
    <t>VN0008BJBLK1003</t>
  </si>
  <si>
    <t>NEON FLAMES CREW</t>
  </si>
  <si>
    <t>VN0008BJBLK1.  S</t>
  </si>
  <si>
    <t>VN0008BJBLK1003 - NEON FLAMES CREW Black, Small</t>
  </si>
  <si>
    <t>VN0008C65891003</t>
  </si>
  <si>
    <t>VANS CLASSIC PO</t>
  </si>
  <si>
    <t>Lime Green</t>
  </si>
  <si>
    <t>VN0008C65891.  L</t>
  </si>
  <si>
    <t>VN0008C65891003 - VANS CLASSIC PO Lime Green, Large</t>
  </si>
  <si>
    <t>VN0008C7BLK1002</t>
  </si>
  <si>
    <t>STYLE 76 PO</t>
  </si>
  <si>
    <t>VN0008C7BLK1.  S</t>
  </si>
  <si>
    <t>VN0008C7BLK1002 - STYLE 76 PO Black, Small</t>
  </si>
  <si>
    <t>VN0008CABLK1002</t>
  </si>
  <si>
    <t>VANS CLASSIC CREW</t>
  </si>
  <si>
    <t>VN0008CABLK1.  L</t>
  </si>
  <si>
    <t>VN0008CABLK1002 - VANS CLASSIC CREW Black, Large</t>
  </si>
  <si>
    <t>VN0008CABLK1001</t>
  </si>
  <si>
    <t>VN0008CABLK1.  S</t>
  </si>
  <si>
    <t>VN0008CABLK1001 - VANS CLASSIC CREW Black, Small</t>
  </si>
  <si>
    <t>VN0008HTBLK1001</t>
  </si>
  <si>
    <t>Skate AVE Bomber Jacket</t>
  </si>
  <si>
    <t>VN0008HTBLK1.  XS</t>
  </si>
  <si>
    <t>VN0008HTBLK1001 - Skate AVE Bomber Jacket AVE BLA, X Small</t>
  </si>
  <si>
    <t>Side A 100% Nylon, Side B 100% polyester</t>
  </si>
  <si>
    <t>VN0008J9BZ01002</t>
  </si>
  <si>
    <t>DRILL CHORE MTE 1 LONG</t>
  </si>
  <si>
    <t>VN0008J9BZ01.  XS</t>
  </si>
  <si>
    <t>VN0008J9BZ01002 - DRILL CHORE MTE 1 LONG DEEP FOR, X Small</t>
  </si>
  <si>
    <t>VN0008KUJDU1005</t>
  </si>
  <si>
    <t>VN0008KUJDU1REGXS</t>
  </si>
  <si>
    <t>VN0008KUJDU1005 - PRIMARY PRINT ELASTIC, X Small, Regular</t>
  </si>
  <si>
    <t>VN0008KUJDU1006</t>
  </si>
  <si>
    <t>VN0008KUJDU1REGXXL</t>
  </si>
  <si>
    <t>VN0008KUJDU1006 - PRIMARY PRINT ELASTIC, XX Large, Regular</t>
  </si>
  <si>
    <t>VN0008N5CR61006</t>
  </si>
  <si>
    <t>VN0008N5CR61REG30</t>
  </si>
  <si>
    <t>VN0008N5CR61006 - SERVICE CARGO CORD LOOS COF, 30, Regular</t>
  </si>
  <si>
    <t>VN0008N6BLK1001</t>
  </si>
  <si>
    <t>VN0008N6BLK1REG40</t>
  </si>
  <si>
    <t>VN0008N6BLK1001 - SERVICE CARGO LOOSE TAP Bla, 40, Regular</t>
  </si>
  <si>
    <t>VN0008N6EMU1010</t>
  </si>
  <si>
    <t>VN0008N6EMU1REG28</t>
  </si>
  <si>
    <t>VN0008N6EMU1010 - SERVICE CARGO LOOSE TAP Dri, 28, Regular</t>
  </si>
  <si>
    <t>VN0008N6EMU1006</t>
  </si>
  <si>
    <t>VN0008N6EMU1REG38</t>
  </si>
  <si>
    <t>VN0008N6EMU1006 - SERVICE CARGO LOOSE TAP Dri, 38, Regular</t>
  </si>
  <si>
    <t>VN0008NAE901013</t>
  </si>
  <si>
    <t>VN0008NAE901REG25</t>
  </si>
  <si>
    <t>VN0008NAE901013 - CHECK-5 BAGGY DENIM PAN Sto, 25, Regular</t>
  </si>
  <si>
    <t>VN0008NAE901004</t>
  </si>
  <si>
    <t>VN0008NAE901REG28</t>
  </si>
  <si>
    <t>VN0008NAE901004 - CHECK-5 BAGGY DENIM PAN Sto, 28, Regular</t>
  </si>
  <si>
    <t>VN0008TKATJ1005</t>
  </si>
  <si>
    <t>Athletic Heather/Black</t>
  </si>
  <si>
    <t>VN0008TKATJ1.  XS</t>
  </si>
  <si>
    <t>VN0008TKATJ1005 - LOWER CORECASE SS TEE Athletic, X Small</t>
  </si>
  <si>
    <t>90% cotton 10% polyester</t>
  </si>
  <si>
    <t>VN000AT9BLK1002</t>
  </si>
  <si>
    <t>DAZED CHINO PANT-B</t>
  </si>
  <si>
    <t>VN000AT9BLK1.  8</t>
  </si>
  <si>
    <t>VN000AT9BLK1002 - DAZED CHINO PANT-B Black, 8</t>
  </si>
  <si>
    <t>98% Cotton 2 % elastane</t>
  </si>
  <si>
    <t>VN000EUMDSB1005</t>
  </si>
  <si>
    <t>VN000EUMDSB1.  3</t>
  </si>
  <si>
    <t>VN000EUMDSB1005 - PRINT BOX 2.0 SS Dusty Blue, 3</t>
  </si>
  <si>
    <t>VN000FVH4MG1009</t>
  </si>
  <si>
    <t>VN000FVH4MG1.  24</t>
  </si>
  <si>
    <t>VN000FVH4MG1009 - Curbside Pant Incense, 24</t>
  </si>
  <si>
    <t>VN000FWFCR61003</t>
  </si>
  <si>
    <t>DRILL CHORE COAT SHERPA</t>
  </si>
  <si>
    <t>VN000FWFCR61.  S</t>
  </si>
  <si>
    <t>VN000FWFCR61003 - DRILL CHORE COAT SHERPA COFFEE LI, Small</t>
  </si>
  <si>
    <t>VN000G3JCHF1003</t>
  </si>
  <si>
    <t>PALE AQUA</t>
  </si>
  <si>
    <t>VN000G3JCHF1.  XXS</t>
  </si>
  <si>
    <t>VN000G3JCHF1003 - Drew Rib Tank PALE AQUA, XX Small</t>
  </si>
  <si>
    <t>VN000G3JCR31007</t>
  </si>
  <si>
    <t>SMOKY GRAPE</t>
  </si>
  <si>
    <t>VN000G3JCR31.  XXS</t>
  </si>
  <si>
    <t>VN000G3JCR31007 - Drew Rib Tank SMOKY GRAPE, XX Small</t>
  </si>
  <si>
    <t>VN000G3JD3Z1007</t>
  </si>
  <si>
    <t>VN000G3JD3Z1.  L</t>
  </si>
  <si>
    <t>VN000G3JD3Z1007 - Drew Rib Tank Elm, Large</t>
  </si>
  <si>
    <t>VN000G3JD3Z1006</t>
  </si>
  <si>
    <t>VN000G3JD3Z1.  XL</t>
  </si>
  <si>
    <t>VN000G3JD3Z1006 - Drew Rib Tank Elm, X Large</t>
  </si>
  <si>
    <t>VN000G3W1CI1006</t>
  </si>
  <si>
    <t>OFF THE WALL II SS</t>
  </si>
  <si>
    <t>VN000G3W1CI1.  XXL</t>
  </si>
  <si>
    <t>VN000G3W1CI1006 - OFF THE WALL II SS Dark Forest, XX Large</t>
  </si>
  <si>
    <t>18's 100% COTTON</t>
  </si>
  <si>
    <t>VN000G3WBLK1005</t>
  </si>
  <si>
    <t>VN000G3WBLK1.  XS</t>
  </si>
  <si>
    <t>VN000G3WBLK1005 - OFF THE WALL II SS Black, X Small</t>
  </si>
  <si>
    <t>VN000G3WWHT1006</t>
  </si>
  <si>
    <t>VN000G3WWHT1.  XXL</t>
  </si>
  <si>
    <t>VN000G3WWHT1006 - OFF THE WALL II SS White, XX Large</t>
  </si>
  <si>
    <t>VN000G4JFS81006</t>
  </si>
  <si>
    <t>THINKV SS TEE</t>
  </si>
  <si>
    <t>VN000G4JFS81.  XL</t>
  </si>
  <si>
    <t>VN000G4JFS81006 - THINKV SS TEE marshmallow, X Large</t>
  </si>
  <si>
    <t>VN000G56BLK1006</t>
  </si>
  <si>
    <t>STAY COOL SS TEE</t>
  </si>
  <si>
    <t>VN000G56BLK1.  L</t>
  </si>
  <si>
    <t>VN000G56BLK1006 - STAY COOL SS TEE Black, Large</t>
  </si>
  <si>
    <t>VN000G56FS81003</t>
  </si>
  <si>
    <t>VN000G56FS81.  XL</t>
  </si>
  <si>
    <t>VN000G56FS81003 - STAY COOL SS TEE marshmallow, X Large</t>
  </si>
  <si>
    <t>VN000G6MBDX1001</t>
  </si>
  <si>
    <t>VN000G6MBDX1.  L</t>
  </si>
  <si>
    <t>VN000G6MBDX1001 - HAVENWOOD CARDIGAN BISTRO GREEN, Large</t>
  </si>
  <si>
    <t>VN000G6MBDX1004</t>
  </si>
  <si>
    <t>VN000G6MBDX1.  XL</t>
  </si>
  <si>
    <t>VN000G6MBDX1004 - HAVENWOOD CARDIGAN BISTRO GREEN, X Large</t>
  </si>
  <si>
    <t>VN000G756PH1005</t>
  </si>
  <si>
    <t>VN000G756PH117 XS</t>
  </si>
  <si>
    <t>VN000G756PH1005 - PRIMARY SOLID ELASTIC B Pur, X Small, 17</t>
  </si>
  <si>
    <t>VN000G75BLK1005</t>
  </si>
  <si>
    <t>VN000G75BLK117 XS</t>
  </si>
  <si>
    <t>VN000G75BLK1005 - PRIMARY SOLID ELASTIC B Bla, X Small, 17</t>
  </si>
  <si>
    <t>VN000G7U1O71004</t>
  </si>
  <si>
    <t>MTE Ever-Ride Scalloped</t>
  </si>
  <si>
    <t>VN000G7U1O71REG36</t>
  </si>
  <si>
    <t>VN000G7U1O71004 - MTE Ever-Ride Scalloped Asp, 36, Regular</t>
  </si>
  <si>
    <t>100% Polyester / Woven /</t>
  </si>
  <si>
    <t>VN000G8AP8X1002</t>
  </si>
  <si>
    <t>MTE WW Wagner Jacket</t>
  </si>
  <si>
    <t>COPEN BLUE</t>
  </si>
  <si>
    <t>VN000G8AP8X1.  L</t>
  </si>
  <si>
    <t>VN000G8AP8X1002 - MTE WW Wagner Jacket COPEN BLUE, Large</t>
  </si>
  <si>
    <t>VN000G8CCHN1002</t>
  </si>
  <si>
    <t>TIE DYE HEART CREW</t>
  </si>
  <si>
    <t>VN000G8CCHN1.  S</t>
  </si>
  <si>
    <t>VN000G8CCHN1002 - TIE DYE HEART CREW CHINTZ ROSE, Small</t>
  </si>
  <si>
    <t>VN000G8DDSB1003</t>
  </si>
  <si>
    <t>ALWAYS GROWING HOODIE</t>
  </si>
  <si>
    <t>VN000G8DDSB1.  S</t>
  </si>
  <si>
    <t>VN000G8DDSB1003 - ALWAYS GROWING HOODIE Dusty Blue, Small</t>
  </si>
  <si>
    <t>VN000G8ECJL1003</t>
  </si>
  <si>
    <t>SPIRAL TIE DYE HOODIE</t>
  </si>
  <si>
    <t>VN000G8ECJL1.  S</t>
  </si>
  <si>
    <t>VN000G8ECJL1003 - SPIRAL TIE DYE HOODIE ICEBERG GRE, Small</t>
  </si>
  <si>
    <t>88% Cotton, 12% Polyester</t>
  </si>
  <si>
    <t>VN000G9S7VJ1003</t>
  </si>
  <si>
    <t>STRYKER OVERALL</t>
  </si>
  <si>
    <t>VN000G9S7VJ1.  M</t>
  </si>
  <si>
    <t>VN000G9S7VJ1003 - STRYKER OVERALL Natural, Medium</t>
  </si>
  <si>
    <t>VN000GA0D3Z1012</t>
  </si>
  <si>
    <t>VN000GA0D3Z1.  26</t>
  </si>
  <si>
    <t>VN000GA0D3Z1012 - Alder Relaxed Pleated P Elm, 26</t>
  </si>
  <si>
    <t>VN000GA0D3Z1008</t>
  </si>
  <si>
    <t>VN000GA0D3Z1.  28</t>
  </si>
  <si>
    <t>VN000GA0D3Z1008 - Alder Relaxed Pleated P Elm, 28</t>
  </si>
  <si>
    <t>VN000GB4BLK1005</t>
  </si>
  <si>
    <t>BENTON CAMI DRESS</t>
  </si>
  <si>
    <t>VN000GB4BLK1.  XS</t>
  </si>
  <si>
    <t>VN000GB4BLK1005 - BENTON CAMI DRESS Black, X Small</t>
  </si>
  <si>
    <t>100% Polyester,</t>
  </si>
  <si>
    <t>VN000GBKCJL1001</t>
  </si>
  <si>
    <t>SPACED OUT SS</t>
  </si>
  <si>
    <t>VN000GBKCJL1.  L</t>
  </si>
  <si>
    <t>VN000GBKCJL1001 - SPACED OUT SS ICEBERG GREEN, Large</t>
  </si>
  <si>
    <t>VN000GCBBLK1003</t>
  </si>
  <si>
    <t>GALAXY PO</t>
  </si>
  <si>
    <t>VN000GCBBLK1.  S</t>
  </si>
  <si>
    <t>VN000GCBBLK1003 - GALAXY PO Black, Small</t>
  </si>
  <si>
    <t>VN000GCECJL1002</t>
  </si>
  <si>
    <t>FORCE FIELD PO</t>
  </si>
  <si>
    <t>VN000GCECJL1.  S</t>
  </si>
  <si>
    <t>VN000GCECJL1002 - FORCE FIELD PO ICEBERG GREEN, Small</t>
  </si>
  <si>
    <t>VN000GCECJL1001</t>
  </si>
  <si>
    <t>VN000GCECJL1.  XL</t>
  </si>
  <si>
    <t>VN000GCECJL1001 - FORCE FIELD PO ICEBERG GREEN, X Large</t>
  </si>
  <si>
    <t>VN000GCSYJ21003</t>
  </si>
  <si>
    <t>YESTERDAYS BFF</t>
  </si>
  <si>
    <t>OTTER</t>
  </si>
  <si>
    <t>VN000GCSYJ21.  XS</t>
  </si>
  <si>
    <t>VN000GCSYJ21003 - YESTERDAYS BFF OTTER, X Small</t>
  </si>
  <si>
    <t>VN000GDFBLK1004</t>
  </si>
  <si>
    <t>VN000GDFBLK1.  XL</t>
  </si>
  <si>
    <t>VN000GDFBLK1004 - OG LOGO LS Black, X Large</t>
  </si>
  <si>
    <t>VN000GDPY281004</t>
  </si>
  <si>
    <t>WM FLYING V EVERYDAY RA</t>
  </si>
  <si>
    <t>VN000GDPY281.  XL</t>
  </si>
  <si>
    <t>VN000GDPY281004 - WM FLYING V EVERYDAY RA Black/W, X Large</t>
  </si>
  <si>
    <t>VN000GE8BLK1003</t>
  </si>
  <si>
    <t>ORIGINAL STANDARDS LOOS</t>
  </si>
  <si>
    <t>VN000GE8BLK1.  S</t>
  </si>
  <si>
    <t>VN000GE8BLK1003 - ORIGINAL STANDARDS LOOS Black, Small</t>
  </si>
  <si>
    <t>VN000GF7WHT1003</t>
  </si>
  <si>
    <t>ALWAYS AND FOREVER</t>
  </si>
  <si>
    <t>VN000GF7WHT1.  XL</t>
  </si>
  <si>
    <t>VN000GF7WHT1003 - ALWAYS AND FOREVER White, X Large</t>
  </si>
  <si>
    <t>VN000GF8WHT1002</t>
  </si>
  <si>
    <t>VN000GF8WHT1.  S</t>
  </si>
  <si>
    <t>VN000GF8WHT1002 - BODEGA SS White, Small</t>
  </si>
  <si>
    <t>VN000GFFWHT1002</t>
  </si>
  <si>
    <t>VN000GFFWHT1.  L</t>
  </si>
  <si>
    <t>VN000GFFWHT1002 - Flying V Crew Crop II White, Large</t>
  </si>
  <si>
    <t>VN000GFFWHT1001</t>
  </si>
  <si>
    <t>VN000GFFWHT1.  XL</t>
  </si>
  <si>
    <t>VN000GFFWHT1001 - Flying V Crew Crop II White, X Large</t>
  </si>
  <si>
    <t>VN000GGGEAY1001</t>
  </si>
  <si>
    <t>VN000GGGEAY1.  XXL</t>
  </si>
  <si>
    <t>VN000GGGEAY1001 - VANS CLASSIC Burgundy/Spicy, XX Large</t>
  </si>
  <si>
    <t>VN000GGGY281001</t>
  </si>
  <si>
    <t>VN000GGGY281.  L</t>
  </si>
  <si>
    <t>VN000GGGY281001 - VANS CLASSIC Black/White, Large</t>
  </si>
  <si>
    <t>VN000GGGY281005</t>
  </si>
  <si>
    <t>VN000GGGY281.  XS</t>
  </si>
  <si>
    <t>VN000GGGY281005 - VANS CLASSIC Black/White, X Small</t>
  </si>
  <si>
    <t>VN000GJ6BLK1003</t>
  </si>
  <si>
    <t>VN000GJ6BLK1.  S</t>
  </si>
  <si>
    <t>VN000GJ6BLK1003 - GUITAR SOLO OVERSIZED Black, Small</t>
  </si>
  <si>
    <t>VN000GJ6BLK1004</t>
  </si>
  <si>
    <t>VN000GJ6BLK1.  XL</t>
  </si>
  <si>
    <t>VN000GJ6BLK1004 - GUITAR SOLO OVERSIZED Black, X Large</t>
  </si>
  <si>
    <t>VN000GVF0E01003</t>
  </si>
  <si>
    <t>RANGE CHECKBRD CORD LOO</t>
  </si>
  <si>
    <t>VN000GVF0E01REGS</t>
  </si>
  <si>
    <t>VN000GVF0E01003 - RANGE CHECKBRD CORD LOO, Small, Regular</t>
  </si>
  <si>
    <t>VN000GVF0E01005</t>
  </si>
  <si>
    <t>VN000GVF0E01REGXS</t>
  </si>
  <si>
    <t>VN000GVF0E01005 - RANGE CHECKBRD CORD LO, X Small, Regular</t>
  </si>
  <si>
    <t>VN000GWNBLK1007</t>
  </si>
  <si>
    <t>VN000GWNBLK1.  XXS</t>
  </si>
  <si>
    <t>VN000GWNBLK1007 - Sidewalk Pant Black, XX Small</t>
  </si>
  <si>
    <t>VN000GX6BLK1003</t>
  </si>
  <si>
    <t>BASIC LEFT CHEST PO II</t>
  </si>
  <si>
    <t>VN000GX6BLK1.  S</t>
  </si>
  <si>
    <t>VN000GX6BLK1003 - BASIC LEFT CHEST PO II Black, Small</t>
  </si>
  <si>
    <t>VN000H2AKF11003</t>
  </si>
  <si>
    <t>DRESS BLUES/PORT ROYALE</t>
  </si>
  <si>
    <t>VN000H2AKF11.  XS</t>
  </si>
  <si>
    <t>VN000H2AKF11003 - COLORBLOCK HALF ZIP MOC DRESS B, X Small</t>
  </si>
  <si>
    <t>VN000H2AKF11002</t>
  </si>
  <si>
    <t>VN000H2AKF11.  XXL</t>
  </si>
  <si>
    <t>VN000H2AKF11002 - COLORBLOCK HALF ZIP MOC DRESS, XX Large</t>
  </si>
  <si>
    <t>VN000HANCDX1005</t>
  </si>
  <si>
    <t>VN000HANCDX1REG26</t>
  </si>
  <si>
    <t>VN000HANCDX1005 - Service Cargo Loose Den STO, 26, Regular</t>
  </si>
  <si>
    <t>VN000HAWBLK1002</t>
  </si>
  <si>
    <t>VN000HAWBLK1REGS</t>
  </si>
  <si>
    <t>VN000HAWBLK1002 - MTE Polartec Relaxed Fl, Small, Regular</t>
  </si>
  <si>
    <t>VN000HDUBLK1004</t>
  </si>
  <si>
    <t>Rigsby Soccer SS Polo</t>
  </si>
  <si>
    <t>VN000HDUBLK1.  S</t>
  </si>
  <si>
    <t>VN000HDUBLK1004 - Rigsby Soccer SS Polo Black, Small</t>
  </si>
  <si>
    <t>VN000HDVM8I1001</t>
  </si>
  <si>
    <t>VN000HDVM8I1.  S</t>
  </si>
  <si>
    <t>VN000HDVM8I1001 - Almondwood Sweater Vest GRAY MIST, Small</t>
  </si>
  <si>
    <t>VN000HE2KOU1005</t>
  </si>
  <si>
    <t>Wilton LS Knit</t>
  </si>
  <si>
    <t>VN000HE2KOU1.  S</t>
  </si>
  <si>
    <t>VN000HE2KOU1005 - Wilton LS Knit BLACK/ASPHALT, Small</t>
  </si>
  <si>
    <t>VN000HEUBLK1006</t>
  </si>
  <si>
    <t>Property Of LS</t>
  </si>
  <si>
    <t>VN000HEUBLK1.  XXL</t>
  </si>
  <si>
    <t>VN000HEUBLK1006 - Property Of LS Black, XX Large</t>
  </si>
  <si>
    <t>VN000HEUFS81006</t>
  </si>
  <si>
    <t>VN000HEUFS81.  XL</t>
  </si>
  <si>
    <t>VN000HEUFS81006 - Property Of LS marshmallow, X Large</t>
  </si>
  <si>
    <t>VN000HF6FS81001</t>
  </si>
  <si>
    <t>Halloween LS</t>
  </si>
  <si>
    <t>VN000HF6FS81.  L</t>
  </si>
  <si>
    <t>VN000HF6FS81001 - Halloween LS marshmallow, Large</t>
  </si>
  <si>
    <t>VN000HF6FS81006</t>
  </si>
  <si>
    <t>VN000HF6FS81.  XXL</t>
  </si>
  <si>
    <t>VN000HF6FS81006 - Halloween LS marshmallow, XX Large</t>
  </si>
  <si>
    <t>VN000HGE0E01004</t>
  </si>
  <si>
    <t>Small Staple Fitted Cro</t>
  </si>
  <si>
    <t>VN000HGE0E01.  XL</t>
  </si>
  <si>
    <t>VN000HGE0E01004 - Small Staple Fitted Cro Sepia, X Large</t>
  </si>
  <si>
    <t>VN000HGKBLK1013</t>
  </si>
  <si>
    <t>VN000HGKBLK1.  23</t>
  </si>
  <si>
    <t>VN000HGKBLK1013 - Palmer Wide Leg Chino P Black, 23</t>
  </si>
  <si>
    <t>VN000HHNWHT1004</t>
  </si>
  <si>
    <t>Rolling SS BFF</t>
  </si>
  <si>
    <t>VN000HHNWHT1.  XL</t>
  </si>
  <si>
    <t>VN000HHNWHT1004 - Rolling SS BFF White, X Large</t>
  </si>
  <si>
    <t>VN000HJF1CI1001</t>
  </si>
  <si>
    <t>Bennett Bomber</t>
  </si>
  <si>
    <t>VN000HJF1CI1.  XXS</t>
  </si>
  <si>
    <t>VN000HJF1CI1001 - Bennett Bomber Dark Forest, XX Small</t>
  </si>
  <si>
    <t>VN000HJRD3Z1006</t>
  </si>
  <si>
    <t>Codey Utility Coat</t>
  </si>
  <si>
    <t>VN000HJRD3Z1.  M</t>
  </si>
  <si>
    <t>VN000HJRD3Z1006 - Codey Utility Coat Elm, Medium</t>
  </si>
  <si>
    <t>VN000HJTBLK1006</t>
  </si>
  <si>
    <t>MTE Foundry Vest</t>
  </si>
  <si>
    <t>VN000HJTBLK1.  XS</t>
  </si>
  <si>
    <t>VN000HJTBLK1006 - MTE Foundry Vest Black, X Small</t>
  </si>
  <si>
    <t>VN000HMNBLK1005</t>
  </si>
  <si>
    <t>Scuttle Baseball Jacket</t>
  </si>
  <si>
    <t>VN000HMNBLK1.  XS</t>
  </si>
  <si>
    <t>VN000HMNBLK1005 - Scuttle Baseball Jacket Black, X Small</t>
  </si>
  <si>
    <t>VN000HMQJDU1006</t>
  </si>
  <si>
    <t>VN000HMQJDU1.  S</t>
  </si>
  <si>
    <t>VN000HMQJDU1006 - Copley Bomber Jacket PARISIAN NIG, Small</t>
  </si>
  <si>
    <t>VN000HMQJDU1002</t>
  </si>
  <si>
    <t>VN000HMQJDU1.  XXL</t>
  </si>
  <si>
    <t>VN000HMQJDU1002 - Copley Bomber Jacket PARISIAN, XX Large</t>
  </si>
  <si>
    <t>VN000HMYKCZ1012</t>
  </si>
  <si>
    <t>LX Baggy Cargo Pant</t>
  </si>
  <si>
    <t>VN000HMYKCZ1REG34</t>
  </si>
  <si>
    <t>VN000HMYKCZ1012 - LX Baggy Cargo Pant GRAPE L, 34, Regular</t>
  </si>
  <si>
    <t>VN000HN197I1004</t>
  </si>
  <si>
    <t>VN000HN197I1.  M</t>
  </si>
  <si>
    <t>VN000HN197I1004 - LX Oversized Sherpa Hoo Classic, Medium</t>
  </si>
  <si>
    <t>VN000HN7D4C1005</t>
  </si>
  <si>
    <t>MTE No Hood Norris Puff</t>
  </si>
  <si>
    <t>VN000HN7D4C1.  XS</t>
  </si>
  <si>
    <t>VN000HN7D4C1005 - MTE No Hood Norris Puff Turkish, X Small</t>
  </si>
  <si>
    <t>VN000HN9DRJ1002</t>
  </si>
  <si>
    <t>VN000HN9DRJ1.  M</t>
  </si>
  <si>
    <t>VN000HN9DRJ1002 - MTE Ward 3-1 Utility Ja Black/Gr, Medium</t>
  </si>
  <si>
    <t>VN000HNEBLK1005</t>
  </si>
  <si>
    <t>VN000HNEBLK1.  XS</t>
  </si>
  <si>
    <t>VN000HNEBLK1005 - Clifton Down Bomber Black, X Small</t>
  </si>
  <si>
    <t>VN000HNFD401002</t>
  </si>
  <si>
    <t>VN000HNFD401.  M</t>
  </si>
  <si>
    <t>VN000HNFD401002 - MTE Kane Primaloft Jack Fiesta, Medium</t>
  </si>
  <si>
    <t>VN000HNHDAM1002</t>
  </si>
  <si>
    <t>Box Flannel Classic LS</t>
  </si>
  <si>
    <t>BUNGEE CORD/BROWN SUGAR</t>
  </si>
  <si>
    <t>VN000HNHDAM1.  M</t>
  </si>
  <si>
    <t>VN000HNHDAM1002 - Box Flannel Classic LS Bungee Co, Medium</t>
  </si>
  <si>
    <t>VN000HNHDAM1003</t>
  </si>
  <si>
    <t>VN000HNHDAM1.  S</t>
  </si>
  <si>
    <t>VN000HNHDAM1003 - Box Flannel Classic LS Bungee Cor, Small</t>
  </si>
  <si>
    <t>VN000HNJDBA1003</t>
  </si>
  <si>
    <t>Vans Camp Classic Colla</t>
  </si>
  <si>
    <t>WHITE/BLACK/BLK</t>
  </si>
  <si>
    <t>VN000HNJDBA1.  S</t>
  </si>
  <si>
    <t>VN000HNJDBA1003 - Vans Camp Classic Colla White/Bla, Small</t>
  </si>
  <si>
    <t>100% Viscose,</t>
  </si>
  <si>
    <t>VN000HNTDAD1004</t>
  </si>
  <si>
    <t>VN000HNTDAD1.  XXL</t>
  </si>
  <si>
    <t>VN000HNTDAD1004 - Stevens Denim LS Woven Pavemen, XX Large</t>
  </si>
  <si>
    <t>VN000HNX4MG1002</t>
  </si>
  <si>
    <t>Vans Classic Pullover</t>
  </si>
  <si>
    <t>VN000HNX4MG1.  M</t>
  </si>
  <si>
    <t>VN000HNX4MG1002 - Vans Classic Pullover Incense, Medium</t>
  </si>
  <si>
    <t>VN000HNZBLK1002</t>
  </si>
  <si>
    <t>Full Patch Pullover</t>
  </si>
  <si>
    <t>VN000HNZBLK1.  M</t>
  </si>
  <si>
    <t>VN000HNZBLK1002 - Full Patch Pullover Black, Medium</t>
  </si>
  <si>
    <t>VN000HP602F1005</t>
  </si>
  <si>
    <t>Global Line Loose PO</t>
  </si>
  <si>
    <t>VN000HP602F1.  L</t>
  </si>
  <si>
    <t>VN000HP602F1005 - Global Line Loose PO Cement Heath, Large</t>
  </si>
  <si>
    <t>VN000HPABLK1003</t>
  </si>
  <si>
    <t>Scuttle PO</t>
  </si>
  <si>
    <t>VN000HPABLK1.  S</t>
  </si>
  <si>
    <t>VN000HPABLK1003 - Scuttle PO Black, Small</t>
  </si>
  <si>
    <t>VN000HPFFS81004</t>
  </si>
  <si>
    <t>VN000HPFFS81.  XL</t>
  </si>
  <si>
    <t>VN000HPFFS81004 - Vans Boxed Sherpa Qzip marshmal, X Large</t>
  </si>
  <si>
    <t>VN000HPFFS81006</t>
  </si>
  <si>
    <t>VN000HPFFS81.  XXL</t>
  </si>
  <si>
    <t>VN000HPFFS81006 - Vans Boxed Sherpa Qzip marshma, XX Large</t>
  </si>
  <si>
    <t>VN000HPQ02F1002</t>
  </si>
  <si>
    <t>Spray On Loose Crew</t>
  </si>
  <si>
    <t>VN000HPQ02F1.  S</t>
  </si>
  <si>
    <t>VN000HPQ02F1002 - Spray On Loose Crew Cement Heathe, Small</t>
  </si>
  <si>
    <t>VN000HPQ02F1005</t>
  </si>
  <si>
    <t>VN000HPQ02F1.  XS</t>
  </si>
  <si>
    <t>VN000HPQ02F1005 - Spray On Loose Crew Cement Heat, X Small</t>
  </si>
  <si>
    <t>VN000HQC7W61010</t>
  </si>
  <si>
    <t>Union Denim Carpenter S</t>
  </si>
  <si>
    <t>VN000HQC7W61.  28</t>
  </si>
  <si>
    <t>VN000HQC7W61010 - Union Denim Carpenter S StnWsh, 28</t>
  </si>
  <si>
    <t>VN000HU0QID1001</t>
  </si>
  <si>
    <t>VN000HU0QID1.  S</t>
  </si>
  <si>
    <t>VN000HU0QID1001 - Thanx Again PO Fleece-B FADED ROS, Small</t>
  </si>
  <si>
    <t>VN000HUH2N11005</t>
  </si>
  <si>
    <t>Decco Check SS Woven-B</t>
  </si>
  <si>
    <t>VN000HUH2N11.  S</t>
  </si>
  <si>
    <t>VN000HUH2N11005 - Decco Check SS Woven-B oatmeal, Small</t>
  </si>
  <si>
    <t>56% Cotton, 44% Viscose</t>
  </si>
  <si>
    <t>VN000HZADZ91011</t>
  </si>
  <si>
    <t>VN000HZADZ9134 36</t>
  </si>
  <si>
    <t>VN000HZADZ91011 - Authentic Chino Slim Pa Dirt, 36, 34</t>
  </si>
  <si>
    <t>VN000HZB0E01009</t>
  </si>
  <si>
    <t>VN000HZB0E0130 30</t>
  </si>
  <si>
    <t>VN000HZB0E01009 - Authentic Chino Relaxed Sepia, 30, 30</t>
  </si>
  <si>
    <t>Polyester, 36% Cotton, 2% Elastane,</t>
  </si>
  <si>
    <t>VN000HZBEMP1026</t>
  </si>
  <si>
    <t>VN000HZBEMP130 27</t>
  </si>
  <si>
    <t>VN000HZBEMP1026 - Authentic Chino Relaxed Coal Bro, 27, 30</t>
  </si>
  <si>
    <t>VN000HZBKCZ1001</t>
  </si>
  <si>
    <t>VN000HZBKCZ130 40</t>
  </si>
  <si>
    <t>VN000HZBKCZ1001 - Authentic Chino Relaxed GRAPE LE, 40, 30</t>
  </si>
  <si>
    <t>VN000HZBKCZ1026</t>
  </si>
  <si>
    <t>VN000HZBKCZ132 30</t>
  </si>
  <si>
    <t>VN000HZBKCZ1026 - Authentic Chino Relaxed GRAPE LE, 30, 32</t>
  </si>
  <si>
    <t>VN000HZBKCZ1024</t>
  </si>
  <si>
    <t>VN000HZBKCZ132 31</t>
  </si>
  <si>
    <t>VN000HZBKCZ1024 - Authentic Chino Relaxed GRAPE LE, 31, 32</t>
  </si>
  <si>
    <t>VN000HZBYEH1023</t>
  </si>
  <si>
    <t>VN000HZBYEH130 32</t>
  </si>
  <si>
    <t>VN000HZBYEH1023 - Authentic Chino Relaxed DESERT T, 32, 30</t>
  </si>
  <si>
    <t>VN000HZCBLK1022</t>
  </si>
  <si>
    <t>VN000HZCBLK130 26</t>
  </si>
  <si>
    <t>VN000HZCBLK1022 - Authentic Chino Loose P Black, 26, 30</t>
  </si>
  <si>
    <t>VN000HZCBLK1021</t>
  </si>
  <si>
    <t>VN000HZCBLK130 27</t>
  </si>
  <si>
    <t>VN000HZCBLK1021 - Authentic Chino Loose P Black, 27, 30</t>
  </si>
  <si>
    <t>VN000HZCBLK1020</t>
  </si>
  <si>
    <t>VN000HZCBLK130 28</t>
  </si>
  <si>
    <t>VN000HZCBLK1020 - Authentic Chino Loose P Black, 28, 30</t>
  </si>
  <si>
    <t>VN000HZCBLK1005</t>
  </si>
  <si>
    <t>VN000HZCBLK130 36</t>
  </si>
  <si>
    <t>VN000HZCBLK1005 - Authentic Chino Loose P Black, 36, 30</t>
  </si>
  <si>
    <t>VN000HZD2N11021</t>
  </si>
  <si>
    <t>Authentic Chino Baggy P</t>
  </si>
  <si>
    <t>VN000HZD2N1130 31</t>
  </si>
  <si>
    <t>VN000HZD2N11021 - Authentic Chino Baggy P oatmeal, 31, 30</t>
  </si>
  <si>
    <t>VN000IVEBLK1004</t>
  </si>
  <si>
    <t>VN000IVEBLK1.  M</t>
  </si>
  <si>
    <t>VN000IVEBLK1004 - STYLE 76 SS Black, Medium</t>
  </si>
  <si>
    <t>VN000IVECJL1001</t>
  </si>
  <si>
    <t>VN000IVECJL1.  XL</t>
  </si>
  <si>
    <t>VN000IVECJL1001 - STYLE 76 SS ICEBERG GREEN, X Large</t>
  </si>
  <si>
    <t>VN000IVEWHT1003</t>
  </si>
  <si>
    <t>VN000IVEWHT1.  S</t>
  </si>
  <si>
    <t>VN000IVEWHT1003 - STYLE 76 SS White, Small</t>
  </si>
  <si>
    <t>VN000IVEWHT1004</t>
  </si>
  <si>
    <t>VN000IVEWHT1.  XL</t>
  </si>
  <si>
    <t>VN000IVEWHT1004 - STYLE 76 SS White, X Large</t>
  </si>
  <si>
    <t>VN000IVEY281003</t>
  </si>
  <si>
    <t>VN000IVEY281.  S</t>
  </si>
  <si>
    <t>VN000IVEY281003 - STYLE 76 SS Black/White, Small</t>
  </si>
  <si>
    <t>VN000IVEY281004</t>
  </si>
  <si>
    <t>VN000IVEY281.  XL</t>
  </si>
  <si>
    <t>VN000IVEY281004 - STYLE 76 SS Black/White, X Large</t>
  </si>
  <si>
    <t>VN000IVFBL21002</t>
  </si>
  <si>
    <t>VN000IVFBL21.  S</t>
  </si>
  <si>
    <t>VN000IVFBL21002 - Vans Classic HARVEST GOLD, Small</t>
  </si>
  <si>
    <t>VN000IVFC9L1002</t>
  </si>
  <si>
    <t>VN000IVFC9L1.  M</t>
  </si>
  <si>
    <t>VN000IVFC9L1002 - Vans Classic CHERRIES JUBILE, Medium</t>
  </si>
  <si>
    <t>VN000J5VBLK1002</t>
  </si>
  <si>
    <t>Vanstander SS Crew Te-B</t>
  </si>
  <si>
    <t>VN000J5VBLK1.  M</t>
  </si>
  <si>
    <t>VN000J5VBLK1002 - Vanstander SS Crew Te-B Black, Medium</t>
  </si>
  <si>
    <t>VN000J7GBLK1001</t>
  </si>
  <si>
    <t>MTE Foundry Crop Hooded</t>
  </si>
  <si>
    <t>VN000J7GBLK1.  M</t>
  </si>
  <si>
    <t>VN000J7GBLK1001 - MTE Foundry Crop Hooded Black, Medium</t>
  </si>
  <si>
    <t>VN000J9JZR61007</t>
  </si>
  <si>
    <t>VN000J9JZR61REG31</t>
  </si>
  <si>
    <t>VN000J9JZR61007 - Skate Drill Chore AVE L CHO, 31, Regular</t>
  </si>
  <si>
    <t>VN000JBK02F1004</t>
  </si>
  <si>
    <t>VN000JBK02F1.  L</t>
  </si>
  <si>
    <t>VN000JBK02F1004 - Digital Repair PO Cement Heather, Large</t>
  </si>
  <si>
    <t>VN000JBMCIB1003</t>
  </si>
  <si>
    <t>VN000JBMCIB1.  S</t>
  </si>
  <si>
    <t>VN000JBMCIB1003 - Vans Classic II PO PESTO, Small</t>
  </si>
  <si>
    <t>VN000JBN7WM1001</t>
  </si>
  <si>
    <t>BY Rattler Loose PO</t>
  </si>
  <si>
    <t>VN000JBN7WM1.  L</t>
  </si>
  <si>
    <t>VN000JBN7WM1001 - BY Rattler Loose PO TrBl, Large</t>
  </si>
  <si>
    <t>VN000JBN7WM1003</t>
  </si>
  <si>
    <t>VN000JBN7WM1.  S</t>
  </si>
  <si>
    <t>VN000JBN7WM1003 - BY Rattler Loose PO TrBl, Small</t>
  </si>
  <si>
    <t>VN000JBRBR11001</t>
  </si>
  <si>
    <t>VN000JBRBR11.  L</t>
  </si>
  <si>
    <t>VN000JBRBR11001 - Vans Boxed PO FAIRWAY, Large</t>
  </si>
  <si>
    <t>VN000JBRZBF1003</t>
  </si>
  <si>
    <t>VN000JBRZBF1.  S</t>
  </si>
  <si>
    <t>VN000JBRZBF1003 - Vans Boxed PO LODEN GREEN, Small</t>
  </si>
  <si>
    <t>VN000JBWJ5F1001</t>
  </si>
  <si>
    <t>Core Basic II FZ</t>
  </si>
  <si>
    <t>VN000JBWJ5F1.  XL</t>
  </si>
  <si>
    <t>VN000JBWJ5F1001 - Core Basic II FZ VERDANT GREEN, X Large</t>
  </si>
  <si>
    <t>VN000JC0J5F1004</t>
  </si>
  <si>
    <t>VN000JC0J5F1.  M</t>
  </si>
  <si>
    <t>VN000JC0J5F1004 - BY Caps Loose PO VERDANT GREEN, Medium</t>
  </si>
  <si>
    <t>VN000JC1BLK1004</t>
  </si>
  <si>
    <t>Hopper Loose Crew</t>
  </si>
  <si>
    <t>VN000JC1BLK1.  XL</t>
  </si>
  <si>
    <t>VN000JC1BLK1004 - Hopper Loose Crew Black, X Large</t>
  </si>
  <si>
    <t>VN000JC4BLK1004</t>
  </si>
  <si>
    <t>Lil Reggie SS</t>
  </si>
  <si>
    <t>VN000JC4BLK1.  XL</t>
  </si>
  <si>
    <t>VN000JC4BLK1004 - Lil Reggie SS Black, X Large</t>
  </si>
  <si>
    <t>30/1 52% Cotton 48% Polyester</t>
  </si>
  <si>
    <t>VN000JC5LKZ1002</t>
  </si>
  <si>
    <t>VN000JC5LKZ1.  M</t>
  </si>
  <si>
    <t>VN000JC5LKZ1002 - Ovaline LS dress blues, Medium</t>
  </si>
  <si>
    <t>VN000JF5BLK1004</t>
  </si>
  <si>
    <t>VN000JF5BLK1.  XXL</t>
  </si>
  <si>
    <t>VN000JF5BLK1004 - W ESSENTIAL FT RLX CREW Black, XX Large</t>
  </si>
  <si>
    <t>VN000JF6CFL1004</t>
  </si>
  <si>
    <t>W ESSENTIAL FT RLX PO</t>
  </si>
  <si>
    <t>VN000JF6CFL1.  L</t>
  </si>
  <si>
    <t>VN000JF6CFL1004 - W ESSENTIAL FT RLX PO CITADEL, Large</t>
  </si>
  <si>
    <t>VN000JGPD3Z1005</t>
  </si>
  <si>
    <t>VN000JGPD3Z1.  L</t>
  </si>
  <si>
    <t>VN000JGPD3Z1005 - VARSITY TANK DRESS Elm, Large</t>
  </si>
  <si>
    <t>VN000JGPD3Z1001</t>
  </si>
  <si>
    <t>VN000JGPD3Z1.  XXS</t>
  </si>
  <si>
    <t>VN000JGPD3Z1001 - VARSITY TANK DRESS Elm, XX Small</t>
  </si>
  <si>
    <t>VN000JGT02F1004</t>
  </si>
  <si>
    <t>B BODEGA FZ HOODIE</t>
  </si>
  <si>
    <t>VN000JGT02F1.  L</t>
  </si>
  <si>
    <t>VN000JGT02F1004 - B BODEGA FZ HOODIE Cement Heather, Large</t>
  </si>
  <si>
    <t>VN000JPNBLK1001</t>
  </si>
  <si>
    <t>Squatch Songs SS Crew-B</t>
  </si>
  <si>
    <t>VN000JPNBLK1.  L</t>
  </si>
  <si>
    <t>VN000JPNBLK1001 - Squatch Songs SS Crew-B Black, Large</t>
  </si>
  <si>
    <t>VN000JQ5CCB1001</t>
  </si>
  <si>
    <t>BY Debrusk FZ Sherpa</t>
  </si>
  <si>
    <t>BLACK/BLUESTONE</t>
  </si>
  <si>
    <t>VN000JQ5CCB1.  L</t>
  </si>
  <si>
    <t>VN000JQ5CCB1001 - BY Debrusk FZ Sherpa BLACK/BLUEST, Large</t>
  </si>
  <si>
    <t>VN000JQP9JC1001</t>
  </si>
  <si>
    <t>VN000JQP9JC1.  L</t>
  </si>
  <si>
    <t>VN000JQP9JC1001 - MTE CRESTLINE SS TEE Bungee Cord, Large</t>
  </si>
  <si>
    <t>VN000JQPBLK1005</t>
  </si>
  <si>
    <t>VN000JQPBLK1.  S</t>
  </si>
  <si>
    <t>VN000JQPBLK1005 - MTE CRESTLINE SS TEE Black, Small</t>
  </si>
  <si>
    <t>VN000JQPC9F1004</t>
  </si>
  <si>
    <t>VN000JQPC9F1.  S</t>
  </si>
  <si>
    <t>VN000JQPC9F1004 - MTE CRESTLINE SS TEE EGRET, Small</t>
  </si>
  <si>
    <t>VN000JSN7YO1005</t>
  </si>
  <si>
    <t>SPRAY ON LOOSE PO</t>
  </si>
  <si>
    <t>VN000JSN7YO1.  S</t>
  </si>
  <si>
    <t>VN000JSN7YO1005 - SPRAY ON LOOSE PO BITTER CHOCOLAT, Small</t>
  </si>
  <si>
    <t>VN000JT37W61002</t>
  </si>
  <si>
    <t>VN000JT37W61.  S</t>
  </si>
  <si>
    <t>VN000JT37W61002 - Antica Boxy Denim LS Sh StnWsh, Small</t>
  </si>
  <si>
    <t>VN000JT37W61007</t>
  </si>
  <si>
    <t>VN000JT37W61.  XS</t>
  </si>
  <si>
    <t>VN000JT37W61007 - Antica Boxy Denim LS Sh StnWsh, X Small</t>
  </si>
  <si>
    <t>VN000JY1KOU1002</t>
  </si>
  <si>
    <t>Crazy Eddy Baseball Jac</t>
  </si>
  <si>
    <t>VN000JY1KOU1.  XL</t>
  </si>
  <si>
    <t>VN000JY1KOU1002 - Crazy Eddy Baseball Jac BLACK/A, X Large</t>
  </si>
  <si>
    <t>VN000JY412S1004</t>
  </si>
  <si>
    <t>VN000JY412S1.  M</t>
  </si>
  <si>
    <t>VN000JY412S1004 - MTE Polartec Hz Hoodie stargazer, Medium</t>
  </si>
  <si>
    <t>VN000JY412S1006</t>
  </si>
  <si>
    <t>VN000JY412S1.  S</t>
  </si>
  <si>
    <t>VN000JY412S1006 - MTE Polartec Hz Hoodie stargazer, Small</t>
  </si>
  <si>
    <t>VN000JY4BLK1003</t>
  </si>
  <si>
    <t>VN000JY4BLK1.  XL</t>
  </si>
  <si>
    <t>VN000JY4BLK1003 - MTE Polartec Hz Hoodie Black, X Large</t>
  </si>
  <si>
    <t>VN000JYB4OU1001</t>
  </si>
  <si>
    <t>Vans Classic II FZ</t>
  </si>
  <si>
    <t>VN000JYB4OU1.  L</t>
  </si>
  <si>
    <t>VN000JYB4OU1001 - Vans Classic II FZ Concrete Heath, Large</t>
  </si>
  <si>
    <t>VN000JYB4OU1002</t>
  </si>
  <si>
    <t>VN000JYB4OU1.  M</t>
  </si>
  <si>
    <t>VN000JYB4OU1002 - Vans Classic II FZ Concrete Heat, Medium</t>
  </si>
  <si>
    <t>VN000JYD14A1004</t>
  </si>
  <si>
    <t>VN000JYD14A1.  S</t>
  </si>
  <si>
    <t>VN000JYD14A1004 - Style 76 PO Chili Pepper, Small</t>
  </si>
  <si>
    <t>VN000JYDE2W1003</t>
  </si>
  <si>
    <t>VN000JYDE2W1.  S</t>
  </si>
  <si>
    <t>VN000JYDE2W1003 - Style 76 PO Heritage Blue, Small</t>
  </si>
  <si>
    <t>VN000K04BLK1003</t>
  </si>
  <si>
    <t>B UP IN FLAMES TOWFER</t>
  </si>
  <si>
    <t>VN000K04BLK1.  S</t>
  </si>
  <si>
    <t>VN000K04BLK1003 - B UP IN FLAMES TOWFER Black, Small</t>
  </si>
  <si>
    <t>VN000K0BBLK1003</t>
  </si>
  <si>
    <t>BY Aractno SS</t>
  </si>
  <si>
    <t>VN000K0BBLK1.  S</t>
  </si>
  <si>
    <t>VN000K0BBLK1003 - BY Aractno SS Black, Small</t>
  </si>
  <si>
    <t>VN000K0C4MG1005</t>
  </si>
  <si>
    <t>Happy Days Sweatpant</t>
  </si>
  <si>
    <t>VN000K0C4MG1.  6</t>
  </si>
  <si>
    <t>VN000K0C4MG1005 - Happy Days Sweatpant Incense, 6</t>
  </si>
  <si>
    <t>VN000K0VBLK1001</t>
  </si>
  <si>
    <t>BY Creepy PO</t>
  </si>
  <si>
    <t>VN000K0VBLK1.  S</t>
  </si>
  <si>
    <t>VN000K0VBLK1001 - BY Creepy PO Black, Small</t>
  </si>
  <si>
    <t>VN000K420411005</t>
  </si>
  <si>
    <t>VN000K420411.  XS</t>
  </si>
  <si>
    <t>VN000K420411005 - Brush Script LOOSE SS Poison Gr, X Small</t>
  </si>
  <si>
    <t>VN000K8PFS81004</t>
  </si>
  <si>
    <t>GR BLOOMER CHILD PO</t>
  </si>
  <si>
    <t>VN000K8PFS81.  XL</t>
  </si>
  <si>
    <t>VN000K8PFS81004 - GR BLOOMER CHILD PO marshmallow, X Large</t>
  </si>
  <si>
    <t>VN000K98BLK1001</t>
  </si>
  <si>
    <t>VN000K98BLK1.  L</t>
  </si>
  <si>
    <t>VN000K98BLK1001 - EXPOSITION CHECK II CRE Black, Large</t>
  </si>
  <si>
    <t>VN000K98BLK1003</t>
  </si>
  <si>
    <t>VN000K98BLK1.  S</t>
  </si>
  <si>
    <t>VN000K98BLK1003 - EXPOSITION CHECK II CRE Black, Small</t>
  </si>
  <si>
    <t>VN000K98EN61003</t>
  </si>
  <si>
    <t>VN000K98EN61.  M</t>
  </si>
  <si>
    <t>VN000K98EN61003 - EXPOSITION CHECK II CRE Pine For, Medium</t>
  </si>
  <si>
    <t>VN000KASBLK1003</t>
  </si>
  <si>
    <t>VN000KASBLK1.  S</t>
  </si>
  <si>
    <t>VN000KASBLK1003 - Mesa Stripe SS Shirt Black, Small</t>
  </si>
  <si>
    <t>VN000KASBN51005</t>
  </si>
  <si>
    <t>BLACK/STORMY WEATHER</t>
  </si>
  <si>
    <t>VN000KASBN51.  XS</t>
  </si>
  <si>
    <t>VN000KASBN51005 - Mesa Stripe SS Shirt BLACK/STOR, X Small</t>
  </si>
  <si>
    <t>VN000KASBTE1003</t>
  </si>
  <si>
    <t>VN000KASBTE1.  XS</t>
  </si>
  <si>
    <t>VN000KASBTE1003 - Mesa Stripe SS Shirt Black/True, X Small</t>
  </si>
  <si>
    <t>VN000KASD3Z1003</t>
  </si>
  <si>
    <t>VN000KASD3Z1.  XL</t>
  </si>
  <si>
    <t>VN000KASD3Z1003 - Mesa Stripe SS Shirt Elm, X Large</t>
  </si>
  <si>
    <t>VN000KASFS81005</t>
  </si>
  <si>
    <t>VN000KASFS81.  XL</t>
  </si>
  <si>
    <t>VN000KASFS81005 - Mesa Stripe SS Shirt marshmallo, X Large</t>
  </si>
  <si>
    <t>VN000KG6BLK1006</t>
  </si>
  <si>
    <t>Riley Parachute Mini Sk</t>
  </si>
  <si>
    <t>VN000KG6BLK1.  M</t>
  </si>
  <si>
    <t>VN000KG6BLK1006 - Riley Parachute Mini Sk Black, Medium</t>
  </si>
  <si>
    <t>VN000KHN7VJ1001</t>
  </si>
  <si>
    <t>Skate Garage Jacket</t>
  </si>
  <si>
    <t>VN000KHN7VJ1.  XL</t>
  </si>
  <si>
    <t>VN000KHN7VJ1001 - Skate Garage Jacket Natural, X Large</t>
  </si>
  <si>
    <t>VN000KHYBLK1003</t>
  </si>
  <si>
    <t>BOUYA CLASSIC FT PO</t>
  </si>
  <si>
    <t>VN000KHYBLK1.  S</t>
  </si>
  <si>
    <t>VN000KHYBLK1003 - BOUYA CLASSIC FT PO Black, Small</t>
  </si>
  <si>
    <t>VN000KTABLK1002</t>
  </si>
  <si>
    <t>VN000KTABLK1.  S</t>
  </si>
  <si>
    <t>VN000KTABLK1002 - MTE Spectrum Windbreake Black, Small</t>
  </si>
  <si>
    <t>Crinkle Iridescent 49%Nylon66 warp with 51% Recycled Poly weft; 86gsm</t>
  </si>
  <si>
    <t>VN000KTBBLK1004</t>
  </si>
  <si>
    <t>VN000KTBBLK1REGXXL</t>
  </si>
  <si>
    <t>VN000KTBBLK1004 - MTE Trek Guide Pant B, XX Large, Regular</t>
  </si>
  <si>
    <t>VN000KTBCI21002</t>
  </si>
  <si>
    <t>VN000KTBCI21REGS</t>
  </si>
  <si>
    <t>VN000KTBCI21002 - MTE Trek Guide Pant RAIN, Small, Regular</t>
  </si>
  <si>
    <t>VN000KTFM8I1005</t>
  </si>
  <si>
    <t>FUN GFX LOOSE SS</t>
  </si>
  <si>
    <t>VN000KTFM8I1.  S</t>
  </si>
  <si>
    <t>VN000KTFM8I1005 - FUN GFX LOOSE SS GRAY MIST, Small</t>
  </si>
  <si>
    <t>VN000KU4BLK1004</t>
  </si>
  <si>
    <t>BARK GFX LOOSE CREW</t>
  </si>
  <si>
    <t>VN000KU4BLK1.  S</t>
  </si>
  <si>
    <t>VN000KU4BLK1004 - BARK GFX LOOSE CREW Black, Small</t>
  </si>
  <si>
    <t>VN000KUE02F1005</t>
  </si>
  <si>
    <t>VN000KUE02F1.  M</t>
  </si>
  <si>
    <t>VN000KUE02F1005 - Bergman Stripe SS Cement Heather, Medium</t>
  </si>
  <si>
    <t>VN000KUE02F1002</t>
  </si>
  <si>
    <t>VN000KUE02F1.  XS</t>
  </si>
  <si>
    <t>VN000KUE02F1002 - Bergman Stripe SS Cement Heathe, X Small</t>
  </si>
  <si>
    <t>VN000KUEJDU1005</t>
  </si>
  <si>
    <t>VN000KUEJDU1.  S</t>
  </si>
  <si>
    <t>VN000KUEJDU1005 - Bergman Stripe SS PARISIAN NIGHT, Small</t>
  </si>
  <si>
    <t>VN000KUQJDU1005</t>
  </si>
  <si>
    <t>Ye Olde Vans Baseball J</t>
  </si>
  <si>
    <t>VN000KUQJDU1.  L</t>
  </si>
  <si>
    <t>VN000KUQJDU1005 - Ye Olde Vans Baseball J PARISIAN, Large</t>
  </si>
  <si>
    <t>VN000KUR7WM1003</t>
  </si>
  <si>
    <t>VN000KUR7WM1.  M</t>
  </si>
  <si>
    <t>VN000KUR7WM1003 - Acid Check Crew Sweater TrBl, Medium</t>
  </si>
  <si>
    <t>VN000KURBLK1004</t>
  </si>
  <si>
    <t>VN000KURBLK1.  L</t>
  </si>
  <si>
    <t>VN000KURBLK1004 - Acid Check Crew Sweater Black, Large</t>
  </si>
  <si>
    <t>VN000KV2JDU1004</t>
  </si>
  <si>
    <t>VN000KV2JDU1.  XL</t>
  </si>
  <si>
    <t>VN000KV2JDU1004 - Drill Chore Corduroy Ja PARISIA, X Large</t>
  </si>
  <si>
    <t>VN000KV2JDU1005</t>
  </si>
  <si>
    <t>VN000KV2JDU1.  XS</t>
  </si>
  <si>
    <t>VN000KV2JDU1005 - Drill Chore Corduroy Ja PARISIA, X Small</t>
  </si>
  <si>
    <t>VN000KVEBLK1002</t>
  </si>
  <si>
    <t>VN000KVEBLK1.  XXL</t>
  </si>
  <si>
    <t>VN000KVEBLK1002 - LX Spade Utility Vest Black, XX Large</t>
  </si>
  <si>
    <t>VN000KYPBLK1008</t>
  </si>
  <si>
    <t>Skate Loose Pleated Pan</t>
  </si>
  <si>
    <t>VN000KYPBLK1REG34</t>
  </si>
  <si>
    <t>VN000KYPBLK1008 - Skate Loose Pleated Pan Bla, 34, Regular</t>
  </si>
  <si>
    <t>VN000KYVBYS1002</t>
  </si>
  <si>
    <t>Skate Mesh SS</t>
  </si>
  <si>
    <t>VN000KYVBYS1.  M</t>
  </si>
  <si>
    <t>VN000KYVBYS1002 - Skate Mesh SS PEYOTE, Medium</t>
  </si>
  <si>
    <t>980% COTTON 2% POLY</t>
  </si>
  <si>
    <t>VN000KYVBYS1004</t>
  </si>
  <si>
    <t>VN000KYVBYS1.  XL</t>
  </si>
  <si>
    <t>VN000KYVBYS1004 - Skate Mesh SS PEYOTE, X Large</t>
  </si>
  <si>
    <t>VN000M056PH1003</t>
  </si>
  <si>
    <t>Skate Tribal PO</t>
  </si>
  <si>
    <t>VN000M056PH1.  XL</t>
  </si>
  <si>
    <t>VN000M056PH1003 - Skate Tribal PO Purple Haze, X Large</t>
  </si>
  <si>
    <t>VN000M081NU1001</t>
  </si>
  <si>
    <t>Skate V Thorn Zip</t>
  </si>
  <si>
    <t>VN000M081NU1.  XXL</t>
  </si>
  <si>
    <t>VN000M081NU1001 - Skate V Thorn Zip Walnut, XX Large</t>
  </si>
  <si>
    <t>VN000M0MBLK1001</t>
  </si>
  <si>
    <t>Skate V Thorn SS Tee</t>
  </si>
  <si>
    <t>VN000M0MBLK1.  S</t>
  </si>
  <si>
    <t>VN000M0MBLK1001 - Skate V Thorn SS Tee Black, Small</t>
  </si>
  <si>
    <t>VN000M0PKCZ1002</t>
  </si>
  <si>
    <t>Skate Mike G. Skull SS</t>
  </si>
  <si>
    <t>VN000M0PKCZ1.  XL</t>
  </si>
  <si>
    <t>VN000M0PKCZ1002 - Skate Mike G. Skull SS GRAPE LE, X Large</t>
  </si>
  <si>
    <t>VN000M0XKCZ1001</t>
  </si>
  <si>
    <t>VN000M0XKCZ1.  L</t>
  </si>
  <si>
    <t>VN000M0XKCZ1001 - Skate Lisa Lisa Crew GRAPE LEAF, Large</t>
  </si>
  <si>
    <t>VN000M0XKCZ1002</t>
  </si>
  <si>
    <t>VN000M0XKCZ1.  M</t>
  </si>
  <si>
    <t>VN000M0XKCZ1002 - Skate Lisa Lisa Crew GRAPE LEAF, Medium</t>
  </si>
  <si>
    <t>VN000M15EBF1005</t>
  </si>
  <si>
    <t>Lawson Stripe SS Woven</t>
  </si>
  <si>
    <t>London Fog/LemonIcing</t>
  </si>
  <si>
    <t>VN000M15EBF1.  XXL</t>
  </si>
  <si>
    <t>VN000M15EBF1005 - Lawson Stripe SS Woven London, XX Large</t>
  </si>
  <si>
    <t>80% Cotton 20% Linen</t>
  </si>
  <si>
    <t>VN000M1ABML1003</t>
  </si>
  <si>
    <t>VN000M1ABML1.  XL</t>
  </si>
  <si>
    <t>VN000M1ABML1003 - Tranquil SS Woven Black/Multi, X Large</t>
  </si>
  <si>
    <t>VN000M1ABML1006</t>
  </si>
  <si>
    <t>VN000M1ABML1.  XS</t>
  </si>
  <si>
    <t>VN000M1ABML1006 - Tranquil SS Woven Black/Multi, X Small</t>
  </si>
  <si>
    <t>VN000M1KBLK1001</t>
  </si>
  <si>
    <t>VN000M1KBLK1.  L</t>
  </si>
  <si>
    <t>VN000M1KBLK1001 - Star V Pullover Black, Large</t>
  </si>
  <si>
    <t>VN000M1KBLK1002</t>
  </si>
  <si>
    <t>VN000M1KBLK1.  M</t>
  </si>
  <si>
    <t>VN000M1KBLK1002 - Star V Pullover Black, Medium</t>
  </si>
  <si>
    <t>VN000M27CFL1007</t>
  </si>
  <si>
    <t>VN000M27CFL1REG26</t>
  </si>
  <si>
    <t>VN000M27CFL1007 - Check-5 Loose Denim Pan CIT, 26, Regular</t>
  </si>
  <si>
    <t>VN000M27CFL1008</t>
  </si>
  <si>
    <t>VN000M27CFL1REG27</t>
  </si>
  <si>
    <t>VN000M27CFL1008 - Check-5 Loose Denim Pan CIT, 27, Regular</t>
  </si>
  <si>
    <t>VN000M27CFL1011</t>
  </si>
  <si>
    <t>VN000M27CFL1REG30</t>
  </si>
  <si>
    <t>VN000M27CFL1011 - Check-5 Loose Denim Pan CIT, 30, Regular</t>
  </si>
  <si>
    <t>VN000M28BR11003</t>
  </si>
  <si>
    <t>VN000M28BR11REG31</t>
  </si>
  <si>
    <t>VN000M28BR11003 - Drill Chore Carpenter L FAI, 31, Regular</t>
  </si>
  <si>
    <t>VN000M29DDN1007</t>
  </si>
  <si>
    <t>VN000M29DDN1REG29</t>
  </si>
  <si>
    <t>VN000M29DDN1007 - Fatigue Loose Tapered D Dar, 29, Regular</t>
  </si>
  <si>
    <t>VN000M2KCI21002</t>
  </si>
  <si>
    <t>MTE Navigate Highpile J</t>
  </si>
  <si>
    <t>VN000M2KCI21.  XXL</t>
  </si>
  <si>
    <t>VN000M2KCI21002 - MTE Navigate Highpile J RAIN F, XX Large</t>
  </si>
  <si>
    <t>VN000M39DZ91011</t>
  </si>
  <si>
    <t>VN000M39DZ91REG30</t>
  </si>
  <si>
    <t>VN000M39DZ91011 - Drill Chore Carpenter L Dir, 30, Regular</t>
  </si>
  <si>
    <t>VN000M3JC9F1002</t>
  </si>
  <si>
    <t>MTE Navigate LS Thermal</t>
  </si>
  <si>
    <t>VN000M3JC9F1.  M</t>
  </si>
  <si>
    <t>VN000M3JC9F1002 - MTE Navigate LS Thermal EGRET, Medium</t>
  </si>
  <si>
    <t>VN000M3VBLK1005</t>
  </si>
  <si>
    <t>VN000M3VBLK1.  M</t>
  </si>
  <si>
    <t>VN000M3VBLK1005 - Read The Room SS Black, Medium</t>
  </si>
  <si>
    <t>VN000M47BLK1002</t>
  </si>
  <si>
    <t>VN000M47BLK1.  S</t>
  </si>
  <si>
    <t>VN000M47BLK1002 - Metal Arch SS Black, Small</t>
  </si>
  <si>
    <t>VN000M4DD6Z1003</t>
  </si>
  <si>
    <t>Original Standards Wash</t>
  </si>
  <si>
    <t>VN000M4DD6Z1.  S</t>
  </si>
  <si>
    <t>VN000M4DD6Z1003 - Original Standards Wash Porcelain, Small</t>
  </si>
  <si>
    <t>VN000M4DJDU1005</t>
  </si>
  <si>
    <t>VN000M4DJDU1.  XL</t>
  </si>
  <si>
    <t>VN000M4DJDU1005 - Original Standards Wash PARISIA, X Large</t>
  </si>
  <si>
    <t>VN000M4M4T11003</t>
  </si>
  <si>
    <t>G HAUMEA PANT</t>
  </si>
  <si>
    <t>Steeple Grey/Pirate Black</t>
  </si>
  <si>
    <t>VN000M4M4T11.  S</t>
  </si>
  <si>
    <t>WOMENS BOTTOMS</t>
  </si>
  <si>
    <t>WOMENS PANTS</t>
  </si>
  <si>
    <t>VN000M4M4T11003 - G HAUMEA PANT StplGry/PirtBlk, Small</t>
  </si>
  <si>
    <t>VN000M4W4SN1005</t>
  </si>
  <si>
    <t>High Risk Red/Star White</t>
  </si>
  <si>
    <t>VN000M4W4SN1.  XXL</t>
  </si>
  <si>
    <t>VN000M4W4SN1005 - M RIDGE PANT HghRskRd/StrWht, XX Large</t>
  </si>
  <si>
    <t>VN000M5JCLH1004</t>
  </si>
  <si>
    <t>Hissterik SS</t>
  </si>
  <si>
    <t>VN000M5JCLH1.  XL</t>
  </si>
  <si>
    <t>VN000M5JCLH1004 - Hissterik SS SHADOW LIME, X Large</t>
  </si>
  <si>
    <t>VN000M6RWHT1001</t>
  </si>
  <si>
    <t>VN000M6RWHT1.  M</t>
  </si>
  <si>
    <t>VN000M6RWHT1001 - Retro Co SS White, Medium</t>
  </si>
  <si>
    <t>VN000M6RWHT1003</t>
  </si>
  <si>
    <t>VN000M6RWHT1.  XL</t>
  </si>
  <si>
    <t>VN000M6RWHT1003 - Retro Co SS White, X Large</t>
  </si>
  <si>
    <t>VN000M6RWHT1005</t>
  </si>
  <si>
    <t>VN000M6RWHT1.  XXL</t>
  </si>
  <si>
    <t>VN000M6RWHT1005 - Retro Co SS White, XX Large</t>
  </si>
  <si>
    <t>VN000M6XEMW1007</t>
  </si>
  <si>
    <t>VN000M6XEMW1.  L</t>
  </si>
  <si>
    <t>VN000M6XEMW1007 - MTE Trek Guide Womens P Gray Oliv, Large</t>
  </si>
  <si>
    <t>VN000M6ZZBF1001</t>
  </si>
  <si>
    <t>VN000M6ZZBF1.  L</t>
  </si>
  <si>
    <t>VN000M6ZZBF1001 - MTE Cascade Pant LODEN GREEN, Large</t>
  </si>
  <si>
    <t>VN000M75BLK1001</t>
  </si>
  <si>
    <t>MTE Trek Guide Womens S</t>
  </si>
  <si>
    <t>VN000M75BLK1.  M</t>
  </si>
  <si>
    <t>VN000M75BLK1001 - MTE Trek Guide Womens S Black, Medium</t>
  </si>
  <si>
    <t>VN000M77C9F1003</t>
  </si>
  <si>
    <t>VN000M77C9F1.  M</t>
  </si>
  <si>
    <t>VN000M77C9F1003 - MTE Outline Hybrid Tank EGRET, Medium</t>
  </si>
  <si>
    <t>VN000M8EBL21010</t>
  </si>
  <si>
    <t>VN000M8EBL21REG28</t>
  </si>
  <si>
    <t>VN000M8EBL21010 - MTE Daily Solid Sidelin HAR, 28, Regular</t>
  </si>
  <si>
    <t>VN000M8EKCZ1007</t>
  </si>
  <si>
    <t>VN000M8EKCZ1REG28</t>
  </si>
  <si>
    <t>VN000M8EKCZ1007 - MTE Daily Solid Sidelin GRA, 28, Regular</t>
  </si>
  <si>
    <t>VN000M8FKCZ1003</t>
  </si>
  <si>
    <t>Daily AOP Sideline Boar</t>
  </si>
  <si>
    <t>VN000M8FKCZ1REG28</t>
  </si>
  <si>
    <t>VN000M8FKCZ1003 - Daily AOP Sideline Boar GRA, 28, Regular</t>
  </si>
  <si>
    <t>VN000M8FKCZ1004</t>
  </si>
  <si>
    <t>VN000M8FKCZ1REG29</t>
  </si>
  <si>
    <t>VN000M8FKCZ1004 - Daily AOP Sideline Boar GRA, 29, Regular</t>
  </si>
  <si>
    <t>VN000M8FKCZ1007</t>
  </si>
  <si>
    <t>VN000M8FKCZ1REG32</t>
  </si>
  <si>
    <t>VN000M8FKCZ1007 - Daily AOP Sideline Boar GRA, 32, Regular</t>
  </si>
  <si>
    <t>VN000M8G1O71010</t>
  </si>
  <si>
    <t>VN000M8G1O71REG28</t>
  </si>
  <si>
    <t>VN000M8G1O71010 - MTE Daily Sideline Boar Asp, 28, Regular</t>
  </si>
  <si>
    <t>VN000M8JY281002</t>
  </si>
  <si>
    <t>VN000M8JY281REG29</t>
  </si>
  <si>
    <t>VN000M8JY281002 - MTE Everride Scalloped Blac, 29, Regular</t>
  </si>
  <si>
    <t>VN000M8NUUI1003</t>
  </si>
  <si>
    <t>VN000M8NUUI1.  XL</t>
  </si>
  <si>
    <t>VN000M8NUUI1003 - Checkered Drip Hoodie EVENING H, X Large</t>
  </si>
  <si>
    <t>VN000M8Q6PH1003</t>
  </si>
  <si>
    <t>Fire In Your Heart Crew</t>
  </si>
  <si>
    <t>VN000M8Q6PH1.  M</t>
  </si>
  <si>
    <t>VN000M8Q6PH1003 - Fire In Your Heart Crew Purple H, Medium</t>
  </si>
  <si>
    <t>VN000M8R1NU1001</t>
  </si>
  <si>
    <t>Skate Thorn Crew Sweate</t>
  </si>
  <si>
    <t>VN000M8R1NU1.  L</t>
  </si>
  <si>
    <t>VN000M8R1NU1001 - Skate Thorn Crew Sweate Walnut, Large</t>
  </si>
  <si>
    <t>VN000M8R1NU1004</t>
  </si>
  <si>
    <t>VN000M8R1NU1.  XL</t>
  </si>
  <si>
    <t>VN000M8R1NU1004 - Skate Thorn Crew Sweate Walnut, X Large</t>
  </si>
  <si>
    <t>VN000M8R1NU1006</t>
  </si>
  <si>
    <t>VN000M8R1NU1.  XXL</t>
  </si>
  <si>
    <t>VN000M8R1NU1006 - Skate Thorn Crew Sweate Walnut, XX Large</t>
  </si>
  <si>
    <t>VN000M8UBLK1004</t>
  </si>
  <si>
    <t>VN000M8UBLK1.  L</t>
  </si>
  <si>
    <t>VN000M8UBLK1004 - Drew Rib Tube Top Black, Large</t>
  </si>
  <si>
    <t>VN000M9A1O71005</t>
  </si>
  <si>
    <t>VN000M9A1O71.  XS</t>
  </si>
  <si>
    <t>VN000M9A1O71005 - Cassidy Camp Shirt Asphalt, X Small</t>
  </si>
  <si>
    <t>VN000M9DZBF1007</t>
  </si>
  <si>
    <t>VN000M9DZBF1.  XXS</t>
  </si>
  <si>
    <t>VN000M9DZBF1007 - Stevies Sports Jersey LODEN GR, XX Small</t>
  </si>
  <si>
    <t>VN000M9HBLK1001</t>
  </si>
  <si>
    <t>Mila Open Knit Crop Cre</t>
  </si>
  <si>
    <t>VN000M9HBLK1.  L</t>
  </si>
  <si>
    <t>VN000M9HBLK1001 - Mila Open Knit Crop Cre Black, Large</t>
  </si>
  <si>
    <t>80% Cotton 20% Acrylic</t>
  </si>
  <si>
    <t>VN000M9HBLK1002</t>
  </si>
  <si>
    <t>VN000M9HBLK1.  M</t>
  </si>
  <si>
    <t>VN000M9HBLK1002 - Mila Open Knit Crop Cre Black, Medium</t>
  </si>
  <si>
    <t>VN000M9HBLK1003</t>
  </si>
  <si>
    <t>VN000M9HBLK1.  S</t>
  </si>
  <si>
    <t>VN000M9HBLK1003 - Mila Open Knit Crop Cre Black, Small</t>
  </si>
  <si>
    <t>VN000M9HFS81001</t>
  </si>
  <si>
    <t>VN000M9HFS81.  L</t>
  </si>
  <si>
    <t>VN000M9HFS81001 - Mila Open Knit Crop Cre marshmall, Large</t>
  </si>
  <si>
    <t>VN000M9HFS81002</t>
  </si>
  <si>
    <t>VN000M9HFS81.  M</t>
  </si>
  <si>
    <t>VN000M9HFS81002 - Mila Open Knit Crop Cre marshmal, Medium</t>
  </si>
  <si>
    <t>VN000M9HFS81003</t>
  </si>
  <si>
    <t>VN000M9HFS81.  S</t>
  </si>
  <si>
    <t>VN000M9HFS81003 - Mila Open Knit Crop Cre marshmall, Small</t>
  </si>
  <si>
    <t>VN000M9HFS81004</t>
  </si>
  <si>
    <t>VN000M9HFS81.  XL</t>
  </si>
  <si>
    <t>VN000M9HFS81004 - Mila Open Knit Crop Cre marshma, X Large</t>
  </si>
  <si>
    <t>VN000M9HFS81006</t>
  </si>
  <si>
    <t>VN000M9HFS81.  XXL</t>
  </si>
  <si>
    <t>VN000M9HFS81006 - Mila Open Knit Crop Cre marshm, XX Large</t>
  </si>
  <si>
    <t>VN000M9SBLK1005</t>
  </si>
  <si>
    <t>VN000M9SBLK1.  XL</t>
  </si>
  <si>
    <t>VN000M9SBLK1005 - Retro Crew Black, X Large</t>
  </si>
  <si>
    <t>VN000M9SRV21002</t>
  </si>
  <si>
    <t>VN000M9SRV21.  M</t>
  </si>
  <si>
    <t>VN000M9SRV21002 - Retro Crew STORMY WEATHER, Medium</t>
  </si>
  <si>
    <t>VN000MA21O71004</t>
  </si>
  <si>
    <t>VN000MA21O71.  XS</t>
  </si>
  <si>
    <t>VN000MA21O71004 - Retro PO Hoodie Asphalt, X Small</t>
  </si>
  <si>
    <t>VN000MA2CLH1002</t>
  </si>
  <si>
    <t>VN000MA2CLH1.  M</t>
  </si>
  <si>
    <t>VN000MA2CLH1002 - Retro PO Hoodie SHADOW LIME, Medium</t>
  </si>
  <si>
    <t>VN000MA2UUI1004</t>
  </si>
  <si>
    <t>VN000MA2UUI1.  L</t>
  </si>
  <si>
    <t>VN000MA2UUI1004 - Retro PO Hoodie EVENING HAZE, Large</t>
  </si>
  <si>
    <t>VN000MA2UUI1001</t>
  </si>
  <si>
    <t>VN000MA2UUI1.  XL</t>
  </si>
  <si>
    <t>VN000MA2UUI1001 - Retro PO Hoodie EVENING HAZE, X Large</t>
  </si>
  <si>
    <t>VN000MA2UUI1007</t>
  </si>
  <si>
    <t>VN000MA2UUI1.  XS</t>
  </si>
  <si>
    <t>VN000MA2UUI1007 - Retro PO Hoodie EVENING HAZE, X Small</t>
  </si>
  <si>
    <t>VN000MA9ZBF1007</t>
  </si>
  <si>
    <t>VN000MA9ZBF1.  L</t>
  </si>
  <si>
    <t>VN000MA9ZBF1007 - Firemade Bloussant Hood LODEN GRE, Large</t>
  </si>
  <si>
    <t>VN000MAEBLK1003</t>
  </si>
  <si>
    <t>VN000MAEBLK1.  L</t>
  </si>
  <si>
    <t>VN000MAEBLK1003 - Detention OS Hoodie Black, Large</t>
  </si>
  <si>
    <t>VN000MAEBLK1007</t>
  </si>
  <si>
    <t>VN000MAEBLK1.  XXS</t>
  </si>
  <si>
    <t>VN000MAEBLK1007 - Detention OS Hoodie Black, XX Small</t>
  </si>
  <si>
    <t>VN000MAT7WM1005</t>
  </si>
  <si>
    <t>VN000MAT7WM1.  L</t>
  </si>
  <si>
    <t>VN000MAT7WM1005 - Relay Track Pant TrBl, Large</t>
  </si>
  <si>
    <t>VN000MAT7WM1001</t>
  </si>
  <si>
    <t>VN000MAT7WM1.  XL</t>
  </si>
  <si>
    <t>VN000MAT7WM1001 - Relay Track Pant TrBl, X Large</t>
  </si>
  <si>
    <t>VN000MB2EB21010</t>
  </si>
  <si>
    <t>VN000MB2EB21.  22</t>
  </si>
  <si>
    <t>VN000MB2EB21010 - Sirelle Printed Puddle Black/Parisia, 22</t>
  </si>
  <si>
    <t>VN000MB2EB21013</t>
  </si>
  <si>
    <t>VN000MB2EB21.  25</t>
  </si>
  <si>
    <t>VN000MB2EB21013 - Sirelle Printed Puddle Black/Parisia, 25</t>
  </si>
  <si>
    <t>VN000MB2EB21005</t>
  </si>
  <si>
    <t>VN000MB2EB21.  30</t>
  </si>
  <si>
    <t>VN000MB2EB21005 - Sirelle Printed Puddle Black/Parisia, 30</t>
  </si>
  <si>
    <t>VN000MB31O71006</t>
  </si>
  <si>
    <t>VN000MB31O71.  29</t>
  </si>
  <si>
    <t>VN000MB31O71006 - Cobra Cargo Pants Asphalt, 29</t>
  </si>
  <si>
    <t>VN000MB3ZBF1010</t>
  </si>
  <si>
    <t>VN000MB3ZBF1.  25</t>
  </si>
  <si>
    <t>VN000MB3ZBF1010 - Cobra Cargo Pants LODEN GREEN, 25</t>
  </si>
  <si>
    <t>VN000MB5F2D1010</t>
  </si>
  <si>
    <t>Towel Wash</t>
  </si>
  <si>
    <t>VN000MB5F2D1.  30</t>
  </si>
  <si>
    <t>VN000MB5F2D1010 - Sirelle 5 Pocket Puddle Towel Wash, 30</t>
  </si>
  <si>
    <t>VN000MBB4MG1004</t>
  </si>
  <si>
    <t>VN000MBB4MG1.  32</t>
  </si>
  <si>
    <t>VN000MBB4MG1004 - Union Short Incense, 32</t>
  </si>
  <si>
    <t>VN000MBEFS81006</t>
  </si>
  <si>
    <t>VN000MBEFS81.  30</t>
  </si>
  <si>
    <t>VN000MBEFS81006 - Jennifer Shortie marshmallow, 30</t>
  </si>
  <si>
    <t>VN000MBX1O71007</t>
  </si>
  <si>
    <t>VN000MBX1O71.  XXS</t>
  </si>
  <si>
    <t>VN000MBX1O71007 - Blur Fitted Crop Tank Asphalt, XX Small</t>
  </si>
  <si>
    <t>VN000MBXFS81004</t>
  </si>
  <si>
    <t>VN000MBXFS81.  XL</t>
  </si>
  <si>
    <t>VN000MBXFS81004 - Blur Fitted Crop Tank marshmall, X Large</t>
  </si>
  <si>
    <t>VN000MC0WHT1001</t>
  </si>
  <si>
    <t>VN000MC0WHT1.  L</t>
  </si>
  <si>
    <t>VN000MC0WHT1001 - Check Wash Fitted Crop White, Large</t>
  </si>
  <si>
    <t>VN000MC1BLK1007</t>
  </si>
  <si>
    <t>Venom Fitted Crop Tank</t>
  </si>
  <si>
    <t>VN000MC1BLK1.  XXS</t>
  </si>
  <si>
    <t>VN000MC1BLK1007 - Venom Fitted Crop Tank Black, XX Small</t>
  </si>
  <si>
    <t>VN000MCP1O71005</t>
  </si>
  <si>
    <t>Conduit Oversized SS</t>
  </si>
  <si>
    <t>VN000MCP1O71.  XS</t>
  </si>
  <si>
    <t>VN000MCP1O71005 - Conduit Oversized SS Asphalt, X Small</t>
  </si>
  <si>
    <t>VN000MCRBLK1004</t>
  </si>
  <si>
    <t>VN000MCRBLK1.  XL</t>
  </si>
  <si>
    <t>VN000MCRBLK1004 - Decay Oversized SS Black, X Large</t>
  </si>
  <si>
    <t>VN000MCU1O71001</t>
  </si>
  <si>
    <t>Trailblazen Oversized S</t>
  </si>
  <si>
    <t>VN000MCU1O71.  XXS</t>
  </si>
  <si>
    <t>VN000MCU1O71001 - Trailblazen Oversized S Asphal, XX Small</t>
  </si>
  <si>
    <t>VN000MDBBLK1005</t>
  </si>
  <si>
    <t>Breaker LS Relax Crop</t>
  </si>
  <si>
    <t>VN000MDBBLK1.  S</t>
  </si>
  <si>
    <t>VN000MDBBLK1005 - Breaker LS Relax Crop Black, Small</t>
  </si>
  <si>
    <t>VN000MDSYB21001</t>
  </si>
  <si>
    <t>VN000MDSYB21.  L</t>
  </si>
  <si>
    <t>VN000MDSYB21001 - Clare Raglan Tee White/Black, Large</t>
  </si>
  <si>
    <t>VN000MEPJDU1001</t>
  </si>
  <si>
    <t>VN000MEPJDU1.  7</t>
  </si>
  <si>
    <t>VN000MEPJDU1001 - Union Short PARISIAN NIGHT, 7</t>
  </si>
  <si>
    <t>VN000MEZWHT1004</t>
  </si>
  <si>
    <t>Bright Future Relaxed C</t>
  </si>
  <si>
    <t>VN000MEZWHT1.  XL</t>
  </si>
  <si>
    <t>VN000MEZWHT1004 - Bright Future Relaxed C White, X Large</t>
  </si>
  <si>
    <t>VN000MF0BLK1001</t>
  </si>
  <si>
    <t>VN000MF0BLK1.  M</t>
  </si>
  <si>
    <t>VN000MF0BLK1001 - Daisy Break SS Black, Medium</t>
  </si>
  <si>
    <t>VN000MG8UUI1004</t>
  </si>
  <si>
    <t>VN000MG8UUI1.  6X</t>
  </si>
  <si>
    <t>VN000MG8UUI1004 - Daisy Break SS EVENING HAZE, 6X</t>
  </si>
  <si>
    <t>VN000MGGBLK1001</t>
  </si>
  <si>
    <t>VN000MGGBLK1.  L</t>
  </si>
  <si>
    <t>VN000MGGBLK1001 - Lawson Solid SS Woven Black, Large</t>
  </si>
  <si>
    <t>VN000MGUCI21004</t>
  </si>
  <si>
    <t>LX Slap SS Tee</t>
  </si>
  <si>
    <t>VN000MGUCI21.  M</t>
  </si>
  <si>
    <t>VN000MGUCI21004 - LX Slap SS Tee RAIN FOREST, Medium</t>
  </si>
  <si>
    <t>VN000MGUCI21005</t>
  </si>
  <si>
    <t>VN000MGUCI21.  S</t>
  </si>
  <si>
    <t>VN000MGUCI21005 - LX Slap SS Tee RAIN FOREST, Small</t>
  </si>
  <si>
    <t>VN000MHGBLK1001</t>
  </si>
  <si>
    <t>Headwaves Loose Pullove</t>
  </si>
  <si>
    <t>VN000MHGBLK1.  L</t>
  </si>
  <si>
    <t>VN000MHGBLK1001 - Headwaves Loose Pullove Black, Large</t>
  </si>
  <si>
    <t>VN000MHGBLK1002</t>
  </si>
  <si>
    <t>VN000MHGBLK1.  M</t>
  </si>
  <si>
    <t>VN000MHGBLK1002 - Headwaves Loose Pullove Black, Medium</t>
  </si>
  <si>
    <t>VN000MHGBLK1003</t>
  </si>
  <si>
    <t>VN000MHGBLK1.  S</t>
  </si>
  <si>
    <t>VN000MHGBLK1003 - Headwaves Loose Pullove Black, Small</t>
  </si>
  <si>
    <t>VN000MJTLVB1001</t>
  </si>
  <si>
    <t>Range Cargo Loose Short</t>
  </si>
  <si>
    <t>VN000MJTLVB1REGXL</t>
  </si>
  <si>
    <t>VN000MJTLVB1001 - Range Cargo Loose Shor, X Large, Regular</t>
  </si>
  <si>
    <t>VN000MK2BL21001</t>
  </si>
  <si>
    <t>VN000MK2BL21.  L</t>
  </si>
  <si>
    <t>VN000MK2BL21001 - Sneaky SS HARVEST GOLD, Large</t>
  </si>
  <si>
    <t>VN000MK6C9L1004</t>
  </si>
  <si>
    <t>VN000MK6C9L1.  XL</t>
  </si>
  <si>
    <t>VN000MK6C9L1004 - Checker Drop SS CHERRIES JUBILE, X Large</t>
  </si>
  <si>
    <t>VN000MK8BR11002</t>
  </si>
  <si>
    <t>VN000MK8BR11.  M</t>
  </si>
  <si>
    <t>VN000MK8BR11002 - Mister Sinister SS FAIRWAY, Medium</t>
  </si>
  <si>
    <t>VN000MKEBLK1001</t>
  </si>
  <si>
    <t>Inter V SS</t>
  </si>
  <si>
    <t>VN000MKEBLK1.  L</t>
  </si>
  <si>
    <t>VN000MKEBLK1001 - Inter V SS Black, Large</t>
  </si>
  <si>
    <t>VN000MKGBLK1001</t>
  </si>
  <si>
    <t>VSuper SS</t>
  </si>
  <si>
    <t>VN000MKGBLK1.  L</t>
  </si>
  <si>
    <t>VN000MKGBLK1001 - VSuper SS Black, Large</t>
  </si>
  <si>
    <t>VN000MKPBLK1003</t>
  </si>
  <si>
    <t>Jangled SS</t>
  </si>
  <si>
    <t>VN000MKPBLK1.  S</t>
  </si>
  <si>
    <t>VN000MKPBLK1003 - Jangled SS Black, Small</t>
  </si>
  <si>
    <t>VN000MKUWHT1004</t>
  </si>
  <si>
    <t>VN000MKUWHT1.  XL</t>
  </si>
  <si>
    <t>VN000MKUWHT1004 - Old Skool SS White, X Large</t>
  </si>
  <si>
    <t>VN000MKYBLK1002</t>
  </si>
  <si>
    <t>VN000MKYBLK1.  M</t>
  </si>
  <si>
    <t>VN000MKYBLK1002 - Retro Co SS Black, Medium</t>
  </si>
  <si>
    <t>VN000MKYWHT1002</t>
  </si>
  <si>
    <t>VN000MKYWHT1.  M</t>
  </si>
  <si>
    <t>VN000MKYWHT1002 - Retro Co SS White, Medium</t>
  </si>
  <si>
    <t>VN000MM1WHT1001</t>
  </si>
  <si>
    <t>VN000MM1WHT1.  L</t>
  </si>
  <si>
    <t>VN000MM1WHT1001 - Patched In SS White, Large</t>
  </si>
  <si>
    <t>VN000MM1WHT1002</t>
  </si>
  <si>
    <t>VN000MM1WHT1.  M</t>
  </si>
  <si>
    <t>VN000MM1WHT1002 - Patched In SS White, Medium</t>
  </si>
  <si>
    <t>VN000MM4RNE1003</t>
  </si>
  <si>
    <t>Headwaves SS</t>
  </si>
  <si>
    <t>VN000MM4RNE1.  S</t>
  </si>
  <si>
    <t>VN000MM4RNE1003 - Headwaves SS HINT OF MINT, Small</t>
  </si>
  <si>
    <t>VN000MM5BLK1002</t>
  </si>
  <si>
    <t>Bone Yard SS</t>
  </si>
  <si>
    <t>VN000MM5BLK1.  M</t>
  </si>
  <si>
    <t>VN000MM5BLK1002 - Bone Yard SS Black, Medium</t>
  </si>
  <si>
    <t>VN000MMD02F1004</t>
  </si>
  <si>
    <t>Stacked Pullover</t>
  </si>
  <si>
    <t>VN000MMD02F1.  4</t>
  </si>
  <si>
    <t>VN000MMD02F1004 - Stacked Pullover Cement Heather, 4</t>
  </si>
  <si>
    <t>VN000MMNCLH1005</t>
  </si>
  <si>
    <t>Stacked SS</t>
  </si>
  <si>
    <t>VN000MMNCLH1.  2</t>
  </si>
  <si>
    <t>VN000MMNCLH1005 - Stacked SS SHADOW LIME, 2</t>
  </si>
  <si>
    <t>VN000MMNCLH1002</t>
  </si>
  <si>
    <t>VN000MMNCLH1.  6</t>
  </si>
  <si>
    <t>VN000MMNCLH1002 - Stacked SS SHADOW LIME, 6</t>
  </si>
  <si>
    <t>VN000MN2BR11003</t>
  </si>
  <si>
    <t>VN000MN2BR11.  S</t>
  </si>
  <si>
    <t>VN000MN2BR11003 - Sixty Sixers Jersey Dre FAIRWAY, Small</t>
  </si>
  <si>
    <t>VN000ND8JDU1004</t>
  </si>
  <si>
    <t>VN000ND8JDU1.  XXL</t>
  </si>
  <si>
    <t>VN000ND8JDU1004 - Braden Stripe Knit PARISIAN NI, XX Large</t>
  </si>
  <si>
    <t>VN000ND8WHT1002</t>
  </si>
  <si>
    <t>VN000ND8WHT1.  L</t>
  </si>
  <si>
    <t>VN000ND8WHT1002 - Braden Stripe Knit White, Large</t>
  </si>
  <si>
    <t>VN000NDPD451005</t>
  </si>
  <si>
    <t>Slip Stream Vest</t>
  </si>
  <si>
    <t>VN000NDPD451.  S</t>
  </si>
  <si>
    <t>VN000NDPD451005 - Slip Stream Vest Lavender Mist, Small</t>
  </si>
  <si>
    <t>VN000NHPBLK1003</t>
  </si>
  <si>
    <t>Next Stop SS</t>
  </si>
  <si>
    <t>VN000NHPBLK1.  S</t>
  </si>
  <si>
    <t>VN000NHPBLK1003 - Next Stop SS Black, Small</t>
  </si>
  <si>
    <t>VN000NKKBLK1006</t>
  </si>
  <si>
    <t>MTE Lewis Windbreaker</t>
  </si>
  <si>
    <t>VN000NKKBLK1.  XXL</t>
  </si>
  <si>
    <t>VN000NKKBLK1006 - MTE Lewis Windbreaker Black, XX Large</t>
  </si>
  <si>
    <t>Shell 100% Nylon Lining 100% Polyester</t>
  </si>
  <si>
    <t>VN000NTSD6Z1005</t>
  </si>
  <si>
    <t>VN000NTSD6Z1.  XS</t>
  </si>
  <si>
    <t>VN000NTSD6Z1005 - 66 BAKED IN LOOSE SS Porcelain, X Small</t>
  </si>
  <si>
    <t>VN000NTSD6Z1006</t>
  </si>
  <si>
    <t>VN000NTSD6Z1.  XXL</t>
  </si>
  <si>
    <t>VN000NTSD6Z1006 - 66 BAKED IN LOOSE SS Porcelain, XX Large</t>
  </si>
  <si>
    <t>VN000NVAJDU1004</t>
  </si>
  <si>
    <t>Half Box Crew</t>
  </si>
  <si>
    <t>VN000NVAJDU1.  L</t>
  </si>
  <si>
    <t>VN000NVAJDU1004 - Half Box Crew PARISIAN NIGHT, Large</t>
  </si>
  <si>
    <t>VN000NWBBLK1006</t>
  </si>
  <si>
    <t>VN000NWBBLK1.  L</t>
  </si>
  <si>
    <t>VN000NWBBLK1006 - ESSENTIAL FT RELAXED CR Black, Large</t>
  </si>
  <si>
    <t>VN000NWBCFL1003</t>
  </si>
  <si>
    <t>VN000NWBCFL1.  S</t>
  </si>
  <si>
    <t>VN000NWBCFL1003 - ESSENTIAL FT RELAXED CR CITADEL, Small</t>
  </si>
  <si>
    <t>VN000NWEBLK1001</t>
  </si>
  <si>
    <t>ESSENTIAL FT RELAXED PO</t>
  </si>
  <si>
    <t>VN000NWEBLK1.  L</t>
  </si>
  <si>
    <t>VN000NWEBLK1001 - ESSENTIAL FT RELAXED PO Black, Large</t>
  </si>
  <si>
    <t>VN000NWN1O71001</t>
  </si>
  <si>
    <t>Z LEGACY LOOSE SS</t>
  </si>
  <si>
    <t>VN000NWN1O71.  L</t>
  </si>
  <si>
    <t>VN000NWN1O71001 - Z LEGACY LOOSE SS Asphalt, Large</t>
  </si>
  <si>
    <t>VN000NWNE2Z1004</t>
  </si>
  <si>
    <t>VN000NWNE2Z1.  M</t>
  </si>
  <si>
    <t>VN000NWNE2Z1004 - Z LEGACY LOOSE SS Red Ochre, Medium</t>
  </si>
  <si>
    <t>VN000NWPFS81006</t>
  </si>
  <si>
    <t>VN000NWPFS81.  XXL</t>
  </si>
  <si>
    <t>VN000NWPFS81006 - Z LEGACY LOOSE FT PO marshmall, XX Large</t>
  </si>
  <si>
    <t>VN000NY1C9L1002</t>
  </si>
  <si>
    <t>VN000NY1C9L1.  M</t>
  </si>
  <si>
    <t>VN000NY1C9L1002 - ETHEREAL RETRO FIT PO CHERRIES J, Medium</t>
  </si>
  <si>
    <t>VN000NZDC9L1002</t>
  </si>
  <si>
    <t>VN000NZDC9L1.  M</t>
  </si>
  <si>
    <t>VN000NZDC9L1002 - TAF FT LOOSE PO CHERRIES JUBILE, Medium</t>
  </si>
  <si>
    <t>VN000OI0IND1001</t>
  </si>
  <si>
    <t>BY V76 SKINNY BOYS</t>
  </si>
  <si>
    <t>Indigo</t>
  </si>
  <si>
    <t>VN000OI0IND124 22</t>
  </si>
  <si>
    <t>KIDS BOTTOMS</t>
  </si>
  <si>
    <t>KIDS DENIM</t>
  </si>
  <si>
    <t>F02018</t>
  </si>
  <si>
    <t>VN000OI0IND1001 - BY V76 SKINNY BOYS INDIGO, 22, 24</t>
  </si>
  <si>
    <t>98% Cotton / 2% Spandex</t>
  </si>
  <si>
    <t>VN000P1P12Q1004</t>
  </si>
  <si>
    <t>VN000P1P12Q1.  XL</t>
  </si>
  <si>
    <t>VN000P1P12Q1004 - LEFT CHEST II LOOSE SS Solar, X Large</t>
  </si>
  <si>
    <t>VN000P1P6PH1002</t>
  </si>
  <si>
    <t>VN000P1P6PH1.  M</t>
  </si>
  <si>
    <t>VN000P1P6PH1002 - LEFT CHEST II LOOSE SS Purple Ha, Medium</t>
  </si>
  <si>
    <t>VN000P1PBR11005</t>
  </si>
  <si>
    <t>VN000P1PBR11.  M</t>
  </si>
  <si>
    <t>VN000P1PBR11005 - LEFT CHEST II LOOSE SS FAIRWAY, Medium</t>
  </si>
  <si>
    <t>VN000P1PBR11006</t>
  </si>
  <si>
    <t>VN000P1PBR11.  XS</t>
  </si>
  <si>
    <t>VN000P1PBR11006 - LEFT CHEST II LOOSE SS FAIRWAY, X Small</t>
  </si>
  <si>
    <t>VN000P1PCLH1003</t>
  </si>
  <si>
    <t>VN000P1PCLH1.  L</t>
  </si>
  <si>
    <t>VN000P1PCLH1003 - LEFT CHEST II LOOSE SS SHADOW LIM, Large</t>
  </si>
  <si>
    <t>VN000P1PE301002</t>
  </si>
  <si>
    <t>VN000P1PE301.  XL</t>
  </si>
  <si>
    <t>VN000P1PE301002 - LEFT CHEST II LOOSE SS Lemon Ic, X Large</t>
  </si>
  <si>
    <t>VN000P1PEML1002</t>
  </si>
  <si>
    <t>VN000P1PEML1.  XS</t>
  </si>
  <si>
    <t>VN000P1PEML1002 - LEFT CHEST II LOOSE SS Cloud Bl, X Small</t>
  </si>
  <si>
    <t>VN000P1PEMU1005</t>
  </si>
  <si>
    <t>VN000P1PEMU1.  S</t>
  </si>
  <si>
    <t>VN000P1PEMU1005 - LEFT CHEST II LOOSE SS Dried Kelp, Small</t>
  </si>
  <si>
    <t>VN000P1PEMU1002</t>
  </si>
  <si>
    <t>VN000P1PEMU1.  XS</t>
  </si>
  <si>
    <t>VN000P1PEMU1002 - LEFT CHEST II LOOSE SS Dried Ke, X Small</t>
  </si>
  <si>
    <t>VN000P1PRNE1001</t>
  </si>
  <si>
    <t>VN000P1PRNE1.  XXL</t>
  </si>
  <si>
    <t>VN000P1PRNE1001 - LEFT CHEST II LOOSE SS HINT OF, XX Large</t>
  </si>
  <si>
    <t>VN000P1PZRY1006</t>
  </si>
  <si>
    <t>VN000P1PZRY1.  XXL</t>
  </si>
  <si>
    <t>VN000P1PZRY1006 - LEFT CHEST II LOOSE SS MAUVEWO, XX Large</t>
  </si>
  <si>
    <t>VN000P1S1QI1004</t>
  </si>
  <si>
    <t>VN000P1S1QI1.  XL</t>
  </si>
  <si>
    <t>VN000P1S1QI1004 - LEFT CHEST II LOOSE LS Light Gr, X Large</t>
  </si>
  <si>
    <t>VN000P20EMU1003</t>
  </si>
  <si>
    <t>VN000P20EMU1.  XS</t>
  </si>
  <si>
    <t>VN000P20EMU1003 - LEFT CHEST II LOOSE CRE Dried K, X Small</t>
  </si>
  <si>
    <t>VN000P21EMU1002</t>
  </si>
  <si>
    <t>VN000P21EMU1.  XXL</t>
  </si>
  <si>
    <t>VN000P21EMU1002 - LEFT CHEST II LOOSE PO Dried K, XX Large</t>
  </si>
  <si>
    <t>VN000P21JDU1002</t>
  </si>
  <si>
    <t>VN000P21JDU1.  M</t>
  </si>
  <si>
    <t>VN000P21JDU1002 - LEFT CHEST II LOOSE PO PARISIAN, Medium</t>
  </si>
  <si>
    <t>VN000P21JDU1005</t>
  </si>
  <si>
    <t>VN000P21JDU1.  S</t>
  </si>
  <si>
    <t>VN000P21JDU1005 - LEFT CHEST II LOOSE PO PARISIAN N, Small</t>
  </si>
  <si>
    <t>VN000P4YBLK1003</t>
  </si>
  <si>
    <t>VN000P4YBLK1.  S</t>
  </si>
  <si>
    <t>VN000P4YBLK1003 - TAF LOOSE SS Black, Small</t>
  </si>
  <si>
    <t>VN000P50E301004</t>
  </si>
  <si>
    <t>VN000P50E301.  M</t>
  </si>
  <si>
    <t>VN000P50E301004 - STYLE 76 II LOOSE SS TE Lemon Ic, Medium</t>
  </si>
  <si>
    <t>VN000P50EMF1006</t>
  </si>
  <si>
    <t>VN000P50EMF1.  XS</t>
  </si>
  <si>
    <t>VN000P50EMF1006 - STYLE 76 II LOOSE SS TE Bay Lea, X Small</t>
  </si>
  <si>
    <t>VN000P50O321003</t>
  </si>
  <si>
    <t>VN000P50O321.  M</t>
  </si>
  <si>
    <t>VN000P50O321003 - STYLE 76 II LOOSE SS TE PASTEL P, Medium</t>
  </si>
  <si>
    <t>VN000P50Y281002</t>
  </si>
  <si>
    <t>VN000P50Y281.  M</t>
  </si>
  <si>
    <t>VN000P50Y281002 - STYLE 76 II LOOSE SS TE Black/Wh, Medium</t>
  </si>
  <si>
    <t>VN000P50Y281005</t>
  </si>
  <si>
    <t>VN000P50Y281.  XS</t>
  </si>
  <si>
    <t>VN000P50Y281005 - STYLE 76 II LOOSE SS TE Black/W, X Small</t>
  </si>
  <si>
    <t>VN000P50Y281006</t>
  </si>
  <si>
    <t>VN000P50Y281.  XXL</t>
  </si>
  <si>
    <t>VN000P50Y281006 - STYLE 76 II LOOSE SS TE Black/, XX Large</t>
  </si>
  <si>
    <t>VN000P50YB21002</t>
  </si>
  <si>
    <t>VN000P50YB21.  L</t>
  </si>
  <si>
    <t>VN000P50YB21002 - STYLE 76 II LOOSE SS TE White/Bla, Large</t>
  </si>
  <si>
    <t>VN000P511QI1006</t>
  </si>
  <si>
    <t>VN000P511QI1.  S</t>
  </si>
  <si>
    <t>VN000P511QI1006 - STYLE 76 II LOOSE FT PO Light Gre, Small</t>
  </si>
  <si>
    <t>VN000P519JC1005</t>
  </si>
  <si>
    <t>VN000P519JC1.  XL</t>
  </si>
  <si>
    <t>VN000P519JC1005 - STYLE 76 II LOOSE FT PO Bungee, X Large</t>
  </si>
  <si>
    <t>VN000P51O321003</t>
  </si>
  <si>
    <t>VN000P51O321.  S</t>
  </si>
  <si>
    <t>VN000P51O321003 - STYLE 76 II LOOSE FT PO PASTEL PI, Small</t>
  </si>
  <si>
    <t>VN000P51O321004</t>
  </si>
  <si>
    <t>VN000P51O321.  XL</t>
  </si>
  <si>
    <t>VN000P51O321004 - STYLE 76 II LOOSE FT PO PASTEL, X Large</t>
  </si>
  <si>
    <t>VN000P51Y281006</t>
  </si>
  <si>
    <t>VN000P51Y281.  XS</t>
  </si>
  <si>
    <t>VN000P51Y281006 - STYLE 76 II LOOSE FT PO Black/W, X Small</t>
  </si>
  <si>
    <t>VN000P521QI1006</t>
  </si>
  <si>
    <t>VN000P521QI1.  XXL</t>
  </si>
  <si>
    <t>VN000P521QI1006 - STYLE 76 II LOOSE FT CR Light, XX Large</t>
  </si>
  <si>
    <t>VN000P52EMS1006</t>
  </si>
  <si>
    <t>VN000P52EMS1.  L</t>
  </si>
  <si>
    <t>VN000P52EMS1006 - STYLE 76 II LOOSE FT CR Dark Port, Large</t>
  </si>
  <si>
    <t>VN000P52EMS1001</t>
  </si>
  <si>
    <t>VN000P52EMS1.  M</t>
  </si>
  <si>
    <t>VN000P52EMS1001 - STYLE 76 II LOOSE FT CR Dark Por, Medium</t>
  </si>
  <si>
    <t>VN000P52EMS1002</t>
  </si>
  <si>
    <t>VN000P52EMS1.  S</t>
  </si>
  <si>
    <t>VN000P52EMS1002 - STYLE 76 II LOOSE FT CR Dark Port, Small</t>
  </si>
  <si>
    <t>VN000P52Y281001</t>
  </si>
  <si>
    <t>VN000P52Y281.  L</t>
  </si>
  <si>
    <t>VN000P52Y281001 - STYLE 76 II LOOSE FT CR Black/Whi, Large</t>
  </si>
  <si>
    <t>VN000P54WHT1001</t>
  </si>
  <si>
    <t>Original Standards SS</t>
  </si>
  <si>
    <t>VN000P54WHT1.  L</t>
  </si>
  <si>
    <t>VN000P54WHT1001 - Original Standards SS White, Large</t>
  </si>
  <si>
    <t>VN000P54WHT1003</t>
  </si>
  <si>
    <t>VN000P54WHT1.  S</t>
  </si>
  <si>
    <t>VN000P54WHT1003 - Original Standards SS White, Small</t>
  </si>
  <si>
    <t>VN000P54ZUJ1004</t>
  </si>
  <si>
    <t>VN000P54ZUJ1.  S</t>
  </si>
  <si>
    <t>VN000P54ZUJ1004 - Original Standards SS LONDON FOG, Small</t>
  </si>
  <si>
    <t>VN000P56CHG1002</t>
  </si>
  <si>
    <t>VN000P56CHG1.  M</t>
  </si>
  <si>
    <t>VN000P56CHG1002 - SALTON LOOSE SS DEEP TAUPE, Medium</t>
  </si>
  <si>
    <t>VN000P56CHG1006</t>
  </si>
  <si>
    <t>VN000P56CHG1.  XXL</t>
  </si>
  <si>
    <t>VN000P56CHG1006 - SALTON LOOSE SS DEEP TAUPE, XX Large</t>
  </si>
  <si>
    <t>VN000P56EMW1004</t>
  </si>
  <si>
    <t>VN000P56EMW1.  S</t>
  </si>
  <si>
    <t>VN000P56EMW1004 - SALTON LOOSE SS Gray Olive, Small</t>
  </si>
  <si>
    <t>VN000P56EMW1005</t>
  </si>
  <si>
    <t>VN000P56EMW1.  XS</t>
  </si>
  <si>
    <t>VN000P56EMW1005 - SALTON LOOSE SS Gray Olive, X Small</t>
  </si>
  <si>
    <t>VN000P56O3N1006</t>
  </si>
  <si>
    <t>VN000P56O3N1.  L</t>
  </si>
  <si>
    <t>VN000P56O3N1006 - SALTON LOOSE SS SEPIA ROSE, Large</t>
  </si>
  <si>
    <t>VN000P56O3N1001</t>
  </si>
  <si>
    <t>VN000P56O3N1.  M</t>
  </si>
  <si>
    <t>VN000P56O3N1001 - SALTON LOOSE SS SEPIA ROSE, Medium</t>
  </si>
  <si>
    <t>VN000P56O3N1003</t>
  </si>
  <si>
    <t>VN000P56O3N1.  XL</t>
  </si>
  <si>
    <t>VN000P56O3N1003 - SALTON LOOSE SS SEPIA ROSE, X Large</t>
  </si>
  <si>
    <t>VN000P56O3N1004</t>
  </si>
  <si>
    <t>VN000P56O3N1.  XS</t>
  </si>
  <si>
    <t>VN000P56O3N1004 - SALTON LOOSE SS SEPIA ROSE, X Small</t>
  </si>
  <si>
    <t>VN000P58EMW1006</t>
  </si>
  <si>
    <t>VN000P58EMW1.  L</t>
  </si>
  <si>
    <t>VN000P58EMW1006 - SALTON LOOSE FT PO Gray Olive, Large</t>
  </si>
  <si>
    <t>VN000P58EMW1001</t>
  </si>
  <si>
    <t>VN000P58EMW1.  M</t>
  </si>
  <si>
    <t>VN000P58EMW1001 - SALTON LOOSE FT PO Gray Olive, Medium</t>
  </si>
  <si>
    <t>VN000P58O3N1004</t>
  </si>
  <si>
    <t>VN000P58O3N1.  XS</t>
  </si>
  <si>
    <t>VN000P58O3N1004 - SALTON LOOSE FT PO SEPIA ROSE, X Small</t>
  </si>
  <si>
    <t>VN000P58ZUJ1002</t>
  </si>
  <si>
    <t>VN000P58ZUJ1.  M</t>
  </si>
  <si>
    <t>VN000P58ZUJ1002 - SALTON LOOSE FT PO LONDON FOG, Medium</t>
  </si>
  <si>
    <t>VN000P58ZUJ1005</t>
  </si>
  <si>
    <t>VN000P58ZUJ1.  XS</t>
  </si>
  <si>
    <t>VN000P58ZUJ1005 - SALTON LOOSE FT PO LONDON FOG, X Small</t>
  </si>
  <si>
    <t>VN000P59E2Z1006</t>
  </si>
  <si>
    <t>VN000P59E2Z1.  XXL</t>
  </si>
  <si>
    <t>VN000P59E2Z1006 - SALTON LOOSE FT CREW Red Ochre, XX Large</t>
  </si>
  <si>
    <t>VN000P5ABRD1004</t>
  </si>
  <si>
    <t>SALTON LOOSE FT FZ PO</t>
  </si>
  <si>
    <t>VN000P5ABRD1.  M</t>
  </si>
  <si>
    <t>VN000P5ABRD1004 - SALTON LOOSE FT FZ PO Bordeaux, Medium</t>
  </si>
  <si>
    <t>VN000P5ABRD1005</t>
  </si>
  <si>
    <t>VN000P5ABRD1.  XS</t>
  </si>
  <si>
    <t>VN000P5ABRD1005 - SALTON LOOSE FT FZ PO Bordeaux, X Small</t>
  </si>
  <si>
    <t>VN000P5C02F1006</t>
  </si>
  <si>
    <t>Original Standards Pull</t>
  </si>
  <si>
    <t>VN000P5C02F1.  L</t>
  </si>
  <si>
    <t>VN000P5C02F1006 - Original Standards Pull Cement He, Large</t>
  </si>
  <si>
    <t>VN000P5CBLK1006</t>
  </si>
  <si>
    <t>VN000P5CBLK1.  L</t>
  </si>
  <si>
    <t>VN000P5CBLK1006 - Original Standards Pull Black, Large</t>
  </si>
  <si>
    <t>VN000P5D02F1001</t>
  </si>
  <si>
    <t>VN000P5D02F1.  L</t>
  </si>
  <si>
    <t>VN000P5D02F1001 - Original Standards Crew Cement He, Large</t>
  </si>
  <si>
    <t>VN000P5FBLK1006</t>
  </si>
  <si>
    <t>VN000P5FBLK1REGL</t>
  </si>
  <si>
    <t>VN000P5FBLK1006 - Original Standards Flee, Large, Regular</t>
  </si>
  <si>
    <t>VN000P5PBRD1005</t>
  </si>
  <si>
    <t>W SALTON RLX FT PO</t>
  </si>
  <si>
    <t>VN000P5PBRD1.  S</t>
  </si>
  <si>
    <t>VN000P5PBRD1005 - W SALTON RLX FT PO Bordeaux, Small</t>
  </si>
  <si>
    <t>VN000P5QO3N1001</t>
  </si>
  <si>
    <t>VN000P5QO3N1.  L</t>
  </si>
  <si>
    <t>VN000P5QO3N1001 - W SALTON RELAX CROP SS SEPIA ROSE, Large</t>
  </si>
  <si>
    <t>VN000P5RBLK1001</t>
  </si>
  <si>
    <t>VN000P5RBLK1.  L</t>
  </si>
  <si>
    <t>VN000P5RBLK1001 - G SALTON RELAX CROP SS Black, Large</t>
  </si>
  <si>
    <t>VN000P5RBLK1004</t>
  </si>
  <si>
    <t>VN000P5RBLK1.  XL</t>
  </si>
  <si>
    <t>VN000P5RBLK1004 - G SALTON RELAX CROP SS Black, X Large</t>
  </si>
  <si>
    <t>VN000P5S14A1001</t>
  </si>
  <si>
    <t>VN000P5S14A1.  XL</t>
  </si>
  <si>
    <t>VN000P5S14A1001 - B SALTON SS Chili Pepper, X Large</t>
  </si>
  <si>
    <t>VN000P5SEMW1003</t>
  </si>
  <si>
    <t>VN000P5SEMW1.  S</t>
  </si>
  <si>
    <t>VN000P5SEMW1003 - B SALTON SS Gray Olive, Small</t>
  </si>
  <si>
    <t>VN000P5WCFL1006</t>
  </si>
  <si>
    <t>VN000P5WCFL1.  S</t>
  </si>
  <si>
    <t>VN000P5WCFL1006 - W STYLE 76 II FITTED CR CITADEL, Small</t>
  </si>
  <si>
    <t>VN000P73Y281005</t>
  </si>
  <si>
    <t>VN000P73Y281.  XL</t>
  </si>
  <si>
    <t>VN000P73Y281005 - Torrey Nylon Coaches Ja Black/W, X Large</t>
  </si>
  <si>
    <t>VN000P77AFM1001</t>
  </si>
  <si>
    <t>VN000P77AFM1.  L</t>
  </si>
  <si>
    <t>VN000P77AFM1001 - Drill Chore Denim Jacke Indigo Ri, Large</t>
  </si>
  <si>
    <t>VN000P78BLK1006</t>
  </si>
  <si>
    <t>VN000P78BLK1.  XXL</t>
  </si>
  <si>
    <t>VN000P78BLK1006 - Drill Chore Nylon Jacke Black, XX Large</t>
  </si>
  <si>
    <t>VN000P7DCDX1001</t>
  </si>
  <si>
    <t>VN000P7DCDX1.  M</t>
  </si>
  <si>
    <t>VN000P7DCDX1001 - Camo Denim Trucker Jack STONEWAS, Medium</t>
  </si>
  <si>
    <t>VN000P7U2N11005</t>
  </si>
  <si>
    <t>VN000P7U2N11.  M</t>
  </si>
  <si>
    <t>VN000P7U2N11005 - Crestmont Plaid Shacket oatmeal, Medium</t>
  </si>
  <si>
    <t>VN000P7U2N11003</t>
  </si>
  <si>
    <t>VN000P7U2N11.  XXL</t>
  </si>
  <si>
    <t>VN000P7U2N11003 - Crestmont Plaid Shacket oatmea, XX Large</t>
  </si>
  <si>
    <t>VN000P7UJDU1002</t>
  </si>
  <si>
    <t>VN000P7UJDU1.  XXL</t>
  </si>
  <si>
    <t>VN000P7UJDU1002 - Crestmont Plaid Shacket PARISI, XX Large</t>
  </si>
  <si>
    <t>VN000P7ZF0O1001</t>
  </si>
  <si>
    <t>Larkspur Plaid Flannel</t>
  </si>
  <si>
    <t>Grape Leaf/ParisianNght</t>
  </si>
  <si>
    <t>VN000P7ZF0O1.  XXL</t>
  </si>
  <si>
    <t>VN000P7ZF0O1001 - Larkspur Plaid Flannel Grape L, XX Large</t>
  </si>
  <si>
    <t>97% Cotton 3% Spandex</t>
  </si>
  <si>
    <t>VN000P84EMV1002</t>
  </si>
  <si>
    <t>Hastings Checkerboard D</t>
  </si>
  <si>
    <t>VN000P84EMV1.  M</t>
  </si>
  <si>
    <t>VN000P84EMV1002 - Hastings Checkerboard D Faded Bl, Medium</t>
  </si>
  <si>
    <t>VN000P84EMV1004</t>
  </si>
  <si>
    <t>VN000P84EMV1.  XL</t>
  </si>
  <si>
    <t>VN000P84EMV1004 - Hastings Checkerboard D Faded B, X Large</t>
  </si>
  <si>
    <t>VN000P84EMV1005</t>
  </si>
  <si>
    <t>VN000P84EMV1.  XS</t>
  </si>
  <si>
    <t>VN000P84EMV1005 - Hastings Checkerboard D Faded B, X Small</t>
  </si>
  <si>
    <t>VN000P86F0V1006</t>
  </si>
  <si>
    <t>VN000P86F0V1.  XL</t>
  </si>
  <si>
    <t>VN000P86F0V1006 - Fallon SS Woven Taupe Mist/Blac, X Large</t>
  </si>
  <si>
    <t>VN000P88BLK1004</t>
  </si>
  <si>
    <t>VN000P88BLK1.  XXL</t>
  </si>
  <si>
    <t>VN000P88BLK1004 - Dillon SS Woven Black, XX Large</t>
  </si>
  <si>
    <t>VN000P89C9F1005</t>
  </si>
  <si>
    <t>Monte Plaid SS Woven</t>
  </si>
  <si>
    <t>VN000P89C9F1.  M</t>
  </si>
  <si>
    <t>VN000P89C9F1005 - Monte Plaid SS Woven EGRET, Medium</t>
  </si>
  <si>
    <t>VN000P89C9F1002</t>
  </si>
  <si>
    <t>VN000P89C9F1.  XS</t>
  </si>
  <si>
    <t>VN000P89C9F1002 - Monte Plaid SS Woven EGRET, X Small</t>
  </si>
  <si>
    <t>VN000P8A02F1006</t>
  </si>
  <si>
    <t>VN000P8A02F1.  L</t>
  </si>
  <si>
    <t>VN000P8A02F1006 - Original Standards 2-To Cement He, Large</t>
  </si>
  <si>
    <t>VN000P8CJDU1004</t>
  </si>
  <si>
    <t>VN000P8CJDU1.  S</t>
  </si>
  <si>
    <t>VN000P8CJDU1004 - Original Standards 2-To PARISIAN, Small</t>
  </si>
  <si>
    <t>VN000P8CJDU1002</t>
  </si>
  <si>
    <t>VN000P8CJDU1.  XS</t>
  </si>
  <si>
    <t>VN000P8CJDU1002 - Original Standards 2-To PARISIA, X Small</t>
  </si>
  <si>
    <t>VN000P8GBRD1003</t>
  </si>
  <si>
    <t>VN000P8GBRD1.  XL</t>
  </si>
  <si>
    <t>VN000P8GBRD1003 - Deteremined Pullover Bordeaux, X Large</t>
  </si>
  <si>
    <t>VN000P8MEMW1003</t>
  </si>
  <si>
    <t>VN000P8MEMW1.  XL</t>
  </si>
  <si>
    <t>VN000P8MEMW1003 - Cameron Stripe SS Knit Gray Oli, X Large</t>
  </si>
  <si>
    <t>VN000P8VBLK1002</t>
  </si>
  <si>
    <t>Grant Checkerboard Rugb</t>
  </si>
  <si>
    <t>VN000P8VBLK1.  S</t>
  </si>
  <si>
    <t>VN000P8VBLK1002 - Grant Checkerboard Rugb Black, Small</t>
  </si>
  <si>
    <t>VN000P8VBLK1005</t>
  </si>
  <si>
    <t>VN000P8VBLK1.  XS</t>
  </si>
  <si>
    <t>VN000P8VBLK1005 - Grant Checkerboard Rugb Black, X Small</t>
  </si>
  <si>
    <t>VN000P93EMT1003</t>
  </si>
  <si>
    <t>VN000P93EMT1.  L</t>
  </si>
  <si>
    <t>VN000P93EMT1003 - Classified Crew Sweater Deep Twil, Large</t>
  </si>
  <si>
    <t>VN000P94FII1001</t>
  </si>
  <si>
    <t>Boyer Crew Sweater</t>
  </si>
  <si>
    <t>Black/Stargazer</t>
  </si>
  <si>
    <t>VN000P94FII1.  L</t>
  </si>
  <si>
    <t>VN000P94FII1001 - Boyer Crew Sweater Black/Stargaze, Large</t>
  </si>
  <si>
    <t>VN000P94FII1003</t>
  </si>
  <si>
    <t>VN000P94FII1.  S</t>
  </si>
  <si>
    <t>VN000P94FII1003 - Boyer Crew Sweater Black/Stargaze, Small</t>
  </si>
  <si>
    <t>VN000PA9ENA1001</t>
  </si>
  <si>
    <t>Scratched Records Pullo</t>
  </si>
  <si>
    <t>VN000PA9ENA1.  XL</t>
  </si>
  <si>
    <t>VN000PA9ENA1001 - Scratched Records Pullo Tranqui, X Large</t>
  </si>
  <si>
    <t>VN000PAABLK1006</t>
  </si>
  <si>
    <t>VN000PAABLK1.  L</t>
  </si>
  <si>
    <t>VN000PAABLK1006 - Grown From The Ground U Black, Large</t>
  </si>
  <si>
    <t>VN000PAABLK1005</t>
  </si>
  <si>
    <t>VN000PAABLK1.  M</t>
  </si>
  <si>
    <t>VN000PAABLK1005 - Grown From The Ground U Black, Medium</t>
  </si>
  <si>
    <t>VN000PAABLK1002</t>
  </si>
  <si>
    <t>VN000PAABLK1.  S</t>
  </si>
  <si>
    <t>VN000PAABLK1002 - Grown From The Ground U Black, Small</t>
  </si>
  <si>
    <t>VN000PAUBLK1003</t>
  </si>
  <si>
    <t>VN000PAUBLK1.  XL</t>
  </si>
  <si>
    <t>VN000PAUBLK1003 - Star Checker Crew Black, X Large</t>
  </si>
  <si>
    <t>VN000PAUBLK1001</t>
  </si>
  <si>
    <t>VN000PAUBLK1.  XXL</t>
  </si>
  <si>
    <t>VN000PAUBLK1001 - Star Checker Crew Black, XX Large</t>
  </si>
  <si>
    <t>VN000PAUEMW1002</t>
  </si>
  <si>
    <t>VN000PAUEMW1.  L</t>
  </si>
  <si>
    <t>VN000PAUEMW1002 - Star Checker Crew Gray Olive, Large</t>
  </si>
  <si>
    <t>VN000PB9BLK1006</t>
  </si>
  <si>
    <t>Punk Patch SS</t>
  </si>
  <si>
    <t>VN000PB9BLK1.  L</t>
  </si>
  <si>
    <t>VN000PB9BLK1006 - Punk Patch SS Black, Large</t>
  </si>
  <si>
    <t>VN000PB9BLK1004</t>
  </si>
  <si>
    <t>VN000PB9BLK1.  S</t>
  </si>
  <si>
    <t>VN000PB9BLK1004 - Punk Patch SS Black, Small</t>
  </si>
  <si>
    <t>VN000PBSBRD1005</t>
  </si>
  <si>
    <t>Vans World SS</t>
  </si>
  <si>
    <t>VN000PBSBRD1.  L</t>
  </si>
  <si>
    <t>VN000PBSBRD1005 - Vans World SS Bordeaux, Large</t>
  </si>
  <si>
    <t>VN000PBSBRD1004</t>
  </si>
  <si>
    <t>VN000PBSBRD1.  S</t>
  </si>
  <si>
    <t>VN000PBSBRD1004 - Vans World SS Bordeaux, Small</t>
  </si>
  <si>
    <t>VN000PBSBRD1002</t>
  </si>
  <si>
    <t>VN000PBSBRD1.  XS</t>
  </si>
  <si>
    <t>VN000PBSBRD1002 - Vans World SS Bordeaux, X Small</t>
  </si>
  <si>
    <t>VN000PBTBLK1003</t>
  </si>
  <si>
    <t>Cruise De Luxe SS</t>
  </si>
  <si>
    <t>VN000PBTBLK1.  M</t>
  </si>
  <si>
    <t>VN000PBTBLK1003 - Cruise De Luxe SS Black, Medium</t>
  </si>
  <si>
    <t>VN000PBVWHT1006</t>
  </si>
  <si>
    <t>Art Production SS</t>
  </si>
  <si>
    <t>VN000PBVWHT1.  L</t>
  </si>
  <si>
    <t>VN000PBVWHT1006 - Art Production SS White, Large</t>
  </si>
  <si>
    <t>VN000PBVWHT1003</t>
  </si>
  <si>
    <t>VN000PBVWHT1.  XL</t>
  </si>
  <si>
    <t>VN000PBVWHT1003 - Art Production SS White, X Large</t>
  </si>
  <si>
    <t>VN000PBVWHT1002</t>
  </si>
  <si>
    <t>VN000PBVWHT1.  XS</t>
  </si>
  <si>
    <t>VN000PBVWHT1002 - Art Production SS White, X Small</t>
  </si>
  <si>
    <t>VN000PBX6JL1006</t>
  </si>
  <si>
    <t>VN000PBX6JL1.  M</t>
  </si>
  <si>
    <t>VN000PBX6JL1006 - 3D Retroval SS Canary Yellow, Medium</t>
  </si>
  <si>
    <t>VN000PBX6JL1001</t>
  </si>
  <si>
    <t>VN000PBX6JL1.  S</t>
  </si>
  <si>
    <t>VN000PBX6JL1001 - 3D Retroval SS Canary Yellow, Small</t>
  </si>
  <si>
    <t>VN000PBX6JL1002</t>
  </si>
  <si>
    <t>VN000PBX6JL1.  XL</t>
  </si>
  <si>
    <t>VN000PBX6JL1002 - 3D Retroval SS Canary Yellow, X Large</t>
  </si>
  <si>
    <t>VN000PBXEML1005</t>
  </si>
  <si>
    <t>VN000PBXEML1.  M</t>
  </si>
  <si>
    <t>VN000PBXEML1005 - 3D Retroval SS Cloud Blue, Medium</t>
  </si>
  <si>
    <t>VN000PBXEML1002</t>
  </si>
  <si>
    <t>VN000PBXEML1.  XL</t>
  </si>
  <si>
    <t>VN000PBXEML1002 - 3D Retroval SS Cloud Blue, X Large</t>
  </si>
  <si>
    <t>VN000PBXEMS1004</t>
  </si>
  <si>
    <t>VN000PBXEMS1.  XS</t>
  </si>
  <si>
    <t>VN000PBXEMS1004 - 3D Retroval SS Dark Port, X Small</t>
  </si>
  <si>
    <t>VN000PBZBLK1003</t>
  </si>
  <si>
    <t>Backspin SS</t>
  </si>
  <si>
    <t>VN000PBZBLK1.  S</t>
  </si>
  <si>
    <t>VN000PBZBLK1003 - Backspin SS Black, Small</t>
  </si>
  <si>
    <t>VN000PC2WHT1006</t>
  </si>
  <si>
    <t>Cafe Vans LS</t>
  </si>
  <si>
    <t>VN000PC2WHT1.  XXL</t>
  </si>
  <si>
    <t>VN000PC2WHT1006 - Cafe Vans LS White, XX Large</t>
  </si>
  <si>
    <t>VN000PCAWHT1003</t>
  </si>
  <si>
    <t>VN000PCAWHT1.  M</t>
  </si>
  <si>
    <t>VN000PCAWHT1003 - Art Skool SS White, Medium</t>
  </si>
  <si>
    <t>VN000PCAWHT1004</t>
  </si>
  <si>
    <t>VN000PCAWHT1.  S</t>
  </si>
  <si>
    <t>VN000PCAWHT1004 - Art Skool SS White, Small</t>
  </si>
  <si>
    <t>VN000PCAWHT1005</t>
  </si>
  <si>
    <t>VN000PCAWHT1.  XL</t>
  </si>
  <si>
    <t>VN000PCAWHT1005 - Art Skool SS White, X Large</t>
  </si>
  <si>
    <t>VN000PCWEMT1005</t>
  </si>
  <si>
    <t>VN000PCWEMT1.  M</t>
  </si>
  <si>
    <t>VN000PCWEMT1005 - Mixed Lot SS Deep Twilight, Medium</t>
  </si>
  <si>
    <t>VN000PCWEMT1003</t>
  </si>
  <si>
    <t>VN000PCWEMT1.  XXL</t>
  </si>
  <si>
    <t>VN000PCWEMT1003 - Mixed Lot SS Deep Twilight, XX Large</t>
  </si>
  <si>
    <t>VN000PCXEMS1006</t>
  </si>
  <si>
    <t>VN000PCXEMS1.  XS</t>
  </si>
  <si>
    <t>VN000PCXEMS1006 - Style Tips SS Dark Port, X Small</t>
  </si>
  <si>
    <t>VN000PCXFS81002</t>
  </si>
  <si>
    <t>VN000PCXFS81.  M</t>
  </si>
  <si>
    <t>VN000PCXFS81002 - Style Tips SS marshmallow, Medium</t>
  </si>
  <si>
    <t>VN000PCXFS81005</t>
  </si>
  <si>
    <t>VN000PCXFS81.  S</t>
  </si>
  <si>
    <t>VN000PCXFS81005 - Style Tips SS marshmallow, Small</t>
  </si>
  <si>
    <t>VN000PD7EMS1006</t>
  </si>
  <si>
    <t>VN000PD7EMS1.  M</t>
  </si>
  <si>
    <t>VN000PD7EMS1006 - Vans Hov LS Dark Port, Medium</t>
  </si>
  <si>
    <t>VN000PD7EMS1005</t>
  </si>
  <si>
    <t>VN000PD7EMS1.  S</t>
  </si>
  <si>
    <t>VN000PD7EMS1005 - Vans Hov LS Dark Port, Small</t>
  </si>
  <si>
    <t>VN000PD7EMS1002</t>
  </si>
  <si>
    <t>VN000PD7EMS1.  XL</t>
  </si>
  <si>
    <t>VN000PD7EMS1002 - Vans Hov LS Dark Port, X Large</t>
  </si>
  <si>
    <t>VN000PD7EMS1004</t>
  </si>
  <si>
    <t>VN000PD7EMS1.  XXL</t>
  </si>
  <si>
    <t>VN000PD7EMS1004 - Vans Hov LS Dark Port, XX Large</t>
  </si>
  <si>
    <t>VN000PDABLK1001</t>
  </si>
  <si>
    <t>VN000PDABLK1.  XL</t>
  </si>
  <si>
    <t>VN000PDABLK1001 - Sting Wagon SS Black, X Large</t>
  </si>
  <si>
    <t>VN000PDAEMF1003</t>
  </si>
  <si>
    <t>VN000PDAEMF1.  S</t>
  </si>
  <si>
    <t>VN000PDAEMF1003 - Sting Wagon SS Bay Leaf, Small</t>
  </si>
  <si>
    <t>VN000PDRBLK1004</t>
  </si>
  <si>
    <t>VN000PDRBLK1.  S</t>
  </si>
  <si>
    <t>VN000PDRBLK1004 - Star Checker SS Black, Small</t>
  </si>
  <si>
    <t>VN000PDREMS1006</t>
  </si>
  <si>
    <t>VN000PDREMS1.  L</t>
  </si>
  <si>
    <t>VN000PDREMS1006 - Star Checker SS Dark Port, Large</t>
  </si>
  <si>
    <t>VN000PDREN71002</t>
  </si>
  <si>
    <t>VN000PDREN71.  XS</t>
  </si>
  <si>
    <t>VN000PDREN71002 - Star Checker SS Pink Dawn, X Small</t>
  </si>
  <si>
    <t>VN000PDYEMP1006</t>
  </si>
  <si>
    <t>VN000PDYEMP1.  L</t>
  </si>
  <si>
    <t>VN000PDYEMP1006 - Goofy Ghoul SS Coal Brown, Large</t>
  </si>
  <si>
    <t>VN000PDYWHT1004</t>
  </si>
  <si>
    <t>VN000PDYWHT1.  L</t>
  </si>
  <si>
    <t>VN000PDYWHT1004 - Goofy Ghoul SS White, Large</t>
  </si>
  <si>
    <t>VN000PDYWHT1002</t>
  </si>
  <si>
    <t>VN000PDYWHT1.  S</t>
  </si>
  <si>
    <t>VN000PDYWHT1002 - Goofy Ghoul SS White, Small</t>
  </si>
  <si>
    <t>VN000PDYWHT1005</t>
  </si>
  <si>
    <t>VN000PDYWHT1.  XXL</t>
  </si>
  <si>
    <t>VN000PDYWHT1005 - Goofy Ghoul SS White, XX Large</t>
  </si>
  <si>
    <t>VN000PE7BLK1006</t>
  </si>
  <si>
    <t>VN000PE7BLK1.  M</t>
  </si>
  <si>
    <t>VN000PE7BLK1006 - Happy Spike SS Black, Medium</t>
  </si>
  <si>
    <t>VN000PE7BLK1004</t>
  </si>
  <si>
    <t>VN000PE7BLK1.  XS</t>
  </si>
  <si>
    <t>VN000PE7BLK1004 - Happy Spike SS Black, X Small</t>
  </si>
  <si>
    <t>VN000PE7WHT1003</t>
  </si>
  <si>
    <t>VN000PE7WHT1.  XL</t>
  </si>
  <si>
    <t>VN000PE7WHT1003 - Happy Spike SS White, X Large</t>
  </si>
  <si>
    <t>VN000PEWBLK1002</t>
  </si>
  <si>
    <t>VN000PEWBLK1.  XXL</t>
  </si>
  <si>
    <t>VN000PEWBLK1002 - Stacked Hi SS Tee Black, XX Large</t>
  </si>
  <si>
    <t>VN000PEWEMU1004</t>
  </si>
  <si>
    <t>VN000PEWEMU1.  XL</t>
  </si>
  <si>
    <t>VN000PEWEMU1004 - Stacked Hi SS Tee Dried Kelp, X Large</t>
  </si>
  <si>
    <t>VN000PEYF0F1001</t>
  </si>
  <si>
    <t>Bordeaux/White</t>
  </si>
  <si>
    <t>VN000PEYF0F1.  L</t>
  </si>
  <si>
    <t>VN000PEYF0F1001 - Determined SS Bordeaux/White, Large</t>
  </si>
  <si>
    <t>VN000PEYNAV1004</t>
  </si>
  <si>
    <t>VN000PEYNAV1.  XS</t>
  </si>
  <si>
    <t>VN000PEYNAV1004 - Determined SS Navy/White, X Small</t>
  </si>
  <si>
    <t>VN000PEYYB21005</t>
  </si>
  <si>
    <t>VN000PEYYB21.  XL</t>
  </si>
  <si>
    <t>VN000PEYYB21005 - Determined SS White/Black, X Large</t>
  </si>
  <si>
    <t>VN000PF7F0D1006</t>
  </si>
  <si>
    <t>VN000PF7F0D1.  L</t>
  </si>
  <si>
    <t>VN000PF7F0D1006 - Original Standards Stat Bay Leaf/, Large</t>
  </si>
  <si>
    <t>VN000PF7F0D1003</t>
  </si>
  <si>
    <t>VN000PF7F0D1.  M</t>
  </si>
  <si>
    <t>VN000PF7F0D1003 - Original Standards Stat Bay Leaf, Medium</t>
  </si>
  <si>
    <t>VN000PF7Y281006</t>
  </si>
  <si>
    <t>VN000PF7Y281.  L</t>
  </si>
  <si>
    <t>VN000PF7Y281006 - Original Standards Stat Black/Whi, Large</t>
  </si>
  <si>
    <t>VN000PF7Y281003</t>
  </si>
  <si>
    <t>VN000PF7Y281.  XL</t>
  </si>
  <si>
    <t>VN000PF7Y281003 - Original Standards Stat Black/W, X Large</t>
  </si>
  <si>
    <t>VN000PFBEMU1002</t>
  </si>
  <si>
    <t>VN000PFBEMU1.  XL</t>
  </si>
  <si>
    <t>VN000PFBEMU1002 - Original Standards Bloc Dried K, X Large</t>
  </si>
  <si>
    <t>VN000PFBEMU1003</t>
  </si>
  <si>
    <t>VN000PFBEMU1.  XS</t>
  </si>
  <si>
    <t>VN000PFBEMU1003 - Original Standards Bloc Dried K, X Small</t>
  </si>
  <si>
    <t>VN000PFBF2L1002</t>
  </si>
  <si>
    <t>VN000PFBF2L1.  M</t>
  </si>
  <si>
    <t>VN000PFBF2L1002 - Original Standards Bloc WHITE/Dr, Medium</t>
  </si>
  <si>
    <t>VN000PFBF2L1006</t>
  </si>
  <si>
    <t>VN000PFBF2L1.  XXL</t>
  </si>
  <si>
    <t>VN000PFBF2L1006 - Original Standards Bloc WHITE/, XX Large</t>
  </si>
  <si>
    <t>VN000PGJEMF1001</t>
  </si>
  <si>
    <t>VN000PGJEMF1.  L</t>
  </si>
  <si>
    <t>VN000PGJEMF1001 - MTE Sundown Liner Bay Leaf, Large</t>
  </si>
  <si>
    <t>VN000PGMEMU1001</t>
  </si>
  <si>
    <t>VN000PGMEMU1.  XS</t>
  </si>
  <si>
    <t>VN000PGMEMU1001 - Stockpile Pullover Dried Kelp, X Small</t>
  </si>
  <si>
    <t>VN000PH6IYR1025</t>
  </si>
  <si>
    <t>VN000PH6IYR130 26</t>
  </si>
  <si>
    <t>VN000PH6IYR1025 - Check-5 Loose Denim Pan FADED DE, 26, 30</t>
  </si>
  <si>
    <t>VN000PH6IYR1024</t>
  </si>
  <si>
    <t>VN000PH6IYR130 27</t>
  </si>
  <si>
    <t>VN000PH6IYR1024 - Check-5 Loose Denim Pan FADED DE, 27, 30</t>
  </si>
  <si>
    <t>VN000PH6IYR1021</t>
  </si>
  <si>
    <t>VN000PH6IYR130 30</t>
  </si>
  <si>
    <t>VN000PH6IYR1021 - Check-5 Loose Denim Pan FADED DE, 30, 30</t>
  </si>
  <si>
    <t>VN000PH6IYR1020</t>
  </si>
  <si>
    <t>VN000PH6IYR132 30</t>
  </si>
  <si>
    <t>VN000PH6IYR1020 - Check-5 Loose Denim Pan FADED DE, 30, 32</t>
  </si>
  <si>
    <t>VN000PH8CDX1002</t>
  </si>
  <si>
    <t>VN000PH8CDX1REG30</t>
  </si>
  <si>
    <t>VN000PH8CDX1002 - Check-5 Loose Camo Prin STO, 30, Regular</t>
  </si>
  <si>
    <t>VN000PH8CDX1008</t>
  </si>
  <si>
    <t>VN000PH8CDX1REG31</t>
  </si>
  <si>
    <t>VN000PH8CDX1008 - Check-5 Loose Camo Prin STO, 31, Regular</t>
  </si>
  <si>
    <t>VN000PH8CDX1005</t>
  </si>
  <si>
    <t>VN000PH8CDX1REG38</t>
  </si>
  <si>
    <t>VN000PH8CDX1005 - Check-5 Loose Camo Prin STO, 38, Regular</t>
  </si>
  <si>
    <t>VN000PHHLVB1004</t>
  </si>
  <si>
    <t>VN000PHHLVB1REG30</t>
  </si>
  <si>
    <t>VN000PHHLVB1004 - Drill Chore Carpenter L VIN, 30, Regular</t>
  </si>
  <si>
    <t>VN000PHHLVB1009</t>
  </si>
  <si>
    <t>VN000PHHLVB1REG31</t>
  </si>
  <si>
    <t>VN000PHHLVB1009 - Drill Chore Carpenter L VIN, 31, Regular</t>
  </si>
  <si>
    <t>VN000PHHLVB1003</t>
  </si>
  <si>
    <t>VN000PHHLVB1REG32</t>
  </si>
  <si>
    <t>VN000PHHLVB1003 - Drill Chore Carpenter L VIN, 32, Regular</t>
  </si>
  <si>
    <t>VN000PHHLVB1008</t>
  </si>
  <si>
    <t>VN000PHHLVB1REG33</t>
  </si>
  <si>
    <t>VN000PHHLVB1008 - Drill Chore Carpenter L VIN, 33, Regular</t>
  </si>
  <si>
    <t>VN000PJ7LKZ1004</t>
  </si>
  <si>
    <t>VN000PJ7LKZ1.  XL</t>
  </si>
  <si>
    <t>VN000PJ7LKZ1004 - MTE Bridgewood Reversib dress b, X Large</t>
  </si>
  <si>
    <t>VN000PJ912S1005</t>
  </si>
  <si>
    <t>Hillgate No Hood Puffer</t>
  </si>
  <si>
    <t>VN000PJ912S1.  L</t>
  </si>
  <si>
    <t>VN000PJ912S1005 - Hillgate No Hood Puffer stargazer, Large</t>
  </si>
  <si>
    <t>VN000PJ912S1006</t>
  </si>
  <si>
    <t>VN000PJ912S1.  XXL</t>
  </si>
  <si>
    <t>VN000PJ912S1006 - Hillgate No Hood Puffer starga, XX Large</t>
  </si>
  <si>
    <t>VN000PJMBLK1001</t>
  </si>
  <si>
    <t>VN000PJMBLK1.  L</t>
  </si>
  <si>
    <t>VN000PJMBLK1001 - MTE TeamTeam Full Zip Black, Large</t>
  </si>
  <si>
    <t>VN000PJMBLK1002</t>
  </si>
  <si>
    <t>VN000PJMBLK1.  M</t>
  </si>
  <si>
    <t>VN000PJMBLK1002 - MTE TeamTeam Full Zip Black, Medium</t>
  </si>
  <si>
    <t>VN000PJMZBF1005</t>
  </si>
  <si>
    <t>VN000PJMZBF1.  XS</t>
  </si>
  <si>
    <t>VN000PJMZBF1005 - MTE TeamTeam Full Zip LODEN GRE, X Small</t>
  </si>
  <si>
    <t>VN000PJR3N11006</t>
  </si>
  <si>
    <t>VN000PJR3N11.  L</t>
  </si>
  <si>
    <t>VN000PJR3N11006 - MTE Mesa PO demitasse, Large</t>
  </si>
  <si>
    <t>VN000PJR3N11002</t>
  </si>
  <si>
    <t>VN000PJR3N11.  XS</t>
  </si>
  <si>
    <t>VN000PJR3N11002 - MTE Mesa PO demitasse, X Small</t>
  </si>
  <si>
    <t>VN000PJSBLK1003</t>
  </si>
  <si>
    <t>VN000PJSBLK1.  M</t>
  </si>
  <si>
    <t>VN000PJSBLK1003 - MTE Keep Out SS Tee Black, Medium</t>
  </si>
  <si>
    <t>VN000PJSBLK1004</t>
  </si>
  <si>
    <t>VN000PJSBLK1.  S</t>
  </si>
  <si>
    <t>VN000PJSBLK1004 - MTE Keep Out SS Tee Black, Small</t>
  </si>
  <si>
    <t>VN000PJSBLK1005</t>
  </si>
  <si>
    <t>VN000PJSBLK1.  XL</t>
  </si>
  <si>
    <t>VN000PJSBLK1005 - MTE Keep Out SS Tee Black, X Large</t>
  </si>
  <si>
    <t>VN000PJSBLK1001</t>
  </si>
  <si>
    <t>VN000PJSBLK1.  XS</t>
  </si>
  <si>
    <t>VN000PJSBLK1001 - MTE Keep Out SS Tee Black, X Small</t>
  </si>
  <si>
    <t>VN000PJU7WM1004</t>
  </si>
  <si>
    <t>VN000PJU7WM1.  S</t>
  </si>
  <si>
    <t>VN000PJU7WM1004 - MTE TeamTeam LS Tee TrBl, Small</t>
  </si>
  <si>
    <t>VN000PK0ZRY1004</t>
  </si>
  <si>
    <t>VN000PK0ZRY1.  XS</t>
  </si>
  <si>
    <t>VN000PK0ZRY1004 - MTE Kennett Polar Fleec MAUVEWO, X Small</t>
  </si>
  <si>
    <t>VN000PK1EMZ1007</t>
  </si>
  <si>
    <t>VN000PK1EMZ1.  XXL</t>
  </si>
  <si>
    <t>VN000PK1EMZ1007 - Hillgate Cropped Puffer Neutra, XX Large</t>
  </si>
  <si>
    <t>VN000PK8BLK1007</t>
  </si>
  <si>
    <t>VN000PK8BLK1.  M</t>
  </si>
  <si>
    <t>VN000PK8BLK1007 - MTE Trek Guide Polartec Black, Medium</t>
  </si>
  <si>
    <t>VN000PKEEN91002</t>
  </si>
  <si>
    <t>VN000PKEEN91.  XL</t>
  </si>
  <si>
    <t>VN000PKEEN91002 - MTE Kennett Printed PO Taupe Mi, X Large</t>
  </si>
  <si>
    <t>VN000PKEEN91006</t>
  </si>
  <si>
    <t>VN000PKEEN91.  XS</t>
  </si>
  <si>
    <t>VN000PKEEN91006 - MTE Kennett Printed PO Taupe Mi, X Small</t>
  </si>
  <si>
    <t>VN000PKSBLK1002</t>
  </si>
  <si>
    <t>MTE International SS Te</t>
  </si>
  <si>
    <t>VN000PKSBLK1.  M</t>
  </si>
  <si>
    <t>VN000PKSBLK1002 - MTE International SS Te Black, Medium</t>
  </si>
  <si>
    <t>VN000PM3BLK1001</t>
  </si>
  <si>
    <t>VN000PM3BLK1REGXS</t>
  </si>
  <si>
    <t>VN000PM3BLK1001 - Deep Daze 3L Snow Bib, X Small, Regular</t>
  </si>
  <si>
    <t>VN000PMA9JC1003</t>
  </si>
  <si>
    <t>VN000PMA9JC1.  S</t>
  </si>
  <si>
    <t>VN000PMA9JC1003 - Hi-Country 3L Snow Jack Bungee Co, Small</t>
  </si>
  <si>
    <t>VN000PMA9JC1002</t>
  </si>
  <si>
    <t>VN000PMA9JC1.  XL</t>
  </si>
  <si>
    <t>VN000PMA9JC1002 - Hi-Country 3L Snow Jack Bungee, X Large</t>
  </si>
  <si>
    <t>VN000PMABLK1005</t>
  </si>
  <si>
    <t>VN000PMABLK1.  XL</t>
  </si>
  <si>
    <t>VN000PMABLK1005 - Hi-Country 3L Snow Jack Black, X Large</t>
  </si>
  <si>
    <t>VN000PMAEMW1002</t>
  </si>
  <si>
    <t>VN000PMAEMW1.  S</t>
  </si>
  <si>
    <t>VN000PMAEMW1002 - Hi-Country 3L Snow Jack Gray Oliv, Small</t>
  </si>
  <si>
    <t>VN000PMAEMW1004</t>
  </si>
  <si>
    <t>VN000PMAEMW1.  XS</t>
  </si>
  <si>
    <t>VN000PMAEMW1004 - Hi-Country 3L Snow Jack Gray Ol, X Small</t>
  </si>
  <si>
    <t>VN000PMAEMW1005</t>
  </si>
  <si>
    <t>VN000PMAEMW1.  XXL</t>
  </si>
  <si>
    <t>VN000PMAEMW1005 - Hi-Country 3L Snow Jack Gray O, XX Large</t>
  </si>
  <si>
    <t>VN000PMDBLK1003</t>
  </si>
  <si>
    <t>VN000PMDBLK1REGM</t>
  </si>
  <si>
    <t>VN000PMDBLK1003 - MTE High-Country 3L Pan, Medium, Regular</t>
  </si>
  <si>
    <t>VN000PMDBLK1002</t>
  </si>
  <si>
    <t>VN000PMDBLK1REGXL</t>
  </si>
  <si>
    <t>VN000PMDBLK1002 - MTE High-Country 3L Pa, X Large, Regular</t>
  </si>
  <si>
    <t>VN000PMFEB21004</t>
  </si>
  <si>
    <t>VN000PMFEB21.  L</t>
  </si>
  <si>
    <t>VN000PMFEB21004 - Hellbound Snow Jacket 2 Black/Par, Large</t>
  </si>
  <si>
    <t>VN000PMFENB1006</t>
  </si>
  <si>
    <t>VN000PMFENB1.  XXL</t>
  </si>
  <si>
    <t>VN000PMFENB1006 - Hellbound Snow Jacket 2 Warm B, XX Large</t>
  </si>
  <si>
    <t>VN000PMHEB21005</t>
  </si>
  <si>
    <t>VN000PMHEB21REGXS</t>
  </si>
  <si>
    <t>VN000PMHEB21005 - Hellbound Snow Pant 2., X Small, Regular</t>
  </si>
  <si>
    <t>VN000PMHENB1002</t>
  </si>
  <si>
    <t>VN000PMHENB1REGXXL</t>
  </si>
  <si>
    <t>VN000PMHENB1002 - Hellbound Snow Pant 2, XX Large, Regular</t>
  </si>
  <si>
    <t>VN000PMNEMP1003</t>
  </si>
  <si>
    <t>VN000PMNEMP1.  S</t>
  </si>
  <si>
    <t>VN000PMNEMP1003 - Skate Garage Denim Jack Coal Brow, Small</t>
  </si>
  <si>
    <t>VN000PNCRKZ1004</t>
  </si>
  <si>
    <t>VN000PNCRKZ1.  S</t>
  </si>
  <si>
    <t>VN000PNCRKZ1004 - Skate Splatter SS Tee ASH HEATHER, Small</t>
  </si>
  <si>
    <t>VN000PNEFS81006</t>
  </si>
  <si>
    <t>Skate Mike G Snake Flam</t>
  </si>
  <si>
    <t>VN000PNEFS81.  M</t>
  </si>
  <si>
    <t>VN000PNEFS81006 - Skate Mike G Snake Flam marshmal, Medium</t>
  </si>
  <si>
    <t>VN000PNEFS81005</t>
  </si>
  <si>
    <t>VN000PNEFS81.  S</t>
  </si>
  <si>
    <t>VN000PNEFS81005 - Skate Mike G Snake Flam marshmall, Small</t>
  </si>
  <si>
    <t>VN000PNGEMV1002</t>
  </si>
  <si>
    <t>VN000PNGEMV1.  M</t>
  </si>
  <si>
    <t>VN000PNGEMV1002 - Skate Mike G Goblins SS Faded Bl, Medium</t>
  </si>
  <si>
    <t>VN000PNGEMV1006</t>
  </si>
  <si>
    <t>VN000PNGEMV1.  S</t>
  </si>
  <si>
    <t>VN000PNGEMV1006 - Skate Mike G Goblins SS Faded Bla, Small</t>
  </si>
  <si>
    <t>VN000PNGEMV1003</t>
  </si>
  <si>
    <t>VN000PNGEMV1.  XL</t>
  </si>
  <si>
    <t>VN000PNGEMV1003 - Skate Mike G Goblins SS Faded B, X Large</t>
  </si>
  <si>
    <t>VN000PNJFS81001</t>
  </si>
  <si>
    <t>Skate Splatter Web Shor</t>
  </si>
  <si>
    <t>VN000PNJFS81.  XS</t>
  </si>
  <si>
    <t>VN000PNJFS81001 - Skate Splatter Web Shor marshma, X Small</t>
  </si>
  <si>
    <t>VN000PNKEMJ1005</t>
  </si>
  <si>
    <t>VN000PNKEMJ1.  M</t>
  </si>
  <si>
    <t>VN000PNKEMJ1005 - Skate Atiba Haze Hillz Burnt Gol, Medium</t>
  </si>
  <si>
    <t>VN000PNMEMT1003</t>
  </si>
  <si>
    <t>Skate Blurred Camo Shor</t>
  </si>
  <si>
    <t>VN000PNMEMT1.  L</t>
  </si>
  <si>
    <t>VN000PNMEMT1003 - Skate Blurred Camo Shor Deep Twil, Large</t>
  </si>
  <si>
    <t>VN000PPFEN91004</t>
  </si>
  <si>
    <t>Berry Pop OS Crew</t>
  </si>
  <si>
    <t>VN000PPFEN91.  S</t>
  </si>
  <si>
    <t>VN000PPFEN91004 - Berry Pop OS Crew Taupe Mist, Small</t>
  </si>
  <si>
    <t>VN000PPKEMP1002</t>
  </si>
  <si>
    <t>VN000PPKEMP1.  M</t>
  </si>
  <si>
    <t>VN000PPKEMP1002 - Vans Inferno Full Zip Coal Brown, Medium</t>
  </si>
  <si>
    <t>VN000PPMBLK1002</t>
  </si>
  <si>
    <t>VN000PPMBLK1.  M</t>
  </si>
  <si>
    <t>VN000PPMBLK1002 - Shining Zip Black, Medium</t>
  </si>
  <si>
    <t>VN000PPUEN71004</t>
  </si>
  <si>
    <t>VN000PPUEN71.  XL</t>
  </si>
  <si>
    <t>VN000PPUEN71004 - The Chain Hoodie Pink Dawn, X Large</t>
  </si>
  <si>
    <t>VN000PPZY7J1001</t>
  </si>
  <si>
    <t>Sirelle Puddle Pants</t>
  </si>
  <si>
    <t>VN000PPZY7J1.  7</t>
  </si>
  <si>
    <t>VN000PPZY7J1001 - Sirelle Puddle Pants GREY WASH, 7</t>
  </si>
  <si>
    <t>VN000PQHE901019</t>
  </si>
  <si>
    <t>VN000PQHE90134 32</t>
  </si>
  <si>
    <t>VN000PQHE901019 - Check-5 Baggy Denim Pan Stonewas, 32, 34</t>
  </si>
  <si>
    <t>VN000PQHE901016</t>
  </si>
  <si>
    <t>VN000PQHE90134 34</t>
  </si>
  <si>
    <t>VN000PQHE901016 - Check-5 Baggy Denim Pan Stonewas, 34, 34</t>
  </si>
  <si>
    <t>VN000PQWBLK1002</t>
  </si>
  <si>
    <t>VN000PQWBLK1.  M</t>
  </si>
  <si>
    <t>VN000PQWBLK1002 - Upworn Fitted Tank Black, Medium</t>
  </si>
  <si>
    <t>VN000PQWEMF1002</t>
  </si>
  <si>
    <t>VN000PQWEMF1.  XL</t>
  </si>
  <si>
    <t>VN000PQWEMF1002 - Upworn Fitted Tank Bay Leaf, X Large</t>
  </si>
  <si>
    <t>VN000PR2BLK1006</t>
  </si>
  <si>
    <t>VN000PR2BLK1.  L</t>
  </si>
  <si>
    <t>VN000PR2BLK1006 - Monotonic Fitted Tank Black, Large</t>
  </si>
  <si>
    <t>VN000PR3BLK1005</t>
  </si>
  <si>
    <t>VN000PR3BLK1.  XS</t>
  </si>
  <si>
    <t>VN000PR3BLK1005 - Afterburn Relaxed Crop Black, X Small</t>
  </si>
  <si>
    <t>VN000PR3EN91001</t>
  </si>
  <si>
    <t>VN000PR3EN91.  XS</t>
  </si>
  <si>
    <t>VN000PR3EN91001 - Afterburn Relaxed Crop Taupe Mi, X Small</t>
  </si>
  <si>
    <t>VN000PR4EMV1001</t>
  </si>
  <si>
    <t>VN000PR4EMV1.  S</t>
  </si>
  <si>
    <t>VN000PR4EMV1001 - Era Script Relaxed Crop Faded Bla, Small</t>
  </si>
  <si>
    <t>VN000PR4EMV1002</t>
  </si>
  <si>
    <t>VN000PR4EMV1.  XL</t>
  </si>
  <si>
    <t>VN000PR4EMV1002 - Era Script Relaxed Crop Faded B, X Large</t>
  </si>
  <si>
    <t>VN000PTBF0W1002</t>
  </si>
  <si>
    <t>VN000PTBF0W1.  S</t>
  </si>
  <si>
    <t>VN000PTBF0W1002 - Heights High Pile Full Black/Herr, Small</t>
  </si>
  <si>
    <t>VN000PTGEN71002</t>
  </si>
  <si>
    <t>VN000PTGEN71.  XL</t>
  </si>
  <si>
    <t>VN000PTGEN71002 - Archived Crop SS Pink Dawn, X Large</t>
  </si>
  <si>
    <t>VN000PTHWHT1003</t>
  </si>
  <si>
    <t>Star Berries Crop SS</t>
  </si>
  <si>
    <t>VN000PTHWHT1.  L</t>
  </si>
  <si>
    <t>VN000PTHWHT1003 - Star Berries Crop SS White, Large</t>
  </si>
  <si>
    <t>VN000PTHWHT1001</t>
  </si>
  <si>
    <t>VN000PTHWHT1.  M</t>
  </si>
  <si>
    <t>VN000PTHWHT1001 - Star Berries Crop SS White, Medium</t>
  </si>
  <si>
    <t>VN000PTHWHT1004</t>
  </si>
  <si>
    <t>VN000PTHWHT1.  S</t>
  </si>
  <si>
    <t>VN000PTHWHT1004 - Star Berries Crop SS White, Small</t>
  </si>
  <si>
    <t>VN000PTHWHT1002</t>
  </si>
  <si>
    <t>VN000PTHWHT1.  XL</t>
  </si>
  <si>
    <t>VN000PTHWHT1002 - Star Berries Crop SS White, X Large</t>
  </si>
  <si>
    <t>VN000PTTBRD1002</t>
  </si>
  <si>
    <t>VN000PTTBRD1.  XL</t>
  </si>
  <si>
    <t>VN000PTTBRD1002 - Cloud Rush SS Bordeaux, X Large</t>
  </si>
  <si>
    <t>VN000PTTWHT1002</t>
  </si>
  <si>
    <t>VN000PTTWHT1.  M</t>
  </si>
  <si>
    <t>VN000PTTWHT1002 - Cloud Rush SS White, Medium</t>
  </si>
  <si>
    <t>VN000PUEFS81001</t>
  </si>
  <si>
    <t>VN000PUEFS81.  L</t>
  </si>
  <si>
    <t>VN000PUEFS81001 - Cherrylace LS marshmallow, Large</t>
  </si>
  <si>
    <t>VN000PUEFS81004</t>
  </si>
  <si>
    <t>VN000PUEFS81.  M</t>
  </si>
  <si>
    <t>VN000PUEFS81004 - Cherrylace LS marshmallow, Medium</t>
  </si>
  <si>
    <t>VN000PWCF0G1001</t>
  </si>
  <si>
    <t>Bordeaux/Black</t>
  </si>
  <si>
    <t>VN000PWCF0G1.  L</t>
  </si>
  <si>
    <t>VN000PWCF0G1001 - Larkspur Plaid Flannel Bordeaux/B, Large</t>
  </si>
  <si>
    <t>VN000PWCF0G1003</t>
  </si>
  <si>
    <t>VN000PWCF0G1.  S</t>
  </si>
  <si>
    <t>VN000PWCF0G1003 - Larkspur Plaid Flannel Bordeaux/B, Small</t>
  </si>
  <si>
    <t>VN000PWCF0G1004</t>
  </si>
  <si>
    <t>VN000PWCF0G1.  XL</t>
  </si>
  <si>
    <t>VN000PWCF0G1004 - Larkspur Plaid Flannel Bordeaux, X Large</t>
  </si>
  <si>
    <t>VN000PWVBLK1002</t>
  </si>
  <si>
    <t>VN000PWVBLK1.  S</t>
  </si>
  <si>
    <t>VN000PWVBLK1002 - Classic Oval Crew Black, Small</t>
  </si>
  <si>
    <t>VN000PWVEMW1003</t>
  </si>
  <si>
    <t>VN000PWVEMW1.  S</t>
  </si>
  <si>
    <t>VN000PWVEMW1003 - Classic Oval Crew Gray Olive, Small</t>
  </si>
  <si>
    <t>VN000PWXBLK1001</t>
  </si>
  <si>
    <t>VN000PWXBLK1.  M</t>
  </si>
  <si>
    <t>VN000PWXBLK1001 - Stockpile Pullover Black, Medium</t>
  </si>
  <si>
    <t>VN000PX2EMP1002</t>
  </si>
  <si>
    <t>VN000PX2EMP1.  XL</t>
  </si>
  <si>
    <t>VN000PX2EMP1002 - Rippled Full Zip Coal Brown, X Large</t>
  </si>
  <si>
    <t>VN000PX3BLK1002</t>
  </si>
  <si>
    <t>VN000PX3BLK1.  S</t>
  </si>
  <si>
    <t>VN000PX3BLK1002 - Metal Wall Black, Small</t>
  </si>
  <si>
    <t>VN000PX3EN61004</t>
  </si>
  <si>
    <t>VN000PX3EN61.  XL</t>
  </si>
  <si>
    <t>VN000PX3EN61004 - Metal Wall Pine Forest, X Large</t>
  </si>
  <si>
    <t>VN000PX8LUT1002</t>
  </si>
  <si>
    <t>Dover Thermal Lined Ful</t>
  </si>
  <si>
    <t>BLACK/VINTAGE CAMO</t>
  </si>
  <si>
    <t>VN000PX8LUT1.  M</t>
  </si>
  <si>
    <t>VN000PX8LUT1002 - Dover Thermal Lined Ful BLACK/VI, Medium</t>
  </si>
  <si>
    <t>VN000PX8LUT1003</t>
  </si>
  <si>
    <t>VN000PX8LUT1.  S</t>
  </si>
  <si>
    <t>VN000PX8LUT1003 - Dover Thermal Lined Ful BLACK/VIN, Small</t>
  </si>
  <si>
    <t>VN000PXBEN71004</t>
  </si>
  <si>
    <t>Scribbled Past Pullover</t>
  </si>
  <si>
    <t>VN000PXBEN71.  XL</t>
  </si>
  <si>
    <t>VN000PXBEN71004 - Scribbled Past Pullover Pink Da, X Large</t>
  </si>
  <si>
    <t>VN000PXEEMS1001</t>
  </si>
  <si>
    <t>VN000PXEEMS1.  XL</t>
  </si>
  <si>
    <t>VN000PXEEMS1001 - Vans Inferno Pullover Dark Port, X Large</t>
  </si>
  <si>
    <t>VN000PXMCDX1001</t>
  </si>
  <si>
    <t>VN000PXMCDX1.  M</t>
  </si>
  <si>
    <t>VN000PXMCDX1001 - Denim Baseball Jacket STONEWASH/, Medium</t>
  </si>
  <si>
    <t>VN000PXNJDU1004</t>
  </si>
  <si>
    <t>VN000PXNJDU1.  L</t>
  </si>
  <si>
    <t>VN000PXNJDU1004 - Mcavoy Zip Station Jack PARISIAN, Large</t>
  </si>
  <si>
    <t>VN000PXTBLK1002</t>
  </si>
  <si>
    <t>VN000PXTBLK1.  M</t>
  </si>
  <si>
    <t>VN000PXTBLK1002 - Cactus Wire SS Black, Medium</t>
  </si>
  <si>
    <t>VN000PXTBLK1003</t>
  </si>
  <si>
    <t>VN000PXTBLK1.  S</t>
  </si>
  <si>
    <t>VN000PXTBLK1003 - Cactus Wire SS Black, Small</t>
  </si>
  <si>
    <t>VN000PXUBLK1001</t>
  </si>
  <si>
    <t>DIY FX SS</t>
  </si>
  <si>
    <t>VN000PXUBLK1.  L</t>
  </si>
  <si>
    <t>VN000PXUBLK1001 - DIY FX SS Black, Large</t>
  </si>
  <si>
    <t>VN000PXWWHT1004</t>
  </si>
  <si>
    <t>VN000PXWWHT1.  M</t>
  </si>
  <si>
    <t>VN000PXWWHT1004 - Vans Inferno LS White, Medium</t>
  </si>
  <si>
    <t>VN000PXXWHT1002</t>
  </si>
  <si>
    <t>VN000PXXWHT1.  S</t>
  </si>
  <si>
    <t>VN000PXXWHT1002 - Let Loose SS White, Small</t>
  </si>
  <si>
    <t>VN000PY6BLK1004</t>
  </si>
  <si>
    <t>Brick and Mortar SS</t>
  </si>
  <si>
    <t>VN000PY6BLK1.  L</t>
  </si>
  <si>
    <t>VN000PY6BLK1004 - Brick and Mortar SS Black, Large</t>
  </si>
  <si>
    <t>VN000Q09GC61007</t>
  </si>
  <si>
    <t>VN000Q09GC61REG24</t>
  </si>
  <si>
    <t>VN000Q09GC61007 - Check-5 Loose Denim Pan Mid, 24, Regular</t>
  </si>
  <si>
    <t>VN000Q0ACDX1002</t>
  </si>
  <si>
    <t>VN000Q0ACDX1REG24</t>
  </si>
  <si>
    <t>VN000Q0ACDX1002 - Check-5 Loose Camo Prin STO, 24, Regular</t>
  </si>
  <si>
    <t>VN000Q0ACDX1009</t>
  </si>
  <si>
    <t>VN000Q0ACDX1REG25</t>
  </si>
  <si>
    <t>VN000Q0ACDX1009 - Check-5 Loose Camo Prin STO, 25, Regular</t>
  </si>
  <si>
    <t>VN000Q0ACDX1004</t>
  </si>
  <si>
    <t>VN000Q0ACDX1REG28</t>
  </si>
  <si>
    <t>VN000Q0ACDX1004 - Check-5 Loose Camo Prin STO, 28, Regular</t>
  </si>
  <si>
    <t>VN000Q0PEMP1004</t>
  </si>
  <si>
    <t>VN000Q0PEMP1.  L</t>
  </si>
  <si>
    <t>VN000Q0PEMP1004 - Claire Embellished Baby Coal Brow, Large</t>
  </si>
  <si>
    <t>VN000Q0PEMP1005</t>
  </si>
  <si>
    <t>VN000Q0PEMP1.  S</t>
  </si>
  <si>
    <t>VN000Q0PEMP1005 - Claire Embellished Baby Coal Brow, Small</t>
  </si>
  <si>
    <t>VN000Q0VBLK1005</t>
  </si>
  <si>
    <t>VN000Q0VBLK1.  S</t>
  </si>
  <si>
    <t>VN000Q0VBLK1005 - Ludlow Mesh Long Sleeve Black, Small</t>
  </si>
  <si>
    <t>VN000Q11BLK1005</t>
  </si>
  <si>
    <t>Gillian Overdyed Button</t>
  </si>
  <si>
    <t>VN000Q11BLK1.  S</t>
  </si>
  <si>
    <t>VN000Q11BLK1005 - Gillian Overdyed Button Black, Small</t>
  </si>
  <si>
    <t>VN000Q2ABLK1002</t>
  </si>
  <si>
    <t>Ximeno Zip Sweater</t>
  </si>
  <si>
    <t>VN000Q2ABLK1.  XS</t>
  </si>
  <si>
    <t>VN000Q2ABLK1002 - Ximeno Zip Sweater Black, X Small</t>
  </si>
  <si>
    <t>VN000Q3002F1003</t>
  </si>
  <si>
    <t>VN000Q3002F1.  XS</t>
  </si>
  <si>
    <t>VN000Q3002F1003 - Upworn Retro Crew Cement Heathe, X Small</t>
  </si>
  <si>
    <t>VN000Q35RV21007</t>
  </si>
  <si>
    <t>VN000Q35RV21.  XS</t>
  </si>
  <si>
    <t>VN000Q35RV21007 - Earthbound OS Crew STORMY WEATH, X Small</t>
  </si>
  <si>
    <t>VN000Q35RV21002</t>
  </si>
  <si>
    <t>VN000Q35RV21.  XXS</t>
  </si>
  <si>
    <t>VN000Q35RV21002 - Earthbound OS Crew STORMY WEAT, XX Small</t>
  </si>
  <si>
    <t>VN000Q38BLK1006</t>
  </si>
  <si>
    <t>Outer Ring Retro Hoodie</t>
  </si>
  <si>
    <t>VN000Q38BLK1.  XL</t>
  </si>
  <si>
    <t>VN000Q38BLK1006 - Outer Ring Retro Hoodie Black, X Large</t>
  </si>
  <si>
    <t>VN000Q38BLK1005</t>
  </si>
  <si>
    <t>VN000Q38BLK1.  XXS</t>
  </si>
  <si>
    <t>VN000Q38BLK1005 - Outer Ring Retro Hoodie Black, XX Small</t>
  </si>
  <si>
    <t>VN000Q43EN61001</t>
  </si>
  <si>
    <t>VN000Q43EN61.  L</t>
  </si>
  <si>
    <t>VN000Q43EN61001 - Ladywall Retro Zip Hood Pine Fore, Large</t>
  </si>
  <si>
    <t>VN000Q43EN61002</t>
  </si>
  <si>
    <t>VN000Q43EN61.  M</t>
  </si>
  <si>
    <t>VN000Q43EN61002 - Ladywall Retro Zip Hood Pine For, Medium</t>
  </si>
  <si>
    <t>VN000Q43EN61003</t>
  </si>
  <si>
    <t>VN000Q43EN61.  S</t>
  </si>
  <si>
    <t>VN000Q43EN61003 - Ladywall Retro Zip Hood Pine Fore, Small</t>
  </si>
  <si>
    <t>VN000Q43EN61005</t>
  </si>
  <si>
    <t>VN000Q43EN61.  XS</t>
  </si>
  <si>
    <t>VN000Q43EN61005 - Ladywall Retro Zip Hood Pine Fo, X Small</t>
  </si>
  <si>
    <t>VN000Q43JDU1005</t>
  </si>
  <si>
    <t>VN000Q43JDU1.  L</t>
  </si>
  <si>
    <t>VN000Q43JDU1005 - Ladywall Retro Zip Hood PARISIAN, Large</t>
  </si>
  <si>
    <t>VN000Q43JDU1002</t>
  </si>
  <si>
    <t>VN000Q43JDU1.  M</t>
  </si>
  <si>
    <t>VN000Q43JDU1002 - Ladywall Retro Zip Hood PARISIAN, Medium</t>
  </si>
  <si>
    <t>VN000Q43JDU1006</t>
  </si>
  <si>
    <t>VN000Q43JDU1.  XS</t>
  </si>
  <si>
    <t>VN000Q43JDU1006 - Ladywall Retro Zip Hood PARISIA, X Small</t>
  </si>
  <si>
    <t>VN000Q43JDU1001</t>
  </si>
  <si>
    <t>VN000Q43JDU1.  XXS</t>
  </si>
  <si>
    <t>VN000Q43JDU1001 - Ladywall Retro Zip Hood PARISI, XX Small</t>
  </si>
  <si>
    <t>VN000Q49BLK1006</t>
  </si>
  <si>
    <t>VN000Q49BLK1.  S</t>
  </si>
  <si>
    <t>VN000Q49BLK1006 - Broadway Bomber Black, Small</t>
  </si>
  <si>
    <t>VN000Q49BLK1003</t>
  </si>
  <si>
    <t>VN000Q49BLK1.  XS</t>
  </si>
  <si>
    <t>VN000Q49BLK1003 - Broadway Bomber Black, X Small</t>
  </si>
  <si>
    <t>VN000Q67EMX1010</t>
  </si>
  <si>
    <t>VN000Q67EMX1.  25</t>
  </si>
  <si>
    <t>VN000Q67EMX1010 - Annabelle Colored Denim Heritage Mus, 25</t>
  </si>
  <si>
    <t>VN000Q67EMX1009</t>
  </si>
  <si>
    <t>VN000Q67EMX1.  26</t>
  </si>
  <si>
    <t>VN000Q67EMX1009 - Annabelle Colored Denim Heritage Mus, 26</t>
  </si>
  <si>
    <t>VN000Q67EMX1004</t>
  </si>
  <si>
    <t>VN000Q67EMX1.  32</t>
  </si>
  <si>
    <t>VN000Q67EMX1004 - Annabelle Colored Denim Heritage Mus, 32</t>
  </si>
  <si>
    <t>VN000Q7429B1002</t>
  </si>
  <si>
    <t>VN000Q7429B1REG26</t>
  </si>
  <si>
    <t>VN000Q7429B1002 - Skate Loose Atiba Haze Blac, 26, Regular</t>
  </si>
  <si>
    <t>VN000Q7429B1010</t>
  </si>
  <si>
    <t>VN000Q7429B1REG29</t>
  </si>
  <si>
    <t>VN000Q7429B1010 - Skate Loose Atiba Haze Blac, 29, Regular</t>
  </si>
  <si>
    <t>VN000Q7429B1004</t>
  </si>
  <si>
    <t>VN000Q7429B1REG30</t>
  </si>
  <si>
    <t>VN000Q7429B1004 - Skate Loose Atiba Haze Blac, 30, Regular</t>
  </si>
  <si>
    <t>VN000Q74EN61002</t>
  </si>
  <si>
    <t>VN000Q74EN61REG26</t>
  </si>
  <si>
    <t>VN000Q74EN61002 - Skate Loose Atiba Haze Pine, 26, Regular</t>
  </si>
  <si>
    <t>VN000Q74EN61003</t>
  </si>
  <si>
    <t>VN000Q74EN61REG27</t>
  </si>
  <si>
    <t>VN000Q74EN61003 - Skate Loose Atiba Haze Pine, 27, Regular</t>
  </si>
  <si>
    <t>VN000Q74EN61011</t>
  </si>
  <si>
    <t>VN000Q74EN61REG33</t>
  </si>
  <si>
    <t>VN000Q74EN61011 - Skate Loose Atiba Haze Pine, 33, Regular</t>
  </si>
  <si>
    <t>VN000Q7712Q1003</t>
  </si>
  <si>
    <t>VN000Q7712Q1.  XXL</t>
  </si>
  <si>
    <t>VN000Q7712Q1003 - Skate Atiba Haze Zip Solar, XX Large</t>
  </si>
  <si>
    <t>VN000Q77BLK1004</t>
  </si>
  <si>
    <t>VN000Q77BLK1.  L</t>
  </si>
  <si>
    <t>VN000Q77BLK1004 - Skate Atiba Haze Zip Black, Large</t>
  </si>
  <si>
    <t>VN000Q77BLK1002</t>
  </si>
  <si>
    <t>VN000Q77BLK1.  XL</t>
  </si>
  <si>
    <t>VN000Q77BLK1002 - Skate Atiba Haze Zip Black, X Large</t>
  </si>
  <si>
    <t>VN000QF32N11007</t>
  </si>
  <si>
    <t>VN000QF32N11.  L</t>
  </si>
  <si>
    <t>VN000QF32N11007 - Everyday OS Hoodie oatmeal, Large</t>
  </si>
  <si>
    <t>VN000QFGDJR1001</t>
  </si>
  <si>
    <t>VN000QFGDJR1.  L</t>
  </si>
  <si>
    <t>VN000QFGDJR1001 - ALLOVER CHECK CREW SS turtledove, Large</t>
  </si>
  <si>
    <t>VN000QFGDJR1005</t>
  </si>
  <si>
    <t>VN000QFGDJR1.  XS</t>
  </si>
  <si>
    <t>VN000QFGDJR1005 - ALLOVER CHECK CREW SS turtledov, X Small</t>
  </si>
  <si>
    <t>VN000QFSBLK1005</t>
  </si>
  <si>
    <t>ALLOVER CHECK OS FT PO</t>
  </si>
  <si>
    <t>VN000QFSBLK1.  XS</t>
  </si>
  <si>
    <t>VN000QFSBLK1005 - ALLOVER CHECK OS FT PO Black, X Small</t>
  </si>
  <si>
    <t>VN000QJPWHT1003</t>
  </si>
  <si>
    <t>Skate Atiba Haze Curb C</t>
  </si>
  <si>
    <t>VN000QJPWHT1.  M</t>
  </si>
  <si>
    <t>VN000QJPWHT1003 - Skate Atiba Haze Curb C White, Medium</t>
  </si>
  <si>
    <t>VN000QJPWHT1005</t>
  </si>
  <si>
    <t>VN000QJPWHT1.  XL</t>
  </si>
  <si>
    <t>VN000QJPWHT1005 - Skate Atiba Haze Curb C White, X Large</t>
  </si>
  <si>
    <t>VN000QN8Y281002</t>
  </si>
  <si>
    <t>VN000QN8Y281.  M</t>
  </si>
  <si>
    <t>VN000QN8Y281002 - FULL PATCH Black/White, Medium</t>
  </si>
  <si>
    <t>VN000QN8YB21005</t>
  </si>
  <si>
    <t>VN000QN8YB21.  XS</t>
  </si>
  <si>
    <t>VN000QN8YB21005 - FULL PATCH White/Black, X Small</t>
  </si>
  <si>
    <t>VN000QYB02F1002</t>
  </si>
  <si>
    <t>Determined Pullover</t>
  </si>
  <si>
    <t>VN000QYB02F1.  M</t>
  </si>
  <si>
    <t>VN000QYB02F1002 - Determined Pullover Cement Heath, Medium</t>
  </si>
  <si>
    <t>88% cotton 12% polyester</t>
  </si>
  <si>
    <t>VN000R02RV21002</t>
  </si>
  <si>
    <t>VN000R02RV21.  XL</t>
  </si>
  <si>
    <t>VN000R02RV21002 - Shop Front SS STORMY WEATHER, X Large</t>
  </si>
  <si>
    <t>VN000R02WHT1002</t>
  </si>
  <si>
    <t>VN000R02WHT1.  XL</t>
  </si>
  <si>
    <t>VN000R02WHT1002 - Shop Front SS White, X Large</t>
  </si>
  <si>
    <t>VN000R15EML1003</t>
  </si>
  <si>
    <t>VN000R15EML1.  L</t>
  </si>
  <si>
    <t>VN000R15EML1003 - Caked SS Cloud Blue, Large</t>
  </si>
  <si>
    <t>VN000R15EML1002</t>
  </si>
  <si>
    <t>VN000R15EML1.  S</t>
  </si>
  <si>
    <t>VN000R15EML1002 - Caked SS Cloud Blue, Small</t>
  </si>
  <si>
    <t>VN000R15EML1005</t>
  </si>
  <si>
    <t>VN000R15EML1.  XL</t>
  </si>
  <si>
    <t>VN000R15EML1005 - Caked SS Cloud Blue, X Large</t>
  </si>
  <si>
    <t>VN000R15FS81004</t>
  </si>
  <si>
    <t>VN000R15FS81.  S</t>
  </si>
  <si>
    <t>VN000R15FS81004 - Caked SS marshmallow, Small</t>
  </si>
  <si>
    <t>VN000R15FS81003</t>
  </si>
  <si>
    <t>VN000R15FS81.  XL</t>
  </si>
  <si>
    <t>VN000R15FS81003 - Caked SS marshmallow, X Large</t>
  </si>
  <si>
    <t>VN000R3FBLK1005</t>
  </si>
  <si>
    <t>Effy Hooded Crew</t>
  </si>
  <si>
    <t>VN000R3FBLK1.  M</t>
  </si>
  <si>
    <t>VN000R3FBLK1005 - Effy Hooded Crew Black, Medium</t>
  </si>
  <si>
    <t>80% COTTON /20% POLY</t>
  </si>
  <si>
    <t>VN000R3FBLK1003</t>
  </si>
  <si>
    <t>VN000R3FBLK1.  XS</t>
  </si>
  <si>
    <t>VN000R3FBLK1003 - Effy Hooded Crew Black, X Small</t>
  </si>
  <si>
    <t>VN000R4ZEMP1010</t>
  </si>
  <si>
    <t>VN000R4ZEMP1REG31</t>
  </si>
  <si>
    <t>VN000R4ZEMP1010 - Skate Loose Atiba Haze Coal, 31, Regular</t>
  </si>
  <si>
    <t>VN000R4ZEMP1009</t>
  </si>
  <si>
    <t>VN000R4ZEMP1REG32</t>
  </si>
  <si>
    <t>VN000R4ZEMP1009 - Skate Loose Atiba Haze Coal, 32, Regular</t>
  </si>
  <si>
    <t>VN000R4ZEMP1005</t>
  </si>
  <si>
    <t>VN000R4ZEMP1REG33</t>
  </si>
  <si>
    <t>VN000R4ZEMP1005 - Skate Loose Atiba Haze Coal, 33, Regular</t>
  </si>
  <si>
    <t>VN000R74BLK1005</t>
  </si>
  <si>
    <t>VN000R74BLK1.  S</t>
  </si>
  <si>
    <t>VN000R74BLK1005 - Script Mini Mock LS Black, Small</t>
  </si>
  <si>
    <t>VN000R74BLK1001</t>
  </si>
  <si>
    <t>VN000R74BLK1.  XXS</t>
  </si>
  <si>
    <t>VN000R74BLK1001 - Script Mini Mock LS Black, XX Small</t>
  </si>
  <si>
    <t>VN000R74EMS1003</t>
  </si>
  <si>
    <t>VN000R74EMS1.  S</t>
  </si>
  <si>
    <t>VN000R74EMS1003 - Script Mini Mock LS Dark Port, Small</t>
  </si>
  <si>
    <t>VN000R7AY281001</t>
  </si>
  <si>
    <t>VN000R7AY281.  XXL</t>
  </si>
  <si>
    <t>VN000R7AY281001 - STYLE 76 ll LOOSE LS TE Black/, XX Large</t>
  </si>
  <si>
    <t>VN000R8ZBLK1002</t>
  </si>
  <si>
    <t>VN000R8ZBLK1.  XL</t>
  </si>
  <si>
    <t>VN000R8ZBLK1002 - RAW INSTINCT VEST Black, X Large</t>
  </si>
  <si>
    <t>VN000R92EMF1004</t>
  </si>
  <si>
    <t>VN000R92EMF1.  XL</t>
  </si>
  <si>
    <t>VN000R92EMF1004 - RAW INSTINCT MIRROR SWE Bay Lea, X Large</t>
  </si>
  <si>
    <t>VN000R94FS81002</t>
  </si>
  <si>
    <t>VN000R94FS81.  XL</t>
  </si>
  <si>
    <t>VN000R94FS81002 - RAW INSTINCT FLY SS marshmallow, X Large</t>
  </si>
  <si>
    <t>VN000R94FS81006</t>
  </si>
  <si>
    <t>VN000R94FS81.  XXL</t>
  </si>
  <si>
    <t>VN000R94FS81006 - RAW INSTINCT FLY SS marshmallo, XX Large</t>
  </si>
  <si>
    <t>VN000R95EMV1006</t>
  </si>
  <si>
    <t>VN000R95EMV1.  L</t>
  </si>
  <si>
    <t>VN000R95EMV1006 - RAW INSTINCT THINKER SS Faded Bla, Large</t>
  </si>
  <si>
    <t>VN000R96FS81004</t>
  </si>
  <si>
    <t>RAW INSTINCT LS</t>
  </si>
  <si>
    <t>VN000R96FS81.  XL</t>
  </si>
  <si>
    <t>VN000R96FS81004 - RAW INSTINCT LS marshmallow, X Large</t>
  </si>
  <si>
    <t>VN000R97D3A1006</t>
  </si>
  <si>
    <t>RAW INSTINCT SHIRT</t>
  </si>
  <si>
    <t>Navy Stripe</t>
  </si>
  <si>
    <t>VN000R97D3A1.  XXL</t>
  </si>
  <si>
    <t>VN000R97D3A1006 - RAW INSTINCT SHIRT Navy Stripe, XX Large</t>
  </si>
  <si>
    <t>VN000R9YEN71004</t>
  </si>
  <si>
    <t>LEFT CHEST PO</t>
  </si>
  <si>
    <t>VN000R9YEN71.  M</t>
  </si>
  <si>
    <t>VN000R9YEN71004 - LEFT CHEST PO Pink Dawn, Medium</t>
  </si>
  <si>
    <t>VN000RA2WHT1004</t>
  </si>
  <si>
    <t>VANS CLASSIC LS TEE</t>
  </si>
  <si>
    <t>VN000RA2WHT1.  M</t>
  </si>
  <si>
    <t>VN000RA2WHT1004 - VANS CLASSIC LS TEE White, Medium</t>
  </si>
  <si>
    <t>VN000RAP5TU1006</t>
  </si>
  <si>
    <t>VN000RAP5TU1.  L</t>
  </si>
  <si>
    <t>VN000RAP5TU1006 - BLOCKED BOX LOOSE SS True Navy, Large</t>
  </si>
  <si>
    <t>VN000RAP5TU1005</t>
  </si>
  <si>
    <t>VN000RAP5TU1.  M</t>
  </si>
  <si>
    <t>VN000RAP5TU1005 - BLOCKED BOX LOOSE SS True Navy, Medium</t>
  </si>
  <si>
    <t>VN000RAP5TU1003</t>
  </si>
  <si>
    <t>VN000RAP5TU1.  XL</t>
  </si>
  <si>
    <t>VN000RAP5TU1003 - BLOCKED BOX LOOSE SS True Navy, X Large</t>
  </si>
  <si>
    <t>VN000RAP5TU1002</t>
  </si>
  <si>
    <t>VN000RAP5TU1.  XS</t>
  </si>
  <si>
    <t>VN000RAP5TU1002 - BLOCKED BOX LOOSE SS True Navy, X Small</t>
  </si>
  <si>
    <t>VN000RAP7D61006</t>
  </si>
  <si>
    <t>VN000RAP7D61.  L</t>
  </si>
  <si>
    <t>VN000RAP7D61006 - BLOCKED BOX LOOSE SS MUSHROOM, Large</t>
  </si>
  <si>
    <t>VN000RAR5TU1002</t>
  </si>
  <si>
    <t>VN000RAR5TU1.  M</t>
  </si>
  <si>
    <t>VN000RAR5TU1002 - BLOCKED BOX PO HOODIE True Navy, Medium</t>
  </si>
  <si>
    <t>VN000RAR7D61002</t>
  </si>
  <si>
    <t>VN000RAR7D61.  XL</t>
  </si>
  <si>
    <t>VN000RAR7D61002 - BLOCKED BOX PO HOODIE MUSHROOM, X Large</t>
  </si>
  <si>
    <t>VN000RARFS81002</t>
  </si>
  <si>
    <t>VN000RARFS81.  XXL</t>
  </si>
  <si>
    <t>VN000RARFS81002 - BLOCKED BOX PO HOODIE marshmal, XX Large</t>
  </si>
  <si>
    <t>VN000RATE301002</t>
  </si>
  <si>
    <t>VN000RATE301.  L</t>
  </si>
  <si>
    <t>VN000RATE301002 - BLOCKED BOX LOOSE CREW Lemon Icin, Large</t>
  </si>
  <si>
    <t>VN000RCB1O71005</t>
  </si>
  <si>
    <t>VN000RCB1O71.  XS</t>
  </si>
  <si>
    <t>VN000RCB1O71005 - CAFE VANS OS PO Asphalt, X Small</t>
  </si>
  <si>
    <t>VN000RCB1O71003</t>
  </si>
  <si>
    <t>VN000RCB1O71.  XXS</t>
  </si>
  <si>
    <t>VN000RCB1O71003 - CAFE VANS OS PO Asphalt, XX Small</t>
  </si>
  <si>
    <t>VN000RCEFCT1001</t>
  </si>
  <si>
    <t>VN000RCEFCT1.  L</t>
  </si>
  <si>
    <t>VN000RCEFCT1001 - APPLE BOOM RINGER TEE White/Mauve, Large</t>
  </si>
  <si>
    <t>VN000RCEFCT1004</t>
  </si>
  <si>
    <t>VN000RCEFCT1.  XS</t>
  </si>
  <si>
    <t>VN000RCEFCT1004 - APPLE BOOM RINGER TEE White/Mau, X Small</t>
  </si>
  <si>
    <t>VN000RCEYB21001</t>
  </si>
  <si>
    <t>VN000RCEYB21.  L</t>
  </si>
  <si>
    <t>VN000RCEYB21001 - APPLE BOOM RINGER TEE White/Black, Large</t>
  </si>
  <si>
    <t>VN000RCEYB21004</t>
  </si>
  <si>
    <t>VN000RCEYB21.  S</t>
  </si>
  <si>
    <t>VN000RCEYB21004 - APPLE BOOM RINGER TEE White/Black, Small</t>
  </si>
  <si>
    <t>VN000RCEYB21006</t>
  </si>
  <si>
    <t>VN000RCEYB21.  XS</t>
  </si>
  <si>
    <t>VN000RCEYB21006 - APPLE BOOM RINGER TEE White/Bla, X Small</t>
  </si>
  <si>
    <t>VN000RD1O321006</t>
  </si>
  <si>
    <t>VN000RD1O321.  XXL</t>
  </si>
  <si>
    <t>VN000RD1O321006 - Cameron Tee PASTEL PINK, XX Large</t>
  </si>
  <si>
    <t>VN000RD4EMP1003</t>
  </si>
  <si>
    <t>VN000RD4EMP1.  L</t>
  </si>
  <si>
    <t>VN000RD4EMP1003 - STOMPER LOOSE FIT SS TE Coal Brow, Large</t>
  </si>
  <si>
    <t>VN000RD4EMP1001</t>
  </si>
  <si>
    <t>VN000RD4EMP1.  S</t>
  </si>
  <si>
    <t>VN000RD4EMP1001 - STOMPER LOOSE FIT SS TE Coal Brow, Small</t>
  </si>
  <si>
    <t>VN000RD4EMP1004</t>
  </si>
  <si>
    <t>VN000RD4EMP1.  XL</t>
  </si>
  <si>
    <t>VN000RD4EMP1004 - STOMPER LOOSE FIT SS TE Coal Br, X Large</t>
  </si>
  <si>
    <t>VN000RD4EMP1006</t>
  </si>
  <si>
    <t>VN000RD4EMP1.  XS</t>
  </si>
  <si>
    <t>VN000RD4EMP1006 - STOMPER LOOSE FIT SS TE Coal Br, X Small</t>
  </si>
  <si>
    <t>VN000RD4EN91005</t>
  </si>
  <si>
    <t>VN000RD4EN91.  S</t>
  </si>
  <si>
    <t>VN000RD4EN91005 - STOMPER LOOSE FIT SS TE Taupe Mis, Small</t>
  </si>
  <si>
    <t>VN000RD4EN91006</t>
  </si>
  <si>
    <t>VN000RD4EN91.  XL</t>
  </si>
  <si>
    <t>VN000RD4EN91006 - STOMPER LOOSE FIT SS TE Taupe M, X Large</t>
  </si>
  <si>
    <t>VN000RD4EN91001</t>
  </si>
  <si>
    <t>VN000RD4EN91.  XS</t>
  </si>
  <si>
    <t>VN000RD4EN91001 - STOMPER LOOSE FIT SS TE Taupe M, X Small</t>
  </si>
  <si>
    <t>VN000RD5EMP1004</t>
  </si>
  <si>
    <t>VN000RD5EMP1.  XS</t>
  </si>
  <si>
    <t>VN000RD5EMP1004 - STOMPER LOOSE FIT CREW Coal Bro, X Small</t>
  </si>
  <si>
    <t>VN000REFWHT1002</t>
  </si>
  <si>
    <t>VN000REFWHT1.  XXS</t>
  </si>
  <si>
    <t>VN000REFWHT1002 - LIL BEAR OS TEE White, XX Small</t>
  </si>
  <si>
    <t>VN000REMBLK1007</t>
  </si>
  <si>
    <t>VN000REMBLK1.  XL</t>
  </si>
  <si>
    <t>VN000REMBLK1007 - LIL BEAR OS HOODIE Black, X Large</t>
  </si>
  <si>
    <t>VN000RFR1QI1003</t>
  </si>
  <si>
    <t>VN000RFR1QI1.  M</t>
  </si>
  <si>
    <t>VN000RFR1QI1003 - HEAVY THINKER LOOSE FIT Light Gr, Medium</t>
  </si>
  <si>
    <t>VN000RFRBLK1002</t>
  </si>
  <si>
    <t>VN000RFRBLK1.  XS</t>
  </si>
  <si>
    <t>VN000RFRBLK1002 - HEAVY THINKER LOOSE FIT Black, X Small</t>
  </si>
  <si>
    <t>VN000RFUWHT1002</t>
  </si>
  <si>
    <t>VN000RFUWHT1.  M</t>
  </si>
  <si>
    <t>VN000RFUWHT1002 - MIRROR V LOOSE SS White, Medium</t>
  </si>
  <si>
    <t>VN000RG21QI1003</t>
  </si>
  <si>
    <t>VN000RG21QI1.  XS</t>
  </si>
  <si>
    <t>VN000RG21QI1003 - EVOLVE PO HOODIE Light Grey Hea, X Small</t>
  </si>
  <si>
    <t>VN000RG2BLK1006</t>
  </si>
  <si>
    <t>VN000RG2BLK1.  XL</t>
  </si>
  <si>
    <t>VN000RG2BLK1006 - EVOLVE PO HOODIE Black, X Large</t>
  </si>
  <si>
    <t>VN000RG2BLK1005</t>
  </si>
  <si>
    <t>VN000RG2BLK1.  XS</t>
  </si>
  <si>
    <t>VN000RG2BLK1005 - EVOLVE PO HOODIE Black, X Small</t>
  </si>
  <si>
    <t>VN000RG44QU1004</t>
  </si>
  <si>
    <t>VN000RG44QU1.  XS</t>
  </si>
  <si>
    <t>VN000RG44QU1004 - EVOLVE SS Port Royale, X Small</t>
  </si>
  <si>
    <t>VN000RG4BLK1004</t>
  </si>
  <si>
    <t>VN000RG4BLK1.  XS</t>
  </si>
  <si>
    <t>VN000RG4BLK1004 - EVOLVE SS Black, X Small</t>
  </si>
  <si>
    <t>VN000RJYPWT1004</t>
  </si>
  <si>
    <t>VN000RJYPWT1.  S</t>
  </si>
  <si>
    <t>VN000RJYPWT1004 - MTE Peak Quarter Zip Pewter, Small</t>
  </si>
  <si>
    <t>VN000RJYPWT1005</t>
  </si>
  <si>
    <t>VN000RJYPWT1.  XL</t>
  </si>
  <si>
    <t>VN000RJYPWT1005 - MTE Peak Quarter Zip Pewter, X Large</t>
  </si>
  <si>
    <t>VN000RM1AHU1012</t>
  </si>
  <si>
    <t>Sirelle Embroidered Pan</t>
  </si>
  <si>
    <t>Vintage Indigo</t>
  </si>
  <si>
    <t>VN000RM1AHU1.  29</t>
  </si>
  <si>
    <t>VN000RM1AHU1012 - Sirelle Embroidered Pan Vintage Indi, 29</t>
  </si>
  <si>
    <t>VN000RM1AHU1004</t>
  </si>
  <si>
    <t>VN000RM1AHU1.  34</t>
  </si>
  <si>
    <t>VN000RM1AHU1004 - Sirelle Embroidered Pan Vintage Indi, 34</t>
  </si>
  <si>
    <t>VN000SN0JDU1001</t>
  </si>
  <si>
    <t>Open Late Crew</t>
  </si>
  <si>
    <t>VN000SN0JDU1.  L</t>
  </si>
  <si>
    <t>VN000SN0JDU1001 - Open Late Crew PARISIAN NIGHT, Large</t>
  </si>
  <si>
    <t>VN000SN6BLK1004</t>
  </si>
  <si>
    <t>VN000SN6BLK1.  XL</t>
  </si>
  <si>
    <t>VN000SN6BLK1004 - Scripted Full Zip Black, X Large</t>
  </si>
  <si>
    <t>VN000SPAZ281004</t>
  </si>
  <si>
    <t>Burgundy/White</t>
  </si>
  <si>
    <t>VN000SPAZ281.  S</t>
  </si>
  <si>
    <t>VN000SPAZ281004 - Scripted SS Tee Burgundy/White, Small</t>
  </si>
  <si>
    <t>VN000XOIBLK1001</t>
  </si>
  <si>
    <t>VN000XOIBLK1.  L</t>
  </si>
  <si>
    <t>VN000XOIBLK1001 - VANS CLASSIC LS Black, Large</t>
  </si>
  <si>
    <t>VN000XOIBLK1003</t>
  </si>
  <si>
    <t>VN000XOIBLK1.  S</t>
  </si>
  <si>
    <t>VN000XOIBLK1003 - VANS CLASSIC LS Black, Small</t>
  </si>
  <si>
    <t>VN000XOIBLK1004</t>
  </si>
  <si>
    <t>VN000XOIBLK1.  XL</t>
  </si>
  <si>
    <t>VN000XOIBLK1004 - VANS CLASSIC LS Black, X Large</t>
  </si>
  <si>
    <t>VN000XOIY281002</t>
  </si>
  <si>
    <t>VN000XOIY281.  M</t>
  </si>
  <si>
    <t>VN000XOIY281002 - VANS CLASSIC LS Black/White, Medium</t>
  </si>
  <si>
    <t>VN000XR4FS81001</t>
  </si>
  <si>
    <t>VN000XR4FS81.  L</t>
  </si>
  <si>
    <t>VN000XR4FS81001 - V2K CAMERON TEE marshmallow, Large</t>
  </si>
  <si>
    <t>VN000XR4FS81005</t>
  </si>
  <si>
    <t>VN000XR4FS81.  XXL</t>
  </si>
  <si>
    <t>VN000XR4FS81005 - V2K CAMERON TEE marshmallow, XX Large</t>
  </si>
  <si>
    <t>VN000Y8VYB21001</t>
  </si>
  <si>
    <t>VN000Y8VYB21.  L</t>
  </si>
  <si>
    <t>VN000Y8VYB21001 - VANS CLASSIC TANK White/Black, Large</t>
  </si>
  <si>
    <t>VN000Y8VYB21003</t>
  </si>
  <si>
    <t>VN000Y8VYB21.  S</t>
  </si>
  <si>
    <t>VN000Y8VYB21003 - VANS CLASSIC TANK White/Black, Small</t>
  </si>
  <si>
    <t>VN00104UEMS1005</t>
  </si>
  <si>
    <t>VN00104UEMS1.  XS</t>
  </si>
  <si>
    <t>VN00104UEMS1005 - Club Vans SS Dark Port, X Small</t>
  </si>
  <si>
    <t>VN001096BLK1001</t>
  </si>
  <si>
    <t>VN001096BLK1.  XS</t>
  </si>
  <si>
    <t>VN001096BLK1001 - Ascending SS Tee Black, X Small</t>
  </si>
  <si>
    <t>VN0010J9BLK1005</t>
  </si>
  <si>
    <t>VN0010J9BLK1.  M</t>
  </si>
  <si>
    <t>VN0010J9BLK1005 - Fck The Algorithm SS Te Black, Medium</t>
  </si>
  <si>
    <t>VN0010J9BLK1002</t>
  </si>
  <si>
    <t>VN0010J9BLK1.  XS</t>
  </si>
  <si>
    <t>VN0010J9BLK1002 - Fck The Algorithm SS Te Black, X Small</t>
  </si>
  <si>
    <t>VN0010J9WHT1003</t>
  </si>
  <si>
    <t>VN0010J9WHT1.  S</t>
  </si>
  <si>
    <t>VN0010J9WHT1003 - Fck The Algorithm SS Te White, Small</t>
  </si>
  <si>
    <t>VN0010J9WHT1005</t>
  </si>
  <si>
    <t>VN0010J9WHT1.  XS</t>
  </si>
  <si>
    <t>VN0010J9WHT1005 - Fck The Algorithm SS Te White, X Small</t>
  </si>
  <si>
    <t>VN0A3189LKZ1003</t>
  </si>
  <si>
    <t>VANS CLASSIC LOGO FILL</t>
  </si>
  <si>
    <t>VN0A3189LKZ1.  S</t>
  </si>
  <si>
    <t>VN0A3189LKZ1003 - VANS CLASSIC LOGO FILL dress blue, Small</t>
  </si>
  <si>
    <t>VN0A36MZADY1004</t>
  </si>
  <si>
    <t>BY VANS CLASSIC CREW</t>
  </si>
  <si>
    <t>Cement Heather/Black</t>
  </si>
  <si>
    <t>VN0A36MZADY1.  XL</t>
  </si>
  <si>
    <t>VN0A36MZADY1004 - BY VANS CLASSIC CREW CmntHthr/B, X Large</t>
  </si>
  <si>
    <t>VN0A3ANBO3R1005</t>
  </si>
  <si>
    <t>WM BOOM BOOM III JAC</t>
  </si>
  <si>
    <t>SILVER SAGE</t>
  </si>
  <si>
    <t>VN0A3ANBO3R1.  XS</t>
  </si>
  <si>
    <t>WOMENS OUTERWEAR</t>
  </si>
  <si>
    <t>VN0A3ANBO3R1005 - WM BOOM BOOM III JAC SILVER SAG, X Small</t>
  </si>
  <si>
    <t>Shell A 100% Nylon (pass Rain test), Shell B 100% Polyester (pass Rain test), Lining 100% Polyester, Insulation 100% polyester</t>
  </si>
  <si>
    <t>VN0A3CZENAV1003</t>
  </si>
  <si>
    <t>VN0A3CZENAV1.  S</t>
  </si>
  <si>
    <t>VN0A3CZENAV1003 - LEFT CHEST LOGO TEE Navy/White, Small</t>
  </si>
  <si>
    <t>VN0A3CZENAV1006</t>
  </si>
  <si>
    <t>VN0A3CZENAV1.  XL</t>
  </si>
  <si>
    <t>VN0A3CZENAV1006 - LEFT CHEST LOGO TEE Navy/White, X Large</t>
  </si>
  <si>
    <t>VN0A3CZENAV1001</t>
  </si>
  <si>
    <t>VN0A3CZENAV1.  XXL</t>
  </si>
  <si>
    <t>VN0A3CZENAV1001 - LEFT CHEST LOGO TEE Navy/White, XX Large</t>
  </si>
  <si>
    <t>VN0A3CZEYB21005</t>
  </si>
  <si>
    <t>VN0A3CZEYB21.  XL</t>
  </si>
  <si>
    <t>VN0A3CZEYB21005 - LEFT CHEST LOGO TEE White/Black, X Large</t>
  </si>
  <si>
    <t>VN0A3HSCP8X1001</t>
  </si>
  <si>
    <t>BY RILEY BOYS</t>
  </si>
  <si>
    <t>VN0A3HSCP8X1.  L</t>
  </si>
  <si>
    <t>VN0A3HSCP8X1001 - BY RILEY BOYS COPEN BLUE, Large</t>
  </si>
  <si>
    <t>VN0A3HSCP8X1003</t>
  </si>
  <si>
    <t>VN0A3HSCP8X1.  S</t>
  </si>
  <si>
    <t>VN0A3HSCP8X1003 - BY RILEY BOYS COPEN BLUE, Small</t>
  </si>
  <si>
    <t>VN0A3IJ1BLK1004</t>
  </si>
  <si>
    <t>STYLE 76</t>
  </si>
  <si>
    <t>VN0A3IJ1BLK1.  4</t>
  </si>
  <si>
    <t>VN0A3IJ1BLK1004 - STYLE 76 Black, 4</t>
  </si>
  <si>
    <t>VN0A3UDCBLK1002</t>
  </si>
  <si>
    <t>VN0A3UDCBLK1.  M</t>
  </si>
  <si>
    <t>VN0A3UDCBLK1002 - MN 2018 VANS CITY TE Black, Medium</t>
  </si>
  <si>
    <t>VN0A3WCW4PV1002</t>
  </si>
  <si>
    <t>BY VANS CLASSIC PO H</t>
  </si>
  <si>
    <t>High Risk Red</t>
  </si>
  <si>
    <t>VN0A3WCW4PV1.  7</t>
  </si>
  <si>
    <t>KIDS SWEATSHIRTS</t>
  </si>
  <si>
    <t>VN0A3WCW4PV1002 - BY VANS CLASSIC PO H High Risk Red, 7</t>
  </si>
  <si>
    <t>VN0A3WF1BLK1003</t>
  </si>
  <si>
    <t>VN0A3WF1BLK1.  XXL</t>
  </si>
  <si>
    <t>VN0A3WF1BLK1003 - MN DRILL CHORE COAT Black, XX Large</t>
  </si>
  <si>
    <t>VN0A3WF1KCZ1002</t>
  </si>
  <si>
    <t>VN0A3WF1KCZ1.  S</t>
  </si>
  <si>
    <t>VN0A3WF1KCZ1002 - MN DRILL CHORE COAT GRAPE LEAF, Small</t>
  </si>
  <si>
    <t>VN0A45AGADY1003</t>
  </si>
  <si>
    <t>BY VANS CLASSIC PO I</t>
  </si>
  <si>
    <t>VN0A45AGADY1.  S</t>
  </si>
  <si>
    <t>VN0A45AGADY1003 - BY VANS CLASSIC PO I CmntHthr/Blk, Small</t>
  </si>
  <si>
    <t>VN0A45CMLKZ1002</t>
  </si>
  <si>
    <t>MN OTW CREW II</t>
  </si>
  <si>
    <t>VN0A45CMLKZ1.  M</t>
  </si>
  <si>
    <t>MENS TOPS</t>
  </si>
  <si>
    <t>MENS SWEATSHIRTS</t>
  </si>
  <si>
    <t>VN0A45CMLKZ1002 - MN OTW CREW II DRESS BLUES, Medium</t>
  </si>
  <si>
    <t>VN0A45CMLKZ1004</t>
  </si>
  <si>
    <t>VN0A45CMLKZ1.  XS</t>
  </si>
  <si>
    <t>VN0A45CMLKZ1004 - MN OTW CREW II DRESS BLUES, X Small</t>
  </si>
  <si>
    <t>VN0A47TCBLK1001</t>
  </si>
  <si>
    <t>WM FLYING V BOXY HOO</t>
  </si>
  <si>
    <t>VN0A47TCBLK1.  XS</t>
  </si>
  <si>
    <t>WOMENS TOPS</t>
  </si>
  <si>
    <t>WOMENS SWEATSHIRTS</t>
  </si>
  <si>
    <t>H02019</t>
  </si>
  <si>
    <t>VN0A47TCBLK1001 - WM FLYING V BOXY HOO DITS FLYV, X Small</t>
  </si>
  <si>
    <t>VN0A49LCYB21005</t>
  </si>
  <si>
    <t>MN LEFT CHEST HIT LS</t>
  </si>
  <si>
    <t>VN0A49LCYB21.  L</t>
  </si>
  <si>
    <t>VN0A49LCYB21005 - MN LEFT CHEST HIT LS White/Black, Large</t>
  </si>
  <si>
    <t>VN0A49LCYB21003</t>
  </si>
  <si>
    <t>VN0A49LCYB21.  S</t>
  </si>
  <si>
    <t>VN0A49LCYB21003 - MN LEFT CHEST HIT LS White/Black, Small</t>
  </si>
  <si>
    <t>VN0A49LCYB21006</t>
  </si>
  <si>
    <t>VN0A49LCYB21.  XL</t>
  </si>
  <si>
    <t>VN0A49LCYB21006 - MN LEFT CHEST HIT LS White/Blac, X Large</t>
  </si>
  <si>
    <t>VN0A49MUY281001</t>
  </si>
  <si>
    <t>VN0A49MUY281.  2</t>
  </si>
  <si>
    <t>VN0A49MUY281001 - BY VANS CLASSIC PO K Black/White, 2</t>
  </si>
  <si>
    <t>VN0A49OYBDX1001</t>
  </si>
  <si>
    <t>VN0A49OYBDX1.  L</t>
  </si>
  <si>
    <t>VN0A49OYBDX1001 - LONG CHECK TWOFER BISTRO GREEN, Large</t>
  </si>
  <si>
    <t>VN0A49OYBLK1002</t>
  </si>
  <si>
    <t>VN0A49OYBLK1.  M</t>
  </si>
  <si>
    <t>VN0A49OYBLK1002 - LONG CHECK TWOFER Black, Medium</t>
  </si>
  <si>
    <t>VN0A49OYZDS1004</t>
  </si>
  <si>
    <t>BLUE CORAL/PORCELAIN GRN</t>
  </si>
  <si>
    <t>VN0A49OYZDS1.  S</t>
  </si>
  <si>
    <t>VN0A49OYZDS1004 - LONG CHECK TWOFER BLUE CORAL/PORC, Small</t>
  </si>
  <si>
    <t>VN0A4CYFBLK1002</t>
  </si>
  <si>
    <t>MN VANS CITY TEE AMSTER</t>
  </si>
  <si>
    <t>VN0A4CYFBLK1.  M</t>
  </si>
  <si>
    <t>VN0A4CYFBLK1002 - MN VANS CITY TEE AMSTER Black, Medium</t>
  </si>
  <si>
    <t>VN0A4CYFBLK1005</t>
  </si>
  <si>
    <t>VN0A4CYFBLK1.  XL</t>
  </si>
  <si>
    <t>VN0A4CYFBLK1005 - MN VANS CITY TEE AMSTER Black, X Large</t>
  </si>
  <si>
    <t>VN0A4CYYWHT1006</t>
  </si>
  <si>
    <t>VN0A4CYYWHT1.  L</t>
  </si>
  <si>
    <t>VN0A4CYYWHT1006 - MN VANS CITY TEE VAL White, Large</t>
  </si>
  <si>
    <t>VN0A4CYYWHT1005</t>
  </si>
  <si>
    <t>VN0A4CYYWHT1.  XL</t>
  </si>
  <si>
    <t>VN0A4CYYWHT1005 - MN VANS CITY TEE VAL White, X Large</t>
  </si>
  <si>
    <t>VN0A4MQ3BR11004</t>
  </si>
  <si>
    <t>VN0A4MQ3BR11.  XL</t>
  </si>
  <si>
    <t>VN0A4MQ3BR11004 - LEFT CHEST TEE FAIRWAY, X Large</t>
  </si>
  <si>
    <t>VN0A4OOO60Q1006</t>
  </si>
  <si>
    <t>MN COMFYCUSH PO</t>
  </si>
  <si>
    <t>Deep Teal</t>
  </si>
  <si>
    <t>VN0A4OOO60Q1.  L</t>
  </si>
  <si>
    <t>VN0A4OOO60Q1006 - MN COMFYCUSH PO CMCS DBUTL, Large</t>
  </si>
  <si>
    <t>78% COTTON 22% POLYESTER</t>
  </si>
  <si>
    <t>VN0A4Q4BBLK1005</t>
  </si>
  <si>
    <t>WM FLYING V LEGGING</t>
  </si>
  <si>
    <t>VN0A4Q4BBLK1.  XL</t>
  </si>
  <si>
    <t>VN0A4Q4BBLK1005 - WM FLYING V LEGGING FLYV BLACK, X Large</t>
  </si>
  <si>
    <t>93% cotton 7% elastane</t>
  </si>
  <si>
    <t>VN0A4R97BLK1005</t>
  </si>
  <si>
    <t>WM LEFT CHEST HAL</t>
  </si>
  <si>
    <t>VN0A4R97BLK1.  XL</t>
  </si>
  <si>
    <t>VN0A4R97BLK1005 - WM LEFT CHEST HAL Black, X Large</t>
  </si>
  <si>
    <t>VN0A4S97BLK1001</t>
  </si>
  <si>
    <t>WM CLASSIC V CREW</t>
  </si>
  <si>
    <t>VN0A4S97BLK1.  XS</t>
  </si>
  <si>
    <t>CLASSIC</t>
  </si>
  <si>
    <t>VN0A4S97BLK1001 - WM CLASSIC V CREW DITS CLSC BLA, X Small</t>
  </si>
  <si>
    <t>VN0A4TURWHT1004</t>
  </si>
  <si>
    <t>MN OFF THE WALL CLAS</t>
  </si>
  <si>
    <t>VN0A4TURWHT1.  XS</t>
  </si>
  <si>
    <t>VN0A4TURWHT1004 - MN OFF THE WALL CLAS White, X Small</t>
  </si>
  <si>
    <t>18/1 100% SUPIMA VORTEX COTTON</t>
  </si>
  <si>
    <t>VN0A54YJBLK1003</t>
  </si>
  <si>
    <t>VN0A54YJBLK1.  M</t>
  </si>
  <si>
    <t>VN0A54YJBLK1003 - WM CHECK BOOM HOOD-B DITS BLACK, Medium</t>
  </si>
  <si>
    <t>VN0A5AUBDSB1003</t>
  </si>
  <si>
    <t>VN0A5AUBDSB1.  S</t>
  </si>
  <si>
    <t>VN0A5AUBDSB1003 - GR SAS SHORT Dusty Blue, Small</t>
  </si>
  <si>
    <t>VN0A5FJ7DZ91002</t>
  </si>
  <si>
    <t>VN0A5FJ7DZ91REG29</t>
  </si>
  <si>
    <t>VN0A5FJ7DZ91002 - MN AUTHENTIC CHINO S Dirt, 29, Regular</t>
  </si>
  <si>
    <t>VN0A5FJXBLK1011</t>
  </si>
  <si>
    <t>VN0A5FJXBLK1REG27</t>
  </si>
  <si>
    <t>VN0A5FJXBLK1011 - AUTHENTIC CHINO RELAXED Bla, 27, Regular</t>
  </si>
  <si>
    <t>VN0A5FKDCFL1006</t>
  </si>
  <si>
    <t>RANGE RELAXED ELASTIC S</t>
  </si>
  <si>
    <t>VN0A5FKDCFL1REGM</t>
  </si>
  <si>
    <t>VN0A5FKDCFL1006 - RANGE RELAXED ELASTIC S, Medium, Regular</t>
  </si>
  <si>
    <t>VN0A5FKDKHK1004</t>
  </si>
  <si>
    <t>VN0A5FKDKHK1REGXL</t>
  </si>
  <si>
    <t>VN0A5FKDKHK1004 - RANGE RELAXED ELASTIC, X Large, Regular</t>
  </si>
  <si>
    <t>VN0A5FLPBLK1001</t>
  </si>
  <si>
    <t>VN0A5FLPBLK1REG23</t>
  </si>
  <si>
    <t>VN0A5FLPBLK1001 - Authentic Chino Pant Black, 23, Regular</t>
  </si>
  <si>
    <t>VN0A5FLPBLK1002</t>
  </si>
  <si>
    <t>VN0A5FLPBLK1REG24</t>
  </si>
  <si>
    <t>VN0A5FLPBLK1002 - Authentic Chino Pant Black, 24, Regular</t>
  </si>
  <si>
    <t>VN0A5FLPDZ91003</t>
  </si>
  <si>
    <t>VN0A5FLPDZ91REG28</t>
  </si>
  <si>
    <t>VN0A5FLPDZ91003 - Authentic Chino Pant Dirt, 28, Regular</t>
  </si>
  <si>
    <t>VN0A5FN19JC1002</t>
  </si>
  <si>
    <t>Range Elastic Waist Pan</t>
  </si>
  <si>
    <t>VN0A5FN19JC1REGS</t>
  </si>
  <si>
    <t>VN0A5FN19JC1002 - Range Elastic Waist Pan, Small, Regular</t>
  </si>
  <si>
    <t>98%COTTON/2% SPAN</t>
  </si>
  <si>
    <t>VN0A5FNVBR11001</t>
  </si>
  <si>
    <t>VN0A5FNVBR11.  L</t>
  </si>
  <si>
    <t>VN0A5FNVBR11001 - Torrey II FAIRWAY, Large</t>
  </si>
  <si>
    <t>VN0A5FNVBR11002</t>
  </si>
  <si>
    <t>VN0A5FNVBR11.  M</t>
  </si>
  <si>
    <t>VN0A5FNVBR11002 - Torrey II FAIRWAY, Medium</t>
  </si>
  <si>
    <t>VN0A5JNMZBF1007</t>
  </si>
  <si>
    <t>MTE Foundry Long</t>
  </si>
  <si>
    <t>VN0A5JNMZBF1.  L</t>
  </si>
  <si>
    <t>MUSIC ACADEMY</t>
  </si>
  <si>
    <t>VN0A5JNMZBF1007 - MTE Foundry Long MSCA MDGRE, Large</t>
  </si>
  <si>
    <t>Shell: 100% Polyester (Pass Rain Test);lining: 100% Polyester; Filling: 100% Polyester</t>
  </si>
  <si>
    <t>VN0A5KEZBLK1006</t>
  </si>
  <si>
    <t>VN0A5KEZBLK1.  2</t>
  </si>
  <si>
    <t>VN0A5KEZBLK1006 - RANGE ELASTIC WAIST PAN Black, 2</t>
  </si>
  <si>
    <t>VN0A5LNVBLK1005</t>
  </si>
  <si>
    <t>Flying V BFF Dress</t>
  </si>
  <si>
    <t>VN0A5LNVBLK1.  S</t>
  </si>
  <si>
    <t>VN0A5LNVBLK1005 - Flying V BFF Dress Black, Small</t>
  </si>
  <si>
    <t>VN0A7RMDDJR1006</t>
  </si>
  <si>
    <t>VN0A7RMDDJR1.  XL</t>
  </si>
  <si>
    <t>VN0A7RMDDJR1006 - FLYING V OS LS HOODIE FLYV WHIT, X Large</t>
  </si>
  <si>
    <t>VN0A7SHE7051004</t>
  </si>
  <si>
    <t>Range Elastic Waist Sho</t>
  </si>
  <si>
    <t>VN0A7SHE7051REGXL</t>
  </si>
  <si>
    <t>VN0A7SHE7051004 - Range Elastic Waist Sh, X Large, Regular</t>
  </si>
  <si>
    <t>98% COTTON 2% SPANDEX</t>
  </si>
  <si>
    <t>VN0A7Y3XJNH1002</t>
  </si>
  <si>
    <t>BLACK 2</t>
  </si>
  <si>
    <t>VN0A7Y3XJNH1.  XL</t>
  </si>
  <si>
    <t>VN0A7Y3XJNH1002 - Classic Vans PO-B BLACK 2, X Large</t>
  </si>
  <si>
    <t>VN0A7Y47Z2X1004</t>
  </si>
  <si>
    <t>INDIGO/MARSHMALLOW</t>
  </si>
  <si>
    <t>VN0A7Y47Z2X1.  XL</t>
  </si>
  <si>
    <t>VN0A7Y47Z2X1004 - CLASSIC VANS-B INDIGO/MARSHMAL, X Large</t>
  </si>
  <si>
    <t>VN0A7Y4RJNH1004</t>
  </si>
  <si>
    <t>VN0A7Y4RJNH1.  XL</t>
  </si>
  <si>
    <t>VN0A7Y4RJNH1004 - CLASSIC VANS PO-B BLACK 2, X Large</t>
  </si>
  <si>
    <t>VN0A7YK5BLK1005</t>
  </si>
  <si>
    <t>MTE Foundry Puff</t>
  </si>
  <si>
    <t>VN0A7YK5BLK1.  S</t>
  </si>
  <si>
    <t>VN0A7YK5BLK1005 - MTE Foundry Puff MSCA BLACK, Small</t>
  </si>
  <si>
    <t>Shell 100% Polyester (Pass Rain Test); Lining: 100% Polyester; Filling: 100% Polyester</t>
  </si>
  <si>
    <t>VN0A7YUTJCN1006</t>
  </si>
  <si>
    <t>BLUESTONE</t>
  </si>
  <si>
    <t>VN0A7YUTJCN1.  L</t>
  </si>
  <si>
    <t>VN0A7YUTJCN1006 - Flying V Oversized FLYV MBLUE, Large</t>
  </si>
  <si>
    <t>VN00082G9RJ1001</t>
  </si>
  <si>
    <t>Old Skool Cinch Backpac</t>
  </si>
  <si>
    <t>True Black</t>
  </si>
  <si>
    <t>VN00082G9RJ1.  OS</t>
  </si>
  <si>
    <t>VN00082G9RJ1001 - Old Skool Cinch Backpac True B, One Size</t>
  </si>
  <si>
    <t>SHELL: 100% NYLON,POLYURETHANE COATING, LINING: 100% POLYESTER,POLYURETHANE COATING, EOD</t>
  </si>
  <si>
    <t>VN000H4XEMW1001</t>
  </si>
  <si>
    <t>VN000H4XEMW1.  OS</t>
  </si>
  <si>
    <t>VN000H4XEMW1001 - Old Skool Check Backpac Gray O, One Size</t>
  </si>
  <si>
    <t>VN000H4YCIC1001</t>
  </si>
  <si>
    <t>VN000H4YCIC1.  OS</t>
  </si>
  <si>
    <t>VN000H4YCIC1001 - Old Skool Classic Backp WARM O, One Size</t>
  </si>
  <si>
    <t>VN000H4YO3N1001</t>
  </si>
  <si>
    <t>VN000H4YO3N1.  OS</t>
  </si>
  <si>
    <t>VN000H4YO3N1001 - Old Skool Classic Backp SEPIA, One Size</t>
  </si>
  <si>
    <t>Shell：100% Cotton, Lining：100% Polyester Polyurethane Coating, EOD &amp; EOE</t>
  </si>
  <si>
    <t>VN000H56CBO1001</t>
  </si>
  <si>
    <t>LODEN GREEN/WHITE</t>
  </si>
  <si>
    <t>VN000H56CBO1.  OS</t>
  </si>
  <si>
    <t>VN000H56CBO1001 - Old Skool Grom Backpack LODEN, One Size</t>
  </si>
  <si>
    <t>SHELL: 100% POLYESTER, POLYURETHANE COATING, LINING: 100% POLYESTER, POLYURETHANE COATING,  EOD&amp;EOE</t>
  </si>
  <si>
    <t>VN000H58CBO1001</t>
  </si>
  <si>
    <t>VN000H58CBO1.  OS</t>
  </si>
  <si>
    <t>VN000H58CBO1001 - Old Skool Pencil Pouch LODEN G, One Size</t>
  </si>
  <si>
    <t>SHELL: 100% POLYESTER,POLYURETHANE COATING,LINING: 100% POLYESTER, POLYURETHANE COATING,  EOD</t>
  </si>
  <si>
    <t>VN000MNNY7X1001</t>
  </si>
  <si>
    <t>VN000MNNY7X1.  OS</t>
  </si>
  <si>
    <t>VN000MNNY7X1001 - Daily Backpack BURNT ORANGE, One Size</t>
  </si>
  <si>
    <t>SHELL: 100% POLYESTER, POLYURETHANE COATING; LINING: 100% POLYESTER, POLYURETHANE COATING, EOD&amp;EOE</t>
  </si>
  <si>
    <t>VN000MNXBLK1001</t>
  </si>
  <si>
    <t>Its a Cinch Tote</t>
  </si>
  <si>
    <t>VN000MNXBLK1.  OS</t>
  </si>
  <si>
    <t>VN000MNXBLK1001 - Its a Cinch Tote Black, One Size</t>
  </si>
  <si>
    <t>Shell : 100% Nylon; Lining : 100% Polyester, EOD</t>
  </si>
  <si>
    <t>VN0A7PQE7UG1001</t>
  </si>
  <si>
    <t>Pergs Tote</t>
  </si>
  <si>
    <t>VN0A7PQE7UG1.  OS</t>
  </si>
  <si>
    <t>VN0A7PQE7UG1001 - Pergs Tote Dchshnd, One Size</t>
  </si>
  <si>
    <t>Shell : 100% Cotton,Polyethylene coating</t>
  </si>
  <si>
    <t>VN0005UFBLL1019</t>
  </si>
  <si>
    <t>VN0005UFBLL1M  035</t>
  </si>
  <si>
    <t>VN0005UFBLL1019 - Old Skool CTHR FRNOK, 3.5, Medium</t>
  </si>
  <si>
    <t>VN0005UFBLL1018</t>
  </si>
  <si>
    <t>VN0005UFBLL1M  040</t>
  </si>
  <si>
    <t>VN0005UFBLL1018 - Old Skool CTHR FRNOK, 4, Medium</t>
  </si>
  <si>
    <t>VN0005UFBLL1017</t>
  </si>
  <si>
    <t>VN0005UFBLL1M  045</t>
  </si>
  <si>
    <t>VN0005UFBLL1017 - Old Skool CTHR FRNOK, 4.5, Medium</t>
  </si>
  <si>
    <t>VN0005UFBLL1015</t>
  </si>
  <si>
    <t>VN0005UFBLL1M  055</t>
  </si>
  <si>
    <t>VN0005UFBLL1015 - Old Skool CTHR FRNOK, 5.5, Medium</t>
  </si>
  <si>
    <t>VN0005UFBLL1013</t>
  </si>
  <si>
    <t>VN0005UFBLL1M  065</t>
  </si>
  <si>
    <t>VN0005UFBLL1013 - Old Skool CTHR FRNOK, 6.5, Medium</t>
  </si>
  <si>
    <t>VN0005UFCJL1014</t>
  </si>
  <si>
    <t>VN0005UFCJL1M  045</t>
  </si>
  <si>
    <t>VN0005UFCJL1014 - Old Skool CTHR ICEBE, 4.5, Medium</t>
  </si>
  <si>
    <t>VN0005UKOLO1003</t>
  </si>
  <si>
    <t>UA SK8-Hi Reconstruct</t>
  </si>
  <si>
    <t>Olive Camo</t>
  </si>
  <si>
    <t>VN0005UKOLO1M  115</t>
  </si>
  <si>
    <t>VN0005UKOLO1003 - UA SK8-Hi Reconstruct DKGR, 11.5, Medium</t>
  </si>
  <si>
    <t>VN0005UKQJM1017</t>
  </si>
  <si>
    <t>MARSHMALLOW/WHITE</t>
  </si>
  <si>
    <t>VN0005UKQJM1M  045</t>
  </si>
  <si>
    <t>VN0005UKQJM1017 - UA SK8-Hi Reconstruct MARSH, 4.5, Medium</t>
  </si>
  <si>
    <t>VN0005UKQJM1015</t>
  </si>
  <si>
    <t>VN0005UKQJM1M  055</t>
  </si>
  <si>
    <t>VN0005UKQJM1015 - UA SK8-Hi Reconstruct MARSH, 5.5, Medium</t>
  </si>
  <si>
    <t>VN0005V81741004</t>
  </si>
  <si>
    <t>Black/Black/Grey</t>
  </si>
  <si>
    <t>VN0005V81741M  040</t>
  </si>
  <si>
    <t>SURF ESSENTIALS</t>
  </si>
  <si>
    <t>VN0005V81741004 - MTE Slip-On Mule TRK SURF BLA, 4, Medium</t>
  </si>
  <si>
    <t>VN0005V81741011</t>
  </si>
  <si>
    <t>VN0005V81741M  130</t>
  </si>
  <si>
    <t>VN0005V81741011 - MTE Slip-On Mule TRK SURF BL, 13, Medium</t>
  </si>
  <si>
    <t>VN0005V8YU21003</t>
  </si>
  <si>
    <t>PINK GLO</t>
  </si>
  <si>
    <t>VN0005V8YU21M  050</t>
  </si>
  <si>
    <t>PALM</t>
  </si>
  <si>
    <t>VN0005V8YU21003 - MTE Slip-On Mule TRK PALM MPI, 5, Medium</t>
  </si>
  <si>
    <t>VN0007NKBZW1013</t>
  </si>
  <si>
    <t>VN0007NKBZW1M  095</t>
  </si>
  <si>
    <t>VN0007NKBZW1013 - SK8-Hi MTE-2 LPRD BLKWH, 9.5, Medium</t>
  </si>
  <si>
    <t>VN0007NKYEH1001</t>
  </si>
  <si>
    <t>VN0007NKYEH1M  035</t>
  </si>
  <si>
    <t>VN0007NKYEH1001 - SK8-Hi MTE-2 DESERT TAUPE, 3.5, Medium</t>
  </si>
  <si>
    <t>VN0007NKYJ71005</t>
  </si>
  <si>
    <t>VN0007NKYJ71M  055</t>
  </si>
  <si>
    <t>VN0007NKYJ71005 - SK8-Hi MTE-2 2TON BLKGR, 5.5, Medium</t>
  </si>
  <si>
    <t>VN0007NSBY11007</t>
  </si>
  <si>
    <t>VN0007NSBY11M  065</t>
  </si>
  <si>
    <t>VN0007NSBY11007 - SK8-Hi PSDE SHADO, 6.5, Medium</t>
  </si>
  <si>
    <t>VN0007NTYB21006</t>
  </si>
  <si>
    <t>VN0007NTYB21M  085</t>
  </si>
  <si>
    <t>VN0007NTYB21006 - Old Skool LTHR WHTBL, 8.5, Medium</t>
  </si>
  <si>
    <t>VN0007NTYP01017</t>
  </si>
  <si>
    <t>Black/Light Blue</t>
  </si>
  <si>
    <t>VN0007NTYP01M  055</t>
  </si>
  <si>
    <t>VN0007NTYP01017 - Old Skool OSLC BLKBU, 5.5, Medium</t>
  </si>
  <si>
    <t>VN0007NTYP01010</t>
  </si>
  <si>
    <t>VN0007NTYP01M  110</t>
  </si>
  <si>
    <t>VN0007NTYP01010 - Old Skool OSLC BLKBU, 11, Medium</t>
  </si>
  <si>
    <t>VN0007P2TWB1013</t>
  </si>
  <si>
    <t>Lowland CC JMP R</t>
  </si>
  <si>
    <t>True White/Black</t>
  </si>
  <si>
    <t>VN0007P2TWB1M  045</t>
  </si>
  <si>
    <t>COURT</t>
  </si>
  <si>
    <t>VN0007P2TWB1013 - Lowland CC JMP R CORT WHTBL, 4.5, Medium</t>
  </si>
  <si>
    <t>VN0007P2TWB1007</t>
  </si>
  <si>
    <t>VN0007P2TWB1M  110</t>
  </si>
  <si>
    <t>VN0007P2TWB1007 - Lowland CC JMP R CORT WHTBL, 11, Medium</t>
  </si>
  <si>
    <t>VN0007Q3BIY1011</t>
  </si>
  <si>
    <t>VN0007Q3BIY1M  070</t>
  </si>
  <si>
    <t>Neon Hearts</t>
  </si>
  <si>
    <t>VN0007Q3BIY1011 - SK8-Hi Reissue Side Zip NEON, 7, Medium</t>
  </si>
  <si>
    <t>VN0007Q3EMY1001</t>
  </si>
  <si>
    <t>VN0007Q3EMY1M  060</t>
  </si>
  <si>
    <t>VN0007Q3EMY1001 - SK8-Hi Reissue Side Zip GLTR, 6, Medium</t>
  </si>
  <si>
    <t>VN0009PZDRV1005</t>
  </si>
  <si>
    <t>VN0009PZDRV1M  055</t>
  </si>
  <si>
    <t>VN0009PZDRV1005 - Old Skool Platform MONO DPR, 5.5, Medium</t>
  </si>
  <si>
    <t>VN0009Q7YY61009</t>
  </si>
  <si>
    <t>VN0009Q7YY61M  050</t>
  </si>
  <si>
    <t>VN0009Q7YY61009 - Classic Slip-On Black/Leopard, 5, Medium</t>
  </si>
  <si>
    <t>VN0009Q7YY61005</t>
  </si>
  <si>
    <t>VN0009Q7YY61M  070</t>
  </si>
  <si>
    <t>VN0009Q7YY61005 - Classic Slip-On Black/Leopard, 7, Medium</t>
  </si>
  <si>
    <t>VN0009QCBKA1011</t>
  </si>
  <si>
    <t>VN0009QCBKA1M  040</t>
  </si>
  <si>
    <t>VN0009QCBKA1011 - Knu Skool Black/Black, 4, Medium</t>
  </si>
  <si>
    <t>VN0009QCBKA1006</t>
  </si>
  <si>
    <t>VN0009QCBKA1M  085</t>
  </si>
  <si>
    <t>VN0009QCBKA1006 - Knu Skool Black/Black, 8.5, Medium</t>
  </si>
  <si>
    <t>VN0009QCBKA1010</t>
  </si>
  <si>
    <t>VN0009QCBKA1M  130</t>
  </si>
  <si>
    <t>VN0009QCBKA1010 - Knu Skool Black/Black, 13, Medium</t>
  </si>
  <si>
    <t>VN0009QCCJI1004</t>
  </si>
  <si>
    <t>VN0009QCCJI1M  105</t>
  </si>
  <si>
    <t>VN0009QCCJI1004 - Knu Skool GMBP BLACK, 10.5, Medium</t>
  </si>
  <si>
    <t>VN0009QCDBS1016</t>
  </si>
  <si>
    <t>MARSHMALLOW/LIGHT GUM</t>
  </si>
  <si>
    <t>VN0009QCDBS1M  050</t>
  </si>
  <si>
    <t>VN0009QCDBS1016 - Knu Skool Marshmallow/Lig, 5, Medium</t>
  </si>
  <si>
    <t>VN0009QCNWH1024</t>
  </si>
  <si>
    <t>VN0009QCNWH1M  040</t>
  </si>
  <si>
    <t>VN0009QCNWH1024 - Knu Skool Brown/White, 4, Medium</t>
  </si>
  <si>
    <t>VN0009QCNWH1026</t>
  </si>
  <si>
    <t>VN0009QCNWH1M  050</t>
  </si>
  <si>
    <t>VN0009QCNWH1026 - Knu Skool Brown/White, 5, Medium</t>
  </si>
  <si>
    <t>VN0009QDPNK1017</t>
  </si>
  <si>
    <t>Knu Slip</t>
  </si>
  <si>
    <t>VN0009QDPNK1M  120</t>
  </si>
  <si>
    <t>SORBET PASTELS</t>
  </si>
  <si>
    <t>VN0009QDPNK1017 - Knu Slip SORB DPINK, 12, Medium</t>
  </si>
  <si>
    <t>VN0009QJO3N1011</t>
  </si>
  <si>
    <t>VN0009QJO3N1M  085</t>
  </si>
  <si>
    <t>VN0009QJO3N1011 - Rowley Classic SEPIA ROSE, 8.5, Medium</t>
  </si>
  <si>
    <t>VN0009QMBLA1017</t>
  </si>
  <si>
    <t>VN0009QMBLA1M  115</t>
  </si>
  <si>
    <t>VN0009QMBLA1017 - SK8-Hi DR MTE-2 BLACK, 11.5, Medium</t>
  </si>
  <si>
    <t>VN0009QMBLA1018</t>
  </si>
  <si>
    <t>VN0009QMBLA1M  120</t>
  </si>
  <si>
    <t>VN0009QMBLA1018 - SK8-Hi DR MTE-2 BLACK, 12, Medium</t>
  </si>
  <si>
    <t>VN0009QMJM91002</t>
  </si>
  <si>
    <t>VN0009QMJM91M  040</t>
  </si>
  <si>
    <t>VN0009QMJM91002 - SK8-Hi DR MTE-2 POLA TAN, 4, Medium</t>
  </si>
  <si>
    <t>VN0009QP4MG1018</t>
  </si>
  <si>
    <t>VN0009QP4MG1M  040</t>
  </si>
  <si>
    <t>CRAFTCORE</t>
  </si>
  <si>
    <t>VN0009QP4MG1018 - SK8-Hi Tapered CRAF BLACK, 4, Medium</t>
  </si>
  <si>
    <t>VN0009QPBLK1018</t>
  </si>
  <si>
    <t>VN0009QPBLK1M  100</t>
  </si>
  <si>
    <t>ANIMALIER</t>
  </si>
  <si>
    <t>VN0009QPBLK1018 - SK8-Hi Tapered ANIM BLACK, 10, Medium</t>
  </si>
  <si>
    <t>VN0009QRCJJ1018</t>
  </si>
  <si>
    <t>VN0009QRCJJ1M  090</t>
  </si>
  <si>
    <t>VN0009QRCJJ1018 - SK8-Low GUM BLACK, 9, Medium</t>
  </si>
  <si>
    <t>VN0009RCBZW1009</t>
  </si>
  <si>
    <t>VN0009RCBZW1M  070</t>
  </si>
  <si>
    <t>LOGO CHECK</t>
  </si>
  <si>
    <t>VN0009RCBZW1009 - Old Skool V LGCH BLKWH, 7, Medium</t>
  </si>
  <si>
    <t>VN0009RCBZW1008</t>
  </si>
  <si>
    <t>VN0009RCBZW1M  075</t>
  </si>
  <si>
    <t>VN0009RCBZW1008 - Old Skool V LGCH BLKWH, 7.5, Medium</t>
  </si>
  <si>
    <t>VN0009W3BTX1021</t>
  </si>
  <si>
    <t>Sk8-Hi C 2.0</t>
  </si>
  <si>
    <t>STRANGER THINGS LEATHER</t>
  </si>
  <si>
    <t>VN0009W3BTX1M  050</t>
  </si>
  <si>
    <t>VN MENS CUSTOMS FOOTWEAR</t>
  </si>
  <si>
    <t>VN MENS CUSTOMS ICONS FTW</t>
  </si>
  <si>
    <t>VN0009W3BTX1021 - Sk8-Hi C 2.0 STRANGER THINGS, 5, Medium</t>
  </si>
  <si>
    <t>VN0009W3BTX1020</t>
  </si>
  <si>
    <t>VN0009W3BTX1M  055</t>
  </si>
  <si>
    <t>VN0009W3BTX1020 - Sk8-Hi C 2.0 STRANGER THING, 5.5, Medium</t>
  </si>
  <si>
    <t>VN0009W3DD81001</t>
  </si>
  <si>
    <t>DISNEY/PIXAR DS TXT UPC</t>
  </si>
  <si>
    <t>VN0009W3DD81M  115</t>
  </si>
  <si>
    <t>VN0009W3DD81001 - Sk8-Hi C 2.0 Disney/Pixar, 11.5, Medium</t>
  </si>
  <si>
    <t>VN000BCE0HS1004</t>
  </si>
  <si>
    <t>Trellis</t>
  </si>
  <si>
    <t>VN000BCE0HS1M  050</t>
  </si>
  <si>
    <t>VN000BCE0HS1004 - UltraRange Neo VR3 Trellis, 5, Medium</t>
  </si>
  <si>
    <t>VN000BCEBF01007</t>
  </si>
  <si>
    <t>VN000BCEBF01M  110</t>
  </si>
  <si>
    <t>VN000BCEBF01007 - UltraRange Neo VR3 BROWN/MUL, 11, Medium</t>
  </si>
  <si>
    <t>VN000BCEBIG1019</t>
  </si>
  <si>
    <t>LIGHT YELLOW/MULTI</t>
  </si>
  <si>
    <t>VN000BCEBIG1M  035</t>
  </si>
  <si>
    <t>VN000BCEBIG1019 - UltraRange Neo VR3 LIGHT YE, 3.5, Medium</t>
  </si>
  <si>
    <t>VN000BCEBIY1015</t>
  </si>
  <si>
    <t>VN000BCEBIY1M  055</t>
  </si>
  <si>
    <t>VN000BCEBIY1015 - UltraRange Neo VR3 PINK/MUL, 5.5, Medium</t>
  </si>
  <si>
    <t>VN000BCEBIY1009</t>
  </si>
  <si>
    <t>VN000BCEBIY1M  085</t>
  </si>
  <si>
    <t>VN000BCEBIY1009 - UltraRange Neo VR3 PINK/MUL, 8.5, Medium</t>
  </si>
  <si>
    <t>VN000BCEBJW1017</t>
  </si>
  <si>
    <t>VINTAGE WHITE/MULTI</t>
  </si>
  <si>
    <t>VN000BCEBJW1M  120</t>
  </si>
  <si>
    <t>VN000BCEBJW1017 - UltraRange Neo VR3 VINTAGE W, 12, Medium</t>
  </si>
  <si>
    <t>VN000BCEBMV1008</t>
  </si>
  <si>
    <t>VN000BCEBMV1M  080</t>
  </si>
  <si>
    <t>VN000BCEBMV1008 - UltraRange Neo VR3 BLACK/MULT, 8, Medium</t>
  </si>
  <si>
    <t>VN000BCECCZ1015</t>
  </si>
  <si>
    <t>VN000BCECCZ1M  050</t>
  </si>
  <si>
    <t>VN000BCECCZ1015 - UltraRange Neo VR3 MARSHMALLO, 5, Medium</t>
  </si>
  <si>
    <t>VN000BCELLC1008</t>
  </si>
  <si>
    <t>VN000BCELLC1M  055</t>
  </si>
  <si>
    <t>VN000BCELLC1008 - UltraRange Neo VR3 Lilac, 5.5, Medium</t>
  </si>
  <si>
    <t>VN000BCELLC1017</t>
  </si>
  <si>
    <t>VN000BCELLC1M  060</t>
  </si>
  <si>
    <t>VN000BCELLC1017 - UltraRange Neo VR3 Lilac, 6, Medium</t>
  </si>
  <si>
    <t>VN000BCELLC1006</t>
  </si>
  <si>
    <t>VN000BCELLC1M  075</t>
  </si>
  <si>
    <t>VN000BCELLC1006 - UltraRange Neo VR3 Lilac, 7.5, Medium</t>
  </si>
  <si>
    <t>VN000BCERP91011</t>
  </si>
  <si>
    <t>ASPHALT/WHITE</t>
  </si>
  <si>
    <t>VN000BCERP91M  075</t>
  </si>
  <si>
    <t>VN000BCERP91011 - UltraRange Neo VR3 ASPHALT/, 7.5, Medium</t>
  </si>
  <si>
    <t>VN000BCEW001001</t>
  </si>
  <si>
    <t>VN000BCEW001M  130</t>
  </si>
  <si>
    <t>VN000BCEW001001 - UltraRange Neo VR3 True Whit, 13, Medium</t>
  </si>
  <si>
    <t>VN000BVS1M71018</t>
  </si>
  <si>
    <t>VN000BVS1M71M  065</t>
  </si>
  <si>
    <t>VN000BVS1M71018 - Colfax Elevate MTE-2 Golden, 6.5, Medium</t>
  </si>
  <si>
    <t>VN000BVS6BT1012</t>
  </si>
  <si>
    <t>VN000BVS6BT1M  035</t>
  </si>
  <si>
    <t>VN000BVS6BT1012 - Colfax Elevate MTE-2 LTHR B, 3.5, Medium</t>
  </si>
  <si>
    <t>VN000BVZ1NU1012</t>
  </si>
  <si>
    <t>VN000BVZ1NU1M  055</t>
  </si>
  <si>
    <t>VN000BVZ1NU1012 - Classic Slip-On CTHR CHBD M, 5.5, Medium</t>
  </si>
  <si>
    <t>VN000BVZ1NU1013</t>
  </si>
  <si>
    <t>VN000BVZ1NU1M  065</t>
  </si>
  <si>
    <t>VN000BVZ1NU1013 - Classic Slip-On CTHR CHBD M, 6.5, Medium</t>
  </si>
  <si>
    <t>VN000BVZ1NU1005</t>
  </si>
  <si>
    <t>VN000BVZ1NU1M  070</t>
  </si>
  <si>
    <t>VN000BVZ1NU1005 - Classic Slip-On CTHR CHBD MBR, 7, Medium</t>
  </si>
  <si>
    <t>VN000BVZ1NU1019</t>
  </si>
  <si>
    <t>VN000BVZ1NU1M  075</t>
  </si>
  <si>
    <t>VN000BVZ1NU1019 - Classic Slip-On CTHR CHBD M, 7.5, Medium</t>
  </si>
  <si>
    <t>VN000BVZ1NU1006</t>
  </si>
  <si>
    <t>VN000BVZ1NU1M  080</t>
  </si>
  <si>
    <t>VN000BVZ1NU1006 - Classic Slip-On CTHR CHBD MBR, 8, Medium</t>
  </si>
  <si>
    <t>VN000BVZ1NU1018</t>
  </si>
  <si>
    <t>VN000BVZ1NU1M  085</t>
  </si>
  <si>
    <t>VN000BVZ1NU1018 - Classic Slip-On CTHR CHBD M, 8.5, Medium</t>
  </si>
  <si>
    <t>VN000BVZ1NU1017</t>
  </si>
  <si>
    <t>VN000BVZ1NU1M  095</t>
  </si>
  <si>
    <t>VN000BVZ1NU1017 - Classic Slip-On CTHR CHBD M, 9.5, Medium</t>
  </si>
  <si>
    <t>VN000BVZ1NU1008</t>
  </si>
  <si>
    <t>VN000BVZ1NU1M  100</t>
  </si>
  <si>
    <t>VN000BVZ1NU1008 - Classic Slip-On CTHR CHBD MB, 10, Medium</t>
  </si>
  <si>
    <t>VN000BVZ1NU1016</t>
  </si>
  <si>
    <t>VN000BVZ1NU1M  105</t>
  </si>
  <si>
    <t>VN000BVZ1NU1016 - Classic Slip-On CTHR CHBD, 10.5, Medium</t>
  </si>
  <si>
    <t>VN000BVZ1NU1009</t>
  </si>
  <si>
    <t>VN000BVZ1NU1M  110</t>
  </si>
  <si>
    <t>VN000BVZ1NU1009 - Classic Slip-On CTHR CHBD MB, 11, Medium</t>
  </si>
  <si>
    <t>VN000BVZ1NU1015</t>
  </si>
  <si>
    <t>VN000BVZ1NU1M  115</t>
  </si>
  <si>
    <t>VN000BVZ1NU1015 - Classic Slip-On CTHR CHBD, 11.5, Medium</t>
  </si>
  <si>
    <t>VN000BVZ2391004</t>
  </si>
  <si>
    <t>VN000BVZ2391M  085</t>
  </si>
  <si>
    <t>VN000BVZ2391004 - Classic Slip-On WOOL MDGRY, 8.5, Medium</t>
  </si>
  <si>
    <t>VN000BVZ2391001</t>
  </si>
  <si>
    <t>VN000BVZ2391M  115</t>
  </si>
  <si>
    <t>VN000BVZ2391001 - Classic Slip-On WOOL MDGRY, 11.5, Medium</t>
  </si>
  <si>
    <t>VN000BVZFRL1008</t>
  </si>
  <si>
    <t>classic white/true white</t>
  </si>
  <si>
    <t>VN000BVZFRL1M  090</t>
  </si>
  <si>
    <t>Get Outdoors</t>
  </si>
  <si>
    <t>VN000BVZFRL1008 - Classic Slip-On GETO WHITE, 9, Medium</t>
  </si>
  <si>
    <t>VN000BW7EME1005</t>
  </si>
  <si>
    <t>VN000BW7EME1M  060</t>
  </si>
  <si>
    <t>VN000BW7EME1005 - SK8-Hi PSDE DGREN, 6, Medium</t>
  </si>
  <si>
    <t>VN000BWB0VW1015</t>
  </si>
  <si>
    <t>VN000BWB0VW1M  085</t>
  </si>
  <si>
    <t>VN000BWB0VW1015 - Lowland CC VTSO WHITE, 8.5, Medium</t>
  </si>
  <si>
    <t>VN000CMTNGV1019</t>
  </si>
  <si>
    <t>Navy/Black</t>
  </si>
  <si>
    <t>VN000CMTNGV1M  110</t>
  </si>
  <si>
    <t>PERF SPORT</t>
  </si>
  <si>
    <t>VN000CMTNGV1019 - Cruze Too CC PRFS NVBL, 11, Medium</t>
  </si>
  <si>
    <t>Monobrand, Action Sports, Fashion Lifestyle, Sports Inspired</t>
  </si>
  <si>
    <t>VN000CMX2391009</t>
  </si>
  <si>
    <t>VN000CMX2391M  070</t>
  </si>
  <si>
    <t>VN000CMX2391009 - SK8-Hi PIGS MDGRY, 7, Medium</t>
  </si>
  <si>
    <t>VN000CMX9JC1014</t>
  </si>
  <si>
    <t>VN000CMX9JC1M  045</t>
  </si>
  <si>
    <t>VN000CMX9JC1014 - SK8-Hi CTHR MDBRN, 4.5, Medium</t>
  </si>
  <si>
    <t>VN000CMXM8I1014</t>
  </si>
  <si>
    <t>VN000CMXM8I1M  055</t>
  </si>
  <si>
    <t>VN000CMXM8I1014 - SK8-Hi PSDE MGRGY, 5.5, Medium</t>
  </si>
  <si>
    <t>VN000CMXN1Z1011</t>
  </si>
  <si>
    <t>VN000CMXN1Z1M  035</t>
  </si>
  <si>
    <t>VN000CMXN1Z1011 - SK8-Hi PIGS RUST, 3.5, Medium</t>
  </si>
  <si>
    <t>VN000CP67VF1005</t>
  </si>
  <si>
    <t>VN000CP67VF1M  085</t>
  </si>
  <si>
    <t>VN000CP67VF1005 - Knu Stack 2TNE DGREY, 8.5, Medium</t>
  </si>
  <si>
    <t>VN000CP6BKA1017</t>
  </si>
  <si>
    <t>VN000CP6BKA1M  050</t>
  </si>
  <si>
    <t>VN000CP6BKA1017 - Knu Stack Black/Black, 5, Medium</t>
  </si>
  <si>
    <t>VN000CP6BKA1013</t>
  </si>
  <si>
    <t>VN000CP6BKA1M  065</t>
  </si>
  <si>
    <t>VN000CP6BKA1013 - Knu Stack Black/Black, 6.5, Medium</t>
  </si>
  <si>
    <t>VN000CP6BXC1016</t>
  </si>
  <si>
    <t>VN000CP6BXC1M  080</t>
  </si>
  <si>
    <t>VN000CP6BXC1016 - Knu Stack SKAT GRAY, 8, Medium</t>
  </si>
  <si>
    <t>VN000CP6GRY1011</t>
  </si>
  <si>
    <t>Grey</t>
  </si>
  <si>
    <t>VN000CP6GRY1M  085</t>
  </si>
  <si>
    <t>LOLLIPOP</t>
  </si>
  <si>
    <t>VN000CP6GRY1011 - Knu Stack LOLL DGREY, 8.5, Medium</t>
  </si>
  <si>
    <t>VN000CQ0BLK1006</t>
  </si>
  <si>
    <t>VN000CQ0BLK1M  045</t>
  </si>
  <si>
    <t>VN000CQ0BLK1006 - SK8-Mid Reissue V DENM BLAC, 4.5, Medium</t>
  </si>
  <si>
    <t>VN000CQ0BMW1012</t>
  </si>
  <si>
    <t>VN000CQ0BMW1M  045</t>
  </si>
  <si>
    <t>VN000CQ0BMW1012 - SK8-Mid Reissue V GLSK BLKW, 4.5, Medium</t>
  </si>
  <si>
    <t>VN000CQ0BMW1010</t>
  </si>
  <si>
    <t>VN000CQ0BMW1M  055</t>
  </si>
  <si>
    <t>VN000CQ0BMW1010 - SK8-Mid Reissue V GLSK BLKW, 5.5, Medium</t>
  </si>
  <si>
    <t>VN000CQ0BMW1008</t>
  </si>
  <si>
    <t>VN000CQ0BMW1M  065</t>
  </si>
  <si>
    <t>VN000CQ0BMW1008 - SK8-Mid Reissue V GLSK BLKW, 6.5, Medium</t>
  </si>
  <si>
    <t>VN000CQ0BMW1005</t>
  </si>
  <si>
    <t>VN000CQ0BMW1M  080</t>
  </si>
  <si>
    <t>VN000CQ0BMW1005 - SK8-Mid Reissue V GLSK BLKWH, 8, Medium</t>
  </si>
  <si>
    <t>VN000CQ0BRO1013</t>
  </si>
  <si>
    <t>VN000CQ0BRO1M  040</t>
  </si>
  <si>
    <t>VN000CQ0BRO1013 - SK8-Mid Reissue V TNCH MBRWN, 4, Medium</t>
  </si>
  <si>
    <t>VN000CQ0BRO1011</t>
  </si>
  <si>
    <t>VN000CQ0BRO1M  050</t>
  </si>
  <si>
    <t>VN000CQ0BRO1011 - SK8-Mid Reissue V TNCH MBRWN, 5, Medium</t>
  </si>
  <si>
    <t>VN000CQ0BRO1010</t>
  </si>
  <si>
    <t>VN000CQ0BRO1M  055</t>
  </si>
  <si>
    <t>VN000CQ0BRO1010 - SK8-Mid Reissue V TNCH MBRW, 5.5, Medium</t>
  </si>
  <si>
    <t>VN000CQ0BRO1009</t>
  </si>
  <si>
    <t>VN000CQ0BRO1M  060</t>
  </si>
  <si>
    <t>VN000CQ0BRO1009 - SK8-Mid Reissue V TNCH MBRWN, 6, Medium</t>
  </si>
  <si>
    <t>VN000CQ0BRO1008</t>
  </si>
  <si>
    <t>VN000CQ0BRO1M  065</t>
  </si>
  <si>
    <t>VN000CQ0BRO1008 - SK8-Mid Reissue V TNCH MBRW, 6.5, Medium</t>
  </si>
  <si>
    <t>VN000CQ0BRO1007</t>
  </si>
  <si>
    <t>VN000CQ0BRO1M  070</t>
  </si>
  <si>
    <t>VN000CQ0BRO1007 - SK8-Mid Reissue V TNCH MBRWN, 7, Medium</t>
  </si>
  <si>
    <t>VN000CQ0BRO1005</t>
  </si>
  <si>
    <t>VN000CQ0BRO1M  080</t>
  </si>
  <si>
    <t>VN000CQ0BRO1005 - SK8-Mid Reissue V TNCH MBRWN, 8, Medium</t>
  </si>
  <si>
    <t>VN000CQ0BRO1002</t>
  </si>
  <si>
    <t>VN000CQ0BRO1M  095</t>
  </si>
  <si>
    <t>VN000CQ0BRO1002 - SK8-Mid Reissue V TNCH MBRW, 9.5, Medium</t>
  </si>
  <si>
    <t>VN000CQ0EMY1015</t>
  </si>
  <si>
    <t>VN000CQ0EMY1M  060</t>
  </si>
  <si>
    <t>VN000CQ0EMY1015 - SK8-Mid Reissue V CTHR LMIST, 6, Medium</t>
  </si>
  <si>
    <t>VN000CQ0EMY1003</t>
  </si>
  <si>
    <t>VN000CQ0EMY1M  075</t>
  </si>
  <si>
    <t>VN000CQ0EMY1003 - SK8-Mid Reissue V CTHR LMIS, 7.5, Medium</t>
  </si>
  <si>
    <t>VN000CQ0HF91015</t>
  </si>
  <si>
    <t>BLACK MONO</t>
  </si>
  <si>
    <t>VN000CQ0HF91M  060</t>
  </si>
  <si>
    <t>CLASSIC TUMBLE</t>
  </si>
  <si>
    <t>VN000CQ0HF91015 - SK8-Mid Reissue V CLTU BLACK, 6, Medium</t>
  </si>
  <si>
    <t>VN000CQ0O331013</t>
  </si>
  <si>
    <t>VN000CQ0O331M  045</t>
  </si>
  <si>
    <t>VN000CQ0O331013 - SK8-Mid Reissue V LEGL LTBL, 4.5, Medium</t>
  </si>
  <si>
    <t>VN000CQ0O331002</t>
  </si>
  <si>
    <t>VN000CQ0O331M  080</t>
  </si>
  <si>
    <t>VN000CQ0O331002 - SK8-Mid Reissue V LEGL LTBLU, 8, Medium</t>
  </si>
  <si>
    <t>VN000CQ0O331001</t>
  </si>
  <si>
    <t>VN000CQ0O331M  085</t>
  </si>
  <si>
    <t>VN000CQ0O331001 - SK8-Mid Reissue V LEGL LTBL, 8.5, Medium</t>
  </si>
  <si>
    <t>VN000CQ0O331009</t>
  </si>
  <si>
    <t>VN000CQ0O331M  090</t>
  </si>
  <si>
    <t>VN000CQ0O331009 - SK8-Mid Reissue V LEGL LTBLU, 9, Medium</t>
  </si>
  <si>
    <t>VN000CQ0O331007</t>
  </si>
  <si>
    <t>VN000CQ0O331M  100</t>
  </si>
  <si>
    <t>VN000CQ0O331007 - SK8-Mid Reissue V LEGL LTBLU, 10, Medium</t>
  </si>
  <si>
    <t>VN000CQ0Y091009</t>
  </si>
  <si>
    <t>VN000CQ0Y091M  045</t>
  </si>
  <si>
    <t>VN000CQ0Y091009 - SK8-Mid Reissue V RETR BLAC, 4.5, Medium</t>
  </si>
  <si>
    <t>VN000CQ0Y091004</t>
  </si>
  <si>
    <t>VN000CQ0Y091M  070</t>
  </si>
  <si>
    <t>VN000CQ0Y091004 - SK8-Mid Reissue V RETR BLACK, 7, Medium</t>
  </si>
  <si>
    <t>VN000CQ0Y611002</t>
  </si>
  <si>
    <t>VN000CQ0Y611M  050</t>
  </si>
  <si>
    <t>GLOW SLIME</t>
  </si>
  <si>
    <t>VN000CQ0Y611002 - SK8-Mid Reissue V GLOW BLKBU, 5, Medium</t>
  </si>
  <si>
    <t>VN000CQ9B8C1013</t>
  </si>
  <si>
    <t>Knu Mid</t>
  </si>
  <si>
    <t>Black/Black/White</t>
  </si>
  <si>
    <t>VN000CQ9B8C1M  095</t>
  </si>
  <si>
    <t>VN000CQ9B8C1013 - Knu Mid Black/Black/Whi, 9.5, Medium</t>
  </si>
  <si>
    <t>VN000CQ9BYS1001</t>
  </si>
  <si>
    <t>VN000CQ9BYS1M  130</t>
  </si>
  <si>
    <t>VN000CQ9BYS1001 - Knu Mid PEYOTE, 13, Medium</t>
  </si>
  <si>
    <t>VN000CQ9KAQ1007</t>
  </si>
  <si>
    <t>VN000CQ9KAQ1M  050</t>
  </si>
  <si>
    <t>VN000CQ9KAQ1007 - Knu Mid VRST LGREY, 5, Medium</t>
  </si>
  <si>
    <t>VN000CQ9KAQ1006</t>
  </si>
  <si>
    <t>VN000CQ9KAQ1M  055</t>
  </si>
  <si>
    <t>VN000CQ9KAQ1006 - Knu Mid VRST LGREY, 5.5, Medium</t>
  </si>
  <si>
    <t>VN000CQ9KAQ1004</t>
  </si>
  <si>
    <t>VN000CQ9KAQ1M  065</t>
  </si>
  <si>
    <t>VN000CQ9KAQ1004 - Knu Mid VRST LGREY, 6.5, Medium</t>
  </si>
  <si>
    <t>VN000CQ9T9T1007</t>
  </si>
  <si>
    <t>TRUE WHITE/DRESS BLUES</t>
  </si>
  <si>
    <t>VN000CQ9T9T1M  080</t>
  </si>
  <si>
    <t>TRACK PACK</t>
  </si>
  <si>
    <t>VN000CQ9T9T1007 - Knu Mid TRPK WHTBU, 8, Medium</t>
  </si>
  <si>
    <t>VN000CQFBL21016</t>
  </si>
  <si>
    <t>VN000CQFBL21M  050</t>
  </si>
  <si>
    <t>VN000CQFBL21016 - Rowley XLT LX OFFR HRVGD, 5, Medium</t>
  </si>
  <si>
    <t>VN000CQRBZW1008</t>
  </si>
  <si>
    <t>VN000CQRBZW1M  050</t>
  </si>
  <si>
    <t>VN000CQRBZW1008 - Sport Low Black/White, 5, Medium</t>
  </si>
  <si>
    <t>VN000CQRBZW1013</t>
  </si>
  <si>
    <t>VN000CQRBZW1M  120</t>
  </si>
  <si>
    <t>VN000CQRBZW1013 - Sport Low Black/White, 12, Medium</t>
  </si>
  <si>
    <t>VN000CQRCHL1018</t>
  </si>
  <si>
    <t>HONEYSUCKLE</t>
  </si>
  <si>
    <t>VN000CQRCHL1M  065</t>
  </si>
  <si>
    <t>BAMBINO</t>
  </si>
  <si>
    <t>VN000CQRCHL1018 - Sport Low BAMB HONEY, 6.5, Medium</t>
  </si>
  <si>
    <t>VN000CQRO3N1019</t>
  </si>
  <si>
    <t>VN000CQRO3N1M  035</t>
  </si>
  <si>
    <t>VN000CQRO3N1019 - Sport Low GUM MDPNK, 3.5, Medium</t>
  </si>
  <si>
    <t>VN000CQRO3N1002</t>
  </si>
  <si>
    <t>VN000CQRO3N1M  120</t>
  </si>
  <si>
    <t>VN000CQRO3N1002 - Sport Low GUM MDPNK, 12, Medium</t>
  </si>
  <si>
    <t>VN000CQRYLW1019</t>
  </si>
  <si>
    <t>VN000CQRYLW1M  035</t>
  </si>
  <si>
    <t>VN000CQRYLW1019 - Sport Low GUM DYELW, 3.5, Medium</t>
  </si>
  <si>
    <t>VN000CQRYLW1002</t>
  </si>
  <si>
    <t>VN000CQRYLW1M  095</t>
  </si>
  <si>
    <t>VN000CQRYLW1002 - Sport Low GUM DYELW, 9.5, Medium</t>
  </si>
  <si>
    <t>VN000CQRYLZ1006</t>
  </si>
  <si>
    <t>VN000CQRYLZ1M  035</t>
  </si>
  <si>
    <t>VN000CQRYLZ1006 - Sport Low COLO RASRO, 3.5, Medium</t>
  </si>
  <si>
    <t>VN000CQRYLZ1017</t>
  </si>
  <si>
    <t>VN000CQRYLZ1M  060</t>
  </si>
  <si>
    <t>VN000CQRYLZ1017 - Sport Low COLO RASRO, 6, Medium</t>
  </si>
  <si>
    <t>VN000CQRYLZ1014</t>
  </si>
  <si>
    <t>VN000CQRYLZ1M  120</t>
  </si>
  <si>
    <t>VN000CQRYLZ1014 - Sport Low COLO RASRO, 12, Medium</t>
  </si>
  <si>
    <t>VN000CR50ZB1010</t>
  </si>
  <si>
    <t>black multi</t>
  </si>
  <si>
    <t>VN000CR50ZB1M  050</t>
  </si>
  <si>
    <t>VN000CR50ZB1010 - Old Skool black multi, 5, Medium</t>
  </si>
  <si>
    <t>VN000CR50ZB1016</t>
  </si>
  <si>
    <t>VN000CR50ZB1M  065</t>
  </si>
  <si>
    <t>VN000CR50ZB1016 - Old Skool black multi, 6.5, Medium</t>
  </si>
  <si>
    <t>VN000CR5BOU1017</t>
  </si>
  <si>
    <t>VN000CR5BOU1M  045</t>
  </si>
  <si>
    <t>DITSY FLORAL</t>
  </si>
  <si>
    <t>VN000CR5BOU1017 - Old Skool DSFL BKMLT, 4.5, Medium</t>
  </si>
  <si>
    <t>VN000CR5EPO1008</t>
  </si>
  <si>
    <t>VN000CR5EPO1M  060</t>
  </si>
  <si>
    <t>VN000CR5EPO1008 - Old Skool CTHR PRGRY, 6, Medium</t>
  </si>
  <si>
    <t>VN000CR5WGR1017</t>
  </si>
  <si>
    <t>VN000CR5WGR1M  045</t>
  </si>
  <si>
    <t>VN000CR5WGR1017 - Old Skool LTHR WHTGR, 4.5, Medium</t>
  </si>
  <si>
    <t>VN000CR5WGR1014</t>
  </si>
  <si>
    <t>VN000CR5WGR1M  060</t>
  </si>
  <si>
    <t>VN000CR5WGR1014 - Old Skool LTHR WHTGR, 6, Medium</t>
  </si>
  <si>
    <t>VN000CR5WGR1008</t>
  </si>
  <si>
    <t>VN000CR5WGR1M  090</t>
  </si>
  <si>
    <t>VN000CR5WGR1008 - Old Skool LTHR WHTGR, 9, Medium</t>
  </si>
  <si>
    <t>VN000CRRBJ41016</t>
  </si>
  <si>
    <t>VN000CRRBJ41M  050</t>
  </si>
  <si>
    <t>VN000CRRBJ41016 - Mary Jane Black/Black/Bla, 5, Medium</t>
  </si>
  <si>
    <t>VN000CRRBJ41011</t>
  </si>
  <si>
    <t>VN000CRRBJ41M  075</t>
  </si>
  <si>
    <t>VN000CRRBJ41011 - Mary Jane Black/Black/Bla, 7.5, Medium</t>
  </si>
  <si>
    <t>VN000CRRD3X1017</t>
  </si>
  <si>
    <t>VN000CRRD3X1M  045</t>
  </si>
  <si>
    <t>VN000CRRD3X1017 - Mary Jane PREP CORAL, 4.5, Medium</t>
  </si>
  <si>
    <t>VN000CS00ZB1003</t>
  </si>
  <si>
    <t>VN000CS00ZB1M  090</t>
  </si>
  <si>
    <t>VN000CS00ZB1003 - Knu Skool black multi, 9, Medium</t>
  </si>
  <si>
    <t>VN000CS00ZB1014</t>
  </si>
  <si>
    <t>VN000CS00ZB1M  095</t>
  </si>
  <si>
    <t>VN000CS00ZB1014 - Knu Skool black multi, 9.5, Medium</t>
  </si>
  <si>
    <t>VN000CS0BLL1008</t>
  </si>
  <si>
    <t>VN000CS0BLL1M  090</t>
  </si>
  <si>
    <t>VN000CS0BLL1008 - Knu Skool FRENCH OAK, 9, Medium</t>
  </si>
  <si>
    <t>VN000CS0BO51010</t>
  </si>
  <si>
    <t>VN000CS0BO51M  045</t>
  </si>
  <si>
    <t>VN000CS0BO51010 - Knu Skool MULTI/MARSHMALL, 4.5, Medium</t>
  </si>
  <si>
    <t>VN000CS0BRO1013</t>
  </si>
  <si>
    <t>VN000CS0BRO1M  085</t>
  </si>
  <si>
    <t>VN000CS0BRO1013 - Knu Skool PSDE MBRWN, 8.5, Medium</t>
  </si>
  <si>
    <t>VN000CS0BRO1003</t>
  </si>
  <si>
    <t>VN000CS0BRO1M  105</t>
  </si>
  <si>
    <t>VN000CS0BRO1003 - Knu Skool PSDE MBRWN, 10.5, Medium</t>
  </si>
  <si>
    <t>VN000CS0BRO1001</t>
  </si>
  <si>
    <t>VN000CS0BRO1M  120</t>
  </si>
  <si>
    <t>VN000CS0BRO1001 - Knu Skool PSDE MBRWN, 12, Medium</t>
  </si>
  <si>
    <t>VN000CS0D4C1014</t>
  </si>
  <si>
    <t>VN000CS0D4C1M  050</t>
  </si>
  <si>
    <t>VN000CS0D4C1014 - Knu Skool BABY TURKI, 5, Medium</t>
  </si>
  <si>
    <t>VN000CS0D4C1018</t>
  </si>
  <si>
    <t>VN000CS0D4C1M  075</t>
  </si>
  <si>
    <t>VN000CS0D4C1018 - Knu Skool BABY TURKI, 7.5, Medium</t>
  </si>
  <si>
    <t>VN000CT8HCZ1016</t>
  </si>
  <si>
    <t>VN000CT8HCZ1M  050</t>
  </si>
  <si>
    <t>VN000CT8HCZ1016 - Old Skool CTHR ATMOS, 5, Medium</t>
  </si>
  <si>
    <t>VN000CTDBKA1019</t>
  </si>
  <si>
    <t>VN000CTDBKA1M  035</t>
  </si>
  <si>
    <t>DENIM DESTROY</t>
  </si>
  <si>
    <t>VN000CTDBKA1019 - Sport Low DENI BLACK, 3.5, Medium</t>
  </si>
  <si>
    <t>Fashion Lifestyle, Monobrand, Sports Inspired, Action Sports</t>
  </si>
  <si>
    <t>VN000CTDY231017</t>
  </si>
  <si>
    <t>VN000CTDY231M  035</t>
  </si>
  <si>
    <t>GUM POP</t>
  </si>
  <si>
    <t>VN000CTDY231017 - Sport Low GMPP BLKYL, 3.5, Medium</t>
  </si>
  <si>
    <t>VN000CTDY231016</t>
  </si>
  <si>
    <t>VN000CTDY231M  040</t>
  </si>
  <si>
    <t>VN000CTDY231016 - Sport Low GMPP BLKYL, 4, Medium</t>
  </si>
  <si>
    <t>VN000CTDY231015</t>
  </si>
  <si>
    <t>VN000CTDY231M  045</t>
  </si>
  <si>
    <t>VN000CTDY231015 - Sport Low GMPP BLKYL, 4.5, Medium</t>
  </si>
  <si>
    <t>VN000CTG1NU1011</t>
  </si>
  <si>
    <t>VN000CTG1NU1M  040</t>
  </si>
  <si>
    <t>VN000CTG1NU1011 - Old Skool V CTHR CHBD MBRWN, 4, Medium</t>
  </si>
  <si>
    <t>VN000CTG1NU1003</t>
  </si>
  <si>
    <t>VN000CTG1NU1M  045</t>
  </si>
  <si>
    <t>VN000CTG1NU1003 - Old Skool V CTHR CHBD MBRWN, 4.5, Medium</t>
  </si>
  <si>
    <t>VN000CTG1NU1013</t>
  </si>
  <si>
    <t>VN000CTG1NU1M  060</t>
  </si>
  <si>
    <t>VN000CTG1NU1013 - Old Skool V CTHR CHBD MBRWN, 6, Medium</t>
  </si>
  <si>
    <t>VN000CTG1NU1007</t>
  </si>
  <si>
    <t>VN000CTG1NU1M  085</t>
  </si>
  <si>
    <t>VN000CTG1NU1007 - Old Skool V CTHR CHBD MBRWN, 8.5, Medium</t>
  </si>
  <si>
    <t>VN000CTG7VF1015</t>
  </si>
  <si>
    <t>VN000CTG7VF1M  090</t>
  </si>
  <si>
    <t>VN000CTG7VF1015 - Old Skool V DAZL DGREY, 9, Medium</t>
  </si>
  <si>
    <t>VN000CTGEMY1005</t>
  </si>
  <si>
    <t>VN000CTGEMY1M  075</t>
  </si>
  <si>
    <t>VN000CTGEMY1005 - Old Skool V CTHR CHBD LMIST, 7.5, Medium</t>
  </si>
  <si>
    <t>VN000CTGEMY1003</t>
  </si>
  <si>
    <t>VN000CTGEMY1M  085</t>
  </si>
  <si>
    <t>VN000CTGEMY1003 - Old Skool V CTHR CHBD LMIST, 8.5, Medium</t>
  </si>
  <si>
    <t>VN000CTGEMY1012</t>
  </si>
  <si>
    <t>VN000CTGEMY1M  090</t>
  </si>
  <si>
    <t>VN000CTGEMY1012 - Old Skool V CTHR CHBD LMIST, 9, Medium</t>
  </si>
  <si>
    <t>VN000CTGPIB1016</t>
  </si>
  <si>
    <t>VN000CTGPIB1M  070</t>
  </si>
  <si>
    <t>VN000CTGPIB1016 - Old Skool V LPRD MDPNK, 7, Medium</t>
  </si>
  <si>
    <t>VN000CTGPIB1011</t>
  </si>
  <si>
    <t>VN000CTGPIB1M  095</t>
  </si>
  <si>
    <t>VN000CTGPIB1011 - Old Skool V LPRD MDPNK, 9.5, Medium</t>
  </si>
  <si>
    <t>VN000CTGRV21008</t>
  </si>
  <si>
    <t>VN000CTGRV21M  050</t>
  </si>
  <si>
    <t>VN000CTGRV21008 - Old Skool V CTHR BLACK, 5, Medium</t>
  </si>
  <si>
    <t>VN000CTGRV21006</t>
  </si>
  <si>
    <t>VN000CTGRV21M  060</t>
  </si>
  <si>
    <t>VN000CTGRV21006 - Old Skool V CTHR BLACK, 6, Medium</t>
  </si>
  <si>
    <t>VN000CTGRV21013</t>
  </si>
  <si>
    <t>VN000CTGRV21M  090</t>
  </si>
  <si>
    <t>VN000CTGRV21013 - Old Skool V CTHR BLACK, 9, Medium</t>
  </si>
  <si>
    <t>VN000CTGY091006</t>
  </si>
  <si>
    <t>VN000CTGY091M  045</t>
  </si>
  <si>
    <t>VN000CTGY091006 - Old Skool V RETR BLACK, 4.5, Medium</t>
  </si>
  <si>
    <t>VN000CTGY091003</t>
  </si>
  <si>
    <t>VN000CTGY091M  075</t>
  </si>
  <si>
    <t>VN000CTGY091003 - Old Skool V RETR BLACK, 7.5, Medium</t>
  </si>
  <si>
    <t>VN000CTGYLZ1011</t>
  </si>
  <si>
    <t>VN000CTGYLZ1M  055</t>
  </si>
  <si>
    <t>VN000CTGYLZ1011 - Old Skool V GLTR RASRO, 5.5, Medium</t>
  </si>
  <si>
    <t>VN000CTGZRY1015</t>
  </si>
  <si>
    <t>VN000CTGZRY1M  040</t>
  </si>
  <si>
    <t>VN000CTGZRY1015 - Old Skool V PRES MPINK, 4, Medium</t>
  </si>
  <si>
    <t>VN000CTMBA21009</t>
  </si>
  <si>
    <t>VN000CTMBA21M  070</t>
  </si>
  <si>
    <t>VN000CTMBA21009 - Rowley XLT BLACK/WHITE, 7, Medium</t>
  </si>
  <si>
    <t>VN000CTMELW1015</t>
  </si>
  <si>
    <t>Wind Chime</t>
  </si>
  <si>
    <t>VN000CTMELW1M  120</t>
  </si>
  <si>
    <t>STATIC</t>
  </si>
  <si>
    <t>VN000CTMELW1015 - Rowley XLT STAT WHITE, 12, Medium</t>
  </si>
  <si>
    <t>VN000CTMSN01009</t>
  </si>
  <si>
    <t>STV Navy</t>
  </si>
  <si>
    <t>VN000CTMSN01M  130</t>
  </si>
  <si>
    <t>VN000CTMSN01009 - Rowley XLT STV Navy, 13, Medium</t>
  </si>
  <si>
    <t>VN000CTMYY21012</t>
  </si>
  <si>
    <t>VN000CTMYY21M  070</t>
  </si>
  <si>
    <t>VN000CTMYY21012 - Rowley XLT SPPO WHTNV, 7, Medium</t>
  </si>
  <si>
    <t>VN000CTMYY21010</t>
  </si>
  <si>
    <t>VN000CTMYY21M  080</t>
  </si>
  <si>
    <t>VN000CTMYY21010 - Rowley XLT SPPO WHTNV, 8, Medium</t>
  </si>
  <si>
    <t>VN000CTN2NC1003</t>
  </si>
  <si>
    <t>BISTRO GREEN/TRUE WHITE</t>
  </si>
  <si>
    <t>VN000CTN2NC1M  065</t>
  </si>
  <si>
    <t>CORDURA</t>
  </si>
  <si>
    <t>VN000CTN2NC1003 - Speed LS CRDA MGRWH, 6.5, Medium</t>
  </si>
  <si>
    <t>VN000CTN2NC1015</t>
  </si>
  <si>
    <t>VN000CTN2NC1M  080</t>
  </si>
  <si>
    <t>VN000CTN2NC1015 - Speed LS CRDA MGRWH, 8, Medium</t>
  </si>
  <si>
    <t>VN000CTN2NC1014</t>
  </si>
  <si>
    <t>VN000CTN2NC1M  130</t>
  </si>
  <si>
    <t>VN000CTN2NC1014 - Speed LS CRDA MGRWH, 13, Medium</t>
  </si>
  <si>
    <t>VN000CTNBX91002</t>
  </si>
  <si>
    <t>VN000CTNBX91M  110</t>
  </si>
  <si>
    <t>UTILITY</t>
  </si>
  <si>
    <t>VN000CTNBX91002 - Speed LS UTLY NAVY, 11, Medium</t>
  </si>
  <si>
    <t>VN000CTNCH81013</t>
  </si>
  <si>
    <t>MOON ROCK</t>
  </si>
  <si>
    <t>VN000CTNCH81M  090</t>
  </si>
  <si>
    <t>VN000CTNCH81013 - Speed LS MOON ROCK, 9, Medium</t>
  </si>
  <si>
    <t>VN000CUYY301017</t>
  </si>
  <si>
    <t>Skate Mixxa</t>
  </si>
  <si>
    <t>Black/Grey</t>
  </si>
  <si>
    <t>VN000CUYY301M  075</t>
  </si>
  <si>
    <t>Dime Una</t>
  </si>
  <si>
    <t>VN000CUYY301017 - Skate Mixxa DMUN BLKGY, 7.5, Medium</t>
  </si>
  <si>
    <t>ONLY APPROVED ACCOUNTS</t>
  </si>
  <si>
    <t>Action Sports</t>
  </si>
  <si>
    <t>VN000CUYY301016</t>
  </si>
  <si>
    <t>VN000CUYY301M  080</t>
  </si>
  <si>
    <t>VN000CUYY301016 - Skate Mixxa DMUN BLKGY, 8, Medium</t>
  </si>
  <si>
    <t>VN000CUYY301003</t>
  </si>
  <si>
    <t>VN000CUYY301M  095</t>
  </si>
  <si>
    <t>VN000CUYY301003 - Skate Mixxa DMUN BLKGY, 9.5, Medium</t>
  </si>
  <si>
    <t>VN000CUYY301002</t>
  </si>
  <si>
    <t>VN000CUYY301M  100</t>
  </si>
  <si>
    <t>VN000CUYY301002 - Skate Mixxa DMUN BLKGY, 10, Medium</t>
  </si>
  <si>
    <t>VN000CUYY301001</t>
  </si>
  <si>
    <t>VN000CUYY301M  105</t>
  </si>
  <si>
    <t>VN000CUYY301001 - Skate Mixxa DMUN BLKGY, 10.5, Medium</t>
  </si>
  <si>
    <t>VN000CUYY301014</t>
  </si>
  <si>
    <t>VN000CUYY301M  110</t>
  </si>
  <si>
    <t>VN000CUYY301014 - Skate Mixxa DMUN BLKGY, 11, Medium</t>
  </si>
  <si>
    <t>VN000CVNBH41015</t>
  </si>
  <si>
    <t>MTE Old Skool Waterproof</t>
  </si>
  <si>
    <t>Black/Pewter/White</t>
  </si>
  <si>
    <t>VN000CVNBH41M  055</t>
  </si>
  <si>
    <t>VN000CVNBH41015 - MTE Old Skool Waterproof Bl, 5.5, Medium</t>
  </si>
  <si>
    <t>VN000CVNBH41014</t>
  </si>
  <si>
    <t>VN000CVNBH41M  060</t>
  </si>
  <si>
    <t>VN000CVNBH41014 - MTE Old Skool Waterproof Blac, 6, Medium</t>
  </si>
  <si>
    <t>VN000CVNBH41013</t>
  </si>
  <si>
    <t>VN000CVNBH41M  065</t>
  </si>
  <si>
    <t>VN000CVNBH41013 - MTE Old Skool Waterproof Bl, 6.5, Medium</t>
  </si>
  <si>
    <t>VN000CVNBH41009</t>
  </si>
  <si>
    <t>VN000CVNBH41M  090</t>
  </si>
  <si>
    <t>VN000CVNBH41009 - MTE Old Skool Waterproof Blac, 9, Medium</t>
  </si>
  <si>
    <t>VN000CVNBKA1019</t>
  </si>
  <si>
    <t>VN000CVNBKA1M  035</t>
  </si>
  <si>
    <t>VN000CVNBKA1019 - MTE Old Skool Waterproof Bl, 3.5, Medium</t>
  </si>
  <si>
    <t>VN000CVNBKA1018</t>
  </si>
  <si>
    <t>VN000CVNBKA1M  040</t>
  </si>
  <si>
    <t>VN000CVNBKA1018 - MTE Old Skool Waterproof Blac, 4, Medium</t>
  </si>
  <si>
    <t>VN000CVNBKA1014</t>
  </si>
  <si>
    <t>VN000CVNBKA1M  075</t>
  </si>
  <si>
    <t>VN000CVNBKA1014 - MTE Old Skool Waterproof Bl, 7.5, Medium</t>
  </si>
  <si>
    <t>VN000CVRBLK1010</t>
  </si>
  <si>
    <t>VN000CVRBLK1M  085</t>
  </si>
  <si>
    <t>VN000CVRBLK1010 - MTE Sk8-Hi DR Waterproof Bl, 8.5, Medium</t>
  </si>
  <si>
    <t>VN000CVRC5F1002</t>
  </si>
  <si>
    <t>CHOCOLATE/BLACK</t>
  </si>
  <si>
    <t>VN000CVRC5F1M  105</t>
  </si>
  <si>
    <t>VN000CVRC5F1002 - MTE Sk8-Hi DR Waterproof C, 10.5, Medium</t>
  </si>
  <si>
    <t>VN000CVRN1Z1013</t>
  </si>
  <si>
    <t>VN000CVRN1Z1M  055</t>
  </si>
  <si>
    <t>VN000CVRN1Z1013 - MTE Sk8-Hi DR Waterproof GL, 5.5, Medium</t>
  </si>
  <si>
    <t>VN000CVS1OJ1017</t>
  </si>
  <si>
    <t>VN000CVS1OJ1M  105</t>
  </si>
  <si>
    <t>VN000CVS1OJ1017 - MTE Sk8-Hi GORE-TEX Blacko, 10.5, Medium</t>
  </si>
  <si>
    <t>VN000CVS1OJ1015</t>
  </si>
  <si>
    <t>VN000CVS1OJ1M  115</t>
  </si>
  <si>
    <t>VN000CVS1OJ1015 - MTE Sk8-Hi GORE-TEX Blacko, 11.5, Medium</t>
  </si>
  <si>
    <t>VN000CVT0BU1013</t>
  </si>
  <si>
    <t>CAMO/CHECKERBOARD</t>
  </si>
  <si>
    <t>VN000CVT0BU1M  065</t>
  </si>
  <si>
    <t>VN000CVT0BU1013 - MTE Sk8-Hi Waterproof CAMO/, 6.5, Medium</t>
  </si>
  <si>
    <t>VN000CVT2391012</t>
  </si>
  <si>
    <t>VN000CVT2391M  070</t>
  </si>
  <si>
    <t>VN000CVT2391012 - MTE Sk8-Hi Waterproof GRAY/BL, 7, Medium</t>
  </si>
  <si>
    <t>VN000CVT2391011</t>
  </si>
  <si>
    <t>VN000CVT2391M  075</t>
  </si>
  <si>
    <t>VN000CVT2391011 - MTE Sk8-Hi Waterproof GRAY/, 7.5, Medium</t>
  </si>
  <si>
    <t>VN000CVT2391010</t>
  </si>
  <si>
    <t>VN000CVT2391M  080</t>
  </si>
  <si>
    <t>VN000CVT2391010 - MTE Sk8-Hi Waterproof GRAY/BL, 8, Medium</t>
  </si>
  <si>
    <t>VN000CVT6I71019</t>
  </si>
  <si>
    <t>black leopard</t>
  </si>
  <si>
    <t>VN000CVT6I71M  050</t>
  </si>
  <si>
    <t>VN000CVT6I71019 - MTE Sk8-Hi Waterproof black l, 5, Medium</t>
  </si>
  <si>
    <t>VN000CVT6I71001</t>
  </si>
  <si>
    <t>VN000CVT6I71M  055</t>
  </si>
  <si>
    <t>VN000CVT6I71001 - MTE Sk8-Hi Waterproof black, 5.5, Medium</t>
  </si>
  <si>
    <t>VN000CVTBD21002</t>
  </si>
  <si>
    <t>ASHLEY BLUE</t>
  </si>
  <si>
    <t>VN000CVTBD21M  065</t>
  </si>
  <si>
    <t>VN000CVTBD21002 - MTE Sk8-Hi Waterproof ASHLE, 6.5, Medium</t>
  </si>
  <si>
    <t>VN000CVTBKA1019</t>
  </si>
  <si>
    <t>VN000CVTBKA1M  085</t>
  </si>
  <si>
    <t>VN000CVTBKA1019 - MTE Sk8-Hi Waterproof Black, 8.5, Medium</t>
  </si>
  <si>
    <t>VN000CVTBKA1016</t>
  </si>
  <si>
    <t>VN000CVTBKA1M  110</t>
  </si>
  <si>
    <t>VN000CVTBKA1016 - MTE Sk8-Hi Waterproof Black/, 11, Medium</t>
  </si>
  <si>
    <t>VN000CVTBKA1015</t>
  </si>
  <si>
    <t>VN000CVTBKA1M  115</t>
  </si>
  <si>
    <t>VN000CVTBKA1015 - MTE Sk8-Hi Waterproof Blac, 11.5, Medium</t>
  </si>
  <si>
    <t>VN000CVTBKA1018</t>
  </si>
  <si>
    <t>VN000CVTBKA1M  120</t>
  </si>
  <si>
    <t>VN000CVTBKA1018 - MTE Sk8-Hi Waterproof Black/, 12, Medium</t>
  </si>
  <si>
    <t>VN000CVTI6Y1004</t>
  </si>
  <si>
    <t>VN000CVTI6Y1M  085</t>
  </si>
  <si>
    <t>VN000CVTI6Y1004 - MTE Sk8-Hi Waterproof GLAZE, 8.5, Medium</t>
  </si>
  <si>
    <t>VN000CVTI6Y1018</t>
  </si>
  <si>
    <t>VN000CVTI6Y1M  110</t>
  </si>
  <si>
    <t>VN000CVTI6Y1018 - MTE Sk8-Hi Waterproof GLAZED, 11, Medium</t>
  </si>
  <si>
    <t>VN000CVTTUP1013</t>
  </si>
  <si>
    <t>VN000CVTTUP1M  050</t>
  </si>
  <si>
    <t>VN000CVTTUP1013 - MTE Sk8-Hi Waterproof Taupe, 5, Medium</t>
  </si>
  <si>
    <t>VN000CVTTUP1002</t>
  </si>
  <si>
    <t>VN000CVTTUP1M  055</t>
  </si>
  <si>
    <t>VN000CVTTUP1002 - MTE Sk8-Hi Waterproof Taupe, 5.5, Medium</t>
  </si>
  <si>
    <t>VN000CVTTUP1029</t>
  </si>
  <si>
    <t>VN000CVTTUP1M  080</t>
  </si>
  <si>
    <t>VN000CVTTUP1029 - MTE Sk8-Hi Waterproof Taupe, 8, Medium</t>
  </si>
  <si>
    <t>VN000CVU1LO1009</t>
  </si>
  <si>
    <t>VN000CVU1LO1M  050</t>
  </si>
  <si>
    <t>VN000CVU1LO1009 - Crosspath RFLC MDBRN, 5, Medium</t>
  </si>
  <si>
    <t>VN000CVU1LO1006</t>
  </si>
  <si>
    <t>VN000CVU1LO1M  060</t>
  </si>
  <si>
    <t>VN000CVU1LO1006 - Crosspath RFLC MDBRN, 6, Medium</t>
  </si>
  <si>
    <t>VN000CVU1LO1005</t>
  </si>
  <si>
    <t>VN000CVU1LO1M  065</t>
  </si>
  <si>
    <t>VN000CVU1LO1005 - Crosspath RFLC MDBRN, 6.5, Medium</t>
  </si>
  <si>
    <t>VN000CVU1LO1003</t>
  </si>
  <si>
    <t>VN000CVU1LO1M  080</t>
  </si>
  <si>
    <t>VN000CVU1LO1003 - Crosspath RFLC MDBRN, 8, Medium</t>
  </si>
  <si>
    <t>VN000CVU1LO1007</t>
  </si>
  <si>
    <t>VN000CVU1LO1M  105</t>
  </si>
  <si>
    <t>VN000CVU1LO1007 - Crosspath RFLC MDBRN, 10.5, Medium</t>
  </si>
  <si>
    <t>VN000CVU7YO1005</t>
  </si>
  <si>
    <t>VN000CVU7YO1M  035</t>
  </si>
  <si>
    <t>VN000CVU7YO1005 - Crosspath BITTER CHOCOLAT, 3.5, Medium</t>
  </si>
  <si>
    <t>VN000CVUBFB1001</t>
  </si>
  <si>
    <t>DARK GRAY</t>
  </si>
  <si>
    <t>VN000CVUBFB1M  085</t>
  </si>
  <si>
    <t>VN000CVUBFB1001 - Crosspath DARK GRAY, 8.5, Medium</t>
  </si>
  <si>
    <t>VN000CVUBLK1016</t>
  </si>
  <si>
    <t>VN000CVUBLK1M  105</t>
  </si>
  <si>
    <t>VN000CVUBLK1016 - Crosspath RFLC BLACK, 10.5, Medium</t>
  </si>
  <si>
    <t>VN000CVUBLK1015</t>
  </si>
  <si>
    <t>VN000CVUBLK1M  110</t>
  </si>
  <si>
    <t>VN000CVUBLK1015 - Crosspath RFLC BLACK, 11, Medium</t>
  </si>
  <si>
    <t>VN000CVUDRB1014</t>
  </si>
  <si>
    <t>VN000CVUDRB1M  040</t>
  </si>
  <si>
    <t>VN000CVUDRB1014 - Crosspath Dark Brown, 4, Medium</t>
  </si>
  <si>
    <t>VN000CVUDRB1017</t>
  </si>
  <si>
    <t>VN000CVUDRB1M  075</t>
  </si>
  <si>
    <t>VN000CVUDRB1017 - Crosspath Dark Brown, 7.5, Medium</t>
  </si>
  <si>
    <t>VN000CVUDRB1007</t>
  </si>
  <si>
    <t>VN000CVUDRB1M  090</t>
  </si>
  <si>
    <t>VN000CVUDRB1007 - Crosspath Dark Brown, 9, Medium</t>
  </si>
  <si>
    <t>VN000CVUDRB1016</t>
  </si>
  <si>
    <t>VN000CVUDRB1M  120</t>
  </si>
  <si>
    <t>VN000CVUDRB1016 - Crosspath Dark Brown, 12, Medium</t>
  </si>
  <si>
    <t>VN000CVUE2V1013</t>
  </si>
  <si>
    <t>VN000CVUE2V1M  055</t>
  </si>
  <si>
    <t>VN000CVUE2V1013 - Crosspath Warm Taupe, 5.5, Medium</t>
  </si>
  <si>
    <t>VN000CVUE2V1012</t>
  </si>
  <si>
    <t>VN000CVUE2V1M  060</t>
  </si>
  <si>
    <t>VN000CVUE2V1012 - Crosspath Warm Taupe, 6, Medium</t>
  </si>
  <si>
    <t>VN000CVUKKK1010</t>
  </si>
  <si>
    <t>VN000CVUKKK1M  080</t>
  </si>
  <si>
    <t>VN000CVUKKK1010 - Crosspath NATURAL/MULTI, 8, Medium</t>
  </si>
  <si>
    <t>VN000CVULBR1013</t>
  </si>
  <si>
    <t>VN000CVULBR1M  090</t>
  </si>
  <si>
    <t>VN000CVULBR1013 - Crosspath Light Brown, 9, Medium</t>
  </si>
  <si>
    <t>VN000CVULBR1010</t>
  </si>
  <si>
    <t>VN000CVULBR1M  105</t>
  </si>
  <si>
    <t>VN000CVULBR1010 - Crosspath Light Brown, 10.5, Medium</t>
  </si>
  <si>
    <t>VN000CVULBR1001</t>
  </si>
  <si>
    <t>VN000CVULBR1M  120</t>
  </si>
  <si>
    <t>VN000CVULBR1001 - Crosspath Light Brown, 12, Medium</t>
  </si>
  <si>
    <t>VN000CVULKZ1008</t>
  </si>
  <si>
    <t>VN000CVULKZ1M  050</t>
  </si>
  <si>
    <t>VN000CVULKZ1008 - Crosspath dress blues, 5, Medium</t>
  </si>
  <si>
    <t>VN000CVUY491002</t>
  </si>
  <si>
    <t>VN000CVUY491M  120</t>
  </si>
  <si>
    <t>VN000CVUY491002 - Crosspath Brown/Black, 12, Medium</t>
  </si>
  <si>
    <t>VN000CVV7YO1012</t>
  </si>
  <si>
    <t>VN000CVV7YO1M  040</t>
  </si>
  <si>
    <t>VN000CVV7YO1012 - Crosspath Mid BITTER CHOCOLAT, 4, Medium</t>
  </si>
  <si>
    <t>VN000CVV7YO1010</t>
  </si>
  <si>
    <t>VN000CVV7YO1M  050</t>
  </si>
  <si>
    <t>VN000CVV7YO1010 - Crosspath Mid BITTER CHOCOLAT, 5, Medium</t>
  </si>
  <si>
    <t>VN000CVV7YO1009</t>
  </si>
  <si>
    <t>VN000CVV7YO1M  055</t>
  </si>
  <si>
    <t>VN000CVV7YO1009 - Crosspath Mid BITTER CHOCOL, 5.5, Medium</t>
  </si>
  <si>
    <t>VN000CVV7YO1007</t>
  </si>
  <si>
    <t>VN000CVV7YO1M  065</t>
  </si>
  <si>
    <t>VN000CVV7YO1007 - Crosspath Mid BITTER CHOCOL, 6.5, Medium</t>
  </si>
  <si>
    <t>VN000CVVBA21019</t>
  </si>
  <si>
    <t>VN000CVVBA21M  040</t>
  </si>
  <si>
    <t>VN000CVVBA21019 - Crosspath Mid BLACK/WHITE, 4, Medium</t>
  </si>
  <si>
    <t>VN000CVVBLU1007</t>
  </si>
  <si>
    <t>VN000CVVBLU1M  050</t>
  </si>
  <si>
    <t>VN000CVVBLU1007 - Crosspath Mid Blue, 5, Medium</t>
  </si>
  <si>
    <t>VN000CVVCRM1010</t>
  </si>
  <si>
    <t>VN000CVVCRM1M  055</t>
  </si>
  <si>
    <t>VN000CVVCRM1010 - Crosspath Mid Cream, 5.5, Medium</t>
  </si>
  <si>
    <t>VN000CVVCRM1003</t>
  </si>
  <si>
    <t>VN000CVVCRM1M  085</t>
  </si>
  <si>
    <t>VN000CVVCRM1003 - Crosspath Mid Cream, 8.5, Medium</t>
  </si>
  <si>
    <t>VN000CVVEMQ1004</t>
  </si>
  <si>
    <t>Washed Black</t>
  </si>
  <si>
    <t>VN000CVVEMQ1M  075</t>
  </si>
  <si>
    <t>VN000CVVEMQ1004 - Crosspath Mid Washed Black, 7.5, Medium</t>
  </si>
  <si>
    <t>VN000CVVEMQ1003</t>
  </si>
  <si>
    <t>VN000CVVEMQ1M  080</t>
  </si>
  <si>
    <t>VN000CVVEMQ1003 - Crosspath Mid Washed Black, 8, Medium</t>
  </si>
  <si>
    <t>VN000CVVEMQ1002</t>
  </si>
  <si>
    <t>VN000CVVEMQ1M  085</t>
  </si>
  <si>
    <t>VN000CVVEMQ1002 - Crosspath Mid Washed Black, 8.5, Medium</t>
  </si>
  <si>
    <t>VN000CVVEMQ1010</t>
  </si>
  <si>
    <t>VN000CVVEMQ1M  090</t>
  </si>
  <si>
    <t>VN000CVVEMQ1010 - Crosspath Mid Washed Black, 9, Medium</t>
  </si>
  <si>
    <t>VN000CVVEMQ1019</t>
  </si>
  <si>
    <t>VN000CVVEMQ1M  095</t>
  </si>
  <si>
    <t>VN000CVVEMQ1019 - Crosspath Mid Washed Black, 9.5, Medium</t>
  </si>
  <si>
    <t>VN000CVVEMQ1001</t>
  </si>
  <si>
    <t>VN000CVVEMQ1M  100</t>
  </si>
  <si>
    <t>VN000CVVEMQ1001 - Crosspath Mid Washed Black, 10, Medium</t>
  </si>
  <si>
    <t>VN000CVVEMQ1016</t>
  </si>
  <si>
    <t>VN000CVVEMQ1M  105</t>
  </si>
  <si>
    <t>VN000CVVEMQ1016 - Crosspath Mid Washed Black, 10.5, Medium</t>
  </si>
  <si>
    <t>VN000CVVEMQ1015</t>
  </si>
  <si>
    <t>VN000CVVEMQ1M  110</t>
  </si>
  <si>
    <t>VN000CVVEMQ1015 - Crosspath Mid Washed Black, 11, Medium</t>
  </si>
  <si>
    <t>VN000CVVEMQ1009</t>
  </si>
  <si>
    <t>VN000CVVEMQ1M  115</t>
  </si>
  <si>
    <t>VN000CVVEMQ1009 - Crosspath Mid Washed Black, 11.5, Medium</t>
  </si>
  <si>
    <t>VN000CVVEMQ1008</t>
  </si>
  <si>
    <t>VN000CVVEMQ1M  120</t>
  </si>
  <si>
    <t>VN000CVVEMQ1008 - Crosspath Mid Washed Black, 12, Medium</t>
  </si>
  <si>
    <t>VN000CVVEMQ1007</t>
  </si>
  <si>
    <t>VN000CVVEMQ1M  130</t>
  </si>
  <si>
    <t>VN000CVVEMQ1007 - Crosspath Mid Washed Black, 13, Medium</t>
  </si>
  <si>
    <t>VN000CVVF871012</t>
  </si>
  <si>
    <t>VN000CVVF871M  075</t>
  </si>
  <si>
    <t>VN000CVVF871012 - Crosspath Mid Dark Green/Da, 7.5, Medium</t>
  </si>
  <si>
    <t>VN000CVVF871011</t>
  </si>
  <si>
    <t>VN000CVVF871M  080</t>
  </si>
  <si>
    <t>VN000CVVF871011 - Crosspath Mid Dark Green/Dark, 8, Medium</t>
  </si>
  <si>
    <t>VN000CVVF871010</t>
  </si>
  <si>
    <t>VN000CVVF871M  085</t>
  </si>
  <si>
    <t>VN000CVVF871010 - Crosspath Mid Dark Green/Da, 8.5, Medium</t>
  </si>
  <si>
    <t>VN000CVVF871008</t>
  </si>
  <si>
    <t>VN000CVVF871M  095</t>
  </si>
  <si>
    <t>VN000CVVF871008 - Crosspath Mid Dark Green/Da, 9.5, Medium</t>
  </si>
  <si>
    <t>VN000CVVF871007</t>
  </si>
  <si>
    <t>VN000CVVF871M  100</t>
  </si>
  <si>
    <t>VN000CVVF871007 - Crosspath Mid Dark Green/Dar, 10, Medium</t>
  </si>
  <si>
    <t>VN000CVVF871006</t>
  </si>
  <si>
    <t>VN000CVVF871M  105</t>
  </si>
  <si>
    <t>VN000CVVF871006 - Crosspath Mid Dark Green/D, 10.5, Medium</t>
  </si>
  <si>
    <t>VN000CVVF871005</t>
  </si>
  <si>
    <t>VN000CVVF871M  110</t>
  </si>
  <si>
    <t>VN000CVVF871005 - Crosspath Mid Dark Green/Dar, 11, Medium</t>
  </si>
  <si>
    <t>VN000CVVF871004</t>
  </si>
  <si>
    <t>VN000CVVF871M  115</t>
  </si>
  <si>
    <t>VN000CVVF871004 - Crosspath Mid Dark Green/D, 11.5, Medium</t>
  </si>
  <si>
    <t>VN000CVVF871003</t>
  </si>
  <si>
    <t>VN000CVVF871M  120</t>
  </si>
  <si>
    <t>VN000CVVF871003 - Crosspath Mid Dark Green/Dar, 12, Medium</t>
  </si>
  <si>
    <t>VN000CVVF871002</t>
  </si>
  <si>
    <t>VN000CVVF871M  130</t>
  </si>
  <si>
    <t>VN000CVVF871002 - Crosspath Mid Dark Green/Dar, 13, Medium</t>
  </si>
  <si>
    <t>VN000CVVN1Z1009</t>
  </si>
  <si>
    <t>VN000CVVN1Z1M  095</t>
  </si>
  <si>
    <t>VN000CVVN1Z1009 - Crosspath Mid GLAZED GINGER, 9.5, Medium</t>
  </si>
  <si>
    <t>VN000CVVOLV1008</t>
  </si>
  <si>
    <t>VN000CVVOLV1M  040</t>
  </si>
  <si>
    <t>VN000CVVOLV1008 - Crosspath Mid Olive, 4, Medium</t>
  </si>
  <si>
    <t>VN000CWC7Z61006</t>
  </si>
  <si>
    <t>bright blue/white</t>
  </si>
  <si>
    <t>VN000CWC7Z61M  085</t>
  </si>
  <si>
    <t>VN000CWC7Z61006 - MTE UltraRange EXO bright b, 8.5, Medium</t>
  </si>
  <si>
    <t>VN000CWD0CL1017</t>
  </si>
  <si>
    <t>GRAPE LEAF/BROWN</t>
  </si>
  <si>
    <t>VN000CWD0CL1M  075</t>
  </si>
  <si>
    <t>VN000CWD0CL1017 - MTE UltraRange EXO SE MESH, 7.5, Medium</t>
  </si>
  <si>
    <t>VN000CWDDRB1012</t>
  </si>
  <si>
    <t>VN000CWDDRB1M  090</t>
  </si>
  <si>
    <t>VN000CWDDRB1012 - MTE UltraRange EXO SE PFSU MB, 9, Medium</t>
  </si>
  <si>
    <t>VN000CWE2BO1014</t>
  </si>
  <si>
    <t>Black/Off White</t>
  </si>
  <si>
    <t>VN000CWE2BO1M  050</t>
  </si>
  <si>
    <t>VN000CWE2BO1014 - UltraRange Neo VR3 Black/Off, 5, Medium</t>
  </si>
  <si>
    <t>VN000CWE2BO1006</t>
  </si>
  <si>
    <t>VN000CWE2BO1M  080</t>
  </si>
  <si>
    <t>VN000CWE2BO1006 - UltraRange Neo VR3 Black/Off, 8, Medium</t>
  </si>
  <si>
    <t>VN000CWE8871014</t>
  </si>
  <si>
    <t>VN000CWE8871M  060</t>
  </si>
  <si>
    <t>VN000CWE8871014 - UltraRange Neo VR3 TRAN TQSAQ, 6, Medium</t>
  </si>
  <si>
    <t>VN000CWE98L1006</t>
  </si>
  <si>
    <t>Faded Orange</t>
  </si>
  <si>
    <t>VN000CWE98L1M  100</t>
  </si>
  <si>
    <t>VN000CWE98L1006 - UltraRange Neo VR3 Faded Ora, 10, Medium</t>
  </si>
  <si>
    <t>VN000CWEBH11013</t>
  </si>
  <si>
    <t>LIGHT BROWN/MULTI</t>
  </si>
  <si>
    <t>VN000CWEBH11M  035</t>
  </si>
  <si>
    <t>VN000CWEBH11013 - UltraRange Neo VR3 LIGHT BR, 3.5, Medium</t>
  </si>
  <si>
    <t>VN000CWEBO51005</t>
  </si>
  <si>
    <t>VN000CWEBO51M  105</t>
  </si>
  <si>
    <t>VN000CWEBO51005 - UltraRange Neo VR3 MULTI/M, 10.5, Medium</t>
  </si>
  <si>
    <t>VN000CWEBO51001</t>
  </si>
  <si>
    <t>VN000CWEBO51M  130</t>
  </si>
  <si>
    <t>VN000CWEBO51001 - UltraRange Neo VR3 MULTI/MAR, 13, Medium</t>
  </si>
  <si>
    <t>VN000CWEDRK1019</t>
  </si>
  <si>
    <t>Dark Green</t>
  </si>
  <si>
    <t>VN000CWEDRK1M  100</t>
  </si>
  <si>
    <t>VN000CWEDRK1019 - UltraRange Neo VR3 MONO DKGR, 10, Medium</t>
  </si>
  <si>
    <t>VN000CWEM8I1017</t>
  </si>
  <si>
    <t>VN000CWEM8I1M  050</t>
  </si>
  <si>
    <t>VN000CWEM8I1017 - UltraRange Neo VR3 GRAY MIST, 5, Medium</t>
  </si>
  <si>
    <t>VN000CWEN1Z1001</t>
  </si>
  <si>
    <t>VN000CWEN1Z1M  110</t>
  </si>
  <si>
    <t>VN000CWEN1Z1001 - UltraRange Neo VR3 GLAZED GI, 11, Medium</t>
  </si>
  <si>
    <t>VN000CWESQ71011</t>
  </si>
  <si>
    <t>VN000CWESQ71M  040</t>
  </si>
  <si>
    <t>VN000CWESQ71011 - UltraRange Neo VR3 SUED LTBGE, 4, Medium</t>
  </si>
  <si>
    <t>VN000CWESQ71009</t>
  </si>
  <si>
    <t>VN000CWESQ71M  050</t>
  </si>
  <si>
    <t>VN000CWESQ71009 - UltraRange Neo VR3 SUED LTBGE, 5, Medium</t>
  </si>
  <si>
    <t>VN000CWESQ71001</t>
  </si>
  <si>
    <t>VN000CWESQ71M  130</t>
  </si>
  <si>
    <t>VN000CWESQ71001 - UltraRange Neo VR3 SUED LTBG, 13, Medium</t>
  </si>
  <si>
    <t>VN000CWEUUI1013</t>
  </si>
  <si>
    <t>VN000CWEUUI1M  045</t>
  </si>
  <si>
    <t>VN000CWEUUI1013 - UltraRange Neo VR3 EVENING, 4.5, Medium</t>
  </si>
  <si>
    <t>VN000CWEUUI1003</t>
  </si>
  <si>
    <t>VN000CWEUUI1M  075</t>
  </si>
  <si>
    <t>VN000CWEUUI1003 - UltraRange Neo VR3 EVENING, 7.5, Medium</t>
  </si>
  <si>
    <t>VN000CWEWHP1019</t>
  </si>
  <si>
    <t>VN000CWEWHP1M  035</t>
  </si>
  <si>
    <t>VN000CWEWHP1019 - UltraRange Neo VR3 PFSU WHT, 3.5, Medium</t>
  </si>
  <si>
    <t>VN000CWF1P01009</t>
  </si>
  <si>
    <t>Classic Navy</t>
  </si>
  <si>
    <t>VN000CWF1P01M  035</t>
  </si>
  <si>
    <t>VN000CWF1P01009 - MTE UltraRange VR3 Classic, 3.5, Medium</t>
  </si>
  <si>
    <t>VN000CWF1P01008</t>
  </si>
  <si>
    <t>VN000CWF1P01M  040</t>
  </si>
  <si>
    <t>VN000CWF1P01008 - MTE UltraRange VR3 Classic Na, 4, Medium</t>
  </si>
  <si>
    <t>VN000CWF1P01014</t>
  </si>
  <si>
    <t>VN000CWF1P01M  070</t>
  </si>
  <si>
    <t>VN000CWF1P01014 - MTE UltraRange VR3 Classic Na, 7, Medium</t>
  </si>
  <si>
    <t>VN000CWFSKQ1019</t>
  </si>
  <si>
    <t>MULTI/BLACK</t>
  </si>
  <si>
    <t>VN000CWFSKQ1M  035</t>
  </si>
  <si>
    <t>VN000CWFSKQ1019 - MTE UltraRange VR3 SPDY BLA, 3.5, Medium</t>
  </si>
  <si>
    <t>VN000CWFSKQ1014</t>
  </si>
  <si>
    <t>VN000CWFSKQ1M  040</t>
  </si>
  <si>
    <t>VN000CWFSKQ1014 - MTE UltraRange VR3 SPDY BLACK, 4, Medium</t>
  </si>
  <si>
    <t>VN000CYA7VF1011</t>
  </si>
  <si>
    <t>VN000CYA7VF1M  015</t>
  </si>
  <si>
    <t>VN000CYA7VF1011 - Old Skool V DAZL DGREY, 1.5, Medium</t>
  </si>
  <si>
    <t>VN000CYA7VF1002</t>
  </si>
  <si>
    <t>VN000CYA7VF1M  130</t>
  </si>
  <si>
    <t>VN000CYA7VF1002 - Old Skool V DAZL DGREY, 13, Medium</t>
  </si>
  <si>
    <t>VN000CYABMC1011</t>
  </si>
  <si>
    <t>VN000CYABMC1M  020</t>
  </si>
  <si>
    <t>VN000CYABMC1011 - Old Skool V RETR MULTI, 2, Medium</t>
  </si>
  <si>
    <t>VN000CYABMC1008</t>
  </si>
  <si>
    <t>VN000CYABMC1M  120</t>
  </si>
  <si>
    <t>VN000CYABMC1008 - Old Skool V RETR MULTI, 12, Medium</t>
  </si>
  <si>
    <t>VN000CYAGRN1003</t>
  </si>
  <si>
    <t>VN000CYAGRN1M  110</t>
  </si>
  <si>
    <t>VN000CYAGRN1003 - Old Skool V DENM GREEN, 11, Medium</t>
  </si>
  <si>
    <t>VN000CYAYLZ1012</t>
  </si>
  <si>
    <t>VN000CYAYLZ1M  010</t>
  </si>
  <si>
    <t>VN000CYAYLZ1012 - Old Skool V GLTR RASRO, 1, Medium</t>
  </si>
  <si>
    <t>VN000CYAYLZ1007</t>
  </si>
  <si>
    <t>VN000CYAYLZ1M  130</t>
  </si>
  <si>
    <t>VN000CYAYLZ1007 - Old Skool V GLTR RASRO, 13, Medium</t>
  </si>
  <si>
    <t>VN000CYCBF21010</t>
  </si>
  <si>
    <t>BROWN/TRUE WHITE</t>
  </si>
  <si>
    <t>VN000CYCBF21M  030</t>
  </si>
  <si>
    <t>VN000CYCBF21010 - Mary Jane BROWN/TRUE WHIT, 3, Medium</t>
  </si>
  <si>
    <t>VN000CYDBJ11005</t>
  </si>
  <si>
    <t>PINK/TRUE WHITE</t>
  </si>
  <si>
    <t>VN000CYDBJ11M  030</t>
  </si>
  <si>
    <t>Satin Rose</t>
  </si>
  <si>
    <t>VN000CYDBJ11005 - Old Skool V SATI WHITE, 3, Medium</t>
  </si>
  <si>
    <t>VN000CYPBML1007</t>
  </si>
  <si>
    <t>VN000CYPBML1M  105</t>
  </si>
  <si>
    <t>VN000CYPBML1007 - Sk8-Hi Reissue Side Zip RM, 10.5, Medium</t>
  </si>
  <si>
    <t>VN000CYPDJR1003</t>
  </si>
  <si>
    <t>VN000CYPDJR1M  115</t>
  </si>
  <si>
    <t>VN000CYPDJR1003 - Sk8-Hi Reissue Side Zip DA, 11.5, Medium</t>
  </si>
  <si>
    <t>VN000CYPDJR1011</t>
  </si>
  <si>
    <t>VN000CYPDJR1M  120</t>
  </si>
  <si>
    <t>VN000CYPDJR1011 - Sk8-Hi Reissue Side Zip DAZL, 12, Medium</t>
  </si>
  <si>
    <t>VN000CYU4QU1009</t>
  </si>
  <si>
    <t>VN000CYU4QU1M  105</t>
  </si>
  <si>
    <t>VN000CYU4QU1009 - Knu Skool Port Royale, 10.5, Medium</t>
  </si>
  <si>
    <t>VN000CYU4QU1005</t>
  </si>
  <si>
    <t>VN000CYU4QU1M  125</t>
  </si>
  <si>
    <t>VN000CYU4QU1005 - Knu Skool Port Royale, 12.5, Medium</t>
  </si>
  <si>
    <t>VN000CYU4QU1001</t>
  </si>
  <si>
    <t>VN000CYU4QU1M  135</t>
  </si>
  <si>
    <t>VN000CYU4QU1001 - Knu Skool Port Royale, 13.5, Medium</t>
  </si>
  <si>
    <t>VN000CYU4Y41009</t>
  </si>
  <si>
    <t>VN000CYU4Y41M  015</t>
  </si>
  <si>
    <t>VN000CYU4Y41009 - Knu Skool 2TNE BLACK, 1.5, Medium</t>
  </si>
  <si>
    <t>VN000CYU4Y41011</t>
  </si>
  <si>
    <t>VN000CYU4Y41M  130</t>
  </si>
  <si>
    <t>VN000CYU4Y41011 - Knu Skool 2TNE BLACK, 13, Medium</t>
  </si>
  <si>
    <t>VN000CYUE2T1011</t>
  </si>
  <si>
    <t>VN000CYUE2T1M  010</t>
  </si>
  <si>
    <t>VN000CYUE2T1011 - Knu Skool BRIG WLHRB, 1, Medium</t>
  </si>
  <si>
    <t>VN000CYUE2T1012</t>
  </si>
  <si>
    <t>VN000CYUE2T1M  135</t>
  </si>
  <si>
    <t>VN000CYUE2T1012 - Knu Skool BRIG WLHRB, 13.5, Medium</t>
  </si>
  <si>
    <t>VN000CYUEN61010</t>
  </si>
  <si>
    <t>VN000CYUEN61M  020</t>
  </si>
  <si>
    <t>VN000CYUEN61010 - Knu Skool Pine Forest, 2, Medium</t>
  </si>
  <si>
    <t>VN000CYUEN61009</t>
  </si>
  <si>
    <t>VN000CYUEN61M  025</t>
  </si>
  <si>
    <t>VN000CYUEN61009 - Knu Skool Pine Forest, 2.5, Medium</t>
  </si>
  <si>
    <t>VN000CYUEN61006</t>
  </si>
  <si>
    <t>VN000CYUEN61M  110</t>
  </si>
  <si>
    <t>VN000CYUEN61006 - Knu Skool Pine Forest, 11, Medium</t>
  </si>
  <si>
    <t>VN000CYUEN61002</t>
  </si>
  <si>
    <t>VN000CYUEN61M  130</t>
  </si>
  <si>
    <t>VN000CYUEN61002 - Knu Skool Pine Forest, 13, Medium</t>
  </si>
  <si>
    <t>VN000CZ7BLA1002</t>
  </si>
  <si>
    <t>VN000CZ7BLA1M  115</t>
  </si>
  <si>
    <t>VN000CZ7BLA1002 - Sk8-Mid Reissue V DENM BLA, 11.5, Medium</t>
  </si>
  <si>
    <t>VN000CZ7EMW1008</t>
  </si>
  <si>
    <t>VN000CZ7EMW1M  110</t>
  </si>
  <si>
    <t>VN000CZ7EMW1008 - Sk8-Mid Reissue V SSHP GROLV, 11, Medium</t>
  </si>
  <si>
    <t>VN000CZ7EMW1007</t>
  </si>
  <si>
    <t>VN000CZ7EMW1M  130</t>
  </si>
  <si>
    <t>VN000CZ7EMW1007 - Sk8-Mid Reissue V SSHP GROLV, 13, Medium</t>
  </si>
  <si>
    <t>VN000CZ7O331004</t>
  </si>
  <si>
    <t>VN000CZ7O331M  020</t>
  </si>
  <si>
    <t>VN000CZ7O331004 - Sk8-Mid Reissue V LEGL LTBLU, 2, Medium</t>
  </si>
  <si>
    <t>VN000CZ7O331010</t>
  </si>
  <si>
    <t>VN000CZ7O331M  120</t>
  </si>
  <si>
    <t>VN000CZ7O331010 - Sk8-Mid Reissue V LEGL LTBLU, 12, Medium</t>
  </si>
  <si>
    <t>VN000CZ7O331009</t>
  </si>
  <si>
    <t>VN000CZ7O331M  125</t>
  </si>
  <si>
    <t>VN000CZ7O331009 - Sk8-Mid Reissue V LEGL LTB, 12.5, Medium</t>
  </si>
  <si>
    <t>VN000CZ7RV21003</t>
  </si>
  <si>
    <t>VN000CZ7RV21M  010</t>
  </si>
  <si>
    <t>VN000CZ7RV21003 - Sk8-Mid Reissue V CTHR BLACK, 1, Medium</t>
  </si>
  <si>
    <t>VN000CZ7RV21002</t>
  </si>
  <si>
    <t>VN000CZ7RV21M  020</t>
  </si>
  <si>
    <t>VN000CZ7RV21002 - Sk8-Mid Reissue V CTHR BLACK, 2, Medium</t>
  </si>
  <si>
    <t>VN000CZ7RV21010</t>
  </si>
  <si>
    <t>VN000CZ7RV21M  105</t>
  </si>
  <si>
    <t>VN000CZ7RV21010 - Sk8-Mid Reissue V CTHR BLA, 10.5, Medium</t>
  </si>
  <si>
    <t>VN000CZ7RV21008</t>
  </si>
  <si>
    <t>VN000CZ7RV21M  115</t>
  </si>
  <si>
    <t>VN000CZ7RV21008 - Sk8-Mid Reissue V CTHR BLA, 11.5, Medium</t>
  </si>
  <si>
    <t>VN000CZ7RV21007</t>
  </si>
  <si>
    <t>VN000CZ7RV21M  120</t>
  </si>
  <si>
    <t>VN000CZ7RV21007 - Sk8-Mid Reissue V CTHR BLACK, 12, Medium</t>
  </si>
  <si>
    <t>VN000CZ7RV21004</t>
  </si>
  <si>
    <t>VN000CZ7RV21M  135</t>
  </si>
  <si>
    <t>VN000CZ7RV21004 - Sk8-Mid Reissue V CTHR BLA, 13.5, Medium</t>
  </si>
  <si>
    <t>VN000CZHBIL1007</t>
  </si>
  <si>
    <t>MULTI/GUM</t>
  </si>
  <si>
    <t>VN000CZHBIL1M  080</t>
  </si>
  <si>
    <t>VN000CZHBIL1007 - Filmore Hi Vansguard OTDR MLG, 8, Medium</t>
  </si>
  <si>
    <t>VN000CZHBIL1003</t>
  </si>
  <si>
    <t>VN000CZHBIL1M  105</t>
  </si>
  <si>
    <t>VN000CZHBIL1003 - Filmore Hi Vansguard OTDR, 10.5, Medium</t>
  </si>
  <si>
    <t>VN000CZHBIL1012</t>
  </si>
  <si>
    <t>VN000CZHBIL1M  120</t>
  </si>
  <si>
    <t>VN000CZHBIL1012 - Filmore Hi Vansguard OTDR ML, 12, Medium</t>
  </si>
  <si>
    <t>VN000CZHBIL1013</t>
  </si>
  <si>
    <t>VN000CZHBIL1M  130</t>
  </si>
  <si>
    <t>VN000CZHBIL1013 - Filmore Hi Vansguard OTDR ML, 13, Medium</t>
  </si>
  <si>
    <t>VN000CZHCFB1007</t>
  </si>
  <si>
    <t>VN000CZHCFB1M  110</t>
  </si>
  <si>
    <t>VN000CZHCFB1007 - Filmore Hi Vansguard POPS MD, 11, Medium</t>
  </si>
  <si>
    <t>VN000CZHPRM1010</t>
  </si>
  <si>
    <t>VN000CZHPRM1M  105</t>
  </si>
  <si>
    <t>VN000CZHPRM1010 - Filmore Hi Vansguard COZY, 10.5, Medium</t>
  </si>
  <si>
    <t>VN000CZUC9F1018</t>
  </si>
  <si>
    <t>Knu Skool DR</t>
  </si>
  <si>
    <t>VN000CZUC9F1M  040</t>
  </si>
  <si>
    <t>VN000CZUC9F1018 - Knu Skool DR UTIL EGRET, 4, Medium</t>
  </si>
  <si>
    <t>VN000D07L371003</t>
  </si>
  <si>
    <t>VN000D07L371M  050</t>
  </si>
  <si>
    <t>VN000D07L371003 - Mary Jane Creeper GRCO BLACK, 5, Medium</t>
  </si>
  <si>
    <t>VN000D07L371019</t>
  </si>
  <si>
    <t>VN000D07L371M  065</t>
  </si>
  <si>
    <t>VN000D07L371019 - Mary Jane Creeper GRCO BLAC, 6.5, Medium</t>
  </si>
  <si>
    <t>VN000D09BLS1013</t>
  </si>
  <si>
    <t>HONEY YELLOW</t>
  </si>
  <si>
    <t>VN000D09BLS1M  095</t>
  </si>
  <si>
    <t>2-TONE SUEDE</t>
  </si>
  <si>
    <t>VN000D09BLS1013 - Sport Low 2TSU HONYL, 9.5, Medium</t>
  </si>
  <si>
    <t>VN000D09M8I1016</t>
  </si>
  <si>
    <t>VN000D09M8I1M  075</t>
  </si>
  <si>
    <t>VN000D09M8I1016 - Sport Low 2TSU MGRGY, 7.5, Medium</t>
  </si>
  <si>
    <t>VN000D0ECI11012</t>
  </si>
  <si>
    <t>red/gum</t>
  </si>
  <si>
    <t>VN000D0ECI11M  060</t>
  </si>
  <si>
    <t>VN000D0ECI11012 - Old Skool Lowpro red/gum, 6, Medium</t>
  </si>
  <si>
    <t>VN000D0ENGM1009</t>
  </si>
  <si>
    <t>VN000D0ENGM1M  050</t>
  </si>
  <si>
    <t>VN000D0ENGM1009 - Old Skool Lowpro Navy/Gum, 5, Medium</t>
  </si>
  <si>
    <t>VN000D0HBMV1010</t>
  </si>
  <si>
    <t>VN000D0HBMV1M  015</t>
  </si>
  <si>
    <t>VN000D0HBMV1010 - SK8-Hi Insulated POP BLKML, 1.5, Medium</t>
  </si>
  <si>
    <t>VN000D0HBMV1008</t>
  </si>
  <si>
    <t>VN000D0HBMV1M  025</t>
  </si>
  <si>
    <t>VN000D0HBMV1008 - SK8-Hi Insulated POP BLKML, 2.5, Medium</t>
  </si>
  <si>
    <t>VN000D0HBZW1011</t>
  </si>
  <si>
    <t>VN000D0HBZW1M  025</t>
  </si>
  <si>
    <t>VN000D0HBZW1011 - SK8-Hi Insulated Black/Whit, 2.5, Medium</t>
  </si>
  <si>
    <t>VN000D0HEMY1006</t>
  </si>
  <si>
    <t>VN000D0HEMY1M  015</t>
  </si>
  <si>
    <t>VN000D0HEMY1006 - SK8-Hi Insulated TNCH LMIST, 1.5, Medium</t>
  </si>
  <si>
    <t>VN000D0HN1Z1007</t>
  </si>
  <si>
    <t>VN000D0HN1Z1M  015</t>
  </si>
  <si>
    <t>VN000D0HN1Z1007 - SK8-Hi Insulated GLAZED GIN, 1.5, Medium</t>
  </si>
  <si>
    <t>VN000D0JRV21004</t>
  </si>
  <si>
    <t>VN000D0JRV21M  025</t>
  </si>
  <si>
    <t>VN000D0JRV21004 - Classic Slip-On CTHR CHBD B, 2.5, Medium</t>
  </si>
  <si>
    <t>VN000D0JRV21011</t>
  </si>
  <si>
    <t>VN000D0JRV21M  120</t>
  </si>
  <si>
    <t>VN000D0JRV21011 - Classic Slip-On CTHR CHBD BL, 12, Medium</t>
  </si>
  <si>
    <t>VN000D0JRV21008</t>
  </si>
  <si>
    <t>VN000D0JRV21M  135</t>
  </si>
  <si>
    <t>VN000D0JRV21008 - Classic Slip-On CTHR CHBD, 13.5, Medium</t>
  </si>
  <si>
    <t>VN000D0KBES1014</t>
  </si>
  <si>
    <t>BLUE/TRUE WHITE</t>
  </si>
  <si>
    <t>VN000D0KBES1M  075</t>
  </si>
  <si>
    <t>VN000D0KBES1014 - Knu Skool Elastic Lace BLUE, 7.5, Medium</t>
  </si>
  <si>
    <t>VN000D0KEN61012</t>
  </si>
  <si>
    <t>VN000D0KEN61M  050</t>
  </si>
  <si>
    <t>VN000D0KEN61012 - Knu Skool Elastic Lace Pine F, 5, Medium</t>
  </si>
  <si>
    <t>VN000D0M11E1010</t>
  </si>
  <si>
    <t>VN000D0M11E1M  030</t>
  </si>
  <si>
    <t>VN000D0M11E1010 - SK8-Hi Zip Insulated VNTG DKP, 3, Medium</t>
  </si>
  <si>
    <t>VN000D0MBZW1005</t>
  </si>
  <si>
    <t>VN000D0MBZW1M  040</t>
  </si>
  <si>
    <t>VN000D0MBZW1005 - SK8-Hi Zip Insulated Black/Wh, 4, Medium</t>
  </si>
  <si>
    <t>VN000D0MBZW1013</t>
  </si>
  <si>
    <t>VN000D0MBZW1M  050</t>
  </si>
  <si>
    <t>VN000D0MBZW1013 - SK8-Hi Zip Insulated Black/Wh, 5, Medium</t>
  </si>
  <si>
    <t>VN000D0MKCZ1012</t>
  </si>
  <si>
    <t>VN000D0MKCZ1M  090</t>
  </si>
  <si>
    <t>VN000D0MKCZ1012 - SK8-Hi Zip Insulated VNTG DGR, 9, Medium</t>
  </si>
  <si>
    <t>VN000D0PEMW1014</t>
  </si>
  <si>
    <t>VN000D0PEMW1M  075</t>
  </si>
  <si>
    <t>VN000D0PEMW1014 - SK8-Mid Reissue V SSHP GROL, 7.5, Medium</t>
  </si>
  <si>
    <t>VN000D0PEMW1012</t>
  </si>
  <si>
    <t>VN000D0PEMW1M  085</t>
  </si>
  <si>
    <t>VN000D0PEMW1012 - SK8-Mid Reissue V SSHP GROL, 8.5, Medium</t>
  </si>
  <si>
    <t>VN000D0PEMW1003</t>
  </si>
  <si>
    <t>VN000D0PEMW1M  100</t>
  </si>
  <si>
    <t>VN000D0PEMW1003 - SK8-Mid Reissue V SSHP GROLV, 10, Medium</t>
  </si>
  <si>
    <t>VN000D0S1NU1006</t>
  </si>
  <si>
    <t>VN000D0S1NU1M  045</t>
  </si>
  <si>
    <t>VN000D0S1NU1006 - Slip-On V CTHR CHBD MBRWN, 4.5, Medium</t>
  </si>
  <si>
    <t>VN000D0S1NU1003</t>
  </si>
  <si>
    <t>VN000D0S1NU1M  075</t>
  </si>
  <si>
    <t>VN000D0S1NU1003 - Slip-On V CTHR CHBD MBRWN, 7.5, Medium</t>
  </si>
  <si>
    <t>VN000D0S1NU1001</t>
  </si>
  <si>
    <t>VN000D0S1NU1M  095</t>
  </si>
  <si>
    <t>VN000D0S1NU1001 - Slip-On V CTHR CHBD MBRWN, 9.5, Medium</t>
  </si>
  <si>
    <t>VN000D0S7051004</t>
  </si>
  <si>
    <t>VN000D0S7051M  070</t>
  </si>
  <si>
    <t>VN000D0S7051004 - Slip-On V RETR BLACK, 7, Medium</t>
  </si>
  <si>
    <t>VN000D0S7051002</t>
  </si>
  <si>
    <t>VN000D0S7051M  090</t>
  </si>
  <si>
    <t>VN000D0S7051002 - Slip-On V RETR BLACK, 9, Medium</t>
  </si>
  <si>
    <t>VN000D0S7051001</t>
  </si>
  <si>
    <t>VN000D0S7051M  100</t>
  </si>
  <si>
    <t>VN000D0S7051001 - Slip-On V RETR BLACK, 10, Medium</t>
  </si>
  <si>
    <t>VN000D0SYLZ1013</t>
  </si>
  <si>
    <t>VN000D0SYLZ1M  060</t>
  </si>
  <si>
    <t>VN000D0SYLZ1013 - Slip-On V GLTR RASRO, 6, Medium</t>
  </si>
  <si>
    <t>VN000D0SYLZ1001</t>
  </si>
  <si>
    <t>VN000D0SYLZ1M  095</t>
  </si>
  <si>
    <t>VN000D0SYLZ1001 - Slip-On V GLTR RASRO, 9.5, Medium</t>
  </si>
  <si>
    <t>VN000D1011E1007</t>
  </si>
  <si>
    <t>VN000D1011E1M  015</t>
  </si>
  <si>
    <t>VN000D1011E1007 - SK8-Mid Reissue V Insulat P, 1.5, Medium</t>
  </si>
  <si>
    <t>VN000D1011E1010</t>
  </si>
  <si>
    <t>VN000D1011E1M  115</t>
  </si>
  <si>
    <t>VN000D1011E1010 - SK8-Mid Reissue V Insulat, 11.5, Medium</t>
  </si>
  <si>
    <t>VN000D1011E1006</t>
  </si>
  <si>
    <t>VN000D1011E1M  130</t>
  </si>
  <si>
    <t>VN000D1011E1006 - SK8-Mid Reissue V Insulat PO, 13, Medium</t>
  </si>
  <si>
    <t>VN000D1011E1012</t>
  </si>
  <si>
    <t>VN000D1011E1M  135</t>
  </si>
  <si>
    <t>VN000D1011E1012 - SK8-Mid Reissue V Insulat, 13.5, Medium</t>
  </si>
  <si>
    <t>VN000D101KP1003</t>
  </si>
  <si>
    <t>VN000D101KP1M  020</t>
  </si>
  <si>
    <t>VN000D101KP1003 - SK8-Mid Reissue V Insulat CHB, 2, Medium</t>
  </si>
  <si>
    <t>VN000D10BF21010</t>
  </si>
  <si>
    <t>VN000D10BF21M  120</t>
  </si>
  <si>
    <t>VN000D10BF21010 - SK8-Mid Reissue V Insulat BR, 12, Medium</t>
  </si>
  <si>
    <t>VN000D10N1Z1009</t>
  </si>
  <si>
    <t>VN000D10N1Z1M  020</t>
  </si>
  <si>
    <t>VN000D10N1Z1009 - SK8-Mid Reissue V Insulat POP, 2, Medium</t>
  </si>
  <si>
    <t>VN000D10N1Z1003</t>
  </si>
  <si>
    <t>VN000D10N1Z1M  120</t>
  </si>
  <si>
    <t>VN000D10N1Z1003 - SK8-Mid Reissue V Insulat PO, 12, Medium</t>
  </si>
  <si>
    <t>VN000D10N1Z1012</t>
  </si>
  <si>
    <t>VN000D10N1Z1M  125</t>
  </si>
  <si>
    <t>VN000D10N1Z1012 - SK8-Mid Reissue V Insulat, 12.5, Medium</t>
  </si>
  <si>
    <t>VN000D10N1Z1002</t>
  </si>
  <si>
    <t>VN000D10N1Z1M  130</t>
  </si>
  <si>
    <t>VN000D10N1Z1002 - SK8-Mid Reissue V Insulat PO, 13, Medium</t>
  </si>
  <si>
    <t>VN000D1111E1017</t>
  </si>
  <si>
    <t>VN000D1111E1M  040</t>
  </si>
  <si>
    <t>VN000D1111E1017 - SK8-Mid Reissue V Insulat POP, 4, Medium</t>
  </si>
  <si>
    <t>VN000D1111E1016</t>
  </si>
  <si>
    <t>VN000D1111E1M  045</t>
  </si>
  <si>
    <t>VN000D1111E1016 - SK8-Mid Reissue V Insulat P, 4.5, Medium</t>
  </si>
  <si>
    <t>VN000D1111E1015</t>
  </si>
  <si>
    <t>VN000D1111E1M  055</t>
  </si>
  <si>
    <t>VN000D1111E1015 - SK8-Mid Reissue V Insulat P, 5.5, Medium</t>
  </si>
  <si>
    <t>VN000D1111E1014</t>
  </si>
  <si>
    <t>VN000D1111E1M  060</t>
  </si>
  <si>
    <t>VN000D1111E1014 - SK8-Mid Reissue V Insulat POP, 6, Medium</t>
  </si>
  <si>
    <t>VN000D1111E1013</t>
  </si>
  <si>
    <t>VN000D1111E1M  070</t>
  </si>
  <si>
    <t>VN000D1111E1013 - SK8-Mid Reissue V Insulat POP, 7, Medium</t>
  </si>
  <si>
    <t>VN000D1111E1011</t>
  </si>
  <si>
    <t>VN000D1111E1M  080</t>
  </si>
  <si>
    <t>VN000D1111E1011 - SK8-Mid Reissue V Insulat POP, 8, Medium</t>
  </si>
  <si>
    <t>VN000D1111E1001</t>
  </si>
  <si>
    <t>VN000D1111E1M  100</t>
  </si>
  <si>
    <t>VN000D1111E1001 - SK8-Mid Reissue V Insulat PO, 10, Medium</t>
  </si>
  <si>
    <t>VN000D111KP1014</t>
  </si>
  <si>
    <t>VN000D111KP1M  050</t>
  </si>
  <si>
    <t>VN000D111KP1014 - SK8-Mid Reissue V Insulat CHB, 5, Medium</t>
  </si>
  <si>
    <t>VN000D111KP1001</t>
  </si>
  <si>
    <t>VN000D111KP1M  095</t>
  </si>
  <si>
    <t>VN000D111KP1001 - SK8-Mid Reissue V Insulat C, 9.5, Medium</t>
  </si>
  <si>
    <t>VN000D11B9P1007</t>
  </si>
  <si>
    <t>VN000D11B9P1M  070</t>
  </si>
  <si>
    <t>FLORAL</t>
  </si>
  <si>
    <t>VN000D11B9P1007 - SK8-Mid Reissue V Insulat FLR, 7, Medium</t>
  </si>
  <si>
    <t>VN000D12BIY1008</t>
  </si>
  <si>
    <t>VN000D12BIY1M  125</t>
  </si>
  <si>
    <t>VN000D12BIY1008 - MTE Slip-On Hi Terrain V P, 12.5, Medium</t>
  </si>
  <si>
    <t>VN000D13BGS1016</t>
  </si>
  <si>
    <t>Slip-On Hi Terrain V Insu</t>
  </si>
  <si>
    <t>Brown/Green</t>
  </si>
  <si>
    <t>VN000D13BGS1M  050</t>
  </si>
  <si>
    <t>VN000D13BGS1016 - Slip-On Hi Terrain V Insu Bro, 5, Medium</t>
  </si>
  <si>
    <t>VN000D1BEMU1001</t>
  </si>
  <si>
    <t>VN000D1BEMU1M  040</t>
  </si>
  <si>
    <t>VN000D1BEMU1001 - Old Skool V Bolt Strap GLOW D, 4, Medium</t>
  </si>
  <si>
    <t>VN000D1BEMU1006</t>
  </si>
  <si>
    <t>VN000D1BEMU1M  075</t>
  </si>
  <si>
    <t>VN000D1BEMU1006 - Old Skool V Bolt Strap GLOW, 7.5, Medium</t>
  </si>
  <si>
    <t>VN000D1BEMU1012</t>
  </si>
  <si>
    <t>VN000D1BEMU1M  085</t>
  </si>
  <si>
    <t>VN000D1BEMU1012 - Old Skool V Bolt Strap GLOW, 8.5, Medium</t>
  </si>
  <si>
    <t>VN000D1GBA21016</t>
  </si>
  <si>
    <t>VN000D1GBA21M  050</t>
  </si>
  <si>
    <t>VN000D1GBA21016 - Rowley XLT BLACK/WHITE, 5, Medium</t>
  </si>
  <si>
    <t>Fashion Lifestyle, Action Sports, Monobrand, Sports Inspired</t>
  </si>
  <si>
    <t>VN000D1GBA21014</t>
  </si>
  <si>
    <t>VN000D1GBA21M  060</t>
  </si>
  <si>
    <t>VN000D1GBA21014 - Rowley XLT BLACK/WHITE, 6, Medium</t>
  </si>
  <si>
    <t>VN000D1GBA21012</t>
  </si>
  <si>
    <t>VN000D1GBA21M  070</t>
  </si>
  <si>
    <t>VN000D1GBA21012 - Rowley XLT BLACK/WHITE, 7, Medium</t>
  </si>
  <si>
    <t>VN000D1GBA21008</t>
  </si>
  <si>
    <t>VN000D1GBA21M  090</t>
  </si>
  <si>
    <t>VN000D1GBA21008 - Rowley XLT BLACK/WHITE, 9, Medium</t>
  </si>
  <si>
    <t>VN000D1H1NU1010</t>
  </si>
  <si>
    <t>VN000D1H1NU1M  045</t>
  </si>
  <si>
    <t>VN000D1H1NU1010 - Upland TRIT MBRWN, 4.5, Medium</t>
  </si>
  <si>
    <t>VN000D1H4QU1013</t>
  </si>
  <si>
    <t>VN000D1H4QU1M  095</t>
  </si>
  <si>
    <t>VN000D1H4QU1013 - Upland VTSO DRRED, 9.5, Medium</t>
  </si>
  <si>
    <t>VN000D1H7VF1011</t>
  </si>
  <si>
    <t>VN000D1H7VF1M  050</t>
  </si>
  <si>
    <t>VN000D1H7VF1011 - Upland NEUT DGREY, 5, Medium</t>
  </si>
  <si>
    <t>VN000D1H8871012</t>
  </si>
  <si>
    <t>VN000D1H8871M  130</t>
  </si>
  <si>
    <t>VN000D1H8871012 - Upland Spa Blue, 13, Medium</t>
  </si>
  <si>
    <t>VN000D1HAMI1006</t>
  </si>
  <si>
    <t>BLANC DE BLANC/GUM</t>
  </si>
  <si>
    <t>VN000D1HAMI1M  085</t>
  </si>
  <si>
    <t>VN000D1HAMI1006 - Upland BLANC DE BLANC/, 8.5, Medium</t>
  </si>
  <si>
    <t>VN000D1HBXU1013</t>
  </si>
  <si>
    <t>DOUGLAS FIR</t>
  </si>
  <si>
    <t>VN000D1HBXU1M  070</t>
  </si>
  <si>
    <t>VN000D1HBXU1013 - Upland VTSO DOUGL, 7, Medium</t>
  </si>
  <si>
    <t>VN000D1HE2V1005</t>
  </si>
  <si>
    <t>VN000D1HE2V1M  050</t>
  </si>
  <si>
    <t>Clue</t>
  </si>
  <si>
    <t>VN000D1HE2V1005 - Upland CLUE WRMTP, 5, Medium</t>
  </si>
  <si>
    <t>VN000D1HE2V1002</t>
  </si>
  <si>
    <t>VN000D1HE2V1M  065</t>
  </si>
  <si>
    <t>VN000D1HE2V1002 - Upland CLUE WRMTP, 6.5, Medium</t>
  </si>
  <si>
    <t>VN000D1HEEI1008</t>
  </si>
  <si>
    <t>VN000D1HEEI1M  090</t>
  </si>
  <si>
    <t>VN000D1HEEI1008 - Upland PINE NEEDLE, 9, Medium</t>
  </si>
  <si>
    <t>VN000D1HFUH1018</t>
  </si>
  <si>
    <t>Vintage Blue</t>
  </si>
  <si>
    <t>VN000D1HFUH1M  065</t>
  </si>
  <si>
    <t>VN000D1HFUH1018 - Upland POP MBLUE, 6.5, Medium</t>
  </si>
  <si>
    <t>VN000D1HLIM1011</t>
  </si>
  <si>
    <t>Lime</t>
  </si>
  <si>
    <t>VN000D1HLIM1M  095</t>
  </si>
  <si>
    <t>VINTAGE LEATHER</t>
  </si>
  <si>
    <t>VN000D1HLIM1011 - Upland VINT DGREN, 9.5, Medium</t>
  </si>
  <si>
    <t>VN000D1HPRP1010</t>
  </si>
  <si>
    <t>VN000D1HPRP1M  045</t>
  </si>
  <si>
    <t>VN000D1HPRP1010 - Upland VINT DPRPL, 4.5, Medium</t>
  </si>
  <si>
    <t>VN000D1HPRP1008</t>
  </si>
  <si>
    <t>VN000D1HPRP1M  055</t>
  </si>
  <si>
    <t>VN000D1HPRP1008 - Upland VINT DPRPL, 5.5, Medium</t>
  </si>
  <si>
    <t>VN000D1HPRP1017</t>
  </si>
  <si>
    <t>VN000D1HPRP1M  075</t>
  </si>
  <si>
    <t>VN000D1HPRP1017 - Upland VINT DPRPL, 7.5, Medium</t>
  </si>
  <si>
    <t>VN000D1HPRP1001</t>
  </si>
  <si>
    <t>VN000D1HPRP1M  080</t>
  </si>
  <si>
    <t>VN000D1HPRP1001 - Upland VINT DPRPL, 8, Medium</t>
  </si>
  <si>
    <t>VN000D1J4C61009</t>
  </si>
  <si>
    <t>VN000D1J4C61M  040</t>
  </si>
  <si>
    <t>VN000D1J4C61009 - Hylane plum purple, 4, Medium</t>
  </si>
  <si>
    <t>VN000D1J4C61015</t>
  </si>
  <si>
    <t>VN000D1J4C61M  130</t>
  </si>
  <si>
    <t>VN000D1J4C61015 - Hylane plum purple, 13, Medium</t>
  </si>
  <si>
    <t>VN000D1J4VT1005</t>
  </si>
  <si>
    <t>VN000D1J4VT1M  095</t>
  </si>
  <si>
    <t>VN000D1J4VT1005 - Hylane Black/Charcoal/, 9.5, Medium</t>
  </si>
  <si>
    <t>VN000D1J4VT1013</t>
  </si>
  <si>
    <t>VN000D1J4VT1M  100</t>
  </si>
  <si>
    <t>VN000D1J4VT1013 - Hylane Black/Charcoal/, 10, Medium</t>
  </si>
  <si>
    <t>VN000D1J4VT1004</t>
  </si>
  <si>
    <t>VN000D1J4VT1M  110</t>
  </si>
  <si>
    <t>VN000D1J4VT1004 - Hylane Black/Charcoal/, 11, Medium</t>
  </si>
  <si>
    <t>VN000D1J4VT1003</t>
  </si>
  <si>
    <t>VN000D1J4VT1M  115</t>
  </si>
  <si>
    <t>VN000D1J4VT1003 - Hylane Black/Charcoal/, 11.5, Medium</t>
  </si>
  <si>
    <t>VN000D1J4VT1002</t>
  </si>
  <si>
    <t>VN000D1J4VT1M  120</t>
  </si>
  <si>
    <t>VN000D1J4VT1002 - Hylane Black/Charcoal/, 12, Medium</t>
  </si>
  <si>
    <t>VN000D1J7D61006</t>
  </si>
  <si>
    <t>VN000D1J7D61M  085</t>
  </si>
  <si>
    <t>VN000D1J7D61006 - Hylane 2TNE MDBRN, 8.5, Medium</t>
  </si>
  <si>
    <t>VN000D1J7D61005</t>
  </si>
  <si>
    <t>VN000D1J7D61M  095</t>
  </si>
  <si>
    <t>VN000D1J7D61005 - Hylane 2TNE MDBRN, 9.5, Medium</t>
  </si>
  <si>
    <t>VN000D1J9DH1004</t>
  </si>
  <si>
    <t>VN000D1J9DH1M  070</t>
  </si>
  <si>
    <t>VN000D1J9DH1004 - Hylane White/Gum, 7, Medium</t>
  </si>
  <si>
    <t>VN000D1JBRO1018</t>
  </si>
  <si>
    <t>VN000D1JBRO1M  040</t>
  </si>
  <si>
    <t>VN000D1JBRO1018 - Hylane Brown, 4, Medium</t>
  </si>
  <si>
    <t>VN000D1JBRO1017</t>
  </si>
  <si>
    <t>VN000D1JBRO1M  045</t>
  </si>
  <si>
    <t>VN000D1JBRO1017 - Hylane Brown, 4.5, Medium</t>
  </si>
  <si>
    <t>VN000D1JBRO1015</t>
  </si>
  <si>
    <t>VN000D1JBRO1M  055</t>
  </si>
  <si>
    <t>VN000D1JBRO1015 - Hylane Brown, 5.5, Medium</t>
  </si>
  <si>
    <t>VN000D1JBRO1012</t>
  </si>
  <si>
    <t>VN000D1JBRO1M  070</t>
  </si>
  <si>
    <t>VN000D1JBRO1012 - Hylane Brown, 7, Medium</t>
  </si>
  <si>
    <t>VN000D1JBRO1011</t>
  </si>
  <si>
    <t>VN000D1JBRO1M  075</t>
  </si>
  <si>
    <t>VN000D1JBRO1011 - Hylane Brown, 7.5, Medium</t>
  </si>
  <si>
    <t>VN000D1JBRO1001</t>
  </si>
  <si>
    <t>VN000D1JBRO1M  080</t>
  </si>
  <si>
    <t>VN000D1JBRO1001 - Hylane Brown, 8, Medium</t>
  </si>
  <si>
    <t>VN000D1JBRO1006</t>
  </si>
  <si>
    <t>VN000D1JBRO1M  105</t>
  </si>
  <si>
    <t>VN000D1JBRO1006 - Hylane Brown, 10.5, Medium</t>
  </si>
  <si>
    <t>VN000D1JBRO1007</t>
  </si>
  <si>
    <t>VN000D1JBRO1M  110</t>
  </si>
  <si>
    <t>VN000D1JBRO1007 - Hylane Brown, 11, Medium</t>
  </si>
  <si>
    <t>VN000D1JCFL1019</t>
  </si>
  <si>
    <t>VN000D1JCFL1M  065</t>
  </si>
  <si>
    <t>VN000D1JCFL1019 - Hylane CITADEL, 6.5, Medium</t>
  </si>
  <si>
    <t>VN000D1JEN71009</t>
  </si>
  <si>
    <t>VN000D1JEN71M  045</t>
  </si>
  <si>
    <t>VN000D1JEN71009 - Hylane SUED PKDWN, 4.5, Medium</t>
  </si>
  <si>
    <t>VN000D1JEN71014</t>
  </si>
  <si>
    <t>VN000D1JEN71M  090</t>
  </si>
  <si>
    <t>VN000D1JEN71014 - Hylane SUED PKDWN, 9, Medium</t>
  </si>
  <si>
    <t>VN000D1JG2T1007</t>
  </si>
  <si>
    <t>GREEN TEA</t>
  </si>
  <si>
    <t>VN000D1JG2T1M  085</t>
  </si>
  <si>
    <t>VN000D1JG2T1007 - Hylane GREEN TEA, 8.5, Medium</t>
  </si>
  <si>
    <t>VN000D1JG2T1017</t>
  </si>
  <si>
    <t>VN000D1JG2T1M  115</t>
  </si>
  <si>
    <t>VN000D1JG2T1017 - Hylane GREEN TEA, 11.5, Medium</t>
  </si>
  <si>
    <t>VN000D1JJDU1008</t>
  </si>
  <si>
    <t>VN000D1JJDU1M  075</t>
  </si>
  <si>
    <t>VN000D1JJDU1008 - Hylane PARISIAN NIGHT, 7.5, Medium</t>
  </si>
  <si>
    <t>VN000D1JJDU1006</t>
  </si>
  <si>
    <t>VN000D1JJDU1M  085</t>
  </si>
  <si>
    <t>VN000D1JJDU1006 - Hylane PARISIAN NIGHT, 8.5, Medium</t>
  </si>
  <si>
    <t>VN000D1JJDU1005</t>
  </si>
  <si>
    <t>VN000D1JJDU1M  090</t>
  </si>
  <si>
    <t>VN000D1JJDU1005 - Hylane PARISIAN NIGHT, 9, Medium</t>
  </si>
  <si>
    <t>VN000D1JJDU1002</t>
  </si>
  <si>
    <t>VN000D1JJDU1M  105</t>
  </si>
  <si>
    <t>VN000D1JJDU1002 - Hylane PARISIAN NIGHT, 10.5, Medium</t>
  </si>
  <si>
    <t>VN000D1JJDU1012</t>
  </si>
  <si>
    <t>VN000D1JJDU1M  115</t>
  </si>
  <si>
    <t>VN000D1JJDU1012 - Hylane PARISIAN NIGHT, 11.5, Medium</t>
  </si>
  <si>
    <t>VN000D1JOVM1019</t>
  </si>
  <si>
    <t>VN000D1JOVM1M  035</t>
  </si>
  <si>
    <t>VN000D1JOVM1019 - Hylane VNTG WHITE, 3.5, Medium</t>
  </si>
  <si>
    <t>VN000D1JOVM1017</t>
  </si>
  <si>
    <t>VN000D1JOVM1M  045</t>
  </si>
  <si>
    <t>VN000D1JOVM1017 - Hylane VNTG WHITE, 4.5, Medium</t>
  </si>
  <si>
    <t>VN000D1JOVM1015</t>
  </si>
  <si>
    <t>VN000D1JOVM1M  055</t>
  </si>
  <si>
    <t>VN000D1JOVM1015 - Hylane VNTG WHITE, 5.5, Medium</t>
  </si>
  <si>
    <t>VN000D1JOVM1014</t>
  </si>
  <si>
    <t>VN000D1JOVM1M  060</t>
  </si>
  <si>
    <t>VN000D1JOVM1014 - Hylane VNTG WHITE, 6, Medium</t>
  </si>
  <si>
    <t>VN000D1JOVM1011</t>
  </si>
  <si>
    <t>VN000D1JOVM1M  075</t>
  </si>
  <si>
    <t>VN000D1JOVM1011 - Hylane VNTG WHITE, 7.5, Medium</t>
  </si>
  <si>
    <t>VN000D1JOVM1008</t>
  </si>
  <si>
    <t>VN000D1JOVM1M  090</t>
  </si>
  <si>
    <t>VN000D1JOVM1008 - Hylane VNTG WHITE, 9, Medium</t>
  </si>
  <si>
    <t>VN000D1JOVM1005</t>
  </si>
  <si>
    <t>VN000D1JOVM1M  105</t>
  </si>
  <si>
    <t>VN000D1JOVM1005 - Hylane VNTG WHITE, 10.5, Medium</t>
  </si>
  <si>
    <t>VN000D1JPCA1004</t>
  </si>
  <si>
    <t>Purple/Black</t>
  </si>
  <si>
    <t>VN000D1JPCA1M  045</t>
  </si>
  <si>
    <t>VN000D1JPCA1004 - Hylane Purple/Black, 4.5, Medium</t>
  </si>
  <si>
    <t>VN000D1JTUP1012</t>
  </si>
  <si>
    <t>VN000D1JTUP1M  085</t>
  </si>
  <si>
    <t>VN000D1JTUP1012 - Hylane Taupe, 8.5, Medium</t>
  </si>
  <si>
    <t>VN000D1JV0N1006</t>
  </si>
  <si>
    <t>VN000D1JV0N1M  075</t>
  </si>
  <si>
    <t>VN000D1JV0N1006 - Hylane GREEN/MARSHMALL, 7.5, Medium</t>
  </si>
  <si>
    <t>VN000D1JV0N1005</t>
  </si>
  <si>
    <t>VN000D1JV0N1M  080</t>
  </si>
  <si>
    <t>VN000D1JV0N1005 - Hylane GREEN/MARSHMALL, 8, Medium</t>
  </si>
  <si>
    <t>VN000D1JV0N1004</t>
  </si>
  <si>
    <t>VN000D1JV0N1M  100</t>
  </si>
  <si>
    <t>VN000D1JV0N1004 - Hylane GREEN/MARSHMALL, 10, Medium</t>
  </si>
  <si>
    <t>VN000D1JV0N1015</t>
  </si>
  <si>
    <t>VN000D1JV0N1M  105</t>
  </si>
  <si>
    <t>VN000D1JV0N1015 - Hylane GREEN/MARSHMALL, 10.5, Medium</t>
  </si>
  <si>
    <t>VN000D1JY231007</t>
  </si>
  <si>
    <t>VN000D1JY231M  040</t>
  </si>
  <si>
    <t>VN000D1JY231007 - Hylane Black/Yellow, 4, Medium</t>
  </si>
  <si>
    <t>VN000D1JY231004</t>
  </si>
  <si>
    <t>VN000D1JY231M  045</t>
  </si>
  <si>
    <t>VN000D1JY231004 - Hylane Black/Yellow, 4.5, Medium</t>
  </si>
  <si>
    <t>VN000D1JY231019</t>
  </si>
  <si>
    <t>VN000D1JY231M  055</t>
  </si>
  <si>
    <t>VN000D1JY231019 - Hylane Black/Yellow, 5.5, Medium</t>
  </si>
  <si>
    <t>VN000D1JY231001</t>
  </si>
  <si>
    <t>VN000D1JY231M  075</t>
  </si>
  <si>
    <t>VN000D1JY231001 - Hylane Black/Yellow, 7.5, Medium</t>
  </si>
  <si>
    <t>VN000D1JY231014</t>
  </si>
  <si>
    <t>VN000D1JY231M  085</t>
  </si>
  <si>
    <t>VN000D1JY231014 - Hylane Black/Yellow, 8.5, Medium</t>
  </si>
  <si>
    <t>VN000D1JY231013</t>
  </si>
  <si>
    <t>VN000D1JY231M  090</t>
  </si>
  <si>
    <t>VN000D1JY231013 - Hylane Black/Yellow, 9, Medium</t>
  </si>
  <si>
    <t>VN000D1JY231010</t>
  </si>
  <si>
    <t>VN000D1JY231M  105</t>
  </si>
  <si>
    <t>VN000D1JY231010 - Hylane Black/Yellow, 10.5, Medium</t>
  </si>
  <si>
    <t>VN000D1SEMW1011</t>
  </si>
  <si>
    <t>VN000D1SEMW1M  035</t>
  </si>
  <si>
    <t>VN000D1SEMW1011 - SK8-Hi Tapered CTHR GROLV, 3.5, Medium</t>
  </si>
  <si>
    <t>VN000D1SEMW1012</t>
  </si>
  <si>
    <t>VN000D1SEMW1M  065</t>
  </si>
  <si>
    <t>VN000D1SEMW1012 - SK8-Hi Tapered CTHR GROLV, 6.5, Medium</t>
  </si>
  <si>
    <t>VN000D221NU1002</t>
  </si>
  <si>
    <t>VN000D221NU1M  050</t>
  </si>
  <si>
    <t>VN000D221NU1002 - Knu Skool CTHR MBRWN, 5, Medium</t>
  </si>
  <si>
    <t>VN000D22B9P1016</t>
  </si>
  <si>
    <t>VN000D22B9P1M  045</t>
  </si>
  <si>
    <t>VN000D22B9P1016 - Knu Skool COLO BLKPK, 4.5, Medium</t>
  </si>
  <si>
    <t>VN000D22B9P1004</t>
  </si>
  <si>
    <t>VN000D22B9P1M  050</t>
  </si>
  <si>
    <t>VN000D22B9P1004 - Knu Skool COLO BLKPK, 5, Medium</t>
  </si>
  <si>
    <t>VN000D22B9P1015</t>
  </si>
  <si>
    <t>VN000D22B9P1M  055</t>
  </si>
  <si>
    <t>VN000D22B9P1015 - Knu Skool COLO BLKPK, 5.5, Medium</t>
  </si>
  <si>
    <t>VN000D22B9P1014</t>
  </si>
  <si>
    <t>VN000D22B9P1M  065</t>
  </si>
  <si>
    <t>VN000D22B9P1014 - Knu Skool COLO BLKPK, 6.5, Medium</t>
  </si>
  <si>
    <t>VN000D22B9P1013</t>
  </si>
  <si>
    <t>VN000D22B9P1M  075</t>
  </si>
  <si>
    <t>VN000D22B9P1013 - Knu Skool COLO BLKPK, 7.5, Medium</t>
  </si>
  <si>
    <t>VN000D22BRD1014</t>
  </si>
  <si>
    <t>VN000D22BRD1M  085</t>
  </si>
  <si>
    <t>VN000D22BRD1014 - Knu Skool CTHR DRRED, 8.5, Medium</t>
  </si>
  <si>
    <t>VN000D22BRD1013</t>
  </si>
  <si>
    <t>VN000D22BRD1M  095</t>
  </si>
  <si>
    <t>VN000D22BRD1013 - Knu Skool CTHR DRRED, 9.5, Medium</t>
  </si>
  <si>
    <t>VN000D22BRD1003</t>
  </si>
  <si>
    <t>VN000D22BRD1M  100</t>
  </si>
  <si>
    <t>VN000D22BRD1003 - Knu Skool CTHR DRRED, 10, Medium</t>
  </si>
  <si>
    <t>VN000D22BRD1012</t>
  </si>
  <si>
    <t>VN000D22BRD1M  105</t>
  </si>
  <si>
    <t>VN000D22BRD1012 - Knu Skool CTHR DRRED, 10.5, Medium</t>
  </si>
  <si>
    <t>VN000D22BRD1002</t>
  </si>
  <si>
    <t>VN000D22BRD1M  110</t>
  </si>
  <si>
    <t>VN000D22BRD1002 - Knu Skool CTHR DRRED, 11, Medium</t>
  </si>
  <si>
    <t>VN000D22BRD1010</t>
  </si>
  <si>
    <t>VN000D22BRD1M  130</t>
  </si>
  <si>
    <t>VN000D22BRD1010 - Knu Skool CTHR DRRED, 13, Medium</t>
  </si>
  <si>
    <t>VN000D22BW21015</t>
  </si>
  <si>
    <t>Brown/Brown</t>
  </si>
  <si>
    <t>VN000D22BW21M  075</t>
  </si>
  <si>
    <t>VN000D22BW21015 - Knu Skool COLO MDBRN, 7.5, Medium</t>
  </si>
  <si>
    <t>VN000D22BZW1009</t>
  </si>
  <si>
    <t>VN000D22BZW1M  075</t>
  </si>
  <si>
    <t>VN000D22BZW1009 - Knu Skool CAMO BLKWH, 7.5, Medium</t>
  </si>
  <si>
    <t>VN000D22EMB1006</t>
  </si>
  <si>
    <t>VN000D22EMB1M  120</t>
  </si>
  <si>
    <t>VN000D22EMB1006 - Knu Skool PSDE AGDGR, 12, Medium</t>
  </si>
  <si>
    <t>VN000D22EMT1005</t>
  </si>
  <si>
    <t>VN000D22EMT1M  055</t>
  </si>
  <si>
    <t>VN000D22EMT1005 - Knu Skool PSDE DPTWL, 5.5, Medium</t>
  </si>
  <si>
    <t>VN000D22EMT1019</t>
  </si>
  <si>
    <t>VN000D22EMT1M  115</t>
  </si>
  <si>
    <t>VN000D22EMT1019 - Knu Skool PSDE DPTWL, 11.5, Medium</t>
  </si>
  <si>
    <t>VN000D22EMU1018</t>
  </si>
  <si>
    <t>VN000D22EMU1M  050</t>
  </si>
  <si>
    <t>VN000D22EMU1018 - Knu Skool PSDE DRKLP, 5, Medium</t>
  </si>
  <si>
    <t>VN000D22EMU1017</t>
  </si>
  <si>
    <t>VN000D22EMU1M  055</t>
  </si>
  <si>
    <t>VN000D22EMU1017 - Knu Skool PSDE DRKLP, 5.5, Medium</t>
  </si>
  <si>
    <t>VN000D22EMU1016</t>
  </si>
  <si>
    <t>VN000D22EMU1M  060</t>
  </si>
  <si>
    <t>VN000D22EMU1016 - Knu Skool PSDE DRKLP, 6, Medium</t>
  </si>
  <si>
    <t>VN000D22EMU1015</t>
  </si>
  <si>
    <t>VN000D22EMU1M  065</t>
  </si>
  <si>
    <t>VN000D22EMU1015 - Knu Skool PSDE DRKLP, 6.5, Medium</t>
  </si>
  <si>
    <t>VN000D22EMU1008</t>
  </si>
  <si>
    <t>VN000D22EMU1M  080</t>
  </si>
  <si>
    <t>VN000D22EMU1008 - Knu Skool PSDE DRKLP, 8, Medium</t>
  </si>
  <si>
    <t>VN000D22EMU1006</t>
  </si>
  <si>
    <t>VN000D22EMU1M  090</t>
  </si>
  <si>
    <t>VN000D22EMU1006 - Knu Skool PSDE DRKLP, 9, Medium</t>
  </si>
  <si>
    <t>VN000D22RV21019</t>
  </si>
  <si>
    <t>VN000D22RV21M  050</t>
  </si>
  <si>
    <t>VN000D22RV21019 - Knu Skool CTHR BLACK, 5, Medium</t>
  </si>
  <si>
    <t>VN000D22RV21005</t>
  </si>
  <si>
    <t>VN000D22RV21M  055</t>
  </si>
  <si>
    <t>VN000D22RV21005 - Knu Skool CTHR BLACK, 5.5, Medium</t>
  </si>
  <si>
    <t>VN000D22W001005</t>
  </si>
  <si>
    <t>VN000D22W001M  070</t>
  </si>
  <si>
    <t>VN000D22W001005 - Knu Skool True White, 7, Medium</t>
  </si>
  <si>
    <t>VN000D25OVM1006</t>
  </si>
  <si>
    <t>VN000D25OVM1M  085</t>
  </si>
  <si>
    <t>VN000D25OVM1006 - Upland SUED WHITE, 8.5, Medium</t>
  </si>
  <si>
    <t>VN000D25PWT1006</t>
  </si>
  <si>
    <t>VN000D25PWT1M  040</t>
  </si>
  <si>
    <t>VN000D25PWT1006 - Upland RFLC PEWTR, 4, Medium</t>
  </si>
  <si>
    <t>VN000D25PWT1015</t>
  </si>
  <si>
    <t>VN000D25PWT1M  080</t>
  </si>
  <si>
    <t>VN000D25PWT1015 - Upland RFLC PEWTR, 8, Medium</t>
  </si>
  <si>
    <t>VN000D26BR11006</t>
  </si>
  <si>
    <t>VN000D26BR11M  085</t>
  </si>
  <si>
    <t>VN000D26BR11006 - Hylane TRIT FAIRW, 8.5, Medium</t>
  </si>
  <si>
    <t>VN000D26DFN1006</t>
  </si>
  <si>
    <t>VN000D26DFN1M  035</t>
  </si>
  <si>
    <t>VN000D26DFN1006 - Hylane SUED BROWN, 3.5, Medium</t>
  </si>
  <si>
    <t>VN000D26GWT1015</t>
  </si>
  <si>
    <t>VN000D26GWT1M  055</t>
  </si>
  <si>
    <t>VN000D26GWT1015 - Hylane TONL MBRWN, 5.5, Medium</t>
  </si>
  <si>
    <t>VN000D26GWT1007</t>
  </si>
  <si>
    <t>VN000D26GWT1M  060</t>
  </si>
  <si>
    <t>VN000D26GWT1007 - Hylane TONL MBRWN, 6, Medium</t>
  </si>
  <si>
    <t>VN000D26GWT1014</t>
  </si>
  <si>
    <t>VN000D26GWT1M  065</t>
  </si>
  <si>
    <t>VN000D26GWT1014 - Hylane TONL MBRWN, 6.5, Medium</t>
  </si>
  <si>
    <t>VN000D26GWT1013</t>
  </si>
  <si>
    <t>VN000D26GWT1M  070</t>
  </si>
  <si>
    <t>VN000D26GWT1013 - Hylane TONL MBRWN, 7, Medium</t>
  </si>
  <si>
    <t>VN000D26GWT1019</t>
  </si>
  <si>
    <t>VN000D26GWT1M  115</t>
  </si>
  <si>
    <t>VN000D26GWT1019 - Hylane TONL MBRWN, 11.5, Medium</t>
  </si>
  <si>
    <t>VN000D26JDU1011</t>
  </si>
  <si>
    <t>VN000D26JDU1M  075</t>
  </si>
  <si>
    <t>VN000D26JDU1011 - Hylane TONL PRSNI, 7.5, Medium</t>
  </si>
  <si>
    <t>VN000D26JDU1010</t>
  </si>
  <si>
    <t>VN000D26JDU1M  080</t>
  </si>
  <si>
    <t>VN000D26JDU1010 - Hylane TONL PRSNI, 8, Medium</t>
  </si>
  <si>
    <t>VN000D26JDU1009</t>
  </si>
  <si>
    <t>VN000D26JDU1M  090</t>
  </si>
  <si>
    <t>VN000D26JDU1009 - Hylane TONL PRSNI, 9, Medium</t>
  </si>
  <si>
    <t>VN000D26JDU1008</t>
  </si>
  <si>
    <t>VN000D26JDU1M  095</t>
  </si>
  <si>
    <t>VN000D26JDU1008 - Hylane TONL PRSNI, 9.5, Medium</t>
  </si>
  <si>
    <t>VN000D26JDU1007</t>
  </si>
  <si>
    <t>VN000D26JDU1M  100</t>
  </si>
  <si>
    <t>VN000D26JDU1007 - Hylane TONL PRSNI, 10, Medium</t>
  </si>
  <si>
    <t>VN000D26JDU1006</t>
  </si>
  <si>
    <t>VN000D26JDU1M  105</t>
  </si>
  <si>
    <t>VN000D26JDU1006 - Hylane TONL PRSNI, 10.5, Medium</t>
  </si>
  <si>
    <t>VN000D26JDU1005</t>
  </si>
  <si>
    <t>VN000D26JDU1M  110</t>
  </si>
  <si>
    <t>VN000D26JDU1005 - Hylane TONL PRSNI, 11, Medium</t>
  </si>
  <si>
    <t>VN000D26JDU1004</t>
  </si>
  <si>
    <t>VN000D26JDU1M  115</t>
  </si>
  <si>
    <t>VN000D26JDU1004 - Hylane TONL PRSNI, 11.5, Medium</t>
  </si>
  <si>
    <t>VN000D26JDU1002</t>
  </si>
  <si>
    <t>VN000D26JDU1M  130</t>
  </si>
  <si>
    <t>VN000D26JDU1002 - Hylane TONL PRSNI, 13, Medium</t>
  </si>
  <si>
    <t>VN000D26KGR1006</t>
  </si>
  <si>
    <t>VN000D26KGR1M  060</t>
  </si>
  <si>
    <t>VN000D26KGR1006 - Hylane TRIT TRTKG, 6, Medium</t>
  </si>
  <si>
    <t>VN000D26NVY1018</t>
  </si>
  <si>
    <t>VN000D26NVY1M  045</t>
  </si>
  <si>
    <t>NINETIES</t>
  </si>
  <si>
    <t>VN000D26NVY1018 - Hylane NINE NAVY, 4.5, Medium</t>
  </si>
  <si>
    <t>VN000D26WGR1004</t>
  </si>
  <si>
    <t>VN000D26WGR1M  095</t>
  </si>
  <si>
    <t>VN000D26WGR1004 - Hylane VRST WHTGR, 9.5, Medium</t>
  </si>
  <si>
    <t>VN000D26Z5D1011</t>
  </si>
  <si>
    <t>VN000D26Z5D1M  120</t>
  </si>
  <si>
    <t>VN000D26Z5D1011 - Hylane VRST WHTBU, 12, Medium</t>
  </si>
  <si>
    <t>VN000D281OJ1019</t>
  </si>
  <si>
    <t>VN000D281OJ1M  035</t>
  </si>
  <si>
    <t>VN000D281OJ1019 - MTE Snow-Kicker GORE-TEX Bl, 3.5, Medium</t>
  </si>
  <si>
    <t>VN000D281OJ1013</t>
  </si>
  <si>
    <t>VN000D281OJ1M  065</t>
  </si>
  <si>
    <t>VN000D281OJ1013 - MTE Snow-Kicker GORE-TEX Bl, 6.5, Medium</t>
  </si>
  <si>
    <t>VN000D28B7G1006</t>
  </si>
  <si>
    <t>VN000D28B7G1M  100</t>
  </si>
  <si>
    <t>VN000D28B7G1006 - MTE Snow-Kicker GORE-TEX Bro, 10, Medium</t>
  </si>
  <si>
    <t>VN000D28EMF1019</t>
  </si>
  <si>
    <t>VN000D28EMF1M  035</t>
  </si>
  <si>
    <t>VN000D28EMF1019 - MTE Snow-Kicker GORE-TEX Ba, 3.5, Medium</t>
  </si>
  <si>
    <t>VN000D29EMV1018</t>
  </si>
  <si>
    <t>MTE Standard Mid Chelsea</t>
  </si>
  <si>
    <t>VN000D29EMV1M  040</t>
  </si>
  <si>
    <t>VN000D29EMV1018 - MTE Standard Mid Chelsea Fade, 4, Medium</t>
  </si>
  <si>
    <t>VN000D29EMW1018</t>
  </si>
  <si>
    <t>VN000D29EMW1M  035</t>
  </si>
  <si>
    <t>30TH ANNIVERSARY</t>
  </si>
  <si>
    <t>VN000D29EMW1018 - MTE Standard Mid Chelsea 30, 3.5, Medium</t>
  </si>
  <si>
    <t>6043 - VN WM BOOTS MID</t>
  </si>
  <si>
    <t>VN000D29EMW1001</t>
  </si>
  <si>
    <t>VN000D29EMW1M  130</t>
  </si>
  <si>
    <t>VN000D29EMW1001 - MTE Standard Mid Chelsea 30A, 13, Medium</t>
  </si>
  <si>
    <t>VN000D29F891002</t>
  </si>
  <si>
    <t>Oatmeal/Brown</t>
  </si>
  <si>
    <t>VN000D29F891M  035</t>
  </si>
  <si>
    <t>VN000D29F891002 - MTE Standard Mid Chelsea Oa, 3.5, Medium</t>
  </si>
  <si>
    <t>VN000D29F891005</t>
  </si>
  <si>
    <t>VN000D29F891M  080</t>
  </si>
  <si>
    <t>VN000D29F891005 - MTE Standard Mid Chelsea Oatm, 8, Medium</t>
  </si>
  <si>
    <t>VN000D29Y2B1009</t>
  </si>
  <si>
    <t>BEIGE/KHAKI</t>
  </si>
  <si>
    <t>VN000D29Y2B1M  050</t>
  </si>
  <si>
    <t>VN000D29Y2B1009 - MTE Standard Mid Chelsea BEIG, 5, Medium</t>
  </si>
  <si>
    <t>VN000D29Y2B1010</t>
  </si>
  <si>
    <t>VN000D29Y2B1M  055</t>
  </si>
  <si>
    <t>VN000D29Y2B1010 - MTE Standard Mid Chelsea BE, 5.5, Medium</t>
  </si>
  <si>
    <t>VN000D29Y2B1011</t>
  </si>
  <si>
    <t>VN000D29Y2B1M  060</t>
  </si>
  <si>
    <t>VN000D29Y2B1011 - MTE Standard Mid Chelsea BEIG, 6, Medium</t>
  </si>
  <si>
    <t>VN000D2A2LH1004</t>
  </si>
  <si>
    <t>Snow Lodge Slipper Mid</t>
  </si>
  <si>
    <t>OATMEAL/GUM</t>
  </si>
  <si>
    <t>VN000D2A2LH1M  130</t>
  </si>
  <si>
    <t>VN000D2A2LH1004 - Snow Lodge Slipper Mid OATME, 13, Medium</t>
  </si>
  <si>
    <t>VN000D2CBA21010</t>
  </si>
  <si>
    <t>MTE Standard Mid Waterpro</t>
  </si>
  <si>
    <t>VN000D2CBA21M  085</t>
  </si>
  <si>
    <t>VN000D2CBA21010 - MTE Standard Mid Waterpro B, 8.5, Medium</t>
  </si>
  <si>
    <t>VN000D2CBA21007</t>
  </si>
  <si>
    <t>VN000D2CBA21M  100</t>
  </si>
  <si>
    <t>VN000D2CBA21007 - MTE Standard Mid Waterpro BL, 10, Medium</t>
  </si>
  <si>
    <t>VN000D2CBA21006</t>
  </si>
  <si>
    <t>VN000D2CBA21M  105</t>
  </si>
  <si>
    <t>VN000D2CBA21006 - MTE Standard Mid Waterpro, 10.5, Medium</t>
  </si>
  <si>
    <t>VN000D2CBA21004</t>
  </si>
  <si>
    <t>VN000D2CBA21M  115</t>
  </si>
  <si>
    <t>VN000D2CBA21004 - MTE Standard Mid Waterpro, 11.5, Medium</t>
  </si>
  <si>
    <t>VN000D2CEMS1013</t>
  </si>
  <si>
    <t>VN000D2CEMS1M  065</t>
  </si>
  <si>
    <t>VN000D2CEMS1013 - MTE Standard Mid Waterpro D, 6.5, Medium</t>
  </si>
  <si>
    <t>VN000D2CEMS1011</t>
  </si>
  <si>
    <t>VN000D2CEMS1M  075</t>
  </si>
  <si>
    <t>VN000D2CEMS1011 - MTE Standard Mid Waterpro D, 7.5, Medium</t>
  </si>
  <si>
    <t>VN000D2DBA21019</t>
  </si>
  <si>
    <t>VN000D2DBA21M  035</t>
  </si>
  <si>
    <t>VN000D2DBA21019 - MTE Standard Waterproof BLA, 3.5, Medium</t>
  </si>
  <si>
    <t>VN000D2TY311004</t>
  </si>
  <si>
    <t>Grey/Blue</t>
  </si>
  <si>
    <t>VN000D2TY311M  050</t>
  </si>
  <si>
    <t>RETRO SPORT</t>
  </si>
  <si>
    <t>VN000D2TY311004 - Knu Skool RTSP DGYBU, 5, Medium</t>
  </si>
  <si>
    <t>VN000D2UBIY1008</t>
  </si>
  <si>
    <t>VN000D2UBIY1M  045</t>
  </si>
  <si>
    <t>VN000D2UBIY1008 - SK8-Hi Insulated PINK/MULTI, 4.5, Medium</t>
  </si>
  <si>
    <t>VN000D2VBLA1007</t>
  </si>
  <si>
    <t>VN000D2VBLA1M  045</t>
  </si>
  <si>
    <t>VN000D2VBLA1007 - Old Skool VNLG BLACK, 4.5, Medium</t>
  </si>
  <si>
    <t>VN000D2VBLA1005</t>
  </si>
  <si>
    <t>VN000D2VBLA1M  055</t>
  </si>
  <si>
    <t>VN000D2VBLA1005 - Old Skool VNLG BLACK, 5.5, Medium</t>
  </si>
  <si>
    <t>VN000D2VBLA1003</t>
  </si>
  <si>
    <t>VN000D2VBLA1M  065</t>
  </si>
  <si>
    <t>VN000D2VBLA1003 - Old Skool VNLG BLACK, 6.5, Medium</t>
  </si>
  <si>
    <t>VN000D2VO791004</t>
  </si>
  <si>
    <t>ASPHALT/BLACK</t>
  </si>
  <si>
    <t>VN000D2VO791M  045</t>
  </si>
  <si>
    <t>VN000D2VO791004 - Old Skool ASPHALT/BLACK, 4.5, Medium</t>
  </si>
  <si>
    <t>VN000D2YBKA1004</t>
  </si>
  <si>
    <t>VN000D2YBKA1M  055</t>
  </si>
  <si>
    <t>VN000D2YBKA1004 - SK8-Mid Reissue Black/Black, 5.5, Medium</t>
  </si>
  <si>
    <t>VN000D3212S1001</t>
  </si>
  <si>
    <t>VN000D3212S1M  035</t>
  </si>
  <si>
    <t>VN000D3212S1001 - SK8-Hi PGSU DBLUE, 3.5, Medium</t>
  </si>
  <si>
    <t>VN000D32WTM1013</t>
  </si>
  <si>
    <t>VN000D32WTM1M  035</t>
  </si>
  <si>
    <t>VN000D32WTM1013 - SK8-Hi VRST WHITE, 3.5, Medium</t>
  </si>
  <si>
    <t>VN000D3MJDU1009</t>
  </si>
  <si>
    <t>BMX Old Skool</t>
  </si>
  <si>
    <t>VN000D3MJDU1M  080</t>
  </si>
  <si>
    <t>VN000D3MJDU1009 - BMX Old Skool GUM PRSNI, 8, Medium</t>
  </si>
  <si>
    <t>VN000D3MJDU1008</t>
  </si>
  <si>
    <t>VN000D3MJDU1M  085</t>
  </si>
  <si>
    <t>VN000D3MJDU1008 - BMX Old Skool GUM PRSNI, 8.5, Medium</t>
  </si>
  <si>
    <t>VN000D3MJDU1014</t>
  </si>
  <si>
    <t>VN000D3MJDU1M  130</t>
  </si>
  <si>
    <t>VN000D3MJDU1014 - BMX Old Skool GUM PRSNI, 13, Medium</t>
  </si>
  <si>
    <t>VN000D3QEMP1012</t>
  </si>
  <si>
    <t>VN000D3QEMP1M  040</t>
  </si>
  <si>
    <t>VN000D3QEMP1012 - BMX Sk8-Hi Coal Brown, 4, Medium</t>
  </si>
  <si>
    <t>VN000D3QEMP1015</t>
  </si>
  <si>
    <t>VN000D3QEMP1M  045</t>
  </si>
  <si>
    <t>VN000D3QEMP1015 - BMX Sk8-Hi Coal Brown, 4.5, Medium</t>
  </si>
  <si>
    <t>VN000D3QEMP1018</t>
  </si>
  <si>
    <t>VN000D3QEMP1M  075</t>
  </si>
  <si>
    <t>VN000D3QEMP1018 - BMX Sk8-Hi Coal Brown, 7.5, Medium</t>
  </si>
  <si>
    <t>VN000D3QEMP1001</t>
  </si>
  <si>
    <t>VN000D3QEMP1M  110</t>
  </si>
  <si>
    <t>VN000D3QEMP1001 - BMX Sk8-Hi Coal Brown, 11, Medium</t>
  </si>
  <si>
    <t>VN000D3QEMP1004</t>
  </si>
  <si>
    <t>VN000D3QEMP1M  120</t>
  </si>
  <si>
    <t>VN000D3QEMP1004 - BMX Sk8-Hi Coal Brown, 12, Medium</t>
  </si>
  <si>
    <t>VN000D3SYB21005</t>
  </si>
  <si>
    <t>Skate Rowan 2</t>
  </si>
  <si>
    <t>VN000D3SYB21M  090</t>
  </si>
  <si>
    <t>VN000D3SYB21005 - Skate Rowan 2 White/Black, 9, Medium</t>
  </si>
  <si>
    <t>VN000D3SYB21013</t>
  </si>
  <si>
    <t>VN000D3SYB21M  095</t>
  </si>
  <si>
    <t>VN000D3SYB21013 - Skate Rowan 2 White/Black, 9.5, Medium</t>
  </si>
  <si>
    <t>VN000D45BZW1013</t>
  </si>
  <si>
    <t>VN000D45BZW1M  070</t>
  </si>
  <si>
    <t>VN000D45BZW1013 - Skate Estazzo GUM BLKWH, 7, Medium</t>
  </si>
  <si>
    <t>VN000D45EMY1012</t>
  </si>
  <si>
    <t>VN000D45EMY1M  085</t>
  </si>
  <si>
    <t>VN000D45EMY1012 - Skate Estazzo Lilac Mist, 8.5, Medium</t>
  </si>
  <si>
    <t>VN000D45EMY1011</t>
  </si>
  <si>
    <t>VN000D45EMY1M  090</t>
  </si>
  <si>
    <t>VN000D45EMY1011 - Skate Estazzo Lilac Mist, 9, Medium</t>
  </si>
  <si>
    <t>VN000D45EMY1005</t>
  </si>
  <si>
    <t>VN000D45EMY1M  095</t>
  </si>
  <si>
    <t>VN000D45EMY1005 - Skate Estazzo Lilac Mist, 9.5, Medium</t>
  </si>
  <si>
    <t>VN000D45EMY1004</t>
  </si>
  <si>
    <t>VN000D45EMY1M  105</t>
  </si>
  <si>
    <t>VN000D45EMY1004 - Skate Estazzo Lilac Mist, 10.5, Medium</t>
  </si>
  <si>
    <t>VN000D45EMY1009</t>
  </si>
  <si>
    <t>VN000D45EMY1M  110</t>
  </si>
  <si>
    <t>VN000D45EMY1009 - Skate Estazzo Lilac Mist, 11, Medium</t>
  </si>
  <si>
    <t>VN000D45EMY1003</t>
  </si>
  <si>
    <t>VN000D45EMY1M  115</t>
  </si>
  <si>
    <t>VN000D45EMY1003 - Skate Estazzo Lilac Mist, 11.5, Medium</t>
  </si>
  <si>
    <t>VN000D45NWH1005</t>
  </si>
  <si>
    <t>VN000D45NWH1M  085</t>
  </si>
  <si>
    <t>VN000D45NWH1005 - Skate Estazzo Brown/White, 8.5, Medium</t>
  </si>
  <si>
    <t>VN000D4M2391014</t>
  </si>
  <si>
    <t>VN000D4M2391M  045</t>
  </si>
  <si>
    <t>VN000D4M2391014 - Hylane V GRAY/BLACK, 4.5, Medium</t>
  </si>
  <si>
    <t>VN000D4MBZW1007</t>
  </si>
  <si>
    <t>VN000D4MBZW1M  040</t>
  </si>
  <si>
    <t>VN000D4MBZW1007 - Hylane V Black/White, 4, Medium</t>
  </si>
  <si>
    <t>VN000D4MBZW1006</t>
  </si>
  <si>
    <t>VN000D4MBZW1M  045</t>
  </si>
  <si>
    <t>VN000D4MBZW1006 - Hylane V Black/White, 4.5, Medium</t>
  </si>
  <si>
    <t>VN000D4MBZW1004</t>
  </si>
  <si>
    <t>VN000D4MBZW1M  055</t>
  </si>
  <si>
    <t>VN000D4MBZW1004 - Hylane V Black/White, 5.5, Medium</t>
  </si>
  <si>
    <t>VN000D4MKCZ1016</t>
  </si>
  <si>
    <t>VN000D4MKCZ1M  075</t>
  </si>
  <si>
    <t>VN000D4MKCZ1016 - Hylane V GRAPE LEAF, 7.5, Medium</t>
  </si>
  <si>
    <t>VN000D4MKCZ1001</t>
  </si>
  <si>
    <t>VN000D4MKCZ1M  095</t>
  </si>
  <si>
    <t>VN000D4MKCZ1001 - Hylane V GRAPE LEAF, 9.5, Medium</t>
  </si>
  <si>
    <t>VN000D4MNVY1013</t>
  </si>
  <si>
    <t>VN000D4MNVY1M  070</t>
  </si>
  <si>
    <t>VN000D4MNVY1013 - Hylane V SUED NAVY, 7, Medium</t>
  </si>
  <si>
    <t>VN000D4MY3K1010</t>
  </si>
  <si>
    <t>Pink/White</t>
  </si>
  <si>
    <t>VN000D4MY3K1M  070</t>
  </si>
  <si>
    <t>VN000D4MY3K1010 - Hylane V Pink/White, 7, Medium</t>
  </si>
  <si>
    <t>VN000D4MY6Z1007</t>
  </si>
  <si>
    <t>Blue/White</t>
  </si>
  <si>
    <t>VN000D4MY6Z1M  070</t>
  </si>
  <si>
    <t>VN000D4MY6Z1007 - Hylane V Blue/White, 7, Medium</t>
  </si>
  <si>
    <t>VN000D4N1411001</t>
  </si>
  <si>
    <t>Black/Mint</t>
  </si>
  <si>
    <t>VN000D4N1411M  010</t>
  </si>
  <si>
    <t>VN000D4N1411001 - Hylane POPS BLACK, 1, Medium</t>
  </si>
  <si>
    <t>VN000D4N1411006</t>
  </si>
  <si>
    <t>VN000D4N1411M  025</t>
  </si>
  <si>
    <t>VN000D4N1411006 - Hylane POPS BLACK, 2.5, Medium</t>
  </si>
  <si>
    <t>VN000D4N2081008</t>
  </si>
  <si>
    <t>VN000D4N2081M  130</t>
  </si>
  <si>
    <t>VN000D4N2081008 - Hylane POPS DKGRY, 13, Medium</t>
  </si>
  <si>
    <t>VN000D4N2B61009</t>
  </si>
  <si>
    <t>VN000D4N2B61M  010</t>
  </si>
  <si>
    <t>VN000D4N2B61009 - Hylane BLACK/DRIZZLE, 1, Medium</t>
  </si>
  <si>
    <t>VN000D4N2B61008</t>
  </si>
  <si>
    <t>VN000D4N2B61M  015</t>
  </si>
  <si>
    <t>VN000D4N2B61008 - Hylane BLACK/DRIZZLE, 1.5, Medium</t>
  </si>
  <si>
    <t>VN000D4N2B61006</t>
  </si>
  <si>
    <t>VN000D4N2B61M  025</t>
  </si>
  <si>
    <t>VN000D4N2B61006 - Hylane BLACK/DRIZZLE, 2.5, Medium</t>
  </si>
  <si>
    <t>VN000D4N2B61001</t>
  </si>
  <si>
    <t>VN000D4N2B61M  135</t>
  </si>
  <si>
    <t>VN000D4N2B61001 - Hylane BLACK/DRIZZLE, 13.5, Medium</t>
  </si>
  <si>
    <t>VN000D4NBZW1009</t>
  </si>
  <si>
    <t>VN000D4NBZW1M  015</t>
  </si>
  <si>
    <t>VN000D4NBZW1009 - Hylane Black/White, 1.5, Medium</t>
  </si>
  <si>
    <t>VN000D4NBZW1011</t>
  </si>
  <si>
    <t>VN000D4NBZW1M  020</t>
  </si>
  <si>
    <t>VN000D4NBZW1011 - Hylane Black/White, 2, Medium</t>
  </si>
  <si>
    <t>VN000D4NDJR1009</t>
  </si>
  <si>
    <t>VN000D4NDJR1M  105</t>
  </si>
  <si>
    <t>VN000D4NDJR1009 - Hylane 2TNE WHITE, 10.5, Medium</t>
  </si>
  <si>
    <t>VN000D4NDJR1012</t>
  </si>
  <si>
    <t>VN000D4NDJR1M  135</t>
  </si>
  <si>
    <t>VN000D4NDJR1012 - Hylane 2TNE WHITE, 13.5, Medium</t>
  </si>
  <si>
    <t>VN000D4NKCZ1003</t>
  </si>
  <si>
    <t>VN000D4NKCZ1M  030</t>
  </si>
  <si>
    <t>VN000D4NKCZ1003 - Hylane GRAPE LEAF, 3, Medium</t>
  </si>
  <si>
    <t>VN000D4NKCZ1007</t>
  </si>
  <si>
    <t>VN000D4NKCZ1M  130</t>
  </si>
  <si>
    <t>VN000D4NKCZ1007 - Hylane GRAPE LEAF, 13, Medium</t>
  </si>
  <si>
    <t>VN000D4SCFL1016</t>
  </si>
  <si>
    <t>VN000D4SCFL1M  080</t>
  </si>
  <si>
    <t>VN000D4SCFL1016 - Old Skool V Heart CITADEL, 8, Medium</t>
  </si>
  <si>
    <t>VN000D4SCFL1003</t>
  </si>
  <si>
    <t>VN000D4SCFL1M  100</t>
  </si>
  <si>
    <t>VN000D4SCFL1003 - Old Skool V Heart CITADEL, 10, Medium</t>
  </si>
  <si>
    <t>VN000D5D17P1015</t>
  </si>
  <si>
    <t>VN000D5D17P1M  130</t>
  </si>
  <si>
    <t>VN000D5D17P1015 - Skate 2 Wayvee Green/Gum, 13, Medium</t>
  </si>
  <si>
    <t>VN000D5DDUF1019</t>
  </si>
  <si>
    <t>VN000D5DDUF1M  035</t>
  </si>
  <si>
    <t>VN000D5DDUF1019 - Skate 2 Wayvee blanc de bla, 3.5, Medium</t>
  </si>
  <si>
    <t>VN000D5DDUF1003</t>
  </si>
  <si>
    <t>VN000D5DDUF1M  040</t>
  </si>
  <si>
    <t>VN000D5DDUF1003 - Skate 2 Wayvee blanc de blanc, 4, Medium</t>
  </si>
  <si>
    <t>VN000D5DDUF1002</t>
  </si>
  <si>
    <t>VN000D5DDUF1M  045</t>
  </si>
  <si>
    <t>VN000D5DDUF1002 - Skate 2 Wayvee blanc de bla, 4.5, Medium</t>
  </si>
  <si>
    <t>VN000D5IBKA1010</t>
  </si>
  <si>
    <t>VN000D5IBKA1M  080</t>
  </si>
  <si>
    <t>VN000D5IBKA1010 - SK8-Hi Black/Black, 8, Medium</t>
  </si>
  <si>
    <t>VN000D5IBKA1011</t>
  </si>
  <si>
    <t>VN000D5IBKA1M  085</t>
  </si>
  <si>
    <t>VN000D5IBKA1011 - SK8-Hi Black/Black, 8.5, Medium</t>
  </si>
  <si>
    <t>VN000D5IBKA1012</t>
  </si>
  <si>
    <t>VN000D5IBKA1M  090</t>
  </si>
  <si>
    <t>VN000D5IBKA1012 - SK8-Hi Black/Black, 9, Medium</t>
  </si>
  <si>
    <t>VN000D5IBKA1017</t>
  </si>
  <si>
    <t>VN000D5IBKA1M  115</t>
  </si>
  <si>
    <t>VN000D5IBKA1017 - SK8-Hi Black/Black, 11.5, Medium</t>
  </si>
  <si>
    <t>VN000D5PBMA1007</t>
  </si>
  <si>
    <t>VN000D5PBMA1M  065</t>
  </si>
  <si>
    <t>VN000D5PBMA1007 - Classic Slip-On MOCB BLACK, 6.5, Medium</t>
  </si>
  <si>
    <t>VN000D5PZCF1019</t>
  </si>
  <si>
    <t>VN000D5PZCF1M  035</t>
  </si>
  <si>
    <t>VN000D5PZCF1019 - Classic Slip-On CTHR CHBD M, 3.5, Medium</t>
  </si>
  <si>
    <t>VN000D5R11U1007</t>
  </si>
  <si>
    <t>VN000D5R11U1M  040</t>
  </si>
  <si>
    <t>VN000D5R11U1007 - Skate Old Skool 36 + Khaki/Bu, 4, Medium</t>
  </si>
  <si>
    <t>VN000D5R11U1006</t>
  </si>
  <si>
    <t>VN000D5R11U1M  045</t>
  </si>
  <si>
    <t>VN000D5R11U1006 - Skate Old Skool 36 + Khaki/, 4.5, Medium</t>
  </si>
  <si>
    <t>VN000D5R11U1005</t>
  </si>
  <si>
    <t>VN000D5R11U1M  050</t>
  </si>
  <si>
    <t>VN000D5R11U1005 - Skate Old Skool 36 + Khaki/Bu, 5, Medium</t>
  </si>
  <si>
    <t>VN000D5R11U1003</t>
  </si>
  <si>
    <t>VN000D5R11U1M  060</t>
  </si>
  <si>
    <t>VN000D5R11U1003 - Skate Old Skool 36 + Khaki/Bu, 6, Medium</t>
  </si>
  <si>
    <t>VN000D5R9DH1003</t>
  </si>
  <si>
    <t>VN000D5R9DH1M  040</t>
  </si>
  <si>
    <t>VN000D5R9DH1003 - Skate Old Skool 36 + White/Gu, 4, Medium</t>
  </si>
  <si>
    <t>VN000D5R9DH1002</t>
  </si>
  <si>
    <t>VN000D5R9DH1M  045</t>
  </si>
  <si>
    <t>VN000D5R9DH1002 - Skate Old Skool 36 + White/, 4.5, Medium</t>
  </si>
  <si>
    <t>VN000D5R9DH1009</t>
  </si>
  <si>
    <t>VN000D5R9DH1M  050</t>
  </si>
  <si>
    <t>VN000D5R9DH1009 - Skate Old Skool 36 + White/Gu, 5, Medium</t>
  </si>
  <si>
    <t>VN000D5R9DH1018</t>
  </si>
  <si>
    <t>VN000D5R9DH1M  055</t>
  </si>
  <si>
    <t>VN000D5R9DH1018 - Skate Old Skool 36 + White/, 5.5, Medium</t>
  </si>
  <si>
    <t>VN000D5RBRG1006</t>
  </si>
  <si>
    <t>VN000D5RBRG1M  105</t>
  </si>
  <si>
    <t>VN000D5RBRG1006 - Skate Old Skool 36 + GUM B, 10.5, Medium</t>
  </si>
  <si>
    <t>VN000D5RBRG1004</t>
  </si>
  <si>
    <t>VN000D5RBRG1M  115</t>
  </si>
  <si>
    <t>VN000D5RBRG1004 - Skate Old Skool 36 + GUM B, 11.5, Medium</t>
  </si>
  <si>
    <t>VN000D5RBRG1003</t>
  </si>
  <si>
    <t>VN000D5RBRG1M  120</t>
  </si>
  <si>
    <t>VN000D5RBRG1003 - Skate Old Skool 36 + GUM BRG, 12, Medium</t>
  </si>
  <si>
    <t>VN000D5RBRG1002</t>
  </si>
  <si>
    <t>VN000D5RBRG1M  130</t>
  </si>
  <si>
    <t>VN000D5RBRG1002 - Skate Old Skool 36 + GUM BRG, 13, Medium</t>
  </si>
  <si>
    <t>VN000D5RY521001</t>
  </si>
  <si>
    <t>VN000D5RY521M  130</t>
  </si>
  <si>
    <t>VN000D5RY521001 - Skate Old Skool 36 + Red/Whi, 13, Medium</t>
  </si>
  <si>
    <t>VN000D5VBH71019</t>
  </si>
  <si>
    <t>VN000D5VBH71M  035</t>
  </si>
  <si>
    <t>VN000D5VBH71019 - Crosspath XC LIGHT GRAY, 3.5, Medium</t>
  </si>
  <si>
    <t>VN000D5VBH71017</t>
  </si>
  <si>
    <t>VN000D5VBH71M  050</t>
  </si>
  <si>
    <t>VN000D5VBH71017 - Crosspath XC LIGHT GRAY, 5, Medium</t>
  </si>
  <si>
    <t>VN000D5VBH71007</t>
  </si>
  <si>
    <t>VN000D5VBH71M  065</t>
  </si>
  <si>
    <t>VN000D5VBH71007 - Crosspath XC LIGHT GRAY, 6.5, Medium</t>
  </si>
  <si>
    <t>VN000D5VDRB1003</t>
  </si>
  <si>
    <t>VN000D5VDRB1M  075</t>
  </si>
  <si>
    <t>VN000D5VDRB1003 - Crosspath XC Dark Brown, 7.5, Medium</t>
  </si>
  <si>
    <t>VN000D5VDRB1002</t>
  </si>
  <si>
    <t>VN000D5VDRB1M  080</t>
  </si>
  <si>
    <t>VN000D5VDRB1002 - Crosspath XC Dark Brown, 8, Medium</t>
  </si>
  <si>
    <t>VN000D5VDRK1018</t>
  </si>
  <si>
    <t>VN000D5VDRK1M  040</t>
  </si>
  <si>
    <t>VN000D5VDRK1018 - Crosspath XC Dark Green, 4, Medium</t>
  </si>
  <si>
    <t>VN000D5VDRK1017</t>
  </si>
  <si>
    <t>VN000D5VDRK1M  045</t>
  </si>
  <si>
    <t>VN000D5VDRK1017 - Crosspath XC Dark Green, 4.5, Medium</t>
  </si>
  <si>
    <t>VN000D5VDRK1003</t>
  </si>
  <si>
    <t>VN000D5VDRK1M  085</t>
  </si>
  <si>
    <t>VN000D5VDRK1003 - Crosspath XC Dark Green, 8.5, Medium</t>
  </si>
  <si>
    <t>VN000D5VZRY1017</t>
  </si>
  <si>
    <t>VN000D5VZRY1M  050</t>
  </si>
  <si>
    <t>VN000D5VZRY1017 - Crosspath XC MAUVEWOOD, 5, Medium</t>
  </si>
  <si>
    <t>VN000D5VZRY1016</t>
  </si>
  <si>
    <t>VN000D5VZRY1M  055</t>
  </si>
  <si>
    <t>VN000D5VZRY1016 - Crosspath XC MAUVEWOOD, 5.5, Medium</t>
  </si>
  <si>
    <t>VN000D5VZRY1014</t>
  </si>
  <si>
    <t>VN000D5VZRY1M  065</t>
  </si>
  <si>
    <t>VN000D5VZRY1014 - Crosspath XC MAUVEWOOD, 6.5, Medium</t>
  </si>
  <si>
    <t>VN000D609JC1008</t>
  </si>
  <si>
    <t>VN000D609JC1M  035</t>
  </si>
  <si>
    <t>VN000D609JC1008 - Ultrarange 2.0 RW Bungee Co, 3.5, Medium</t>
  </si>
  <si>
    <t>VN000D609JC1002</t>
  </si>
  <si>
    <t>VN000D609JC1M  080</t>
  </si>
  <si>
    <t>VN000D609JC1002 - Ultrarange 2.0 RW Bungee Cord, 8, Medium</t>
  </si>
  <si>
    <t>VN000D60BRO1012</t>
  </si>
  <si>
    <t>VN000D60BRO1M  040</t>
  </si>
  <si>
    <t>VN000D60BRO1012 - Ultrarange 2.0 RW Brown, 4, Medium</t>
  </si>
  <si>
    <t>VN000D60CRM1016</t>
  </si>
  <si>
    <t>VN000D60CRM1M  060</t>
  </si>
  <si>
    <t>VN000D60CRM1016 - Ultrarange 2.0 RW Cream, 6, Medium</t>
  </si>
  <si>
    <t>VN000D60EMW1010</t>
  </si>
  <si>
    <t>VN000D60EMW1M  045</t>
  </si>
  <si>
    <t>VN000D60EMW1010 - Ultrarange 2.0 RW Gray Oliv, 4.5, Medium</t>
  </si>
  <si>
    <t>VN000D60EMW1018</t>
  </si>
  <si>
    <t>VN000D60EMW1M  055</t>
  </si>
  <si>
    <t>VN000D60EMW1018 - Ultrarange 2.0 RW Gray Oliv, 5.5, Medium</t>
  </si>
  <si>
    <t>VN000D60EMW1007</t>
  </si>
  <si>
    <t>VN000D60EMW1M  080</t>
  </si>
  <si>
    <t>VN000D60EMW1007 - Ultrarange 2.0 RW Gray Olive, 8, Medium</t>
  </si>
  <si>
    <t>VN000D60JLN1004</t>
  </si>
  <si>
    <t>LIME CREAM</t>
  </si>
  <si>
    <t>VN000D60JLN1M  040</t>
  </si>
  <si>
    <t>VN000D60JLN1004 - Ultrarange 2.0 RW LIME CREAM, 4, Medium</t>
  </si>
  <si>
    <t>VN000D60JLN1017</t>
  </si>
  <si>
    <t>VN000D60JLN1M  050</t>
  </si>
  <si>
    <t>VN000D60JLN1017 - Ultrarange 2.0 RW LIME CREAM, 5, Medium</t>
  </si>
  <si>
    <t>VN000D60JLN1016</t>
  </si>
  <si>
    <t>VN000D60JLN1M  065</t>
  </si>
  <si>
    <t>VN000D60JLN1016 - Ultrarange 2.0 RW LIME CREA, 6.5, Medium</t>
  </si>
  <si>
    <t>VN000D60RV21018</t>
  </si>
  <si>
    <t>VN000D60RV21M  075</t>
  </si>
  <si>
    <t>VN000D60RV21018 - Ultrarange 2.0 RW STORMY WE, 7.5, Medium</t>
  </si>
  <si>
    <t>VN000D60RV21005</t>
  </si>
  <si>
    <t>VN000D60RV21M  095</t>
  </si>
  <si>
    <t>VN000D60RV21005 - Ultrarange 2.0 RW STORMY WE, 9.5, Medium</t>
  </si>
  <si>
    <t>VN000D60RV21015</t>
  </si>
  <si>
    <t>VN000D60RV21M  130</t>
  </si>
  <si>
    <t>VN000D60RV21015 - Ultrarange 2.0 RW STORMY WEA, 13, Medium</t>
  </si>
  <si>
    <t>VN000D61BA21011</t>
  </si>
  <si>
    <t>VN000D61BA21M  085</t>
  </si>
  <si>
    <t>VN000D61BA21011 - Ultrarange 2.0 SE BLACK/WHI, 8.5, Medium</t>
  </si>
  <si>
    <t>VN000D61EMP1012</t>
  </si>
  <si>
    <t>VN000D61EMP1M  120</t>
  </si>
  <si>
    <t>VN000D61EMP1012 - Ultrarange 2.0 SE RPST CLBRN, 12, Medium</t>
  </si>
  <si>
    <t>VN000D6CCI21013</t>
  </si>
  <si>
    <t>VN000D6CCI21M  085</t>
  </si>
  <si>
    <t>VN000D6CCI21013 - Knu Skool TRIT RAINF, 8.5, Medium</t>
  </si>
  <si>
    <t>VN000D6CCI21012</t>
  </si>
  <si>
    <t>VN000D6CCI21M  090</t>
  </si>
  <si>
    <t>VN000D6CCI21012 - Knu Skool TRIT RAINF, 9, Medium</t>
  </si>
  <si>
    <t>VN000D6CDFM1002</t>
  </si>
  <si>
    <t>VN000D6CDFM1M  085</t>
  </si>
  <si>
    <t>VN000D6CDFM1002 - Knu Skool SUED BROWN, 8.5, Medium</t>
  </si>
  <si>
    <t>VN000D6F2391018</t>
  </si>
  <si>
    <t>VN000D6F2391M  080</t>
  </si>
  <si>
    <t>VN000D6F2391018 - Upland VARS MDGRY, 8, Medium</t>
  </si>
  <si>
    <t>VN000D6F2391012</t>
  </si>
  <si>
    <t>VN000D6F2391M  085</t>
  </si>
  <si>
    <t>VN000D6F2391012 - Upland VARS MDGRY, 8.5, Medium</t>
  </si>
  <si>
    <t>VN000D6F2391007</t>
  </si>
  <si>
    <t>VN000D6F2391M  110</t>
  </si>
  <si>
    <t>VN000D6F2391007 - Upland VARS MDGRY, 11, Medium</t>
  </si>
  <si>
    <t>VN000D6FBF01004</t>
  </si>
  <si>
    <t>VN000D6FBF01M  090</t>
  </si>
  <si>
    <t>VN000D6FBF01004 - Upland TNLB MULTI, 9, Medium</t>
  </si>
  <si>
    <t>VN000D6FBF01003</t>
  </si>
  <si>
    <t>VN000D6FBF01M  095</t>
  </si>
  <si>
    <t>VN000D6FBF01003 - Upland TNLB MULTI, 9.5, Medium</t>
  </si>
  <si>
    <t>VN000D6FBF01002</t>
  </si>
  <si>
    <t>VN000D6FBF01M  100</t>
  </si>
  <si>
    <t>VN000D6FBF01002 - Upland TNLB MULTI, 10, Medium</t>
  </si>
  <si>
    <t>VN000D6FBF01001</t>
  </si>
  <si>
    <t>VN000D6FBF01M  105</t>
  </si>
  <si>
    <t>VN000D6FBF01001 - Upland TNLB MULTI, 10.5, Medium</t>
  </si>
  <si>
    <t>VN000D6FBF01011</t>
  </si>
  <si>
    <t>VN000D6FBF01M  110</t>
  </si>
  <si>
    <t>VN000D6FBF01011 - Upland TNLB MULTI, 11, Medium</t>
  </si>
  <si>
    <t>VN000D6FBF01012</t>
  </si>
  <si>
    <t>VN000D6FBF01M  115</t>
  </si>
  <si>
    <t>VN000D6FBF01012 - Upland TNLB MULTI, 11.5, Medium</t>
  </si>
  <si>
    <t>VN000D6FBF01013</t>
  </si>
  <si>
    <t>VN000D6FBF01M  120</t>
  </si>
  <si>
    <t>VN000D6FBF01013 - Upland TNLB MULTI, 12, Medium</t>
  </si>
  <si>
    <t>VN000D6FBGK1003</t>
  </si>
  <si>
    <t>VN000D6FBGK1M  045</t>
  </si>
  <si>
    <t>VN000D6FBGK1003 - Upland TNLB MULTI, 4.5, Medium</t>
  </si>
  <si>
    <t>VN000D6FBGK1013</t>
  </si>
  <si>
    <t>VN000D6FBGK1M  060</t>
  </si>
  <si>
    <t>VN000D6FBGK1013 - Upland TNLB MULTI, 6, Medium</t>
  </si>
  <si>
    <t>VN000D6FBGK1012</t>
  </si>
  <si>
    <t>VN000D6FBGK1M  065</t>
  </si>
  <si>
    <t>VN000D6FBGK1012 - Upland TNLB MULTI, 6.5, Medium</t>
  </si>
  <si>
    <t>VN000D6FBGK1011</t>
  </si>
  <si>
    <t>VN000D6FBGK1M  070</t>
  </si>
  <si>
    <t>VN000D6FBGK1011 - Upland TNLB MULTI, 7, Medium</t>
  </si>
  <si>
    <t>VN000D6FBGK1019</t>
  </si>
  <si>
    <t>VN000D6FBGK1M  075</t>
  </si>
  <si>
    <t>VN000D6FBGK1019 - Upland TNLB MULTI, 7.5, Medium</t>
  </si>
  <si>
    <t>VN000D6FBGK1018</t>
  </si>
  <si>
    <t>VN000D6FBGK1M  080</t>
  </si>
  <si>
    <t>VN000D6FBGK1018 - Upland TNLB MULTI, 8, Medium</t>
  </si>
  <si>
    <t>VN000D6FBGK1016</t>
  </si>
  <si>
    <t>VN000D6FBGK1M  090</t>
  </si>
  <si>
    <t>VN000D6FBGK1016 - Upland TNLB MULTI, 9, Medium</t>
  </si>
  <si>
    <t>VN000D6FBGK1014</t>
  </si>
  <si>
    <t>VN000D6FBGK1M  100</t>
  </si>
  <si>
    <t>VN000D6FBGK1014 - Upland TNLB MULTI, 10, Medium</t>
  </si>
  <si>
    <t>VN000D6FEME1018</t>
  </si>
  <si>
    <t>VN000D6FEME1M  040</t>
  </si>
  <si>
    <t>VN000D6FEME1018 - Upland CTST DGREN, 4, Medium</t>
  </si>
  <si>
    <t>VN000D6FEME1011</t>
  </si>
  <si>
    <t>VN000D6FEME1M  080</t>
  </si>
  <si>
    <t>VN000D6FEME1011 - Upland CTST DGREN, 8, Medium</t>
  </si>
  <si>
    <t>VN000D6FLKZ1014</t>
  </si>
  <si>
    <t>VN000D6FLKZ1M  075</t>
  </si>
  <si>
    <t>VN000D6FLKZ1014 - Upland SUED DBLUE, 7.5, Medium</t>
  </si>
  <si>
    <t>VN000D6FY491003</t>
  </si>
  <si>
    <t>VN000D6FY491M  085</t>
  </si>
  <si>
    <t>VN000D6FY491003 - Upland VARS MBWBL, 8.5, Medium</t>
  </si>
  <si>
    <t>VN000D6FY491010</t>
  </si>
  <si>
    <t>VN000D6FY491M  110</t>
  </si>
  <si>
    <t>VN000D6FY491010 - Upland VARS MBWBL, 11, Medium</t>
  </si>
  <si>
    <t>VN000D6FY7U1004</t>
  </si>
  <si>
    <t>VN000D6FY7U1M  040</t>
  </si>
  <si>
    <t>VN000D6FY7U1004 - Upland CTST AFDRK, 4, Medium</t>
  </si>
  <si>
    <t>VN000D6FY7U1002</t>
  </si>
  <si>
    <t>VN000D6FY7U1M  050</t>
  </si>
  <si>
    <t>VN000D6FY7U1002 - Upland CTST AFDRK, 5, Medium</t>
  </si>
  <si>
    <t>VN000D6FY7U1016</t>
  </si>
  <si>
    <t>VN000D6FY7U1M  095</t>
  </si>
  <si>
    <t>VN000D6FY7U1016 - Upland CTST AFDRK, 9.5, Medium</t>
  </si>
  <si>
    <t>VN000D6N24O1006</t>
  </si>
  <si>
    <t>VN000D6N24O1M  075</t>
  </si>
  <si>
    <t>VN000D6N24O1006 - Sport Low SPRT DKGRN, 7.5, Medium</t>
  </si>
  <si>
    <t>VN000D6N24O1015</t>
  </si>
  <si>
    <t>VN000D6N24O1M  080</t>
  </si>
  <si>
    <t>VN000D6N24O1015 - Sport Low SPRT DKGRN, 8, Medium</t>
  </si>
  <si>
    <t>VN000D6N24O1005</t>
  </si>
  <si>
    <t>VN000D6N24O1M  085</t>
  </si>
  <si>
    <t>VN000D6N24O1005 - Sport Low SPRT DKGRN, 8.5, Medium</t>
  </si>
  <si>
    <t>VN000D6N24O1014</t>
  </si>
  <si>
    <t>VN000D6N24O1M  090</t>
  </si>
  <si>
    <t>VN000D6N24O1014 - Sport Low SPRT DKGRN, 9, Medium</t>
  </si>
  <si>
    <t>VN000D6N24O1004</t>
  </si>
  <si>
    <t>VN000D6N24O1M  095</t>
  </si>
  <si>
    <t>VN000D6N24O1004 - Sport Low SPRT DKGRN, 9.5, Medium</t>
  </si>
  <si>
    <t>VN000D6N24O1012</t>
  </si>
  <si>
    <t>VN000D6N24O1M  110</t>
  </si>
  <si>
    <t>VN000D6N24O1012 - Sport Low SPRT DKGRN, 11, Medium</t>
  </si>
  <si>
    <t>VN000D6NBGK1011</t>
  </si>
  <si>
    <t>VN000D6NBGK1M  075</t>
  </si>
  <si>
    <t>VN000D6NBGK1011 - Sport Low SPPO MULTI, 7.5, Medium</t>
  </si>
  <si>
    <t>VN000D6NBGK1002</t>
  </si>
  <si>
    <t>VN000D6NBGK1M  080</t>
  </si>
  <si>
    <t>VN000D6NBGK1002 - Sport Low SPPO MULTI, 8, Medium</t>
  </si>
  <si>
    <t>VN000D6NBGK1001</t>
  </si>
  <si>
    <t>VN000D6NBGK1M  085</t>
  </si>
  <si>
    <t>VN000D6NBGK1001 - Sport Low SPPO MULTI, 8.5, Medium</t>
  </si>
  <si>
    <t>VN000D6NBGK1017</t>
  </si>
  <si>
    <t>VN000D6NBGK1M  090</t>
  </si>
  <si>
    <t>VN000D6NBGK1017 - Sport Low SPPO MULTI, 9, Medium</t>
  </si>
  <si>
    <t>VN000D6NBGK1016</t>
  </si>
  <si>
    <t>VN000D6NBGK1M  095</t>
  </si>
  <si>
    <t>VN000D6NBGK1016 - Sport Low SPPO MULTI, 9.5, Medium</t>
  </si>
  <si>
    <t>VN000D6NBGK1006</t>
  </si>
  <si>
    <t>VN000D6NBGK1M  110</t>
  </si>
  <si>
    <t>VN000D6NBGK1006 - Sport Low SPPO MULTI, 11, Medium</t>
  </si>
  <si>
    <t>VN000D6NBGK1005</t>
  </si>
  <si>
    <t>VN000D6NBGK1M  115</t>
  </si>
  <si>
    <t>VN000D6NBGK1005 - Sport Low SPPO MULTI, 11.5, Medium</t>
  </si>
  <si>
    <t>VN000D6NFTY1014</t>
  </si>
  <si>
    <t>SILVER LINING</t>
  </si>
  <si>
    <t>VN000D6NFTY1M  075</t>
  </si>
  <si>
    <t>VN000D6NFTY1014 - Sport Low PSDE SILVR, 7.5, Medium</t>
  </si>
  <si>
    <t>VN000D6S5SM1001</t>
  </si>
  <si>
    <t>khaki/gum</t>
  </si>
  <si>
    <t>VN000D6S5SM1M  055</t>
  </si>
  <si>
    <t>VN000D6S5SM1001 - Cruze 3.0 khaki/gum, 5.5, Medium</t>
  </si>
  <si>
    <t>VN000D6SBH71010</t>
  </si>
  <si>
    <t>VN000D6SBH71M  085</t>
  </si>
  <si>
    <t>GRADIENT</t>
  </si>
  <si>
    <t>VN000D6SBH71010 - Cruze 3.0 GRDT GRAY, 8.5, Medium</t>
  </si>
  <si>
    <t>VN000D6SBM81011</t>
  </si>
  <si>
    <t>VN000D6SBM81M  095</t>
  </si>
  <si>
    <t>VN000D6SBM81011 - Cruze 3.0 STIT BLACK, 9.5, Medium</t>
  </si>
  <si>
    <t>VN000D6SCJA1016</t>
  </si>
  <si>
    <t>VN000D6SCJA1M  110</t>
  </si>
  <si>
    <t>VN000D6SCJA1016 - Cruze 3.0 STIT WHITE, 11, Medium</t>
  </si>
  <si>
    <t>VN000D6SCJA1015</t>
  </si>
  <si>
    <t>VN000D6SCJA1M  115</t>
  </si>
  <si>
    <t>VN000D6SCJA1015 - Cruze 3.0 STIT WHITE, 11.5, Medium</t>
  </si>
  <si>
    <t>VN000D6SCJA1014</t>
  </si>
  <si>
    <t>VN000D6SCJA1M  120</t>
  </si>
  <si>
    <t>VN000D6SCJA1014 - Cruze 3.0 STIT WHITE, 12, Medium</t>
  </si>
  <si>
    <t>VN000D6SYW31007</t>
  </si>
  <si>
    <t>VN000D6SYW31M  095</t>
  </si>
  <si>
    <t>VN000D6SYW31007 - Cruze 3.0 Black/Red/White, 9.5, Medium</t>
  </si>
  <si>
    <t>VN000D6W11E1001</t>
  </si>
  <si>
    <t>VN000D6W11E1M  075</t>
  </si>
  <si>
    <t>VN000D6W11E1001 - Old Skool SUED DKPPL, 7.5, Medium</t>
  </si>
  <si>
    <t>VN000D6W2031019</t>
  </si>
  <si>
    <t>VN000D6W2031M  035</t>
  </si>
  <si>
    <t>VN000D6W2031019 - Old Skool MONO DGRBL, 3.5, Medium</t>
  </si>
  <si>
    <t>VN000D6W2031018</t>
  </si>
  <si>
    <t>VN000D6W2031M  040</t>
  </si>
  <si>
    <t>VN000D6W2031018 - Old Skool MONO DGRBL, 4, Medium</t>
  </si>
  <si>
    <t>VN000D6W2031011</t>
  </si>
  <si>
    <t>VN000D6W2031M  055</t>
  </si>
  <si>
    <t>VN000D6W2031011 - Old Skool MONO DGRBL, 5.5, Medium</t>
  </si>
  <si>
    <t>VN000D6W2031006</t>
  </si>
  <si>
    <t>VN000D6W2031M  080</t>
  </si>
  <si>
    <t>VN000D6W2031006 - Old Skool MONO DGRBL, 8, Medium</t>
  </si>
  <si>
    <t>VN000D6W2031017</t>
  </si>
  <si>
    <t>VN000D6W2031M  085</t>
  </si>
  <si>
    <t>VN000D6W2031017 - Old Skool MONO DGRBL, 8.5, Medium</t>
  </si>
  <si>
    <t>VN000D6W2031004</t>
  </si>
  <si>
    <t>VN000D6W2031M  105</t>
  </si>
  <si>
    <t>VN000D6W2031004 - Old Skool MONO DGRBL, 10.5, Medium</t>
  </si>
  <si>
    <t>VN000D6W2031014</t>
  </si>
  <si>
    <t>VN000D6W2031M  110</t>
  </si>
  <si>
    <t>VN000D6W2031014 - Old Skool MONO DGRBL, 11, Medium</t>
  </si>
  <si>
    <t>VN000D6W2031013</t>
  </si>
  <si>
    <t>VN000D6W2031M  120</t>
  </si>
  <si>
    <t>VN000D6W2031013 - Old Skool MONO DGRBL, 12, Medium</t>
  </si>
  <si>
    <t>VN000D6W7D61018</t>
  </si>
  <si>
    <t>VN000D6W7D61M  050</t>
  </si>
  <si>
    <t>VN000D6W7D61018 - Old Skool 2TNE MDBRN, 5, Medium</t>
  </si>
  <si>
    <t>VN000D6W7WM1010</t>
  </si>
  <si>
    <t>VN000D6W7WM1M  040</t>
  </si>
  <si>
    <t>VN000D6W7WM1010 - Old Skool SUED DBLUE, 4, Medium</t>
  </si>
  <si>
    <t>VN000D6WBOM1016</t>
  </si>
  <si>
    <t>MARSHMALLOW/GREEN</t>
  </si>
  <si>
    <t>VN000D6WBOM1M  050</t>
  </si>
  <si>
    <t>VN000D6WBOM1016 - Old Skool MARSHMALLOW/GRE, 5, Medium</t>
  </si>
  <si>
    <t>VN000D6WBOM1007</t>
  </si>
  <si>
    <t>VN000D6WBOM1M  060</t>
  </si>
  <si>
    <t>VN000D6WBOM1007 - Old Skool MARSHMALLOW/GRE, 6, Medium</t>
  </si>
  <si>
    <t>VN000D6WEMG1009</t>
  </si>
  <si>
    <t>VN000D6WEMG1M  050</t>
  </si>
  <si>
    <t>VN000D6WEMG1009 - Old Skool PSTL BLMST, 5, Medium</t>
  </si>
  <si>
    <t>VN000D6WEMG1008</t>
  </si>
  <si>
    <t>VN000D6WEMG1M  055</t>
  </si>
  <si>
    <t>VN000D6WEMG1008 - Old Skool PSTL BLMST, 5.5, Medium</t>
  </si>
  <si>
    <t>VN000D6WEMG1003</t>
  </si>
  <si>
    <t>VN000D6WEMG1M  095</t>
  </si>
  <si>
    <t>VN000D6WEMG1003 - Old Skool PSTL BLMST, 9.5, Medium</t>
  </si>
  <si>
    <t>VN000D6WEMW1007</t>
  </si>
  <si>
    <t>VN000D6WEMW1M  040</t>
  </si>
  <si>
    <t>VN000D6WEMW1007 - Old Skool CTHR GROLV, 4, Medium</t>
  </si>
  <si>
    <t>VN000D6WEMW1004</t>
  </si>
  <si>
    <t>VN000D6WEMW1M  055</t>
  </si>
  <si>
    <t>VN000D6WEMW1004 - Old Skool CTHR GROLV, 5.5, Medium</t>
  </si>
  <si>
    <t>VN000D6WEMW1019</t>
  </si>
  <si>
    <t>VN000D6WEMW1M  060</t>
  </si>
  <si>
    <t>VN000D6WEMW1019 - Old Skool CTHR GROLV, 6, Medium</t>
  </si>
  <si>
    <t>VN000D6WEMW1010</t>
  </si>
  <si>
    <t>VN000D6WEMW1M  070</t>
  </si>
  <si>
    <t>VN000D6WEMW1010 - Old Skool CTHR GROLV, 7, Medium</t>
  </si>
  <si>
    <t>VN000D6WEMW1003</t>
  </si>
  <si>
    <t>VN000D6WEMW1M  080</t>
  </si>
  <si>
    <t>VN000D6WEMW1003 - Old Skool CTHR GROLV, 8, Medium</t>
  </si>
  <si>
    <t>VN000D6WEMW1002</t>
  </si>
  <si>
    <t>VN000D6WEMW1M  085</t>
  </si>
  <si>
    <t>VN000D6WEMW1002 - Old Skool CTHR GROLV, 8.5, Medium</t>
  </si>
  <si>
    <t>VN000D6WEMW1016</t>
  </si>
  <si>
    <t>VN000D6WEMW1M  105</t>
  </si>
  <si>
    <t>VN000D6WEMW1016 - Old Skool CTHR GROLV, 10.5, Medium</t>
  </si>
  <si>
    <t>VN000D6WEMW1015</t>
  </si>
  <si>
    <t>VN000D6WEMW1M  110</t>
  </si>
  <si>
    <t>VN000D6WEMW1015 - Old Skool CTHR GROLV, 11, Medium</t>
  </si>
  <si>
    <t>VN000D6WWHT1007</t>
  </si>
  <si>
    <t>VN000D6WWHT1M  035</t>
  </si>
  <si>
    <t>VN000D6WWHT1007 - Old Skool White, 3.5, Medium</t>
  </si>
  <si>
    <t>VN000D6WY281016</t>
  </si>
  <si>
    <t>VN000D6WY281M  040</t>
  </si>
  <si>
    <t>VN000D6WY281016 - Old Skool Black/White, 4, Medium</t>
  </si>
  <si>
    <t>VN000D6WYY61016</t>
  </si>
  <si>
    <t>VN000D6WYY61M  050</t>
  </si>
  <si>
    <t>VN000D6WYY61016 - Old Skool Black/Leopard, 5, Medium</t>
  </si>
  <si>
    <t>VN000D6WYY61015</t>
  </si>
  <si>
    <t>VN000D6WYY61M  055</t>
  </si>
  <si>
    <t>VN000D6WYY61015 - Old Skool Black/Leopard, 5.5, Medium</t>
  </si>
  <si>
    <t>VN000D6WYY61017</t>
  </si>
  <si>
    <t>VN000D6WYY61M  095</t>
  </si>
  <si>
    <t>VN000D6WYY61017 - Old Skool Black/Leopard, 9.5, Medium</t>
  </si>
  <si>
    <t>VN000D6YE2T1018</t>
  </si>
  <si>
    <t>VN000D6YE2T1M  060</t>
  </si>
  <si>
    <t>VN000D6YE2T1018 - Classic Slip-On CTHR CHBD WLH, 6, Medium</t>
  </si>
  <si>
    <t>VN000D6YEMH1003</t>
  </si>
  <si>
    <t>VN000D6YEMH1M  050</t>
  </si>
  <si>
    <t>VN000D6YEMH1003 - Classic Slip-On PSDE BRNBT, 5, Medium</t>
  </si>
  <si>
    <t>VN000D6YEMH1013</t>
  </si>
  <si>
    <t>VN000D6YEMH1M  065</t>
  </si>
  <si>
    <t>VN000D6YEMH1013 - Classic Slip-On PSDE BRNBT, 6.5, Medium</t>
  </si>
  <si>
    <t>VN000D6YEMH1011</t>
  </si>
  <si>
    <t>VN000D6YEMH1M  075</t>
  </si>
  <si>
    <t>VN000D6YEMH1011 - Classic Slip-On PSDE BRNBT, 7.5, Medium</t>
  </si>
  <si>
    <t>VN000D6YEMW1001</t>
  </si>
  <si>
    <t>VN000D6YEMW1M  095</t>
  </si>
  <si>
    <t>VN000D6YEMW1001 - Classic Slip-On CTHR CHBD G, 9.5, Medium</t>
  </si>
  <si>
    <t>VN000D6YEMW1014</t>
  </si>
  <si>
    <t>VN000D6YEMW1M  110</t>
  </si>
  <si>
    <t>VN000D6YEMW1014 - Classic Slip-On CTHR CHBD GR, 11, Medium</t>
  </si>
  <si>
    <t>VN000D6YEMW1013</t>
  </si>
  <si>
    <t>VN000D6YEMW1M  115</t>
  </si>
  <si>
    <t>VN000D6YEMW1013 - Classic Slip-On CTHR CHBD, 11.5, Medium</t>
  </si>
  <si>
    <t>VN000D6YEMY1005</t>
  </si>
  <si>
    <t>VN000D6YEMY1M  055</t>
  </si>
  <si>
    <t>VN000D6YEMY1005 - Classic Slip-On PSTL LMIST, 5.5, Medium</t>
  </si>
  <si>
    <t>VN000D6YEMY1015</t>
  </si>
  <si>
    <t>VN000D6YEMY1M  075</t>
  </si>
  <si>
    <t>VN000D6YEMY1015 - Classic Slip-On PSTL LMIST, 7.5, Medium</t>
  </si>
  <si>
    <t>VN000D6YEZI1006</t>
  </si>
  <si>
    <t>VN000D6YEZI1M  085</t>
  </si>
  <si>
    <t>VN000D6YEZI1006 - Classic Slip-On Y2K DALB, 8.5, Medium</t>
  </si>
  <si>
    <t>VN000D6ZCHW1004</t>
  </si>
  <si>
    <t>CREME BRULE</t>
  </si>
  <si>
    <t>VN000D6ZCHW1M  040</t>
  </si>
  <si>
    <t>VN000D6ZCHW1004 - Knu Skool FTLC CREME, 4, Medium</t>
  </si>
  <si>
    <t>VN000D6ZEMP1014</t>
  </si>
  <si>
    <t>VN000D6ZEMP1M  065</t>
  </si>
  <si>
    <t>VN000D6ZEMP1014 - Knu Skool PSDE CLBRN, 6.5, Medium</t>
  </si>
  <si>
    <t>VN000D6ZEMP1003</t>
  </si>
  <si>
    <t>VN000D6ZEMP1M  080</t>
  </si>
  <si>
    <t>VN000D6ZEMP1003 - Knu Skool PSDE CLBRN, 8, Medium</t>
  </si>
  <si>
    <t>VN000D6ZEMP1012</t>
  </si>
  <si>
    <t>VN000D6ZEMP1M  090</t>
  </si>
  <si>
    <t>VN000D6ZEMP1012 - Knu Skool PSDE CLBRN, 9, Medium</t>
  </si>
  <si>
    <t>VN000D6ZEMP1011</t>
  </si>
  <si>
    <t>VN000D6ZEMP1M  095</t>
  </si>
  <si>
    <t>VN000D6ZEMP1011 - Knu Skool PSDE CLBRN, 9.5, Medium</t>
  </si>
  <si>
    <t>VN000D6ZEMT1015</t>
  </si>
  <si>
    <t>VN000D6ZEMT1M  045</t>
  </si>
  <si>
    <t>VN000D6ZEMT1015 - Knu Skool GUM DPTWL, 4.5, Medium</t>
  </si>
  <si>
    <t>VN000D6ZEMT1014</t>
  </si>
  <si>
    <t>VN000D6ZEMT1M  050</t>
  </si>
  <si>
    <t>VN000D6ZEMT1014 - Knu Skool GUM DPTWL, 5, Medium</t>
  </si>
  <si>
    <t>VN000D6ZEMT1013</t>
  </si>
  <si>
    <t>VN000D6ZEMT1M  055</t>
  </si>
  <si>
    <t>VN000D6ZEMT1013 - Knu Skool GUM DPTWL, 5.5, Medium</t>
  </si>
  <si>
    <t>VN000D6ZEMT1011</t>
  </si>
  <si>
    <t>VN000D6ZEMT1M  065</t>
  </si>
  <si>
    <t>VN000D6ZEMT1011 - Knu Skool GUM DPTWL, 6.5, Medium</t>
  </si>
  <si>
    <t>VN000D6ZEMT1019</t>
  </si>
  <si>
    <t>VN000D6ZEMT1M  070</t>
  </si>
  <si>
    <t>VN000D6ZEMT1019 - Knu Skool GUM DPTWL, 7, Medium</t>
  </si>
  <si>
    <t>VN000D6ZEMT1018</t>
  </si>
  <si>
    <t>VN000D6ZEMT1M  075</t>
  </si>
  <si>
    <t>VN000D6ZEMT1018 - Knu Skool GUM DPTWL, 7.5, Medium</t>
  </si>
  <si>
    <t>VN000D6ZEMW1017</t>
  </si>
  <si>
    <t>VN000D6ZEMW1M  050</t>
  </si>
  <si>
    <t>VN000D6ZEMW1017 - Knu Skool CTHR GROLV, 5, Medium</t>
  </si>
  <si>
    <t>VN000D6ZEMY1014</t>
  </si>
  <si>
    <t>VN000D6ZEMY1M  045</t>
  </si>
  <si>
    <t>VN000D6ZEMY1014 - Knu Skool 2TNE LMIST, 4.5, Medium</t>
  </si>
  <si>
    <t>VN000D6ZEMY1011</t>
  </si>
  <si>
    <t>VN000D6ZEMY1M  050</t>
  </si>
  <si>
    <t>VN000D6ZEMY1011 - Knu Skool 2TNE LMIST, 5, Medium</t>
  </si>
  <si>
    <t>VN000D6ZEMY1013</t>
  </si>
  <si>
    <t>VN000D6ZEMY1M  055</t>
  </si>
  <si>
    <t>VN000D6ZEMY1013 - Knu Skool 2TNE LMIST, 5.5, Medium</t>
  </si>
  <si>
    <t>VN000D6ZEMY1005</t>
  </si>
  <si>
    <t>VN000D6ZEMY1M  075</t>
  </si>
  <si>
    <t>VN000D6ZEMY1005 - Knu Skool 2TNE LMIST, 7.5, Medium</t>
  </si>
  <si>
    <t>VN000D6ZPNK1015</t>
  </si>
  <si>
    <t>VN000D6ZPNK1M  065</t>
  </si>
  <si>
    <t>VN000D6ZPNK1015 - Knu Skool NEON DPINK, 6.5, Medium</t>
  </si>
  <si>
    <t>VN000D6ZTTN1014</t>
  </si>
  <si>
    <t>VN000D6ZTTN1M  035</t>
  </si>
  <si>
    <t>VN000D6ZTTN1014 - Knu Skool PGSU PRGRY, 3.5, Medium</t>
  </si>
  <si>
    <t>VN000D6ZTTN1011</t>
  </si>
  <si>
    <t>VN000D6ZTTN1M  050</t>
  </si>
  <si>
    <t>VN000D6ZTTN1011 - Knu Skool PGSU PRGRY, 5, Medium</t>
  </si>
  <si>
    <t>VN000D6ZZ5D1011</t>
  </si>
  <si>
    <t>VN000D6ZZ5D1M  075</t>
  </si>
  <si>
    <t>VN000D6ZZ5D1011 - Knu Skool OSLC WHTBU, 7.5, Medium</t>
  </si>
  <si>
    <t>VN000D6ZZ5D1009</t>
  </si>
  <si>
    <t>VN000D6ZZ5D1M  085</t>
  </si>
  <si>
    <t>VN000D6ZZ5D1009 - Knu Skool OSLC WHTBU, 8.5, Medium</t>
  </si>
  <si>
    <t>VN000D7089F1013</t>
  </si>
  <si>
    <t>VN000D7089F1M  050</t>
  </si>
  <si>
    <t>VN000D7089F1013 - Upland BABY LTBGE, 5, Medium</t>
  </si>
  <si>
    <t>VN000D7089F1012</t>
  </si>
  <si>
    <t>VN000D7089F1M  105</t>
  </si>
  <si>
    <t>VN000D7089F1012 - Upland BABY LTBGE, 10.5, Medium</t>
  </si>
  <si>
    <t>VN000D7ABKA1015</t>
  </si>
  <si>
    <t>VN000D7ABKA1M  080</t>
  </si>
  <si>
    <t>VN000D7ABKA1015 - Upland Mule Black/Black, 8, Medium</t>
  </si>
  <si>
    <t>VN000D7G29B1010</t>
  </si>
  <si>
    <t>VN000D7G29B1M  060</t>
  </si>
  <si>
    <t>VN000D7G29B1010 - MTE La Costa Slide-On CAMO BL, 6, Medium</t>
  </si>
  <si>
    <t>VN000D7G29B1001</t>
  </si>
  <si>
    <t>VN000D7G29B1M  070</t>
  </si>
  <si>
    <t>VN000D7G29B1001 - MTE La Costa Slide-On CAMO BL, 7, Medium</t>
  </si>
  <si>
    <t>VN000D7G29B1002</t>
  </si>
  <si>
    <t>VN000D7G29B1M  080</t>
  </si>
  <si>
    <t>VN000D7G29B1002 - MTE La Costa Slide-On CAMO BL, 8, Medium</t>
  </si>
  <si>
    <t>VN000D7G29B1006</t>
  </si>
  <si>
    <t>VN000D7G29B1M  120</t>
  </si>
  <si>
    <t>VN000D7G29B1006 - MTE La Costa Slide-On CAMO B, 12, Medium</t>
  </si>
  <si>
    <t>VN000D7Z1NU1006</t>
  </si>
  <si>
    <t>VN000D7Z1NU1M  050</t>
  </si>
  <si>
    <t>VN000D7Z1NU1006 - Old Skool CTHR MBRWN, 5, Medium</t>
  </si>
  <si>
    <t>VN000D7Z6N01012</t>
  </si>
  <si>
    <t>VN000D7Z6N01M  080</t>
  </si>
  <si>
    <t>VN000D7Z6N01012 - Old Skool LEOPARD/PURPLE, 8, Medium</t>
  </si>
  <si>
    <t>VN000D7ZBTO1009</t>
  </si>
  <si>
    <t>VN000D7ZBTO1M  080</t>
  </si>
  <si>
    <t>VN000D7ZBTO1009 - Old Skool PSDE BRNTO, 8, Medium</t>
  </si>
  <si>
    <t>VN000D7ZBTO1005</t>
  </si>
  <si>
    <t>VN000D7ZBTO1M  090</t>
  </si>
  <si>
    <t>VN000D7ZBTO1005 - Old Skool PSDE BRNTO, 9, Medium</t>
  </si>
  <si>
    <t>VN000D7ZCHS1012</t>
  </si>
  <si>
    <t>Chestnut</t>
  </si>
  <si>
    <t>VN000D7ZCHS1M  115</t>
  </si>
  <si>
    <t>VN000D7ZCHS1012 - Old Skool Chestnut, 11.5, Medium</t>
  </si>
  <si>
    <t>VN000D7ZJDU1017</t>
  </si>
  <si>
    <t>VN000D7ZJDU1M  040</t>
  </si>
  <si>
    <t>VN000D7ZJDU1017 - Old Skool PARISIAN NIGHT, 4, Medium</t>
  </si>
  <si>
    <t>VN000D7ZM8I1006</t>
  </si>
  <si>
    <t>VN000D7ZM8I1M  080</t>
  </si>
  <si>
    <t>VN000D7ZM8I1006 - Old Skool BASI MGRGY, 8, Medium</t>
  </si>
  <si>
    <t>VN000D7ZM8I1002</t>
  </si>
  <si>
    <t>VN000D7ZM8I1M  100</t>
  </si>
  <si>
    <t>VN000D7ZM8I1002 - Old Skool BASI MGRGY, 10, Medium</t>
  </si>
  <si>
    <t>VN000D7ZM8I1001</t>
  </si>
  <si>
    <t>VN000D7ZM8I1M  105</t>
  </si>
  <si>
    <t>VN000D7ZM8I1001 - Old Skool BASI MGRGY, 10.5, Medium</t>
  </si>
  <si>
    <t>VN000D7ZM8I1015</t>
  </si>
  <si>
    <t>VN000D7ZM8I1M  120</t>
  </si>
  <si>
    <t>VN000D7ZM8I1015 - Old Skool BASI MGRGY, 12, Medium</t>
  </si>
  <si>
    <t>VN000D7ZM8I1014</t>
  </si>
  <si>
    <t>VN000D7ZM8I1M  130</t>
  </si>
  <si>
    <t>VN000D7ZM8I1014 - Old Skool BASI MGRGY, 13, Medium</t>
  </si>
  <si>
    <t>VN000D7ZNUT1018</t>
  </si>
  <si>
    <t>VN000D7ZNUT1M  040</t>
  </si>
  <si>
    <t>VN000D7ZNUT1018 - Old Skool CHBD NVWH, 4, Medium</t>
  </si>
  <si>
    <t>VN000D7ZY7U1011</t>
  </si>
  <si>
    <t>VN000D7ZY7U1M  065</t>
  </si>
  <si>
    <t>VN000D7ZY7U1011 - Old Skool PSDE AFDRK, 6.5, Medium</t>
  </si>
  <si>
    <t>VN000D7ZY7U1008</t>
  </si>
  <si>
    <t>VN000D7ZY7U1M  080</t>
  </si>
  <si>
    <t>VN000D7ZY7U1008 - Old Skool PSDE AFDRK, 8, Medium</t>
  </si>
  <si>
    <t>VN000D7ZY7U1001</t>
  </si>
  <si>
    <t>VN000D7ZY7U1M  120</t>
  </si>
  <si>
    <t>VN000D7ZY7U1001 - Old Skool PSDE AFDRK, 12, Medium</t>
  </si>
  <si>
    <t>VN000D7ZYJ71013</t>
  </si>
  <si>
    <t>VN000D7ZYJ71M  040</t>
  </si>
  <si>
    <t>VN000D7ZYJ71013 - Old Skool POP BLKGR, 4, Medium</t>
  </si>
  <si>
    <t>VN000D7ZYJ71016</t>
  </si>
  <si>
    <t>VN000D7ZYJ71M  080</t>
  </si>
  <si>
    <t>VN000D7ZYJ71016 - Old Skool POP BLKGR, 8, Medium</t>
  </si>
  <si>
    <t>VN000D80BF01011</t>
  </si>
  <si>
    <t>VN000D80BF01M  035</t>
  </si>
  <si>
    <t>VN000D80BF01011 - SK8-Hi THRI MULTI, 3.5, Medium</t>
  </si>
  <si>
    <t>VN000D80BF01003</t>
  </si>
  <si>
    <t>VN000D80BF01M  050</t>
  </si>
  <si>
    <t>VN000D80BF01003 - SK8-Hi THRI MULTI, 5, Medium</t>
  </si>
  <si>
    <t>VN000D80BF01004</t>
  </si>
  <si>
    <t>VN000D80BF01M  055</t>
  </si>
  <si>
    <t>VN000D80BF01004 - SK8-Hi THRI MULTI, 5.5, Medium</t>
  </si>
  <si>
    <t>VN000D831NU1009</t>
  </si>
  <si>
    <t>VN000D831NU1M  085</t>
  </si>
  <si>
    <t>VN000D831NU1009 - Super Lowpro Walnut, 8.5, Medium</t>
  </si>
  <si>
    <t>VN000D831NU1008</t>
  </si>
  <si>
    <t>VN000D831NU1M  090</t>
  </si>
  <si>
    <t>VN000D831NU1008 - Super Lowpro Walnut, 9, Medium</t>
  </si>
  <si>
    <t>VN000D831NU1007</t>
  </si>
  <si>
    <t>VN000D831NU1M  095</t>
  </si>
  <si>
    <t>VN000D831NU1007 - Super Lowpro Walnut, 9.5, Medium</t>
  </si>
  <si>
    <t>VN000D831NU1005</t>
  </si>
  <si>
    <t>VN000D831NU1M  105</t>
  </si>
  <si>
    <t>VN000D831NU1005 - Super Lowpro Walnut, 10.5, Medium</t>
  </si>
  <si>
    <t>VN000D83SQ71017</t>
  </si>
  <si>
    <t>VN000D83SQ71M  035</t>
  </si>
  <si>
    <t>VN000D83SQ71017 - Super Lowpro CORNSTALK, 3.5, Medium</t>
  </si>
  <si>
    <t>VN000D85EME1007</t>
  </si>
  <si>
    <t>VN000D85EME1M  090</t>
  </si>
  <si>
    <t>VN000D85EME1007 - Skate Curren Caples Emerald, 9, Medium</t>
  </si>
  <si>
    <t>VN000D85EME1019</t>
  </si>
  <si>
    <t>VN000D85EME1M  105</t>
  </si>
  <si>
    <t>VN000D85EME1019 - Skate Curren Caples Emeral, 10.5, Medium</t>
  </si>
  <si>
    <t>VN000D85JVY1006</t>
  </si>
  <si>
    <t>BLANC DE BLANC</t>
  </si>
  <si>
    <t>VN000D85JVY1M  035</t>
  </si>
  <si>
    <t>VN000D85JVY1006 - Skate Curren Caples BLANC D, 3.5, Medium</t>
  </si>
  <si>
    <t>VN000D88BF01019</t>
  </si>
  <si>
    <t>VN000D88BF01M  065</t>
  </si>
  <si>
    <t>VINTAGE SUEDE</t>
  </si>
  <si>
    <t>VN000D88BF01019 - Speed WS VTSU MULTI, 6.5, Medium</t>
  </si>
  <si>
    <t>VN000D88BF01018</t>
  </si>
  <si>
    <t>VN000D88BF01M  070</t>
  </si>
  <si>
    <t>VN000D88BF01018 - Speed WS VTSU MULTI, 7, Medium</t>
  </si>
  <si>
    <t>VN000D88BF01005</t>
  </si>
  <si>
    <t>VN000D88BF01M  105</t>
  </si>
  <si>
    <t>VN000D88BF01005 - Speed WS VTSU MULTI, 10.5, Medium</t>
  </si>
  <si>
    <t>VN000D88MCG1014</t>
  </si>
  <si>
    <t>VN000D88MCG1M  060</t>
  </si>
  <si>
    <t>VN000D88MCG1014 - Speed WS SUED BLACK, 6, Medium</t>
  </si>
  <si>
    <t>VN000D88WTM1009</t>
  </si>
  <si>
    <t>VN000D88WTM1M  085</t>
  </si>
  <si>
    <t>VN000D88WTM1009 - Speed WS VTSU WHITE, 8.5, Medium</t>
  </si>
  <si>
    <t>VN000D88WTM1005</t>
  </si>
  <si>
    <t>VN000D88WTM1M  100</t>
  </si>
  <si>
    <t>VN000D88WTM1005 - Speed WS VTSU WHITE, 10, Medium</t>
  </si>
  <si>
    <t>VN000D8NBKA1013</t>
  </si>
  <si>
    <t>VN000D8NBKA1M  075</t>
  </si>
  <si>
    <t>VN000D8NBKA1013 - Hylane BLST BLACK, 7.5, Medium</t>
  </si>
  <si>
    <t>VN000D8NBKA1008</t>
  </si>
  <si>
    <t>VN000D8NBKA1M  085</t>
  </si>
  <si>
    <t>VN000D8NBKA1008 - Hylane BLST BLACK, 8.5, Medium</t>
  </si>
  <si>
    <t>VN000D8NBKA1003</t>
  </si>
  <si>
    <t>VN000D8NBKA1M  115</t>
  </si>
  <si>
    <t>VN000D8NBKA1003 - Hylane BLST BLACK, 11.5, Medium</t>
  </si>
  <si>
    <t>VN000D8NBKA1001</t>
  </si>
  <si>
    <t>VN000D8NBKA1M  130</t>
  </si>
  <si>
    <t>VN000D8NBKA1001 - Hylane BLST BLACK, 13, Medium</t>
  </si>
  <si>
    <t>VN000D8NWWW1017</t>
  </si>
  <si>
    <t>VN000D8NWWW1M  045</t>
  </si>
  <si>
    <t>VN000D8NWWW1017 - Hylane BLST WHITE, 4.5, Medium</t>
  </si>
  <si>
    <t>VN000D8NWWW1016</t>
  </si>
  <si>
    <t>VN000D8NWWW1M  050</t>
  </si>
  <si>
    <t>VN000D8NWWW1016 - Hylane BLST WHITE, 5, Medium</t>
  </si>
  <si>
    <t>VN000D8NWWW1012</t>
  </si>
  <si>
    <t>VN000D8NWWW1M  070</t>
  </si>
  <si>
    <t>VN000D8NWWW1012 - Hylane BLST WHITE, 7, Medium</t>
  </si>
  <si>
    <t>VN000D8NWWW1011</t>
  </si>
  <si>
    <t>VN000D8NWWW1M  075</t>
  </si>
  <si>
    <t>VN000D8NWWW1011 - Hylane BLST WHITE, 7.5, Medium</t>
  </si>
  <si>
    <t>VN000D8NZ5D1010</t>
  </si>
  <si>
    <t>VN000D8NZ5D1M  080</t>
  </si>
  <si>
    <t>VN000D8NZ5D1010 - Hylane White/Blue, 8, Medium</t>
  </si>
  <si>
    <t>VN000D8WE2V1011</t>
  </si>
  <si>
    <t>VN000D8WE2V1M  130</t>
  </si>
  <si>
    <t>VN000D8WE2V1011 - SK8-Hi PSDE WRMTP, 13, Medium</t>
  </si>
  <si>
    <t>VN000D9ACJ71019</t>
  </si>
  <si>
    <t>VN000D9ACJ71M  040</t>
  </si>
  <si>
    <t>VN000D9ACJ71019 - Mary Jane Straps METL WHITE, 4, Medium</t>
  </si>
  <si>
    <t>VN000D9ACJ71017</t>
  </si>
  <si>
    <t>VN000D9ACJ71M  060</t>
  </si>
  <si>
    <t>VN000D9ACJ71017 - Mary Jane Straps METL WHITE, 6, Medium</t>
  </si>
  <si>
    <t>VN000D9Y0CS1016</t>
  </si>
  <si>
    <t>VN000D9Y0CS1M  050</t>
  </si>
  <si>
    <t>VN000D9Y0CS1016 - Old Skool GRAY/GUM, 5, Medium</t>
  </si>
  <si>
    <t>VN000D9YBGK1007</t>
  </si>
  <si>
    <t>VN000D9YBGK1M  040</t>
  </si>
  <si>
    <t>VN000D9YBGK1007 - Old Skool PSDE MULTI, 4, Medium</t>
  </si>
  <si>
    <t>VN000D9YBGK1006</t>
  </si>
  <si>
    <t>VN000D9YBGK1M  050</t>
  </si>
  <si>
    <t>VN000D9YBGK1006 - Old Skool PSDE MULTI, 5, Medium</t>
  </si>
  <si>
    <t>VN000D9YBGK1004</t>
  </si>
  <si>
    <t>VN000D9YBGK1M  080</t>
  </si>
  <si>
    <t>VN000D9YBGK1004 - Old Skool PSDE MULTI, 8, Medium</t>
  </si>
  <si>
    <t>VN000D9YBGK1010</t>
  </si>
  <si>
    <t>VN000D9YBGK1M  130</t>
  </si>
  <si>
    <t>VN000D9YBGK1010 - Old Skool PSDE MULTI, 13, Medium</t>
  </si>
  <si>
    <t>VN000D9YBGP1001</t>
  </si>
  <si>
    <t>VN000D9YBGP1M  040</t>
  </si>
  <si>
    <t>VN000D9YBGP1001 - Old Skool LIGHT BLUE/GUM, 4, Medium</t>
  </si>
  <si>
    <t>VN000D9YBGP1018</t>
  </si>
  <si>
    <t>VN000D9YBGP1M  080</t>
  </si>
  <si>
    <t>VN000D9YBGP1018 - Old Skool LIGHT BLUE/GUM, 8, Medium</t>
  </si>
  <si>
    <t>VN000D9YBKA1005</t>
  </si>
  <si>
    <t>VN000D9YBKA1M  065</t>
  </si>
  <si>
    <t>Crafted Stripe</t>
  </si>
  <si>
    <t>VN000D9YBKA1005 - Old Skool CRAF BLACK, 6.5, Medium</t>
  </si>
  <si>
    <t>VN000D9YBW21012</t>
  </si>
  <si>
    <t>VN000D9YBW21M  050</t>
  </si>
  <si>
    <t>VN000D9YBW21012 - Old Skool 2TNE MDBRN, 5, Medium</t>
  </si>
  <si>
    <t>VN000D9YBX91008</t>
  </si>
  <si>
    <t>VN000D9YBX91M  085</t>
  </si>
  <si>
    <t>VN000D9YBX91008 - Old Skool DENM NAVY, 8.5, Medium</t>
  </si>
  <si>
    <t>VN000D9YRV21015</t>
  </si>
  <si>
    <t>VN000D9YRV21M  040</t>
  </si>
  <si>
    <t>VN000D9YRV21015 - Old Skool CTHR BLACK, 4, Medium</t>
  </si>
  <si>
    <t>VN000D9YRV21014</t>
  </si>
  <si>
    <t>VN000D9YRV21M  045</t>
  </si>
  <si>
    <t>VN000D9YRV21014 - Old Skool CTHR BLACK, 4.5, Medium</t>
  </si>
  <si>
    <t>VN000D9YRV21013</t>
  </si>
  <si>
    <t>VN000D9YRV21M  050</t>
  </si>
  <si>
    <t>VN000D9YRV21013 - Old Skool CTHR BLACK, 5, Medium</t>
  </si>
  <si>
    <t>VN000D9YRV21018</t>
  </si>
  <si>
    <t>VN000D9YRV21M  055</t>
  </si>
  <si>
    <t>VN000D9YRV21018 - Old Skool CTHR BLACK, 5.5, Medium</t>
  </si>
  <si>
    <t>VN000D9YRV21016</t>
  </si>
  <si>
    <t>VN000D9YRV21M  065</t>
  </si>
  <si>
    <t>VN000D9YRV21016 - Old Skool CTHR BLACK, 6.5, Medium</t>
  </si>
  <si>
    <t>VN000D9YTUP1008</t>
  </si>
  <si>
    <t>VN000D9YTUP1M  060</t>
  </si>
  <si>
    <t>VN000D9YTUP1008 - Old Skool MONO DBEIG, 6, Medium</t>
  </si>
  <si>
    <t>VN000D9YTUP1010</t>
  </si>
  <si>
    <t>VN000D9YTUP1M  070</t>
  </si>
  <si>
    <t>VN000D9YTUP1010 - Old Skool MONO DBEIG, 7, Medium</t>
  </si>
  <si>
    <t>VN000D9YY9T1004</t>
  </si>
  <si>
    <t>Navy/Red</t>
  </si>
  <si>
    <t>VN000D9YY9T1M  065</t>
  </si>
  <si>
    <t>VN000D9YY9T1004 - Old Skool 2TNE NVRD, 6.5, Medium</t>
  </si>
  <si>
    <t>VN000D9YYY01012</t>
  </si>
  <si>
    <t>VN000D9YYY01M  035</t>
  </si>
  <si>
    <t>VN000D9YYY01012 - Old Skool 2TNE NVYL, 3.5, Medium</t>
  </si>
  <si>
    <t>VN000D9YYY01019</t>
  </si>
  <si>
    <t>VN000D9YYY01M  060</t>
  </si>
  <si>
    <t>VN000D9YYY01019 - Old Skool 2TNE NVYL, 6, Medium</t>
  </si>
  <si>
    <t>VN000D9ZKOU1017</t>
  </si>
  <si>
    <t>VN000D9ZKOU1M  070</t>
  </si>
  <si>
    <t>VN000D9ZKOU1017 - Skate Half Cab Wafflecup BLAC, 7, Medium</t>
  </si>
  <si>
    <t>VN000D9ZKOU1006</t>
  </si>
  <si>
    <t>VN000D9ZKOU1M  075</t>
  </si>
  <si>
    <t>VN000D9ZKOU1006 - Skate Half Cab Wafflecup BL, 7.5, Medium</t>
  </si>
  <si>
    <t>VN000D9ZKOU1007</t>
  </si>
  <si>
    <t>VN000D9ZKOU1M  085</t>
  </si>
  <si>
    <t>VN000D9ZKOU1007 - Skate Half Cab Wafflecup BL, 8.5, Medium</t>
  </si>
  <si>
    <t>VN000D9ZKOU1008</t>
  </si>
  <si>
    <t>VN000D9ZKOU1M  095</t>
  </si>
  <si>
    <t>VN000D9ZKOU1008 - Skate Half Cab Wafflecup BL, 9.5, Medium</t>
  </si>
  <si>
    <t>VN000D9ZY271013</t>
  </si>
  <si>
    <t>Navy/Grey</t>
  </si>
  <si>
    <t>VN000D9ZY271M  055</t>
  </si>
  <si>
    <t>VN000D9ZY271013 - Skate Half Cab Wafflecup Na, 5.5, Medium</t>
  </si>
  <si>
    <t>VN000D9ZY271019</t>
  </si>
  <si>
    <t>VN000D9ZY271M  065</t>
  </si>
  <si>
    <t>VN000D9ZY271019 - Skate Half Cab Wafflecup Na, 6.5, Medium</t>
  </si>
  <si>
    <t>VN000D9ZY271001</t>
  </si>
  <si>
    <t>VN000D9ZY271M  090</t>
  </si>
  <si>
    <t>VN000D9ZY271001 - Skate Half Cab Wafflecup Navy, 9, Medium</t>
  </si>
  <si>
    <t>VN000D9ZYB21004</t>
  </si>
  <si>
    <t>VN000D9ZYB21M  040</t>
  </si>
  <si>
    <t>VN000D9ZYB21004 - Skate Half Cab Wafflecup Whit, 4, Medium</t>
  </si>
  <si>
    <t>VN000D9ZYB21018</t>
  </si>
  <si>
    <t>VN000D9ZYB21M  065</t>
  </si>
  <si>
    <t>VN000D9ZYB21018 - Skate Half Cab Wafflecup Wh, 6.5, Medium</t>
  </si>
  <si>
    <t>VN000D9ZYB21016</t>
  </si>
  <si>
    <t>VN000D9ZYB21M  075</t>
  </si>
  <si>
    <t>VN000D9ZYB21016 - Skate Half Cab Wafflecup Wh, 7.5, Medium</t>
  </si>
  <si>
    <t>VN000DA18DX1005</t>
  </si>
  <si>
    <t>VN000DA18DX1M  035</t>
  </si>
  <si>
    <t>VN000DA18DX1005 - Skate AVE 2.0 FADE DBLUE, 3.5, Medium</t>
  </si>
  <si>
    <t>VN000DA18DX1015</t>
  </si>
  <si>
    <t>VN000DA18DX1M  045</t>
  </si>
  <si>
    <t>VN000DA18DX1015 - Skate AVE 2.0 FADE DBLUE, 4.5, Medium</t>
  </si>
  <si>
    <t>VN000DA18DX1009</t>
  </si>
  <si>
    <t>VN000DA18DX1M  050</t>
  </si>
  <si>
    <t>VN000DA18DX1009 - Skate AVE 2.0 FADE DBLUE, 5, Medium</t>
  </si>
  <si>
    <t>VN000DA18DX1007</t>
  </si>
  <si>
    <t>VN000DA18DX1M  060</t>
  </si>
  <si>
    <t>VN000DA18DX1007 - Skate AVE 2.0 FADE DBLUE, 6, Medium</t>
  </si>
  <si>
    <t>VN000DA18DX1019</t>
  </si>
  <si>
    <t>VN000DA18DX1M  070</t>
  </si>
  <si>
    <t>VN000DA18DX1019 - Skate AVE 2.0 FADE DBLUE, 7, Medium</t>
  </si>
  <si>
    <t>VN000DA18DX1002</t>
  </si>
  <si>
    <t>VN000DA18DX1M  120</t>
  </si>
  <si>
    <t>VN000DA18DX1002 - Skate AVE 2.0 FADE DBLUE, 12, Medium</t>
  </si>
  <si>
    <t>VN000DA1B5T1017</t>
  </si>
  <si>
    <t>VN000DA1B5T1M  050</t>
  </si>
  <si>
    <t>VN000DA1B5T1017 - Skate AVE 2.0 Black/Metallic, 5, Medium</t>
  </si>
  <si>
    <t>VN000DA1B5T1010</t>
  </si>
  <si>
    <t>VN000DA1B5T1M  065</t>
  </si>
  <si>
    <t>VN000DA1B5T1010 - Skate AVE 2.0 Black/Metalli, 6.5, Medium</t>
  </si>
  <si>
    <t>VN000DA1B5T1009</t>
  </si>
  <si>
    <t>VN000DA1B5T1M  070</t>
  </si>
  <si>
    <t>VN000DA1B5T1009 - Skate AVE 2.0 Black/Metallic, 7, Medium</t>
  </si>
  <si>
    <t>VN000DA1B5T1019</t>
  </si>
  <si>
    <t>VN000DA1B5T1M  080</t>
  </si>
  <si>
    <t>VN000DA1B5T1019 - Skate AVE 2.0 Black/Metallic, 8, Medium</t>
  </si>
  <si>
    <t>VN000DA1Z341018</t>
  </si>
  <si>
    <t>VN000DA1Z341M  040</t>
  </si>
  <si>
    <t>VN000DA1Z341018 - Skate AVE 2.0 FADE WHTOR, 4, Medium</t>
  </si>
  <si>
    <t>VN000DA1Z341016</t>
  </si>
  <si>
    <t>VN000DA1Z341M  050</t>
  </si>
  <si>
    <t>VN000DA1Z341016 - Skate AVE 2.0 FADE WHTOR, 5, Medium</t>
  </si>
  <si>
    <t>VN000DA1Z341007</t>
  </si>
  <si>
    <t>VN000DA1Z341M  065</t>
  </si>
  <si>
    <t>VN000DA1Z341007 - Skate AVE 2.0 FADE WHTOR, 6.5, Medium</t>
  </si>
  <si>
    <t>VN000DA24GO1010</t>
  </si>
  <si>
    <t>PINK/GREEN</t>
  </si>
  <si>
    <t>VN000DA24GO1M  065</t>
  </si>
  <si>
    <t>VN000DA24GO1010 - Skate Rowley NEON PINK/, 6.5, Medium</t>
  </si>
  <si>
    <t>VN000DA2B9M1010</t>
  </si>
  <si>
    <t>VN000DA2B9M1M  070</t>
  </si>
  <si>
    <t>VN000DA2B9M1010 - Skate Rowley FADE BLACK, 7, Medium</t>
  </si>
  <si>
    <t>VN000DA2B9M1016</t>
  </si>
  <si>
    <t>VN000DA2B9M1M  085</t>
  </si>
  <si>
    <t>VN000DA2B9M1016 - Skate Rowley FADE BLACK, 8.5, Medium</t>
  </si>
  <si>
    <t>VN000DA2B9M1001</t>
  </si>
  <si>
    <t>VN000DA2B9M1M  130</t>
  </si>
  <si>
    <t>VN000DA2B9M1001 - Skate Rowley FADE BLACK, 13, Medium</t>
  </si>
  <si>
    <t>VN000DA4D7U1002</t>
  </si>
  <si>
    <t>VN000DA4D7U1M  040</t>
  </si>
  <si>
    <t>VN000DA4D7U1002 - Skate Kyle Walker Wafflec WHI, 4, Medium</t>
  </si>
  <si>
    <t>VN000DAH14A1016</t>
  </si>
  <si>
    <t>VN000DAH14A1M  130</t>
  </si>
  <si>
    <t>VN000DAH14A1016 - Classic Slip-On CHBD DRRED, 13, Medium</t>
  </si>
  <si>
    <t>VN000DAH7UG1016</t>
  </si>
  <si>
    <t>VN000DAH7UG1M  085</t>
  </si>
  <si>
    <t>VN000DAH7UG1016 - Classic Slip-On VNCH MBRWN, 8.5, Medium</t>
  </si>
  <si>
    <t>VN000DAH7UG1015</t>
  </si>
  <si>
    <t>VN000DAH7UG1M  090</t>
  </si>
  <si>
    <t>VN000DAH7UG1015 - Classic Slip-On VNCH MBRWN, 9, Medium</t>
  </si>
  <si>
    <t>VN000DAH7UG1014</t>
  </si>
  <si>
    <t>VN000DAH7UG1M  095</t>
  </si>
  <si>
    <t>VN000DAH7UG1014 - Classic Slip-On VNCH MBRWN, 9.5, Medium</t>
  </si>
  <si>
    <t>VN000DAH7UG1005</t>
  </si>
  <si>
    <t>VN000DAH7UG1M  105</t>
  </si>
  <si>
    <t>VN000DAH7UG1005 - Classic Slip-On VNCH MBRWN, 10.5, Medium</t>
  </si>
  <si>
    <t>VN000DAH7UG1003</t>
  </si>
  <si>
    <t>VN000DAH7UG1M  115</t>
  </si>
  <si>
    <t>VN000DAH7UG1003 - Classic Slip-On VNCH MBRWN, 11.5, Medium</t>
  </si>
  <si>
    <t>VN000DAH7UG1011</t>
  </si>
  <si>
    <t>VN000DAH7UG1M  120</t>
  </si>
  <si>
    <t>VN000DAH7UG1011 - Classic Slip-On VNCH MBRWN, 12, Medium</t>
  </si>
  <si>
    <t>VN000DAH7WM1019</t>
  </si>
  <si>
    <t>VN000DAH7WM1M  035</t>
  </si>
  <si>
    <t>VN000DAH7WM1019 - Classic Slip-On CHBD DBLUE, 3.5, Medium</t>
  </si>
  <si>
    <t>VN000DAHRV21016</t>
  </si>
  <si>
    <t>VN000DAHRV21M  095</t>
  </si>
  <si>
    <t>VN000DAHRV21016 - Classic Slip-On CTHR CHBD B, 9.5, Medium</t>
  </si>
  <si>
    <t>VN000DAHY401003</t>
  </si>
  <si>
    <t>VN000DAHY401M  115</t>
  </si>
  <si>
    <t>VN000DAHY401003 - Classic Slip-On THRI NAVY, 11.5, Medium</t>
  </si>
  <si>
    <t>VN000DAJBGK1013</t>
  </si>
  <si>
    <t>VN000DAJBGK1M  065</t>
  </si>
  <si>
    <t>VN000DAJBGK1013 - Knu Skool GREEN/MULTI, 6.5, Medium</t>
  </si>
  <si>
    <t>VN000DAJKL41007</t>
  </si>
  <si>
    <t>VN000DAJKL41M  130</t>
  </si>
  <si>
    <t>VN000DAJKL41007 - Knu Skool PNHR BLACK, 13, Medium</t>
  </si>
  <si>
    <t>VN000DAJPWT1013</t>
  </si>
  <si>
    <t>VN000DAJPWT1M  060</t>
  </si>
  <si>
    <t>VN000DAJPWT1013 - Knu Skool SUED PEWTR, 6, Medium</t>
  </si>
  <si>
    <t>VN000DAJPWT1003</t>
  </si>
  <si>
    <t>VN000DAJPWT1M  105</t>
  </si>
  <si>
    <t>VN000DAJPWT1003 - Knu Skool SUED PEWTR, 10.5, Medium</t>
  </si>
  <si>
    <t>VN000DAJYJ71006</t>
  </si>
  <si>
    <t>VN000DAJYJ71M  085</t>
  </si>
  <si>
    <t>VN000DAJYJ71006 - Knu Skool POP BLKGR, 8.5, Medium</t>
  </si>
  <si>
    <t>VN000DAJYJ71005</t>
  </si>
  <si>
    <t>VN000DAJYJ71M  090</t>
  </si>
  <si>
    <t>VN000DAJYJ71005 - Knu Skool POP BLKGR, 9, Medium</t>
  </si>
  <si>
    <t>VN000DAJYJ71014</t>
  </si>
  <si>
    <t>VN000DAJYJ71M  110</t>
  </si>
  <si>
    <t>VN000DAJYJ71014 - Knu Skool POP BLKGR, 11, Medium</t>
  </si>
  <si>
    <t>VN000DAMLM31003</t>
  </si>
  <si>
    <t>VN000DAMLM31M  055</t>
  </si>
  <si>
    <t>VN000DAMLM31003 - Crosspath XC GORE-TEX MTE h, 5.5, Medium</t>
  </si>
  <si>
    <t>VN000DAMLM31010</t>
  </si>
  <si>
    <t>VN000DAMLM31M  130</t>
  </si>
  <si>
    <t>VN000DAMLM31010 - Crosspath XC GORE-TEX MTE ho, 13, Medium</t>
  </si>
  <si>
    <t>VN000DAMRMO1015</t>
  </si>
  <si>
    <t>VN000DAMRMO1M  055</t>
  </si>
  <si>
    <t>VN000DAMRMO1015 - Crosspath XC GORE-TEX MTE B, 5.5, Medium</t>
  </si>
  <si>
    <t>VN000DAMRMO1011</t>
  </si>
  <si>
    <t>VN000DAMRMO1M  090</t>
  </si>
  <si>
    <t>VN000DAMRMO1011 - Crosspath XC GORE-TEX MTE BLA, 9, Medium</t>
  </si>
  <si>
    <t>VN000DAMRMO1017</t>
  </si>
  <si>
    <t>VN000DAMRMO1M  120</t>
  </si>
  <si>
    <t>VN000DAMRMO1017 - Crosspath XC GORE-TEX MTE BL, 12, Medium</t>
  </si>
  <si>
    <t>VN000DAQ02Y1006</t>
  </si>
  <si>
    <t>VN000DAQ02Y1M  075</t>
  </si>
  <si>
    <t>VN000DAQ02Y1006 - Sk8-Hi Waterproof Insulat P, 7.5, Medium</t>
  </si>
  <si>
    <t>VN000DAQ1MG1019</t>
  </si>
  <si>
    <t>VN000DAQ1MG1M  045</t>
  </si>
  <si>
    <t>VN000DAQ1MG1019 - Sk8-Hi Waterproof Insulat G, 4.5, Medium</t>
  </si>
  <si>
    <t>VN000DAQ2391017</t>
  </si>
  <si>
    <t>VN000DAQ2391M  060</t>
  </si>
  <si>
    <t>VN000DAQ2391017 - Sk8-Hi Waterproof Insulat GRA, 6, Medium</t>
  </si>
  <si>
    <t>VN000DAQ2391005</t>
  </si>
  <si>
    <t>VN000DAQ2391M  065</t>
  </si>
  <si>
    <t>VN000DAQ2391005 - Sk8-Hi Waterproof Insulat G, 6.5, Medium</t>
  </si>
  <si>
    <t>VN000DAQ2391003</t>
  </si>
  <si>
    <t>VN000DAQ2391M  085</t>
  </si>
  <si>
    <t>VN000DAQ2391003 - Sk8-Hi Waterproof Insulat G, 8.5, Medium</t>
  </si>
  <si>
    <t>VN000DAQ9DH1012</t>
  </si>
  <si>
    <t>VN000DAQ9DH1M  105</t>
  </si>
  <si>
    <t>VN000DAQ9DH1012 - Sk8-Hi Waterproof Insulat, 10.5, Medium</t>
  </si>
  <si>
    <t>VN000DAQ9DH1010</t>
  </si>
  <si>
    <t>VN000DAQ9DH1M  115</t>
  </si>
  <si>
    <t>VN000DAQ9DH1010 - Sk8-Hi Waterproof Insulat, 11.5, Medium</t>
  </si>
  <si>
    <t>VN000DAQ9DH1008</t>
  </si>
  <si>
    <t>VN000DAQ9DH1M  130</t>
  </si>
  <si>
    <t>VN000DAQ9DH1008 - Sk8-Hi Waterproof Insulat Wh, 13, Medium</t>
  </si>
  <si>
    <t>VN000DAQRPK1012</t>
  </si>
  <si>
    <t>VN000DAQRPK1M  040</t>
  </si>
  <si>
    <t>VN000DAQRPK1012 - Sk8-Hi Waterproof Insulat Bro, 4, Medium</t>
  </si>
  <si>
    <t>VN000DAQRPK1002</t>
  </si>
  <si>
    <t>VN000DAQRPK1M  075</t>
  </si>
  <si>
    <t>VN000DAQRPK1002 - Sk8-Hi Waterproof Insulat B, 7.5, Medium</t>
  </si>
  <si>
    <t>VN000DAQRPK1011</t>
  </si>
  <si>
    <t>VN000DAQRPK1M  120</t>
  </si>
  <si>
    <t>VN000DAQRPK1011 - Sk8-Hi Waterproof Insulat Br, 12, Medium</t>
  </si>
  <si>
    <t>VN000DAQTWH1017</t>
  </si>
  <si>
    <t>VN000DAQTWH1M  065</t>
  </si>
  <si>
    <t>VN000DAQTWH1017 - Sk8-Hi Waterproof Insulat T, 6.5, Medium</t>
  </si>
  <si>
    <t>VN000DAQTWH1016</t>
  </si>
  <si>
    <t>VN000DAQTWH1M  070</t>
  </si>
  <si>
    <t>VN000DAQTWH1016 - Sk8-Hi Waterproof Insulat Tan, 7, Medium</t>
  </si>
  <si>
    <t>VN000DAQTWH1003</t>
  </si>
  <si>
    <t>VN000DAQTWH1M  110</t>
  </si>
  <si>
    <t>VN000DAQTWH1003 - Sk8-Hi Waterproof Insulat Ta, 11, Medium</t>
  </si>
  <si>
    <t>VN000DAQTWH1002</t>
  </si>
  <si>
    <t>VN000DAQTWH1M  115</t>
  </si>
  <si>
    <t>VN000DAQTWH1002 - Sk8-Hi Waterproof Insulat, 11.5, Medium</t>
  </si>
  <si>
    <t>VN000DAQY491007</t>
  </si>
  <si>
    <t>VN000DAQY491M  060</t>
  </si>
  <si>
    <t>VN000DAQY491007 - Sk8-Hi Waterproof Insulat Bro, 6, Medium</t>
  </si>
  <si>
    <t>VN000DAQY491004</t>
  </si>
  <si>
    <t>VN000DAQY491M  075</t>
  </si>
  <si>
    <t>VN000DAQY491004 - Sk8-Hi Waterproof Insulat B, 7.5, Medium</t>
  </si>
  <si>
    <t>VN000DAQZO21017</t>
  </si>
  <si>
    <t>VN000DAQZO21M  040</t>
  </si>
  <si>
    <t>VN000DAQZO21017 - Sk8-Hi Waterproof Insulat OAT, 4, Medium</t>
  </si>
  <si>
    <t>VN000DARBKL1003</t>
  </si>
  <si>
    <t>VN000DARBKL1M  035</t>
  </si>
  <si>
    <t>VN000DARBKL1003 - SK8-Hi GORE-TEX Insulated B, 3.5, Medium</t>
  </si>
  <si>
    <t>VN000DARBKL1014</t>
  </si>
  <si>
    <t>VN000DARBKL1M  055</t>
  </si>
  <si>
    <t>VN000DARBKL1014 - SK8-Hi GORE-TEX Insulated B, 5.5, Medium</t>
  </si>
  <si>
    <t>VN000DARBKL1016</t>
  </si>
  <si>
    <t>VN000DARBKL1M  070</t>
  </si>
  <si>
    <t>VN000DARBKL1016 - SK8-Hi GORE-TEX Insulated Bro, 7, Medium</t>
  </si>
  <si>
    <t>VN000DARBKL1007</t>
  </si>
  <si>
    <t>VN000DARBKL1M  075</t>
  </si>
  <si>
    <t>VN000DARBKL1007 - SK8-Hi GORE-TEX Insulated B, 7.5, Medium</t>
  </si>
  <si>
    <t>VN000DARBKL1008</t>
  </si>
  <si>
    <t>VN000DARBKL1M  080</t>
  </si>
  <si>
    <t>VN000DARBKL1008 - SK8-Hi GORE-TEX Insulated Bro, 8, Medium</t>
  </si>
  <si>
    <t>VN000DARC9F1012</t>
  </si>
  <si>
    <t>VN000DARC9F1M  055</t>
  </si>
  <si>
    <t>VN000DARC9F1012 - SK8-Hi GORE-TEX Insulated E, 5.5, Medium</t>
  </si>
  <si>
    <t>VN000DARC9F1002</t>
  </si>
  <si>
    <t>VN000DARC9F1M  095</t>
  </si>
  <si>
    <t>VN000DARC9F1002 - SK8-Hi GORE-TEX Insulated E, 9.5, Medium</t>
  </si>
  <si>
    <t>VN000DARF871009</t>
  </si>
  <si>
    <t>VN000DARF871M  035</t>
  </si>
  <si>
    <t>VN000DARF871009 - SK8-Hi GORE-TEX Insulated D, 3.5, Medium</t>
  </si>
  <si>
    <t>VN000DARF871008</t>
  </si>
  <si>
    <t>VN000DARF871M  040</t>
  </si>
  <si>
    <t>VN000DARF871008 - SK8-Hi GORE-TEX Insulated Dar, 4, Medium</t>
  </si>
  <si>
    <t>VN000DARF871003</t>
  </si>
  <si>
    <t>VN000DARF871M  090</t>
  </si>
  <si>
    <t>VN000DARF871003 - SK8-Hi GORE-TEX Insulated Dar, 9, Medium</t>
  </si>
  <si>
    <t>VN000DAYBKA1007</t>
  </si>
  <si>
    <t>VN000DAYBKA1M  120</t>
  </si>
  <si>
    <t>VN000DAYBKA1007 - Mountain Mid GORE-TEX Ins Bl, 12, Medium</t>
  </si>
  <si>
    <t>VN000DAYF871004</t>
  </si>
  <si>
    <t>VN000DAYF871M  095</t>
  </si>
  <si>
    <t>VN000DAYF871004 - Mountain Mid GORE-TEX Ins D, 9.5, Medium</t>
  </si>
  <si>
    <t>VN000DAZB7G1016</t>
  </si>
  <si>
    <t>VN000DAZB7G1M  050</t>
  </si>
  <si>
    <t>VN000DAZB7G1016 - Old Skool Waterproof Insu Bro, 5, Medium</t>
  </si>
  <si>
    <t>VN000DAZF881012</t>
  </si>
  <si>
    <t>VN000DAZF881M  075</t>
  </si>
  <si>
    <t>VN000DAZF881012 - Old Skool Waterproof Insu T, 7.5, Medium</t>
  </si>
  <si>
    <t>VN000DAZF881011</t>
  </si>
  <si>
    <t>VN000DAZF881M  085</t>
  </si>
  <si>
    <t>VN000DAZF881011 - Old Skool Waterproof Insu T, 8.5, Medium</t>
  </si>
  <si>
    <t>VN000DAZSTN1015</t>
  </si>
  <si>
    <t>VN000DAZSTN1M  045</t>
  </si>
  <si>
    <t>VN000DAZSTN1015 - Old Skool Waterproof Insu S, 4.5, Medium</t>
  </si>
  <si>
    <t>VN000DAZSTN1005</t>
  </si>
  <si>
    <t>VN000DAZSTN1M  085</t>
  </si>
  <si>
    <t>VN000DAZSTN1005 - Old Skool Waterproof Insu S, 8.5, Medium</t>
  </si>
  <si>
    <t>VN000DAZSTN1003</t>
  </si>
  <si>
    <t>VN000DAZSTN1M  105</t>
  </si>
  <si>
    <t>VN000DAZSTN1003 - Old Skool Waterproof Insu, 10.5, Medium</t>
  </si>
  <si>
    <t>VN000DB1EMG1011</t>
  </si>
  <si>
    <t>VN000DB1EMG1M  045</t>
  </si>
  <si>
    <t>VN000DB1EMG1011 - Hylane SUED BLMST, 4.5, Medium</t>
  </si>
  <si>
    <t>VN000DB1EMG1010</t>
  </si>
  <si>
    <t>VN000DB1EMG1M  075</t>
  </si>
  <si>
    <t>VN000DB1EMG1010 - Hylane SUED BLMST, 7.5, Medium</t>
  </si>
  <si>
    <t>VN000DB1EMG1015</t>
  </si>
  <si>
    <t>VN000DB1EMG1M  085</t>
  </si>
  <si>
    <t>VN000DB1EMG1015 - Hylane SUED BLMST, 8.5, Medium</t>
  </si>
  <si>
    <t>VN000DB34VT1001</t>
  </si>
  <si>
    <t>VN000DB34VT1M  070</t>
  </si>
  <si>
    <t>VN000DB34VT1001 - Old Skool Black/Charcoal/, 7, Medium</t>
  </si>
  <si>
    <t>VN000DB3D3X1013</t>
  </si>
  <si>
    <t>VN000DB3D3X1M  130</t>
  </si>
  <si>
    <t>VN000DB3D3X1013 - Old Skool Coral Blush, 13, Medium</t>
  </si>
  <si>
    <t>VN000DB3Y231008</t>
  </si>
  <si>
    <t>VN000DB3Y231M  050</t>
  </si>
  <si>
    <t>VN000DB3Y231008 - Old Skool Black/Yellow, 5, Medium</t>
  </si>
  <si>
    <t>VN000DB3Y231003</t>
  </si>
  <si>
    <t>VN000DB3Y231M  065</t>
  </si>
  <si>
    <t>VN000DB3Y231003 - Old Skool Black/Yellow, 6.5, Medium</t>
  </si>
  <si>
    <t>VN000DB3ZX71006</t>
  </si>
  <si>
    <t>VN000DB3ZX71M  055</t>
  </si>
  <si>
    <t>VN000DB3ZX71006 - Old Skool CHBD SPCMD, 5.5, Medium</t>
  </si>
  <si>
    <t>VN000DC6BRO1007</t>
  </si>
  <si>
    <t>Old Skool Insulated</t>
  </si>
  <si>
    <t>VN000DC6BRO1M  090</t>
  </si>
  <si>
    <t>VN000DC6BRO1007 - Old Skool Insulated Brown, 9, Medium</t>
  </si>
  <si>
    <t>VN000DCBYJ71012</t>
  </si>
  <si>
    <t>VN000DCBYJ71M  105</t>
  </si>
  <si>
    <t>VN000DCBYJ71012 - SK8-Hi GORE-TEX OUTD BLKGR, 10.5, Medium</t>
  </si>
  <si>
    <t>VN000DCBYJ71007</t>
  </si>
  <si>
    <t>VN000DCBYJ71M  110</t>
  </si>
  <si>
    <t>VN000DCBYJ71007 - SK8-Hi GORE-TEX OUTD BLKGR, 11, Medium</t>
  </si>
  <si>
    <t>VN000DCBYJ71006</t>
  </si>
  <si>
    <t>VN000DCBYJ71M  115</t>
  </si>
  <si>
    <t>VN000DCBYJ71006 - SK8-Hi GORE-TEX OUTD BLKGR, 11.5, Medium</t>
  </si>
  <si>
    <t>VN000DCE2VZ1006</t>
  </si>
  <si>
    <t>VN000DCE2VZ1M  070</t>
  </si>
  <si>
    <t>VN000DCE2VZ1006 - Old Skool Creeper GRNG WHITE, 7, Medium</t>
  </si>
  <si>
    <t>VN000DCE2VZ1002</t>
  </si>
  <si>
    <t>VN000DCE2VZ1M  080</t>
  </si>
  <si>
    <t>VN000DCE2VZ1002 - Old Skool Creeper GRNG WHITE, 8, Medium</t>
  </si>
  <si>
    <t>VN000DCEBRD1011</t>
  </si>
  <si>
    <t>VN000DCEBRD1M  045</t>
  </si>
  <si>
    <t>VN000DCEBRD1011 - Old Skool Creeper GRNG DRRE, 4.5, Medium</t>
  </si>
  <si>
    <t>VN000DCH0QR1019</t>
  </si>
  <si>
    <t>OLIVE/GUM</t>
  </si>
  <si>
    <t>VN000DCH0QR1M  035</t>
  </si>
  <si>
    <t>HAIRY SUEDE</t>
  </si>
  <si>
    <t>VN000DCH0QR1019 - SK8-Hi Tapered HRYS MGREN, 3.5, Medium</t>
  </si>
  <si>
    <t>VN000DCHB9M1019</t>
  </si>
  <si>
    <t>VN000DCHB9M1M  035</t>
  </si>
  <si>
    <t>VN000DCHB9M1019 - SK8-Hi Tapered HRYS BLACK, 3.5, Medium</t>
  </si>
  <si>
    <t>VN000DCHB9M1016</t>
  </si>
  <si>
    <t>VN000DCHB9M1M  050</t>
  </si>
  <si>
    <t>VN000DCHB9M1016 - SK8-Hi Tapered HRYS BLACK, 5, Medium</t>
  </si>
  <si>
    <t>VN000DCJGRN1011</t>
  </si>
  <si>
    <t>VN000DCJGRN1M  020</t>
  </si>
  <si>
    <t>VN000DCJGRN1011 - MTE Slip-On Hi Terrain V Gree, 2, Medium</t>
  </si>
  <si>
    <t>VN000E7UTC41011</t>
  </si>
  <si>
    <t>VN000E7UTC41M  110</t>
  </si>
  <si>
    <t>VN000E7UTC41011 - Upland SILVER/SILVER, 11, Medium</t>
  </si>
  <si>
    <t>VN000E86BA21010</t>
  </si>
  <si>
    <t>VN000E86BA21M  100</t>
  </si>
  <si>
    <t>VN000E86BA21010 - Authentic Platform 2.0 FLEM, 10, Medium</t>
  </si>
  <si>
    <t>VN000E87BA21019</t>
  </si>
  <si>
    <t>VN000E87BA21M  035</t>
  </si>
  <si>
    <t>VN000E87BA21019 - Old Skool Platform FLEM BLK, 3.5, Medium</t>
  </si>
  <si>
    <t>VN000E897WM1016</t>
  </si>
  <si>
    <t>VN000E897WM1M  050</t>
  </si>
  <si>
    <t>VN000E897WM1016 - Super Lowpro SUED DBLUE, 5, Medium</t>
  </si>
  <si>
    <t>VN000E89YG41019</t>
  </si>
  <si>
    <t>VN000E89YG41M  035</t>
  </si>
  <si>
    <t>VN000E89YG41019 - Super Lowpro SUED BLKSV, 3.5, Medium</t>
  </si>
  <si>
    <t>VN000E89YG41005</t>
  </si>
  <si>
    <t>VN000E89YG41M  060</t>
  </si>
  <si>
    <t>VN000E89YG41005 - Super Lowpro SUED BLKSV, 6, Medium</t>
  </si>
  <si>
    <t>VN000E89YG41004</t>
  </si>
  <si>
    <t>VN000E89YG41M  065</t>
  </si>
  <si>
    <t>VN000E89YG41004 - Super Lowpro SUED BLKSV, 6.5, Medium</t>
  </si>
  <si>
    <t>VN000E8WBGF1013</t>
  </si>
  <si>
    <t>VN000E8WBGF1M  045</t>
  </si>
  <si>
    <t>VN000E8WBGF1013 - Old Skool MTLC GRAY, 4.5, Medium</t>
  </si>
  <si>
    <t>VN000E8WBGF1012</t>
  </si>
  <si>
    <t>VN000E8WBGF1M  050</t>
  </si>
  <si>
    <t>VN000E8WBGF1012 - Old Skool MTLC GRAY, 5, Medium</t>
  </si>
  <si>
    <t>VN000E8WBGF1008</t>
  </si>
  <si>
    <t>VN000E8WBGF1M  070</t>
  </si>
  <si>
    <t>VN000E8WBGF1008 - Old Skool MTLC GRAY, 7, Medium</t>
  </si>
  <si>
    <t>VN000E8WBGF1007</t>
  </si>
  <si>
    <t>VN000E8WBGF1M  075</t>
  </si>
  <si>
    <t>VN000E8WBGF1007 - Old Skool MTLC GRAY, 7.5, Medium</t>
  </si>
  <si>
    <t>VN000E8WBGF1015</t>
  </si>
  <si>
    <t>VN000E8WBGF1M  080</t>
  </si>
  <si>
    <t>VN000E8WBGF1015 - Old Skool MTLC GRAY, 8, Medium</t>
  </si>
  <si>
    <t>VN000E8WBRD1001</t>
  </si>
  <si>
    <t>VN000E8WBRD1M  045</t>
  </si>
  <si>
    <t>VN000E8WBRD1001 - Old Skool MTLC DRRED, 4.5, Medium</t>
  </si>
  <si>
    <t>VN000E8WBRD1015</t>
  </si>
  <si>
    <t>VN000E8WBRD1M  060</t>
  </si>
  <si>
    <t>VN000E8WBRD1015 - Old Skool MTLC DRRED, 6, Medium</t>
  </si>
  <si>
    <t>VN000E8WBRD1013</t>
  </si>
  <si>
    <t>VN000E8WBRD1M  070</t>
  </si>
  <si>
    <t>VN000E8WBRD1013 - Old Skool MTLC DRRED, 7, Medium</t>
  </si>
  <si>
    <t>VN000E8WBRD1012</t>
  </si>
  <si>
    <t>VN000E8WBRD1M  075</t>
  </si>
  <si>
    <t>VN000E8WBRD1012 - Old Skool MTLC DRRED, 7.5, Medium</t>
  </si>
  <si>
    <t>VN000E8WBRD1011</t>
  </si>
  <si>
    <t>VN000E8WBRD1M  080</t>
  </si>
  <si>
    <t>VN000E8WBRD1011 - Old Skool MTLC DRRED, 8, Medium</t>
  </si>
  <si>
    <t>VN000E8WCJK1016</t>
  </si>
  <si>
    <t>VN000E8WCJK1M  050</t>
  </si>
  <si>
    <t>VN000E8WCJK1016 - Old Skool POLA BLACK, 5, Medium</t>
  </si>
  <si>
    <t>VN000E8WZX11002</t>
  </si>
  <si>
    <t>VN000E8WZX11M  080</t>
  </si>
  <si>
    <t>VN000E8WZX11002 - Old Skool MTLC BLKGD, 8, Medium</t>
  </si>
  <si>
    <t>VN000E9RG581003</t>
  </si>
  <si>
    <t>VN000E9RG581M  010</t>
  </si>
  <si>
    <t>VN000E9RG581003 - Old Skool FLORAL BLACK, 1, Medium</t>
  </si>
  <si>
    <t>VN000E9RZ3R1006</t>
  </si>
  <si>
    <t>VN000E9RZ3R1M  110</t>
  </si>
  <si>
    <t>VN000E9RZ3R1006 - Old Skool LOGO MDGRY, 11, Medium</t>
  </si>
  <si>
    <t>VN000E9RZ3R1005</t>
  </si>
  <si>
    <t>VN000E9RZ3R1M  115</t>
  </si>
  <si>
    <t>VN000E9RZ3R1005 - Old Skool LOGO MDGRY, 11.5, Medium</t>
  </si>
  <si>
    <t>VN000E9RZ3R1004</t>
  </si>
  <si>
    <t>VN000E9RZ3R1M  120</t>
  </si>
  <si>
    <t>VN000E9RZ3R1004 - Old Skool LOGO MDGRY, 12, Medium</t>
  </si>
  <si>
    <t>VN000E9RZ3R1002</t>
  </si>
  <si>
    <t>VN000E9RZ3R1M  130</t>
  </si>
  <si>
    <t>VN000E9RZ3R1002 - Old Skool LOGO MDGRY, 13, Medium</t>
  </si>
  <si>
    <t>VN000E9XF2B1003</t>
  </si>
  <si>
    <t>BLACK FLORAL</t>
  </si>
  <si>
    <t>VN000E9XF2B1M  060</t>
  </si>
  <si>
    <t>VN000E9XF2B1003 - Knu Skool BLACK FLORAL, 6, Medium</t>
  </si>
  <si>
    <t>VN000E9XF2B1012</t>
  </si>
  <si>
    <t>VN000E9XF2B1M  080</t>
  </si>
  <si>
    <t>VN000E9XF2B1012 - Knu Skool BLACK FLORAL, 8, Medium</t>
  </si>
  <si>
    <t>VN000E9XF2B1007</t>
  </si>
  <si>
    <t>VN000E9XF2B1M  100</t>
  </si>
  <si>
    <t>VN000E9XF2B1007 - Knu Skool BLACK FLORAL, 10, Medium</t>
  </si>
  <si>
    <t>VN000E9XSLV1007</t>
  </si>
  <si>
    <t>VN000E9XSLV1M  070</t>
  </si>
  <si>
    <t>VN000E9XSLV1007 - Knu Skool MTLR SILVR, 7, Medium</t>
  </si>
  <si>
    <t>VN000E9XSLV1010</t>
  </si>
  <si>
    <t>VN000E9XSLV1M  130</t>
  </si>
  <si>
    <t>VN000E9XSLV1010 - Knu Skool MTLR SILVR, 13, Medium</t>
  </si>
  <si>
    <t>VN000E9Y1NU1006</t>
  </si>
  <si>
    <t>VN000E9Y1NU1M  040</t>
  </si>
  <si>
    <t>VN000E9Y1NU1006 - Old Skool CTHR MBRWN, 4, Medium</t>
  </si>
  <si>
    <t>VN000EB4KAQ1017</t>
  </si>
  <si>
    <t>VN000EB4KAQ1M  090</t>
  </si>
  <si>
    <t>VN000EB4KAQ1017 - Sk8-Hi Insulated DRIZZLE, 9, Medium</t>
  </si>
  <si>
    <t>VN000EB4TAN1010</t>
  </si>
  <si>
    <t>VN000EB4TAN1M  045</t>
  </si>
  <si>
    <t>VN000EB4TAN1010 - Sk8-Hi Insulated Tan, 4.5, Medium</t>
  </si>
  <si>
    <t>VN000EB4TAN1009</t>
  </si>
  <si>
    <t>VN000EB4TAN1M  050</t>
  </si>
  <si>
    <t>VN000EB4TAN1009 - Sk8-Hi Insulated Tan, 5, Medium</t>
  </si>
  <si>
    <t>VN000EB4TAN1008</t>
  </si>
  <si>
    <t>VN000EB4TAN1M  055</t>
  </si>
  <si>
    <t>VN000EB4TAN1008 - Sk8-Hi Insulated Tan, 5.5, Medium</t>
  </si>
  <si>
    <t>VN000EB4TAN1019</t>
  </si>
  <si>
    <t>VN000EB4TAN1M  060</t>
  </si>
  <si>
    <t>VN000EB4TAN1019 - Sk8-Hi Insulated Tan, 6, Medium</t>
  </si>
  <si>
    <t>VN000EB4TAN1018</t>
  </si>
  <si>
    <t>VN000EB4TAN1M  070</t>
  </si>
  <si>
    <t>VN000EB4TAN1018 - Sk8-Hi Insulated Tan, 7, Medium</t>
  </si>
  <si>
    <t>VN000EB4TAN1005</t>
  </si>
  <si>
    <t>VN000EB4TAN1M  085</t>
  </si>
  <si>
    <t>VN000EB4TAN1005 - Sk8-Hi Insulated Tan, 8.5, Medium</t>
  </si>
  <si>
    <t>VN000EBAQPT1009</t>
  </si>
  <si>
    <t>VN000EBAQPT1M  095</t>
  </si>
  <si>
    <t>VN000EBAQPT1009 - Old Skool EK CHBD BLACK, 9.5, Medium</t>
  </si>
  <si>
    <t>VN000EC4RV21019</t>
  </si>
  <si>
    <t>VN000EC4RV21M  035</t>
  </si>
  <si>
    <t>VN000EC4RV21019 - Hylane FLEM BLACK, 3.5, Medium</t>
  </si>
  <si>
    <t>VN000EC4RV21016</t>
  </si>
  <si>
    <t>VN000EC4RV21M  050</t>
  </si>
  <si>
    <t>VN000EC4RV21016 - Hylane FLEM BLACK, 5, Medium</t>
  </si>
  <si>
    <t>VN000ECGBFC1012</t>
  </si>
  <si>
    <t>VN000ECGBFC1M  085</t>
  </si>
  <si>
    <t>VN000ECGBFC1012 - Old Skool Patchwork DARK GR, 8.5, Medium</t>
  </si>
  <si>
    <t>VN000ECGBFC1003</t>
  </si>
  <si>
    <t>VN000ECGBFC1M  105</t>
  </si>
  <si>
    <t>VN000ECGBFC1003 - Old Skool Patchwork DARK G, 10.5, Medium</t>
  </si>
  <si>
    <t>VN000ECGBFC1002</t>
  </si>
  <si>
    <t>VN000ECGBFC1M  115</t>
  </si>
  <si>
    <t>VN000ECGBFC1002 - Old Skool Patchwork DARK G, 11.5, Medium</t>
  </si>
  <si>
    <t>VN000EDN7D61015</t>
  </si>
  <si>
    <t>VN000EDN7D61M  075</t>
  </si>
  <si>
    <t>VN000EDN7D61015 - Skate Old Skool MUSHROOM, 7.5, Medium</t>
  </si>
  <si>
    <t>VN000EDN7D61010</t>
  </si>
  <si>
    <t>VN000EDN7D61M  115</t>
  </si>
  <si>
    <t>VN000EDN7D61010 - Skate Old Skool MUSHROOM, 11.5, Medium</t>
  </si>
  <si>
    <t>VN000EDN7D61001</t>
  </si>
  <si>
    <t>VN000EDN7D61M  120</t>
  </si>
  <si>
    <t>VN000EDN7D61001 - Skate Old Skool MUSHROOM, 12, Medium</t>
  </si>
  <si>
    <t>VN000EDN7D61009</t>
  </si>
  <si>
    <t>VN000EDN7D61M  130</t>
  </si>
  <si>
    <t>VN000EDN7D61009 - Skate Old Skool MUSHROOM, 13, Medium</t>
  </si>
  <si>
    <t>VN000EDN9X11018</t>
  </si>
  <si>
    <t>VN000EDN9X11M  070</t>
  </si>
  <si>
    <t>VN000EDN9X11018 - Skate Old Skool SLPL BLKWH, 7, Medium</t>
  </si>
  <si>
    <t>VN000EDN9X11012</t>
  </si>
  <si>
    <t>VN000EDN9X11M  090</t>
  </si>
  <si>
    <t>VN000EDN9X11012 - Skate Old Skool SLPL BLKWH, 9, Medium</t>
  </si>
  <si>
    <t>VN000EDNAH91001</t>
  </si>
  <si>
    <t>VN000EDNAH91M  045</t>
  </si>
  <si>
    <t>VN000EDNAH91001 - Skate Old Skool Sea Green, 4.5, Medium</t>
  </si>
  <si>
    <t>VN000EDNAH91018</t>
  </si>
  <si>
    <t>VN000EDNAH91M  050</t>
  </si>
  <si>
    <t>VN000EDNAH91018 - Skate Old Skool Sea Green, 5, Medium</t>
  </si>
  <si>
    <t>VN000EDNAH91012</t>
  </si>
  <si>
    <t>VN000EDNAH91M  055</t>
  </si>
  <si>
    <t>VN000EDNAH91012 - Skate Old Skool Sea Green, 5.5, Medium</t>
  </si>
  <si>
    <t>VN000EDNAH91006</t>
  </si>
  <si>
    <t>VN000EDNAH91M  085</t>
  </si>
  <si>
    <t>VN000EDNAH91006 - Skate Old Skool Sea Green, 8.5, Medium</t>
  </si>
  <si>
    <t>VN000EDNAH91014</t>
  </si>
  <si>
    <t>VN000EDNAH91M  110</t>
  </si>
  <si>
    <t>VN000EDNAH91014 - Skate Old Skool Sea Green, 11, Medium</t>
  </si>
  <si>
    <t>VN000EDNAH91013</t>
  </si>
  <si>
    <t>VN000EDNAH91M  115</t>
  </si>
  <si>
    <t>VN000EDNAH91013 - Skate Old Skool Sea Green, 11.5, Medium</t>
  </si>
  <si>
    <t>VN000EDNAH91004</t>
  </si>
  <si>
    <t>VN000EDNAH91M  120</t>
  </si>
  <si>
    <t>VN000EDNAH91004 - Skate Old Skool Sea Green, 12, Medium</t>
  </si>
  <si>
    <t>VN000EDNGRY1018</t>
  </si>
  <si>
    <t>VN000EDNGRY1M  040</t>
  </si>
  <si>
    <t>SPLATTER</t>
  </si>
  <si>
    <t>VN000EDNGRY1018 - Skate Old Skool SPTR DGREY, 4, Medium</t>
  </si>
  <si>
    <t>VN000EDNGRY1017</t>
  </si>
  <si>
    <t>VN000EDNGRY1M  045</t>
  </si>
  <si>
    <t>VN000EDNGRY1017 - Skate Old Skool SPTR DGREY, 4.5, Medium</t>
  </si>
  <si>
    <t>VN000EDNGRY1004</t>
  </si>
  <si>
    <t>VN000EDNGRY1M  065</t>
  </si>
  <si>
    <t>VN000EDNGRY1004 - Skate Old Skool SPTR DGREY, 6.5, Medium</t>
  </si>
  <si>
    <t>VN000EDNGRY1007</t>
  </si>
  <si>
    <t>VN000EDNGRY1M  100</t>
  </si>
  <si>
    <t>VN000EDNGRY1007 - Skate Old Skool SPTR DGREY, 10, Medium</t>
  </si>
  <si>
    <t>VN000EDNGRY1003</t>
  </si>
  <si>
    <t>VN000EDNGRY1M  115</t>
  </si>
  <si>
    <t>VN000EDNGRY1003 - Skate Old Skool SPTR DGREY, 11.5, Medium</t>
  </si>
  <si>
    <t>VN000EDNGRY1001</t>
  </si>
  <si>
    <t>VN000EDNGRY1M  130</t>
  </si>
  <si>
    <t>VN000EDNGRY1001 - Skate Old Skool SPTR DGREY, 13, Medium</t>
  </si>
  <si>
    <t>VN000EDUCD31006</t>
  </si>
  <si>
    <t>VN000EDUCD31M  060</t>
  </si>
  <si>
    <t>VN000EDUCD31006 - Rowley Classic GUM MSHML, 6, Medium</t>
  </si>
  <si>
    <t>VN000EDUCD31009</t>
  </si>
  <si>
    <t>VN000EDUCD31M  075</t>
  </si>
  <si>
    <t>VN000EDUCD31009 - Rowley Classic GUM MSHML, 7.5, Medium</t>
  </si>
  <si>
    <t>VN000EFBCJK1005</t>
  </si>
  <si>
    <t>VN000EFBCJK1M  020</t>
  </si>
  <si>
    <t>VN000EFBCJK1005 - Knu Skool Elastic Lace DAZL B, 2, Medium</t>
  </si>
  <si>
    <t>VN000EG59X11002</t>
  </si>
  <si>
    <t>VN000EG59X11M  115</t>
  </si>
  <si>
    <t>VN000EG59X11002 - Skate Slip-On SLPL BLKWH, 11.5, Medium</t>
  </si>
  <si>
    <t>VN000EHWEME1006</t>
  </si>
  <si>
    <t>VN000EHWEME1M  045</t>
  </si>
  <si>
    <t>VN000EHWEME1006 - Caldrone SUME DGREN, 4.5, Medium</t>
  </si>
  <si>
    <t>VN000EHZBA21007</t>
  </si>
  <si>
    <t>Ashwood Hi VansGuard</t>
  </si>
  <si>
    <t>VN000EHZBA21M  060</t>
  </si>
  <si>
    <t>VN000EHZBA21007 - Ashwood Hi VansGuard SUED BLK, 6, Medium</t>
  </si>
  <si>
    <t>VN000EK9BO51014</t>
  </si>
  <si>
    <t>VN000EK9BO51M  090</t>
  </si>
  <si>
    <t>VN000EK9BO51014 - UPLAND MULTI/MARSHMALL, 9, Medium</t>
  </si>
  <si>
    <t>VN000KI51861008</t>
  </si>
  <si>
    <t>VN000KI51861M  045</t>
  </si>
  <si>
    <t>VN000KI51861008 - Atwood CNVS BLACK, 4.5, Medium</t>
  </si>
  <si>
    <t>VN000S65ZS61017</t>
  </si>
  <si>
    <t>VN000S65ZS61M  095</t>
  </si>
  <si>
    <t>VN000S65ZS61017 - Speed WS PEACH BEIGE, 9.5, Medium</t>
  </si>
  <si>
    <t>VN000SF42LH1010</t>
  </si>
  <si>
    <t>VN000SF42LH1M  080</t>
  </si>
  <si>
    <t>VN000SF42LH1010 - Rowley Classic OATMEAL/GUM, 8, Medium</t>
  </si>
  <si>
    <t>VN000SF46J61019</t>
  </si>
  <si>
    <t>VN000SF46J61M  035</t>
  </si>
  <si>
    <t>VN000SF46J61019 - Rowley Classic DRIZZLE/MARS, 3.5, Medium</t>
  </si>
  <si>
    <t>VN000SF4JDU1008</t>
  </si>
  <si>
    <t>VN000SF4JDU1M  055</t>
  </si>
  <si>
    <t>VN000SF4JDU1008 - Rowley Classic PARISIAN NIG, 5.5, Medium</t>
  </si>
  <si>
    <t>VN000V160E01002</t>
  </si>
  <si>
    <t>VN000V160E01M  035</t>
  </si>
  <si>
    <t>VN000V160E01002 - Mary Jane Creeper PTNT MDBR, 3.5, Medium</t>
  </si>
  <si>
    <t>VN000V160E01016</t>
  </si>
  <si>
    <t>VN000V160E01M  130</t>
  </si>
  <si>
    <t>VN000V160E01016 - Mary Jane Creeper PTNT MDBRN, 13, Medium</t>
  </si>
  <si>
    <t>VN000V16EMT1013</t>
  </si>
  <si>
    <t>VN000V16EMT1M  120</t>
  </si>
  <si>
    <t>VN000V16EMT1013 - Mary Jane Creeper PTNT DPTWL, 12, Medium</t>
  </si>
  <si>
    <t>VN000V16EMT1012</t>
  </si>
  <si>
    <t>VN000V16EMT1M  130</t>
  </si>
  <si>
    <t>VN000V16EMT1012 - Mary Jane Creeper PTNT DPTWL, 13, Medium</t>
  </si>
  <si>
    <t>VN000V25B5T1010</t>
  </si>
  <si>
    <t>VN000V25B5T1M  075</t>
  </si>
  <si>
    <t>VN000V25B5T1010 - Old Skool STUD BLACK, 7.5, Medium</t>
  </si>
  <si>
    <t>VN000V25B5T1009</t>
  </si>
  <si>
    <t>VN000V25B5T1M  080</t>
  </si>
  <si>
    <t>VN000V25B5T1009 - Old Skool STUD BLACK, 8, Medium</t>
  </si>
  <si>
    <t>VN000V68Y611007</t>
  </si>
  <si>
    <t>VN000V68Y611M  065</t>
  </si>
  <si>
    <t>VN000V68Y611007 - SK8-Hi KPDH BLKBU, 6.5, Medium</t>
  </si>
  <si>
    <t>VN000VA6DRT1014</t>
  </si>
  <si>
    <t>Skate Loafer</t>
  </si>
  <si>
    <t>Incense/Black</t>
  </si>
  <si>
    <t>VN000VA6DRT1M  060</t>
  </si>
  <si>
    <t>VN000VA6DRT1014 - Skate Loafer SUED INBLK, 6, Medium</t>
  </si>
  <si>
    <t>VN000VO44K11004</t>
  </si>
  <si>
    <t>VN000VO44K11M  025</t>
  </si>
  <si>
    <t>VN000VO44K11004 - Winston CNVS NVWH, 2.5, Medium</t>
  </si>
  <si>
    <t>VN000VO44K11014</t>
  </si>
  <si>
    <t>VN000VO44K11M  105</t>
  </si>
  <si>
    <t>VN000VO44K11014 - Winston CNVS NVWH, 10.5, Medium</t>
  </si>
  <si>
    <t>VN000VOB4K11005</t>
  </si>
  <si>
    <t>VN000VOB4K11M  085</t>
  </si>
  <si>
    <t>VN000VOB4K11005 - Winston CNVS NVWH, 8.5, Medium</t>
  </si>
  <si>
    <t>VN000VOB4K11007</t>
  </si>
  <si>
    <t>VN000VOB4K11M  095</t>
  </si>
  <si>
    <t>VN000VOB4K11007 - Winston CNVS NVWH, 9.5, Medium</t>
  </si>
  <si>
    <t>VN000VOB4WV1006</t>
  </si>
  <si>
    <t>VN000VOB4WV1M  090</t>
  </si>
  <si>
    <t>VN000VOB4WV1006 - Winston CNVS PWTWH, 9, Medium</t>
  </si>
  <si>
    <t>VN000VOB4WV1013</t>
  </si>
  <si>
    <t>VN000VOB4WV1M  130</t>
  </si>
  <si>
    <t>VN000VOB4WV1013 - Winston CNVS PWTWH, 13, Medium</t>
  </si>
  <si>
    <t>VN000W9T9AL1001</t>
  </si>
  <si>
    <t>VN000W9T9AL1M  110</t>
  </si>
  <si>
    <t>VN000W9T9AL1001 - Old Skool POWDER PINK/TRU, 11, Medium</t>
  </si>
  <si>
    <t>VN000ZSRGQ01006</t>
  </si>
  <si>
    <t>VN000ZSRGQ01M  045</t>
  </si>
  <si>
    <t>VN000ZSRGQ01006 - Milton V SUED F15S NAVY, 4.5, Medium</t>
  </si>
  <si>
    <t>VN000ZUVC4R1006</t>
  </si>
  <si>
    <t>VN000ZUVC4R1M  090</t>
  </si>
  <si>
    <t>VN000ZUVC4R1006 - Milton SUCV BLKWH, 9, Medium</t>
  </si>
  <si>
    <t>VN000ZUVFM51002</t>
  </si>
  <si>
    <t>VN000ZUVFM51M  070</t>
  </si>
  <si>
    <t>VN000ZUVFM51002 - Milton SUCV CHCWH, 7, Medium</t>
  </si>
  <si>
    <t>VN0A2Z3I1CI1012</t>
  </si>
  <si>
    <t>Rowan 2</t>
  </si>
  <si>
    <t>VN0A2Z3I1CI1M  070</t>
  </si>
  <si>
    <t>VN0A2Z3I1CI1012 - Rowan 2 Dark Forest, 7, Medium</t>
  </si>
  <si>
    <t>VN0A2Z3I1CI1011</t>
  </si>
  <si>
    <t>VN0A2Z3I1CI1M  075</t>
  </si>
  <si>
    <t>VN0A2Z3I1CI1011 - Rowan 2 Dark Forest, 7.5, Medium</t>
  </si>
  <si>
    <t>VN0A2Z3I1CI1009</t>
  </si>
  <si>
    <t>VN0A2Z3I1CI1M  085</t>
  </si>
  <si>
    <t>VN0A2Z3I1CI1009 - Rowan 2 Dark Forest, 8.5, Medium</t>
  </si>
  <si>
    <t>VN0A2Z3I1CI1007</t>
  </si>
  <si>
    <t>VN0A2Z3I1CI1M  095</t>
  </si>
  <si>
    <t>VN0A2Z3I1CI1007 - Rowan 2 Dark Forest, 9.5, Medium</t>
  </si>
  <si>
    <t>VN0A2Z3RRRS1014</t>
  </si>
  <si>
    <t>Skate Wayvee</t>
  </si>
  <si>
    <t>GINGER ROOT</t>
  </si>
  <si>
    <t>VN0A2Z3RRRS1M  060</t>
  </si>
  <si>
    <t>VN0A2Z3RRRS1014 - Skate Wayvee GINGER ROOT, 6, Medium</t>
  </si>
  <si>
    <t>VN0A2Z3XYV31014</t>
  </si>
  <si>
    <t>Black/White/Grey</t>
  </si>
  <si>
    <t>VN0A2Z3XYV31M  070</t>
  </si>
  <si>
    <t>VN0A2Z3XYV31014 - BMX Sk8-Hi Black/White/Gre, 7, Medium</t>
  </si>
  <si>
    <t>VN0A2Z422391007</t>
  </si>
  <si>
    <t>VN0A2Z422391M  090</t>
  </si>
  <si>
    <t>VN0A2Z422391007 - Old Skool PIGS MDGRY, 9, Medium</t>
  </si>
  <si>
    <t>VN0A32QG5WU1007</t>
  </si>
  <si>
    <t>(SUEDE/CANVAS)BLKBLKTRWHT</t>
  </si>
  <si>
    <t>VN0A32QG5WU1M  105</t>
  </si>
  <si>
    <t>VN0A32QG5WU1007 - SK8-Hi SUCV BLKWH, 10.5, Medium</t>
  </si>
  <si>
    <t>VN0A32QM28L1006</t>
  </si>
  <si>
    <t>Asher</t>
  </si>
  <si>
    <t>(CHECKRBRD) ROSE DAWN/WHT</t>
  </si>
  <si>
    <t>VN0A32QM28L1M  070</t>
  </si>
  <si>
    <t>VN0A32QM28L1006 - Asher CHBD CHBD MPKRS, Medium, 7</t>
  </si>
  <si>
    <t>VN0A32QM28L1001</t>
  </si>
  <si>
    <t>VN0A32QM28L1M  090</t>
  </si>
  <si>
    <t>VN0A32QM28L1001 - Asher CHBD CHBD MPKRS, Medium, 9</t>
  </si>
  <si>
    <t>VN0A38G19G51012</t>
  </si>
  <si>
    <t>(PIG SUEDE)PRSNNGHTSNWWHT</t>
  </si>
  <si>
    <t>VN0A38G19G51M  090</t>
  </si>
  <si>
    <t>VN0A38G19G51012 - Old Skool PSDE MDBLU, 9, Medium</t>
  </si>
  <si>
    <t>VN0A38G19G51007</t>
  </si>
  <si>
    <t>VN0A38G19G51M  095</t>
  </si>
  <si>
    <t>VN0A38G19G51007 - Old Skool PSDE MDBLU, 9.5, Medium</t>
  </si>
  <si>
    <t>VN0A38G19G51010</t>
  </si>
  <si>
    <t>VN0A38G19G51M  100</t>
  </si>
  <si>
    <t>VN0A38G19G51010 - Old Skool PSDE MDBLU, 10, Medium</t>
  </si>
  <si>
    <t>VN0A38HBPQZ1016</t>
  </si>
  <si>
    <t>VN0A38HBPQZ1M  115</t>
  </si>
  <si>
    <t>VN0A38HBPQZ1016 - Old Skool JR BLACK, 11.5, Medium</t>
  </si>
  <si>
    <t>VN0A3IL2IJU1002</t>
  </si>
  <si>
    <t>Maddie</t>
  </si>
  <si>
    <t>(SUEDE/CANVAS)BLACK/WHITE</t>
  </si>
  <si>
    <t>VN0A3IL2IJU1M  055</t>
  </si>
  <si>
    <t>VN0A3IL2IJU1002 - Maddie SUCV BLKWH, Medium, 5.5</t>
  </si>
  <si>
    <t>VN0A3IL2R6Y1008</t>
  </si>
  <si>
    <t>(SUEDE/CANVAS) CABERNET</t>
  </si>
  <si>
    <t>VN0A3IL2R6Y1M  085</t>
  </si>
  <si>
    <t>VN0A3IL2R6Y1008 - Maddie SUCV DRRED, Medium, 8.5</t>
  </si>
  <si>
    <t>VN0A3TK2V2O1002</t>
  </si>
  <si>
    <t>Ward Hi Zip</t>
  </si>
  <si>
    <t>(WEATHERIZED) BLK/TR WHT</t>
  </si>
  <si>
    <t>VN0A3TK2V2O1M  055</t>
  </si>
  <si>
    <t>WEATHERIZED</t>
  </si>
  <si>
    <t>MY - Missy</t>
  </si>
  <si>
    <t>VN0A3TK2V2O1002 - Ward Hi Zip TXTL WTZD BLKWH, 5.5, Medium</t>
  </si>
  <si>
    <t>VN0A3TKN6BT1010</t>
  </si>
  <si>
    <t>VN0A3TKN6BT1M  080</t>
  </si>
  <si>
    <t>VN0A3TKN6BT1010 - SK8-Hi Platform 2.0 Black/Tru, 8, Medium</t>
  </si>
  <si>
    <t>VN0A3TL81871003</t>
  </si>
  <si>
    <t>Camden Platform</t>
  </si>
  <si>
    <t>(Canvas) Black/White</t>
  </si>
  <si>
    <t>VN0A3TL81871M  060</t>
  </si>
  <si>
    <t>VN0A3TL81871003 - Camden Platform CNVS BLKWH, Medium, 6</t>
  </si>
  <si>
    <t>VN0A3TL81871011</t>
  </si>
  <si>
    <t>VN0A3TL81871M  100</t>
  </si>
  <si>
    <t>VN0A3TL81871011 - Camden Platform CNVS BLKWH, Medium, 10</t>
  </si>
  <si>
    <t>VN0A45JMJBW1011</t>
  </si>
  <si>
    <t>VN0A45JMJBW1M  055</t>
  </si>
  <si>
    <t>VANS CHECKERBOARD</t>
  </si>
  <si>
    <t>VN0A45JMJBW1011 - Asher CHBD VCKB WHITE, 5.5, Medium</t>
  </si>
  <si>
    <t>VN0A4BTW5ZN1007</t>
  </si>
  <si>
    <t>SK8-Hi Stacked</t>
  </si>
  <si>
    <t>(SUEDECANVAS)BLKBLNCDBLNC</t>
  </si>
  <si>
    <t>VN0A4BTW5ZN1M  060</t>
  </si>
  <si>
    <t>VN0A4BTW5ZN1007 - SK8-Hi Stacked SUCV BLACK, 6, Medium</t>
  </si>
  <si>
    <t>VN0A4BTW5ZN1011</t>
  </si>
  <si>
    <t>VN0A4BTW5ZN1M  070</t>
  </si>
  <si>
    <t>VN0A4BTW5ZN1011 - SK8-Hi Stacked SUCV BLACK, 7, Medium</t>
  </si>
  <si>
    <t>VN0A4BTW5ZN1006</t>
  </si>
  <si>
    <t>VN0A4BTW5ZN1M  085</t>
  </si>
  <si>
    <t>VN0A4BTW5ZN1006 - SK8-Hi Stacked SUCV BLACK, 8.5, Medium</t>
  </si>
  <si>
    <t>VN0A4BTWVLV1004</t>
  </si>
  <si>
    <t>(CHECKERBOARD) MULTI/TRUE</t>
  </si>
  <si>
    <t>VN0A4BTWVLV1M  045</t>
  </si>
  <si>
    <t>VN0A4BTWVLV1004 - SK8-Hi Stacked CHBD CHBD WH, 4.5, Medium</t>
  </si>
  <si>
    <t>VN0A4BTWVLV1009</t>
  </si>
  <si>
    <t>VN0A4BTWVLV1M  075</t>
  </si>
  <si>
    <t>VN0A4BTWVLV1009 - SK8-Hi Stacked CHBD CHBD WH, 7.5, Medium</t>
  </si>
  <si>
    <t>VN0A4BTWVLV1011</t>
  </si>
  <si>
    <t>VN0A4BTWVLV1M  085</t>
  </si>
  <si>
    <t>VN0A4BTWVLV1011 - SK8-Hi Stacked CHBD CHBD WH, 8.5, Medium</t>
  </si>
  <si>
    <t>VN0A4BVS3N11001</t>
  </si>
  <si>
    <t>VN0A4BVS3N11M  070</t>
  </si>
  <si>
    <t>VN0A4BVS3N11001 - UltraRange EXO Hi MTE-2 demit, 7, Medium</t>
  </si>
  <si>
    <t>VN0A4BWL1KP1017</t>
  </si>
  <si>
    <t>Circle Vee</t>
  </si>
  <si>
    <t>VN0A4BWL1KP1M  045</t>
  </si>
  <si>
    <t>MENS ACTION SPORTS</t>
  </si>
  <si>
    <t>MENS ACTION SPORTS SURF FTW</t>
  </si>
  <si>
    <t>VN0A4BWL1KP1017 - Circle Vee Black/Marshmllw, 4.5, Medium</t>
  </si>
  <si>
    <t>VN0A4OE2DCR1016</t>
  </si>
  <si>
    <t>Old Skool C 2.0</t>
  </si>
  <si>
    <t>DISNEY/PIXAR TEXTILE</t>
  </si>
  <si>
    <t>VN0A4OE2DCR1M  075</t>
  </si>
  <si>
    <t>VN0A4OE2DCR1016 - Old Skool C 2.0 Disney/Pixa, 7.5, Medium</t>
  </si>
  <si>
    <t>VN0A4OFQDCC1001</t>
  </si>
  <si>
    <t>Classic Slip-On C 2.0</t>
  </si>
  <si>
    <t>DISNEY TEXTILE</t>
  </si>
  <si>
    <t>VN0A4OFQDCC1M  055</t>
  </si>
  <si>
    <t>VN KIDS CUSTOMS FOOTWEAR</t>
  </si>
  <si>
    <t>VN KIDS CUSTOMS ICONS FTW</t>
  </si>
  <si>
    <t>VN0A4OFQDCC1001 - Classic Slip-On C 2.0 Disne, 5.5, Medium</t>
  </si>
  <si>
    <t>VN0A4U1K3MZ1008</t>
  </si>
  <si>
    <t>VN0A4U1K3MZ1M  105</t>
  </si>
  <si>
    <t>VN0A4U1K3MZ1008 - MTE UltraRange EXO dark gr, 10.5, Medium</t>
  </si>
  <si>
    <t>VN0A4U1KBLK1011</t>
  </si>
  <si>
    <t>VN0A4U1KBLK1M  070</t>
  </si>
  <si>
    <t>VN0A4U1KBLK1011 - MTE UltraRange EXO Black, 7, Medium</t>
  </si>
  <si>
    <t>VN0A4U1KBLK1009</t>
  </si>
  <si>
    <t>VN0A4U1KBLK1M  110</t>
  </si>
  <si>
    <t>VN0A4U1KBLK1009 - MTE UltraRange EXO Black, 11, Medium</t>
  </si>
  <si>
    <t>VN0A4U1KBM71015</t>
  </si>
  <si>
    <t>TRADEWINDS</t>
  </si>
  <si>
    <t>VN0A4U1KBM71M  070</t>
  </si>
  <si>
    <t>VN0A4U1KBM71015 - MTE UltraRange EXO TRADEWINDS, 7, Medium</t>
  </si>
  <si>
    <t>VN0A4U1KBM71012</t>
  </si>
  <si>
    <t>VN0A4U1KBM71M  085</t>
  </si>
  <si>
    <t>VN0A4U1KBM71012 - MTE UltraRange EXO TRADEWIN, 8.5, Medium</t>
  </si>
  <si>
    <t>VN0A4U1KSQ71018</t>
  </si>
  <si>
    <t>VN0A4U1KSQ71M  055</t>
  </si>
  <si>
    <t>VN0A4U1KSQ71018 - MTE UltraRange EXO CORNSTAL, 5.5, Medium</t>
  </si>
  <si>
    <t>VN0A4UUK4W71003</t>
  </si>
  <si>
    <t>(CANVAS/SUEDE)BLKCHCKRBRD</t>
  </si>
  <si>
    <t>VN0A4UUK4W71M  040</t>
  </si>
  <si>
    <t>CANVAS/SUEDE</t>
  </si>
  <si>
    <t>VN0A4UUK4W71003 - SK8-Low CHBD CSUE BLACK, 4, Medium</t>
  </si>
  <si>
    <t>VN0A4UUK4W71013</t>
  </si>
  <si>
    <t>VN0A4UUK4W71M  045</t>
  </si>
  <si>
    <t>VN0A4UUK4W71013 - SK8-Low CHBD CSUE BLACK, 4.5, Medium</t>
  </si>
  <si>
    <t>VN0A4UUK4W71014</t>
  </si>
  <si>
    <t>VN0A4UUK4W71M  050</t>
  </si>
  <si>
    <t>VN0A4UUK4W71014 - SK8-Low CHBD CSUE BLACK, 5, Medium</t>
  </si>
  <si>
    <t>VN0A4UUK4W71015</t>
  </si>
  <si>
    <t>VN0A4UUK4W71M  090</t>
  </si>
  <si>
    <t>VN0A4UUK4W71015 - SK8-Low CHBD CSUE BLACK, 9, Medium</t>
  </si>
  <si>
    <t>VN0A4UUK4W71004</t>
  </si>
  <si>
    <t>VN0A4UUK4W71M  120</t>
  </si>
  <si>
    <t>VN0A4UUK4W71004 - SK8-Low CHBD CSUE BLACK, 12, Medium</t>
  </si>
  <si>
    <t>VN0A4UWM2QL1001</t>
  </si>
  <si>
    <t>VN0A4UWM2QL1M  040</t>
  </si>
  <si>
    <t>VN0A4UWM2QL1001 - UltraRange EXO SE MESH BLACK, 4, Medium</t>
  </si>
  <si>
    <t>VN0A4UWM5UR1016</t>
  </si>
  <si>
    <t>white/white/grey</t>
  </si>
  <si>
    <t>VN0A4UWM5UR1M  050</t>
  </si>
  <si>
    <t>VN0A4UWM5UR1016 - UltraRange EXO SE white/white, 5, Medium</t>
  </si>
  <si>
    <t>VN0A4UWMBER1019</t>
  </si>
  <si>
    <t>VN0A4UWMBER1M  040</t>
  </si>
  <si>
    <t>VN0A4UWMBER1019 - UltraRange EXO SE MESH MULTI, 4, Medium</t>
  </si>
  <si>
    <t>VN0A4UWMBER1018</t>
  </si>
  <si>
    <t>VN0A4UWMBER1M  050</t>
  </si>
  <si>
    <t>VN0A4UWMBER1018 - UltraRange EXO SE MESH MULTI, 5, Medium</t>
  </si>
  <si>
    <t>VN0A5FCAPIB1016</t>
  </si>
  <si>
    <t>VN0A5FCAPIB1M  055</t>
  </si>
  <si>
    <t>VN0A5FCAPIB1016 - Skate Slip-On Pink/Black, 5.5, Medium</t>
  </si>
  <si>
    <t>VN0A5FCAPIB1015</t>
  </si>
  <si>
    <t>VN0A5FCAPIB1M  060</t>
  </si>
  <si>
    <t>VN0A5FCAPIB1015 - Skate Slip-On Pink/Black, 6, Medium</t>
  </si>
  <si>
    <t>VN0A5FCAPIB1014</t>
  </si>
  <si>
    <t>VN0A5FCAPIB1M  065</t>
  </si>
  <si>
    <t>VN0A5FCAPIB1014 - Skate Slip-On Pink/Black, 6.5, Medium</t>
  </si>
  <si>
    <t>VN0A5FCAPIB1013</t>
  </si>
  <si>
    <t>VN0A5FCAPIB1M  070</t>
  </si>
  <si>
    <t>VN0A5FCAPIB1013 - Skate Slip-On Pink/Black, 7, Medium</t>
  </si>
  <si>
    <t>VN0A5FCAPIB1004</t>
  </si>
  <si>
    <t>VN0A5FCAPIB1M  075</t>
  </si>
  <si>
    <t>VN0A5FCAPIB1004 - Skate Slip-On Pink/Black, 7.5, Medium</t>
  </si>
  <si>
    <t>VN0A5FCAPIB1001</t>
  </si>
  <si>
    <t>VN0A5FCAPIB1M  090</t>
  </si>
  <si>
    <t>VN0A5FCAPIB1001 - Skate Slip-On Pink/Black, 9, Medium</t>
  </si>
  <si>
    <t>VN0A5FCAPIB1009</t>
  </si>
  <si>
    <t>VN0A5FCAPIB1M  105</t>
  </si>
  <si>
    <t>VN0A5FCAPIB1009 - Skate Slip-On Pink/Black, 10.5, Medium</t>
  </si>
  <si>
    <t>VN0A5FCB1N61019</t>
  </si>
  <si>
    <t>VN0A5FCB1N61M  035</t>
  </si>
  <si>
    <t>VN0A5FCB1N61019 - Skate Old Skool Pewter/Whit, 3.5, Medium</t>
  </si>
  <si>
    <t>VN0A5FCB1N61008</t>
  </si>
  <si>
    <t>VN0A5FCB1N61M  100</t>
  </si>
  <si>
    <t>VN0A5FCB1N61008 - Skate Old Skool Pewter/White, 10, Medium</t>
  </si>
  <si>
    <t>VN0A5FCB1N61004</t>
  </si>
  <si>
    <t>VN0A5FCB1N61M  120</t>
  </si>
  <si>
    <t>VN0A5FCB1N61004 - Skate Old Skool Pewter/White, 12, Medium</t>
  </si>
  <si>
    <t>VN0A5FCBB9M1017</t>
  </si>
  <si>
    <t>VN0A5FCBB9M1M  055</t>
  </si>
  <si>
    <t>VN0A5FCBB9M1017 - Skate Old Skool Black/Gum, 5.5, Medium</t>
  </si>
  <si>
    <t>VN0A5FCCB9M1014</t>
  </si>
  <si>
    <t>VN0A5FCCB9M1M  055</t>
  </si>
  <si>
    <t>VN0A5FCCB9M1014 - Skate SK8-Hi Black/Gum, 5.5, Medium</t>
  </si>
  <si>
    <t>VN0A5FCCBH91009</t>
  </si>
  <si>
    <t>LIGHT GRAY/GUM</t>
  </si>
  <si>
    <t>VN0A5FCCBH91M  110</t>
  </si>
  <si>
    <t>VN0A5FCCBH91009 - Skate SK8-Hi LIGHT GRAY/GUM, 11, Medium</t>
  </si>
  <si>
    <t>VN0A5FCDEMW1006</t>
  </si>
  <si>
    <t>VN0A5FCDEMW1M  060</t>
  </si>
  <si>
    <t>VN0A5FCDEMW1006 - Skate Half Cab Gray Olive, 6, Medium</t>
  </si>
  <si>
    <t>VN0A5FCDEMW1005</t>
  </si>
  <si>
    <t>VN0A5FCDEMW1M  065</t>
  </si>
  <si>
    <t>VN0A5FCDEMW1005 - Skate Half Cab Gray Olive, 6.5, Medium</t>
  </si>
  <si>
    <t>VN0A5FCDEMW1015</t>
  </si>
  <si>
    <t>VN0A5FCDEMW1M  085</t>
  </si>
  <si>
    <t>VN0A5FCDEMW1015 - Skate Half Cab Gray Olive, 8.5, Medium</t>
  </si>
  <si>
    <t>VN0A5FCDEMW1001</t>
  </si>
  <si>
    <t>VN0A5FCDEMW1M  100</t>
  </si>
  <si>
    <t>VN0A5FCDEMW1001 - Skate Half Cab Gray Olive, 10, Medium</t>
  </si>
  <si>
    <t>VN0A5FCDEMW1018</t>
  </si>
  <si>
    <t>VN0A5FCDEMW1M  105</t>
  </si>
  <si>
    <t>VN0A5FCDEMW1018 - Skate Half Cab Gray Olive, 10.5, Medium</t>
  </si>
  <si>
    <t>VN0A5FCDGPE1012</t>
  </si>
  <si>
    <t>VN0A5FCDGPE1M  075</t>
  </si>
  <si>
    <t>VN0A5FCDGPE1012 - Skate Half Cab CROC DKPPL, 7.5, Medium</t>
  </si>
  <si>
    <t>VN0A5FCDGPE1017</t>
  </si>
  <si>
    <t>VN0A5FCDGPE1M  100</t>
  </si>
  <si>
    <t>VN0A5FCDGPE1017 - Skate Half Cab CROC DKPPL, 10, Medium</t>
  </si>
  <si>
    <t>VN0A5FCDGPE1001</t>
  </si>
  <si>
    <t>VN0A5FCDGPE1M  105</t>
  </si>
  <si>
    <t>VN0A5FCDGPE1001 - Skate Half Cab CROC DKPPL, 10.5, Medium</t>
  </si>
  <si>
    <t>VN0A5FCDGPE1007</t>
  </si>
  <si>
    <t>VN0A5FCDGPE1M  115</t>
  </si>
  <si>
    <t>VN0A5FCDGPE1007 - Skate Half Cab CROC DKPPL, 11.5, Medium</t>
  </si>
  <si>
    <t>VN0A5HF887T1009</t>
  </si>
  <si>
    <t>Safety Orange</t>
  </si>
  <si>
    <t>VN0A5HF887T1M  120</t>
  </si>
  <si>
    <t>VN0A5HF887T1009 - Slip-On TRK Safety Orange, 12, Medium</t>
  </si>
  <si>
    <t>VN0A5HYWA3I1001</t>
  </si>
  <si>
    <t>VN0A5HYWA3I1M  095</t>
  </si>
  <si>
    <t>VN0A5HYWA3I1001 - Range EXP Hi VansGuard MTE, 9.5, Medium</t>
  </si>
  <si>
    <t>VN0A5HZGGRY1005</t>
  </si>
  <si>
    <t>VN0A5HZGGRY1M  055</t>
  </si>
  <si>
    <t>METALLIC SUEDE</t>
  </si>
  <si>
    <t>VN0A5HZGGRY1005 - Filmore Hi Zip MESU DGREY, 5.5, Medium</t>
  </si>
  <si>
    <t>VN0A5HZGGRY1002</t>
  </si>
  <si>
    <t>VN0A5HZGGRY1M  085</t>
  </si>
  <si>
    <t>VN0A5HZGGRY1002 - Filmore Hi Zip MESU DGREY, 8.5, Medium</t>
  </si>
  <si>
    <t>VN0A5HZKENY1005</t>
  </si>
  <si>
    <t>Pewter/Blk</t>
  </si>
  <si>
    <t>VN0A5HZKENY1M  105</t>
  </si>
  <si>
    <t>SHERPA SUEDE</t>
  </si>
  <si>
    <t>VN0A5HZKENY1005 - Filmore Hi VansGuard SPSU, 10.5, Medium</t>
  </si>
  <si>
    <t>VN0A5HZY6I61014</t>
  </si>
  <si>
    <t>DACHSHUND/SUEDE</t>
  </si>
  <si>
    <t>VN0A5HZY6I61M  045</t>
  </si>
  <si>
    <t>VN0A5HZY6I61014 - SK8-Hi MTE-1 DACHSHUND/SUED, 4.5, Medium</t>
  </si>
  <si>
    <t>VN0A5HZY6I61011</t>
  </si>
  <si>
    <t>VN0A5HZY6I61M  060</t>
  </si>
  <si>
    <t>VN0A5HZY6I61011 - SK8-Hi MTE-1 DACHSHUND/SUEDE, 6, Medium</t>
  </si>
  <si>
    <t>VN0A5HZY6I61007</t>
  </si>
  <si>
    <t>VN0A5HZY6I61M  075</t>
  </si>
  <si>
    <t>VN0A5HZY6I61007 - SK8-Hi MTE-1 DACHSHUND/SUED, 7.5, Medium</t>
  </si>
  <si>
    <t>VN0A5HZY6J61010</t>
  </si>
  <si>
    <t>VN0A5HZY6J61M  050</t>
  </si>
  <si>
    <t>VN0A5HZY6J61010 - SK8-Hi MTE-1 DRIZZLE/MARSHMA, 5, Medium</t>
  </si>
  <si>
    <t>VN0A5HZYA041016</t>
  </si>
  <si>
    <t>BLACK/WHITE/CHECKERBOARD</t>
  </si>
  <si>
    <t>VN0A5HZYA041M  100</t>
  </si>
  <si>
    <t>VN0A5HZYA041016 - SK8-Hi MTE-1 BLACK/WHITE/CHE, 10, Medium</t>
  </si>
  <si>
    <t>VN0A5HZYZLD1007</t>
  </si>
  <si>
    <t>HOLLY BERRY</t>
  </si>
  <si>
    <t>VN0A5HZYZLD1M  080</t>
  </si>
  <si>
    <t>VN0A5HZYZLD1007 - SK8-Hi MTE-1 HOLLY BERRY, 8, Medium</t>
  </si>
  <si>
    <t>VN0A5HZYZLD1014</t>
  </si>
  <si>
    <t>VN0A5HZYZLD1M  085</t>
  </si>
  <si>
    <t>VN0A5HZYZLD1014 - SK8-Hi MTE-1 HOLLY BERRY, 8.5, Medium</t>
  </si>
  <si>
    <t>VN0A5I111OJ1001</t>
  </si>
  <si>
    <t>SK8-Hi GORE-TEX MTE-3</t>
  </si>
  <si>
    <t>VN0A5I111OJ1M  130</t>
  </si>
  <si>
    <t>VN0A5I111OJ1001 - SK8-Hi GORE-TEX MTE-3 Blacko, 13, Medium</t>
  </si>
  <si>
    <t>VN0A5I12KOU1001</t>
  </si>
  <si>
    <t>Old Skool MTE-1</t>
  </si>
  <si>
    <t>VN0A5I12KOU1M  130</t>
  </si>
  <si>
    <t>TONAL FLAME</t>
  </si>
  <si>
    <t>VN0A5I12KOU1001 - Old Skool MTE-1 BLACK/ASPHAL, 13, Medium</t>
  </si>
  <si>
    <t>VN0A5JIC39L1004</t>
  </si>
  <si>
    <t>BLACK/DARK GUM</t>
  </si>
  <si>
    <t>VN0A5JIC39L1M  070</t>
  </si>
  <si>
    <t>VN0A5JIC39L1004 - Skate Rowan BLACK/DARK GUM, 7, Medium</t>
  </si>
  <si>
    <t>VN0A5JIC39L1013</t>
  </si>
  <si>
    <t>VN0A5JIC39L1M  090</t>
  </si>
  <si>
    <t>VN0A5JIC39L1013 - Skate Rowan BLACK/DARK GUM, 9, Medium</t>
  </si>
  <si>
    <t>VN0A5JICNUT1016</t>
  </si>
  <si>
    <t>VN0A5JICNUT1M  070</t>
  </si>
  <si>
    <t>VN0A5JICNUT1016 - Skate Rowan NAVY/WHITE, 7, Medium</t>
  </si>
  <si>
    <t>VN0A5JICNUT1003</t>
  </si>
  <si>
    <t>VN0A5JICNUT1M  105</t>
  </si>
  <si>
    <t>VN0A5JICNUT1003 - Skate Rowan NAVY/WHITE, 10.5, Medium</t>
  </si>
  <si>
    <t>VN0A5JLGBMA1012</t>
  </si>
  <si>
    <t>VN0A5JLGBMA1M  090</t>
  </si>
  <si>
    <t>SUEDE/FOIL</t>
  </si>
  <si>
    <t>VN0A5JLGBMA1012 - Filmore Hi Tapered ST SDFL BL, 9, Medium</t>
  </si>
  <si>
    <t>VN0A5JMKBGF1017</t>
  </si>
  <si>
    <t>SK8-Hi Tapered Stackform</t>
  </si>
  <si>
    <t>VN0A5JMKBGF1M  060</t>
  </si>
  <si>
    <t>VN0A5JMKBGF1017 - SK8-Hi Tapered Platform GRAY, 6, Medium</t>
  </si>
  <si>
    <t>VN0A5JMKBGF1015</t>
  </si>
  <si>
    <t>VN0A5JMKBGF1M  070</t>
  </si>
  <si>
    <t>VN0A5JMKBGF1015 - SK8-Hi Tapered Platform GRAY, 7, Medium</t>
  </si>
  <si>
    <t>VN0A5JMKBGF1014</t>
  </si>
  <si>
    <t>VN0A5JMKBGF1M  075</t>
  </si>
  <si>
    <t>VN0A5JMKBGF1014 - SK8-Hi Tapered Platform GRA, 7.5, Medium</t>
  </si>
  <si>
    <t>VN0A5JMKBGF1012</t>
  </si>
  <si>
    <t>VN0A5JMKBGF1M  085</t>
  </si>
  <si>
    <t>VN0A5JMKBGF1012 - SK8-Hi Tapered Platform GRA, 8.5, Medium</t>
  </si>
  <si>
    <t>VN0A5JMKNWD1012</t>
  </si>
  <si>
    <t>Navy/True White</t>
  </si>
  <si>
    <t>VN0A5JMKNWD1M  070</t>
  </si>
  <si>
    <t>SPORT STRIPES</t>
  </si>
  <si>
    <t>VN0A5JMKNWD1012 - SK8-Hi Tapered Platform SOSE, 7, Medium</t>
  </si>
  <si>
    <t>VN0A5KR3BM01005</t>
  </si>
  <si>
    <t>Sentry Old Skool WC</t>
  </si>
  <si>
    <t>PEACH DUST</t>
  </si>
  <si>
    <t>VN0A5KR3BM01M  105</t>
  </si>
  <si>
    <t>VN0A5KR3BM01005 - Sentry Old Skool WC CHBD P, 10.5, Medium</t>
  </si>
  <si>
    <t>VN0A5KR52391015</t>
  </si>
  <si>
    <t>VN0A5KR52391M  055</t>
  </si>
  <si>
    <t>VN0A5KR52391015 - Cruze Too CC MUBL MDGRY, 5.5, Medium</t>
  </si>
  <si>
    <t>VN0A5KR59LF1019</t>
  </si>
  <si>
    <t>(TRAINER)TURTLEDVECLSCWHT</t>
  </si>
  <si>
    <t>VN0A5KR59LF1M  105</t>
  </si>
  <si>
    <t>MENS LIFESTYLE FOOTWEAR</t>
  </si>
  <si>
    <t>MENS LIFESTYLE CLASSICS PLUS FTW</t>
  </si>
  <si>
    <t>VN0A5KR59LF1019 - Cruze Too CC (TRAINER)TURT, 10.5, Medium</t>
  </si>
  <si>
    <t>VN0A5KS4DOL1011</t>
  </si>
  <si>
    <t>UltraRange EXO MTE-1</t>
  </si>
  <si>
    <t>Dark Olive</t>
  </si>
  <si>
    <t>VN0A5KS4DOL1M  085</t>
  </si>
  <si>
    <t>RAIN CAMO</t>
  </si>
  <si>
    <t>VN0A5KS4DOL1011 - UltraRange EXO MTE-1 RAIN D, 8.5, Medium</t>
  </si>
  <si>
    <t>VN0A5KS5BMV1013</t>
  </si>
  <si>
    <t>VN0A5KS5BMV1M  095</t>
  </si>
  <si>
    <t>VN0A5KS5BMV1013 - UltraRange EXO Hi MTE-1 BLA, 9.5, Medium</t>
  </si>
  <si>
    <t>VN0A5KS5BPO1011</t>
  </si>
  <si>
    <t>BLACK/MARSHMALLOW</t>
  </si>
  <si>
    <t>VN0A5KS5BPO1M  085</t>
  </si>
  <si>
    <t>VN0A5KS5BPO1011 - UltraRange EXO Hi MTE-1 BLA, 8.5, Medium</t>
  </si>
  <si>
    <t>VN0A5KS5BPO1018</t>
  </si>
  <si>
    <t>VN0A5KS5BPO1M  120</t>
  </si>
  <si>
    <t>VN0A5KS5BPO1018 - UltraRange EXO Hi MTE-1 BLAC, 12, Medium</t>
  </si>
  <si>
    <t>VN0A5KY5BA21003</t>
  </si>
  <si>
    <t>Sentry SK8-Hi WC</t>
  </si>
  <si>
    <t>VN0A5KY5BA21M  045</t>
  </si>
  <si>
    <t>VN0A5KY5BA21003 - Sentry SK8-Hi WC BLACK/WHIT, 4.5, Medium</t>
  </si>
  <si>
    <t>VN0A5KY5BA21007</t>
  </si>
  <si>
    <t>VN0A5KY5BA21M  065</t>
  </si>
  <si>
    <t>VN0A5KY5BA21007 - Sentry SK8-Hi WC BLACK/WHIT, 6.5, Medium</t>
  </si>
  <si>
    <t>VN0A5KYCZF51018</t>
  </si>
  <si>
    <t>VN0A5KYCZF51M  040</t>
  </si>
  <si>
    <t>VN0A5KYCZF51018 - SK8-Hi MTE-2 Khaki/Black, 4, Medium</t>
  </si>
  <si>
    <t>VN0A7Q51BLK1002</t>
  </si>
  <si>
    <t>Avila 3 Point</t>
  </si>
  <si>
    <t>VN0A7Q51BLK1M  050</t>
  </si>
  <si>
    <t>VN0A7Q51BLK1002 - Avila 3 Point Black, 5, Medium</t>
  </si>
  <si>
    <t>6046 - VN WM SANDALS STRAP</t>
  </si>
  <si>
    <t>VN0A7Q5E95Y1011</t>
  </si>
  <si>
    <t>Old Skool Overt CC</t>
  </si>
  <si>
    <t>Black/Checkerboard</t>
  </si>
  <si>
    <t>VN0A7Q5E95Y1M  075</t>
  </si>
  <si>
    <t>VN0A7Q5E95Y1011 - Old Skool Overt CC CHBD BLA, 7.5, Medium</t>
  </si>
  <si>
    <t>VN0A7Q5EZBF1006</t>
  </si>
  <si>
    <t>VN0A7Q5EZBF1M  060</t>
  </si>
  <si>
    <t>VN0A7Q5EZBF1006 - Old Skool Overt CC LODEN GREE, 6, Medium</t>
  </si>
  <si>
    <t>VN0A7Q5MBLU1003</t>
  </si>
  <si>
    <t>VN0A7Q5MBLU1M  115</t>
  </si>
  <si>
    <t>DENIM MIX</t>
  </si>
  <si>
    <t>VN0A7Q5MBLU1003 - Old Skool Stackform DEMI D, 11.5, Medium</t>
  </si>
  <si>
    <t>VN000NQWBKA1001</t>
  </si>
  <si>
    <t>BY CLASSIC PATCH TRU</t>
  </si>
  <si>
    <t>VN000NQWBKA1.  OS</t>
  </si>
  <si>
    <t>VN000NQWBKA1001 - BY CLASSIC PATCH TRU Black/Bla, One Size</t>
  </si>
  <si>
    <t>VN000PP2BLK1003</t>
  </si>
  <si>
    <t>Skate Splatter Crew</t>
  </si>
  <si>
    <t>VN000PP2BLK1.  S</t>
  </si>
  <si>
    <t>VN000PP2BLK1003 - Skate Splatter Crew Black, Small</t>
  </si>
  <si>
    <t>56%Cotton 26%Polyester 13%Nylon 3%Elastodiene 2%Elastane</t>
  </si>
  <si>
    <t>VN000PNH5TU1003</t>
  </si>
  <si>
    <t>Skate Sun Swirl Short S</t>
  </si>
  <si>
    <t>VN000PNH5TU1.  XS</t>
  </si>
  <si>
    <t>VN000PNH5TU1003 - Skate Sun Swirl Short S True Na, X Small</t>
  </si>
  <si>
    <t>VN000PNH5TU1002</t>
  </si>
  <si>
    <t>VN000PNH5TU1.  S</t>
  </si>
  <si>
    <t>VN000PNH5TU1002 - Skate Sun Swirl Short S True Navy, Small</t>
  </si>
  <si>
    <t>VN000EEBBO51011</t>
  </si>
  <si>
    <t>MTE Ultrarange Neo VR3</t>
  </si>
  <si>
    <t>VN000EEBBO51M  085</t>
  </si>
  <si>
    <t>VN000EEBBO51011 - MTE Ultrarange Neo VR3 MULT, 8.5, Medium</t>
  </si>
  <si>
    <t>VN000EEBBO51014</t>
  </si>
  <si>
    <t>VN000EEBBO51M  100</t>
  </si>
  <si>
    <t>VN000EEBBO51014 - MTE Ultrarange Neo VR3 MULTI, 10, Medium</t>
  </si>
  <si>
    <t>VN000PNH5TU1005</t>
  </si>
  <si>
    <t>VN000PNH5TU1.  M</t>
  </si>
  <si>
    <t>VN000PNH5TU1005 - Skate Sun Swirl Short S True Nav, Medium</t>
  </si>
  <si>
    <t>VN000GKZBLK1001</t>
  </si>
  <si>
    <t>LEWIS MILLS CAMPER</t>
  </si>
  <si>
    <t>VN000GKZBLK1.  OS</t>
  </si>
  <si>
    <t>VN000GKZBLK1001 - Skate LEWIS MILLS CAMPE BLACK, One Size</t>
  </si>
  <si>
    <t>Shell: 100% Polyester EOD</t>
  </si>
  <si>
    <t>Action Sports|Monobrand</t>
  </si>
  <si>
    <t>VN000EJTTC41012</t>
  </si>
  <si>
    <t>MTE Crosspath</t>
  </si>
  <si>
    <t>VN000EJTTC41M  110</t>
  </si>
  <si>
    <t>VN000EJTTC41012 - MTE Crosspath SILVER/SILVER, 11, Medium</t>
  </si>
  <si>
    <t>VN000EEBBO51012</t>
  </si>
  <si>
    <t>VN000EEBBO51M  090</t>
  </si>
  <si>
    <t>VN000EEBBO51012 - MTE Ultrarange Neo VR3 MULTI/, 9, Medium</t>
  </si>
  <si>
    <t>VN000CVVSR61007</t>
  </si>
  <si>
    <t>CORAL SANDS</t>
  </si>
  <si>
    <t>VN000CVVSR61M  055</t>
  </si>
  <si>
    <t>VN000CVVSR61007 - Crosspath Mid CORAL SANDS, 5.5, Medium</t>
  </si>
  <si>
    <t>VN000CVVSR61019</t>
  </si>
  <si>
    <t>VN000CVVSR61M  085</t>
  </si>
  <si>
    <t>VN000CVVSR61019 - Crosspath Mid CORAL SANDS, 8.5, Medium</t>
  </si>
  <si>
    <t>VN000D3JB7G1008</t>
  </si>
  <si>
    <t>Skate Cab 4</t>
  </si>
  <si>
    <t>VN000D3JB7G1M  090</t>
  </si>
  <si>
    <t>VN000D3JB7G1008 - Skate Cab 4 Brown/Gum, 9, Medium</t>
  </si>
  <si>
    <t>VN000D3JB7G1006</t>
  </si>
  <si>
    <t>VN000D3JB7G1M  100</t>
  </si>
  <si>
    <t>VN000D3JB7G1006 - Skate Cab 4 Brown/Gum, 10, Medium</t>
  </si>
  <si>
    <t>VN000D5RZHJ1001</t>
  </si>
  <si>
    <t>ANTIQUE WHITE/BLACK</t>
  </si>
  <si>
    <t>VN000D5RZHJ1M  070</t>
  </si>
  <si>
    <t>VN000D5RZHJ1001 - Skate Old Skool 36 + ANTIQUE, 7, Medium</t>
  </si>
  <si>
    <t>VN000D5RZHJ1006</t>
  </si>
  <si>
    <t>VN000D5RZHJ1M  075</t>
  </si>
  <si>
    <t>VN000D5RZHJ1006 - Skate Old Skool 36 + ANTIQU, 7.5, Medium</t>
  </si>
  <si>
    <t>VN000EEBBO51017</t>
  </si>
  <si>
    <t>VN000EEBBO51M  105</t>
  </si>
  <si>
    <t>VN000EEBBO51017 - MTE Ultrarange Neo VR3 MUL, 10.5, Medium</t>
  </si>
  <si>
    <t>VN000J9NCHG1013</t>
  </si>
  <si>
    <t>Skate Check-5 Skate Loo</t>
  </si>
  <si>
    <t>VN000J9NCHG1REG40</t>
  </si>
  <si>
    <t>VN000J9NCHG1013 - Skate Check-5 Skate Loo DEE, 40, Regular</t>
  </si>
  <si>
    <t>VN000CVVSR61018</t>
  </si>
  <si>
    <t>VN000CVVSR61M  095</t>
  </si>
  <si>
    <t>VN000CVVSR61018 - Crosspath Mid CORAL SANDS, 9.5, Medium</t>
  </si>
  <si>
    <t>VN000CVVSR61004</t>
  </si>
  <si>
    <t>VN000CVVSR61M  100</t>
  </si>
  <si>
    <t>VN000CVVSR61004 - Crosspath Mid CORAL SANDS, 10, Medium</t>
  </si>
  <si>
    <t>VN000CVVSR61017</t>
  </si>
  <si>
    <t>VN000CVVSR61M  105</t>
  </si>
  <si>
    <t>VN000CVVSR61017 - Crosspath Mid CORAL SANDS, 10.5, Medium</t>
  </si>
  <si>
    <t>VN000D1GSN01009</t>
  </si>
  <si>
    <t>VN000D1GSN01M  085</t>
  </si>
  <si>
    <t>VN000D1GSN01009 - Rowley XLT STV Navy, 8.5, Medium</t>
  </si>
  <si>
    <t>VN0A4BXB1KP1009</t>
  </si>
  <si>
    <t>VN0A4BXB1KP1M  085</t>
  </si>
  <si>
    <t>VN0A4BXB1KP1009 - MTE UltraRange VR3 Black/Ma, 8.5, Medium</t>
  </si>
  <si>
    <t>VN000J9NCHG1007</t>
  </si>
  <si>
    <t>VN000J9NCHG1REG28</t>
  </si>
  <si>
    <t>VN000J9NCHG1007 - Skate Check-5 Skate Loo DEE, 28, Regular</t>
  </si>
  <si>
    <t>VN000CVURV21019</t>
  </si>
  <si>
    <t>VN000CVURV21M  060</t>
  </si>
  <si>
    <t>VN000CVURV21019 - Crosspath STORMY WEATHER, 6, Medium</t>
  </si>
  <si>
    <t>VN000CVVSR61013</t>
  </si>
  <si>
    <t>VN000CVVSR61M  060</t>
  </si>
  <si>
    <t>VN000CVVSR61013 - Crosspath Mid CORAL SANDS, 6, Medium</t>
  </si>
  <si>
    <t>VN000CVVSR61011</t>
  </si>
  <si>
    <t>VN000CVVSR61M  070</t>
  </si>
  <si>
    <t>VN000CVVSR61011 - Crosspath Mid CORAL SANDS, 7, Medium</t>
  </si>
  <si>
    <t>VN000D1GSN01014</t>
  </si>
  <si>
    <t>VN000D1GSN01M  060</t>
  </si>
  <si>
    <t>VN000D1GSN01014 - Rowley XLT STV Navy, 6, Medium</t>
  </si>
  <si>
    <t>VN000D85GRY1011</t>
  </si>
  <si>
    <t>VN000D85GRY1M  080</t>
  </si>
  <si>
    <t>VN000D85GRY1011 - Skate Curren Caples Grey, 8, Medium</t>
  </si>
  <si>
    <t>VN000EB4CCZ1011</t>
  </si>
  <si>
    <t>VN000EB4CCZ1M  045</t>
  </si>
  <si>
    <t>VN000EB4CCZ1011 - Sk8-Hi Insulated MARSHMALLO, 4.5, Medium</t>
  </si>
  <si>
    <t>VN000EJTTC41013</t>
  </si>
  <si>
    <t>VN000EJTTC41M  105</t>
  </si>
  <si>
    <t>VN000EJTTC41013 - MTE Crosspath SILVER/SILVE, 10.5, Medium</t>
  </si>
  <si>
    <t>VN000J9NCHG1006</t>
  </si>
  <si>
    <t>VN000J9NCHG1REG29</t>
  </si>
  <si>
    <t>VN000J9NCHG1006 - Skate Check-5 Skate Loo DEE, 29, Regular</t>
  </si>
  <si>
    <t>VN000CVURV21002</t>
  </si>
  <si>
    <t>VN000CVURV21M  110</t>
  </si>
  <si>
    <t>VN000CVURV21002 - Crosspath STORMY WEATHER, 11, Medium</t>
  </si>
  <si>
    <t>VN000CVVSR61010</t>
  </si>
  <si>
    <t>VN000CVVSR61M  075</t>
  </si>
  <si>
    <t>VN000CVVSR61010 - Crosspath Mid CORAL SANDS, 7.5, Medium</t>
  </si>
  <si>
    <t>VN000D1G1OJ1013</t>
  </si>
  <si>
    <t>VN000D1G1OJ1M  115</t>
  </si>
  <si>
    <t>VN000D1G1OJ1013 - Rowley XLT Blackout, 11.5, Medium</t>
  </si>
  <si>
    <t>VN000D1GSN01015</t>
  </si>
  <si>
    <t>VN000D1GSN01M  055</t>
  </si>
  <si>
    <t>VN000D1GSN01015 - Rowley XLT STV Navy, 5.5, Medium</t>
  </si>
  <si>
    <t>VN000D1GSN01011</t>
  </si>
  <si>
    <t>VN000D1GSN01M  075</t>
  </si>
  <si>
    <t>VN000D1GSN01011 - Rowley XLT STV Navy, 7.5, Medium</t>
  </si>
  <si>
    <t>VN000EEBBO51008</t>
  </si>
  <si>
    <t>VN000EEBBO51M  070</t>
  </si>
  <si>
    <t>VN000EEBBO51008 - MTE Ultrarange Neo VR3 MULTI/, 7, Medium</t>
  </si>
  <si>
    <t>VN0A4BWLOBL1009</t>
  </si>
  <si>
    <t>Ocean Blue</t>
  </si>
  <si>
    <t>VN0A4BWLOBL1M  060</t>
  </si>
  <si>
    <t>VN0A4BWLOBL1009 - Circle Vee Ocean Blue, 6, Medium</t>
  </si>
  <si>
    <t>VN0A4VHFUY61015</t>
  </si>
  <si>
    <t>Surf Boot 2 Hi V</t>
  </si>
  <si>
    <t>BLANC DE BLANC/BLACK</t>
  </si>
  <si>
    <t>VN0A4VHFUY61M  040</t>
  </si>
  <si>
    <t>COL</t>
  </si>
  <si>
    <t>VN0A4VHFUY61015 - Surf Boot 2 Hi V WSTL WHTBL, 4, Medium</t>
  </si>
  <si>
    <t>VN0009UEBLK1004</t>
  </si>
  <si>
    <t>VN0009UEBLK1REGXL</t>
  </si>
  <si>
    <t>VN0009UEBLK1004 - MTE High-Country 3L Pa, X Large, Regular</t>
  </si>
  <si>
    <t>VN000J9NCHG1005</t>
  </si>
  <si>
    <t>VN000J9NCHG1REG30</t>
  </si>
  <si>
    <t>VN000J9NCHG1005 - Skate Check-5 Skate Loo DEE, 30, Regular</t>
  </si>
  <si>
    <t>VN000CUYY491009</t>
  </si>
  <si>
    <t>VN000CUYY491M  070</t>
  </si>
  <si>
    <t>VN000CUYY491009 - Skate Mixxa Brown/Black, 7, Medium</t>
  </si>
  <si>
    <t>VN000CVURV21013</t>
  </si>
  <si>
    <t>VN000CVURV21M  055</t>
  </si>
  <si>
    <t>VN000CVURV21013 - Crosspath STORMY WEATHER, 5.5, Medium</t>
  </si>
  <si>
    <t>VN000CVVSR61008</t>
  </si>
  <si>
    <t>VN000CVVSR61M  050</t>
  </si>
  <si>
    <t>VN000CVVSR61008 - Crosspath Mid CORAL SANDS, 5, Medium</t>
  </si>
  <si>
    <t>VN000CVVSR61003</t>
  </si>
  <si>
    <t>VN000CVVSR61M  110</t>
  </si>
  <si>
    <t>VN000CVVSR61003 - Crosspath Mid CORAL SANDS, 11, Medium</t>
  </si>
  <si>
    <t>VN000EEBBO51009</t>
  </si>
  <si>
    <t>VN000EEBBO51M  075</t>
  </si>
  <si>
    <t>VN000EEBBO51009 - MTE Ultrarange Neo VR3 MULT, 7.5, Medium</t>
  </si>
  <si>
    <t>VN0A2Z34B0Z1009</t>
  </si>
  <si>
    <t>Bronze</t>
  </si>
  <si>
    <t>VN0A2Z34B0Z1M  085</t>
  </si>
  <si>
    <t>METALLIC</t>
  </si>
  <si>
    <t>VN0A2Z34B0Z1009 - Skate Half Cab MTLC BRONZ, 8.5, Medium</t>
  </si>
  <si>
    <t>VN0A2Z3HGLD1010</t>
  </si>
  <si>
    <t>Gold</t>
  </si>
  <si>
    <t>VN0A2Z3HGLD1M  085</t>
  </si>
  <si>
    <t>VN0A2Z3HGLD1010 - Skate AVE 2.0 Gold, 8.5, Medium</t>
  </si>
  <si>
    <t>VN0A5KQZYY41015</t>
  </si>
  <si>
    <t>Skate Chukka Low Sidestri</t>
  </si>
  <si>
    <t>Espresso/Khaki</t>
  </si>
  <si>
    <t>VN0A5KQZYY41M  085</t>
  </si>
  <si>
    <t>VN0A5KQZYY41015 - Skate Chukka Low Sidestri E, 8.5, Medium</t>
  </si>
  <si>
    <t>VN000PP2BLK1002</t>
  </si>
  <si>
    <t>VN000PP2BLK1.  L</t>
  </si>
  <si>
    <t>VN000PP2BLK1002 - Skate Splatter Crew Black, Large</t>
  </si>
  <si>
    <t>VN0009UDKOU1001</t>
  </si>
  <si>
    <t>MTE Hellbound Pant</t>
  </si>
  <si>
    <t>VN0009UDKOU1REGXS</t>
  </si>
  <si>
    <t>VN0009UDKOU1001 - MTE Hellbound Pant BLA, X Small, Regular</t>
  </si>
  <si>
    <t>Recycled 100% Polyamide PD</t>
  </si>
  <si>
    <t>VN000CUYY491008</t>
  </si>
  <si>
    <t>VN000CUYY491M  075</t>
  </si>
  <si>
    <t>VN000CUYY491008 - Skate Mixxa Brown/Black, 7.5, Medium</t>
  </si>
  <si>
    <t>VN000CVURV21014</t>
  </si>
  <si>
    <t>VN000CVURV21M  050</t>
  </si>
  <si>
    <t>VN000CVURV21014 - Crosspath STORMY WEATHER, 5, Medium</t>
  </si>
  <si>
    <t>VN000CVVSR61005</t>
  </si>
  <si>
    <t>VN000CVVSR61M  090</t>
  </si>
  <si>
    <t>VN000CVVSR61005 - Crosspath Mid CORAL SANDS, 9, Medium</t>
  </si>
  <si>
    <t>VN000D1GSN01012</t>
  </si>
  <si>
    <t>VN000D1GSN01M  070</t>
  </si>
  <si>
    <t>VN000D1GSN01012 - Rowley XLT STV Navy, 7, Medium</t>
  </si>
  <si>
    <t>VN000D3JB7G1015</t>
  </si>
  <si>
    <t>VN000D3JB7G1M  080</t>
  </si>
  <si>
    <t>VN000D3JB7G1015 - Skate Cab 4 Brown/Gum, 8, Medium</t>
  </si>
  <si>
    <t>VN000D3NEZ71018</t>
  </si>
  <si>
    <t>BMX Peak</t>
  </si>
  <si>
    <t>Black/Evergreen</t>
  </si>
  <si>
    <t>VN000D3NEZ71M  070</t>
  </si>
  <si>
    <t>VN000D3NEZ71018 - BMX Peak Black/Evergreen, 7, Medium</t>
  </si>
  <si>
    <t>VN000D5RZHJ1016</t>
  </si>
  <si>
    <t>VN000D5RZHJ1M  130</t>
  </si>
  <si>
    <t>VN000D5RZHJ1016 - Skate Old Skool 36 + ANTIQUE, 13, Medium</t>
  </si>
  <si>
    <t>VN000D9ZRBG1019</t>
  </si>
  <si>
    <t>Red/Black/Grey</t>
  </si>
  <si>
    <t>VN000D9ZRBG1M  105</t>
  </si>
  <si>
    <t>VN000D9ZRBG1019 - Skate Half Cab Wafflecup R, 10.5, Medium</t>
  </si>
  <si>
    <t>VN000DA4PNK1006</t>
  </si>
  <si>
    <t>VN000DA4PNK1M  045</t>
  </si>
  <si>
    <t>VN000DA4PNK1006 - Skate Kyle Walker Wafflec P, 4.5, Medium</t>
  </si>
  <si>
    <t>VN000DA4PNK1018</t>
  </si>
  <si>
    <t>VN000DA4PNK1M  110</t>
  </si>
  <si>
    <t>VN000DA4PNK1018 - Skate Kyle Walker Wafflec Pi, 11, Medium</t>
  </si>
  <si>
    <t>VN000E23L381010</t>
  </si>
  <si>
    <t>Safe Low</t>
  </si>
  <si>
    <t>WHITE LEATHER</t>
  </si>
  <si>
    <t>VN000E23L381M  080</t>
  </si>
  <si>
    <t>ATH</t>
  </si>
  <si>
    <t>VN000E23L381010 - Safe Low RORY WTLTH, 8, Medium</t>
  </si>
  <si>
    <t>Athlete Colorway</t>
  </si>
  <si>
    <t>VN000EDNBJB1003</t>
  </si>
  <si>
    <t>Blue Denim</t>
  </si>
  <si>
    <t>VN000EDNBJB1M  055</t>
  </si>
  <si>
    <t>VN000EDNBJB1003 - Skate Old Skool Blue Denim, 5.5, Medium</t>
  </si>
  <si>
    <t>VN000EDNBJB1002</t>
  </si>
  <si>
    <t>VN000EDNBJB1M  060</t>
  </si>
  <si>
    <t>VN000EDNBJB1002 - Skate Old Skool Blue Denim, 6, Medium</t>
  </si>
  <si>
    <t>VN000EEBBO51003</t>
  </si>
  <si>
    <t>VN000EEBBO51M  035</t>
  </si>
  <si>
    <t>VN000EEBBO51003 - MTE Ultrarange Neo VR3 MULT, 3.5, Medium</t>
  </si>
  <si>
    <t>VN000EEBBO51018</t>
  </si>
  <si>
    <t>VN000EEBBO51M  065</t>
  </si>
  <si>
    <t>VN000EEBBO51018 - MTE Ultrarange Neo VR3 MULT, 6.5, Medium</t>
  </si>
  <si>
    <t>VN000EEBBO51002</t>
  </si>
  <si>
    <t>VN000EEBBO51M  120</t>
  </si>
  <si>
    <t>VN000EEBBO51002 - MTE Ultrarange Neo VR3 MULTI, 12, Medium</t>
  </si>
  <si>
    <t>VN000EJTTC41008</t>
  </si>
  <si>
    <t>VN000EJTTC41M  040</t>
  </si>
  <si>
    <t>VN000EJTTC41008 - MTE Crosspath SILVER/SILVER, 4, Medium</t>
  </si>
  <si>
    <t>VN0A5KQZYY41022</t>
  </si>
  <si>
    <t>VN0A5KQZYY41M  075</t>
  </si>
  <si>
    <t>VN0A5KQZYY41022 - Skate Chukka Low Sidestri E, 7.5, Medium</t>
  </si>
  <si>
    <t>VN0A5KQZYY41016</t>
  </si>
  <si>
    <t>VN0A5KQZYY41M  080</t>
  </si>
  <si>
    <t>VN0A5KQZYY41016 - Skate Chukka Low Sidestri Esp, 8, Medium</t>
  </si>
  <si>
    <t>VN0009UDKOU1002</t>
  </si>
  <si>
    <t>VN0009UDKOU1REGXL</t>
  </si>
  <si>
    <t>VN0009UDKOU1002 - MTE Hellbound Pant BLA, X Large, Regular</t>
  </si>
  <si>
    <t>VN0009UEBLK1002</t>
  </si>
  <si>
    <t>VN0009UEBLK1REGXXL</t>
  </si>
  <si>
    <t>VN0009UEBLK1002 - MTE High-Country 3L P, XX Large, Regular</t>
  </si>
  <si>
    <t>VN0009UFDRP1006</t>
  </si>
  <si>
    <t>MTE Hellbound Jacket</t>
  </si>
  <si>
    <t>Fiesta/Green Gables</t>
  </si>
  <si>
    <t>VN0009UFDRP1.  L</t>
  </si>
  <si>
    <t>VN0009UFDRP1006 - MTE Hellbound Jacket Fiesta/Green, Large</t>
  </si>
  <si>
    <t>VN0009UFDRP1003</t>
  </si>
  <si>
    <t>VN0009UFDRP1.  XL</t>
  </si>
  <si>
    <t>VN0009UFDRP1003 - MTE Hellbound Jacket Fiesta/Gre, X Large</t>
  </si>
  <si>
    <t>VN0009UFKOU1003</t>
  </si>
  <si>
    <t>VN0009UFKOU1.  XL</t>
  </si>
  <si>
    <t>VN0009UFKOU1003 - MTE Hellbound Jacket BLACK/ASPH, X Large</t>
  </si>
  <si>
    <t>VN0009UFKOU1002</t>
  </si>
  <si>
    <t>VN0009UFKOU1.  XS</t>
  </si>
  <si>
    <t>VN0009UFKOU1002 - MTE Hellbound Jacket BLACK/ASPH, X Small</t>
  </si>
  <si>
    <t>VN0005VDNGV1010</t>
  </si>
  <si>
    <t>Skate MC 96 VCU</t>
  </si>
  <si>
    <t>VN0005VDNGV1M  080</t>
  </si>
  <si>
    <t>NICK MICHEL</t>
  </si>
  <si>
    <t>VN0005VDNGV1010 - Skate MC 96 VCU NICK NVBL, 8, Medium</t>
  </si>
  <si>
    <t>VN000CVVSR61016</t>
  </si>
  <si>
    <t>VN000CVVSR61M  035</t>
  </si>
  <si>
    <t>VN000CVVSR61016 - Crosspath Mid CORAL SANDS, 3.5, Medium</t>
  </si>
  <si>
    <t>VN000CVVSR61006</t>
  </si>
  <si>
    <t>VN000CVVSR61M  080</t>
  </si>
  <si>
    <t>VN000CVVSR61006 - Crosspath Mid CORAL SANDS, 8, Medium</t>
  </si>
  <si>
    <t>VN000D1G92A1005</t>
  </si>
  <si>
    <t>WHITE/GREY</t>
  </si>
  <si>
    <t>VN000D1G92A1M  105</t>
  </si>
  <si>
    <t>VN000D1G92A1005 - Rowley XLT WHITE/GREY, 10.5, Medium</t>
  </si>
  <si>
    <t>VN000D1GK1O1008</t>
  </si>
  <si>
    <t>PORT ROYALE/WHITE</t>
  </si>
  <si>
    <t>VN000D1GK1O1M  090</t>
  </si>
  <si>
    <t>VN000D1GK1O1008 - Rowley XLT PORT ROYALE/WHI, 9, Medium</t>
  </si>
  <si>
    <t>VN000D1GSN01017</t>
  </si>
  <si>
    <t>VN000D1GSN01M  045</t>
  </si>
  <si>
    <t>VN000D1GSN01017 - Rowley XLT STV Navy, 4.5, Medium</t>
  </si>
  <si>
    <t>VN000D1GSN01016</t>
  </si>
  <si>
    <t>VN000D1GSN01M  050</t>
  </si>
  <si>
    <t>VN000D1GSN01016 - Rowley XLT STV Navy, 5, Medium</t>
  </si>
  <si>
    <t>VN000D1GYB21002</t>
  </si>
  <si>
    <t>VN000D1GYB21M  120</t>
  </si>
  <si>
    <t>VN000D1GYB21002 - Rowley XLT White/Black, 12, Medium</t>
  </si>
  <si>
    <t>VN000D3J6891019</t>
  </si>
  <si>
    <t>VN000D3J6891M  130</t>
  </si>
  <si>
    <t>VN000D3J6891019 - Skate Cab 4 Baby Blue, 13, Medium</t>
  </si>
  <si>
    <t>VN000D5RZHJ1005</t>
  </si>
  <si>
    <t>VN000D5RZHJ1M  080</t>
  </si>
  <si>
    <t>VN000D5RZHJ1005 - Skate Old Skool 36 + ANTIQUE, 8, Medium</t>
  </si>
  <si>
    <t>VN000D9ZRBG1017</t>
  </si>
  <si>
    <t>VN000D9ZRBG1M  085</t>
  </si>
  <si>
    <t>VN000D9ZRBG1017 - Skate Half Cab Wafflecup Re, 8.5, Medium</t>
  </si>
  <si>
    <t>VN000D9ZRBG1010</t>
  </si>
  <si>
    <t>VN000D9ZRBG1M  120</t>
  </si>
  <si>
    <t>VN000D9ZRBG1010 - Skate Half Cab Wafflecup Red, 12, Medium</t>
  </si>
  <si>
    <t>VN000DA4PNK1001</t>
  </si>
  <si>
    <t>VN000DA4PNK1M  100</t>
  </si>
  <si>
    <t>VN000DA4PNK1001 - Skate Kyle Walker Wafflec Pi, 10, Medium</t>
  </si>
  <si>
    <t>VN000EDNBJB1017</t>
  </si>
  <si>
    <t>VN000EDNBJB1M  045</t>
  </si>
  <si>
    <t>VN000EDNBJB1017 - Skate Old Skool Blue Denim, 4.5, Medium</t>
  </si>
  <si>
    <t>VN000EDNBJB1004</t>
  </si>
  <si>
    <t>VN000EDNBJB1M  050</t>
  </si>
  <si>
    <t>VN000EDNBJB1004 - Skate Old Skool Blue Denim, 5, Medium</t>
  </si>
  <si>
    <t>VN000EDNBJB1009</t>
  </si>
  <si>
    <t>VN000EDNBJB1M  115</t>
  </si>
  <si>
    <t>VN000EDNBJB1009 - Skate Old Skool Blue Denim, 11.5, Medium</t>
  </si>
  <si>
    <t>VN000EEBBO51010</t>
  </si>
  <si>
    <t>VN000EEBBO51M  080</t>
  </si>
  <si>
    <t>VN000EEBBO51010 - MTE Ultrarange Neo VR3 MULTI/, 8, Medium</t>
  </si>
  <si>
    <t>VN000EJTTC41007</t>
  </si>
  <si>
    <t>VN000EJTTC41M  045</t>
  </si>
  <si>
    <t>VN000EJTTC41007 - MTE Crosspath SILVER/SILVER, 4.5, Medium</t>
  </si>
  <si>
    <t>VN000EJTTC41017</t>
  </si>
  <si>
    <t>VN000EJTTC41M  050</t>
  </si>
  <si>
    <t>VN000EJTTC41017 - MTE Crosspath SILVER/SILVER, 5, Medium</t>
  </si>
  <si>
    <t>VN000EKUBKA1005</t>
  </si>
  <si>
    <t>Skate Old Skool Net</t>
  </si>
  <si>
    <t>VN000EKUBKA1M  105</t>
  </si>
  <si>
    <t>VN000EKUBKA1005 - Skate Old Skool Net DOOB B, 10.5, Medium</t>
  </si>
  <si>
    <t>VN000MRJYQX1011</t>
  </si>
  <si>
    <t>Skate Old Skool Sport</t>
  </si>
  <si>
    <t>PONDEROSA PINE</t>
  </si>
  <si>
    <t>VN000MRJYQX1M  075</t>
  </si>
  <si>
    <t>VN000MRJYQX1011 - Skate Old Skool Sport AXEL, 7.5, Medium</t>
  </si>
  <si>
    <t>VN0A2Z32Y451006</t>
  </si>
  <si>
    <t>Black/Smoke</t>
  </si>
  <si>
    <t>VN0A2Z32Y451M  100</t>
  </si>
  <si>
    <t>VN0A2Z32Y451006 - Skate Old Skool MTLC BLACK, 10, Medium</t>
  </si>
  <si>
    <t>VN0A2Z348YG1014</t>
  </si>
  <si>
    <t>antique white/gum</t>
  </si>
  <si>
    <t>VN0A2Z348YG1M  060</t>
  </si>
  <si>
    <t>VN0A2Z348YG1014 - Skate Half Cab antique white/, 6, Medium</t>
  </si>
  <si>
    <t>VN0A2Z35BFA1004</t>
  </si>
  <si>
    <t>Skate Half Cab '92 VCU</t>
  </si>
  <si>
    <t>VN0A2Z35BFA1M  110</t>
  </si>
  <si>
    <t>VN0A2Z35BFA1004 - Skate Half Cab '92 VCU DARK, 11, Medium</t>
  </si>
  <si>
    <t>VN0A2Z35BFA1003</t>
  </si>
  <si>
    <t>VN0A2Z35BFA1M  115</t>
  </si>
  <si>
    <t>VN0A2Z35BFA1003 - Skate Half Cab '92 VCU DAR, 11.5, Medium</t>
  </si>
  <si>
    <t>VN0A2Z3H1OU1017</t>
  </si>
  <si>
    <t>Brown Sugar</t>
  </si>
  <si>
    <t>VN0A2Z3H1OU1M  095</t>
  </si>
  <si>
    <t>VN0A2Z3H1OU1017 - Skate AVE 2.0 Brown Sugar, 9.5, Medium</t>
  </si>
  <si>
    <t>VN0A2Z3H1OU1018</t>
  </si>
  <si>
    <t>VN0A2Z3H1OU1M  100</t>
  </si>
  <si>
    <t>VN0A2Z3H1OU1018 - Skate AVE 2.0 Brown Sugar, 10, Medium</t>
  </si>
  <si>
    <t>VN0A2Z3HGLD1013</t>
  </si>
  <si>
    <t>VN0A2Z3HGLD1M  070</t>
  </si>
  <si>
    <t>VN0A2Z3HGLD1013 - Skate AVE 2.0 Gold, 7, Medium</t>
  </si>
  <si>
    <t>VN0A2Z3MGGR1008</t>
  </si>
  <si>
    <t>Skate Crockett High</t>
  </si>
  <si>
    <t>Grey/Green</t>
  </si>
  <si>
    <t>VN0A2Z3MGGR1M  100</t>
  </si>
  <si>
    <t>VN0A2Z3MGGR1008 - Skate Crockett High Grey/Gre, 10, Medium</t>
  </si>
  <si>
    <t>VN0A2Z3NY401011</t>
  </si>
  <si>
    <t>Skate Crockett High Decon</t>
  </si>
  <si>
    <t>VN0A2Z3NY401M  115</t>
  </si>
  <si>
    <t>Denim Car</t>
  </si>
  <si>
    <t>VN0A2Z3NY401011 - Skate Crockett High Decon, 11.5, Medium</t>
  </si>
  <si>
    <t>VN0A2Z3UCX61016</t>
  </si>
  <si>
    <t>VN0A2Z3UCX61M  070</t>
  </si>
  <si>
    <t>VN0A2Z3UCX61016 - BMX Peak Olive Drab, 7, Medium</t>
  </si>
  <si>
    <t>VN0A5KQZYY41012</t>
  </si>
  <si>
    <t>VN0A5KQZYY41M  110</t>
  </si>
  <si>
    <t>VN0A5KQZYY41012 - Skate Chukka Low Sidestri Es, 11, Medium</t>
  </si>
  <si>
    <t>VN0009UEBLK1007</t>
  </si>
  <si>
    <t>VN0009UEBLK1REGL</t>
  </si>
  <si>
    <t>VN0009UEBLK1007 - MTE High-Country 3L Pan, Large, Regular</t>
  </si>
  <si>
    <t>VN0009UFDRP1005</t>
  </si>
  <si>
    <t>VN0009UFDRP1.  M</t>
  </si>
  <si>
    <t>VN0009UFDRP1005 - MTE Hellbound Jacket Fiesta/Gree, Medium</t>
  </si>
  <si>
    <t>VN0009UFKOU1005</t>
  </si>
  <si>
    <t>VN0009UFKOU1.  M</t>
  </si>
  <si>
    <t>VN0009UFKOU1005 - MTE Hellbound Jacket BLACK/ASPHA, Medium</t>
  </si>
  <si>
    <t>VN000GFGBLK1001</t>
  </si>
  <si>
    <t>SPITFIRE WHEELS SS</t>
  </si>
  <si>
    <t>VN000GFGBLK1.  XL</t>
  </si>
  <si>
    <t>VN000GFGBLK1001 - Skate SPITFIRE WHEELS S BLACK, X Large</t>
  </si>
  <si>
    <t>VN000J9NCHG1010</t>
  </si>
  <si>
    <t>VN000J9NCHG1REG25</t>
  </si>
  <si>
    <t>VN000J9NCHG1010 - Skate Check-5 Skate Loo DEE, 25, Regular</t>
  </si>
  <si>
    <t>VN000J9NCHG1004</t>
  </si>
  <si>
    <t>VN000J9NCHG1REG31</t>
  </si>
  <si>
    <t>VN000J9NCHG1004 - Skate Check-5 Skate Loo DEE, 31, Regular</t>
  </si>
  <si>
    <t>VN000J9NCHG1002</t>
  </si>
  <si>
    <t>VN000J9NCHG1REG33</t>
  </si>
  <si>
    <t>VN000J9NCHG1002 - Skate Check-5 Skate Loo DEE, 33, Regular</t>
  </si>
  <si>
    <t>VN000J9NCHG1011</t>
  </si>
  <si>
    <t>VN000J9NCHG1REG36</t>
  </si>
  <si>
    <t>VN000J9NCHG1011 - Skate Check-5 Skate Loo DEE, 36, Regular</t>
  </si>
  <si>
    <t>VN000J9NCHG1012</t>
  </si>
  <si>
    <t>VN000J9NCHG1REG38</t>
  </si>
  <si>
    <t>VN000J9NCHG1012 - Skate Check-5 Skate Loo DEE, 38, Regular</t>
  </si>
  <si>
    <t>VN000CBSB7G1018</t>
  </si>
  <si>
    <t>Skate Zahba Mid</t>
  </si>
  <si>
    <t>VN000CBSB7G1M  075</t>
  </si>
  <si>
    <t>VN000CBSB7G1018 - Skate Zahba Mid Brown/Gum, 7.5, Medium</t>
  </si>
  <si>
    <t>VN000CBSB7G1012</t>
  </si>
  <si>
    <t>VN000CBSB7G1M  105</t>
  </si>
  <si>
    <t>VN000CBSB7G1012 - Skate Zahba Mid Brown/Gum, 10.5, Medium</t>
  </si>
  <si>
    <t>VN000CBSDOL1015</t>
  </si>
  <si>
    <t>VN000CBSDOL1M  105</t>
  </si>
  <si>
    <t>BEATRICE DOMOND</t>
  </si>
  <si>
    <t>VN000CBSDOL1015 - Skate Zahba Mid BEDO DGREN, 10.5, Medium</t>
  </si>
  <si>
    <t>VN000CBSHR01016</t>
  </si>
  <si>
    <t>VN000CBSHR01M  085</t>
  </si>
  <si>
    <t>VN000CBSHR01016 - Skate Zahba Mid Black/Pewte, 8.5, Medium</t>
  </si>
  <si>
    <t>VN000CBTAHY1019</t>
  </si>
  <si>
    <t>Skate Lizzie Low</t>
  </si>
  <si>
    <t>Vintage White/Black</t>
  </si>
  <si>
    <t>VN000CBTAHY1M  070</t>
  </si>
  <si>
    <t>VN000CBTAHY1019 - Skate Lizzie Low VntgWht/Blac, 7, Medium</t>
  </si>
  <si>
    <t>VN000CNXYY21016</t>
  </si>
  <si>
    <t>Rowley XLT VCU</t>
  </si>
  <si>
    <t>VN000CNXYY21M  080</t>
  </si>
  <si>
    <t>VN000CNXYY21016 - Rowley XLT VCU White/Navy, 8, Medium</t>
  </si>
  <si>
    <t>VN000CVURV21015</t>
  </si>
  <si>
    <t>VN000CVURV21M  045</t>
  </si>
  <si>
    <t>VN000CVURV21015 - Crosspath STORMY WEATHER, 4.5, Medium</t>
  </si>
  <si>
    <t>VN000CVURV21018</t>
  </si>
  <si>
    <t>VN000CVURV21M  065</t>
  </si>
  <si>
    <t>VN000CVURV21018 - Crosspath STORMY WEATHER, 6.5, Medium</t>
  </si>
  <si>
    <t>VN000CVURV21017</t>
  </si>
  <si>
    <t>VN000CVURV21M  070</t>
  </si>
  <si>
    <t>VN000CVURV21017 - Crosspath STORMY WEATHER, 7, Medium</t>
  </si>
  <si>
    <t>VN000CVURV21016</t>
  </si>
  <si>
    <t>VN000CVURV21M  075</t>
  </si>
  <si>
    <t>VN000CVURV21016 - Crosspath STORMY WEATHER, 7.5, Medium</t>
  </si>
  <si>
    <t>VN000CVVSR61015</t>
  </si>
  <si>
    <t>VN000CVVSR61M  040</t>
  </si>
  <si>
    <t>VN000CVVSR61015 - Crosspath Mid CORAL SANDS, 4, Medium</t>
  </si>
  <si>
    <t>VN000CVVSR61014</t>
  </si>
  <si>
    <t>VN000CVVSR61M  045</t>
  </si>
  <si>
    <t>VN000CVVSR61014 - Crosspath Mid CORAL SANDS, 4.5, Medium</t>
  </si>
  <si>
    <t>VN000D1G1OJ1006</t>
  </si>
  <si>
    <t>VN000D1G1OJ1M  035</t>
  </si>
  <si>
    <t>VN000D1G1OJ1006 - Rowley XLT Blackout, 3.5, Medium</t>
  </si>
  <si>
    <t>VN000D1G1OJ1001</t>
  </si>
  <si>
    <t>VN000D1G1OJ1M  065</t>
  </si>
  <si>
    <t>VN000D1G1OJ1001 - Rowley XLT Blackout, 6.5, Medium</t>
  </si>
  <si>
    <t>VN000D1G1OJ1019</t>
  </si>
  <si>
    <t>VN000D1G1OJ1M  130</t>
  </si>
  <si>
    <t>VN000D1G1OJ1019 - Rowley XLT Blackout, 13, Medium</t>
  </si>
  <si>
    <t>VN000D1G92A1017</t>
  </si>
  <si>
    <t>VN000D1G92A1M  045</t>
  </si>
  <si>
    <t>VN000D1G92A1017 - Rowley XLT WHITE/GREY, 4.5, Medium</t>
  </si>
  <si>
    <t>VN000D1G92A1008</t>
  </si>
  <si>
    <t>VN000D1G92A1M  090</t>
  </si>
  <si>
    <t>VN000D1G92A1008 - Rowley XLT WHITE/GREY, 9, Medium</t>
  </si>
  <si>
    <t>VN000D1G92A1007</t>
  </si>
  <si>
    <t>VN000D1G92A1M  095</t>
  </si>
  <si>
    <t>VN000D1G92A1007 - Rowley XLT WHITE/GREY, 9.5, Medium</t>
  </si>
  <si>
    <t>VN000D1G92A1006</t>
  </si>
  <si>
    <t>VN000D1G92A1M  100</t>
  </si>
  <si>
    <t>VN000D1G92A1006 - Rowley XLT WHITE/GREY, 10, Medium</t>
  </si>
  <si>
    <t>VN000D1GA2T1015</t>
  </si>
  <si>
    <t>Black/Chili Pepper</t>
  </si>
  <si>
    <t>VN000D1GA2T1M  045</t>
  </si>
  <si>
    <t>VN000D1GA2T1015 - Rowley XLT Black/Chili Pep, 4.5, Medium</t>
  </si>
  <si>
    <t>VN000D1GA2T1005</t>
  </si>
  <si>
    <t>VN000D1GA2T1M  105</t>
  </si>
  <si>
    <t>VN000D1GA2T1005 - Rowley XLT Black/Chili Pep, 10.5, Medium</t>
  </si>
  <si>
    <t>VN000D1GBWT1008</t>
  </si>
  <si>
    <t>Black/White/Red</t>
  </si>
  <si>
    <t>VN000D1GBWT1M  095</t>
  </si>
  <si>
    <t>VN000D1GBWT1008 - Rowley XLT Black/White/Red, 9.5, Medium</t>
  </si>
  <si>
    <t>VN000D1GK1O1011</t>
  </si>
  <si>
    <t>VN000D1GK1O1M  075</t>
  </si>
  <si>
    <t>VN000D1GK1O1011 - Rowley XLT PORT ROYALE/WHI, 7.5, Medium</t>
  </si>
  <si>
    <t>VN000D1GK1O1006</t>
  </si>
  <si>
    <t>VN000D1GK1O1M  100</t>
  </si>
  <si>
    <t>VN000D1GK1O1006 - Rowley XLT PORT ROYALE/WHI, 10, Medium</t>
  </si>
  <si>
    <t>VN000D1GK1O1005</t>
  </si>
  <si>
    <t>VN000D1GK1O1M  105</t>
  </si>
  <si>
    <t>VN000D1GK1O1005 - Rowley XLT PORT ROYALE/WHI, 10.5, Medium</t>
  </si>
  <si>
    <t>VN000D1GSN01019</t>
  </si>
  <si>
    <t>VN000D1GSN01M  035</t>
  </si>
  <si>
    <t>VN000D1GSN01019 - Rowley XLT STV Navy, 3.5, Medium</t>
  </si>
  <si>
    <t>VN000D1GSN01013</t>
  </si>
  <si>
    <t>VN000D1GSN01M  065</t>
  </si>
  <si>
    <t>VN000D1GSN01013 - Rowley XLT STV Navy, 6.5, Medium</t>
  </si>
  <si>
    <t>VN000D1GSN01010</t>
  </si>
  <si>
    <t>VN000D1GSN01M  080</t>
  </si>
  <si>
    <t>VN000D1GSN01010 - Rowley XLT STV Navy, 8, Medium</t>
  </si>
  <si>
    <t>VN000D1GYB21008</t>
  </si>
  <si>
    <t>VN000D1GYB21M  090</t>
  </si>
  <si>
    <t>VN000D1GYB21008 - Rowley XLT White/Black, 9, Medium</t>
  </si>
  <si>
    <t>VN000D1GYB21007</t>
  </si>
  <si>
    <t>VN000D1GYB21M  095</t>
  </si>
  <si>
    <t>VN000D1GYB21007 - Rowley XLT White/Black, 9.5, Medium</t>
  </si>
  <si>
    <t>VN000D1GYB21006</t>
  </si>
  <si>
    <t>VN000D1GYB21M  100</t>
  </si>
  <si>
    <t>VN000D1GYB21006 - Rowley XLT White/Black, 10, Medium</t>
  </si>
  <si>
    <t>VN000D1GYB21003</t>
  </si>
  <si>
    <t>VN000D1GYB21M  115</t>
  </si>
  <si>
    <t>VN000D1GYB21003 - Rowley XLT White/Black, 11.5, Medium</t>
  </si>
  <si>
    <t>VN000D1GYB21001</t>
  </si>
  <si>
    <t>VN000D1GYB21M  130</t>
  </si>
  <si>
    <t>VN000D1GYB21001 - Rowley XLT White/Black, 13, Medium</t>
  </si>
  <si>
    <t>VN000D3JB7G1016</t>
  </si>
  <si>
    <t>VN000D3JB7G1M  075</t>
  </si>
  <si>
    <t>VN000D3JB7G1016 - Skate Cab 4 Brown/Gum, 7.5, Medium</t>
  </si>
  <si>
    <t>VN000D3JB7G1004</t>
  </si>
  <si>
    <t>VN000D3JB7G1M  110</t>
  </si>
  <si>
    <t>VN000D3JB7G1004 - Skate Cab 4 Brown/Gum, 11, Medium</t>
  </si>
  <si>
    <t>VN000D3NEZ71010</t>
  </si>
  <si>
    <t>VN000D3NEZ71M  045</t>
  </si>
  <si>
    <t>VN000D3NEZ71010 - BMX Peak Black/Evergreen, 4.5, Medium</t>
  </si>
  <si>
    <t>VN000D3NEZ71013</t>
  </si>
  <si>
    <t>VN000D3NEZ71M  090</t>
  </si>
  <si>
    <t>VN000D3NEZ71013 - BMX Peak Black/Evergreen, 9, Medium</t>
  </si>
  <si>
    <t>VN000D3R2031016</t>
  </si>
  <si>
    <t>BMX Style 114</t>
  </si>
  <si>
    <t>VN000D3R2031M  050</t>
  </si>
  <si>
    <t>VN000D3R2031016 - BMX Style 114 SPRT DGRBL, 5, Medium</t>
  </si>
  <si>
    <t>VN000D3RSQ51019</t>
  </si>
  <si>
    <t>Sun-Dried Tomato</t>
  </si>
  <si>
    <t>VN000D3RSQ51M  070</t>
  </si>
  <si>
    <t>VN000D3RSQ51019 - BMX Style 114 Sun-Dried Tomat, 7, Medium</t>
  </si>
  <si>
    <t>VN000D3RSQ51017</t>
  </si>
  <si>
    <t>VN000D3RSQ51M  080</t>
  </si>
  <si>
    <t>VN000D3RSQ51017 - BMX Style 114 Sun-Dried Tomat, 8, Medium</t>
  </si>
  <si>
    <t>VN000D3UZBF1001</t>
  </si>
  <si>
    <t>Skate Gilbert Crockett</t>
  </si>
  <si>
    <t>VN000D3UZBF1M  085</t>
  </si>
  <si>
    <t>VN000D3UZBF1001 - Skate Gilbert Crockett LODE, 8.5, Medium</t>
  </si>
  <si>
    <t>VN000D3UZBF1018</t>
  </si>
  <si>
    <t>VN000D3UZBF1M  090</t>
  </si>
  <si>
    <t>VN000D3UZBF1018 - Skate Gilbert Crockett LODEN, 9, Medium</t>
  </si>
  <si>
    <t>VN000D3UZBF1015</t>
  </si>
  <si>
    <t>VN000D3UZBF1M  105</t>
  </si>
  <si>
    <t>VN000D3UZBF1015 - Skate Gilbert Crockett LOD, 10.5, Medium</t>
  </si>
  <si>
    <t>VN000D3UZBF1013</t>
  </si>
  <si>
    <t>VN000D3UZBF1M  115</t>
  </si>
  <si>
    <t>VN000D3UZBF1013 - Skate Gilbert Crockett LOD, 11.5, Medium</t>
  </si>
  <si>
    <t>VN000D5DBRO1005</t>
  </si>
  <si>
    <t>VN000D5DBRO1M  080</t>
  </si>
  <si>
    <t>VN000D5DBRO1005 - Skate 2 Wayvee Brown, 8, Medium</t>
  </si>
  <si>
    <t>VN000D5DWHT1012</t>
  </si>
  <si>
    <t>VN000D5DWHT1M  070</t>
  </si>
  <si>
    <t>VN000D5DWHT1012 - Skate 2 Wayvee White, 7, Medium</t>
  </si>
  <si>
    <t>VN000D5RHT31015</t>
  </si>
  <si>
    <t>Black/Stv Navy</t>
  </si>
  <si>
    <t>VN000D5RHT31M  070</t>
  </si>
  <si>
    <t>VN000D5RHT31015 - Skate Old Skool 36 + Black/St, 7, Medium</t>
  </si>
  <si>
    <t>VN000D5RZHJ1012</t>
  </si>
  <si>
    <t>VN000D5RZHJ1M  035</t>
  </si>
  <si>
    <t>VN000D5RZHJ1012 - Skate Old Skool 36 + ANTIQU, 3.5, Medium</t>
  </si>
  <si>
    <t>VN000D5RZHJ1015</t>
  </si>
  <si>
    <t>VN000D5RZHJ1M  090</t>
  </si>
  <si>
    <t>VN000D5RZHJ1015 - Skate Old Skool 36 + ANTIQUE, 9, Medium</t>
  </si>
  <si>
    <t>VN000D5RZHJ1009</t>
  </si>
  <si>
    <t>VN000D5RZHJ1M  105</t>
  </si>
  <si>
    <t>VN000D5RZHJ1009 - Skate Old Skool 36 + ANTIQ, 10.5, Medium</t>
  </si>
  <si>
    <t>VN000D5RZHJ1019</t>
  </si>
  <si>
    <t>VN000D5RZHJ1M  110</t>
  </si>
  <si>
    <t>VN000D5RZHJ1019 - Skate Old Skool 36 + ANTIQUE, 11, Medium</t>
  </si>
  <si>
    <t>VN000D5RZHJ1018</t>
  </si>
  <si>
    <t>VN000D5RZHJ1M  115</t>
  </si>
  <si>
    <t>VN000D5RZHJ1018 - Skate Old Skool 36 + ANTIQ, 11.5, Medium</t>
  </si>
  <si>
    <t>VN000D5RZHJ1017</t>
  </si>
  <si>
    <t>VN000D5RZHJ1M  120</t>
  </si>
  <si>
    <t>VN000D5RZHJ1017 - Skate Old Skool 36 + ANTIQUE, 12, Medium</t>
  </si>
  <si>
    <t>VN000D85GRY1005</t>
  </si>
  <si>
    <t>VN000D85GRY1M  075</t>
  </si>
  <si>
    <t>VN000D85GRY1005 - Skate Curren Caples Grey, 7.5, Medium</t>
  </si>
  <si>
    <t>VN000D85GRY1009</t>
  </si>
  <si>
    <t>VN000D85GRY1M  090</t>
  </si>
  <si>
    <t>VN000D85GRY1009 - Skate Curren Caples Grey, 9, Medium</t>
  </si>
  <si>
    <t>VN000D85GRY1004</t>
  </si>
  <si>
    <t>VN000D85GRY1M  095</t>
  </si>
  <si>
    <t>VN000D85GRY1004 - Skate Curren Caples Grey, 9.5, Medium</t>
  </si>
  <si>
    <t>VN000D85GRY1018</t>
  </si>
  <si>
    <t>VN000D85GRY1M  110</t>
  </si>
  <si>
    <t>VN000D85GRY1018 - Skate Curren Caples Grey, 11, Medium</t>
  </si>
  <si>
    <t>VN000D85Y521009</t>
  </si>
  <si>
    <t>VN000D85Y521M  075</t>
  </si>
  <si>
    <t>VN000D85Y521009 - Skate Curren Caples Red/Whi, 7.5, Medium</t>
  </si>
  <si>
    <t>VN000D85Y521002</t>
  </si>
  <si>
    <t>VN000D85Y521M  105</t>
  </si>
  <si>
    <t>VN000D85Y521002 - Skate Curren Caples Red/Wh, 10.5, Medium</t>
  </si>
  <si>
    <t>VN000D85Y521008</t>
  </si>
  <si>
    <t>VN000D85Y521M  115</t>
  </si>
  <si>
    <t>VN000D85Y521008 - Skate Curren Caples Red/Wh, 11.5, Medium</t>
  </si>
  <si>
    <t>VN000D9ZRBG1013</t>
  </si>
  <si>
    <t>VN000D9ZRBG1M  045</t>
  </si>
  <si>
    <t>VN000D9ZRBG1013 - Skate Half Cab Wafflecup Re, 4.5, Medium</t>
  </si>
  <si>
    <t>VN000D9ZRBG1003</t>
  </si>
  <si>
    <t>VN000D9ZRBG1M  050</t>
  </si>
  <si>
    <t>VN000D9ZRBG1003 - Skate Half Cab Wafflecup Red/, 5, Medium</t>
  </si>
  <si>
    <t>VN000D9ZRBG1004</t>
  </si>
  <si>
    <t>VN000D9ZRBG1M  060</t>
  </si>
  <si>
    <t>VN000D9ZRBG1004 - Skate Half Cab Wafflecup Red/, 6, Medium</t>
  </si>
  <si>
    <t>VN000D9ZRBG1007</t>
  </si>
  <si>
    <t>VN000D9ZRBG1M  090</t>
  </si>
  <si>
    <t>VN000D9ZRBG1007 - Skate Half Cab Wafflecup Red/, 9, Medium</t>
  </si>
  <si>
    <t>VN000D9ZRBG1018</t>
  </si>
  <si>
    <t>VN000D9ZRBG1M  095</t>
  </si>
  <si>
    <t>VN000D9ZRBG1018 - Skate Half Cab Wafflecup Re, 9.5, Medium</t>
  </si>
  <si>
    <t>VN000D9ZRBG1008</t>
  </si>
  <si>
    <t>VN000D9ZRBG1M  100</t>
  </si>
  <si>
    <t>VN000D9ZRBG1008 - Skate Half Cab Wafflecup Red, 10, Medium</t>
  </si>
  <si>
    <t>VN000D9ZRBG1009</t>
  </si>
  <si>
    <t>VN000D9ZRBG1M  110</t>
  </si>
  <si>
    <t>VN000D9ZRBG1009 - Skate Half Cab Wafflecup Red, 11, Medium</t>
  </si>
  <si>
    <t>VN000D9ZRBG1011</t>
  </si>
  <si>
    <t>VN000D9ZRBG1M  115</t>
  </si>
  <si>
    <t>VN000D9ZRBG1011 - Skate Half Cab Wafflecup R, 11.5, Medium</t>
  </si>
  <si>
    <t>VN000D9ZRBG1001</t>
  </si>
  <si>
    <t>VN000D9ZRBG1M  130</t>
  </si>
  <si>
    <t>VN000D9ZRBG1001 - Skate Half Cab Wafflecup Red, 13, Medium</t>
  </si>
  <si>
    <t>VN000DA4PNK1017</t>
  </si>
  <si>
    <t>VN000DA4PNK1M  035</t>
  </si>
  <si>
    <t>VN000DA4PNK1017 - Skate Kyle Walker Wafflec P, 3.5, Medium</t>
  </si>
  <si>
    <t>VN000DA4PNK1007</t>
  </si>
  <si>
    <t>VN000DA4PNK1M  040</t>
  </si>
  <si>
    <t>VN000DA4PNK1007 - Skate Kyle Walker Wafflec Pin, 4, Medium</t>
  </si>
  <si>
    <t>VN000DA4PNK1010</t>
  </si>
  <si>
    <t>VN000DA4PNK1M  095</t>
  </si>
  <si>
    <t>VN000DA4PNK1010 - Skate Kyle Walker Wafflec P, 9.5, Medium</t>
  </si>
  <si>
    <t>VN000E23CQ01012</t>
  </si>
  <si>
    <t>Blue Sky</t>
  </si>
  <si>
    <t>VN000E23CQ01M  070</t>
  </si>
  <si>
    <t>VN000E23CQ01012 - Safe Low BRAD DKBLU, 7, Medium</t>
  </si>
  <si>
    <t>VN000E23CQ01008</t>
  </si>
  <si>
    <t>VN000E23CQ01M  090</t>
  </si>
  <si>
    <t>VN000E23CQ01008 - Safe Low BRAD DKBLU, 9, Medium</t>
  </si>
  <si>
    <t>VN000E23CQ01002</t>
  </si>
  <si>
    <t>VN000E23CQ01M  120</t>
  </si>
  <si>
    <t>VN000E23CQ01002 - Safe Low BRAD DKBLU, 12, Medium</t>
  </si>
  <si>
    <t>VN000E23L381005</t>
  </si>
  <si>
    <t>VN000E23L381M  105</t>
  </si>
  <si>
    <t>VN000E23L381005 - Safe Low RORY WTLTH, 10.5, Medium</t>
  </si>
  <si>
    <t>VN000E23L381002</t>
  </si>
  <si>
    <t>VN000E23L381M  120</t>
  </si>
  <si>
    <t>VN000E23L381002 - Safe Low RORY WTLTH, 12, Medium</t>
  </si>
  <si>
    <t>VN000E9NBPT1001</t>
  </si>
  <si>
    <t>MTE MID-SLIP INSULATED</t>
  </si>
  <si>
    <t>VN000E9NBPT1M  115</t>
  </si>
  <si>
    <t>VN000E9NBPT1001 - MTE MID-SLIP INSULATED BLA, 11.5, Medium</t>
  </si>
  <si>
    <t>6004 - VN MN BOOTS LOW</t>
  </si>
  <si>
    <t>VN000EB4CCZ1018</t>
  </si>
  <si>
    <t>VN000EB4CCZ1M  085</t>
  </si>
  <si>
    <t>VN000EB4CCZ1018 - Sk8-Hi Insulated MARSHMALLO, 8.5, Medium</t>
  </si>
  <si>
    <t>VN000EB4CCZ1007</t>
  </si>
  <si>
    <t>VN000EB4CCZ1M  130</t>
  </si>
  <si>
    <t>VN000EB4CCZ1007 - Sk8-Hi Insulated MARSHMALLOW, 13, Medium</t>
  </si>
  <si>
    <t>VN000EDNBJB1001</t>
  </si>
  <si>
    <t>VN000EDNBJB1M  065</t>
  </si>
  <si>
    <t>VN000EDNBJB1001 - Skate Old Skool Blue Denim, 6.5, Medium</t>
  </si>
  <si>
    <t>VN000EDNBJB1018</t>
  </si>
  <si>
    <t>VN000EDNBJB1M  075</t>
  </si>
  <si>
    <t>VN000EDNBJB1018 - Skate Old Skool Blue Denim, 7.5, Medium</t>
  </si>
  <si>
    <t>VN000EDNBJB1015</t>
  </si>
  <si>
    <t>VN000EDNBJB1M  085</t>
  </si>
  <si>
    <t>VN000EDNBJB1015 - Skate Old Skool Blue Denim, 8.5, Medium</t>
  </si>
  <si>
    <t>VN000EDNBJB1013</t>
  </si>
  <si>
    <t>VN000EDNBJB1M  095</t>
  </si>
  <si>
    <t>VN000EDNBJB1013 - Skate Old Skool Blue Denim, 9.5, Medium</t>
  </si>
  <si>
    <t>VN000EEBBO51019</t>
  </si>
  <si>
    <t>VN000EEBBO51M  060</t>
  </si>
  <si>
    <t>VN000EEBBO51019 - MTE Ultrarange Neo VR3 MULTI/, 6, Medium</t>
  </si>
  <si>
    <t>VN000EEBBO51013</t>
  </si>
  <si>
    <t>VN000EEBBO51M  095</t>
  </si>
  <si>
    <t>VN000EEBBO51013 - MTE Ultrarange Neo VR3 MULT, 9.5, Medium</t>
  </si>
  <si>
    <t>VN000EEBBO51016</t>
  </si>
  <si>
    <t>VN000EEBBO51M  110</t>
  </si>
  <si>
    <t>VN000EEBBO51016 - MTE Ultrarange Neo VR3 MULTI, 11, Medium</t>
  </si>
  <si>
    <t>VN000EEBBO51001</t>
  </si>
  <si>
    <t>VN000EEBBO51M  130</t>
  </si>
  <si>
    <t>VN000EEBBO51001 - MTE Ultrarange Neo VR3 MULTI, 13, Medium</t>
  </si>
  <si>
    <t>VN000EJTTC41016</t>
  </si>
  <si>
    <t>VN000EJTTC41M  055</t>
  </si>
  <si>
    <t>VN000EJTTC41016 - MTE Crosspath SILVER/SILVER, 5.5, Medium</t>
  </si>
  <si>
    <t>VN000EKUBKA1008</t>
  </si>
  <si>
    <t>VN000EKUBKA1M  080</t>
  </si>
  <si>
    <t>VN000EKUBKA1008 - Skate Old Skool Net DOOB BLAC, 8, Medium</t>
  </si>
  <si>
    <t>VN000EKUBKA1007</t>
  </si>
  <si>
    <t>VN000EKUBKA1M  085</t>
  </si>
  <si>
    <t>VN000EKUBKA1007 - Skate Old Skool Net DOOB BL, 8.5, Medium</t>
  </si>
  <si>
    <t>VN000EKUBKA1006</t>
  </si>
  <si>
    <t>VN000EKUBKA1M  100</t>
  </si>
  <si>
    <t>VN000EKUBKA1006 - Skate Old Skool Net DOOB BLA, 10, Medium</t>
  </si>
  <si>
    <t>VN000EKUBKA1004</t>
  </si>
  <si>
    <t>VN000EKUBKA1M  110</t>
  </si>
  <si>
    <t>VN000EKUBKA1004 - Skate Old Skool Net DOOB BLA, 11, Medium</t>
  </si>
  <si>
    <t>VN000EKUBKA1003</t>
  </si>
  <si>
    <t>VN000EKUBKA1M  115</t>
  </si>
  <si>
    <t>VN000EKUBKA1003 - Skate Old Skool Net DOOB B, 11.5, Medium</t>
  </si>
  <si>
    <t>VN000MRJYQX1006</t>
  </si>
  <si>
    <t>VN000MRJYQX1M  110</t>
  </si>
  <si>
    <t>VN000MRJYQX1006 - Skate Old Skool Sport AXEL M, 11, Medium</t>
  </si>
  <si>
    <t>VN0A2Z32Y451016</t>
  </si>
  <si>
    <t>VN0A2Z32Y451M  050</t>
  </si>
  <si>
    <t>VN0A2Z32Y451016 - Skate Old Skool MTLC BLACK, 5, Medium</t>
  </si>
  <si>
    <t>VN0A2Z32Y451015</t>
  </si>
  <si>
    <t>VN0A2Z32Y451M  055</t>
  </si>
  <si>
    <t>VN0A2Z32Y451015 - Skate Old Skool MTLC BLACK, 5.5, Medium</t>
  </si>
  <si>
    <t>VN0A2Z32Y451014</t>
  </si>
  <si>
    <t>VN0A2Z32Y451M  060</t>
  </si>
  <si>
    <t>VN0A2Z32Y451014 - Skate Old Skool MTLC BLACK, 6, Medium</t>
  </si>
  <si>
    <t>VN0A2Z32Y451010</t>
  </si>
  <si>
    <t>VN0A2Z32Y451M  080</t>
  </si>
  <si>
    <t>VN0A2Z32Y451010 - Skate Old Skool MTLC BLACK, 8, Medium</t>
  </si>
  <si>
    <t>VN0A2Z32Y451007</t>
  </si>
  <si>
    <t>VN0A2Z32Y451M  095</t>
  </si>
  <si>
    <t>VN0A2Z32Y451007 - Skate Old Skool MTLC BLACK, 9.5, Medium</t>
  </si>
  <si>
    <t>VN0A2Z348YG1009</t>
  </si>
  <si>
    <t>VN0A2Z348YG1M  085</t>
  </si>
  <si>
    <t>VN0A2Z348YG1009 - Skate Half Cab antique whit, 8.5, Medium</t>
  </si>
  <si>
    <t>VN0A2Z34AFJ1009</t>
  </si>
  <si>
    <t>Hot Pink</t>
  </si>
  <si>
    <t>VN0A2Z34AFJ1M  075</t>
  </si>
  <si>
    <t>VN0A2Z34AFJ1009 - Skate Half Cab POP DPINK, 7.5, Medium</t>
  </si>
  <si>
    <t>VN0A2Z34AFJ1008</t>
  </si>
  <si>
    <t>VN0A2Z34AFJ1M  090</t>
  </si>
  <si>
    <t>VN0A2Z34AFJ1008 - Skate Half Cab POP DPINK, 9, Medium</t>
  </si>
  <si>
    <t>VN0A2Z34AFJ1006</t>
  </si>
  <si>
    <t>VN0A2Z34AFJ1M  105</t>
  </si>
  <si>
    <t>VN0A2Z34AFJ1006 - Skate Half Cab POP DPINK, 10.5, Medium</t>
  </si>
  <si>
    <t>VN0A2Z34AFJ1004</t>
  </si>
  <si>
    <t>VN0A2Z34AFJ1M  115</t>
  </si>
  <si>
    <t>VN0A2Z34AFJ1004 - Skate Half Cab POP DPINK, 11.5, Medium</t>
  </si>
  <si>
    <t>VN0A2Z34B0Z1018</t>
  </si>
  <si>
    <t>VN0A2Z34B0Z1M  040</t>
  </si>
  <si>
    <t>VN0A2Z34B0Z1018 - Skate Half Cab MTLC BRONZ, 4, Medium</t>
  </si>
  <si>
    <t>VN0A2Z34B0Z1017</t>
  </si>
  <si>
    <t>VN0A2Z34B0Z1M  045</t>
  </si>
  <si>
    <t>VN0A2Z34B0Z1017 - Skate Half Cab MTLC BRONZ, 4.5, Medium</t>
  </si>
  <si>
    <t>VN0A2Z34B0Z1016</t>
  </si>
  <si>
    <t>VN0A2Z34B0Z1M  050</t>
  </si>
  <si>
    <t>VN0A2Z34B0Z1016 - Skate Half Cab MTLC BRONZ, 5, Medium</t>
  </si>
  <si>
    <t>VN0A2Z34B0Z1012</t>
  </si>
  <si>
    <t>VN0A2Z34B0Z1M  070</t>
  </si>
  <si>
    <t>VN0A2Z34B0Z1012 - Skate Half Cab MTLC BRONZ, 7, Medium</t>
  </si>
  <si>
    <t>VN0A2Z34BLG1007</t>
  </si>
  <si>
    <t>BLUE/GREEN</t>
  </si>
  <si>
    <t>VN0A2Z34BLG1M  095</t>
  </si>
  <si>
    <t>TARTAN</t>
  </si>
  <si>
    <t>VN0A2Z34BLG1007 - Skate Half Cab TRTN BLUGR, 9.5, Medium</t>
  </si>
  <si>
    <t>VN0A2Z34BLG1006</t>
  </si>
  <si>
    <t>VN0A2Z34BLG1M  100</t>
  </si>
  <si>
    <t>VN0A2Z34BLG1006 - Skate Half Cab TRTN BLUGR, 10, Medium</t>
  </si>
  <si>
    <t>VN0A2Z34BLG1005</t>
  </si>
  <si>
    <t>VN0A2Z34BLG1M  105</t>
  </si>
  <si>
    <t>VN0A2Z34BLG1005 - Skate Half Cab TRTN BLUGR, 10.5, Medium</t>
  </si>
  <si>
    <t>VN0A2Z34BLG1004</t>
  </si>
  <si>
    <t>VN0A2Z34BLG1M  110</t>
  </si>
  <si>
    <t>VN0A2Z34BLG1004 - Skate Half Cab TRTN BLUGR, 11, Medium</t>
  </si>
  <si>
    <t>VN0A2Z34CMA1018</t>
  </si>
  <si>
    <t>Camo</t>
  </si>
  <si>
    <t>VN0A2Z34CMA1M  075</t>
  </si>
  <si>
    <t>Pedro Delfino</t>
  </si>
  <si>
    <t>VN0A2Z34CMA1018 - Skate Half Cab PEDR DBEIG, 7.5, Medium</t>
  </si>
  <si>
    <t>VN0A2Z34REB1015</t>
  </si>
  <si>
    <t>VN0A2Z34REB1M  050</t>
  </si>
  <si>
    <t>VN0A2Z34REB1015 - Skate Half Cab SPRT DRDBL, 5, Medium</t>
  </si>
  <si>
    <t>VN0A2Z34REB1012</t>
  </si>
  <si>
    <t>VN0A2Z34REB1M  065</t>
  </si>
  <si>
    <t>VN0A2Z34REB1012 - Skate Half Cab SPRT DRDBL, 6.5, Medium</t>
  </si>
  <si>
    <t>VN0A2Z34REB1010</t>
  </si>
  <si>
    <t>VN0A2Z34REB1M  075</t>
  </si>
  <si>
    <t>VN0A2Z34REB1010 - Skate Half Cab SPRT DRDBL, 7.5, Medium</t>
  </si>
  <si>
    <t>VN0A2Z35BFA1007</t>
  </si>
  <si>
    <t>VN0A2Z35BFA1M  095</t>
  </si>
  <si>
    <t>VN0A2Z35BFA1007 - Skate Half Cab '92 VCU DARK, 9.5, Medium</t>
  </si>
  <si>
    <t>VN0A2Z3H1OU1003</t>
  </si>
  <si>
    <t>VN0A2Z3H1OU1M  090</t>
  </si>
  <si>
    <t>VN0A2Z3H1OU1003 - Skate AVE 2.0 Brown Sugar, 9, Medium</t>
  </si>
  <si>
    <t>VN0A2Z3H1OU1004</t>
  </si>
  <si>
    <t>VN0A2Z3H1OU1M  110</t>
  </si>
  <si>
    <t>VN0A2Z3H1OU1004 - Skate AVE 2.0 Brown Sugar, 11, Medium</t>
  </si>
  <si>
    <t>VN0A2Z3H6RJ1010</t>
  </si>
  <si>
    <t>Phantom</t>
  </si>
  <si>
    <t>VN0A2Z3H6RJ1M  075</t>
  </si>
  <si>
    <t>VN0A2Z3H6RJ1010 - Skate AVE 2.0 Phantom, 7.5, Medium</t>
  </si>
  <si>
    <t>VN0A2Z3HOUO1019</t>
  </si>
  <si>
    <t>BLANC/BLACK</t>
  </si>
  <si>
    <t>VN0A2Z3HOUO1M  035</t>
  </si>
  <si>
    <t>VN0A2Z3HOUO1019 - Skate AVE 2.0 BLANC/BLACK, 3.5, Medium</t>
  </si>
  <si>
    <t>VN0A2Z3HOUO1018</t>
  </si>
  <si>
    <t>VN0A2Z3HOUO1M  040</t>
  </si>
  <si>
    <t>VN0A2Z3HOUO1018 - Skate AVE 2.0 BLANC/BLACK, 4, Medium</t>
  </si>
  <si>
    <t>VN0A2Z3HYHI1016</t>
  </si>
  <si>
    <t>LAVENDER FOG/BLACK</t>
  </si>
  <si>
    <t>VN0A2Z3HYHI1M  100</t>
  </si>
  <si>
    <t>VN0A2Z3HYHI1016 - Skate AVE 2.0 LAVENDER FOG/B, 10, Medium</t>
  </si>
  <si>
    <t>VN0A2Z3IBYB1015</t>
  </si>
  <si>
    <t>Black/White/Black</t>
  </si>
  <si>
    <t>VN0A2Z3IBYB1M  075</t>
  </si>
  <si>
    <t>VN0A2Z3IBYB1015 - Rowan 2 Black/White/Bla, 7.5, Medium</t>
  </si>
  <si>
    <t>VN0A2Z3IY521010</t>
  </si>
  <si>
    <t>VN0A2Z3IY521M  080</t>
  </si>
  <si>
    <t>VN0A2Z3IY521010 - Rowan 2 Red/White, 8, Medium</t>
  </si>
  <si>
    <t>VN0A2Z3KLTG1002</t>
  </si>
  <si>
    <t>Skate Kyle Walker</t>
  </si>
  <si>
    <t>Light Grey</t>
  </si>
  <si>
    <t>VN0A2Z3KLTG1M  085</t>
  </si>
  <si>
    <t>VN0A2Z3KLTG1002 - Skate Kyle Walker Light Gre, 8.5, Medium</t>
  </si>
  <si>
    <t>VN0A2Z3NY401019</t>
  </si>
  <si>
    <t>VN0A2Z3NY401M  080</t>
  </si>
  <si>
    <t>VN0A2Z3NY401019 - Skate Crockett High Decon DEN, 8, Medium</t>
  </si>
  <si>
    <t>VN0A2Z3NY401018</t>
  </si>
  <si>
    <t>VN0A2Z3NY401M  085</t>
  </si>
  <si>
    <t>VN0A2Z3NY401018 - Skate Crockett High Decon D, 8.5, Medium</t>
  </si>
  <si>
    <t>VN0A2Z3NY401015</t>
  </si>
  <si>
    <t>VN0A2Z3NY401M  095</t>
  </si>
  <si>
    <t>VN0A2Z3NY401015 - Skate Crockett High Decon D, 9.5, Medium</t>
  </si>
  <si>
    <t>VN0A2Z3NY401014</t>
  </si>
  <si>
    <t>VN0A2Z3NY401M  100</t>
  </si>
  <si>
    <t>VN0A2Z3NY401014 - Skate Crockett High Decon DE, 10, Medium</t>
  </si>
  <si>
    <t>VN0A2Z3NY401013</t>
  </si>
  <si>
    <t>VN0A2Z3NY401M  105</t>
  </si>
  <si>
    <t>VN0A2Z3NY401013 - Skate Crockett High Decon, 10.5, Medium</t>
  </si>
  <si>
    <t>VN0A2Z3NY401012</t>
  </si>
  <si>
    <t>VN0A2Z3NY401M  110</t>
  </si>
  <si>
    <t>VN0A2Z3NY401012 - Skate Crockett High Decon DE, 11, Medium</t>
  </si>
  <si>
    <t>VN0A2Z3TWTM1012</t>
  </si>
  <si>
    <t>VN0A2Z3TWTM1M  070</t>
  </si>
  <si>
    <t>ATHLETIC</t>
  </si>
  <si>
    <t>VN0A2Z3TWTM1012 - Skate Zahba Mid White/Multi, 7, Medium</t>
  </si>
  <si>
    <t>VN0A2Z3TWTM1011</t>
  </si>
  <si>
    <t>VN0A2Z3TWTM1M  075</t>
  </si>
  <si>
    <t>VN0A2Z3TWTM1011 - Skate Zahba Mid White/Multi, 7.5, Medium</t>
  </si>
  <si>
    <t>VN0A2Z3TWTM1010</t>
  </si>
  <si>
    <t>VN0A2Z3TWTM1M  080</t>
  </si>
  <si>
    <t>VN0A2Z3TWTM1010 - Skate Zahba Mid White/Multi, 8, Medium</t>
  </si>
  <si>
    <t>VN0A2Z3TWTM1008</t>
  </si>
  <si>
    <t>VN0A2Z3TWTM1M  090</t>
  </si>
  <si>
    <t>VN0A2Z3TWTM1008 - Skate Zahba Mid White/Multi, 9, Medium</t>
  </si>
  <si>
    <t>VN0A2Z3UCX61014</t>
  </si>
  <si>
    <t>VN0A2Z3UCX61M  080</t>
  </si>
  <si>
    <t>VN0A2Z3UCX61014 - BMX Peak Olive Drab, 8, Medium</t>
  </si>
  <si>
    <t>VN0A2Z3UCX61012</t>
  </si>
  <si>
    <t>VN0A2Z3UCX61M  090</t>
  </si>
  <si>
    <t>VN0A2Z3UCX61012 - BMX Peak Olive Drab, 9, Medium</t>
  </si>
  <si>
    <t>VN0A2Z3UCX61001</t>
  </si>
  <si>
    <t>VN0A2Z3UCX61M  130</t>
  </si>
  <si>
    <t>VN0A2Z3UCX61001 - BMX Peak Olive Drab, 13, Medium</t>
  </si>
  <si>
    <t>VN0A4BX1LKK1005</t>
  </si>
  <si>
    <t>Skate Lizzie</t>
  </si>
  <si>
    <t>LIGHT KHAKI</t>
  </si>
  <si>
    <t>VN0A4BX1LKK1M  105</t>
  </si>
  <si>
    <t>VN0A4BX1LKK1005 - Skate Lizzie LIGHT KHAKI, 10.5, Medium</t>
  </si>
  <si>
    <t>VN0A4BXL39L1016</t>
  </si>
  <si>
    <t>VN0A4BXL39L1M  040</t>
  </si>
  <si>
    <t>VN0A4BXL39L1016 - BMX Style 114 BLACK/DARK GUM, 4, Medium</t>
  </si>
  <si>
    <t>VN0A4U1KJCN1011</t>
  </si>
  <si>
    <t>VN0A4U1KJCN1M  090</t>
  </si>
  <si>
    <t>VN0A4U1KJCN1011 - MTE UltraRange EXO BLUESTONE, 9, Medium</t>
  </si>
  <si>
    <t>VN0A5AODENR1008</t>
  </si>
  <si>
    <t>Surf Boot 2 Hi V 5mm</t>
  </si>
  <si>
    <t>Blk/Blk</t>
  </si>
  <si>
    <t>VN0A5AODENR1M  120</t>
  </si>
  <si>
    <t>VN0A5AODENR1008 - Surf Boot 2 Hi V 5mm Blk/Blk, 12, Medium</t>
  </si>
  <si>
    <t>VN0A5FCCBJB1014</t>
  </si>
  <si>
    <t>VN0A5FCCBJB1M  060</t>
  </si>
  <si>
    <t>VN0A5FCCBJB1014 - Skate SK8-Hi Blue Denim, 6, Medium</t>
  </si>
  <si>
    <t>VN0A5FCCBJB1006</t>
  </si>
  <si>
    <t>VN0A5FCCBJB1M  100</t>
  </si>
  <si>
    <t>VN0A5FCCBJB1006 - Skate SK8-Hi Blue Denim, 10, Medium</t>
  </si>
  <si>
    <t>VN0A5FCCBJB1001</t>
  </si>
  <si>
    <t>VN0A5FCCBJB1M  130</t>
  </si>
  <si>
    <t>VN0A5FCCBJB1001 - Skate SK8-Hi Blue Denim, 13, Medium</t>
  </si>
  <si>
    <t>VN0A5FCDYW91016</t>
  </si>
  <si>
    <t>Brick/Black</t>
  </si>
  <si>
    <t>VN0A5FCDYW91M  065</t>
  </si>
  <si>
    <t>VN0A5FCDYW91016 - Skate Half Cab Brick/Black, 6.5, Medium</t>
  </si>
  <si>
    <t>VN0A5HF8PWT1001</t>
  </si>
  <si>
    <t>VN0A5HF8PWT1M  060</t>
  </si>
  <si>
    <t>VN0A5HF8PWT1001 - Slip-On TRK Pewter, 6, Medium</t>
  </si>
  <si>
    <t>VN0A5HF8PWT1002</t>
  </si>
  <si>
    <t>VN0A5HF8PWT1M  070</t>
  </si>
  <si>
    <t>VN0A5HF8PWT1002 - Slip-On TRK Pewter, 7, Medium</t>
  </si>
  <si>
    <t>VN0A5HF8PWT1003</t>
  </si>
  <si>
    <t>VN0A5HF8PWT1M  080</t>
  </si>
  <si>
    <t>VN0A5HF8PWT1003 - Slip-On TRK Pewter, 8, Medium</t>
  </si>
  <si>
    <t>VN0A5HF8PWT1008</t>
  </si>
  <si>
    <t>VN0A5HF8PWT1M  110</t>
  </si>
  <si>
    <t>VN0A5HF8PWT1008 - Slip-On TRK Pewter, 11, Medium</t>
  </si>
  <si>
    <t>VN0A5HF8PWT1007</t>
  </si>
  <si>
    <t>VN0A5HF8PWT1M  120</t>
  </si>
  <si>
    <t>VN0A5HF8PWT1007 - Slip-On TRK Pewter, 12, Medium</t>
  </si>
  <si>
    <t>VN0A5JIAY041005</t>
  </si>
  <si>
    <t>Smoke/Navy</t>
  </si>
  <si>
    <t>VN0A5JIAY041M  105</t>
  </si>
  <si>
    <t>VN0A5JIAY041005 - Skate Wayvee Smoke/Navy, 10.5, Medium</t>
  </si>
  <si>
    <t>VN0A5JIE1OJ1005</t>
  </si>
  <si>
    <t>VN0A5JIE1OJ1M  040</t>
  </si>
  <si>
    <t>VN0A5JIE1OJ1005 - Skate Kyle Walker Blackout, 4, Medium</t>
  </si>
  <si>
    <t>VN0A5JIE1OJ1003</t>
  </si>
  <si>
    <t>VN0A5JIE1OJ1M  045</t>
  </si>
  <si>
    <t>VN0A5JIE1OJ1003 - Skate Kyle Walker Blackout, 4.5, Medium</t>
  </si>
  <si>
    <t>VN0A5JIE1OJ1001</t>
  </si>
  <si>
    <t>VN0A5JIE1OJ1M  065</t>
  </si>
  <si>
    <t>VN0A5JIE1OJ1001 - Skate Kyle Walker Blackout, 6.5, Medium</t>
  </si>
  <si>
    <t>VN0A5KQZYY41014</t>
  </si>
  <si>
    <t>VN0A5KQZYY41M  090</t>
  </si>
  <si>
    <t>VN0A5KQZYY41014 - Skate Chukka Low Sidestri Esp, 9, Medium</t>
  </si>
  <si>
    <t>VN0A5KQZYY41007</t>
  </si>
  <si>
    <t>VN0A5KQZYY41M  095</t>
  </si>
  <si>
    <t>VN0A5KQZYY41007 - Skate Chukka Low Sidestri E, 9.5, Medium</t>
  </si>
  <si>
    <t>VN0A5KQZYY41013</t>
  </si>
  <si>
    <t>VN0A5KQZYY41M  105</t>
  </si>
  <si>
    <t>VN0A5KQZYY41013 - Skate Chukka Low Sidestri, 10.5, Medium</t>
  </si>
  <si>
    <t>VN0A5KQZYY41005</t>
  </si>
  <si>
    <t>VN0A5KQZYY41M  115</t>
  </si>
  <si>
    <t>VN0A5KQZYY41005 - Skate Chukka Low Sidestri, 11.5, Medium</t>
  </si>
  <si>
    <t>VN0A5KQZYY41021</t>
  </si>
  <si>
    <t>VN0A5KQZYY41M  120</t>
  </si>
  <si>
    <t>VN0A5KQZYY41021 - Skate Chukka Low Sidestri Es, 12, Medium</t>
  </si>
  <si>
    <t>VN0A5KQZYY41020</t>
  </si>
  <si>
    <t>VN0A5KQZYY41M  130</t>
  </si>
  <si>
    <t>VN0A5KQZYY41020 - Skate Chukka Low Sidestri Es, 13, Medium</t>
  </si>
  <si>
    <t>DFG OFFER</t>
  </si>
  <si>
    <t>BRAND</t>
  </si>
  <si>
    <t>CATEGORY</t>
  </si>
  <si>
    <t>GENDER</t>
  </si>
  <si>
    <t>QTY</t>
  </si>
  <si>
    <t>RRP AVG.</t>
  </si>
  <si>
    <t>VANS</t>
  </si>
  <si>
    <t>FTW+APP+HARD</t>
  </si>
  <si>
    <t>ADULT+KIDS</t>
  </si>
  <si>
    <t>Conditions:</t>
  </si>
  <si>
    <t>Ø MIN. ORDER QTY.: </t>
  </si>
  <si>
    <t>8000PCS</t>
  </si>
  <si>
    <t>Ø  LOCATION: </t>
  </si>
  <si>
    <t>ITALIA</t>
  </si>
  <si>
    <t>Ø  SHIPMENT TERMS:</t>
  </si>
  <si>
    <t>EX - WORKS</t>
  </si>
  <si>
    <t>Ø  LEAD TIME:</t>
  </si>
  <si>
    <t>IMMEDIATE AVAILABILITY</t>
  </si>
  <si>
    <t>Ø  PAYMENT TERMS: </t>
  </si>
  <si>
    <t>100% ADVANCE BEFORE DELIVERY</t>
  </si>
  <si>
    <r>
      <rPr>
        <sz val="10"/>
        <color indexed="8"/>
        <rFont val="Calibri"/>
      </rPr>
      <t>Ø  NOTE:</t>
    </r>
    <r>
      <rPr>
        <b/>
        <sz val="10"/>
        <color indexed="8"/>
        <rFont val="Calibri"/>
      </rPr>
      <t xml:space="preserve"> </t>
    </r>
  </si>
  <si>
    <t>STOCKS MAY SOLD OUT / CHANGE OF STOCKS AVAILABILITY 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</si>
</sst>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&quot;* #,##0.00&quot; &quot;[$€-2]&quot; &quot;;&quot;-&quot;* #,##0.00&quot; &quot;[$€-2]&quot; &quot;;&quot; &quot;* &quot;-&quot;??&quot; &quot;[$€-2]&quot; &quot;"/>
    <numFmt numFmtId="165" formatCode="&quot; &quot;* #,##0&quot; &quot;;&quot; &quot;* \(#,##0\);&quot; &quot;* &quot;-&quot;??&quot; &quot;"/>
    <numFmt numFmtId="166" formatCode="&quot; &quot;[$€-2]&quot; &quot;* #,##0.00&quot; &quot;;&quot;-&quot;[$€-2]&quot; &quot;* #,##0.00&quot; &quot;;&quot; &quot;[$€-2]&quot; &quot;* &quot;-&quot;??&quot; &quot;"/>
  </numFmts>
  <fonts count="8" x14ac:knownFonts="1">
    <font>
      <sz val="10"/>
      <color indexed="8"/>
      <name val="Tahoma"/>
    </font>
    <font>
      <sz val="10"/>
      <color indexed="8"/>
      <name val="Calibri"/>
    </font>
    <font>
      <b/>
      <sz val="11"/>
      <color indexed="8"/>
      <name val="Calibri"/>
    </font>
    <font>
      <sz val="10"/>
      <color indexed="8"/>
      <name val="Tahoma Bold"/>
    </font>
    <font>
      <u/>
      <sz val="10"/>
      <color indexed="12"/>
      <name val="Tahoma"/>
    </font>
    <font>
      <b/>
      <sz val="10"/>
      <color indexed="9"/>
      <name val="Calibri"/>
    </font>
    <font>
      <b/>
      <sz val="10"/>
      <color indexed="8"/>
      <name val="Calibri"/>
    </font>
    <font>
      <b/>
      <u/>
      <sz val="10"/>
      <color indexed="17"/>
      <name val="Calibri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</fills>
  <borders count="1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42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164" fontId="0" fillId="3" borderId="2" xfId="0" applyNumberFormat="1" applyFont="1" applyFill="1" applyBorder="1" applyAlignment="1"/>
    <xf numFmtId="165" fontId="0" fillId="3" borderId="3" xfId="0" applyNumberFormat="1" applyFont="1" applyFill="1" applyBorder="1" applyAlignment="1"/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left" vertical="center" wrapText="1"/>
    </xf>
    <xf numFmtId="49" fontId="3" fillId="3" borderId="4" xfId="0" applyNumberFormat="1" applyFont="1" applyFill="1" applyBorder="1" applyAlignment="1">
      <alignment vertical="center"/>
    </xf>
    <xf numFmtId="49" fontId="2" fillId="3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/>
    <xf numFmtId="49" fontId="0" fillId="2" borderId="4" xfId="0" applyNumberFormat="1" applyFont="1" applyFill="1" applyBorder="1" applyAlignment="1"/>
    <xf numFmtId="0" fontId="0" fillId="2" borderId="4" xfId="0" applyNumberFormat="1" applyFont="1" applyFill="1" applyBorder="1" applyAlignment="1"/>
    <xf numFmtId="0" fontId="0" fillId="2" borderId="4" xfId="0" applyFont="1" applyFill="1" applyBorder="1" applyAlignment="1"/>
    <xf numFmtId="164" fontId="0" fillId="3" borderId="4" xfId="0" applyNumberFormat="1" applyFont="1" applyFill="1" applyBorder="1" applyAlignment="1"/>
    <xf numFmtId="0" fontId="0" fillId="3" borderId="4" xfId="0" applyNumberFormat="1" applyFont="1" applyFill="1" applyBorder="1" applyAlignment="1"/>
    <xf numFmtId="0" fontId="0" fillId="0" borderId="0" xfId="0" applyNumberFormat="1" applyFont="1" applyAlignment="1"/>
    <xf numFmtId="49" fontId="5" fillId="4" borderId="5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0" fontId="2" fillId="6" borderId="4" xfId="0" applyNumberFormat="1" applyFont="1" applyFill="1" applyBorder="1" applyAlignment="1">
      <alignment horizontal="center" vertical="center"/>
    </xf>
    <xf numFmtId="164" fontId="6" fillId="7" borderId="9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horizontal="center" vertical="center" wrapText="1"/>
    </xf>
    <xf numFmtId="166" fontId="6" fillId="2" borderId="11" xfId="0" applyNumberFormat="1" applyFont="1" applyFill="1" applyBorder="1" applyAlignment="1">
      <alignment horizontal="center" vertical="center" wrapText="1"/>
    </xf>
    <xf numFmtId="166" fontId="6" fillId="2" borderId="12" xfId="0" applyNumberFormat="1" applyFont="1" applyFill="1" applyBorder="1" applyAlignment="1">
      <alignment horizontal="center" vertical="center" wrapText="1"/>
    </xf>
    <xf numFmtId="49" fontId="7" fillId="2" borderId="13" xfId="0" applyNumberFormat="1" applyFont="1" applyFill="1" applyBorder="1" applyAlignment="1">
      <alignment horizontal="left" vertical="center"/>
    </xf>
    <xf numFmtId="0" fontId="1" fillId="0" borderId="14" xfId="0" applyFont="1" applyBorder="1" applyAlignment="1"/>
    <xf numFmtId="0" fontId="1" fillId="2" borderId="14" xfId="0" applyFont="1" applyFill="1" applyBorder="1" applyAlignment="1"/>
    <xf numFmtId="49" fontId="1" fillId="2" borderId="13" xfId="0" applyNumberFormat="1" applyFont="1" applyFill="1" applyBorder="1" applyAlignment="1">
      <alignment vertical="center"/>
    </xf>
    <xf numFmtId="0" fontId="6" fillId="0" borderId="14" xfId="0" applyFont="1" applyBorder="1" applyAlignment="1"/>
    <xf numFmtId="49" fontId="1" fillId="0" borderId="14" xfId="0" applyNumberFormat="1" applyFont="1" applyBorder="1" applyAlignment="1"/>
    <xf numFmtId="49" fontId="6" fillId="0" borderId="14" xfId="0" applyNumberFormat="1" applyFont="1" applyBorder="1" applyAlignment="1"/>
    <xf numFmtId="49" fontId="1" fillId="2" borderId="15" xfId="0" applyNumberFormat="1" applyFont="1" applyFill="1" applyBorder="1" applyAlignment="1">
      <alignment vertical="center"/>
    </xf>
    <xf numFmtId="49" fontId="6" fillId="0" borderId="16" xfId="0" applyNumberFormat="1" applyFont="1" applyBorder="1" applyAlignment="1"/>
    <xf numFmtId="0" fontId="6" fillId="0" borderId="16" xfId="0" applyFont="1" applyBorder="1" applyAlignment="1"/>
    <xf numFmtId="0" fontId="1" fillId="0" borderId="16" xfId="0" applyFont="1" applyBorder="1" applyAlignment="1"/>
    <xf numFmtId="0" fontId="1" fillId="2" borderId="16" xfId="0" applyFont="1" applyFill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B050"/>
      <rgbColor rgb="FF0000D4"/>
      <rgbColor rgb="FF0000FF"/>
      <rgbColor rgb="FFFFFF99"/>
      <rgbColor rgb="FFFF99CC"/>
      <rgbColor rgb="FFFFCC99"/>
      <rgbColor rgb="FF9933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assets.vans.eu/images/VN000CS0BRO-HERO/1" TargetMode="External"/><Relationship Id="rId3182" Type="http://schemas.openxmlformats.org/officeDocument/2006/relationships/hyperlink" Target="https://assets.vans.eu/images/VN000MAT7WM-HERO/1" TargetMode="External"/><Relationship Id="rId4026" Type="http://schemas.openxmlformats.org/officeDocument/2006/relationships/hyperlink" Target="https://assets.vans.eu/images/VN000D0HBZW-HERO/1" TargetMode="External"/><Relationship Id="rId4233" Type="http://schemas.openxmlformats.org/officeDocument/2006/relationships/hyperlink" Target="https://assets.vans.eu/images/VN000D45EMY-HERO/1" TargetMode="External"/><Relationship Id="rId4440" Type="http://schemas.openxmlformats.org/officeDocument/2006/relationships/hyperlink" Target="https://assets.vans.eu/images/VN000D7ZNUT-HERO/1" TargetMode="External"/><Relationship Id="rId3042" Type="http://schemas.openxmlformats.org/officeDocument/2006/relationships/hyperlink" Target="https://assets.vans.eu/images/VN000IVEY28-HERO/1" TargetMode="External"/><Relationship Id="rId3999" Type="http://schemas.openxmlformats.org/officeDocument/2006/relationships/hyperlink" Target="https://assets.vans.eu/images/VN000CZ7BLA-HERO/1" TargetMode="External"/><Relationship Id="rId4300" Type="http://schemas.openxmlformats.org/officeDocument/2006/relationships/hyperlink" Target="https://assets.vans.eu/images/VN000D60CRM-HERO/1" TargetMode="External"/><Relationship Id="rId170" Type="http://schemas.openxmlformats.org/officeDocument/2006/relationships/hyperlink" Target="https://assets.vans.eu/images/VN000PDREN7-HERO/1" TargetMode="External"/><Relationship Id="rId3859" Type="http://schemas.openxmlformats.org/officeDocument/2006/relationships/hyperlink" Target="https://assets.vans.eu/images/VN000CTMYY2-HERO/1" TargetMode="External"/><Relationship Id="rId5074" Type="http://schemas.openxmlformats.org/officeDocument/2006/relationships/hyperlink" Target="https://assets.vans.eu/images/VN0A5KQZYY4-HERO/1" TargetMode="External"/><Relationship Id="rId987" Type="http://schemas.openxmlformats.org/officeDocument/2006/relationships/hyperlink" Target="https://assets.vans.eu/images/VN000Y5XBA5-HERO/1" TargetMode="External"/><Relationship Id="rId2668" Type="http://schemas.openxmlformats.org/officeDocument/2006/relationships/hyperlink" Target="https://assets.vans.eu/images/VN000D6W203-HERO/1" TargetMode="External"/><Relationship Id="rId2875" Type="http://schemas.openxmlformats.org/officeDocument/2006/relationships/hyperlink" Target="https://assets.vans.eu/images/VN000HSRLKZ-HERO/1" TargetMode="External"/><Relationship Id="rId3719" Type="http://schemas.openxmlformats.org/officeDocument/2006/relationships/hyperlink" Target="https://assets.vans.eu/images/VN0009QCNWH-HERO/1" TargetMode="External"/><Relationship Id="rId3926" Type="http://schemas.openxmlformats.org/officeDocument/2006/relationships/hyperlink" Target="https://assets.vans.eu/images/VN000CVVBLU-HERO/1" TargetMode="External"/><Relationship Id="rId4090" Type="http://schemas.openxmlformats.org/officeDocument/2006/relationships/hyperlink" Target="https://assets.vans.eu/images/VN000D1HPRP-HERO/1" TargetMode="External"/><Relationship Id="rId847" Type="http://schemas.openxmlformats.org/officeDocument/2006/relationships/hyperlink" Target="https://assets.vans.eu/images/VN000D5PUUI-HERO/1" TargetMode="External"/><Relationship Id="rId1477" Type="http://schemas.openxmlformats.org/officeDocument/2006/relationships/hyperlink" Target="https://assets.vans.eu/images/VN000CYVENA-HERO/1" TargetMode="External"/><Relationship Id="rId1684" Type="http://schemas.openxmlformats.org/officeDocument/2006/relationships/hyperlink" Target="https://assets.vans.eu/images/VN000NTSD6Z-HERO/1" TargetMode="External"/><Relationship Id="rId1891" Type="http://schemas.openxmlformats.org/officeDocument/2006/relationships/hyperlink" Target="https://assets.vans.eu/images/VN000D4NBZW-HERO/1" TargetMode="External"/><Relationship Id="rId2528" Type="http://schemas.openxmlformats.org/officeDocument/2006/relationships/hyperlink" Target="https://assets.vans.eu/images/VN000CZ7EMW-HERO/1" TargetMode="External"/><Relationship Id="rId2735" Type="http://schemas.openxmlformats.org/officeDocument/2006/relationships/hyperlink" Target="https://assets.vans.eu/images/VN000DAHY40-HERO/1" TargetMode="External"/><Relationship Id="rId2942" Type="http://schemas.openxmlformats.org/officeDocument/2006/relationships/hyperlink" Target="https://assets.vans.eu/images/VN000G3JCR3-HERO/1" TargetMode="External"/><Relationship Id="rId707" Type="http://schemas.openxmlformats.org/officeDocument/2006/relationships/hyperlink" Target="https://assets.vans.eu/images/VN000GGGYB2-HERO/1" TargetMode="External"/><Relationship Id="rId914" Type="http://schemas.openxmlformats.org/officeDocument/2006/relationships/hyperlink" Target="https://assets.vans.eu/images/VN000R92FBG-HERO/1" TargetMode="External"/><Relationship Id="rId1337" Type="http://schemas.openxmlformats.org/officeDocument/2006/relationships/hyperlink" Target="https://assets.vans.eu/images/VN000M8JY28-HERO/1" TargetMode="External"/><Relationship Id="rId1544" Type="http://schemas.openxmlformats.org/officeDocument/2006/relationships/hyperlink" Target="https://assets.vans.eu/images/VN000DCE2VZ-HERO/1" TargetMode="External"/><Relationship Id="rId1751" Type="http://schemas.openxmlformats.org/officeDocument/2006/relationships/hyperlink" Target="https://assets.vans.eu/images/VN000PWVEMW-HERO/1" TargetMode="External"/><Relationship Id="rId2802" Type="http://schemas.openxmlformats.org/officeDocument/2006/relationships/hyperlink" Target="https://assets.vans.eu/images/VN000EDN7D6-HERO/1" TargetMode="External"/><Relationship Id="rId5001" Type="http://schemas.openxmlformats.org/officeDocument/2006/relationships/hyperlink" Target="https://assets.vans.eu/images/VN000EEBBO5-HERO/1" TargetMode="External"/><Relationship Id="rId43" Type="http://schemas.openxmlformats.org/officeDocument/2006/relationships/hyperlink" Target="https://assets.vans.eu/images/VN000HZBYEH-HERO/1" TargetMode="External"/><Relationship Id="rId1404" Type="http://schemas.openxmlformats.org/officeDocument/2006/relationships/hyperlink" Target="https://assets.vans.eu/images/VN000Q39EN9-HERO/1" TargetMode="External"/><Relationship Id="rId1611" Type="http://schemas.openxmlformats.org/officeDocument/2006/relationships/hyperlink" Target="https://assets.vans.eu/images/VN000GDCBLK-HERO/1" TargetMode="External"/><Relationship Id="rId4767" Type="http://schemas.openxmlformats.org/officeDocument/2006/relationships/hyperlink" Target="https://assets.vans.eu/images/VN0A5HZY6I6-HERO/1" TargetMode="External"/><Relationship Id="rId3369" Type="http://schemas.openxmlformats.org/officeDocument/2006/relationships/hyperlink" Target="https://assets.vans.eu/images/VN000PD7EMS-HERO/1" TargetMode="External"/><Relationship Id="rId3576" Type="http://schemas.openxmlformats.org/officeDocument/2006/relationships/hyperlink" Target="https://assets.vans.eu/images/VN000RCEFCT-HERO/1" TargetMode="External"/><Relationship Id="rId4627" Type="http://schemas.openxmlformats.org/officeDocument/2006/relationships/hyperlink" Target="https://assets.vans.eu/images/VN000E9XSLV-HERO/1" TargetMode="External"/><Relationship Id="rId4974" Type="http://schemas.openxmlformats.org/officeDocument/2006/relationships/hyperlink" Target="https://assets.vans.eu/images/VN000D85Y52-HERO/1" TargetMode="External"/><Relationship Id="rId497" Type="http://schemas.openxmlformats.org/officeDocument/2006/relationships/hyperlink" Target="https://assets.vans.eu/images/VN000D61BOC-HERO/1" TargetMode="External"/><Relationship Id="rId2178" Type="http://schemas.openxmlformats.org/officeDocument/2006/relationships/hyperlink" Target="https://assets.vans.eu/images/VN000P20ZRY-HERO/1" TargetMode="External"/><Relationship Id="rId2385" Type="http://schemas.openxmlformats.org/officeDocument/2006/relationships/hyperlink" Target="https://assets.vans.eu/images/VN0A5JHIBLK-HERO/1" TargetMode="External"/><Relationship Id="rId3229" Type="http://schemas.openxmlformats.org/officeDocument/2006/relationships/hyperlink" Target="https://assets.vans.eu/images/VN000ND8WHT-HERO/1" TargetMode="External"/><Relationship Id="rId3783" Type="http://schemas.openxmlformats.org/officeDocument/2006/relationships/hyperlink" Target="https://assets.vans.eu/images/VN000CQ0BRO-HERO/1" TargetMode="External"/><Relationship Id="rId3990" Type="http://schemas.openxmlformats.org/officeDocument/2006/relationships/hyperlink" Target="https://assets.vans.eu/images/VN000CYU4QU-HERO/1" TargetMode="External"/><Relationship Id="rId4834" Type="http://schemas.openxmlformats.org/officeDocument/2006/relationships/hyperlink" Target="https://assets.vans.eu/images/VN000D1GSN0-HERO/1" TargetMode="External"/><Relationship Id="rId357" Type="http://schemas.openxmlformats.org/officeDocument/2006/relationships/hyperlink" Target="https://assets.vans.eu/images/VN000CWEWHP-HERO/1" TargetMode="External"/><Relationship Id="rId1194" Type="http://schemas.openxmlformats.org/officeDocument/2006/relationships/hyperlink" Target="https://assets.vans.eu/images/VN000R04EMF-HERO/1" TargetMode="External"/><Relationship Id="rId2038" Type="http://schemas.openxmlformats.org/officeDocument/2006/relationships/hyperlink" Target="https://assets.vans.eu/images/VN0008KKCR6-HERO/1" TargetMode="External"/><Relationship Id="rId2592" Type="http://schemas.openxmlformats.org/officeDocument/2006/relationships/hyperlink" Target="https://assets.vans.eu/images/VN000D22BGG-HERO/1" TargetMode="External"/><Relationship Id="rId3436" Type="http://schemas.openxmlformats.org/officeDocument/2006/relationships/hyperlink" Target="https://assets.vans.eu/images/VN000PMFEB2-HERO/1" TargetMode="External"/><Relationship Id="rId3643" Type="http://schemas.openxmlformats.org/officeDocument/2006/relationships/hyperlink" Target="https://assets.vans.eu/images/VN0A49OYBDX-HERO/1" TargetMode="External"/><Relationship Id="rId3850" Type="http://schemas.openxmlformats.org/officeDocument/2006/relationships/hyperlink" Target="https://assets.vans.eu/images/VN000CTGRV2-HERO/1" TargetMode="External"/><Relationship Id="rId4901" Type="http://schemas.openxmlformats.org/officeDocument/2006/relationships/hyperlink" Target="https://assets.vans.eu/images/VN0A2Z3H1OU-HERO/1" TargetMode="External"/><Relationship Id="rId217" Type="http://schemas.openxmlformats.org/officeDocument/2006/relationships/hyperlink" Target="https://assets.vans.eu/images/VN000G75BL2-HERO/1" TargetMode="External"/><Relationship Id="rId564" Type="http://schemas.openxmlformats.org/officeDocument/2006/relationships/hyperlink" Target="https://assets.vans.eu/images/VN000R742N1-HERO/1" TargetMode="External"/><Relationship Id="rId771" Type="http://schemas.openxmlformats.org/officeDocument/2006/relationships/hyperlink" Target="https://assets.vans.eu/images/VN0A5JLGWHT-HERO/1" TargetMode="External"/><Relationship Id="rId2245" Type="http://schemas.openxmlformats.org/officeDocument/2006/relationships/hyperlink" Target="https://assets.vans.eu/images/VN000PJ7BLK-HERO/1" TargetMode="External"/><Relationship Id="rId2452" Type="http://schemas.openxmlformats.org/officeDocument/2006/relationships/hyperlink" Target="https://assets.vans.eu/images/VN000CQ0Y09-HERO/1" TargetMode="External"/><Relationship Id="rId3503" Type="http://schemas.openxmlformats.org/officeDocument/2006/relationships/hyperlink" Target="https://assets.vans.eu/images/VN000Q2ABLK-HERO/1" TargetMode="External"/><Relationship Id="rId3710" Type="http://schemas.openxmlformats.org/officeDocument/2006/relationships/hyperlink" Target="https://assets.vans.eu/images/VN0009PZDRV-HERO/1" TargetMode="External"/><Relationship Id="rId424" Type="http://schemas.openxmlformats.org/officeDocument/2006/relationships/hyperlink" Target="https://assets.vans.eu/images/VN000E9YBGP-HERO/1" TargetMode="External"/><Relationship Id="rId631" Type="http://schemas.openxmlformats.org/officeDocument/2006/relationships/hyperlink" Target="https://assets.vans.eu/images/VN000D2VEMY-HERO/1" TargetMode="External"/><Relationship Id="rId1054" Type="http://schemas.openxmlformats.org/officeDocument/2006/relationships/hyperlink" Target="https://assets.vans.eu/images/VN000HRGBLK-HERO/1" TargetMode="External"/><Relationship Id="rId1261" Type="http://schemas.openxmlformats.org/officeDocument/2006/relationships/hyperlink" Target="https://assets.vans.eu/images/VN000D6WY28-HERO/1" TargetMode="External"/><Relationship Id="rId2105" Type="http://schemas.openxmlformats.org/officeDocument/2006/relationships/hyperlink" Target="https://assets.vans.eu/images/VN000M29DDN-HERO/1" TargetMode="External"/><Relationship Id="rId2312" Type="http://schemas.openxmlformats.org/officeDocument/2006/relationships/hyperlink" Target="https://assets.vans.eu/images/VN000PY4BLK-HERO/1" TargetMode="External"/><Relationship Id="rId1121" Type="http://schemas.openxmlformats.org/officeDocument/2006/relationships/hyperlink" Target="https://assets.vans.eu/images/VN000HZABLK-HERO/1" TargetMode="External"/><Relationship Id="rId4277" Type="http://schemas.openxmlformats.org/officeDocument/2006/relationships/hyperlink" Target="https://assets.vans.eu/images/VN000D5R9DH-HERO/1" TargetMode="External"/><Relationship Id="rId4484" Type="http://schemas.openxmlformats.org/officeDocument/2006/relationships/hyperlink" Target="https://assets.vans.eu/images/VN000D9YBX9-HERO/1" TargetMode="External"/><Relationship Id="rId4691" Type="http://schemas.openxmlformats.org/officeDocument/2006/relationships/hyperlink" Target="https://assets.vans.eu/images/VN000ZUVFM5-HERO/1" TargetMode="External"/><Relationship Id="rId3086" Type="http://schemas.openxmlformats.org/officeDocument/2006/relationships/hyperlink" Target="https://assets.vans.eu/images/VN000K8PFS8-HERO/1" TargetMode="External"/><Relationship Id="rId3293" Type="http://schemas.openxmlformats.org/officeDocument/2006/relationships/hyperlink" Target="https://assets.vans.eu/images/VN000P58ZUJ-HERO/1" TargetMode="External"/><Relationship Id="rId4137" Type="http://schemas.openxmlformats.org/officeDocument/2006/relationships/hyperlink" Target="https://assets.vans.eu/images/VN000D1JY23-HERO/1" TargetMode="External"/><Relationship Id="rId4344" Type="http://schemas.openxmlformats.org/officeDocument/2006/relationships/hyperlink" Target="https://assets.vans.eu/images/VN000D6N24O-HERO/1" TargetMode="External"/><Relationship Id="rId4551" Type="http://schemas.openxmlformats.org/officeDocument/2006/relationships/hyperlink" Target="https://assets.vans.eu/images/VN000DAQ9DH-HERO/1" TargetMode="External"/><Relationship Id="rId1938" Type="http://schemas.openxmlformats.org/officeDocument/2006/relationships/hyperlink" Target="https://assets.vans.eu/images/VN000D83SQ7-HERO/1" TargetMode="External"/><Relationship Id="rId3153" Type="http://schemas.openxmlformats.org/officeDocument/2006/relationships/hyperlink" Target="https://assets.vans.eu/images/VN000M8G1O7-HERO/1" TargetMode="External"/><Relationship Id="rId3360" Type="http://schemas.openxmlformats.org/officeDocument/2006/relationships/hyperlink" Target="https://assets.vans.eu/images/VN000PCAWHT-HERO/1" TargetMode="External"/><Relationship Id="rId4204" Type="http://schemas.openxmlformats.org/officeDocument/2006/relationships/hyperlink" Target="https://assets.vans.eu/images/VN000D2A2LH-HERO/1" TargetMode="External"/><Relationship Id="rId281" Type="http://schemas.openxmlformats.org/officeDocument/2006/relationships/hyperlink" Target="https://assets.vans.eu/images/VN000M39D4C-HERO/1" TargetMode="External"/><Relationship Id="rId3013" Type="http://schemas.openxmlformats.org/officeDocument/2006/relationships/hyperlink" Target="https://assets.vans.eu/images/VN000HNJDBA-HERO/1" TargetMode="External"/><Relationship Id="rId4411" Type="http://schemas.openxmlformats.org/officeDocument/2006/relationships/hyperlink" Target="https://assets.vans.eu/images/VN000D6ZEMT-HERO/1" TargetMode="External"/><Relationship Id="rId141" Type="http://schemas.openxmlformats.org/officeDocument/2006/relationships/hyperlink" Target="https://assets.vans.eu/images/VN000D3YFS8-HERO/1" TargetMode="External"/><Relationship Id="rId3220" Type="http://schemas.openxmlformats.org/officeDocument/2006/relationships/hyperlink" Target="https://assets.vans.eu/images/VN000MM1WHT-HERO/1" TargetMode="External"/><Relationship Id="rId7" Type="http://schemas.openxmlformats.org/officeDocument/2006/relationships/hyperlink" Target="https://assets.vans.eu/images/VN000E9XIVG-HERO/1" TargetMode="External"/><Relationship Id="rId2779" Type="http://schemas.openxmlformats.org/officeDocument/2006/relationships/hyperlink" Target="https://assets.vans.eu/images/VN000E8WBRD-HERO/1" TargetMode="External"/><Relationship Id="rId2986" Type="http://schemas.openxmlformats.org/officeDocument/2006/relationships/hyperlink" Target="https://assets.vans.eu/images/VN000H2AKF1-HERO/1" TargetMode="External"/><Relationship Id="rId958" Type="http://schemas.openxmlformats.org/officeDocument/2006/relationships/hyperlink" Target="https://assets.vans.eu/images/VN000D6WCJK-HERO/1" TargetMode="External"/><Relationship Id="rId1588" Type="http://schemas.openxmlformats.org/officeDocument/2006/relationships/hyperlink" Target="https://assets.vans.eu/images/VN000QBKYLZ-HERO/1" TargetMode="External"/><Relationship Id="rId1795" Type="http://schemas.openxmlformats.org/officeDocument/2006/relationships/hyperlink" Target="https://assets.vans.eu/images/VN000R95EMV-HERO/1" TargetMode="External"/><Relationship Id="rId2639" Type="http://schemas.openxmlformats.org/officeDocument/2006/relationships/hyperlink" Target="https://assets.vans.eu/images/VN000D60EMW-HERO/1" TargetMode="External"/><Relationship Id="rId2846" Type="http://schemas.openxmlformats.org/officeDocument/2006/relationships/hyperlink" Target="https://assets.vans.eu/images/VN0A5JICNUT-HERO/1" TargetMode="External"/><Relationship Id="rId5045" Type="http://schemas.openxmlformats.org/officeDocument/2006/relationships/hyperlink" Target="https://assets.vans.eu/images/VN0A2Z3NY40-HERO/1" TargetMode="External"/><Relationship Id="rId87" Type="http://schemas.openxmlformats.org/officeDocument/2006/relationships/hyperlink" Target="https://assets.vans.eu/images/VN000E9XTUP-HERO/1" TargetMode="External"/><Relationship Id="rId818" Type="http://schemas.openxmlformats.org/officeDocument/2006/relationships/hyperlink" Target="https://assets.vans.eu/images/VN000R3UU20-HERO/1" TargetMode="External"/><Relationship Id="rId1448" Type="http://schemas.openxmlformats.org/officeDocument/2006/relationships/hyperlink" Target="https://assets.vans.eu/images/VN000CQRBO5-HERO/1" TargetMode="External"/><Relationship Id="rId1655" Type="http://schemas.openxmlformats.org/officeDocument/2006/relationships/hyperlink" Target="https://assets.vans.eu/images/VN000M8EKCZ-HERO/1" TargetMode="External"/><Relationship Id="rId2706" Type="http://schemas.openxmlformats.org/officeDocument/2006/relationships/hyperlink" Target="https://assets.vans.eu/images/VN000D80BF0-HERO/1" TargetMode="External"/><Relationship Id="rId4061" Type="http://schemas.openxmlformats.org/officeDocument/2006/relationships/hyperlink" Target="https://assets.vans.eu/images/VN000D1111E-HERO/1" TargetMode="External"/><Relationship Id="rId1308" Type="http://schemas.openxmlformats.org/officeDocument/2006/relationships/hyperlink" Target="https://assets.vans.eu/images/VN000C9VFS8-HERO/1" TargetMode="External"/><Relationship Id="rId1862" Type="http://schemas.openxmlformats.org/officeDocument/2006/relationships/hyperlink" Target="https://assets.vans.eu/images/VN000D0JRV2-HERO/1" TargetMode="External"/><Relationship Id="rId2913" Type="http://schemas.openxmlformats.org/officeDocument/2006/relationships/hyperlink" Target="https://assets.vans.eu/images/VN000395WHT-HERO/1" TargetMode="External"/><Relationship Id="rId1515" Type="http://schemas.openxmlformats.org/officeDocument/2006/relationships/hyperlink" Target="https://assets.vans.eu/images/VN000D6YEMH-HERO/1" TargetMode="External"/><Relationship Id="rId1722" Type="http://schemas.openxmlformats.org/officeDocument/2006/relationships/hyperlink" Target="https://assets.vans.eu/images/VN000PKEEN6-HERO/1" TargetMode="External"/><Relationship Id="rId4878" Type="http://schemas.openxmlformats.org/officeDocument/2006/relationships/hyperlink" Target="https://assets.vans.eu/images/VN000D1G92A-HERO/1" TargetMode="External"/><Relationship Id="rId14" Type="http://schemas.openxmlformats.org/officeDocument/2006/relationships/hyperlink" Target="https://assets.vans.eu/images/VN000UFHBYP-HERO/1" TargetMode="External"/><Relationship Id="rId3687" Type="http://schemas.openxmlformats.org/officeDocument/2006/relationships/hyperlink" Target="https://assets.vans.eu/images/VN0005UFBLL-HERO/1" TargetMode="External"/><Relationship Id="rId3894" Type="http://schemas.openxmlformats.org/officeDocument/2006/relationships/hyperlink" Target="https://assets.vans.eu/images/VN000CVTBKA-HERO/1" TargetMode="External"/><Relationship Id="rId4738" Type="http://schemas.openxmlformats.org/officeDocument/2006/relationships/hyperlink" Target="https://assets.vans.eu/images/VN0A5FCAPIB-HERO/1" TargetMode="External"/><Relationship Id="rId4945" Type="http://schemas.openxmlformats.org/officeDocument/2006/relationships/hyperlink" Target="https://assets.vans.eu/images/VN000D1GYB2-HERO/1" TargetMode="External"/><Relationship Id="rId2289" Type="http://schemas.openxmlformats.org/officeDocument/2006/relationships/hyperlink" Target="https://assets.vans.eu/images/VN000PR4EMV-HERO/1" TargetMode="External"/><Relationship Id="rId2496" Type="http://schemas.openxmlformats.org/officeDocument/2006/relationships/hyperlink" Target="https://assets.vans.eu/images/VN000CVUDRB-HERO/1" TargetMode="External"/><Relationship Id="rId3547" Type="http://schemas.openxmlformats.org/officeDocument/2006/relationships/hyperlink" Target="https://assets.vans.eu/images/VN000R3FBLK-HERO/1" TargetMode="External"/><Relationship Id="rId3754" Type="http://schemas.openxmlformats.org/officeDocument/2006/relationships/hyperlink" Target="https://assets.vans.eu/images/VN000BVZ1NU-HERO/1" TargetMode="External"/><Relationship Id="rId3961" Type="http://schemas.openxmlformats.org/officeDocument/2006/relationships/hyperlink" Target="https://assets.vans.eu/images/VN000CWEBO5-HERO/1" TargetMode="External"/><Relationship Id="rId4805" Type="http://schemas.openxmlformats.org/officeDocument/2006/relationships/hyperlink" Target="https://assets.vans.eu/images/VN000GKZBLK-HERO/1" TargetMode="External"/><Relationship Id="rId468" Type="http://schemas.openxmlformats.org/officeDocument/2006/relationships/hyperlink" Target="https://assets.vans.eu/images/VN0A5FCB1N6-HERO/1" TargetMode="External"/><Relationship Id="rId675" Type="http://schemas.openxmlformats.org/officeDocument/2006/relationships/hyperlink" Target="https://assets.vans.eu/images/VN0007P9CL2-HERO/1" TargetMode="External"/><Relationship Id="rId882" Type="http://schemas.openxmlformats.org/officeDocument/2006/relationships/hyperlink" Target="https://assets.vans.eu/images/VN000MA2EMF-HERO/1" TargetMode="External"/><Relationship Id="rId1098" Type="http://schemas.openxmlformats.org/officeDocument/2006/relationships/hyperlink" Target="https://assets.vans.eu/images/VN000GNKWHT-HERO/1" TargetMode="External"/><Relationship Id="rId2149" Type="http://schemas.openxmlformats.org/officeDocument/2006/relationships/hyperlink" Target="https://assets.vans.eu/images/VN000MFWUUI-HERO/1" TargetMode="External"/><Relationship Id="rId2356" Type="http://schemas.openxmlformats.org/officeDocument/2006/relationships/hyperlink" Target="https://assets.vans.eu/images/VN000RFUBLK-HERO/1" TargetMode="External"/><Relationship Id="rId2563" Type="http://schemas.openxmlformats.org/officeDocument/2006/relationships/hyperlink" Target="https://assets.vans.eu/images/VN000D0SYJ7-HERO/1" TargetMode="External"/><Relationship Id="rId2770" Type="http://schemas.openxmlformats.org/officeDocument/2006/relationships/hyperlink" Target="https://assets.vans.eu/images/VN000DCJGRN-HERO/1" TargetMode="External"/><Relationship Id="rId3407" Type="http://schemas.openxmlformats.org/officeDocument/2006/relationships/hyperlink" Target="https://assets.vans.eu/images/VN000PHHLVB-HERO/1" TargetMode="External"/><Relationship Id="rId3614" Type="http://schemas.openxmlformats.org/officeDocument/2006/relationships/hyperlink" Target="https://assets.vans.eu/images/VN000Y8VYB2-HERO/1" TargetMode="External"/><Relationship Id="rId3821" Type="http://schemas.openxmlformats.org/officeDocument/2006/relationships/hyperlink" Target="https://assets.vans.eu/images/VN000CR5WGR-HERO/1" TargetMode="External"/><Relationship Id="rId328" Type="http://schemas.openxmlformats.org/officeDocument/2006/relationships/hyperlink" Target="https://assets.vans.eu/images/VN000PPMBLK-HERO/1" TargetMode="External"/><Relationship Id="rId535" Type="http://schemas.openxmlformats.org/officeDocument/2006/relationships/hyperlink" Target="https://assets.vans.eu/images/VN000EE1I6Y-HERO/1" TargetMode="External"/><Relationship Id="rId742" Type="http://schemas.openxmlformats.org/officeDocument/2006/relationships/hyperlink" Target="https://assets.vans.eu/images/VN000BVXKAQ-HERO/1" TargetMode="External"/><Relationship Id="rId1165" Type="http://schemas.openxmlformats.org/officeDocument/2006/relationships/hyperlink" Target="https://assets.vans.eu/images/VN000PFF2B6-HERO/1" TargetMode="External"/><Relationship Id="rId1372" Type="http://schemas.openxmlformats.org/officeDocument/2006/relationships/hyperlink" Target="https://assets.vans.eu/images/VN000PGKFS8-HERO/1" TargetMode="External"/><Relationship Id="rId2009" Type="http://schemas.openxmlformats.org/officeDocument/2006/relationships/hyperlink" Target="https://assets.vans.eu/images/VN000HT0CIF-HERO/1" TargetMode="External"/><Relationship Id="rId2216" Type="http://schemas.openxmlformats.org/officeDocument/2006/relationships/hyperlink" Target="https://assets.vans.eu/images/VN000PCXEMS-HERO/1" TargetMode="External"/><Relationship Id="rId2423" Type="http://schemas.openxmlformats.org/officeDocument/2006/relationships/hyperlink" Target="https://assets.vans.eu/images/VN000BVZ1NU-HERO/1" TargetMode="External"/><Relationship Id="rId2630" Type="http://schemas.openxmlformats.org/officeDocument/2006/relationships/hyperlink" Target="https://assets.vans.eu/images/VN000D5RY52-HERO/1" TargetMode="External"/><Relationship Id="rId602" Type="http://schemas.openxmlformats.org/officeDocument/2006/relationships/hyperlink" Target="https://assets.vans.eu/images/VN000M9KEB2-HERO/1" TargetMode="External"/><Relationship Id="rId1025" Type="http://schemas.openxmlformats.org/officeDocument/2006/relationships/hyperlink" Target="https://assets.vans.eu/images/VN000PNKEMJ-HERO/1" TargetMode="External"/><Relationship Id="rId1232" Type="http://schemas.openxmlformats.org/officeDocument/2006/relationships/hyperlink" Target="https://assets.vans.eu/images/VN000CYU4Y4-HERO/1" TargetMode="External"/><Relationship Id="rId4388" Type="http://schemas.openxmlformats.org/officeDocument/2006/relationships/hyperlink" Target="https://assets.vans.eu/images/VN000D6WYY6-HERO/1" TargetMode="External"/><Relationship Id="rId4595" Type="http://schemas.openxmlformats.org/officeDocument/2006/relationships/hyperlink" Target="https://assets.vans.eu/images/VN000DCEBRD-HERO/1" TargetMode="External"/><Relationship Id="rId3197" Type="http://schemas.openxmlformats.org/officeDocument/2006/relationships/hyperlink" Target="https://assets.vans.eu/images/VN000MCU1O7-HERO/1" TargetMode="External"/><Relationship Id="rId4248" Type="http://schemas.openxmlformats.org/officeDocument/2006/relationships/hyperlink" Target="https://assets.vans.eu/images/VN000D4N141-HERO/1" TargetMode="External"/><Relationship Id="rId3057" Type="http://schemas.openxmlformats.org/officeDocument/2006/relationships/hyperlink" Target="https://assets.vans.eu/images/VN000JC1BLK-HERO/1" TargetMode="External"/><Relationship Id="rId4108" Type="http://schemas.openxmlformats.org/officeDocument/2006/relationships/hyperlink" Target="https://assets.vans.eu/images/VN000D1JBRO-HERO/1" TargetMode="External"/><Relationship Id="rId4455" Type="http://schemas.openxmlformats.org/officeDocument/2006/relationships/hyperlink" Target="https://assets.vans.eu/images/VN000D85EME-HERO/1" TargetMode="External"/><Relationship Id="rId4662" Type="http://schemas.openxmlformats.org/officeDocument/2006/relationships/hyperlink" Target="https://assets.vans.eu/images/VN000EDUCD3-HERO/1" TargetMode="External"/><Relationship Id="rId185" Type="http://schemas.openxmlformats.org/officeDocument/2006/relationships/hyperlink" Target="https://assets.vans.eu/images/VN000HGKBLK-HERO/1" TargetMode="External"/><Relationship Id="rId1909" Type="http://schemas.openxmlformats.org/officeDocument/2006/relationships/hyperlink" Target="https://assets.vans.eu/images/VN000D60RV2-HERO/1" TargetMode="External"/><Relationship Id="rId3264" Type="http://schemas.openxmlformats.org/officeDocument/2006/relationships/hyperlink" Target="https://assets.vans.eu/images/VN000P50O32-HERO/1" TargetMode="External"/><Relationship Id="rId3471" Type="http://schemas.openxmlformats.org/officeDocument/2006/relationships/hyperlink" Target="https://assets.vans.eu/images/VN000PTTWHT-HERO/1" TargetMode="External"/><Relationship Id="rId4315" Type="http://schemas.openxmlformats.org/officeDocument/2006/relationships/hyperlink" Target="https://assets.vans.eu/images/VN000D6F239-HERO/1" TargetMode="External"/><Relationship Id="rId4522" Type="http://schemas.openxmlformats.org/officeDocument/2006/relationships/hyperlink" Target="https://assets.vans.eu/images/VN000DA4D7U-HERO/1" TargetMode="External"/><Relationship Id="rId392" Type="http://schemas.openxmlformats.org/officeDocument/2006/relationships/hyperlink" Target="https://assets.vans.eu/images/VN000P58CHG-HERO/1" TargetMode="External"/><Relationship Id="rId2073" Type="http://schemas.openxmlformats.org/officeDocument/2006/relationships/hyperlink" Target="https://assets.vans.eu/images/VN000JBMCIB-HERO/1" TargetMode="External"/><Relationship Id="rId2280" Type="http://schemas.openxmlformats.org/officeDocument/2006/relationships/hyperlink" Target="https://assets.vans.eu/images/VN000PPKEMP-HERO/1" TargetMode="External"/><Relationship Id="rId3124" Type="http://schemas.openxmlformats.org/officeDocument/2006/relationships/hyperlink" Target="https://assets.vans.eu/images/VN000M1KBLK-HERO/1" TargetMode="External"/><Relationship Id="rId3331" Type="http://schemas.openxmlformats.org/officeDocument/2006/relationships/hyperlink" Target="https://assets.vans.eu/images/VN000P93EMT-HERO/1" TargetMode="External"/><Relationship Id="rId252" Type="http://schemas.openxmlformats.org/officeDocument/2006/relationships/hyperlink" Target="https://assets.vans.eu/images/VN000MFWUUI-HERO/1" TargetMode="External"/><Relationship Id="rId2140" Type="http://schemas.openxmlformats.org/officeDocument/2006/relationships/hyperlink" Target="https://assets.vans.eu/images/VN000MB3ZBF-HERO/1" TargetMode="External"/><Relationship Id="rId112" Type="http://schemas.openxmlformats.org/officeDocument/2006/relationships/hyperlink" Target="https://assets.vans.eu/images/VN000HZBBLK-HERO/1" TargetMode="External"/><Relationship Id="rId1699" Type="http://schemas.openxmlformats.org/officeDocument/2006/relationships/hyperlink" Target="https://assets.vans.eu/images/VN000P5S14A-HERO/1" TargetMode="External"/><Relationship Id="rId2000" Type="http://schemas.openxmlformats.org/officeDocument/2006/relationships/hyperlink" Target="https://assets.vans.eu/images/VN0A5HYWA3I-HERO/1" TargetMode="External"/><Relationship Id="rId2957" Type="http://schemas.openxmlformats.org/officeDocument/2006/relationships/hyperlink" Target="https://assets.vans.eu/images/VN000G8CCHN-HERO/1" TargetMode="External"/><Relationship Id="rId4172" Type="http://schemas.openxmlformats.org/officeDocument/2006/relationships/hyperlink" Target="https://assets.vans.eu/images/VN000D26BR1-HERO/1" TargetMode="External"/><Relationship Id="rId5016" Type="http://schemas.openxmlformats.org/officeDocument/2006/relationships/hyperlink" Target="https://assets.vans.eu/images/VN0A2Z348YG-HERO/1" TargetMode="External"/><Relationship Id="rId929" Type="http://schemas.openxmlformats.org/officeDocument/2006/relationships/hyperlink" Target="https://assets.vans.eu/images/VN000M7MEMJ-HERO/1" TargetMode="External"/><Relationship Id="rId1559" Type="http://schemas.openxmlformats.org/officeDocument/2006/relationships/hyperlink" Target="https://assets.vans.eu/images/VN0A347ZDDU-HERO/1" TargetMode="External"/><Relationship Id="rId1766" Type="http://schemas.openxmlformats.org/officeDocument/2006/relationships/hyperlink" Target="https://assets.vans.eu/images/VN000PY4WHT-HERO/1" TargetMode="External"/><Relationship Id="rId1973" Type="http://schemas.openxmlformats.org/officeDocument/2006/relationships/hyperlink" Target="https://assets.vans.eu/images/VN000EDN9X1-HERO/1" TargetMode="External"/><Relationship Id="rId2817" Type="http://schemas.openxmlformats.org/officeDocument/2006/relationships/hyperlink" Target="https://assets.vans.eu/images/VN000V68B5P-HERO/1" TargetMode="External"/><Relationship Id="rId4032" Type="http://schemas.openxmlformats.org/officeDocument/2006/relationships/hyperlink" Target="https://assets.vans.eu/images/VN000D0KBES-HERO/1" TargetMode="External"/><Relationship Id="rId58" Type="http://schemas.openxmlformats.org/officeDocument/2006/relationships/hyperlink" Target="https://assets.vans.eu/images/VN000XZYBLK-HERO/1" TargetMode="External"/><Relationship Id="rId1419" Type="http://schemas.openxmlformats.org/officeDocument/2006/relationships/hyperlink" Target="https://assets.vans.eu/images/VN000REFWHT-HERO/1" TargetMode="External"/><Relationship Id="rId1626" Type="http://schemas.openxmlformats.org/officeDocument/2006/relationships/hyperlink" Target="https://assets.vans.eu/images/VN000HZBBLK-HERO/1" TargetMode="External"/><Relationship Id="rId1833" Type="http://schemas.openxmlformats.org/officeDocument/2006/relationships/hyperlink" Target="https://assets.vans.eu/images/VN000CTG448-HERO/1" TargetMode="External"/><Relationship Id="rId4989" Type="http://schemas.openxmlformats.org/officeDocument/2006/relationships/hyperlink" Target="https://assets.vans.eu/images/VN000E23CQ0-HERO/1" TargetMode="External"/><Relationship Id="rId1900" Type="http://schemas.openxmlformats.org/officeDocument/2006/relationships/hyperlink" Target="https://assets.vans.eu/images/VN000D4SCFL-HERO/1" TargetMode="External"/><Relationship Id="rId3798" Type="http://schemas.openxmlformats.org/officeDocument/2006/relationships/hyperlink" Target="https://assets.vans.eu/images/VN000CQ9B8C-HERO/1" TargetMode="External"/><Relationship Id="rId4849" Type="http://schemas.openxmlformats.org/officeDocument/2006/relationships/hyperlink" Target="https://assets.vans.eu/images/VN0009UDKOU-HERO/1" TargetMode="External"/><Relationship Id="rId3658" Type="http://schemas.openxmlformats.org/officeDocument/2006/relationships/hyperlink" Target="https://assets.vans.eu/images/VN0A5FJ7DZ9-HERO/1" TargetMode="External"/><Relationship Id="rId3865" Type="http://schemas.openxmlformats.org/officeDocument/2006/relationships/hyperlink" Target="https://assets.vans.eu/images/VN000CTNCH8-HERO/1" TargetMode="External"/><Relationship Id="rId4709" Type="http://schemas.openxmlformats.org/officeDocument/2006/relationships/hyperlink" Target="https://assets.vans.eu/images/VN0A3TKN6BT-HERO/1" TargetMode="External"/><Relationship Id="rId4916" Type="http://schemas.openxmlformats.org/officeDocument/2006/relationships/hyperlink" Target="https://assets.vans.eu/images/VN000CBSB7G-HERO/1" TargetMode="External"/><Relationship Id="rId579" Type="http://schemas.openxmlformats.org/officeDocument/2006/relationships/hyperlink" Target="https://assets.vans.eu/images/VN000D8NBKA-HERO/1" TargetMode="External"/><Relationship Id="rId786" Type="http://schemas.openxmlformats.org/officeDocument/2006/relationships/hyperlink" Target="https://assets.vans.eu/images/VN000HZBYEH-HERO/1" TargetMode="External"/><Relationship Id="rId993" Type="http://schemas.openxmlformats.org/officeDocument/2006/relationships/hyperlink" Target="https://assets.vans.eu/images/VN000HPFFS8-HERO/1" TargetMode="External"/><Relationship Id="rId2467" Type="http://schemas.openxmlformats.org/officeDocument/2006/relationships/hyperlink" Target="https://assets.vans.eu/images/VN000CTG1NU-HERO/1" TargetMode="External"/><Relationship Id="rId2674" Type="http://schemas.openxmlformats.org/officeDocument/2006/relationships/hyperlink" Target="https://assets.vans.eu/images/VN000D6WEMU-HERO/1" TargetMode="External"/><Relationship Id="rId3518" Type="http://schemas.openxmlformats.org/officeDocument/2006/relationships/hyperlink" Target="https://assets.vans.eu/images/VN000Q49BLK-HERO/1" TargetMode="External"/><Relationship Id="rId439" Type="http://schemas.openxmlformats.org/officeDocument/2006/relationships/hyperlink" Target="https://assets.vans.eu/images/VN000PK8BLK-HERO/1" TargetMode="External"/><Relationship Id="rId646" Type="http://schemas.openxmlformats.org/officeDocument/2006/relationships/hyperlink" Target="https://assets.vans.eu/images/VN00000D1LE-HERO/1" TargetMode="External"/><Relationship Id="rId1069" Type="http://schemas.openxmlformats.org/officeDocument/2006/relationships/hyperlink" Target="https://assets.vans.eu/images/VN000D26GWT-HERO/1" TargetMode="External"/><Relationship Id="rId1276" Type="http://schemas.openxmlformats.org/officeDocument/2006/relationships/hyperlink" Target="https://assets.vans.eu/images/VN000E9YBGP-HERO/1" TargetMode="External"/><Relationship Id="rId1483" Type="http://schemas.openxmlformats.org/officeDocument/2006/relationships/hyperlink" Target="https://assets.vans.eu/images/VN000D0KEN6-HERO/1" TargetMode="External"/><Relationship Id="rId2327" Type="http://schemas.openxmlformats.org/officeDocument/2006/relationships/hyperlink" Target="https://assets.vans.eu/images/VN000R03EN7-HERO/1" TargetMode="External"/><Relationship Id="rId2881" Type="http://schemas.openxmlformats.org/officeDocument/2006/relationships/hyperlink" Target="https://assets.vans.eu/images/VN000K9YHTG-HERO/1" TargetMode="External"/><Relationship Id="rId3725" Type="http://schemas.openxmlformats.org/officeDocument/2006/relationships/hyperlink" Target="https://assets.vans.eu/images/VN0009QP4MG-HERO/1" TargetMode="External"/><Relationship Id="rId3932" Type="http://schemas.openxmlformats.org/officeDocument/2006/relationships/hyperlink" Target="https://assets.vans.eu/images/VN000CVVEMQ-HERO/1" TargetMode="External"/><Relationship Id="rId506" Type="http://schemas.openxmlformats.org/officeDocument/2006/relationships/hyperlink" Target="https://assets.vans.eu/images/VN000QB32N1-HERO/1" TargetMode="External"/><Relationship Id="rId853" Type="http://schemas.openxmlformats.org/officeDocument/2006/relationships/hyperlink" Target="https://assets.vans.eu/images/VN000D7J52K-HERO/1" TargetMode="External"/><Relationship Id="rId1136" Type="http://schemas.openxmlformats.org/officeDocument/2006/relationships/hyperlink" Target="https://assets.vans.eu/images/VN000M97WHT-HERO/1" TargetMode="External"/><Relationship Id="rId1690" Type="http://schemas.openxmlformats.org/officeDocument/2006/relationships/hyperlink" Target="https://assets.vans.eu/images/VN000P21EMU-HERO/1" TargetMode="External"/><Relationship Id="rId2534" Type="http://schemas.openxmlformats.org/officeDocument/2006/relationships/hyperlink" Target="https://assets.vans.eu/images/VN000D0ENGM-HERO/1" TargetMode="External"/><Relationship Id="rId2741" Type="http://schemas.openxmlformats.org/officeDocument/2006/relationships/hyperlink" Target="https://assets.vans.eu/images/VN000DAQ1MG-HERO/1" TargetMode="External"/><Relationship Id="rId713" Type="http://schemas.openxmlformats.org/officeDocument/2006/relationships/hyperlink" Target="https://assets.vans.eu/images/VN000MC0WHT-HERO/1" TargetMode="External"/><Relationship Id="rId920" Type="http://schemas.openxmlformats.org/officeDocument/2006/relationships/hyperlink" Target="https://assets.vans.eu/images/VN000RFUWHT-HERO/1" TargetMode="External"/><Relationship Id="rId1343" Type="http://schemas.openxmlformats.org/officeDocument/2006/relationships/hyperlink" Target="https://assets.vans.eu/images/VN000M9SEMJ-HERO/1" TargetMode="External"/><Relationship Id="rId1550" Type="http://schemas.openxmlformats.org/officeDocument/2006/relationships/hyperlink" Target="https://assets.vans.eu/images/VN000EB4BRO-HERO/1" TargetMode="External"/><Relationship Id="rId2601" Type="http://schemas.openxmlformats.org/officeDocument/2006/relationships/hyperlink" Target="https://assets.vans.eu/images/VN000D26Y61-HERO/1" TargetMode="External"/><Relationship Id="rId4499" Type="http://schemas.openxmlformats.org/officeDocument/2006/relationships/hyperlink" Target="https://assets.vans.eu/images/VN000D9ZY27-HERO/1" TargetMode="External"/><Relationship Id="rId1203" Type="http://schemas.openxmlformats.org/officeDocument/2006/relationships/hyperlink" Target="https://assets.vans.eu/images/VN000U2CWHT-HERO/1" TargetMode="External"/><Relationship Id="rId1410" Type="http://schemas.openxmlformats.org/officeDocument/2006/relationships/hyperlink" Target="https://assets.vans.eu/images/VN000R02WHT-HERO/1" TargetMode="External"/><Relationship Id="rId4359" Type="http://schemas.openxmlformats.org/officeDocument/2006/relationships/hyperlink" Target="https://assets.vans.eu/images/VN000D6SCJA-HERO/1" TargetMode="External"/><Relationship Id="rId4566" Type="http://schemas.openxmlformats.org/officeDocument/2006/relationships/hyperlink" Target="https://assets.vans.eu/images/VN000DARBKL-HERO/1" TargetMode="External"/><Relationship Id="rId4773" Type="http://schemas.openxmlformats.org/officeDocument/2006/relationships/hyperlink" Target="https://assets.vans.eu/images/VN0A5I12KOU-HERO/1" TargetMode="External"/><Relationship Id="rId4980" Type="http://schemas.openxmlformats.org/officeDocument/2006/relationships/hyperlink" Target="https://assets.vans.eu/images/VN000D9ZRBG-HERO/1" TargetMode="External"/><Relationship Id="rId3168" Type="http://schemas.openxmlformats.org/officeDocument/2006/relationships/hyperlink" Target="https://assets.vans.eu/images/VN000M9HFS8-HERO/1" TargetMode="External"/><Relationship Id="rId3375" Type="http://schemas.openxmlformats.org/officeDocument/2006/relationships/hyperlink" Target="https://assets.vans.eu/images/VN000PDYEMP-HERO/1" TargetMode="External"/><Relationship Id="rId3582" Type="http://schemas.openxmlformats.org/officeDocument/2006/relationships/hyperlink" Target="https://assets.vans.eu/images/VN000RD4EMP-HERO/1" TargetMode="External"/><Relationship Id="rId4219" Type="http://schemas.openxmlformats.org/officeDocument/2006/relationships/hyperlink" Target="https://assets.vans.eu/images/VN000D3212S-HERO/1" TargetMode="External"/><Relationship Id="rId4426" Type="http://schemas.openxmlformats.org/officeDocument/2006/relationships/hyperlink" Target="https://assets.vans.eu/images/VN000D7G29B-HERO/1" TargetMode="External"/><Relationship Id="rId4633" Type="http://schemas.openxmlformats.org/officeDocument/2006/relationships/hyperlink" Target="https://assets.vans.eu/images/VN000EB4TAN-HERO/1" TargetMode="External"/><Relationship Id="rId4840" Type="http://schemas.openxmlformats.org/officeDocument/2006/relationships/hyperlink" Target="https://assets.vans.eu/images/VN000CUYY49-HERO/1" TargetMode="External"/><Relationship Id="rId296" Type="http://schemas.openxmlformats.org/officeDocument/2006/relationships/hyperlink" Target="https://assets.vans.eu/images/VN000BCECCZ-HERO/1" TargetMode="External"/><Relationship Id="rId2184" Type="http://schemas.openxmlformats.org/officeDocument/2006/relationships/hyperlink" Target="https://assets.vans.eu/images/VN000P50EMW-HERO/1" TargetMode="External"/><Relationship Id="rId2391" Type="http://schemas.openxmlformats.org/officeDocument/2006/relationships/hyperlink" Target="https://assets.vans.eu/images/VN0A7Y4RLKZ-HERO/1" TargetMode="External"/><Relationship Id="rId3028" Type="http://schemas.openxmlformats.org/officeDocument/2006/relationships/hyperlink" Target="https://assets.vans.eu/images/VN000HZBEMP-HERO/1" TargetMode="External"/><Relationship Id="rId3235" Type="http://schemas.openxmlformats.org/officeDocument/2006/relationships/hyperlink" Target="https://assets.vans.eu/images/VN000NVAJDU-HERO/1" TargetMode="External"/><Relationship Id="rId3442" Type="http://schemas.openxmlformats.org/officeDocument/2006/relationships/hyperlink" Target="https://assets.vans.eu/images/VN000PNEFS8-HERO/1" TargetMode="External"/><Relationship Id="rId156" Type="http://schemas.openxmlformats.org/officeDocument/2006/relationships/hyperlink" Target="https://assets.vans.eu/images/VN000P5DBLK-HERO/1" TargetMode="External"/><Relationship Id="rId363" Type="http://schemas.openxmlformats.org/officeDocument/2006/relationships/hyperlink" Target="https://assets.vans.eu/images/VN000HQ3M8I-HERO/1" TargetMode="External"/><Relationship Id="rId570" Type="http://schemas.openxmlformats.org/officeDocument/2006/relationships/hyperlink" Target="https://assets.vans.eu/images/VN000CWEZ5D-HERO/1" TargetMode="External"/><Relationship Id="rId2044" Type="http://schemas.openxmlformats.org/officeDocument/2006/relationships/hyperlink" Target="https://assets.vans.eu/images/VN000G6MBDX-HERO/1" TargetMode="External"/><Relationship Id="rId2251" Type="http://schemas.openxmlformats.org/officeDocument/2006/relationships/hyperlink" Target="https://assets.vans.eu/images/VN000PJMZBF-HERO/1" TargetMode="External"/><Relationship Id="rId3302" Type="http://schemas.openxmlformats.org/officeDocument/2006/relationships/hyperlink" Target="https://assets.vans.eu/images/VN000P5PBRD-HERO/1" TargetMode="External"/><Relationship Id="rId4700" Type="http://schemas.openxmlformats.org/officeDocument/2006/relationships/hyperlink" Target="https://assets.vans.eu/images/VN0A32QM28L-HERO/1" TargetMode="External"/><Relationship Id="rId223" Type="http://schemas.openxmlformats.org/officeDocument/2006/relationships/hyperlink" Target="https://assets.vans.eu/images/VN000QA27UG-HERO/1" TargetMode="External"/><Relationship Id="rId430" Type="http://schemas.openxmlformats.org/officeDocument/2006/relationships/hyperlink" Target="https://assets.vans.eu/images/VN000QBGBLK-HERO/1" TargetMode="External"/><Relationship Id="rId1060" Type="http://schemas.openxmlformats.org/officeDocument/2006/relationships/hyperlink" Target="https://assets.vans.eu/images/VN000CTG448-HERO/1" TargetMode="External"/><Relationship Id="rId2111" Type="http://schemas.openxmlformats.org/officeDocument/2006/relationships/hyperlink" Target="https://assets.vans.eu/images/VN000M3VBLK-HERO/1" TargetMode="External"/><Relationship Id="rId4076" Type="http://schemas.openxmlformats.org/officeDocument/2006/relationships/hyperlink" Target="https://assets.vans.eu/images/VN000D1GBA2-HERO/1" TargetMode="External"/><Relationship Id="rId1877" Type="http://schemas.openxmlformats.org/officeDocument/2006/relationships/hyperlink" Target="https://assets.vans.eu/images/VN000D1JV0N-HERO/1" TargetMode="External"/><Relationship Id="rId2928" Type="http://schemas.openxmlformats.org/officeDocument/2006/relationships/hyperlink" Target="https://assets.vans.eu/images/VN0008KUJDU-HERO/1" TargetMode="External"/><Relationship Id="rId4283" Type="http://schemas.openxmlformats.org/officeDocument/2006/relationships/hyperlink" Target="https://assets.vans.eu/images/VN000D5RBRG-HERO/1" TargetMode="External"/><Relationship Id="rId4490" Type="http://schemas.openxmlformats.org/officeDocument/2006/relationships/hyperlink" Target="https://assets.vans.eu/images/VN000D9YTUP-HERO/1" TargetMode="External"/><Relationship Id="rId1737" Type="http://schemas.openxmlformats.org/officeDocument/2006/relationships/hyperlink" Target="https://assets.vans.eu/images/VN000PPUEN7-HERO/1" TargetMode="External"/><Relationship Id="rId1944" Type="http://schemas.openxmlformats.org/officeDocument/2006/relationships/hyperlink" Target="https://assets.vans.eu/images/VN000D9YRWZ-HERO/1" TargetMode="External"/><Relationship Id="rId3092" Type="http://schemas.openxmlformats.org/officeDocument/2006/relationships/hyperlink" Target="https://assets.vans.eu/images/VN000KASBTE-HERO/1" TargetMode="External"/><Relationship Id="rId4143" Type="http://schemas.openxmlformats.org/officeDocument/2006/relationships/hyperlink" Target="https://assets.vans.eu/images/VN000D221NU-HERO/1" TargetMode="External"/><Relationship Id="rId4350" Type="http://schemas.openxmlformats.org/officeDocument/2006/relationships/hyperlink" Target="https://assets.vans.eu/images/VN000D6NBGK-HERO/1" TargetMode="External"/><Relationship Id="rId29" Type="http://schemas.openxmlformats.org/officeDocument/2006/relationships/hyperlink" Target="https://assets.vans.eu/images/VN000R32ENA-HERO/1" TargetMode="External"/><Relationship Id="rId4003" Type="http://schemas.openxmlformats.org/officeDocument/2006/relationships/hyperlink" Target="https://assets.vans.eu/images/VN000CZ7O33-HERO/1" TargetMode="External"/><Relationship Id="rId4210" Type="http://schemas.openxmlformats.org/officeDocument/2006/relationships/hyperlink" Target="https://assets.vans.eu/images/VN000D2CEMS-HERO/1" TargetMode="External"/><Relationship Id="rId1804" Type="http://schemas.openxmlformats.org/officeDocument/2006/relationships/hyperlink" Target="https://assets.vans.eu/images/VN0A3CZENAV-HERO/1" TargetMode="External"/><Relationship Id="rId3769" Type="http://schemas.openxmlformats.org/officeDocument/2006/relationships/hyperlink" Target="https://assets.vans.eu/images/VN000CP67VF-HERO/1" TargetMode="External"/><Relationship Id="rId3976" Type="http://schemas.openxmlformats.org/officeDocument/2006/relationships/hyperlink" Target="https://assets.vans.eu/images/VN000CYA7VF-HERO/1" TargetMode="External"/><Relationship Id="rId897" Type="http://schemas.openxmlformats.org/officeDocument/2006/relationships/hyperlink" Target="https://assets.vans.eu/images/VN000PHDEMF-HERO/1" TargetMode="External"/><Relationship Id="rId2578" Type="http://schemas.openxmlformats.org/officeDocument/2006/relationships/hyperlink" Target="https://assets.vans.eu/images/VN000D1HBXC-HERO/1" TargetMode="External"/><Relationship Id="rId2785" Type="http://schemas.openxmlformats.org/officeDocument/2006/relationships/hyperlink" Target="https://assets.vans.eu/images/VN000EA9BA2-HERO/1" TargetMode="External"/><Relationship Id="rId2992" Type="http://schemas.openxmlformats.org/officeDocument/2006/relationships/hyperlink" Target="https://assets.vans.eu/images/VN000HEUBLK-HERO/1" TargetMode="External"/><Relationship Id="rId3629" Type="http://schemas.openxmlformats.org/officeDocument/2006/relationships/hyperlink" Target="https://assets.vans.eu/images/VN0A3HSCP8X-HERO/1" TargetMode="External"/><Relationship Id="rId3836" Type="http://schemas.openxmlformats.org/officeDocument/2006/relationships/hyperlink" Target="https://assets.vans.eu/images/VN000CTDY23-HERO/1" TargetMode="External"/><Relationship Id="rId5051" Type="http://schemas.openxmlformats.org/officeDocument/2006/relationships/hyperlink" Target="https://assets.vans.eu/images/VN0A2Z3TWTM-HERO/1" TargetMode="External"/><Relationship Id="rId757" Type="http://schemas.openxmlformats.org/officeDocument/2006/relationships/hyperlink" Target="https://assets.vans.eu/images/VN000D1JO3N-HERO/1" TargetMode="External"/><Relationship Id="rId964" Type="http://schemas.openxmlformats.org/officeDocument/2006/relationships/hyperlink" Target="https://assets.vans.eu/images/VN000D9ACJ7-HERO/1" TargetMode="External"/><Relationship Id="rId1387" Type="http://schemas.openxmlformats.org/officeDocument/2006/relationships/hyperlink" Target="https://assets.vans.eu/images/VN000PMXEMU-HERO/1" TargetMode="External"/><Relationship Id="rId1594" Type="http://schemas.openxmlformats.org/officeDocument/2006/relationships/hyperlink" Target="https://assets.vans.eu/images/VN000XZYKCZ-HERO/1" TargetMode="External"/><Relationship Id="rId2438" Type="http://schemas.openxmlformats.org/officeDocument/2006/relationships/hyperlink" Target="https://assets.vans.eu/images/VN000CQ04C3-HERO/1" TargetMode="External"/><Relationship Id="rId2645" Type="http://schemas.openxmlformats.org/officeDocument/2006/relationships/hyperlink" Target="https://assets.vans.eu/images/VN000D610VW-HERO/1" TargetMode="External"/><Relationship Id="rId2852" Type="http://schemas.openxmlformats.org/officeDocument/2006/relationships/hyperlink" Target="https://assets.vans.eu/images/VN000623CBK-HERO/1" TargetMode="External"/><Relationship Id="rId3903" Type="http://schemas.openxmlformats.org/officeDocument/2006/relationships/hyperlink" Target="https://assets.vans.eu/images/VN000CVU1LO-HERO/1" TargetMode="External"/><Relationship Id="rId93" Type="http://schemas.openxmlformats.org/officeDocument/2006/relationships/hyperlink" Target="https://assets.vans.eu/images/VN000HZBYEH-HERO/1" TargetMode="External"/><Relationship Id="rId617" Type="http://schemas.openxmlformats.org/officeDocument/2006/relationships/hyperlink" Target="https://assets.vans.eu/images/VN000R04BLK-HERO/1" TargetMode="External"/><Relationship Id="rId824" Type="http://schemas.openxmlformats.org/officeDocument/2006/relationships/hyperlink" Target="https://assets.vans.eu/images/VN000RFUWHT-HERO/1" TargetMode="External"/><Relationship Id="rId1247" Type="http://schemas.openxmlformats.org/officeDocument/2006/relationships/hyperlink" Target="https://assets.vans.eu/images/VN000D1JOVM-HERO/1" TargetMode="External"/><Relationship Id="rId1454" Type="http://schemas.openxmlformats.org/officeDocument/2006/relationships/hyperlink" Target="https://assets.vans.eu/images/VN000CRRBJ4-HERO/1" TargetMode="External"/><Relationship Id="rId1661" Type="http://schemas.openxmlformats.org/officeDocument/2006/relationships/hyperlink" Target="https://assets.vans.eu/images/VN000MA2CLH-HERO/1" TargetMode="External"/><Relationship Id="rId2505" Type="http://schemas.openxmlformats.org/officeDocument/2006/relationships/hyperlink" Target="https://assets.vans.eu/images/VN000CVVN1Z-HERO/1" TargetMode="External"/><Relationship Id="rId2712" Type="http://schemas.openxmlformats.org/officeDocument/2006/relationships/hyperlink" Target="https://assets.vans.eu/images/VN000D9YBGK-HERO/1" TargetMode="External"/><Relationship Id="rId1107" Type="http://schemas.openxmlformats.org/officeDocument/2006/relationships/hyperlink" Target="https://assets.vans.eu/images/VN000QB6EN7-HERO/1" TargetMode="External"/><Relationship Id="rId1314" Type="http://schemas.openxmlformats.org/officeDocument/2006/relationships/hyperlink" Target="https://assets.vans.eu/images/VN000HZADZ9-HERO/1" TargetMode="External"/><Relationship Id="rId1521" Type="http://schemas.openxmlformats.org/officeDocument/2006/relationships/hyperlink" Target="https://assets.vans.eu/images/VN000D75Y28-HERO/1" TargetMode="External"/><Relationship Id="rId4677" Type="http://schemas.openxmlformats.org/officeDocument/2006/relationships/hyperlink" Target="https://assets.vans.eu/images/VN000V16EMT-HERO/1" TargetMode="External"/><Relationship Id="rId4884" Type="http://schemas.openxmlformats.org/officeDocument/2006/relationships/hyperlink" Target="https://assets.vans.eu/images/VN000D5RZHJ-HERO/1" TargetMode="External"/><Relationship Id="rId3279" Type="http://schemas.openxmlformats.org/officeDocument/2006/relationships/hyperlink" Target="https://assets.vans.eu/images/VN000P54WHT-HERO/1" TargetMode="External"/><Relationship Id="rId3486" Type="http://schemas.openxmlformats.org/officeDocument/2006/relationships/hyperlink" Target="https://assets.vans.eu/images/VN000PXEEMS-HERO/1" TargetMode="External"/><Relationship Id="rId3693" Type="http://schemas.openxmlformats.org/officeDocument/2006/relationships/hyperlink" Target="https://assets.vans.eu/images/VN0005UKOLO-HERO/1" TargetMode="External"/><Relationship Id="rId4537" Type="http://schemas.openxmlformats.org/officeDocument/2006/relationships/hyperlink" Target="https://assets.vans.eu/images/VN000DAJYJ7-HERO/1" TargetMode="External"/><Relationship Id="rId20" Type="http://schemas.openxmlformats.org/officeDocument/2006/relationships/hyperlink" Target="https://assets.vans.eu/images/VN000Y5WWHT-HERO/1" TargetMode="External"/><Relationship Id="rId2088" Type="http://schemas.openxmlformats.org/officeDocument/2006/relationships/hyperlink" Target="https://assets.vans.eu/images/VN000K42D45-HERO/1" TargetMode="External"/><Relationship Id="rId2295" Type="http://schemas.openxmlformats.org/officeDocument/2006/relationships/hyperlink" Target="https://assets.vans.eu/images/VN000PRKRV2-HERO/1" TargetMode="External"/><Relationship Id="rId3139" Type="http://schemas.openxmlformats.org/officeDocument/2006/relationships/hyperlink" Target="https://assets.vans.eu/images/VN000M4W4SN-HERO/1" TargetMode="External"/><Relationship Id="rId3346" Type="http://schemas.openxmlformats.org/officeDocument/2006/relationships/hyperlink" Target="https://assets.vans.eu/images/VN000PBTBLK-HERO/1" TargetMode="External"/><Relationship Id="rId4744" Type="http://schemas.openxmlformats.org/officeDocument/2006/relationships/hyperlink" Target="https://assets.vans.eu/images/VN0A5FCAPIB-HERO/1" TargetMode="External"/><Relationship Id="rId4951" Type="http://schemas.openxmlformats.org/officeDocument/2006/relationships/hyperlink" Target="https://assets.vans.eu/images/VN000D3NEZ7-HERO/1" TargetMode="External"/><Relationship Id="rId267" Type="http://schemas.openxmlformats.org/officeDocument/2006/relationships/hyperlink" Target="https://assets.vans.eu/images/VN0A5HF8BLK-HERO/1" TargetMode="External"/><Relationship Id="rId474" Type="http://schemas.openxmlformats.org/officeDocument/2006/relationships/hyperlink" Target="https://assets.vans.eu/images/VN000HDVM8I-HERO/1" TargetMode="External"/><Relationship Id="rId2155" Type="http://schemas.openxmlformats.org/officeDocument/2006/relationships/hyperlink" Target="https://assets.vans.eu/images/VN000MK8BLK-HERO/1" TargetMode="External"/><Relationship Id="rId3553" Type="http://schemas.openxmlformats.org/officeDocument/2006/relationships/hyperlink" Target="https://assets.vans.eu/images/VN000R74BLK-HERO/1" TargetMode="External"/><Relationship Id="rId3760" Type="http://schemas.openxmlformats.org/officeDocument/2006/relationships/hyperlink" Target="https://assets.vans.eu/images/VN000BVZ239-HERO/1" TargetMode="External"/><Relationship Id="rId4604" Type="http://schemas.openxmlformats.org/officeDocument/2006/relationships/hyperlink" Target="https://assets.vans.eu/images/VN000E89YG4-HERO/1" TargetMode="External"/><Relationship Id="rId4811" Type="http://schemas.openxmlformats.org/officeDocument/2006/relationships/hyperlink" Target="https://assets.vans.eu/images/VN000D3JB7G-HERO/1" TargetMode="External"/><Relationship Id="rId127" Type="http://schemas.openxmlformats.org/officeDocument/2006/relationships/hyperlink" Target="https://assets.vans.eu/images/VN000CRVEN7-HERO/1" TargetMode="External"/><Relationship Id="rId681" Type="http://schemas.openxmlformats.org/officeDocument/2006/relationships/hyperlink" Target="https://assets.vans.eu/images/VN000CYUEN6-HERO/1" TargetMode="External"/><Relationship Id="rId2362" Type="http://schemas.openxmlformats.org/officeDocument/2006/relationships/hyperlink" Target="https://assets.vans.eu/images/VN000WBBBLK-HERO/1" TargetMode="External"/><Relationship Id="rId3206" Type="http://schemas.openxmlformats.org/officeDocument/2006/relationships/hyperlink" Target="https://assets.vans.eu/images/VN000MGUCI2-HERO/1" TargetMode="External"/><Relationship Id="rId3413" Type="http://schemas.openxmlformats.org/officeDocument/2006/relationships/hyperlink" Target="https://assets.vans.eu/images/VN000PJMZBF-HERO/1" TargetMode="External"/><Relationship Id="rId3620" Type="http://schemas.openxmlformats.org/officeDocument/2006/relationships/hyperlink" Target="https://assets.vans.eu/images/VN0010J9WHT-HERO/1" TargetMode="External"/><Relationship Id="rId334" Type="http://schemas.openxmlformats.org/officeDocument/2006/relationships/hyperlink" Target="https://assets.vans.eu/images/VN0A38JNLLC-HERO/1" TargetMode="External"/><Relationship Id="rId541" Type="http://schemas.openxmlformats.org/officeDocument/2006/relationships/hyperlink" Target="https://assets.vans.eu/images/VN000Q1FEMU-HERO/1" TargetMode="External"/><Relationship Id="rId1171" Type="http://schemas.openxmlformats.org/officeDocument/2006/relationships/hyperlink" Target="https://assets.vans.eu/images/VN000PK1BLK-HERO/1" TargetMode="External"/><Relationship Id="rId2015" Type="http://schemas.openxmlformats.org/officeDocument/2006/relationships/hyperlink" Target="https://assets.vans.eu/images/VN000Q94EN7-HERO/1" TargetMode="External"/><Relationship Id="rId2222" Type="http://schemas.openxmlformats.org/officeDocument/2006/relationships/hyperlink" Target="https://assets.vans.eu/images/VN000PDREMS-HERO/1" TargetMode="External"/><Relationship Id="rId401" Type="http://schemas.openxmlformats.org/officeDocument/2006/relationships/hyperlink" Target="https://assets.vans.eu/images/VN000E9YLBR-HERO/1" TargetMode="External"/><Relationship Id="rId1031" Type="http://schemas.openxmlformats.org/officeDocument/2006/relationships/hyperlink" Target="https://assets.vans.eu/images/VN000Q35EMP-HERO/1" TargetMode="External"/><Relationship Id="rId1988" Type="http://schemas.openxmlformats.org/officeDocument/2006/relationships/hyperlink" Target="https://assets.vans.eu/images/VN000ZSRGQ0-HERO/1" TargetMode="External"/><Relationship Id="rId4187" Type="http://schemas.openxmlformats.org/officeDocument/2006/relationships/hyperlink" Target="https://assets.vans.eu/images/VN000D26JDU-HERO/1" TargetMode="External"/><Relationship Id="rId4394" Type="http://schemas.openxmlformats.org/officeDocument/2006/relationships/hyperlink" Target="https://assets.vans.eu/images/VN000D6YEMH-HERO/1" TargetMode="External"/><Relationship Id="rId4047" Type="http://schemas.openxmlformats.org/officeDocument/2006/relationships/hyperlink" Target="https://assets.vans.eu/images/VN000D0SYLZ-HERO/1" TargetMode="External"/><Relationship Id="rId4254" Type="http://schemas.openxmlformats.org/officeDocument/2006/relationships/hyperlink" Target="https://assets.vans.eu/images/VN000D4N2B6-HERO/1" TargetMode="External"/><Relationship Id="rId4461" Type="http://schemas.openxmlformats.org/officeDocument/2006/relationships/hyperlink" Target="https://assets.vans.eu/images/VN000D88WTM-HERO/1" TargetMode="External"/><Relationship Id="rId1848" Type="http://schemas.openxmlformats.org/officeDocument/2006/relationships/hyperlink" Target="https://assets.vans.eu/images/VN000CWEBLU-HERO/1" TargetMode="External"/><Relationship Id="rId3063" Type="http://schemas.openxmlformats.org/officeDocument/2006/relationships/hyperlink" Target="https://assets.vans.eu/images/VN000JGPD3Z-HERO/1" TargetMode="External"/><Relationship Id="rId3270" Type="http://schemas.openxmlformats.org/officeDocument/2006/relationships/hyperlink" Target="https://assets.vans.eu/images/VN000P519JC-HERO/1" TargetMode="External"/><Relationship Id="rId4114" Type="http://schemas.openxmlformats.org/officeDocument/2006/relationships/hyperlink" Target="https://assets.vans.eu/images/VN000D1JG2T-HERO/1" TargetMode="External"/><Relationship Id="rId4321" Type="http://schemas.openxmlformats.org/officeDocument/2006/relationships/hyperlink" Target="https://assets.vans.eu/images/VN000D6FBF0-HERO/1" TargetMode="External"/><Relationship Id="rId191" Type="http://schemas.openxmlformats.org/officeDocument/2006/relationships/hyperlink" Target="https://assets.vans.eu/images/VN0A5HNPBLK-HERO/1" TargetMode="External"/><Relationship Id="rId1708" Type="http://schemas.openxmlformats.org/officeDocument/2006/relationships/hyperlink" Target="https://assets.vans.eu/images/VN000PAZBLK-HERO/1" TargetMode="External"/><Relationship Id="rId1915" Type="http://schemas.openxmlformats.org/officeDocument/2006/relationships/hyperlink" Target="https://assets.vans.eu/images/VN000D6W52K-HERO/1" TargetMode="External"/><Relationship Id="rId3130" Type="http://schemas.openxmlformats.org/officeDocument/2006/relationships/hyperlink" Target="https://assets.vans.eu/images/VN000M29DDN-HERO/1" TargetMode="External"/><Relationship Id="rId2689" Type="http://schemas.openxmlformats.org/officeDocument/2006/relationships/hyperlink" Target="https://assets.vans.eu/images/VN000D6ZEZI-HERO/1" TargetMode="External"/><Relationship Id="rId2896" Type="http://schemas.openxmlformats.org/officeDocument/2006/relationships/hyperlink" Target="https://assets.vans.eu/images/VN000QBWJDU-HERO/1" TargetMode="External"/><Relationship Id="rId3947" Type="http://schemas.openxmlformats.org/officeDocument/2006/relationships/hyperlink" Target="https://assets.vans.eu/images/VN000CVVF87-HERO/1" TargetMode="External"/><Relationship Id="rId868" Type="http://schemas.openxmlformats.org/officeDocument/2006/relationships/hyperlink" Target="https://assets.vans.eu/images/VN000R51BLK-HERO/1" TargetMode="External"/><Relationship Id="rId1498" Type="http://schemas.openxmlformats.org/officeDocument/2006/relationships/hyperlink" Target="https://assets.vans.eu/images/VN000D26DFN-HERO/1" TargetMode="External"/><Relationship Id="rId2549" Type="http://schemas.openxmlformats.org/officeDocument/2006/relationships/hyperlink" Target="https://assets.vans.eu/images/VN000D0M11E-HERO/1" TargetMode="External"/><Relationship Id="rId2756" Type="http://schemas.openxmlformats.org/officeDocument/2006/relationships/hyperlink" Target="https://assets.vans.eu/images/VN000DARC9F-HERO/1" TargetMode="External"/><Relationship Id="rId2963" Type="http://schemas.openxmlformats.org/officeDocument/2006/relationships/hyperlink" Target="https://assets.vans.eu/images/VN000GB4BLK-HERO/1" TargetMode="External"/><Relationship Id="rId3807" Type="http://schemas.openxmlformats.org/officeDocument/2006/relationships/hyperlink" Target="https://assets.vans.eu/images/VN000CQRCHL-HERO/1" TargetMode="External"/><Relationship Id="rId728" Type="http://schemas.openxmlformats.org/officeDocument/2006/relationships/hyperlink" Target="https://assets.vans.eu/images/VN000PY4WHT-HERO/1" TargetMode="External"/><Relationship Id="rId935" Type="http://schemas.openxmlformats.org/officeDocument/2006/relationships/hyperlink" Target="https://assets.vans.eu/images/VN000CTG448-HERO/1" TargetMode="External"/><Relationship Id="rId1358" Type="http://schemas.openxmlformats.org/officeDocument/2006/relationships/hyperlink" Target="https://assets.vans.eu/images/VN000P5S14A-HERO/1" TargetMode="External"/><Relationship Id="rId1565" Type="http://schemas.openxmlformats.org/officeDocument/2006/relationships/hyperlink" Target="https://assets.vans.eu/images/VN0A5JICNUT-HERO/1" TargetMode="External"/><Relationship Id="rId1772" Type="http://schemas.openxmlformats.org/officeDocument/2006/relationships/hyperlink" Target="https://assets.vans.eu/images/VN000Q3002F-HERO/1" TargetMode="External"/><Relationship Id="rId2409" Type="http://schemas.openxmlformats.org/officeDocument/2006/relationships/hyperlink" Target="https://assets.vans.eu/images/VN0007NSBY1-HERO/1" TargetMode="External"/><Relationship Id="rId2616" Type="http://schemas.openxmlformats.org/officeDocument/2006/relationships/hyperlink" Target="https://assets.vans.eu/images/VN000D4NBZW-HERO/1" TargetMode="External"/><Relationship Id="rId5022" Type="http://schemas.openxmlformats.org/officeDocument/2006/relationships/hyperlink" Target="https://assets.vans.eu/images/VN0A2Z34B0Z-HERO/1" TargetMode="External"/><Relationship Id="rId64" Type="http://schemas.openxmlformats.org/officeDocument/2006/relationships/hyperlink" Target="https://assets.vans.eu/images/VN0A5HVCJBW-HERO/1" TargetMode="External"/><Relationship Id="rId1218" Type="http://schemas.openxmlformats.org/officeDocument/2006/relationships/hyperlink" Target="https://assets.vans.eu/images/VN000CT8HCZ-HERO/1" TargetMode="External"/><Relationship Id="rId1425" Type="http://schemas.openxmlformats.org/officeDocument/2006/relationships/hyperlink" Target="https://assets.vans.eu/images/VN000SN1BLK-HERO/1" TargetMode="External"/><Relationship Id="rId2823" Type="http://schemas.openxmlformats.org/officeDocument/2006/relationships/hyperlink" Target="https://assets.vans.eu/images/VN0A3D29OIU-HERO/1" TargetMode="External"/><Relationship Id="rId1632" Type="http://schemas.openxmlformats.org/officeDocument/2006/relationships/hyperlink" Target="https://assets.vans.eu/images/VN000J9JZR6-HERO/1" TargetMode="External"/><Relationship Id="rId4788" Type="http://schemas.openxmlformats.org/officeDocument/2006/relationships/hyperlink" Target="https://assets.vans.eu/images/VN0A5KS5BMV-HERO/1" TargetMode="External"/><Relationship Id="rId4995" Type="http://schemas.openxmlformats.org/officeDocument/2006/relationships/hyperlink" Target="https://assets.vans.eu/images/VN000EB4CCZ-HERO/1" TargetMode="External"/><Relationship Id="rId2199" Type="http://schemas.openxmlformats.org/officeDocument/2006/relationships/hyperlink" Target="https://assets.vans.eu/images/VN000P78BLK-HERO/1" TargetMode="External"/><Relationship Id="rId3597" Type="http://schemas.openxmlformats.org/officeDocument/2006/relationships/hyperlink" Target="https://assets.vans.eu/images/VN000RG2BLK-HERO/1" TargetMode="External"/><Relationship Id="rId4648" Type="http://schemas.openxmlformats.org/officeDocument/2006/relationships/hyperlink" Target="https://assets.vans.eu/images/VN000EDN9X1-HERO/1" TargetMode="External"/><Relationship Id="rId4855" Type="http://schemas.openxmlformats.org/officeDocument/2006/relationships/hyperlink" Target="https://assets.vans.eu/images/VN000D3NEZ7-HERO/1" TargetMode="External"/><Relationship Id="rId3457" Type="http://schemas.openxmlformats.org/officeDocument/2006/relationships/hyperlink" Target="https://assets.vans.eu/images/VN000PQWBLK-HERO/1" TargetMode="External"/><Relationship Id="rId3664" Type="http://schemas.openxmlformats.org/officeDocument/2006/relationships/hyperlink" Target="https://assets.vans.eu/images/VN0A5FLPDZ9-HERO/1" TargetMode="External"/><Relationship Id="rId3871" Type="http://schemas.openxmlformats.org/officeDocument/2006/relationships/hyperlink" Target="https://assets.vans.eu/images/VN000CUYY30-HERO/1" TargetMode="External"/><Relationship Id="rId4508" Type="http://schemas.openxmlformats.org/officeDocument/2006/relationships/hyperlink" Target="https://assets.vans.eu/images/VN000DA18DX-HERO/1" TargetMode="External"/><Relationship Id="rId4715" Type="http://schemas.openxmlformats.org/officeDocument/2006/relationships/hyperlink" Target="https://assets.vans.eu/images/VN0A4BTW5ZN-HERO/1" TargetMode="External"/><Relationship Id="rId4922" Type="http://schemas.openxmlformats.org/officeDocument/2006/relationships/hyperlink" Target="https://assets.vans.eu/images/VN000CVURV2-HERO/1" TargetMode="External"/><Relationship Id="rId378" Type="http://schemas.openxmlformats.org/officeDocument/2006/relationships/hyperlink" Target="https://assets.vans.eu/images/VN000BCE2N1-HERO/1" TargetMode="External"/><Relationship Id="rId585" Type="http://schemas.openxmlformats.org/officeDocument/2006/relationships/hyperlink" Target="https://assets.vans.eu/images/VN000XUJB9P-HERO/1" TargetMode="External"/><Relationship Id="rId792" Type="http://schemas.openxmlformats.org/officeDocument/2006/relationships/hyperlink" Target="https://assets.vans.eu/images/VN000MEPJDU-HERO/1" TargetMode="External"/><Relationship Id="rId2059" Type="http://schemas.openxmlformats.org/officeDocument/2006/relationships/hyperlink" Target="https://assets.vans.eu/images/VN000HMQJDU-HERO/1" TargetMode="External"/><Relationship Id="rId2266" Type="http://schemas.openxmlformats.org/officeDocument/2006/relationships/hyperlink" Target="https://assets.vans.eu/images/VN000PMDBLK-HERO/1" TargetMode="External"/><Relationship Id="rId2473" Type="http://schemas.openxmlformats.org/officeDocument/2006/relationships/hyperlink" Target="https://assets.vans.eu/images/VN000CTGPIB-HERO/1" TargetMode="External"/><Relationship Id="rId2680" Type="http://schemas.openxmlformats.org/officeDocument/2006/relationships/hyperlink" Target="https://assets.vans.eu/images/VN000D6WY7U-HERO/1" TargetMode="External"/><Relationship Id="rId3317" Type="http://schemas.openxmlformats.org/officeDocument/2006/relationships/hyperlink" Target="https://assets.vans.eu/images/VN000P84EMV-HERO/1" TargetMode="External"/><Relationship Id="rId3524" Type="http://schemas.openxmlformats.org/officeDocument/2006/relationships/hyperlink" Target="https://assets.vans.eu/images/VN000Q7429B-HERO/1" TargetMode="External"/><Relationship Id="rId3731" Type="http://schemas.openxmlformats.org/officeDocument/2006/relationships/hyperlink" Target="https://assets.vans.eu/images/VN0009W3BTX-HERO/1" TargetMode="External"/><Relationship Id="rId238" Type="http://schemas.openxmlformats.org/officeDocument/2006/relationships/hyperlink" Target="https://assets.vans.eu/images/VN000PHDEMF-HERO/1" TargetMode="External"/><Relationship Id="rId445" Type="http://schemas.openxmlformats.org/officeDocument/2006/relationships/hyperlink" Target="https://assets.vans.eu/images/VN000SN14OU-HERO/1" TargetMode="External"/><Relationship Id="rId652" Type="http://schemas.openxmlformats.org/officeDocument/2006/relationships/hyperlink" Target="https://assets.vans.eu/images/VN000KUR7WM-HERO/1" TargetMode="External"/><Relationship Id="rId1075" Type="http://schemas.openxmlformats.org/officeDocument/2006/relationships/hyperlink" Target="https://assets.vans.eu/images/VN000D61BKA-HERO/1" TargetMode="External"/><Relationship Id="rId1282" Type="http://schemas.openxmlformats.org/officeDocument/2006/relationships/hyperlink" Target="https://assets.vans.eu/images/VN000VOB4K1-HERO/1" TargetMode="External"/><Relationship Id="rId2126" Type="http://schemas.openxmlformats.org/officeDocument/2006/relationships/hyperlink" Target="https://assets.vans.eu/images/VN000M9MZUJ-HERO/1" TargetMode="External"/><Relationship Id="rId2333" Type="http://schemas.openxmlformats.org/officeDocument/2006/relationships/hyperlink" Target="https://assets.vans.eu/images/VN000R742N1-HERO/1" TargetMode="External"/><Relationship Id="rId2540" Type="http://schemas.openxmlformats.org/officeDocument/2006/relationships/hyperlink" Target="https://assets.vans.eu/images/VN000D0HEMY-HERO/1" TargetMode="External"/><Relationship Id="rId305" Type="http://schemas.openxmlformats.org/officeDocument/2006/relationships/hyperlink" Target="https://assets.vans.eu/images/VN0008KUBML-HERO/1" TargetMode="External"/><Relationship Id="rId512" Type="http://schemas.openxmlformats.org/officeDocument/2006/relationships/hyperlink" Target="https://assets.vans.eu/images/VN000HCF7YO-HERO/1" TargetMode="External"/><Relationship Id="rId1142" Type="http://schemas.openxmlformats.org/officeDocument/2006/relationships/hyperlink" Target="https://assets.vans.eu/images/VN000MBEE30-HERO/1" TargetMode="External"/><Relationship Id="rId2400" Type="http://schemas.openxmlformats.org/officeDocument/2006/relationships/hyperlink" Target="https://assets.vans.eu/images/VN000Q99Y7X-HERO/1" TargetMode="External"/><Relationship Id="rId4298" Type="http://schemas.openxmlformats.org/officeDocument/2006/relationships/hyperlink" Target="https://assets.vans.eu/images/VN000D609JC-HERO/1" TargetMode="External"/><Relationship Id="rId1002" Type="http://schemas.openxmlformats.org/officeDocument/2006/relationships/hyperlink" Target="https://assets.vans.eu/images/VN000M6ZZBF-HERO/1" TargetMode="External"/><Relationship Id="rId4158" Type="http://schemas.openxmlformats.org/officeDocument/2006/relationships/hyperlink" Target="https://assets.vans.eu/images/VN000D22EMT-HERO/1" TargetMode="External"/><Relationship Id="rId4365" Type="http://schemas.openxmlformats.org/officeDocument/2006/relationships/hyperlink" Target="https://assets.vans.eu/images/VN000D6W203-HERO/1" TargetMode="External"/><Relationship Id="rId1959" Type="http://schemas.openxmlformats.org/officeDocument/2006/relationships/hyperlink" Target="https://assets.vans.eu/images/VN000DARC9F-HERO/1" TargetMode="External"/><Relationship Id="rId3174" Type="http://schemas.openxmlformats.org/officeDocument/2006/relationships/hyperlink" Target="https://assets.vans.eu/images/VN000MA2CLH-HERO/1" TargetMode="External"/><Relationship Id="rId4018" Type="http://schemas.openxmlformats.org/officeDocument/2006/relationships/hyperlink" Target="https://assets.vans.eu/images/VN000D07L37-HERO/1" TargetMode="External"/><Relationship Id="rId4572" Type="http://schemas.openxmlformats.org/officeDocument/2006/relationships/hyperlink" Target="https://assets.vans.eu/images/VN000DARF87-HERO/1" TargetMode="External"/><Relationship Id="rId1819" Type="http://schemas.openxmlformats.org/officeDocument/2006/relationships/hyperlink" Target="https://assets.vans.eu/images/VN000CP6BXC-HERO/1" TargetMode="External"/><Relationship Id="rId3381" Type="http://schemas.openxmlformats.org/officeDocument/2006/relationships/hyperlink" Target="https://assets.vans.eu/images/VN000PE7WHT-HERO/1" TargetMode="External"/><Relationship Id="rId4225" Type="http://schemas.openxmlformats.org/officeDocument/2006/relationships/hyperlink" Target="https://assets.vans.eu/images/VN000D3QEMP-HERO/1" TargetMode="External"/><Relationship Id="rId4432" Type="http://schemas.openxmlformats.org/officeDocument/2006/relationships/hyperlink" Target="https://assets.vans.eu/images/VN000D7ZBTO-HERO/1" TargetMode="External"/><Relationship Id="rId2190" Type="http://schemas.openxmlformats.org/officeDocument/2006/relationships/hyperlink" Target="https://assets.vans.eu/images/VN000P56EMW-HERO/1" TargetMode="External"/><Relationship Id="rId3034" Type="http://schemas.openxmlformats.org/officeDocument/2006/relationships/hyperlink" Target="https://assets.vans.eu/images/VN000HZCBLK-HERO/1" TargetMode="External"/><Relationship Id="rId3241" Type="http://schemas.openxmlformats.org/officeDocument/2006/relationships/hyperlink" Target="https://assets.vans.eu/images/VN000NWPFS8-HERO/1" TargetMode="External"/><Relationship Id="rId162" Type="http://schemas.openxmlformats.org/officeDocument/2006/relationships/hyperlink" Target="https://assets.vans.eu/images/VN000KXMY7U-HERO/1" TargetMode="External"/><Relationship Id="rId2050" Type="http://schemas.openxmlformats.org/officeDocument/2006/relationships/hyperlink" Target="https://assets.vans.eu/images/VN000GDFBLK-HERO/1" TargetMode="External"/><Relationship Id="rId3101" Type="http://schemas.openxmlformats.org/officeDocument/2006/relationships/hyperlink" Target="https://assets.vans.eu/images/VN000KTFM8I-HERO/1" TargetMode="External"/><Relationship Id="rId979" Type="http://schemas.openxmlformats.org/officeDocument/2006/relationships/hyperlink" Target="https://assets.vans.eu/images/VN000GMZ1RE-HERO/1" TargetMode="External"/><Relationship Id="rId5066" Type="http://schemas.openxmlformats.org/officeDocument/2006/relationships/hyperlink" Target="https://assets.vans.eu/images/VN0A5HF8PWT-HERO/1" TargetMode="External"/><Relationship Id="rId839" Type="http://schemas.openxmlformats.org/officeDocument/2006/relationships/hyperlink" Target="https://assets.vans.eu/images/VN000CYVEMY-HERO/1" TargetMode="External"/><Relationship Id="rId1469" Type="http://schemas.openxmlformats.org/officeDocument/2006/relationships/hyperlink" Target="https://assets.vans.eu/images/VN000CVUBLK-HERO/1" TargetMode="External"/><Relationship Id="rId2867" Type="http://schemas.openxmlformats.org/officeDocument/2006/relationships/hyperlink" Target="https://assets.vans.eu/images/VN000F0XWHT-HERO/1" TargetMode="External"/><Relationship Id="rId3918" Type="http://schemas.openxmlformats.org/officeDocument/2006/relationships/hyperlink" Target="https://assets.vans.eu/images/VN000CVULBR-HERO/1" TargetMode="External"/><Relationship Id="rId4082" Type="http://schemas.openxmlformats.org/officeDocument/2006/relationships/hyperlink" Target="https://assets.vans.eu/images/VN000D1HAMI-HERO/1" TargetMode="External"/><Relationship Id="rId1676" Type="http://schemas.openxmlformats.org/officeDocument/2006/relationships/hyperlink" Target="https://assets.vans.eu/images/VN000MM1WHT-HERO/1" TargetMode="External"/><Relationship Id="rId1883" Type="http://schemas.openxmlformats.org/officeDocument/2006/relationships/hyperlink" Target="https://assets.vans.eu/images/VN000D32WTM-HERO/1" TargetMode="External"/><Relationship Id="rId2727" Type="http://schemas.openxmlformats.org/officeDocument/2006/relationships/hyperlink" Target="https://assets.vans.eu/images/VN000DA2B9M-HERO/1" TargetMode="External"/><Relationship Id="rId2934" Type="http://schemas.openxmlformats.org/officeDocument/2006/relationships/hyperlink" Target="https://assets.vans.eu/images/VN0008NAE90-HERO/1" TargetMode="External"/><Relationship Id="rId906" Type="http://schemas.openxmlformats.org/officeDocument/2006/relationships/hyperlink" Target="https://assets.vans.eu/images/VN000R02WHT-HERO/1" TargetMode="External"/><Relationship Id="rId1329" Type="http://schemas.openxmlformats.org/officeDocument/2006/relationships/hyperlink" Target="https://assets.vans.eu/images/VN000M5FCLH-HERO/1" TargetMode="External"/><Relationship Id="rId1536" Type="http://schemas.openxmlformats.org/officeDocument/2006/relationships/hyperlink" Target="https://assets.vans.eu/images/VN000DAMLM3-HERO/1" TargetMode="External"/><Relationship Id="rId1743" Type="http://schemas.openxmlformats.org/officeDocument/2006/relationships/hyperlink" Target="https://assets.vans.eu/images/VN000PR3BLK-HERO/1" TargetMode="External"/><Relationship Id="rId1950" Type="http://schemas.openxmlformats.org/officeDocument/2006/relationships/hyperlink" Target="https://assets.vans.eu/images/VN000DAJYJ7-HERO/1" TargetMode="External"/><Relationship Id="rId4899" Type="http://schemas.openxmlformats.org/officeDocument/2006/relationships/hyperlink" Target="https://assets.vans.eu/images/VN0A2Z35BFA-HERO/1" TargetMode="External"/><Relationship Id="rId35" Type="http://schemas.openxmlformats.org/officeDocument/2006/relationships/hyperlink" Target="https://assets.vans.eu/images/VN000Q94BLK-HERO/1" TargetMode="External"/><Relationship Id="rId1603" Type="http://schemas.openxmlformats.org/officeDocument/2006/relationships/hyperlink" Target="https://assets.vans.eu/images/VN0008N5CR6-HERO/1" TargetMode="External"/><Relationship Id="rId1810" Type="http://schemas.openxmlformats.org/officeDocument/2006/relationships/hyperlink" Target="https://assets.vans.eu/images/VN0005UF6QU-HERO/1" TargetMode="External"/><Relationship Id="rId4759" Type="http://schemas.openxmlformats.org/officeDocument/2006/relationships/hyperlink" Target="https://assets.vans.eu/images/VN0A5FCDGPE-HERO/1" TargetMode="External"/><Relationship Id="rId4966" Type="http://schemas.openxmlformats.org/officeDocument/2006/relationships/hyperlink" Target="https://assets.vans.eu/images/VN000D5RZHJ-HERO/1" TargetMode="External"/><Relationship Id="rId3568" Type="http://schemas.openxmlformats.org/officeDocument/2006/relationships/hyperlink" Target="https://assets.vans.eu/images/VN000RAP5TU-HERO/1" TargetMode="External"/><Relationship Id="rId3775" Type="http://schemas.openxmlformats.org/officeDocument/2006/relationships/hyperlink" Target="https://assets.vans.eu/images/VN000CQ0BMW-HERO/1" TargetMode="External"/><Relationship Id="rId3982" Type="http://schemas.openxmlformats.org/officeDocument/2006/relationships/hyperlink" Target="https://assets.vans.eu/images/VN000CYAYLZ-HERO/1" TargetMode="External"/><Relationship Id="rId4619" Type="http://schemas.openxmlformats.org/officeDocument/2006/relationships/hyperlink" Target="https://assets.vans.eu/images/VN000E9RG58-HERO/1" TargetMode="External"/><Relationship Id="rId4826" Type="http://schemas.openxmlformats.org/officeDocument/2006/relationships/hyperlink" Target="https://assets.vans.eu/images/VN000D85GRY-HERO/1" TargetMode="External"/><Relationship Id="rId489" Type="http://schemas.openxmlformats.org/officeDocument/2006/relationships/hyperlink" Target="https://assets.vans.eu/images/VN000HRJTBB-HERO/1" TargetMode="External"/><Relationship Id="rId696" Type="http://schemas.openxmlformats.org/officeDocument/2006/relationships/hyperlink" Target="https://assets.vans.eu/images/VN000KI5186-HERO/1" TargetMode="External"/><Relationship Id="rId2377" Type="http://schemas.openxmlformats.org/officeDocument/2006/relationships/hyperlink" Target="https://assets.vans.eu/images/VN0A49OYBLK-HERO/1" TargetMode="External"/><Relationship Id="rId2584" Type="http://schemas.openxmlformats.org/officeDocument/2006/relationships/hyperlink" Target="https://assets.vans.eu/images/VN000D1JV0N-HERO/1" TargetMode="External"/><Relationship Id="rId2791" Type="http://schemas.openxmlformats.org/officeDocument/2006/relationships/hyperlink" Target="https://assets.vans.eu/images/VN000EBAQPT-HERO/1" TargetMode="External"/><Relationship Id="rId3428" Type="http://schemas.openxmlformats.org/officeDocument/2006/relationships/hyperlink" Target="https://assets.vans.eu/images/VN000PMA9JC-HERO/1" TargetMode="External"/><Relationship Id="rId3635" Type="http://schemas.openxmlformats.org/officeDocument/2006/relationships/hyperlink" Target="https://assets.vans.eu/images/VN0A45AGADY-HERO/1" TargetMode="External"/><Relationship Id="rId349" Type="http://schemas.openxmlformats.org/officeDocument/2006/relationships/hyperlink" Target="https://assets.vans.eu/images/VN000KYXBLK-HERO/1" TargetMode="External"/><Relationship Id="rId556" Type="http://schemas.openxmlformats.org/officeDocument/2006/relationships/hyperlink" Target="https://assets.vans.eu/images/VN000PDREN7-HERO/1" TargetMode="External"/><Relationship Id="rId763" Type="http://schemas.openxmlformats.org/officeDocument/2006/relationships/hyperlink" Target="https://assets.vans.eu/images/VN000D9ACJ7-HERO/1" TargetMode="External"/><Relationship Id="rId1186" Type="http://schemas.openxmlformats.org/officeDocument/2006/relationships/hyperlink" Target="https://assets.vans.eu/images/VN000PR485T-HERO/1" TargetMode="External"/><Relationship Id="rId1393" Type="http://schemas.openxmlformats.org/officeDocument/2006/relationships/hyperlink" Target="https://assets.vans.eu/images/VN000PXSWHT-HERO/1" TargetMode="External"/><Relationship Id="rId2237" Type="http://schemas.openxmlformats.org/officeDocument/2006/relationships/hyperlink" Target="https://assets.vans.eu/images/VN000PH6IYR-HERO/1" TargetMode="External"/><Relationship Id="rId2444" Type="http://schemas.openxmlformats.org/officeDocument/2006/relationships/hyperlink" Target="https://assets.vans.eu/images/VN000CQ0BMW-HERO/1" TargetMode="External"/><Relationship Id="rId3842" Type="http://schemas.openxmlformats.org/officeDocument/2006/relationships/hyperlink" Target="https://assets.vans.eu/images/VN000CTG1NU-HERO/1" TargetMode="External"/><Relationship Id="rId209" Type="http://schemas.openxmlformats.org/officeDocument/2006/relationships/hyperlink" Target="https://assets.vans.eu/images/VN000D0HKCZ-HERO/1" TargetMode="External"/><Relationship Id="rId416" Type="http://schemas.openxmlformats.org/officeDocument/2006/relationships/hyperlink" Target="https://assets.vans.eu/images/VN000PXSBLK-HERO/1" TargetMode="External"/><Relationship Id="rId970" Type="http://schemas.openxmlformats.org/officeDocument/2006/relationships/hyperlink" Target="https://assets.vans.eu/images/VN000EA9BA2-HERO/1" TargetMode="External"/><Relationship Id="rId1046" Type="http://schemas.openxmlformats.org/officeDocument/2006/relationships/hyperlink" Target="https://assets.vans.eu/images/VN000RG41QI-HERO/1" TargetMode="External"/><Relationship Id="rId1253" Type="http://schemas.openxmlformats.org/officeDocument/2006/relationships/hyperlink" Target="https://assets.vans.eu/images/VN000D4SCFL-HERO/1" TargetMode="External"/><Relationship Id="rId2651" Type="http://schemas.openxmlformats.org/officeDocument/2006/relationships/hyperlink" Target="https://assets.vans.eu/images/VN000D6CFCJ-HERO/1" TargetMode="External"/><Relationship Id="rId3702" Type="http://schemas.openxmlformats.org/officeDocument/2006/relationships/hyperlink" Target="https://assets.vans.eu/images/VN0007NSBY1-HERO/1" TargetMode="External"/><Relationship Id="rId623" Type="http://schemas.openxmlformats.org/officeDocument/2006/relationships/hyperlink" Target="https://assets.vans.eu/images/VN000BCE2N1-HERO/1" TargetMode="External"/><Relationship Id="rId830" Type="http://schemas.openxmlformats.org/officeDocument/2006/relationships/hyperlink" Target="https://assets.vans.eu/images/VN000HRFBLK-HERO/1" TargetMode="External"/><Relationship Id="rId1460" Type="http://schemas.openxmlformats.org/officeDocument/2006/relationships/hyperlink" Target="https://assets.vans.eu/images/VN000CTG7VF-HERO/1" TargetMode="External"/><Relationship Id="rId2304" Type="http://schemas.openxmlformats.org/officeDocument/2006/relationships/hyperlink" Target="https://assets.vans.eu/images/VN000PX3BLK-HERO/1" TargetMode="External"/><Relationship Id="rId2511" Type="http://schemas.openxmlformats.org/officeDocument/2006/relationships/hyperlink" Target="https://assets.vans.eu/images/VN000CWF11H-HERO/1" TargetMode="External"/><Relationship Id="rId1113" Type="http://schemas.openxmlformats.org/officeDocument/2006/relationships/hyperlink" Target="https://assets.vans.eu/images/VN0008N6BLK-HERO/1" TargetMode="External"/><Relationship Id="rId1320" Type="http://schemas.openxmlformats.org/officeDocument/2006/relationships/hyperlink" Target="https://assets.vans.eu/images/VN000K3NCFL-HERO/1" TargetMode="External"/><Relationship Id="rId4269" Type="http://schemas.openxmlformats.org/officeDocument/2006/relationships/hyperlink" Target="https://assets.vans.eu/images/VN000D5IBKA-HERO/1" TargetMode="External"/><Relationship Id="rId4476" Type="http://schemas.openxmlformats.org/officeDocument/2006/relationships/hyperlink" Target="https://assets.vans.eu/images/VN000D9YBGK-HERO/1" TargetMode="External"/><Relationship Id="rId4683" Type="http://schemas.openxmlformats.org/officeDocument/2006/relationships/hyperlink" Target="https://assets.vans.eu/images/VN000VO44K1-HERO/1" TargetMode="External"/><Relationship Id="rId4890" Type="http://schemas.openxmlformats.org/officeDocument/2006/relationships/hyperlink" Target="https://assets.vans.eu/images/VN000EDNBJB-HERO/1" TargetMode="External"/><Relationship Id="rId3078" Type="http://schemas.openxmlformats.org/officeDocument/2006/relationships/hyperlink" Target="https://assets.vans.eu/images/VN000JYB4OU-HERO/1" TargetMode="External"/><Relationship Id="rId3285" Type="http://schemas.openxmlformats.org/officeDocument/2006/relationships/hyperlink" Target="https://assets.vans.eu/images/VN000P56EMW-HERO/1" TargetMode="External"/><Relationship Id="rId3492" Type="http://schemas.openxmlformats.org/officeDocument/2006/relationships/hyperlink" Target="https://assets.vans.eu/images/VN000PXWWHT-HERO/1" TargetMode="External"/><Relationship Id="rId4129" Type="http://schemas.openxmlformats.org/officeDocument/2006/relationships/hyperlink" Target="https://assets.vans.eu/images/VN000D1JTUP-HERO/1" TargetMode="External"/><Relationship Id="rId4336" Type="http://schemas.openxmlformats.org/officeDocument/2006/relationships/hyperlink" Target="https://assets.vans.eu/images/VN000D6FY49-HERO/1" TargetMode="External"/><Relationship Id="rId4543" Type="http://schemas.openxmlformats.org/officeDocument/2006/relationships/hyperlink" Target="https://assets.vans.eu/images/VN000DAMRMO-HERO/1" TargetMode="External"/><Relationship Id="rId4750" Type="http://schemas.openxmlformats.org/officeDocument/2006/relationships/hyperlink" Target="https://assets.vans.eu/images/VN0A5FCCBH9-HERO/1" TargetMode="External"/><Relationship Id="rId2094" Type="http://schemas.openxmlformats.org/officeDocument/2006/relationships/hyperlink" Target="https://assets.vans.eu/images/VN000KUE02F-HERO/1" TargetMode="External"/><Relationship Id="rId3145" Type="http://schemas.openxmlformats.org/officeDocument/2006/relationships/hyperlink" Target="https://assets.vans.eu/images/VN000M6ZZBF-HERO/1" TargetMode="External"/><Relationship Id="rId3352" Type="http://schemas.openxmlformats.org/officeDocument/2006/relationships/hyperlink" Target="https://assets.vans.eu/images/VN000PBX6JL-HERO/1" TargetMode="External"/><Relationship Id="rId4403" Type="http://schemas.openxmlformats.org/officeDocument/2006/relationships/hyperlink" Target="https://assets.vans.eu/images/VN000D6ZEMP-HERO/1" TargetMode="External"/><Relationship Id="rId4610" Type="http://schemas.openxmlformats.org/officeDocument/2006/relationships/hyperlink" Target="https://assets.vans.eu/images/VN000E8WBGF-HERO/1" TargetMode="External"/><Relationship Id="rId273" Type="http://schemas.openxmlformats.org/officeDocument/2006/relationships/hyperlink" Target="https://assets.vans.eu/images/VN000CQ0O33-HERO/1" TargetMode="External"/><Relationship Id="rId480" Type="http://schemas.openxmlformats.org/officeDocument/2006/relationships/hyperlink" Target="https://assets.vans.eu/images/VN000MBX1O7-HERO/1" TargetMode="External"/><Relationship Id="rId2161" Type="http://schemas.openxmlformats.org/officeDocument/2006/relationships/hyperlink" Target="https://assets.vans.eu/images/VN000MMC7WM-HERO/1" TargetMode="External"/><Relationship Id="rId3005" Type="http://schemas.openxmlformats.org/officeDocument/2006/relationships/hyperlink" Target="https://assets.vans.eu/images/VN000HMYKCZ-HERO/1" TargetMode="External"/><Relationship Id="rId3212" Type="http://schemas.openxmlformats.org/officeDocument/2006/relationships/hyperlink" Target="https://assets.vans.eu/images/VN000MK6C9L-HERO/1" TargetMode="External"/><Relationship Id="rId133" Type="http://schemas.openxmlformats.org/officeDocument/2006/relationships/hyperlink" Target="https://assets.vans.eu/images/VN000Q1REMW-HERO/1" TargetMode="External"/><Relationship Id="rId340" Type="http://schemas.openxmlformats.org/officeDocument/2006/relationships/hyperlink" Target="https://assets.vans.eu/images/VN000QA55TU-HERO/1" TargetMode="External"/><Relationship Id="rId2021" Type="http://schemas.openxmlformats.org/officeDocument/2006/relationships/hyperlink" Target="https://assets.vans.eu/images/VN000QBQEN7-HERO/1" TargetMode="External"/><Relationship Id="rId200" Type="http://schemas.openxmlformats.org/officeDocument/2006/relationships/hyperlink" Target="https://assets.vans.eu/images/VN000D0HKCZ-HERO/1" TargetMode="External"/><Relationship Id="rId2978" Type="http://schemas.openxmlformats.org/officeDocument/2006/relationships/hyperlink" Target="https://assets.vans.eu/images/VN000GGGY28-HERO/1" TargetMode="External"/><Relationship Id="rId4193" Type="http://schemas.openxmlformats.org/officeDocument/2006/relationships/hyperlink" Target="https://assets.vans.eu/images/VN000D281OJ-HERO/1" TargetMode="External"/><Relationship Id="rId5037" Type="http://schemas.openxmlformats.org/officeDocument/2006/relationships/hyperlink" Target="https://assets.vans.eu/images/VN0A2Z3HOUO-HERO/1" TargetMode="External"/><Relationship Id="rId1787" Type="http://schemas.openxmlformats.org/officeDocument/2006/relationships/hyperlink" Target="https://assets.vans.eu/images/VN000R8XBLK-HERO/1" TargetMode="External"/><Relationship Id="rId1994" Type="http://schemas.openxmlformats.org/officeDocument/2006/relationships/hyperlink" Target="https://assets.vans.eu/images/VN0A4BVSBKA-HERO/1" TargetMode="External"/><Relationship Id="rId2838" Type="http://schemas.openxmlformats.org/officeDocument/2006/relationships/hyperlink" Target="https://assets.vans.eu/images/VN0A5FCBB9M-HERO/1" TargetMode="External"/><Relationship Id="rId79" Type="http://schemas.openxmlformats.org/officeDocument/2006/relationships/hyperlink" Target="https://assets.vans.eu/images/VN000Y5XHU0-HERO/1" TargetMode="External"/><Relationship Id="rId1647" Type="http://schemas.openxmlformats.org/officeDocument/2006/relationships/hyperlink" Target="https://assets.vans.eu/images/VN000KVEBLK-HERO/1" TargetMode="External"/><Relationship Id="rId1854" Type="http://schemas.openxmlformats.org/officeDocument/2006/relationships/hyperlink" Target="https://assets.vans.eu/images/VN000CZ7BLA-HERO/1" TargetMode="External"/><Relationship Id="rId2905" Type="http://schemas.openxmlformats.org/officeDocument/2006/relationships/hyperlink" Target="https://assets.vans.eu/images/VN0A542NRKZ-HERO/1" TargetMode="External"/><Relationship Id="rId4053" Type="http://schemas.openxmlformats.org/officeDocument/2006/relationships/hyperlink" Target="https://assets.vans.eu/images/VN000D101KP-HERO/1" TargetMode="External"/><Relationship Id="rId4260" Type="http://schemas.openxmlformats.org/officeDocument/2006/relationships/hyperlink" Target="https://assets.vans.eu/images/VN000D4NKCZ-HERO/1" TargetMode="External"/><Relationship Id="rId1507" Type="http://schemas.openxmlformats.org/officeDocument/2006/relationships/hyperlink" Target="https://assets.vans.eu/images/VN000D4NDJR-HERO/1" TargetMode="External"/><Relationship Id="rId1714" Type="http://schemas.openxmlformats.org/officeDocument/2006/relationships/hyperlink" Target="https://assets.vans.eu/images/VN000PGKFS8-HERO/1" TargetMode="External"/><Relationship Id="rId4120" Type="http://schemas.openxmlformats.org/officeDocument/2006/relationships/hyperlink" Target="https://assets.vans.eu/images/VN000D1JJDU-HERO/1" TargetMode="External"/><Relationship Id="rId1921" Type="http://schemas.openxmlformats.org/officeDocument/2006/relationships/hyperlink" Target="https://assets.vans.eu/images/VN000D6WRPK-HERO/1" TargetMode="External"/><Relationship Id="rId3679" Type="http://schemas.openxmlformats.org/officeDocument/2006/relationships/hyperlink" Target="https://assets.vans.eu/images/VN000H4XEMW-HERO/1" TargetMode="External"/><Relationship Id="rId2488" Type="http://schemas.openxmlformats.org/officeDocument/2006/relationships/hyperlink" Target="https://assets.vans.eu/images/VN000CVUBLK-HERO/1" TargetMode="External"/><Relationship Id="rId3886" Type="http://schemas.openxmlformats.org/officeDocument/2006/relationships/hyperlink" Target="https://assets.vans.eu/images/VN000CVT239-HERO/1" TargetMode="External"/><Relationship Id="rId4937" Type="http://schemas.openxmlformats.org/officeDocument/2006/relationships/hyperlink" Target="https://assets.vans.eu/images/VN000D1GBWT-HERO/1" TargetMode="External"/><Relationship Id="rId1297" Type="http://schemas.openxmlformats.org/officeDocument/2006/relationships/hyperlink" Target="https://assets.vans.eu/images/VN000R10EN6-HERO/1" TargetMode="External"/><Relationship Id="rId2695" Type="http://schemas.openxmlformats.org/officeDocument/2006/relationships/hyperlink" Target="https://assets.vans.eu/images/VN000D6ZORA-HERO/1" TargetMode="External"/><Relationship Id="rId3539" Type="http://schemas.openxmlformats.org/officeDocument/2006/relationships/hyperlink" Target="https://assets.vans.eu/images/VN000QYB02F-HERO/1" TargetMode="External"/><Relationship Id="rId3746" Type="http://schemas.openxmlformats.org/officeDocument/2006/relationships/hyperlink" Target="https://assets.vans.eu/images/VN000BVS1M7-HERO/1" TargetMode="External"/><Relationship Id="rId3953" Type="http://schemas.openxmlformats.org/officeDocument/2006/relationships/hyperlink" Target="https://assets.vans.eu/images/VN000CWD0CL-HERO/1" TargetMode="External"/><Relationship Id="rId667" Type="http://schemas.openxmlformats.org/officeDocument/2006/relationships/hyperlink" Target="https://assets.vans.eu/images/VN000R03WHT-HERO/1" TargetMode="External"/><Relationship Id="rId874" Type="http://schemas.openxmlformats.org/officeDocument/2006/relationships/hyperlink" Target="https://assets.vans.eu/images/VN000JBH11E-HERO/1" TargetMode="External"/><Relationship Id="rId2348" Type="http://schemas.openxmlformats.org/officeDocument/2006/relationships/hyperlink" Target="https://assets.vans.eu/images/VN000RD4EN9-HERO/1" TargetMode="External"/><Relationship Id="rId2555" Type="http://schemas.openxmlformats.org/officeDocument/2006/relationships/hyperlink" Target="https://assets.vans.eu/images/VN000D0MKCZ-HERO/1" TargetMode="External"/><Relationship Id="rId2762" Type="http://schemas.openxmlformats.org/officeDocument/2006/relationships/hyperlink" Target="https://assets.vans.eu/images/VN000DAZSTN-HERO/1" TargetMode="External"/><Relationship Id="rId3606" Type="http://schemas.openxmlformats.org/officeDocument/2006/relationships/hyperlink" Target="https://assets.vans.eu/images/VN000SPAZ28-HERO/1" TargetMode="External"/><Relationship Id="rId3813" Type="http://schemas.openxmlformats.org/officeDocument/2006/relationships/hyperlink" Target="https://assets.vans.eu/images/VN000CQRYLZ-HERO/1" TargetMode="External"/><Relationship Id="rId527" Type="http://schemas.openxmlformats.org/officeDocument/2006/relationships/hyperlink" Target="https://assets.vans.eu/images/VN000CVVKAQ-HERO/1" TargetMode="External"/><Relationship Id="rId734" Type="http://schemas.openxmlformats.org/officeDocument/2006/relationships/hyperlink" Target="https://assets.vans.eu/images/VN000R4Z7D6-HERO/1" TargetMode="External"/><Relationship Id="rId941" Type="http://schemas.openxmlformats.org/officeDocument/2006/relationships/hyperlink" Target="https://assets.vans.eu/images/VN000D0HBZW-HERO/1" TargetMode="External"/><Relationship Id="rId1157" Type="http://schemas.openxmlformats.org/officeDocument/2006/relationships/hyperlink" Target="https://assets.vans.eu/images/VN000P78BLK-HERO/1" TargetMode="External"/><Relationship Id="rId1364" Type="http://schemas.openxmlformats.org/officeDocument/2006/relationships/hyperlink" Target="https://assets.vans.eu/images/VN000P7AEN6-HERO/1" TargetMode="External"/><Relationship Id="rId1571" Type="http://schemas.openxmlformats.org/officeDocument/2006/relationships/hyperlink" Target="https://assets.vans.eu/images/VN000EZ4YB2-HERO/1" TargetMode="External"/><Relationship Id="rId2208" Type="http://schemas.openxmlformats.org/officeDocument/2006/relationships/hyperlink" Target="https://assets.vans.eu/images/VN000PAABLK-HERO/1" TargetMode="External"/><Relationship Id="rId2415" Type="http://schemas.openxmlformats.org/officeDocument/2006/relationships/hyperlink" Target="https://assets.vans.eu/images/VN0009QCCJI-HERO/1" TargetMode="External"/><Relationship Id="rId2622" Type="http://schemas.openxmlformats.org/officeDocument/2006/relationships/hyperlink" Target="https://assets.vans.eu/images/VN000D5D17P-HERO/1" TargetMode="External"/><Relationship Id="rId70" Type="http://schemas.openxmlformats.org/officeDocument/2006/relationships/hyperlink" Target="https://assets.vans.eu/images/VN000M4CBR1-HERO/1" TargetMode="External"/><Relationship Id="rId801" Type="http://schemas.openxmlformats.org/officeDocument/2006/relationships/hyperlink" Target="https://assets.vans.eu/images/VN000P5QO3N-HERO/1" TargetMode="External"/><Relationship Id="rId1017" Type="http://schemas.openxmlformats.org/officeDocument/2006/relationships/hyperlink" Target="https://assets.vans.eu/images/VN000PFBBRR-HERO/1" TargetMode="External"/><Relationship Id="rId1224" Type="http://schemas.openxmlformats.org/officeDocument/2006/relationships/hyperlink" Target="https://assets.vans.eu/images/VN000CWC448-HERO/1" TargetMode="External"/><Relationship Id="rId1431" Type="http://schemas.openxmlformats.org/officeDocument/2006/relationships/hyperlink" Target="https://assets.vans.eu/images/VN0A5JHIBLK-HERO/1" TargetMode="External"/><Relationship Id="rId4587" Type="http://schemas.openxmlformats.org/officeDocument/2006/relationships/hyperlink" Target="https://assets.vans.eu/images/VN000DB3Y23-HERO/1" TargetMode="External"/><Relationship Id="rId4794" Type="http://schemas.openxmlformats.org/officeDocument/2006/relationships/hyperlink" Target="https://assets.vans.eu/images/VN0A7Q51BLK-HERO/1" TargetMode="External"/><Relationship Id="rId3189" Type="http://schemas.openxmlformats.org/officeDocument/2006/relationships/hyperlink" Target="https://assets.vans.eu/images/VN000MBB4MG-HERO/1" TargetMode="External"/><Relationship Id="rId3396" Type="http://schemas.openxmlformats.org/officeDocument/2006/relationships/hyperlink" Target="https://assets.vans.eu/images/VN000PGMEMU-HERO/1" TargetMode="External"/><Relationship Id="rId4447" Type="http://schemas.openxmlformats.org/officeDocument/2006/relationships/hyperlink" Target="https://assets.vans.eu/images/VN000D80BF0-HERO/1" TargetMode="External"/><Relationship Id="rId4654" Type="http://schemas.openxmlformats.org/officeDocument/2006/relationships/hyperlink" Target="https://assets.vans.eu/images/VN000EDNAH9-HERO/1" TargetMode="External"/><Relationship Id="rId3049" Type="http://schemas.openxmlformats.org/officeDocument/2006/relationships/hyperlink" Target="https://assets.vans.eu/images/VN000JBK02F-HERO/1" TargetMode="External"/><Relationship Id="rId3256" Type="http://schemas.openxmlformats.org/officeDocument/2006/relationships/hyperlink" Target="https://assets.vans.eu/images/VN000P1S1QI-HERO/1" TargetMode="External"/><Relationship Id="rId3463" Type="http://schemas.openxmlformats.org/officeDocument/2006/relationships/hyperlink" Target="https://assets.vans.eu/images/VN000PR4EMV-HERO/1" TargetMode="External"/><Relationship Id="rId4307" Type="http://schemas.openxmlformats.org/officeDocument/2006/relationships/hyperlink" Target="https://assets.vans.eu/images/VN000D60RV2-HERO/1" TargetMode="External"/><Relationship Id="rId4861" Type="http://schemas.openxmlformats.org/officeDocument/2006/relationships/hyperlink" Target="https://assets.vans.eu/images/VN000EDNBJB-HERO/1" TargetMode="External"/><Relationship Id="rId177" Type="http://schemas.openxmlformats.org/officeDocument/2006/relationships/hyperlink" Target="https://assets.vans.eu/images/VN000D5VN43-HERO/1" TargetMode="External"/><Relationship Id="rId384" Type="http://schemas.openxmlformats.org/officeDocument/2006/relationships/hyperlink" Target="https://assets.vans.eu/images/VN000D1H887-HERO/1" TargetMode="External"/><Relationship Id="rId591" Type="http://schemas.openxmlformats.org/officeDocument/2006/relationships/hyperlink" Target="https://assets.vans.eu/images/VN000MPD7WM-HERO/1" TargetMode="External"/><Relationship Id="rId2065" Type="http://schemas.openxmlformats.org/officeDocument/2006/relationships/hyperlink" Target="https://assets.vans.eu/images/VN000HZBKCZ-HERO/1" TargetMode="External"/><Relationship Id="rId2272" Type="http://schemas.openxmlformats.org/officeDocument/2006/relationships/hyperlink" Target="https://assets.vans.eu/images/VN000PMHEB2-HERO/1" TargetMode="External"/><Relationship Id="rId3116" Type="http://schemas.openxmlformats.org/officeDocument/2006/relationships/hyperlink" Target="https://assets.vans.eu/images/VN000M081NU-HERO/1" TargetMode="External"/><Relationship Id="rId3670" Type="http://schemas.openxmlformats.org/officeDocument/2006/relationships/hyperlink" Target="https://assets.vans.eu/images/VN0A5LNVBLK-HERO/1" TargetMode="External"/><Relationship Id="rId4514" Type="http://schemas.openxmlformats.org/officeDocument/2006/relationships/hyperlink" Target="https://assets.vans.eu/images/VN000DA1B5T-HERO/1" TargetMode="External"/><Relationship Id="rId4721" Type="http://schemas.openxmlformats.org/officeDocument/2006/relationships/hyperlink" Target="https://assets.vans.eu/images/VN0A4OE2DCR-HERO/1" TargetMode="External"/><Relationship Id="rId244" Type="http://schemas.openxmlformats.org/officeDocument/2006/relationships/hyperlink" Target="https://assets.vans.eu/images/VN000CYAYLZ-HERO/1" TargetMode="External"/><Relationship Id="rId1081" Type="http://schemas.openxmlformats.org/officeDocument/2006/relationships/hyperlink" Target="https://assets.vans.eu/images/VN000DAQTWH-HERO/1" TargetMode="External"/><Relationship Id="rId3323" Type="http://schemas.openxmlformats.org/officeDocument/2006/relationships/hyperlink" Target="https://assets.vans.eu/images/VN000P89C9F-HERO/1" TargetMode="External"/><Relationship Id="rId3530" Type="http://schemas.openxmlformats.org/officeDocument/2006/relationships/hyperlink" Target="https://assets.vans.eu/images/VN000Q77BLK-HERO/1" TargetMode="External"/><Relationship Id="rId451" Type="http://schemas.openxmlformats.org/officeDocument/2006/relationships/hyperlink" Target="https://assets.vans.eu/images/VN000MNTBLK-HERO/1" TargetMode="External"/><Relationship Id="rId2132" Type="http://schemas.openxmlformats.org/officeDocument/2006/relationships/hyperlink" Target="https://assets.vans.eu/images/VN000MA21O7-HERO/1" TargetMode="External"/><Relationship Id="rId104" Type="http://schemas.openxmlformats.org/officeDocument/2006/relationships/hyperlink" Target="https://assets.vans.eu/images/VN0A5JHJTBN-HERO/1" TargetMode="External"/><Relationship Id="rId311" Type="http://schemas.openxmlformats.org/officeDocument/2006/relationships/hyperlink" Target="https://assets.vans.eu/images/VN000PDREN7-HERO/1" TargetMode="External"/><Relationship Id="rId1898" Type="http://schemas.openxmlformats.org/officeDocument/2006/relationships/hyperlink" Target="https://assets.vans.eu/images/VN000D4SCFL-HERO/1" TargetMode="External"/><Relationship Id="rId2949" Type="http://schemas.openxmlformats.org/officeDocument/2006/relationships/hyperlink" Target="https://assets.vans.eu/images/VN000G56BLK-HERO/1" TargetMode="External"/><Relationship Id="rId4097" Type="http://schemas.openxmlformats.org/officeDocument/2006/relationships/hyperlink" Target="https://assets.vans.eu/images/VN000D1J4VT-HERO/1" TargetMode="External"/><Relationship Id="rId1758" Type="http://schemas.openxmlformats.org/officeDocument/2006/relationships/hyperlink" Target="https://assets.vans.eu/images/VN000PX9RV2-HERO/1" TargetMode="External"/><Relationship Id="rId2809" Type="http://schemas.openxmlformats.org/officeDocument/2006/relationships/hyperlink" Target="https://assets.vans.eu/images/VN000EFBYY6-HERO/1" TargetMode="External"/><Relationship Id="rId4164" Type="http://schemas.openxmlformats.org/officeDocument/2006/relationships/hyperlink" Target="https://assets.vans.eu/images/VN000D22EMU-HERO/1" TargetMode="External"/><Relationship Id="rId4371" Type="http://schemas.openxmlformats.org/officeDocument/2006/relationships/hyperlink" Target="https://assets.vans.eu/images/VN000D6W7D6-HERO/1" TargetMode="External"/><Relationship Id="rId5008" Type="http://schemas.openxmlformats.org/officeDocument/2006/relationships/hyperlink" Target="https://assets.vans.eu/images/VN000EKUBKA-HERO/1" TargetMode="External"/><Relationship Id="rId1965" Type="http://schemas.openxmlformats.org/officeDocument/2006/relationships/hyperlink" Target="https://assets.vans.eu/images/VN000E89YG4-HERO/1" TargetMode="External"/><Relationship Id="rId3180" Type="http://schemas.openxmlformats.org/officeDocument/2006/relationships/hyperlink" Target="https://assets.vans.eu/images/VN000MAEBLK-HERO/1" TargetMode="External"/><Relationship Id="rId4024" Type="http://schemas.openxmlformats.org/officeDocument/2006/relationships/hyperlink" Target="https://assets.vans.eu/images/VN000D0HBMV-HERO/1" TargetMode="External"/><Relationship Id="rId4231" Type="http://schemas.openxmlformats.org/officeDocument/2006/relationships/hyperlink" Target="https://assets.vans.eu/images/VN000D45BZW-HERO/1" TargetMode="External"/><Relationship Id="rId1618" Type="http://schemas.openxmlformats.org/officeDocument/2006/relationships/hyperlink" Target="https://assets.vans.eu/images/VN000H5EFS8-HERO/1" TargetMode="External"/><Relationship Id="rId1825" Type="http://schemas.openxmlformats.org/officeDocument/2006/relationships/hyperlink" Target="https://assets.vans.eu/images/VN000CRRD3X-HERO/1" TargetMode="External"/><Relationship Id="rId3040" Type="http://schemas.openxmlformats.org/officeDocument/2006/relationships/hyperlink" Target="https://assets.vans.eu/images/VN000IVEWHT-HERO/1" TargetMode="External"/><Relationship Id="rId3997" Type="http://schemas.openxmlformats.org/officeDocument/2006/relationships/hyperlink" Target="https://assets.vans.eu/images/VN000CYUEN6-HERO/1" TargetMode="External"/><Relationship Id="rId2599" Type="http://schemas.openxmlformats.org/officeDocument/2006/relationships/hyperlink" Target="https://assets.vans.eu/images/VN000D26GWT-HERO/1" TargetMode="External"/><Relationship Id="rId3857" Type="http://schemas.openxmlformats.org/officeDocument/2006/relationships/hyperlink" Target="https://assets.vans.eu/images/VN000CTMELW-HERO/1" TargetMode="External"/><Relationship Id="rId4908" Type="http://schemas.openxmlformats.org/officeDocument/2006/relationships/hyperlink" Target="https://assets.vans.eu/images/VN0009UFDRP-HERO/1" TargetMode="External"/><Relationship Id="rId778" Type="http://schemas.openxmlformats.org/officeDocument/2006/relationships/hyperlink" Target="https://assets.vans.eu/images/VN000QABEMU-HERO/1" TargetMode="External"/><Relationship Id="rId985" Type="http://schemas.openxmlformats.org/officeDocument/2006/relationships/hyperlink" Target="https://assets.vans.eu/images/VN000QBQWHT-HERO/1" TargetMode="External"/><Relationship Id="rId2459" Type="http://schemas.openxmlformats.org/officeDocument/2006/relationships/hyperlink" Target="https://assets.vans.eu/images/VN000CR5EPO-HERO/1" TargetMode="External"/><Relationship Id="rId2666" Type="http://schemas.openxmlformats.org/officeDocument/2006/relationships/hyperlink" Target="https://assets.vans.eu/images/VN000D6W11E-HERO/1" TargetMode="External"/><Relationship Id="rId2873" Type="http://schemas.openxmlformats.org/officeDocument/2006/relationships/hyperlink" Target="https://assets.vans.eu/images/VN000GNKCIF-HERO/1" TargetMode="External"/><Relationship Id="rId3717" Type="http://schemas.openxmlformats.org/officeDocument/2006/relationships/hyperlink" Target="https://assets.vans.eu/images/VN0009QCDBS-HERO/1" TargetMode="External"/><Relationship Id="rId3924" Type="http://schemas.openxmlformats.org/officeDocument/2006/relationships/hyperlink" Target="https://assets.vans.eu/images/VN000CVV7YO-HERO/1" TargetMode="External"/><Relationship Id="rId5072" Type="http://schemas.openxmlformats.org/officeDocument/2006/relationships/hyperlink" Target="https://assets.vans.eu/images/VN0A5JIE1OJ-HERO/1" TargetMode="External"/><Relationship Id="rId638" Type="http://schemas.openxmlformats.org/officeDocument/2006/relationships/hyperlink" Target="https://assets.vans.eu/images/VN000E9YLBR-HERO/1" TargetMode="External"/><Relationship Id="rId845" Type="http://schemas.openxmlformats.org/officeDocument/2006/relationships/hyperlink" Target="https://assets.vans.eu/images/VN000D2VZ3R-HERO/1" TargetMode="External"/><Relationship Id="rId1268" Type="http://schemas.openxmlformats.org/officeDocument/2006/relationships/hyperlink" Target="https://assets.vans.eu/images/VN000D81O3N-HERO/1" TargetMode="External"/><Relationship Id="rId1475" Type="http://schemas.openxmlformats.org/officeDocument/2006/relationships/hyperlink" Target="https://assets.vans.eu/images/VN000CYARV2-HERO/1" TargetMode="External"/><Relationship Id="rId1682" Type="http://schemas.openxmlformats.org/officeDocument/2006/relationships/hyperlink" Target="https://assets.vans.eu/images/VN000NDUBLK-HERO/1" TargetMode="External"/><Relationship Id="rId2319" Type="http://schemas.openxmlformats.org/officeDocument/2006/relationships/hyperlink" Target="https://assets.vans.eu/images/VN000Q43JDU-HERO/1" TargetMode="External"/><Relationship Id="rId2526" Type="http://schemas.openxmlformats.org/officeDocument/2006/relationships/hyperlink" Target="https://assets.vans.eu/images/VN000CZ7EMW-HERO/1" TargetMode="External"/><Relationship Id="rId2733" Type="http://schemas.openxmlformats.org/officeDocument/2006/relationships/hyperlink" Target="https://assets.vans.eu/images/VN000DAHY40-HERO/1" TargetMode="External"/><Relationship Id="rId705" Type="http://schemas.openxmlformats.org/officeDocument/2006/relationships/hyperlink" Target="https://assets.vans.eu/images/VN0A31J6DRB-HERO/1" TargetMode="External"/><Relationship Id="rId1128" Type="http://schemas.openxmlformats.org/officeDocument/2006/relationships/hyperlink" Target="https://assets.vans.eu/images/VN000KTBCI2-HERO/1" TargetMode="External"/><Relationship Id="rId1335" Type="http://schemas.openxmlformats.org/officeDocument/2006/relationships/hyperlink" Target="https://assets.vans.eu/images/VN000M77Y7U-HERO/1" TargetMode="External"/><Relationship Id="rId1542" Type="http://schemas.openxmlformats.org/officeDocument/2006/relationships/hyperlink" Target="https://assets.vans.eu/images/VN000DB3Y23-HERO/1" TargetMode="External"/><Relationship Id="rId2940" Type="http://schemas.openxmlformats.org/officeDocument/2006/relationships/hyperlink" Target="https://assets.vans.eu/images/VN000FWFCR6-HERO/1" TargetMode="External"/><Relationship Id="rId4698" Type="http://schemas.openxmlformats.org/officeDocument/2006/relationships/hyperlink" Target="https://assets.vans.eu/images/VN0A2Z42239-HERO/1" TargetMode="External"/><Relationship Id="rId912" Type="http://schemas.openxmlformats.org/officeDocument/2006/relationships/hyperlink" Target="https://assets.vans.eu/images/VN000R4Z7D6-HERO/1" TargetMode="External"/><Relationship Id="rId2800" Type="http://schemas.openxmlformats.org/officeDocument/2006/relationships/hyperlink" Target="https://assets.vans.eu/images/VN000EDN7D6-HERO/1" TargetMode="External"/><Relationship Id="rId41" Type="http://schemas.openxmlformats.org/officeDocument/2006/relationships/hyperlink" Target="https://assets.vans.eu/images/VN0A5FCCB9M-HERO/1" TargetMode="External"/><Relationship Id="rId1402" Type="http://schemas.openxmlformats.org/officeDocument/2006/relationships/hyperlink" Target="https://assets.vans.eu/images/VN000Q35EMP-HERO/1" TargetMode="External"/><Relationship Id="rId4558" Type="http://schemas.openxmlformats.org/officeDocument/2006/relationships/hyperlink" Target="https://assets.vans.eu/images/VN000DAQTWH-HERO/1" TargetMode="External"/><Relationship Id="rId4765" Type="http://schemas.openxmlformats.org/officeDocument/2006/relationships/hyperlink" Target="https://assets.vans.eu/images/VN0A5HZY6I6-HERO/1" TargetMode="External"/><Relationship Id="rId4972" Type="http://schemas.openxmlformats.org/officeDocument/2006/relationships/hyperlink" Target="https://assets.vans.eu/images/VN000D85GRY-HERO/1" TargetMode="External"/><Relationship Id="rId288" Type="http://schemas.openxmlformats.org/officeDocument/2006/relationships/hyperlink" Target="https://assets.vans.eu/images/VN000HDVM8I-HERO/1" TargetMode="External"/><Relationship Id="rId3367" Type="http://schemas.openxmlformats.org/officeDocument/2006/relationships/hyperlink" Target="https://assets.vans.eu/images/VN000PD7EMS-HERO/1" TargetMode="External"/><Relationship Id="rId3574" Type="http://schemas.openxmlformats.org/officeDocument/2006/relationships/hyperlink" Target="https://assets.vans.eu/images/VN000RCB1O7-HERO/1" TargetMode="External"/><Relationship Id="rId3781" Type="http://schemas.openxmlformats.org/officeDocument/2006/relationships/hyperlink" Target="https://assets.vans.eu/images/VN000CQ0BRO-HERO/1" TargetMode="External"/><Relationship Id="rId4418" Type="http://schemas.openxmlformats.org/officeDocument/2006/relationships/hyperlink" Target="https://assets.vans.eu/images/VN000D6ZTTN-HERO/1" TargetMode="External"/><Relationship Id="rId4625" Type="http://schemas.openxmlformats.org/officeDocument/2006/relationships/hyperlink" Target="https://assets.vans.eu/images/VN000E9XF2B-HERO/1" TargetMode="External"/><Relationship Id="rId4832" Type="http://schemas.openxmlformats.org/officeDocument/2006/relationships/hyperlink" Target="https://assets.vans.eu/images/VN000D1G1OJ-HERO/1" TargetMode="External"/><Relationship Id="rId495" Type="http://schemas.openxmlformats.org/officeDocument/2006/relationships/hyperlink" Target="https://assets.vans.eu/images/VN000D26PWT-HERO/1" TargetMode="External"/><Relationship Id="rId2176" Type="http://schemas.openxmlformats.org/officeDocument/2006/relationships/hyperlink" Target="https://assets.vans.eu/images/VN000P20EMU-HERO/1" TargetMode="External"/><Relationship Id="rId2383" Type="http://schemas.openxmlformats.org/officeDocument/2006/relationships/hyperlink" Target="https://assets.vans.eu/images/VN0A5FJX1O7-HERO/1" TargetMode="External"/><Relationship Id="rId2590" Type="http://schemas.openxmlformats.org/officeDocument/2006/relationships/hyperlink" Target="https://assets.vans.eu/images/VN000D22B9P-HERO/1" TargetMode="External"/><Relationship Id="rId3227" Type="http://schemas.openxmlformats.org/officeDocument/2006/relationships/hyperlink" Target="https://assets.vans.eu/images/VN000MN2BR1-HERO/1" TargetMode="External"/><Relationship Id="rId3434" Type="http://schemas.openxmlformats.org/officeDocument/2006/relationships/hyperlink" Target="https://assets.vans.eu/images/VN000PMDBLK-HERO/1" TargetMode="External"/><Relationship Id="rId3641" Type="http://schemas.openxmlformats.org/officeDocument/2006/relationships/hyperlink" Target="https://assets.vans.eu/images/VN0A49LCYB2-HERO/1" TargetMode="External"/><Relationship Id="rId148" Type="http://schemas.openxmlformats.org/officeDocument/2006/relationships/hyperlink" Target="https://assets.vans.eu/images/VN00104UEMS-HERO/1" TargetMode="External"/><Relationship Id="rId355" Type="http://schemas.openxmlformats.org/officeDocument/2006/relationships/hyperlink" Target="https://assets.vans.eu/images/VN000RG4WHT-HERO/1" TargetMode="External"/><Relationship Id="rId562" Type="http://schemas.openxmlformats.org/officeDocument/2006/relationships/hyperlink" Target="https://assets.vans.eu/images/VN000QDFWHT-HERO/1" TargetMode="External"/><Relationship Id="rId1192" Type="http://schemas.openxmlformats.org/officeDocument/2006/relationships/hyperlink" Target="https://assets.vans.eu/images/VN000R03WHT-HERO/1" TargetMode="External"/><Relationship Id="rId2036" Type="http://schemas.openxmlformats.org/officeDocument/2006/relationships/hyperlink" Target="https://assets.vans.eu/images/VN0007ZBBML-HERO/1" TargetMode="External"/><Relationship Id="rId2243" Type="http://schemas.openxmlformats.org/officeDocument/2006/relationships/hyperlink" Target="https://assets.vans.eu/images/VN000PHPAFM-HERO/1" TargetMode="External"/><Relationship Id="rId2450" Type="http://schemas.openxmlformats.org/officeDocument/2006/relationships/hyperlink" Target="https://assets.vans.eu/images/VN000CQ0Y09-HERO/1" TargetMode="External"/><Relationship Id="rId3501" Type="http://schemas.openxmlformats.org/officeDocument/2006/relationships/hyperlink" Target="https://assets.vans.eu/images/VN000Q0VBLK-HERO/1" TargetMode="External"/><Relationship Id="rId215" Type="http://schemas.openxmlformats.org/officeDocument/2006/relationships/hyperlink" Target="https://assets.vans.eu/images/VN0A4TQBBWU-HERO/1" TargetMode="External"/><Relationship Id="rId422" Type="http://schemas.openxmlformats.org/officeDocument/2006/relationships/hyperlink" Target="https://assets.vans.eu/images/VN000D2VEMY-HERO/1" TargetMode="External"/><Relationship Id="rId1052" Type="http://schemas.openxmlformats.org/officeDocument/2006/relationships/hyperlink" Target="https://assets.vans.eu/images/VN0A7Y3X6OG-HERO/1" TargetMode="External"/><Relationship Id="rId2103" Type="http://schemas.openxmlformats.org/officeDocument/2006/relationships/hyperlink" Target="https://assets.vans.eu/images/VN000M1PC9L-HERO/1" TargetMode="External"/><Relationship Id="rId2310" Type="http://schemas.openxmlformats.org/officeDocument/2006/relationships/hyperlink" Target="https://assets.vans.eu/images/VN000PXXWHT-HERO/1" TargetMode="External"/><Relationship Id="rId4068" Type="http://schemas.openxmlformats.org/officeDocument/2006/relationships/hyperlink" Target="https://assets.vans.eu/images/VN000D11B9P-HERO/1" TargetMode="External"/><Relationship Id="rId4275" Type="http://schemas.openxmlformats.org/officeDocument/2006/relationships/hyperlink" Target="https://assets.vans.eu/images/VN000D5R11U-HERO/1" TargetMode="External"/><Relationship Id="rId4482" Type="http://schemas.openxmlformats.org/officeDocument/2006/relationships/hyperlink" Target="https://assets.vans.eu/images/VN000D9YBKA-HERO/1" TargetMode="External"/><Relationship Id="rId1869" Type="http://schemas.openxmlformats.org/officeDocument/2006/relationships/hyperlink" Target="https://assets.vans.eu/images/VN000D111KP-HERO/1" TargetMode="External"/><Relationship Id="rId3084" Type="http://schemas.openxmlformats.org/officeDocument/2006/relationships/hyperlink" Target="https://assets.vans.eu/images/VN000K0VBLK-HERO/1" TargetMode="External"/><Relationship Id="rId3291" Type="http://schemas.openxmlformats.org/officeDocument/2006/relationships/hyperlink" Target="https://assets.vans.eu/images/VN000P58EMW-HERO/1" TargetMode="External"/><Relationship Id="rId4135" Type="http://schemas.openxmlformats.org/officeDocument/2006/relationships/hyperlink" Target="https://assets.vans.eu/images/VN000D1JY23-HERO/1" TargetMode="External"/><Relationship Id="rId1729" Type="http://schemas.openxmlformats.org/officeDocument/2006/relationships/hyperlink" Target="https://assets.vans.eu/images/VN000PMNEMP-HERO/1" TargetMode="External"/><Relationship Id="rId1936" Type="http://schemas.openxmlformats.org/officeDocument/2006/relationships/hyperlink" Target="https://assets.vans.eu/images/VN000D7ZJDU-HERO/1" TargetMode="External"/><Relationship Id="rId4342" Type="http://schemas.openxmlformats.org/officeDocument/2006/relationships/hyperlink" Target="https://assets.vans.eu/images/VN000D6N24O-HERO/1" TargetMode="External"/><Relationship Id="rId3151" Type="http://schemas.openxmlformats.org/officeDocument/2006/relationships/hyperlink" Target="https://assets.vans.eu/images/VN000M8FKCZ-HERO/1" TargetMode="External"/><Relationship Id="rId4202" Type="http://schemas.openxmlformats.org/officeDocument/2006/relationships/hyperlink" Target="https://assets.vans.eu/images/VN000D29Y2B-HERO/1" TargetMode="External"/><Relationship Id="rId3011" Type="http://schemas.openxmlformats.org/officeDocument/2006/relationships/hyperlink" Target="https://assets.vans.eu/images/VN000HNHDAM-HERO/1" TargetMode="External"/><Relationship Id="rId3968" Type="http://schemas.openxmlformats.org/officeDocument/2006/relationships/hyperlink" Target="https://assets.vans.eu/images/VN000CWEUUI-HERO/1" TargetMode="External"/><Relationship Id="rId5" Type="http://schemas.openxmlformats.org/officeDocument/2006/relationships/hyperlink" Target="https://assets.vans.eu/images/VN000E9XIVG-HERO/1" TargetMode="External"/><Relationship Id="rId889" Type="http://schemas.openxmlformats.org/officeDocument/2006/relationships/hyperlink" Target="https://assets.vans.eu/images/VN000P78BLK-HERO/1" TargetMode="External"/><Relationship Id="rId2777" Type="http://schemas.openxmlformats.org/officeDocument/2006/relationships/hyperlink" Target="https://assets.vans.eu/images/VN000E8WBGF-HERO/1" TargetMode="External"/><Relationship Id="rId749" Type="http://schemas.openxmlformats.org/officeDocument/2006/relationships/hyperlink" Target="https://assets.vans.eu/images/VN000D0CY33-HERO/1" TargetMode="External"/><Relationship Id="rId1379" Type="http://schemas.openxmlformats.org/officeDocument/2006/relationships/hyperlink" Target="https://assets.vans.eu/images/VN000PJSD3Z-HERO/1" TargetMode="External"/><Relationship Id="rId1586" Type="http://schemas.openxmlformats.org/officeDocument/2006/relationships/hyperlink" Target="https://assets.vans.eu/images/VN000Q1F7WM-HERO/1" TargetMode="External"/><Relationship Id="rId2984" Type="http://schemas.openxmlformats.org/officeDocument/2006/relationships/hyperlink" Target="https://assets.vans.eu/images/VN000GX6BLK-HERO/1" TargetMode="External"/><Relationship Id="rId3828" Type="http://schemas.openxmlformats.org/officeDocument/2006/relationships/hyperlink" Target="https://assets.vans.eu/images/VN000CS0BO5-HERO/1" TargetMode="External"/><Relationship Id="rId5043" Type="http://schemas.openxmlformats.org/officeDocument/2006/relationships/hyperlink" Target="https://assets.vans.eu/images/VN0A2Z3NY40-HERO/1" TargetMode="External"/><Relationship Id="rId609" Type="http://schemas.openxmlformats.org/officeDocument/2006/relationships/hyperlink" Target="https://assets.vans.eu/images/VN000PA6BLK-HERO/1" TargetMode="External"/><Relationship Id="rId956" Type="http://schemas.openxmlformats.org/officeDocument/2006/relationships/hyperlink" Target="https://assets.vans.eu/images/VN000D5VBYS-HERO/1" TargetMode="External"/><Relationship Id="rId1239" Type="http://schemas.openxmlformats.org/officeDocument/2006/relationships/hyperlink" Target="https://assets.vans.eu/images/VN000D0HBZW-HERO/1" TargetMode="External"/><Relationship Id="rId1793" Type="http://schemas.openxmlformats.org/officeDocument/2006/relationships/hyperlink" Target="https://assets.vans.eu/images/VN000R92FBG-HERO/1" TargetMode="External"/><Relationship Id="rId2637" Type="http://schemas.openxmlformats.org/officeDocument/2006/relationships/hyperlink" Target="https://assets.vans.eu/images/VN000D60EMW-HERO/1" TargetMode="External"/><Relationship Id="rId2844" Type="http://schemas.openxmlformats.org/officeDocument/2006/relationships/hyperlink" Target="https://assets.vans.eu/images/VN0A5HZK9BY-HERO/1" TargetMode="External"/><Relationship Id="rId85" Type="http://schemas.openxmlformats.org/officeDocument/2006/relationships/hyperlink" Target="https://assets.vans.eu/images/VN000R99BLK-HERO/1" TargetMode="External"/><Relationship Id="rId816" Type="http://schemas.openxmlformats.org/officeDocument/2006/relationships/hyperlink" Target="https://assets.vans.eu/images/VN000QF32N1-HERO/1" TargetMode="External"/><Relationship Id="rId1446" Type="http://schemas.openxmlformats.org/officeDocument/2006/relationships/hyperlink" Target="https://assets.vans.eu/images/VN000CQR6PH-HERO/1" TargetMode="External"/><Relationship Id="rId1653" Type="http://schemas.openxmlformats.org/officeDocument/2006/relationships/hyperlink" Target="https://assets.vans.eu/images/VN000M60EMU-HERO/1" TargetMode="External"/><Relationship Id="rId1860" Type="http://schemas.openxmlformats.org/officeDocument/2006/relationships/hyperlink" Target="https://assets.vans.eu/images/VN000D0HEMY-HERO/1" TargetMode="External"/><Relationship Id="rId2704" Type="http://schemas.openxmlformats.org/officeDocument/2006/relationships/hyperlink" Target="https://assets.vans.eu/images/VN000D7ZM8I-HERO/1" TargetMode="External"/><Relationship Id="rId2911" Type="http://schemas.openxmlformats.org/officeDocument/2006/relationships/hyperlink" Target="https://assets.vans.eu/images/VN000389BQC-HERO/1" TargetMode="External"/><Relationship Id="rId1306" Type="http://schemas.openxmlformats.org/officeDocument/2006/relationships/hyperlink" Target="https://assets.vans.eu/images/VN00077VM8I-HERO/1" TargetMode="External"/><Relationship Id="rId1513" Type="http://schemas.openxmlformats.org/officeDocument/2006/relationships/hyperlink" Target="https://assets.vans.eu/images/VN000D6WEMG-HERO/1" TargetMode="External"/><Relationship Id="rId1720" Type="http://schemas.openxmlformats.org/officeDocument/2006/relationships/hyperlink" Target="https://assets.vans.eu/images/VN000PJSBLK-HERO/1" TargetMode="External"/><Relationship Id="rId4669" Type="http://schemas.openxmlformats.org/officeDocument/2006/relationships/hyperlink" Target="https://assets.vans.eu/images/VN000KI5186-HERO/1" TargetMode="External"/><Relationship Id="rId4876" Type="http://schemas.openxmlformats.org/officeDocument/2006/relationships/hyperlink" Target="https://assets.vans.eu/images/VN000CVVSR6-HERO/1" TargetMode="External"/><Relationship Id="rId12" Type="http://schemas.openxmlformats.org/officeDocument/2006/relationships/hyperlink" Target="https://assets.vans.eu/images/VN000R10WHT-HERO/1" TargetMode="External"/><Relationship Id="rId3478" Type="http://schemas.openxmlformats.org/officeDocument/2006/relationships/hyperlink" Target="https://assets.vans.eu/images/VN000PWVEMW-HERO/1" TargetMode="External"/><Relationship Id="rId3685" Type="http://schemas.openxmlformats.org/officeDocument/2006/relationships/hyperlink" Target="https://assets.vans.eu/images/VN000MNXBLK-HERO/1" TargetMode="External"/><Relationship Id="rId3892" Type="http://schemas.openxmlformats.org/officeDocument/2006/relationships/hyperlink" Target="https://assets.vans.eu/images/VN000CVTBKA-HERO/1" TargetMode="External"/><Relationship Id="rId4529" Type="http://schemas.openxmlformats.org/officeDocument/2006/relationships/hyperlink" Target="https://assets.vans.eu/images/VN000DAH7UG-HERO/1" TargetMode="External"/><Relationship Id="rId4736" Type="http://schemas.openxmlformats.org/officeDocument/2006/relationships/hyperlink" Target="https://assets.vans.eu/images/VN0A4UWMBER-HERO/1" TargetMode="External"/><Relationship Id="rId4943" Type="http://schemas.openxmlformats.org/officeDocument/2006/relationships/hyperlink" Target="https://assets.vans.eu/images/VN000D1GSN0-HERO/1" TargetMode="External"/><Relationship Id="rId399" Type="http://schemas.openxmlformats.org/officeDocument/2006/relationships/hyperlink" Target="https://assets.vans.eu/images/VN000D0HKCZ-HERO/1" TargetMode="External"/><Relationship Id="rId2287" Type="http://schemas.openxmlformats.org/officeDocument/2006/relationships/hyperlink" Target="https://assets.vans.eu/images/VN000PR485T-HERO/1" TargetMode="External"/><Relationship Id="rId2494" Type="http://schemas.openxmlformats.org/officeDocument/2006/relationships/hyperlink" Target="https://assets.vans.eu/images/VN000CVUDRB-HERO/1" TargetMode="External"/><Relationship Id="rId3338" Type="http://schemas.openxmlformats.org/officeDocument/2006/relationships/hyperlink" Target="https://assets.vans.eu/images/VN000PAUBLK-HERO/1" TargetMode="External"/><Relationship Id="rId3545" Type="http://schemas.openxmlformats.org/officeDocument/2006/relationships/hyperlink" Target="https://assets.vans.eu/images/VN000R15FS8-HERO/1" TargetMode="External"/><Relationship Id="rId3752" Type="http://schemas.openxmlformats.org/officeDocument/2006/relationships/hyperlink" Target="https://assets.vans.eu/images/VN000BVZ1NU-HERO/1" TargetMode="External"/><Relationship Id="rId259" Type="http://schemas.openxmlformats.org/officeDocument/2006/relationships/hyperlink" Target="https://assets.vans.eu/images/VN000G75D6Z-HERO/1" TargetMode="External"/><Relationship Id="rId466" Type="http://schemas.openxmlformats.org/officeDocument/2006/relationships/hyperlink" Target="https://assets.vans.eu/images/VN000EE1GYG-HERO/1" TargetMode="External"/><Relationship Id="rId673" Type="http://schemas.openxmlformats.org/officeDocument/2006/relationships/hyperlink" Target="https://assets.vans.eu/images/VN0A7YUTWHT-HERO/1" TargetMode="External"/><Relationship Id="rId880" Type="http://schemas.openxmlformats.org/officeDocument/2006/relationships/hyperlink" Target="https://assets.vans.eu/images/VN000M9KEB2-HERO/1" TargetMode="External"/><Relationship Id="rId1096" Type="http://schemas.openxmlformats.org/officeDocument/2006/relationships/hyperlink" Target="https://assets.vans.eu/images/VN0A5KS5BMV-HERO/1" TargetMode="External"/><Relationship Id="rId2147" Type="http://schemas.openxmlformats.org/officeDocument/2006/relationships/hyperlink" Target="https://assets.vans.eu/images/VN000MC8E30-HERO/1" TargetMode="External"/><Relationship Id="rId2354" Type="http://schemas.openxmlformats.org/officeDocument/2006/relationships/hyperlink" Target="https://assets.vans.eu/images/VN000RFR1QI-HERO/1" TargetMode="External"/><Relationship Id="rId2561" Type="http://schemas.openxmlformats.org/officeDocument/2006/relationships/hyperlink" Target="https://assets.vans.eu/images/VN000D0SYJ7-HERO/1" TargetMode="External"/><Relationship Id="rId3405" Type="http://schemas.openxmlformats.org/officeDocument/2006/relationships/hyperlink" Target="https://assets.vans.eu/images/VN000PHHLVB-HERO/1" TargetMode="External"/><Relationship Id="rId4803" Type="http://schemas.openxmlformats.org/officeDocument/2006/relationships/hyperlink" Target="https://assets.vans.eu/images/VN000EEBBO5-HERO/1" TargetMode="External"/><Relationship Id="rId119" Type="http://schemas.openxmlformats.org/officeDocument/2006/relationships/hyperlink" Target="https://assets.vans.eu/images/VN000D8NBKA-HERO/1" TargetMode="External"/><Relationship Id="rId326" Type="http://schemas.openxmlformats.org/officeDocument/2006/relationships/hyperlink" Target="https://assets.vans.eu/images/VN000M3GJDU-HERO/1" TargetMode="External"/><Relationship Id="rId533" Type="http://schemas.openxmlformats.org/officeDocument/2006/relationships/hyperlink" Target="https://assets.vans.eu/images/VN000E87BA2-HERO/1" TargetMode="External"/><Relationship Id="rId1163" Type="http://schemas.openxmlformats.org/officeDocument/2006/relationships/hyperlink" Target="https://assets.vans.eu/images/VN000PDYWHT-HERO/1" TargetMode="External"/><Relationship Id="rId1370" Type="http://schemas.openxmlformats.org/officeDocument/2006/relationships/hyperlink" Target="https://assets.vans.eu/images/VN000PFBEN9-HERO/1" TargetMode="External"/><Relationship Id="rId2007" Type="http://schemas.openxmlformats.org/officeDocument/2006/relationships/hyperlink" Target="https://assets.vans.eu/images/VN000HSR2N1-HERO/1" TargetMode="External"/><Relationship Id="rId2214" Type="http://schemas.openxmlformats.org/officeDocument/2006/relationships/hyperlink" Target="https://assets.vans.eu/images/VN000PCWEMT-HERO/1" TargetMode="External"/><Relationship Id="rId3612" Type="http://schemas.openxmlformats.org/officeDocument/2006/relationships/hyperlink" Target="https://assets.vans.eu/images/VN000XR4FS8-HERO/1" TargetMode="External"/><Relationship Id="rId740" Type="http://schemas.openxmlformats.org/officeDocument/2006/relationships/hyperlink" Target="https://assets.vans.eu/images/VN0A5FNVBLK-HERO/1" TargetMode="External"/><Relationship Id="rId1023" Type="http://schemas.openxmlformats.org/officeDocument/2006/relationships/hyperlink" Target="https://assets.vans.eu/images/VN000PMFENB-HERO/1" TargetMode="External"/><Relationship Id="rId2421" Type="http://schemas.openxmlformats.org/officeDocument/2006/relationships/hyperlink" Target="https://assets.vans.eu/images/VN000BCELZZ-HERO/1" TargetMode="External"/><Relationship Id="rId4179" Type="http://schemas.openxmlformats.org/officeDocument/2006/relationships/hyperlink" Target="https://assets.vans.eu/images/VN000D26JDU-HERO/1" TargetMode="External"/><Relationship Id="rId600" Type="http://schemas.openxmlformats.org/officeDocument/2006/relationships/hyperlink" Target="https://assets.vans.eu/images/VN000KYXBLK-HERO/1" TargetMode="External"/><Relationship Id="rId1230" Type="http://schemas.openxmlformats.org/officeDocument/2006/relationships/hyperlink" Target="https://assets.vans.eu/images/VN000CYU4Y4-HERO/1" TargetMode="External"/><Relationship Id="rId4386" Type="http://schemas.openxmlformats.org/officeDocument/2006/relationships/hyperlink" Target="https://assets.vans.eu/images/VN000D6WWHT-HERO/1" TargetMode="External"/><Relationship Id="rId4593" Type="http://schemas.openxmlformats.org/officeDocument/2006/relationships/hyperlink" Target="https://assets.vans.eu/images/VN000DCE2VZ-HERO/1" TargetMode="External"/><Relationship Id="rId3195" Type="http://schemas.openxmlformats.org/officeDocument/2006/relationships/hyperlink" Target="https://assets.vans.eu/images/VN000MCP1O7-HERO/1" TargetMode="External"/><Relationship Id="rId4039" Type="http://schemas.openxmlformats.org/officeDocument/2006/relationships/hyperlink" Target="https://assets.vans.eu/images/VN000D0PEMW-HERO/1" TargetMode="External"/><Relationship Id="rId4246" Type="http://schemas.openxmlformats.org/officeDocument/2006/relationships/hyperlink" Target="https://assets.vans.eu/images/VN000D4MY3K-HERO/1" TargetMode="External"/><Relationship Id="rId4453" Type="http://schemas.openxmlformats.org/officeDocument/2006/relationships/hyperlink" Target="https://assets.vans.eu/images/VN000D83SQ7-HERO/1" TargetMode="External"/><Relationship Id="rId4660" Type="http://schemas.openxmlformats.org/officeDocument/2006/relationships/hyperlink" Target="https://assets.vans.eu/images/VN000EDNGRY-HERO/1" TargetMode="External"/><Relationship Id="rId3055" Type="http://schemas.openxmlformats.org/officeDocument/2006/relationships/hyperlink" Target="https://assets.vans.eu/images/VN000JBWJ5F-HERO/1" TargetMode="External"/><Relationship Id="rId3262" Type="http://schemas.openxmlformats.org/officeDocument/2006/relationships/hyperlink" Target="https://assets.vans.eu/images/VN000P50E30-HERO/1" TargetMode="External"/><Relationship Id="rId4106" Type="http://schemas.openxmlformats.org/officeDocument/2006/relationships/hyperlink" Target="https://assets.vans.eu/images/VN000D1JBRO-HERO/1" TargetMode="External"/><Relationship Id="rId4313" Type="http://schemas.openxmlformats.org/officeDocument/2006/relationships/hyperlink" Target="https://assets.vans.eu/images/VN000D6CCI2-HERO/1" TargetMode="External"/><Relationship Id="rId4520" Type="http://schemas.openxmlformats.org/officeDocument/2006/relationships/hyperlink" Target="https://assets.vans.eu/images/VN000DA2B9M-HERO/1" TargetMode="External"/><Relationship Id="rId183" Type="http://schemas.openxmlformats.org/officeDocument/2006/relationships/hyperlink" Target="https://assets.vans.eu/images/VN000E9XIVG-HERO/1" TargetMode="External"/><Relationship Id="rId390" Type="http://schemas.openxmlformats.org/officeDocument/2006/relationships/hyperlink" Target="https://assets.vans.eu/images/VN000J79BLK-HERO/1" TargetMode="External"/><Relationship Id="rId1907" Type="http://schemas.openxmlformats.org/officeDocument/2006/relationships/hyperlink" Target="https://assets.vans.eu/images/VN000D60RV2-HERO/1" TargetMode="External"/><Relationship Id="rId2071" Type="http://schemas.openxmlformats.org/officeDocument/2006/relationships/hyperlink" Target="https://assets.vans.eu/images/VN000JBK02F-HERO/1" TargetMode="External"/><Relationship Id="rId3122" Type="http://schemas.openxmlformats.org/officeDocument/2006/relationships/hyperlink" Target="https://assets.vans.eu/images/VN000M1ABML-HERO/1" TargetMode="External"/><Relationship Id="rId250" Type="http://schemas.openxmlformats.org/officeDocument/2006/relationships/hyperlink" Target="https://assets.vans.eu/images/VN000G75D6Z-HERO/1" TargetMode="External"/><Relationship Id="rId110" Type="http://schemas.openxmlformats.org/officeDocument/2006/relationships/hyperlink" Target="https://assets.vans.eu/images/VN000CS02W0-HERO/1" TargetMode="External"/><Relationship Id="rId2888" Type="http://schemas.openxmlformats.org/officeDocument/2006/relationships/hyperlink" Target="https://assets.vans.eu/images/VN000PKT1NU-HERO/1" TargetMode="External"/><Relationship Id="rId3939" Type="http://schemas.openxmlformats.org/officeDocument/2006/relationships/hyperlink" Target="https://assets.vans.eu/images/VN000CVVEMQ-HERO/1" TargetMode="External"/><Relationship Id="rId1697" Type="http://schemas.openxmlformats.org/officeDocument/2006/relationships/hyperlink" Target="https://assets.vans.eu/images/VN000P58O3N-HERO/1" TargetMode="External"/><Relationship Id="rId2748" Type="http://schemas.openxmlformats.org/officeDocument/2006/relationships/hyperlink" Target="https://assets.vans.eu/images/VN000DAQRV2-HERO/1" TargetMode="External"/><Relationship Id="rId2955" Type="http://schemas.openxmlformats.org/officeDocument/2006/relationships/hyperlink" Target="https://assets.vans.eu/images/VN000G7U1O7-HERO/1" TargetMode="External"/><Relationship Id="rId927" Type="http://schemas.openxmlformats.org/officeDocument/2006/relationships/hyperlink" Target="https://assets.vans.eu/images/VN000H56ENA-HERO/1" TargetMode="External"/><Relationship Id="rId1557" Type="http://schemas.openxmlformats.org/officeDocument/2006/relationships/hyperlink" Target="https://assets.vans.eu/images/VN000VOB4K1-HERO/1" TargetMode="External"/><Relationship Id="rId1764" Type="http://schemas.openxmlformats.org/officeDocument/2006/relationships/hyperlink" Target="https://assets.vans.eu/images/VN000PXXBLK-HERO/1" TargetMode="External"/><Relationship Id="rId1971" Type="http://schemas.openxmlformats.org/officeDocument/2006/relationships/hyperlink" Target="https://assets.vans.eu/images/VN000EB4TAN-HERO/1" TargetMode="External"/><Relationship Id="rId2608" Type="http://schemas.openxmlformats.org/officeDocument/2006/relationships/hyperlink" Target="https://assets.vans.eu/images/VN000D4MKCZ-HERO/1" TargetMode="External"/><Relationship Id="rId2815" Type="http://schemas.openxmlformats.org/officeDocument/2006/relationships/hyperlink" Target="https://assets.vans.eu/images/VN000V160E0-HERO/1" TargetMode="External"/><Relationship Id="rId4170" Type="http://schemas.openxmlformats.org/officeDocument/2006/relationships/hyperlink" Target="https://assets.vans.eu/images/VN000D25PWT-HERO/1" TargetMode="External"/><Relationship Id="rId5014" Type="http://schemas.openxmlformats.org/officeDocument/2006/relationships/hyperlink" Target="https://assets.vans.eu/images/VN0A2Z32Y45-HERO/1" TargetMode="External"/><Relationship Id="rId56" Type="http://schemas.openxmlformats.org/officeDocument/2006/relationships/hyperlink" Target="https://assets.vans.eu/images/VN000RG4BLK-HERO/1" TargetMode="External"/><Relationship Id="rId1417" Type="http://schemas.openxmlformats.org/officeDocument/2006/relationships/hyperlink" Target="https://assets.vans.eu/images/VN000RCHWHT-HERO/1" TargetMode="External"/><Relationship Id="rId1624" Type="http://schemas.openxmlformats.org/officeDocument/2006/relationships/hyperlink" Target="https://assets.vans.eu/images/VN000HQ3M8I-HERO/1" TargetMode="External"/><Relationship Id="rId1831" Type="http://schemas.openxmlformats.org/officeDocument/2006/relationships/hyperlink" Target="https://assets.vans.eu/images/VN000CTG1NU-HERO/1" TargetMode="External"/><Relationship Id="rId4030" Type="http://schemas.openxmlformats.org/officeDocument/2006/relationships/hyperlink" Target="https://assets.vans.eu/images/VN000D0JRV2-HERO/1" TargetMode="External"/><Relationship Id="rId4987" Type="http://schemas.openxmlformats.org/officeDocument/2006/relationships/hyperlink" Target="https://assets.vans.eu/images/VN000DA4PNK-HERO/1" TargetMode="External"/><Relationship Id="rId3589" Type="http://schemas.openxmlformats.org/officeDocument/2006/relationships/hyperlink" Target="https://assets.vans.eu/images/VN000RD5EMP-HERO/1" TargetMode="External"/><Relationship Id="rId3796" Type="http://schemas.openxmlformats.org/officeDocument/2006/relationships/hyperlink" Target="https://assets.vans.eu/images/VN000CQ0Y09-HERO/1" TargetMode="External"/><Relationship Id="rId2398" Type="http://schemas.openxmlformats.org/officeDocument/2006/relationships/hyperlink" Target="https://assets.vans.eu/images/VN000KYJBLK-HERO/1" TargetMode="External"/><Relationship Id="rId3449" Type="http://schemas.openxmlformats.org/officeDocument/2006/relationships/hyperlink" Target="https://assets.vans.eu/images/VN000PNMEMT-HERO/1" TargetMode="External"/><Relationship Id="rId4847" Type="http://schemas.openxmlformats.org/officeDocument/2006/relationships/hyperlink" Target="https://assets.vans.eu/images/VN0A5KQZYY4-HERO/1" TargetMode="External"/><Relationship Id="rId577" Type="http://schemas.openxmlformats.org/officeDocument/2006/relationships/hyperlink" Target="https://assets.vans.eu/images/VN000D70CHG-HERO/1" TargetMode="External"/><Relationship Id="rId2258" Type="http://schemas.openxmlformats.org/officeDocument/2006/relationships/hyperlink" Target="https://assets.vans.eu/images/VN000PJU7WM-HERO/1" TargetMode="External"/><Relationship Id="rId3656" Type="http://schemas.openxmlformats.org/officeDocument/2006/relationships/hyperlink" Target="https://assets.vans.eu/images/VN0A54YJBLK-HERO/1" TargetMode="External"/><Relationship Id="rId3863" Type="http://schemas.openxmlformats.org/officeDocument/2006/relationships/hyperlink" Target="https://assets.vans.eu/images/VN000CTN2NC-HERO/1" TargetMode="External"/><Relationship Id="rId4707" Type="http://schemas.openxmlformats.org/officeDocument/2006/relationships/hyperlink" Target="https://assets.vans.eu/images/VN0A3IL2R6Y-HERO/1" TargetMode="External"/><Relationship Id="rId4914" Type="http://schemas.openxmlformats.org/officeDocument/2006/relationships/hyperlink" Target="https://assets.vans.eu/images/VN000J9NCHG-HERO/1" TargetMode="External"/><Relationship Id="rId784" Type="http://schemas.openxmlformats.org/officeDocument/2006/relationships/hyperlink" Target="https://assets.vans.eu/images/VN000GGGY28-HERO/1" TargetMode="External"/><Relationship Id="rId991" Type="http://schemas.openxmlformats.org/officeDocument/2006/relationships/hyperlink" Target="https://assets.vans.eu/images/VN000HHEC9J-HERO/1" TargetMode="External"/><Relationship Id="rId1067" Type="http://schemas.openxmlformats.org/officeDocument/2006/relationships/hyperlink" Target="https://assets.vans.eu/images/VN000CZHCFB-HERO/1" TargetMode="External"/><Relationship Id="rId2465" Type="http://schemas.openxmlformats.org/officeDocument/2006/relationships/hyperlink" Target="https://assets.vans.eu/images/VN000CT8HCZ-HERO/1" TargetMode="External"/><Relationship Id="rId2672" Type="http://schemas.openxmlformats.org/officeDocument/2006/relationships/hyperlink" Target="https://assets.vans.eu/images/VN000D6WEMG-HERO/1" TargetMode="External"/><Relationship Id="rId3309" Type="http://schemas.openxmlformats.org/officeDocument/2006/relationships/hyperlink" Target="https://assets.vans.eu/images/VN000P73Y28-HERO/1" TargetMode="External"/><Relationship Id="rId3516" Type="http://schemas.openxmlformats.org/officeDocument/2006/relationships/hyperlink" Target="https://assets.vans.eu/images/VN000Q43JDU-HERO/1" TargetMode="External"/><Relationship Id="rId3723" Type="http://schemas.openxmlformats.org/officeDocument/2006/relationships/hyperlink" Target="https://assets.vans.eu/images/VN0009QMBLA-HERO/1" TargetMode="External"/><Relationship Id="rId3930" Type="http://schemas.openxmlformats.org/officeDocument/2006/relationships/hyperlink" Target="https://assets.vans.eu/images/VN000CVVEMQ-HERO/1" TargetMode="External"/><Relationship Id="rId437" Type="http://schemas.openxmlformats.org/officeDocument/2006/relationships/hyperlink" Target="https://assets.vans.eu/images/VN000PA6BLK-HERO/1" TargetMode="External"/><Relationship Id="rId644" Type="http://schemas.openxmlformats.org/officeDocument/2006/relationships/hyperlink" Target="https://assets.vans.eu/images/VN000KYHBLK-HERO/1" TargetMode="External"/><Relationship Id="rId851" Type="http://schemas.openxmlformats.org/officeDocument/2006/relationships/hyperlink" Target="https://assets.vans.eu/images/VN000D6WYY6-HERO/1" TargetMode="External"/><Relationship Id="rId1274" Type="http://schemas.openxmlformats.org/officeDocument/2006/relationships/hyperlink" Target="https://assets.vans.eu/images/VN000DCFEMF-HERO/1" TargetMode="External"/><Relationship Id="rId1481" Type="http://schemas.openxmlformats.org/officeDocument/2006/relationships/hyperlink" Target="https://assets.vans.eu/images/VN000D0HBZW-HERO/1" TargetMode="External"/><Relationship Id="rId2118" Type="http://schemas.openxmlformats.org/officeDocument/2006/relationships/hyperlink" Target="https://assets.vans.eu/images/VN000M8HZBF-HERO/1" TargetMode="External"/><Relationship Id="rId2325" Type="http://schemas.openxmlformats.org/officeDocument/2006/relationships/hyperlink" Target="https://assets.vans.eu/images/VN000QDFBLK-HERO/1" TargetMode="External"/><Relationship Id="rId2532" Type="http://schemas.openxmlformats.org/officeDocument/2006/relationships/hyperlink" Target="https://assets.vans.eu/images/VN000D07L37-HERO/1" TargetMode="External"/><Relationship Id="rId504" Type="http://schemas.openxmlformats.org/officeDocument/2006/relationships/hyperlink" Target="https://assets.vans.eu/images/VN000GN0WHT-HERO/1" TargetMode="External"/><Relationship Id="rId711" Type="http://schemas.openxmlformats.org/officeDocument/2006/relationships/hyperlink" Target="https://assets.vans.eu/images/VN000M9SBLK-HERO/1" TargetMode="External"/><Relationship Id="rId1134" Type="http://schemas.openxmlformats.org/officeDocument/2006/relationships/hyperlink" Target="https://assets.vans.eu/images/VN000M84FS8-HERO/1" TargetMode="External"/><Relationship Id="rId1341" Type="http://schemas.openxmlformats.org/officeDocument/2006/relationships/hyperlink" Target="https://assets.vans.eu/images/VN000M9MZUJ-HERO/1" TargetMode="External"/><Relationship Id="rId4497" Type="http://schemas.openxmlformats.org/officeDocument/2006/relationships/hyperlink" Target="https://assets.vans.eu/images/VN000D9ZKOU-HERO/1" TargetMode="External"/><Relationship Id="rId1201" Type="http://schemas.openxmlformats.org/officeDocument/2006/relationships/hyperlink" Target="https://assets.vans.eu/images/VN000RFR1QI-HERO/1" TargetMode="External"/><Relationship Id="rId3099" Type="http://schemas.openxmlformats.org/officeDocument/2006/relationships/hyperlink" Target="https://assets.vans.eu/images/VN000KTBBLK-HERO/1" TargetMode="External"/><Relationship Id="rId4357" Type="http://schemas.openxmlformats.org/officeDocument/2006/relationships/hyperlink" Target="https://assets.vans.eu/images/VN000D6SBM8-HERO/1" TargetMode="External"/><Relationship Id="rId4564" Type="http://schemas.openxmlformats.org/officeDocument/2006/relationships/hyperlink" Target="https://assets.vans.eu/images/VN000DARBKL-HERO/1" TargetMode="External"/><Relationship Id="rId4771" Type="http://schemas.openxmlformats.org/officeDocument/2006/relationships/hyperlink" Target="https://assets.vans.eu/images/VN0A5HZYZLD-HERO/1" TargetMode="External"/><Relationship Id="rId3166" Type="http://schemas.openxmlformats.org/officeDocument/2006/relationships/hyperlink" Target="https://assets.vans.eu/images/VN000M9HFS8-HERO/1" TargetMode="External"/><Relationship Id="rId3373" Type="http://schemas.openxmlformats.org/officeDocument/2006/relationships/hyperlink" Target="https://assets.vans.eu/images/VN000PDREMS-HERO/1" TargetMode="External"/><Relationship Id="rId3580" Type="http://schemas.openxmlformats.org/officeDocument/2006/relationships/hyperlink" Target="https://assets.vans.eu/images/VN000RCEYB2-HERO/1" TargetMode="External"/><Relationship Id="rId4217" Type="http://schemas.openxmlformats.org/officeDocument/2006/relationships/hyperlink" Target="https://assets.vans.eu/images/VN000D2VO79-HERO/1" TargetMode="External"/><Relationship Id="rId4424" Type="http://schemas.openxmlformats.org/officeDocument/2006/relationships/hyperlink" Target="https://assets.vans.eu/images/VN000D7ABKA-HERO/1" TargetMode="External"/><Relationship Id="rId294" Type="http://schemas.openxmlformats.org/officeDocument/2006/relationships/hyperlink" Target="https://assets.vans.eu/images/VN0A3WF1H3G-HERO/1" TargetMode="External"/><Relationship Id="rId2182" Type="http://schemas.openxmlformats.org/officeDocument/2006/relationships/hyperlink" Target="https://assets.vans.eu/images/VN000P4YC9L-HERO/1" TargetMode="External"/><Relationship Id="rId3026" Type="http://schemas.openxmlformats.org/officeDocument/2006/relationships/hyperlink" Target="https://assets.vans.eu/images/VN000HZADZ9-HERO/1" TargetMode="External"/><Relationship Id="rId3233" Type="http://schemas.openxmlformats.org/officeDocument/2006/relationships/hyperlink" Target="https://assets.vans.eu/images/VN000NTSD6Z-HERO/1" TargetMode="External"/><Relationship Id="rId4631" Type="http://schemas.openxmlformats.org/officeDocument/2006/relationships/hyperlink" Target="https://assets.vans.eu/images/VN000EB4TAN-HERO/1" TargetMode="External"/><Relationship Id="rId154" Type="http://schemas.openxmlformats.org/officeDocument/2006/relationships/hyperlink" Target="https://assets.vans.eu/images/VN000HUP7WM-HERO/1" TargetMode="External"/><Relationship Id="rId361" Type="http://schemas.openxmlformats.org/officeDocument/2006/relationships/hyperlink" Target="https://assets.vans.eu/images/VN000NBQFS8-HERO/1" TargetMode="External"/><Relationship Id="rId2042" Type="http://schemas.openxmlformats.org/officeDocument/2006/relationships/hyperlink" Target="https://assets.vans.eu/images/VN0008NAE90-HERO/1" TargetMode="External"/><Relationship Id="rId3440" Type="http://schemas.openxmlformats.org/officeDocument/2006/relationships/hyperlink" Target="https://assets.vans.eu/images/VN000PMNEMP-HERO/1" TargetMode="External"/><Relationship Id="rId2999" Type="http://schemas.openxmlformats.org/officeDocument/2006/relationships/hyperlink" Target="https://assets.vans.eu/images/VN000HJF1CI-HERO/1" TargetMode="External"/><Relationship Id="rId3300" Type="http://schemas.openxmlformats.org/officeDocument/2006/relationships/hyperlink" Target="https://assets.vans.eu/images/VN000P5D02F-HERO/1" TargetMode="External"/><Relationship Id="rId221" Type="http://schemas.openxmlformats.org/officeDocument/2006/relationships/hyperlink" Target="https://assets.vans.eu/images/VN000EFBYY6-HERO/1" TargetMode="External"/><Relationship Id="rId2859" Type="http://schemas.openxmlformats.org/officeDocument/2006/relationships/hyperlink" Target="https://assets.vans.eu/images/VN000EZ1J5F-HERO/1" TargetMode="External"/><Relationship Id="rId5058" Type="http://schemas.openxmlformats.org/officeDocument/2006/relationships/hyperlink" Target="https://assets.vans.eu/images/VN0A4U1KJCN-HERO/1" TargetMode="External"/><Relationship Id="rId1668" Type="http://schemas.openxmlformats.org/officeDocument/2006/relationships/hyperlink" Target="https://assets.vans.eu/images/VN000MC0WHT-HERO/1" TargetMode="External"/><Relationship Id="rId1875" Type="http://schemas.openxmlformats.org/officeDocument/2006/relationships/hyperlink" Target="https://assets.vans.eu/images/VN000D1JPBQ-HERO/1" TargetMode="External"/><Relationship Id="rId2719" Type="http://schemas.openxmlformats.org/officeDocument/2006/relationships/hyperlink" Target="https://assets.vans.eu/images/VN000D9ZKOU-HERO/1" TargetMode="External"/><Relationship Id="rId4074" Type="http://schemas.openxmlformats.org/officeDocument/2006/relationships/hyperlink" Target="https://assets.vans.eu/images/VN000D1GBA2-HERO/1" TargetMode="External"/><Relationship Id="rId4281" Type="http://schemas.openxmlformats.org/officeDocument/2006/relationships/hyperlink" Target="https://assets.vans.eu/images/VN000D5RBRG-HERO/1" TargetMode="External"/><Relationship Id="rId1528" Type="http://schemas.openxmlformats.org/officeDocument/2006/relationships/hyperlink" Target="https://assets.vans.eu/images/VN000D9ACJ7-HERO/1" TargetMode="External"/><Relationship Id="rId2926" Type="http://schemas.openxmlformats.org/officeDocument/2006/relationships/hyperlink" Target="https://assets.vans.eu/images/VN0008HTBLK-HERO/1" TargetMode="External"/><Relationship Id="rId3090" Type="http://schemas.openxmlformats.org/officeDocument/2006/relationships/hyperlink" Target="https://assets.vans.eu/images/VN000KASBLK-HERO/1" TargetMode="External"/><Relationship Id="rId4141" Type="http://schemas.openxmlformats.org/officeDocument/2006/relationships/hyperlink" Target="https://assets.vans.eu/images/VN000D1SEMW-HERO/1" TargetMode="External"/><Relationship Id="rId1735" Type="http://schemas.openxmlformats.org/officeDocument/2006/relationships/hyperlink" Target="https://assets.vans.eu/images/VN000PNCRKZ-HERO/1" TargetMode="External"/><Relationship Id="rId1942" Type="http://schemas.openxmlformats.org/officeDocument/2006/relationships/hyperlink" Target="https://assets.vans.eu/images/VN000D9ACJ7-HERO/1" TargetMode="External"/><Relationship Id="rId4001" Type="http://schemas.openxmlformats.org/officeDocument/2006/relationships/hyperlink" Target="https://assets.vans.eu/images/VN000CZ7EMW-HERO/1" TargetMode="External"/><Relationship Id="rId27" Type="http://schemas.openxmlformats.org/officeDocument/2006/relationships/hyperlink" Target="https://assets.vans.eu/images/VN000XUJB9P-HERO/1" TargetMode="External"/><Relationship Id="rId1802" Type="http://schemas.openxmlformats.org/officeDocument/2006/relationships/hyperlink" Target="https://assets.vans.eu/images/VN000Y8VY28-HERO/1" TargetMode="External"/><Relationship Id="rId4958" Type="http://schemas.openxmlformats.org/officeDocument/2006/relationships/hyperlink" Target="https://assets.vans.eu/images/VN000D3UZBF-HERO/1" TargetMode="External"/><Relationship Id="rId3767" Type="http://schemas.openxmlformats.org/officeDocument/2006/relationships/hyperlink" Target="https://assets.vans.eu/images/VN000CMXM8I-HERO/1" TargetMode="External"/><Relationship Id="rId3974" Type="http://schemas.openxmlformats.org/officeDocument/2006/relationships/hyperlink" Target="https://assets.vans.eu/images/VN000CWFSKQ-HERO/1" TargetMode="External"/><Relationship Id="rId4818" Type="http://schemas.openxmlformats.org/officeDocument/2006/relationships/hyperlink" Target="https://assets.vans.eu/images/VN000CVVSR6-HERO/1" TargetMode="External"/><Relationship Id="rId688" Type="http://schemas.openxmlformats.org/officeDocument/2006/relationships/hyperlink" Target="https://assets.vans.eu/images/VN000D6W203-HERO/1" TargetMode="External"/><Relationship Id="rId895" Type="http://schemas.openxmlformats.org/officeDocument/2006/relationships/hyperlink" Target="https://assets.vans.eu/images/VN000PFBEN9-HERO/1" TargetMode="External"/><Relationship Id="rId2369" Type="http://schemas.openxmlformats.org/officeDocument/2006/relationships/hyperlink" Target="https://assets.vans.eu/images/VN000Y8VYB2-HERO/1" TargetMode="External"/><Relationship Id="rId2576" Type="http://schemas.openxmlformats.org/officeDocument/2006/relationships/hyperlink" Target="https://assets.vans.eu/images/VN000D1BEMU-HERO/1" TargetMode="External"/><Relationship Id="rId2783" Type="http://schemas.openxmlformats.org/officeDocument/2006/relationships/hyperlink" Target="https://assets.vans.eu/images/VN000E8WYS5-HERO/1" TargetMode="External"/><Relationship Id="rId2990" Type="http://schemas.openxmlformats.org/officeDocument/2006/relationships/hyperlink" Target="https://assets.vans.eu/images/VN000HDVM8I-HERO/1" TargetMode="External"/><Relationship Id="rId3627" Type="http://schemas.openxmlformats.org/officeDocument/2006/relationships/hyperlink" Target="https://assets.vans.eu/images/VN0A3CZEYB2-HERO/1" TargetMode="External"/><Relationship Id="rId3834" Type="http://schemas.openxmlformats.org/officeDocument/2006/relationships/hyperlink" Target="https://assets.vans.eu/images/VN000CT8HCZ-HERO/1" TargetMode="External"/><Relationship Id="rId548" Type="http://schemas.openxmlformats.org/officeDocument/2006/relationships/hyperlink" Target="https://assets.vans.eu/images/VN000KMZH7Q-HERO/1" TargetMode="External"/><Relationship Id="rId755" Type="http://schemas.openxmlformats.org/officeDocument/2006/relationships/hyperlink" Target="https://assets.vans.eu/images/VN000D0SYJ7-HERO/1" TargetMode="External"/><Relationship Id="rId962" Type="http://schemas.openxmlformats.org/officeDocument/2006/relationships/hyperlink" Target="https://assets.vans.eu/images/VN000D70CHG-HERO/1" TargetMode="External"/><Relationship Id="rId1178" Type="http://schemas.openxmlformats.org/officeDocument/2006/relationships/hyperlink" Target="https://assets.vans.eu/images/VN000PMA9JC-HERO/1" TargetMode="External"/><Relationship Id="rId1385" Type="http://schemas.openxmlformats.org/officeDocument/2006/relationships/hyperlink" Target="https://assets.vans.eu/images/VN000PMFENB-HERO/1" TargetMode="External"/><Relationship Id="rId1592" Type="http://schemas.openxmlformats.org/officeDocument/2006/relationships/hyperlink" Target="https://assets.vans.eu/images/VN000V3HCRO-HERO/1" TargetMode="External"/><Relationship Id="rId2229" Type="http://schemas.openxmlformats.org/officeDocument/2006/relationships/hyperlink" Target="https://assets.vans.eu/images/VN000PEWEMU-HERO/1" TargetMode="External"/><Relationship Id="rId2436" Type="http://schemas.openxmlformats.org/officeDocument/2006/relationships/hyperlink" Target="https://assets.vans.eu/images/VN000CQ04C3-HERO/1" TargetMode="External"/><Relationship Id="rId2643" Type="http://schemas.openxmlformats.org/officeDocument/2006/relationships/hyperlink" Target="https://assets.vans.eu/images/VN000D610VW-HERO/1" TargetMode="External"/><Relationship Id="rId2850" Type="http://schemas.openxmlformats.org/officeDocument/2006/relationships/hyperlink" Target="https://assets.vans.eu/images/VN00033QWHT-HERO/1" TargetMode="External"/><Relationship Id="rId91" Type="http://schemas.openxmlformats.org/officeDocument/2006/relationships/hyperlink" Target="https://assets.vans.eu/images/VN000Y5XRNC-HERO/1" TargetMode="External"/><Relationship Id="rId408" Type="http://schemas.openxmlformats.org/officeDocument/2006/relationships/hyperlink" Target="https://assets.vans.eu/images/VN000M77Y7U-HERO/1" TargetMode="External"/><Relationship Id="rId615" Type="http://schemas.openxmlformats.org/officeDocument/2006/relationships/hyperlink" Target="https://assets.vans.eu/images/VN000Q0PEMP-HERO/1" TargetMode="External"/><Relationship Id="rId822" Type="http://schemas.openxmlformats.org/officeDocument/2006/relationships/hyperlink" Target="https://assets.vans.eu/images/VN000RCHWHT-HERO/1" TargetMode="External"/><Relationship Id="rId1038" Type="http://schemas.openxmlformats.org/officeDocument/2006/relationships/hyperlink" Target="https://assets.vans.eu/images/VN000R7AYB2-HERO/1" TargetMode="External"/><Relationship Id="rId1245" Type="http://schemas.openxmlformats.org/officeDocument/2006/relationships/hyperlink" Target="https://assets.vans.eu/images/VN000D1JBYS-HERO/1" TargetMode="External"/><Relationship Id="rId1452" Type="http://schemas.openxmlformats.org/officeDocument/2006/relationships/hyperlink" Target="https://assets.vans.eu/images/VN000CRRBJ4-HERO/1" TargetMode="External"/><Relationship Id="rId2503" Type="http://schemas.openxmlformats.org/officeDocument/2006/relationships/hyperlink" Target="https://assets.vans.eu/images/VN000CVVBA2-HERO/1" TargetMode="External"/><Relationship Id="rId3901" Type="http://schemas.openxmlformats.org/officeDocument/2006/relationships/hyperlink" Target="https://assets.vans.eu/images/VN000CVU1LO-HERO/1" TargetMode="External"/><Relationship Id="rId1105" Type="http://schemas.openxmlformats.org/officeDocument/2006/relationships/hyperlink" Target="https://assets.vans.eu/images/VN000QAGBLK-HERO/1" TargetMode="External"/><Relationship Id="rId1312" Type="http://schemas.openxmlformats.org/officeDocument/2006/relationships/hyperlink" Target="https://assets.vans.eu/images/VN000GGGYB2-HERO/1" TargetMode="External"/><Relationship Id="rId2710" Type="http://schemas.openxmlformats.org/officeDocument/2006/relationships/hyperlink" Target="https://assets.vans.eu/images/VN000D9ACJ7-HERO/1" TargetMode="External"/><Relationship Id="rId4468" Type="http://schemas.openxmlformats.org/officeDocument/2006/relationships/hyperlink" Target="https://assets.vans.eu/images/VN000D8NWWW-HERO/1" TargetMode="External"/><Relationship Id="rId3277" Type="http://schemas.openxmlformats.org/officeDocument/2006/relationships/hyperlink" Target="https://assets.vans.eu/images/VN000P52EMS-HERO/1" TargetMode="External"/><Relationship Id="rId4675" Type="http://schemas.openxmlformats.org/officeDocument/2006/relationships/hyperlink" Target="https://assets.vans.eu/images/VN000V160E0-HERO/1" TargetMode="External"/><Relationship Id="rId4882" Type="http://schemas.openxmlformats.org/officeDocument/2006/relationships/hyperlink" Target="https://assets.vans.eu/images/VN000D1GYB2-HERO/1" TargetMode="External"/><Relationship Id="rId198" Type="http://schemas.openxmlformats.org/officeDocument/2006/relationships/hyperlink" Target="https://assets.vans.eu/images/VN000H4WBLK-HERO/1" TargetMode="External"/><Relationship Id="rId2086" Type="http://schemas.openxmlformats.org/officeDocument/2006/relationships/hyperlink" Target="https://assets.vans.eu/images/VN000JYD14A-HERO/1" TargetMode="External"/><Relationship Id="rId3484" Type="http://schemas.openxmlformats.org/officeDocument/2006/relationships/hyperlink" Target="https://assets.vans.eu/images/VN000PX8LUT-HERO/1" TargetMode="External"/><Relationship Id="rId3691" Type="http://schemas.openxmlformats.org/officeDocument/2006/relationships/hyperlink" Target="https://assets.vans.eu/images/VN0005UFBLL-HERO/1" TargetMode="External"/><Relationship Id="rId4328" Type="http://schemas.openxmlformats.org/officeDocument/2006/relationships/hyperlink" Target="https://assets.vans.eu/images/VN000D6FBGK-HERO/1" TargetMode="External"/><Relationship Id="rId4535" Type="http://schemas.openxmlformats.org/officeDocument/2006/relationships/hyperlink" Target="https://assets.vans.eu/images/VN000DAJPWT-HERO/1" TargetMode="External"/><Relationship Id="rId4742" Type="http://schemas.openxmlformats.org/officeDocument/2006/relationships/hyperlink" Target="https://assets.vans.eu/images/VN0A5FCAPIB-HERO/1" TargetMode="External"/><Relationship Id="rId2293" Type="http://schemas.openxmlformats.org/officeDocument/2006/relationships/hyperlink" Target="https://assets.vans.eu/images/VN000PRKEN9-HERO/1" TargetMode="External"/><Relationship Id="rId3137" Type="http://schemas.openxmlformats.org/officeDocument/2006/relationships/hyperlink" Target="https://assets.vans.eu/images/VN000M4DJDU-HERO/1" TargetMode="External"/><Relationship Id="rId3344" Type="http://schemas.openxmlformats.org/officeDocument/2006/relationships/hyperlink" Target="https://assets.vans.eu/images/VN000PBSBRD-HERO/1" TargetMode="External"/><Relationship Id="rId3551" Type="http://schemas.openxmlformats.org/officeDocument/2006/relationships/hyperlink" Target="https://assets.vans.eu/images/VN000R4ZEMP-HERO/1" TargetMode="External"/><Relationship Id="rId4602" Type="http://schemas.openxmlformats.org/officeDocument/2006/relationships/hyperlink" Target="https://assets.vans.eu/images/VN000E87BA2-HERO/1" TargetMode="External"/><Relationship Id="rId265" Type="http://schemas.openxmlformats.org/officeDocument/2006/relationships/hyperlink" Target="https://assets.vans.eu/images/VN0A5LMECR2-HERO/1" TargetMode="External"/><Relationship Id="rId472" Type="http://schemas.openxmlformats.org/officeDocument/2006/relationships/hyperlink" Target="https://assets.vans.eu/images/VN000LC0BLK-HERO/1" TargetMode="External"/><Relationship Id="rId2153" Type="http://schemas.openxmlformats.org/officeDocument/2006/relationships/hyperlink" Target="https://assets.vans.eu/images/VN000MH9BLK-HERO/1" TargetMode="External"/><Relationship Id="rId2360" Type="http://schemas.openxmlformats.org/officeDocument/2006/relationships/hyperlink" Target="https://assets.vans.eu/images/VN000RJYPWT-HERO/1" TargetMode="External"/><Relationship Id="rId3204" Type="http://schemas.openxmlformats.org/officeDocument/2006/relationships/hyperlink" Target="https://assets.vans.eu/images/VN000MGGBLK-HERO/1" TargetMode="External"/><Relationship Id="rId3411" Type="http://schemas.openxmlformats.org/officeDocument/2006/relationships/hyperlink" Target="https://assets.vans.eu/images/VN000PJMBLK-HERO/1" TargetMode="External"/><Relationship Id="rId125" Type="http://schemas.openxmlformats.org/officeDocument/2006/relationships/hyperlink" Target="https://assets.vans.eu/images/VN000P7ECDX-HERO/1" TargetMode="External"/><Relationship Id="rId332" Type="http://schemas.openxmlformats.org/officeDocument/2006/relationships/hyperlink" Target="https://assets.vans.eu/images/VN000D0HKCZ-HERO/1" TargetMode="External"/><Relationship Id="rId2013" Type="http://schemas.openxmlformats.org/officeDocument/2006/relationships/hyperlink" Target="https://assets.vans.eu/images/VN000NBRBLK-HERO/1" TargetMode="External"/><Relationship Id="rId2220" Type="http://schemas.openxmlformats.org/officeDocument/2006/relationships/hyperlink" Target="https://assets.vans.eu/images/VN000PDABLK-HERO/1" TargetMode="External"/><Relationship Id="rId4185" Type="http://schemas.openxmlformats.org/officeDocument/2006/relationships/hyperlink" Target="https://assets.vans.eu/images/VN000D26JDU-HERO/1" TargetMode="External"/><Relationship Id="rId4392" Type="http://schemas.openxmlformats.org/officeDocument/2006/relationships/hyperlink" Target="https://assets.vans.eu/images/VN000D6YEMH-HERO/1" TargetMode="External"/><Relationship Id="rId5029" Type="http://schemas.openxmlformats.org/officeDocument/2006/relationships/hyperlink" Target="https://assets.vans.eu/images/VN0A2Z34CMA-HERO/1" TargetMode="External"/><Relationship Id="rId1779" Type="http://schemas.openxmlformats.org/officeDocument/2006/relationships/hyperlink" Target="https://assets.vans.eu/images/VN000QN8Y28-HERO/1" TargetMode="External"/><Relationship Id="rId1986" Type="http://schemas.openxmlformats.org/officeDocument/2006/relationships/hyperlink" Target="https://assets.vans.eu/images/VN000W9T9AL-HERO/1" TargetMode="External"/><Relationship Id="rId4045" Type="http://schemas.openxmlformats.org/officeDocument/2006/relationships/hyperlink" Target="https://assets.vans.eu/images/VN000D0S705-HERO/1" TargetMode="External"/><Relationship Id="rId4252" Type="http://schemas.openxmlformats.org/officeDocument/2006/relationships/hyperlink" Target="https://assets.vans.eu/images/VN000D4N2B6-HERO/1" TargetMode="External"/><Relationship Id="rId1639" Type="http://schemas.openxmlformats.org/officeDocument/2006/relationships/hyperlink" Target="https://assets.vans.eu/images/VN000JGPBLK-HERO/1" TargetMode="External"/><Relationship Id="rId1846" Type="http://schemas.openxmlformats.org/officeDocument/2006/relationships/hyperlink" Target="https://assets.vans.eu/images/VN000CVVKAQ-HERO/1" TargetMode="External"/><Relationship Id="rId3061" Type="http://schemas.openxmlformats.org/officeDocument/2006/relationships/hyperlink" Target="https://assets.vans.eu/images/VN000JF6CFL-HERO/1" TargetMode="External"/><Relationship Id="rId1706" Type="http://schemas.openxmlformats.org/officeDocument/2006/relationships/hyperlink" Target="https://assets.vans.eu/images/VN000P93EMT-HERO/1" TargetMode="External"/><Relationship Id="rId1913" Type="http://schemas.openxmlformats.org/officeDocument/2006/relationships/hyperlink" Target="https://assets.vans.eu/images/VN000D6SBM8-HERO/1" TargetMode="External"/><Relationship Id="rId4112" Type="http://schemas.openxmlformats.org/officeDocument/2006/relationships/hyperlink" Target="https://assets.vans.eu/images/VN000D1JEN7-HERO/1" TargetMode="External"/><Relationship Id="rId3878" Type="http://schemas.openxmlformats.org/officeDocument/2006/relationships/hyperlink" Target="https://assets.vans.eu/images/VN000CVNBKA-HERO/1" TargetMode="External"/><Relationship Id="rId4929" Type="http://schemas.openxmlformats.org/officeDocument/2006/relationships/hyperlink" Target="https://assets.vans.eu/images/VN000D1G1OJ-HERO/1" TargetMode="External"/><Relationship Id="rId799" Type="http://schemas.openxmlformats.org/officeDocument/2006/relationships/hyperlink" Target="https://assets.vans.eu/images/VN000P5GBLK-HERO/1" TargetMode="External"/><Relationship Id="rId2687" Type="http://schemas.openxmlformats.org/officeDocument/2006/relationships/hyperlink" Target="https://assets.vans.eu/images/VN000D6ZEMY-HERO/1" TargetMode="External"/><Relationship Id="rId2894" Type="http://schemas.openxmlformats.org/officeDocument/2006/relationships/hyperlink" Target="https://assets.vans.eu/images/VN000QBM7UG-HERO/1" TargetMode="External"/><Relationship Id="rId3738" Type="http://schemas.openxmlformats.org/officeDocument/2006/relationships/hyperlink" Target="https://assets.vans.eu/images/VN000BCEBJW-HERO/1" TargetMode="External"/><Relationship Id="rId659" Type="http://schemas.openxmlformats.org/officeDocument/2006/relationships/hyperlink" Target="https://assets.vans.eu/images/VN000PHHLVB-HERO/1" TargetMode="External"/><Relationship Id="rId866" Type="http://schemas.openxmlformats.org/officeDocument/2006/relationships/hyperlink" Target="https://assets.vans.eu/images/VN000A96C89-HERO/1" TargetMode="External"/><Relationship Id="rId1289" Type="http://schemas.openxmlformats.org/officeDocument/2006/relationships/hyperlink" Target="https://assets.vans.eu/images/VN000GMNFS8-HERO/1" TargetMode="External"/><Relationship Id="rId1496" Type="http://schemas.openxmlformats.org/officeDocument/2006/relationships/hyperlink" Target="https://assets.vans.eu/images/VN000D1JOVM-HERO/1" TargetMode="External"/><Relationship Id="rId2547" Type="http://schemas.openxmlformats.org/officeDocument/2006/relationships/hyperlink" Target="https://assets.vans.eu/images/VN000D0KEN6-HERO/1" TargetMode="External"/><Relationship Id="rId3945" Type="http://schemas.openxmlformats.org/officeDocument/2006/relationships/hyperlink" Target="https://assets.vans.eu/images/VN000CVVF87-HERO/1" TargetMode="External"/><Relationship Id="rId519" Type="http://schemas.openxmlformats.org/officeDocument/2006/relationships/hyperlink" Target="https://assets.vans.eu/images/VN000PK1EMW-HERO/1" TargetMode="External"/><Relationship Id="rId1149" Type="http://schemas.openxmlformats.org/officeDocument/2006/relationships/hyperlink" Target="https://assets.vans.eu/images/VN000MN2BR1-HERO/1" TargetMode="External"/><Relationship Id="rId1356" Type="http://schemas.openxmlformats.org/officeDocument/2006/relationships/hyperlink" Target="https://assets.vans.eu/images/VN000P59E2Z-HERO/1" TargetMode="External"/><Relationship Id="rId2754" Type="http://schemas.openxmlformats.org/officeDocument/2006/relationships/hyperlink" Target="https://assets.vans.eu/images/VN000DARBKL-HERO/1" TargetMode="External"/><Relationship Id="rId2961" Type="http://schemas.openxmlformats.org/officeDocument/2006/relationships/hyperlink" Target="https://assets.vans.eu/images/VN000GA0D3Z-HERO/1" TargetMode="External"/><Relationship Id="rId3805" Type="http://schemas.openxmlformats.org/officeDocument/2006/relationships/hyperlink" Target="https://assets.vans.eu/images/VN000CQRBZW-HERO/1" TargetMode="External"/><Relationship Id="rId5020" Type="http://schemas.openxmlformats.org/officeDocument/2006/relationships/hyperlink" Target="https://assets.vans.eu/images/VN0A2Z34AFJ-HERO/1" TargetMode="External"/><Relationship Id="rId726" Type="http://schemas.openxmlformats.org/officeDocument/2006/relationships/hyperlink" Target="https://assets.vans.eu/images/VN000PXSBLK-HERO/1" TargetMode="External"/><Relationship Id="rId933" Type="http://schemas.openxmlformats.org/officeDocument/2006/relationships/hyperlink" Target="https://assets.vans.eu/images/VN000CRRCJJ-HERO/1" TargetMode="External"/><Relationship Id="rId1009" Type="http://schemas.openxmlformats.org/officeDocument/2006/relationships/hyperlink" Target="https://assets.vans.eu/images/VN000MN2BR1-HERO/1" TargetMode="External"/><Relationship Id="rId1563" Type="http://schemas.openxmlformats.org/officeDocument/2006/relationships/hyperlink" Target="https://assets.vans.eu/images/VN0A5FCB1N6-HERO/1" TargetMode="External"/><Relationship Id="rId1770" Type="http://schemas.openxmlformats.org/officeDocument/2006/relationships/hyperlink" Target="https://assets.vans.eu/images/VN000Q0PEMP-HERO/1" TargetMode="External"/><Relationship Id="rId2407" Type="http://schemas.openxmlformats.org/officeDocument/2006/relationships/hyperlink" Target="https://assets.vans.eu/images/VN0007NK458-HERO/1" TargetMode="External"/><Relationship Id="rId2614" Type="http://schemas.openxmlformats.org/officeDocument/2006/relationships/hyperlink" Target="https://assets.vans.eu/images/VN000D4N2B6-HERO/1" TargetMode="External"/><Relationship Id="rId2821" Type="http://schemas.openxmlformats.org/officeDocument/2006/relationships/hyperlink" Target="https://assets.vans.eu/images/VN0A347ZDDU-HERO/1" TargetMode="External"/><Relationship Id="rId62" Type="http://schemas.openxmlformats.org/officeDocument/2006/relationships/hyperlink" Target="https://assets.vans.eu/images/VN000Q1GHTG-HERO/1" TargetMode="External"/><Relationship Id="rId1216" Type="http://schemas.openxmlformats.org/officeDocument/2006/relationships/hyperlink" Target="https://assets.vans.eu/images/VN000CRRCJJ-HERO/1" TargetMode="External"/><Relationship Id="rId1423" Type="http://schemas.openxmlformats.org/officeDocument/2006/relationships/hyperlink" Target="https://assets.vans.eu/images/VN000RG4WHT-HERO/1" TargetMode="External"/><Relationship Id="rId1630" Type="http://schemas.openxmlformats.org/officeDocument/2006/relationships/hyperlink" Target="https://assets.vans.eu/images/VN000IVEBLK-HERO/1" TargetMode="External"/><Relationship Id="rId4579" Type="http://schemas.openxmlformats.org/officeDocument/2006/relationships/hyperlink" Target="https://assets.vans.eu/images/VN000DAZSTN-HERO/1" TargetMode="External"/><Relationship Id="rId4786" Type="http://schemas.openxmlformats.org/officeDocument/2006/relationships/hyperlink" Target="https://assets.vans.eu/images/VN0A5KR59LF-HERO/1" TargetMode="External"/><Relationship Id="rId4993" Type="http://schemas.openxmlformats.org/officeDocument/2006/relationships/hyperlink" Target="https://assets.vans.eu/images/VN000E9NBPT-HERO/1" TargetMode="External"/><Relationship Id="rId3388" Type="http://schemas.openxmlformats.org/officeDocument/2006/relationships/hyperlink" Target="https://assets.vans.eu/images/VN000PF7F0D-HERO/1" TargetMode="External"/><Relationship Id="rId3595" Type="http://schemas.openxmlformats.org/officeDocument/2006/relationships/hyperlink" Target="https://assets.vans.eu/images/VN000RG21QI-HERO/1" TargetMode="External"/><Relationship Id="rId4439" Type="http://schemas.openxmlformats.org/officeDocument/2006/relationships/hyperlink" Target="https://assets.vans.eu/images/VN000D7ZM8I-HERO/1" TargetMode="External"/><Relationship Id="rId4646" Type="http://schemas.openxmlformats.org/officeDocument/2006/relationships/hyperlink" Target="https://assets.vans.eu/images/VN000EDN7D6-HERO/1" TargetMode="External"/><Relationship Id="rId4853" Type="http://schemas.openxmlformats.org/officeDocument/2006/relationships/hyperlink" Target="https://assets.vans.eu/images/VN000D1GSN0-HERO/1" TargetMode="External"/><Relationship Id="rId2197" Type="http://schemas.openxmlformats.org/officeDocument/2006/relationships/hyperlink" Target="https://assets.vans.eu/images/VN000P5T5TU-HERO/1" TargetMode="External"/><Relationship Id="rId3248" Type="http://schemas.openxmlformats.org/officeDocument/2006/relationships/hyperlink" Target="https://assets.vans.eu/images/VN000P1PBR1-HERO/1" TargetMode="External"/><Relationship Id="rId3455" Type="http://schemas.openxmlformats.org/officeDocument/2006/relationships/hyperlink" Target="https://assets.vans.eu/images/VN000PQHE90-HERO/1" TargetMode="External"/><Relationship Id="rId3662" Type="http://schemas.openxmlformats.org/officeDocument/2006/relationships/hyperlink" Target="https://assets.vans.eu/images/VN0A5FLPBLK-HERO/1" TargetMode="External"/><Relationship Id="rId4506" Type="http://schemas.openxmlformats.org/officeDocument/2006/relationships/hyperlink" Target="https://assets.vans.eu/images/VN000DA18DX-HERO/1" TargetMode="External"/><Relationship Id="rId4713" Type="http://schemas.openxmlformats.org/officeDocument/2006/relationships/hyperlink" Target="https://assets.vans.eu/images/VN0A4BTW5ZN-HERO/1" TargetMode="External"/><Relationship Id="rId169" Type="http://schemas.openxmlformats.org/officeDocument/2006/relationships/hyperlink" Target="https://assets.vans.eu/images/VN000MJJCDX-HERO/1" TargetMode="External"/><Relationship Id="rId376" Type="http://schemas.openxmlformats.org/officeDocument/2006/relationships/hyperlink" Target="https://assets.vans.eu/images/VN000F0CBLK-HERO/1" TargetMode="External"/><Relationship Id="rId583" Type="http://schemas.openxmlformats.org/officeDocument/2006/relationships/hyperlink" Target="https://assets.vans.eu/images/VN000E9YLBR-HERO/1" TargetMode="External"/><Relationship Id="rId790" Type="http://schemas.openxmlformats.org/officeDocument/2006/relationships/hyperlink" Target="https://assets.vans.eu/images/VN000M371O7-HERO/1" TargetMode="External"/><Relationship Id="rId2057" Type="http://schemas.openxmlformats.org/officeDocument/2006/relationships/hyperlink" Target="https://assets.vans.eu/images/VN000HMFWHT-HERO/1" TargetMode="External"/><Relationship Id="rId2264" Type="http://schemas.openxmlformats.org/officeDocument/2006/relationships/hyperlink" Target="https://assets.vans.eu/images/VN000PMA9JC-HERO/1" TargetMode="External"/><Relationship Id="rId2471" Type="http://schemas.openxmlformats.org/officeDocument/2006/relationships/hyperlink" Target="https://assets.vans.eu/images/VN000CTG7VF-HERO/1" TargetMode="External"/><Relationship Id="rId3108" Type="http://schemas.openxmlformats.org/officeDocument/2006/relationships/hyperlink" Target="https://assets.vans.eu/images/VN000KURBLK-HERO/1" TargetMode="External"/><Relationship Id="rId3315" Type="http://schemas.openxmlformats.org/officeDocument/2006/relationships/hyperlink" Target="https://assets.vans.eu/images/VN000P7UJDU-HERO/1" TargetMode="External"/><Relationship Id="rId3522" Type="http://schemas.openxmlformats.org/officeDocument/2006/relationships/hyperlink" Target="https://assets.vans.eu/images/VN000Q7429B-HERO/1" TargetMode="External"/><Relationship Id="rId4920" Type="http://schemas.openxmlformats.org/officeDocument/2006/relationships/hyperlink" Target="https://assets.vans.eu/images/VN000CBTAHY-HERO/1" TargetMode="External"/><Relationship Id="rId236" Type="http://schemas.openxmlformats.org/officeDocument/2006/relationships/hyperlink" Target="https://assets.vans.eu/images/VN000QCFY28-HERO/1" TargetMode="External"/><Relationship Id="rId443" Type="http://schemas.openxmlformats.org/officeDocument/2006/relationships/hyperlink" Target="https://assets.vans.eu/images/VN000SN14OU-HERO/1" TargetMode="External"/><Relationship Id="rId650" Type="http://schemas.openxmlformats.org/officeDocument/2006/relationships/hyperlink" Target="https://assets.vans.eu/images/VN000HZCBLK-HERO/1" TargetMode="External"/><Relationship Id="rId1073" Type="http://schemas.openxmlformats.org/officeDocument/2006/relationships/hyperlink" Target="https://assets.vans.eu/images/VN000D4N2B6-HERO/1" TargetMode="External"/><Relationship Id="rId1280" Type="http://schemas.openxmlformats.org/officeDocument/2006/relationships/hyperlink" Target="https://assets.vans.eu/images/VN000EE1I6Y-HERO/1" TargetMode="External"/><Relationship Id="rId2124" Type="http://schemas.openxmlformats.org/officeDocument/2006/relationships/hyperlink" Target="https://assets.vans.eu/images/VN000M9DBLK-HERO/1" TargetMode="External"/><Relationship Id="rId2331" Type="http://schemas.openxmlformats.org/officeDocument/2006/relationships/hyperlink" Target="https://assets.vans.eu/images/VN000R15FS8-HERO/1" TargetMode="External"/><Relationship Id="rId303" Type="http://schemas.openxmlformats.org/officeDocument/2006/relationships/hyperlink" Target="https://assets.vans.eu/images/VN000QQWFLM-HERO/1" TargetMode="External"/><Relationship Id="rId1140" Type="http://schemas.openxmlformats.org/officeDocument/2006/relationships/hyperlink" Target="https://assets.vans.eu/images/VN000MBCWHT-HERO/1" TargetMode="External"/><Relationship Id="rId4089" Type="http://schemas.openxmlformats.org/officeDocument/2006/relationships/hyperlink" Target="https://assets.vans.eu/images/VN000D1HPRP-HERO/1" TargetMode="External"/><Relationship Id="rId4296" Type="http://schemas.openxmlformats.org/officeDocument/2006/relationships/hyperlink" Target="https://assets.vans.eu/images/VN000D5VZRY-HERO/1" TargetMode="External"/><Relationship Id="rId510" Type="http://schemas.openxmlformats.org/officeDocument/2006/relationships/hyperlink" Target="https://assets.vans.eu/images/VN0008KUBML-HERO/1" TargetMode="External"/><Relationship Id="rId1000" Type="http://schemas.openxmlformats.org/officeDocument/2006/relationships/hyperlink" Target="https://assets.vans.eu/images/VN000M6XC9F-HERO/1" TargetMode="External"/><Relationship Id="rId1957" Type="http://schemas.openxmlformats.org/officeDocument/2006/relationships/hyperlink" Target="https://assets.vans.eu/images/VN000DAQTWH-HERO/1" TargetMode="External"/><Relationship Id="rId4156" Type="http://schemas.openxmlformats.org/officeDocument/2006/relationships/hyperlink" Target="https://assets.vans.eu/images/VN000D22BZW-HERO/1" TargetMode="External"/><Relationship Id="rId4363" Type="http://schemas.openxmlformats.org/officeDocument/2006/relationships/hyperlink" Target="https://assets.vans.eu/images/VN000D6W203-HERO/1" TargetMode="External"/><Relationship Id="rId4570" Type="http://schemas.openxmlformats.org/officeDocument/2006/relationships/hyperlink" Target="https://assets.vans.eu/images/VN000DARF87-HERO/1" TargetMode="External"/><Relationship Id="rId1817" Type="http://schemas.openxmlformats.org/officeDocument/2006/relationships/hyperlink" Target="https://assets.vans.eu/images/VN000BVXKAQ-HERO/1" TargetMode="External"/><Relationship Id="rId3172" Type="http://schemas.openxmlformats.org/officeDocument/2006/relationships/hyperlink" Target="https://assets.vans.eu/images/VN000M9SRV2-HERO/1" TargetMode="External"/><Relationship Id="rId4016" Type="http://schemas.openxmlformats.org/officeDocument/2006/relationships/hyperlink" Target="https://assets.vans.eu/images/VN000CZHPRM-HERO/1" TargetMode="External"/><Relationship Id="rId4223" Type="http://schemas.openxmlformats.org/officeDocument/2006/relationships/hyperlink" Target="https://assets.vans.eu/images/VN000D3MJDU-HERO/1" TargetMode="External"/><Relationship Id="rId4430" Type="http://schemas.openxmlformats.org/officeDocument/2006/relationships/hyperlink" Target="https://assets.vans.eu/images/VN000D7Z6N0-HERO/1" TargetMode="External"/><Relationship Id="rId3032" Type="http://schemas.openxmlformats.org/officeDocument/2006/relationships/hyperlink" Target="https://assets.vans.eu/images/VN000HZBYEH-HERO/1" TargetMode="External"/><Relationship Id="rId160" Type="http://schemas.openxmlformats.org/officeDocument/2006/relationships/hyperlink" Target="https://assets.vans.eu/images/VN000ND652K-HERO/1" TargetMode="External"/><Relationship Id="rId3989" Type="http://schemas.openxmlformats.org/officeDocument/2006/relationships/hyperlink" Target="https://assets.vans.eu/images/VN000CYU4QU-HERO/1" TargetMode="External"/><Relationship Id="rId2798" Type="http://schemas.openxmlformats.org/officeDocument/2006/relationships/hyperlink" Target="https://assets.vans.eu/images/VN000ED2YS5-HERO/1" TargetMode="External"/><Relationship Id="rId3849" Type="http://schemas.openxmlformats.org/officeDocument/2006/relationships/hyperlink" Target="https://assets.vans.eu/images/VN000CTGRV2-HERO/1" TargetMode="External"/><Relationship Id="rId5064" Type="http://schemas.openxmlformats.org/officeDocument/2006/relationships/hyperlink" Target="https://assets.vans.eu/images/VN0A5HF8PWT-HERO/1" TargetMode="External"/><Relationship Id="rId977" Type="http://schemas.openxmlformats.org/officeDocument/2006/relationships/hyperlink" Target="https://assets.vans.eu/images/VN000EZ1CG4-HERO/1" TargetMode="External"/><Relationship Id="rId2658" Type="http://schemas.openxmlformats.org/officeDocument/2006/relationships/hyperlink" Target="https://assets.vans.eu/images/VN000D6FEME-HERO/1" TargetMode="External"/><Relationship Id="rId2865" Type="http://schemas.openxmlformats.org/officeDocument/2006/relationships/hyperlink" Target="https://assets.vans.eu/images/VN000F0XBLK-HERO/1" TargetMode="External"/><Relationship Id="rId3709" Type="http://schemas.openxmlformats.org/officeDocument/2006/relationships/hyperlink" Target="https://assets.vans.eu/images/VN0007Q3EMY-HERO/1" TargetMode="External"/><Relationship Id="rId3916" Type="http://schemas.openxmlformats.org/officeDocument/2006/relationships/hyperlink" Target="https://assets.vans.eu/images/VN000CVULBR-HERO/1" TargetMode="External"/><Relationship Id="rId4080" Type="http://schemas.openxmlformats.org/officeDocument/2006/relationships/hyperlink" Target="https://assets.vans.eu/images/VN000D1H7VF-HERO/1" TargetMode="External"/><Relationship Id="rId837" Type="http://schemas.openxmlformats.org/officeDocument/2006/relationships/hyperlink" Target="https://assets.vans.eu/images/VN000CYAYLZ-HERO/1" TargetMode="External"/><Relationship Id="rId1467" Type="http://schemas.openxmlformats.org/officeDocument/2006/relationships/hyperlink" Target="https://assets.vans.eu/images/VN000CVM7YO-HERO/1" TargetMode="External"/><Relationship Id="rId1674" Type="http://schemas.openxmlformats.org/officeDocument/2006/relationships/hyperlink" Target="https://assets.vans.eu/images/VN000MKQFS8-HERO/1" TargetMode="External"/><Relationship Id="rId1881" Type="http://schemas.openxmlformats.org/officeDocument/2006/relationships/hyperlink" Target="https://assets.vans.eu/images/VN000D26PWT-HERO/1" TargetMode="External"/><Relationship Id="rId2518" Type="http://schemas.openxmlformats.org/officeDocument/2006/relationships/hyperlink" Target="https://assets.vans.eu/images/VN000CYPBML-HERO/1" TargetMode="External"/><Relationship Id="rId2725" Type="http://schemas.openxmlformats.org/officeDocument/2006/relationships/hyperlink" Target="https://assets.vans.eu/images/VN000DA1Z34-HERO/1" TargetMode="External"/><Relationship Id="rId2932" Type="http://schemas.openxmlformats.org/officeDocument/2006/relationships/hyperlink" Target="https://assets.vans.eu/images/VN0008N6EMU-HERO/1" TargetMode="External"/><Relationship Id="rId904" Type="http://schemas.openxmlformats.org/officeDocument/2006/relationships/hyperlink" Target="https://assets.vans.eu/images/VN000Q67EMX-HERO/1" TargetMode="External"/><Relationship Id="rId1327" Type="http://schemas.openxmlformats.org/officeDocument/2006/relationships/hyperlink" Target="https://assets.vans.eu/images/VN000M2ABLK-HERO/1" TargetMode="External"/><Relationship Id="rId1534" Type="http://schemas.openxmlformats.org/officeDocument/2006/relationships/hyperlink" Target="https://assets.vans.eu/images/VN000DA2B9M-HERO/1" TargetMode="External"/><Relationship Id="rId1741" Type="http://schemas.openxmlformats.org/officeDocument/2006/relationships/hyperlink" Target="https://assets.vans.eu/images/VN000PQWEMF-HERO/1" TargetMode="External"/><Relationship Id="rId4897" Type="http://schemas.openxmlformats.org/officeDocument/2006/relationships/hyperlink" Target="https://assets.vans.eu/images/VN0A2Z348YG-HERO/1" TargetMode="External"/><Relationship Id="rId33" Type="http://schemas.openxmlformats.org/officeDocument/2006/relationships/hyperlink" Target="https://assets.vans.eu/images/VN000QBGWHT-HERO/1" TargetMode="External"/><Relationship Id="rId1601" Type="http://schemas.openxmlformats.org/officeDocument/2006/relationships/hyperlink" Target="https://assets.vans.eu/images/VN00000D1LE-HERO/1" TargetMode="External"/><Relationship Id="rId3499" Type="http://schemas.openxmlformats.org/officeDocument/2006/relationships/hyperlink" Target="https://assets.vans.eu/images/VN000Q0PEMP-HERO/1" TargetMode="External"/><Relationship Id="rId4757" Type="http://schemas.openxmlformats.org/officeDocument/2006/relationships/hyperlink" Target="https://assets.vans.eu/images/VN0A5FCDGPE-HERO/1" TargetMode="External"/><Relationship Id="rId3359" Type="http://schemas.openxmlformats.org/officeDocument/2006/relationships/hyperlink" Target="https://assets.vans.eu/images/VN000PCAWHT-HERO/1" TargetMode="External"/><Relationship Id="rId3566" Type="http://schemas.openxmlformats.org/officeDocument/2006/relationships/hyperlink" Target="https://assets.vans.eu/images/VN000RAP5TU-HERO/1" TargetMode="External"/><Relationship Id="rId4964" Type="http://schemas.openxmlformats.org/officeDocument/2006/relationships/hyperlink" Target="https://assets.vans.eu/images/VN000D5RZHJ-HERO/1" TargetMode="External"/><Relationship Id="rId487" Type="http://schemas.openxmlformats.org/officeDocument/2006/relationships/hyperlink" Target="https://assets.vans.eu/images/VN0A5FLPBLK-HERO/1" TargetMode="External"/><Relationship Id="rId694" Type="http://schemas.openxmlformats.org/officeDocument/2006/relationships/hyperlink" Target="https://assets.vans.eu/images/VN000E8CGMU-HERO/1" TargetMode="External"/><Relationship Id="rId2168" Type="http://schemas.openxmlformats.org/officeDocument/2006/relationships/hyperlink" Target="https://assets.vans.eu/images/VN000NZDC9L-HERO/1" TargetMode="External"/><Relationship Id="rId2375" Type="http://schemas.openxmlformats.org/officeDocument/2006/relationships/hyperlink" Target="https://assets.vans.eu/images/VN0A3W76EMY-HERO/1" TargetMode="External"/><Relationship Id="rId3219" Type="http://schemas.openxmlformats.org/officeDocument/2006/relationships/hyperlink" Target="https://assets.vans.eu/images/VN000MKYWHT-HERO/1" TargetMode="External"/><Relationship Id="rId3773" Type="http://schemas.openxmlformats.org/officeDocument/2006/relationships/hyperlink" Target="https://assets.vans.eu/images/VN000CP6GRY-HERO/1" TargetMode="External"/><Relationship Id="rId3980" Type="http://schemas.openxmlformats.org/officeDocument/2006/relationships/hyperlink" Target="https://assets.vans.eu/images/VN000CYAGRN-HERO/1" TargetMode="External"/><Relationship Id="rId4617" Type="http://schemas.openxmlformats.org/officeDocument/2006/relationships/hyperlink" Target="https://assets.vans.eu/images/VN000E8WCJK-HERO/1" TargetMode="External"/><Relationship Id="rId4824" Type="http://schemas.openxmlformats.org/officeDocument/2006/relationships/hyperlink" Target="https://assets.vans.eu/images/VN000CVVSR6-HERO/1" TargetMode="External"/><Relationship Id="rId347" Type="http://schemas.openxmlformats.org/officeDocument/2006/relationships/hyperlink" Target="https://assets.vans.eu/images/VN000HZBBLK-HERO/1" TargetMode="External"/><Relationship Id="rId1184" Type="http://schemas.openxmlformats.org/officeDocument/2006/relationships/hyperlink" Target="https://assets.vans.eu/images/VN000PQWBLK-HERO/1" TargetMode="External"/><Relationship Id="rId2028" Type="http://schemas.openxmlformats.org/officeDocument/2006/relationships/hyperlink" Target="https://assets.vans.eu/images/VN0A7S9EZMK-HERO/1" TargetMode="External"/><Relationship Id="rId2582" Type="http://schemas.openxmlformats.org/officeDocument/2006/relationships/hyperlink" Target="https://assets.vans.eu/images/VN000D1JBRO-HERO/1" TargetMode="External"/><Relationship Id="rId3426" Type="http://schemas.openxmlformats.org/officeDocument/2006/relationships/hyperlink" Target="https://assets.vans.eu/images/VN000PKSBLK-HERO/1" TargetMode="External"/><Relationship Id="rId3633" Type="http://schemas.openxmlformats.org/officeDocument/2006/relationships/hyperlink" Target="https://assets.vans.eu/images/VN0A3WF1BLK-HERO/1" TargetMode="External"/><Relationship Id="rId3840" Type="http://schemas.openxmlformats.org/officeDocument/2006/relationships/hyperlink" Target="https://assets.vans.eu/images/VN000CTG1NU-HERO/1" TargetMode="External"/><Relationship Id="rId554" Type="http://schemas.openxmlformats.org/officeDocument/2006/relationships/hyperlink" Target="https://assets.vans.eu/images/VN000NWP1O7-HERO/1" TargetMode="External"/><Relationship Id="rId761" Type="http://schemas.openxmlformats.org/officeDocument/2006/relationships/hyperlink" Target="https://assets.vans.eu/images/VN000D7JCKP-HERO/1" TargetMode="External"/><Relationship Id="rId1391" Type="http://schemas.openxmlformats.org/officeDocument/2006/relationships/hyperlink" Target="https://assets.vans.eu/images/VN000PTGEN7-HERO/1" TargetMode="External"/><Relationship Id="rId2235" Type="http://schemas.openxmlformats.org/officeDocument/2006/relationships/hyperlink" Target="https://assets.vans.eu/images/VN000PGMEMU-HERO/1" TargetMode="External"/><Relationship Id="rId2442" Type="http://schemas.openxmlformats.org/officeDocument/2006/relationships/hyperlink" Target="https://assets.vans.eu/images/VN000CQ0BLK-HERO/1" TargetMode="External"/><Relationship Id="rId3700" Type="http://schemas.openxmlformats.org/officeDocument/2006/relationships/hyperlink" Target="https://assets.vans.eu/images/VN0007NKYEH-HERO/1" TargetMode="External"/><Relationship Id="rId207" Type="http://schemas.openxmlformats.org/officeDocument/2006/relationships/hyperlink" Target="https://assets.vans.eu/images/VN000RCEFCT-HERO/1" TargetMode="External"/><Relationship Id="rId414" Type="http://schemas.openxmlformats.org/officeDocument/2006/relationships/hyperlink" Target="https://assets.vans.eu/images/VN000PFBBRR-HERO/1" TargetMode="External"/><Relationship Id="rId621" Type="http://schemas.openxmlformats.org/officeDocument/2006/relationships/hyperlink" Target="https://assets.vans.eu/images/VN001098NVY-HERO/1" TargetMode="External"/><Relationship Id="rId1044" Type="http://schemas.openxmlformats.org/officeDocument/2006/relationships/hyperlink" Target="https://assets.vans.eu/images/VN000RG0EML-HERO/1" TargetMode="External"/><Relationship Id="rId1251" Type="http://schemas.openxmlformats.org/officeDocument/2006/relationships/hyperlink" Target="https://assets.vans.eu/images/VN000D4N208-HERO/1" TargetMode="External"/><Relationship Id="rId2302" Type="http://schemas.openxmlformats.org/officeDocument/2006/relationships/hyperlink" Target="https://assets.vans.eu/images/VN000PWXEMW-HERO/1" TargetMode="External"/><Relationship Id="rId1111" Type="http://schemas.openxmlformats.org/officeDocument/2006/relationships/hyperlink" Target="https://assets.vans.eu/images/VN0A48HDD45-HERO/1" TargetMode="External"/><Relationship Id="rId4267" Type="http://schemas.openxmlformats.org/officeDocument/2006/relationships/hyperlink" Target="https://assets.vans.eu/images/VN000D5IBKA-HERO/1" TargetMode="External"/><Relationship Id="rId4474" Type="http://schemas.openxmlformats.org/officeDocument/2006/relationships/hyperlink" Target="https://assets.vans.eu/images/VN000D9ACJ7-HERO/1" TargetMode="External"/><Relationship Id="rId4681" Type="http://schemas.openxmlformats.org/officeDocument/2006/relationships/hyperlink" Target="https://assets.vans.eu/images/VN000VA6DRT-HERO/1" TargetMode="External"/><Relationship Id="rId3076" Type="http://schemas.openxmlformats.org/officeDocument/2006/relationships/hyperlink" Target="https://assets.vans.eu/images/VN000JY4BLK-HERO/1" TargetMode="External"/><Relationship Id="rId3283" Type="http://schemas.openxmlformats.org/officeDocument/2006/relationships/hyperlink" Target="https://assets.vans.eu/images/VN000P56CHG-HERO/1" TargetMode="External"/><Relationship Id="rId3490" Type="http://schemas.openxmlformats.org/officeDocument/2006/relationships/hyperlink" Target="https://assets.vans.eu/images/VN000PXTBLK-HERO/1" TargetMode="External"/><Relationship Id="rId4127" Type="http://schemas.openxmlformats.org/officeDocument/2006/relationships/hyperlink" Target="https://assets.vans.eu/images/VN000D1JOVM-HERO/1" TargetMode="External"/><Relationship Id="rId4334" Type="http://schemas.openxmlformats.org/officeDocument/2006/relationships/hyperlink" Target="https://assets.vans.eu/images/VN000D6FEME-HERO/1" TargetMode="External"/><Relationship Id="rId4541" Type="http://schemas.openxmlformats.org/officeDocument/2006/relationships/hyperlink" Target="https://assets.vans.eu/images/VN000DAMLM3-HERO/1" TargetMode="External"/><Relationship Id="rId1928" Type="http://schemas.openxmlformats.org/officeDocument/2006/relationships/hyperlink" Target="https://assets.vans.eu/images/VN000D6YEZI-HERO/1" TargetMode="External"/><Relationship Id="rId2092" Type="http://schemas.openxmlformats.org/officeDocument/2006/relationships/hyperlink" Target="https://assets.vans.eu/images/VN000K98EN6-HERO/1" TargetMode="External"/><Relationship Id="rId3143" Type="http://schemas.openxmlformats.org/officeDocument/2006/relationships/hyperlink" Target="https://assets.vans.eu/images/VN000M6RWHT-HERO/1" TargetMode="External"/><Relationship Id="rId3350" Type="http://schemas.openxmlformats.org/officeDocument/2006/relationships/hyperlink" Target="https://assets.vans.eu/images/VN000PBX6JL-HERO/1" TargetMode="External"/><Relationship Id="rId271" Type="http://schemas.openxmlformats.org/officeDocument/2006/relationships/hyperlink" Target="https://assets.vans.eu/images/VN000HZABLK-HERO/1" TargetMode="External"/><Relationship Id="rId3003" Type="http://schemas.openxmlformats.org/officeDocument/2006/relationships/hyperlink" Target="https://assets.vans.eu/images/VN000HMQJDU-HERO/1" TargetMode="External"/><Relationship Id="rId4401" Type="http://schemas.openxmlformats.org/officeDocument/2006/relationships/hyperlink" Target="https://assets.vans.eu/images/VN000D6ZCHW-HERO/1" TargetMode="External"/><Relationship Id="rId131" Type="http://schemas.openxmlformats.org/officeDocument/2006/relationships/hyperlink" Target="https://assets.vans.eu/images/VN000V68B5P-HERO/1" TargetMode="External"/><Relationship Id="rId3210" Type="http://schemas.openxmlformats.org/officeDocument/2006/relationships/hyperlink" Target="https://assets.vans.eu/images/VN000MJTLVB-HERO/1" TargetMode="External"/><Relationship Id="rId2769" Type="http://schemas.openxmlformats.org/officeDocument/2006/relationships/hyperlink" Target="https://assets.vans.eu/images/VN000DCEBRD-HERO/1" TargetMode="External"/><Relationship Id="rId2976" Type="http://schemas.openxmlformats.org/officeDocument/2006/relationships/hyperlink" Target="https://assets.vans.eu/images/VN000GGGEAY-HERO/1" TargetMode="External"/><Relationship Id="rId948" Type="http://schemas.openxmlformats.org/officeDocument/2006/relationships/hyperlink" Target="https://assets.vans.eu/images/VN000D111KP-HERO/1" TargetMode="External"/><Relationship Id="rId1578" Type="http://schemas.openxmlformats.org/officeDocument/2006/relationships/hyperlink" Target="https://assets.vans.eu/images/VN000HEARNE-HERO/1" TargetMode="External"/><Relationship Id="rId1785" Type="http://schemas.openxmlformats.org/officeDocument/2006/relationships/hyperlink" Target="https://assets.vans.eu/images/VN000R52FS8-HERO/1" TargetMode="External"/><Relationship Id="rId1992" Type="http://schemas.openxmlformats.org/officeDocument/2006/relationships/hyperlink" Target="https://assets.vans.eu/images/VN0A3TKN6BT-HERO/1" TargetMode="External"/><Relationship Id="rId2629" Type="http://schemas.openxmlformats.org/officeDocument/2006/relationships/hyperlink" Target="https://assets.vans.eu/images/VN000D5RBRG-HERO/1" TargetMode="External"/><Relationship Id="rId2836" Type="http://schemas.openxmlformats.org/officeDocument/2006/relationships/hyperlink" Target="https://assets.vans.eu/images/VN0A5FCAPIB-HERO/1" TargetMode="External"/><Relationship Id="rId4191" Type="http://schemas.openxmlformats.org/officeDocument/2006/relationships/hyperlink" Target="https://assets.vans.eu/images/VN000D26Z5D-HERO/1" TargetMode="External"/><Relationship Id="rId5035" Type="http://schemas.openxmlformats.org/officeDocument/2006/relationships/hyperlink" Target="https://assets.vans.eu/images/VN0A2Z3H1OU-HERO/1" TargetMode="External"/><Relationship Id="rId77" Type="http://schemas.openxmlformats.org/officeDocument/2006/relationships/hyperlink" Target="https://assets.vans.eu/images/VN0A38G1PHN-HERO/1" TargetMode="External"/><Relationship Id="rId808" Type="http://schemas.openxmlformats.org/officeDocument/2006/relationships/hyperlink" Target="https://assets.vans.eu/images/VN000PMHENB-HERO/1" TargetMode="External"/><Relationship Id="rId1438" Type="http://schemas.openxmlformats.org/officeDocument/2006/relationships/hyperlink" Target="https://assets.vans.eu/images/VN000BCE2N1-HERO/1" TargetMode="External"/><Relationship Id="rId1645" Type="http://schemas.openxmlformats.org/officeDocument/2006/relationships/hyperlink" Target="https://assets.vans.eu/images/VN000KTBEMF-HERO/1" TargetMode="External"/><Relationship Id="rId4051" Type="http://schemas.openxmlformats.org/officeDocument/2006/relationships/hyperlink" Target="https://assets.vans.eu/images/VN000D1011E-HERO/1" TargetMode="External"/><Relationship Id="rId1852" Type="http://schemas.openxmlformats.org/officeDocument/2006/relationships/hyperlink" Target="https://assets.vans.eu/images/VN000CYUEN6-HERO/1" TargetMode="External"/><Relationship Id="rId2903" Type="http://schemas.openxmlformats.org/officeDocument/2006/relationships/hyperlink" Target="https://assets.vans.eu/images/VN0A47XCBLK-HERO/1" TargetMode="External"/><Relationship Id="rId1505" Type="http://schemas.openxmlformats.org/officeDocument/2006/relationships/hyperlink" Target="https://assets.vans.eu/images/VN000D4NDJR-HERO/1" TargetMode="External"/><Relationship Id="rId1712" Type="http://schemas.openxmlformats.org/officeDocument/2006/relationships/hyperlink" Target="https://assets.vans.eu/images/VN000PEYF0D-HERO/1" TargetMode="External"/><Relationship Id="rId4868" Type="http://schemas.openxmlformats.org/officeDocument/2006/relationships/hyperlink" Target="https://assets.vans.eu/images/VN0A5KQZYY4-HERO/1" TargetMode="External"/><Relationship Id="rId3677" Type="http://schemas.openxmlformats.org/officeDocument/2006/relationships/hyperlink" Target="https://assets.vans.eu/images/VN0A7YUTJCN-HERO/1" TargetMode="External"/><Relationship Id="rId3884" Type="http://schemas.openxmlformats.org/officeDocument/2006/relationships/hyperlink" Target="https://assets.vans.eu/images/VN000CVT0BU-HERO/1" TargetMode="External"/><Relationship Id="rId4728" Type="http://schemas.openxmlformats.org/officeDocument/2006/relationships/hyperlink" Target="https://assets.vans.eu/images/VN0A4U1KSQ7-HERO/1" TargetMode="External"/><Relationship Id="rId4935" Type="http://schemas.openxmlformats.org/officeDocument/2006/relationships/hyperlink" Target="https://assets.vans.eu/images/VN000D1GA2T-HERO/1" TargetMode="External"/><Relationship Id="rId598" Type="http://schemas.openxmlformats.org/officeDocument/2006/relationships/hyperlink" Target="https://assets.vans.eu/images/VN000J79BLK-HERO/1" TargetMode="External"/><Relationship Id="rId2279" Type="http://schemas.openxmlformats.org/officeDocument/2006/relationships/hyperlink" Target="https://assets.vans.eu/images/VN000PPJ02F-HERO/1" TargetMode="External"/><Relationship Id="rId2486" Type="http://schemas.openxmlformats.org/officeDocument/2006/relationships/hyperlink" Target="https://assets.vans.eu/images/VN000CVUBLK-HERO/1" TargetMode="External"/><Relationship Id="rId2693" Type="http://schemas.openxmlformats.org/officeDocument/2006/relationships/hyperlink" Target="https://assets.vans.eu/images/VN000D6ZORA-HERO/1" TargetMode="External"/><Relationship Id="rId3537" Type="http://schemas.openxmlformats.org/officeDocument/2006/relationships/hyperlink" Target="https://assets.vans.eu/images/VN000QN8Y28-HERO/1" TargetMode="External"/><Relationship Id="rId3744" Type="http://schemas.openxmlformats.org/officeDocument/2006/relationships/hyperlink" Target="https://assets.vans.eu/images/VN000BCERP9-HERO/1" TargetMode="External"/><Relationship Id="rId3951" Type="http://schemas.openxmlformats.org/officeDocument/2006/relationships/hyperlink" Target="https://assets.vans.eu/images/VN000CVVOLV-HERO/1" TargetMode="External"/><Relationship Id="rId458" Type="http://schemas.openxmlformats.org/officeDocument/2006/relationships/hyperlink" Target="https://assets.vans.eu/images/VN000D9ACJ7-HERO/1" TargetMode="External"/><Relationship Id="rId665" Type="http://schemas.openxmlformats.org/officeDocument/2006/relationships/hyperlink" Target="https://assets.vans.eu/images/VN000PXG02F-HERO/1" TargetMode="External"/><Relationship Id="rId872" Type="http://schemas.openxmlformats.org/officeDocument/2006/relationships/hyperlink" Target="https://assets.vans.eu/images/VN000GGGYB2-HERO/1" TargetMode="External"/><Relationship Id="rId1088" Type="http://schemas.openxmlformats.org/officeDocument/2006/relationships/hyperlink" Target="https://assets.vans.eu/images/VN000EFBYY6-HERO/1" TargetMode="External"/><Relationship Id="rId1295" Type="http://schemas.openxmlformats.org/officeDocument/2006/relationships/hyperlink" Target="https://assets.vans.eu/images/VN000QB8EMU-HERO/1" TargetMode="External"/><Relationship Id="rId2139" Type="http://schemas.openxmlformats.org/officeDocument/2006/relationships/hyperlink" Target="https://assets.vans.eu/images/VN000MB3ZBF-HERO/1" TargetMode="External"/><Relationship Id="rId2346" Type="http://schemas.openxmlformats.org/officeDocument/2006/relationships/hyperlink" Target="https://assets.vans.eu/images/VN000RD1O32-HERO/1" TargetMode="External"/><Relationship Id="rId2553" Type="http://schemas.openxmlformats.org/officeDocument/2006/relationships/hyperlink" Target="https://assets.vans.eu/images/VN000D0MKCZ-HERO/1" TargetMode="External"/><Relationship Id="rId2760" Type="http://schemas.openxmlformats.org/officeDocument/2006/relationships/hyperlink" Target="https://assets.vans.eu/images/VN000DAYF87-HERO/1" TargetMode="External"/><Relationship Id="rId3604" Type="http://schemas.openxmlformats.org/officeDocument/2006/relationships/hyperlink" Target="https://assets.vans.eu/images/VN000SN0JDU-HERO/1" TargetMode="External"/><Relationship Id="rId3811" Type="http://schemas.openxmlformats.org/officeDocument/2006/relationships/hyperlink" Target="https://assets.vans.eu/images/VN000CQRYLW-HERO/1" TargetMode="External"/><Relationship Id="rId318" Type="http://schemas.openxmlformats.org/officeDocument/2006/relationships/hyperlink" Target="https://assets.vans.eu/images/VN000D4M239-HERO/1" TargetMode="External"/><Relationship Id="rId525" Type="http://schemas.openxmlformats.org/officeDocument/2006/relationships/hyperlink" Target="https://assets.vans.eu/images/VN0005V8BLK-HERO/1" TargetMode="External"/><Relationship Id="rId732" Type="http://schemas.openxmlformats.org/officeDocument/2006/relationships/hyperlink" Target="https://assets.vans.eu/images/VN000R05WHT-HERO/1" TargetMode="External"/><Relationship Id="rId1155" Type="http://schemas.openxmlformats.org/officeDocument/2006/relationships/hyperlink" Target="https://assets.vans.eu/images/VN000P73Y28-HERO/1" TargetMode="External"/><Relationship Id="rId1362" Type="http://schemas.openxmlformats.org/officeDocument/2006/relationships/hyperlink" Target="https://assets.vans.eu/images/VN000P5WCFL-HERO/1" TargetMode="External"/><Relationship Id="rId2206" Type="http://schemas.openxmlformats.org/officeDocument/2006/relationships/hyperlink" Target="https://assets.vans.eu/images/VN000PA6BLK-HERO/1" TargetMode="External"/><Relationship Id="rId2413" Type="http://schemas.openxmlformats.org/officeDocument/2006/relationships/hyperlink" Target="https://assets.vans.eu/images/VN0009PZDRV-HERO/1" TargetMode="External"/><Relationship Id="rId2620" Type="http://schemas.openxmlformats.org/officeDocument/2006/relationships/hyperlink" Target="https://assets.vans.eu/images/VN000D5D17P-HERO/1" TargetMode="External"/><Relationship Id="rId1015" Type="http://schemas.openxmlformats.org/officeDocument/2006/relationships/hyperlink" Target="https://assets.vans.eu/images/VN000P8MEMW-HERO/1" TargetMode="External"/><Relationship Id="rId1222" Type="http://schemas.openxmlformats.org/officeDocument/2006/relationships/hyperlink" Target="https://assets.vans.eu/images/VN000CVTBGF-HERO/1" TargetMode="External"/><Relationship Id="rId4378" Type="http://schemas.openxmlformats.org/officeDocument/2006/relationships/hyperlink" Target="https://assets.vans.eu/images/VN000D6WEMW-HERO/1" TargetMode="External"/><Relationship Id="rId4585" Type="http://schemas.openxmlformats.org/officeDocument/2006/relationships/hyperlink" Target="https://assets.vans.eu/images/VN000DB3D3X-HERO/1" TargetMode="External"/><Relationship Id="rId3187" Type="http://schemas.openxmlformats.org/officeDocument/2006/relationships/hyperlink" Target="https://assets.vans.eu/images/VN000MB3ZBF-HERO/1" TargetMode="External"/><Relationship Id="rId3394" Type="http://schemas.openxmlformats.org/officeDocument/2006/relationships/hyperlink" Target="https://assets.vans.eu/images/VN000PFBF2L-HERO/1" TargetMode="External"/><Relationship Id="rId4238" Type="http://schemas.openxmlformats.org/officeDocument/2006/relationships/hyperlink" Target="https://assets.vans.eu/images/VN000D45NWH-HERO/1" TargetMode="External"/><Relationship Id="rId4792" Type="http://schemas.openxmlformats.org/officeDocument/2006/relationships/hyperlink" Target="https://assets.vans.eu/images/VN0A5KY5BA2-HERO/1" TargetMode="External"/><Relationship Id="rId3047" Type="http://schemas.openxmlformats.org/officeDocument/2006/relationships/hyperlink" Target="https://assets.vans.eu/images/VN000J7GBLK-HERO/1" TargetMode="External"/><Relationship Id="rId4445" Type="http://schemas.openxmlformats.org/officeDocument/2006/relationships/hyperlink" Target="https://assets.vans.eu/images/VN000D7ZYJ7-HERO/1" TargetMode="External"/><Relationship Id="rId4652" Type="http://schemas.openxmlformats.org/officeDocument/2006/relationships/hyperlink" Target="https://assets.vans.eu/images/VN000EDNAH9-HERO/1" TargetMode="External"/><Relationship Id="rId175" Type="http://schemas.openxmlformats.org/officeDocument/2006/relationships/hyperlink" Target="https://assets.vans.eu/images/VN0001TTBLK-HERO/1" TargetMode="External"/><Relationship Id="rId3254" Type="http://schemas.openxmlformats.org/officeDocument/2006/relationships/hyperlink" Target="https://assets.vans.eu/images/VN000P1PRNE-HERO/1" TargetMode="External"/><Relationship Id="rId3461" Type="http://schemas.openxmlformats.org/officeDocument/2006/relationships/hyperlink" Target="https://assets.vans.eu/images/VN000PR3EN9-HERO/1" TargetMode="External"/><Relationship Id="rId4305" Type="http://schemas.openxmlformats.org/officeDocument/2006/relationships/hyperlink" Target="https://assets.vans.eu/images/VN000D60JLN-HERO/1" TargetMode="External"/><Relationship Id="rId4512" Type="http://schemas.openxmlformats.org/officeDocument/2006/relationships/hyperlink" Target="https://assets.vans.eu/images/VN000DA1B5T-HERO/1" TargetMode="External"/><Relationship Id="rId382" Type="http://schemas.openxmlformats.org/officeDocument/2006/relationships/hyperlink" Target="https://assets.vans.eu/images/VN000CS5PIB-HERO/1" TargetMode="External"/><Relationship Id="rId2063" Type="http://schemas.openxmlformats.org/officeDocument/2006/relationships/hyperlink" Target="https://assets.vans.eu/images/VN000HU0QID-HERO/1" TargetMode="External"/><Relationship Id="rId2270" Type="http://schemas.openxmlformats.org/officeDocument/2006/relationships/hyperlink" Target="https://assets.vans.eu/images/VN000PMFENB-HERO/1" TargetMode="External"/><Relationship Id="rId3114" Type="http://schemas.openxmlformats.org/officeDocument/2006/relationships/hyperlink" Target="https://assets.vans.eu/images/VN000KYVBYS-HERO/1" TargetMode="External"/><Relationship Id="rId3321" Type="http://schemas.openxmlformats.org/officeDocument/2006/relationships/hyperlink" Target="https://assets.vans.eu/images/VN000P88BLK-HERO/1" TargetMode="External"/><Relationship Id="rId242" Type="http://schemas.openxmlformats.org/officeDocument/2006/relationships/hyperlink" Target="https://assets.vans.eu/images/VN000CTGYJ7-HERO/1" TargetMode="External"/><Relationship Id="rId2130" Type="http://schemas.openxmlformats.org/officeDocument/2006/relationships/hyperlink" Target="https://assets.vans.eu/images/VN000M9SRV2-HERO/1" TargetMode="External"/><Relationship Id="rId102" Type="http://schemas.openxmlformats.org/officeDocument/2006/relationships/hyperlink" Target="https://assets.vans.eu/images/VN000QBGBLK-HERO/1" TargetMode="External"/><Relationship Id="rId1689" Type="http://schemas.openxmlformats.org/officeDocument/2006/relationships/hyperlink" Target="https://assets.vans.eu/images/VN000P1S1QI-HERO/1" TargetMode="External"/><Relationship Id="rId4095" Type="http://schemas.openxmlformats.org/officeDocument/2006/relationships/hyperlink" Target="https://assets.vans.eu/images/VN000D1J4VT-HERO/1" TargetMode="External"/><Relationship Id="rId1896" Type="http://schemas.openxmlformats.org/officeDocument/2006/relationships/hyperlink" Target="https://assets.vans.eu/images/VN000D4NKCZ-HERO/1" TargetMode="External"/><Relationship Id="rId2947" Type="http://schemas.openxmlformats.org/officeDocument/2006/relationships/hyperlink" Target="https://assets.vans.eu/images/VN000G3WWHT-HERO/1" TargetMode="External"/><Relationship Id="rId4162" Type="http://schemas.openxmlformats.org/officeDocument/2006/relationships/hyperlink" Target="https://assets.vans.eu/images/VN000D22EMU-HERO/1" TargetMode="External"/><Relationship Id="rId5006" Type="http://schemas.openxmlformats.org/officeDocument/2006/relationships/hyperlink" Target="https://assets.vans.eu/images/VN000EKUBKA-HERO/1" TargetMode="External"/><Relationship Id="rId919" Type="http://schemas.openxmlformats.org/officeDocument/2006/relationships/hyperlink" Target="https://assets.vans.eu/images/VN000REFWHT-HERO/1" TargetMode="External"/><Relationship Id="rId1549" Type="http://schemas.openxmlformats.org/officeDocument/2006/relationships/hyperlink" Target="https://assets.vans.eu/images/VN000E9RG58-HERO/1" TargetMode="External"/><Relationship Id="rId1756" Type="http://schemas.openxmlformats.org/officeDocument/2006/relationships/hyperlink" Target="https://assets.vans.eu/images/VN000PX3EN6-HERO/1" TargetMode="External"/><Relationship Id="rId1963" Type="http://schemas.openxmlformats.org/officeDocument/2006/relationships/hyperlink" Target="https://assets.vans.eu/images/VN000E897WM-HERO/1" TargetMode="External"/><Relationship Id="rId2807" Type="http://schemas.openxmlformats.org/officeDocument/2006/relationships/hyperlink" Target="https://assets.vans.eu/images/VN000EDNAH9-HERO/1" TargetMode="External"/><Relationship Id="rId4022" Type="http://schemas.openxmlformats.org/officeDocument/2006/relationships/hyperlink" Target="https://assets.vans.eu/images/VN000D0ECI1-HERO/1" TargetMode="External"/><Relationship Id="rId48" Type="http://schemas.openxmlformats.org/officeDocument/2006/relationships/hyperlink" Target="https://assets.vans.eu/images/VN000V68B5P-HERO/1" TargetMode="External"/><Relationship Id="rId1409" Type="http://schemas.openxmlformats.org/officeDocument/2006/relationships/hyperlink" Target="https://assets.vans.eu/images/VN000Q77BLK-HERO/1" TargetMode="External"/><Relationship Id="rId1616" Type="http://schemas.openxmlformats.org/officeDocument/2006/relationships/hyperlink" Target="https://assets.vans.eu/images/VN000GGGYB2-HERO/1" TargetMode="External"/><Relationship Id="rId1823" Type="http://schemas.openxmlformats.org/officeDocument/2006/relationships/hyperlink" Target="https://assets.vans.eu/images/VN000CRRBJ4-HERO/1" TargetMode="External"/><Relationship Id="rId4979" Type="http://schemas.openxmlformats.org/officeDocument/2006/relationships/hyperlink" Target="https://assets.vans.eu/images/VN000D9ZRBG-HERO/1" TargetMode="External"/><Relationship Id="rId3788" Type="http://schemas.openxmlformats.org/officeDocument/2006/relationships/hyperlink" Target="https://assets.vans.eu/images/VN000CQ0EMY-HERO/1" TargetMode="External"/><Relationship Id="rId3995" Type="http://schemas.openxmlformats.org/officeDocument/2006/relationships/hyperlink" Target="https://assets.vans.eu/images/VN000CYUEN6-HERO/1" TargetMode="External"/><Relationship Id="rId4839" Type="http://schemas.openxmlformats.org/officeDocument/2006/relationships/hyperlink" Target="https://assets.vans.eu/images/VN000J9NCHG-HERO/1" TargetMode="External"/><Relationship Id="rId2597" Type="http://schemas.openxmlformats.org/officeDocument/2006/relationships/hyperlink" Target="https://assets.vans.eu/images/VN000D26DFN-HERO/1" TargetMode="External"/><Relationship Id="rId3648" Type="http://schemas.openxmlformats.org/officeDocument/2006/relationships/hyperlink" Target="https://assets.vans.eu/images/VN0A4CYYWHT-HERO/1" TargetMode="External"/><Relationship Id="rId3855" Type="http://schemas.openxmlformats.org/officeDocument/2006/relationships/hyperlink" Target="https://assets.vans.eu/images/VN000CTGZRY-HERO/1" TargetMode="External"/><Relationship Id="rId569" Type="http://schemas.openxmlformats.org/officeDocument/2006/relationships/hyperlink" Target="https://assets.vans.eu/images/VN000CVTWHP-HERO/1" TargetMode="External"/><Relationship Id="rId776" Type="http://schemas.openxmlformats.org/officeDocument/2006/relationships/hyperlink" Target="https://assets.vans.eu/images/VN000JEPBLK-HERO/1" TargetMode="External"/><Relationship Id="rId983" Type="http://schemas.openxmlformats.org/officeDocument/2006/relationships/hyperlink" Target="https://assets.vans.eu/images/VN000PKHBLK-HERO/1" TargetMode="External"/><Relationship Id="rId1199" Type="http://schemas.openxmlformats.org/officeDocument/2006/relationships/hyperlink" Target="https://assets.vans.eu/images/VN000RDFBLK-HERO/1" TargetMode="External"/><Relationship Id="rId2457" Type="http://schemas.openxmlformats.org/officeDocument/2006/relationships/hyperlink" Target="https://assets.vans.eu/images/VN000CQRCFL-HERO/1" TargetMode="External"/><Relationship Id="rId2664" Type="http://schemas.openxmlformats.org/officeDocument/2006/relationships/hyperlink" Target="https://assets.vans.eu/images/VN000D6SCJA-HERO/1" TargetMode="External"/><Relationship Id="rId3508" Type="http://schemas.openxmlformats.org/officeDocument/2006/relationships/hyperlink" Target="https://assets.vans.eu/images/VN000Q38BLK-HERO/1" TargetMode="External"/><Relationship Id="rId4906" Type="http://schemas.openxmlformats.org/officeDocument/2006/relationships/hyperlink" Target="https://assets.vans.eu/images/VN0A5KQZYY4-HERO/1" TargetMode="External"/><Relationship Id="rId5070" Type="http://schemas.openxmlformats.org/officeDocument/2006/relationships/hyperlink" Target="https://assets.vans.eu/images/VN0A5JIE1OJ-HERO/1" TargetMode="External"/><Relationship Id="rId429" Type="http://schemas.openxmlformats.org/officeDocument/2006/relationships/hyperlink" Target="https://assets.vans.eu/images/VN000QAXFS8-HERO/1" TargetMode="External"/><Relationship Id="rId636" Type="http://schemas.openxmlformats.org/officeDocument/2006/relationships/hyperlink" Target="https://assets.vans.eu/images/VN000DAQ1MG-HERO/1" TargetMode="External"/><Relationship Id="rId1059" Type="http://schemas.openxmlformats.org/officeDocument/2006/relationships/hyperlink" Target="https://assets.vans.eu/images/VN000CQRYLZ-HERO/1" TargetMode="External"/><Relationship Id="rId1266" Type="http://schemas.openxmlformats.org/officeDocument/2006/relationships/hyperlink" Target="https://assets.vans.eu/images/VN000D75Y28-HERO/1" TargetMode="External"/><Relationship Id="rId1473" Type="http://schemas.openxmlformats.org/officeDocument/2006/relationships/hyperlink" Target="https://assets.vans.eu/images/VN000CWEBLU-HERO/1" TargetMode="External"/><Relationship Id="rId2317" Type="http://schemas.openxmlformats.org/officeDocument/2006/relationships/hyperlink" Target="https://assets.vans.eu/images/VN000Q0ACDX-HERO/1" TargetMode="External"/><Relationship Id="rId2871" Type="http://schemas.openxmlformats.org/officeDocument/2006/relationships/hyperlink" Target="https://assets.vans.eu/images/VN000GMXEHC-HERO/1" TargetMode="External"/><Relationship Id="rId3715" Type="http://schemas.openxmlformats.org/officeDocument/2006/relationships/hyperlink" Target="https://assets.vans.eu/images/VN0009QCBKA-HERO/1" TargetMode="External"/><Relationship Id="rId3922" Type="http://schemas.openxmlformats.org/officeDocument/2006/relationships/hyperlink" Target="https://assets.vans.eu/images/VN000CVV7YO-HERO/1" TargetMode="External"/><Relationship Id="rId843" Type="http://schemas.openxmlformats.org/officeDocument/2006/relationships/hyperlink" Target="https://assets.vans.eu/images/VN000D1BEMU-HERO/1" TargetMode="External"/><Relationship Id="rId1126" Type="http://schemas.openxmlformats.org/officeDocument/2006/relationships/hyperlink" Target="https://assets.vans.eu/images/VN000JUABLK-HERO/1" TargetMode="External"/><Relationship Id="rId1680" Type="http://schemas.openxmlformats.org/officeDocument/2006/relationships/hyperlink" Target="https://assets.vans.eu/images/VN000MN2BR1-HERO/1" TargetMode="External"/><Relationship Id="rId2524" Type="http://schemas.openxmlformats.org/officeDocument/2006/relationships/hyperlink" Target="https://assets.vans.eu/images/VN000CYVENA-HERO/1" TargetMode="External"/><Relationship Id="rId2731" Type="http://schemas.openxmlformats.org/officeDocument/2006/relationships/hyperlink" Target="https://assets.vans.eu/images/VN000DAHRV2-HERO/1" TargetMode="External"/><Relationship Id="rId703" Type="http://schemas.openxmlformats.org/officeDocument/2006/relationships/hyperlink" Target="https://assets.vans.eu/images/VN000QBFEN6-HERO/1" TargetMode="External"/><Relationship Id="rId910" Type="http://schemas.openxmlformats.org/officeDocument/2006/relationships/hyperlink" Target="https://assets.vans.eu/images/VN000R05WHT-HERO/1" TargetMode="External"/><Relationship Id="rId1333" Type="http://schemas.openxmlformats.org/officeDocument/2006/relationships/hyperlink" Target="https://assets.vans.eu/images/VN000M71HCZ-HERO/1" TargetMode="External"/><Relationship Id="rId1540" Type="http://schemas.openxmlformats.org/officeDocument/2006/relationships/hyperlink" Target="https://assets.vans.eu/images/VN000DAZSTN-HERO/1" TargetMode="External"/><Relationship Id="rId4489" Type="http://schemas.openxmlformats.org/officeDocument/2006/relationships/hyperlink" Target="https://assets.vans.eu/images/VN000D9YRV2-HERO/1" TargetMode="External"/><Relationship Id="rId4696" Type="http://schemas.openxmlformats.org/officeDocument/2006/relationships/hyperlink" Target="https://assets.vans.eu/images/VN0A2Z3RRRS-HERO/1" TargetMode="External"/><Relationship Id="rId1400" Type="http://schemas.openxmlformats.org/officeDocument/2006/relationships/hyperlink" Target="https://assets.vans.eu/images/VN000Q30BLK-HERO/1" TargetMode="External"/><Relationship Id="rId3298" Type="http://schemas.openxmlformats.org/officeDocument/2006/relationships/hyperlink" Target="https://assets.vans.eu/images/VN000P5C02F-HERO/1" TargetMode="External"/><Relationship Id="rId4349" Type="http://schemas.openxmlformats.org/officeDocument/2006/relationships/hyperlink" Target="https://assets.vans.eu/images/VN000D6NBGK-HERO/1" TargetMode="External"/><Relationship Id="rId4556" Type="http://schemas.openxmlformats.org/officeDocument/2006/relationships/hyperlink" Target="https://assets.vans.eu/images/VN000DAQTWH-HERO/1" TargetMode="External"/><Relationship Id="rId4763" Type="http://schemas.openxmlformats.org/officeDocument/2006/relationships/hyperlink" Target="https://assets.vans.eu/images/VN0A5HZGGRY-HERO/1" TargetMode="External"/><Relationship Id="rId4970" Type="http://schemas.openxmlformats.org/officeDocument/2006/relationships/hyperlink" Target="https://assets.vans.eu/images/VN000D85GRY-HERO/1" TargetMode="External"/><Relationship Id="rId3158" Type="http://schemas.openxmlformats.org/officeDocument/2006/relationships/hyperlink" Target="https://assets.vans.eu/images/VN000M8R1NU-HERO/1" TargetMode="External"/><Relationship Id="rId3365" Type="http://schemas.openxmlformats.org/officeDocument/2006/relationships/hyperlink" Target="https://assets.vans.eu/images/VN000PCXFS8-HERO/1" TargetMode="External"/><Relationship Id="rId3572" Type="http://schemas.openxmlformats.org/officeDocument/2006/relationships/hyperlink" Target="https://assets.vans.eu/images/VN000RARFS8-HERO/1" TargetMode="External"/><Relationship Id="rId4209" Type="http://schemas.openxmlformats.org/officeDocument/2006/relationships/hyperlink" Target="https://assets.vans.eu/images/VN000D2CEMS-HERO/1" TargetMode="External"/><Relationship Id="rId4416" Type="http://schemas.openxmlformats.org/officeDocument/2006/relationships/hyperlink" Target="https://assets.vans.eu/images/VN000D6ZEMY-HERO/1" TargetMode="External"/><Relationship Id="rId4623" Type="http://schemas.openxmlformats.org/officeDocument/2006/relationships/hyperlink" Target="https://assets.vans.eu/images/VN000E9RZ3R-HERO/1" TargetMode="External"/><Relationship Id="rId4830" Type="http://schemas.openxmlformats.org/officeDocument/2006/relationships/hyperlink" Target="https://assets.vans.eu/images/VN000CVURV2-HERO/1" TargetMode="External"/><Relationship Id="rId286" Type="http://schemas.openxmlformats.org/officeDocument/2006/relationships/hyperlink" Target="https://assets.vans.eu/images/VN0008KUBML-HERO/1" TargetMode="External"/><Relationship Id="rId493" Type="http://schemas.openxmlformats.org/officeDocument/2006/relationships/hyperlink" Target="https://assets.vans.eu/images/VN000D0SYJ7-HERO/1" TargetMode="External"/><Relationship Id="rId2174" Type="http://schemas.openxmlformats.org/officeDocument/2006/relationships/hyperlink" Target="https://assets.vans.eu/images/VN000P1PEMU-HERO/1" TargetMode="External"/><Relationship Id="rId2381" Type="http://schemas.openxmlformats.org/officeDocument/2006/relationships/hyperlink" Target="https://assets.vans.eu/images/VN0A5AUBDSB-HERO/1" TargetMode="External"/><Relationship Id="rId3018" Type="http://schemas.openxmlformats.org/officeDocument/2006/relationships/hyperlink" Target="https://assets.vans.eu/images/VN000HPABLK-HERO/1" TargetMode="External"/><Relationship Id="rId3225" Type="http://schemas.openxmlformats.org/officeDocument/2006/relationships/hyperlink" Target="https://assets.vans.eu/images/VN000MMNCLH-HERO/1" TargetMode="External"/><Relationship Id="rId3432" Type="http://schemas.openxmlformats.org/officeDocument/2006/relationships/hyperlink" Target="https://assets.vans.eu/images/VN000PMAEMW-HERO/1" TargetMode="External"/><Relationship Id="rId146" Type="http://schemas.openxmlformats.org/officeDocument/2006/relationships/hyperlink" Target="https://assets.vans.eu/images/VN000QCEBLK-HERO/1" TargetMode="External"/><Relationship Id="rId353" Type="http://schemas.openxmlformats.org/officeDocument/2006/relationships/hyperlink" Target="https://assets.vans.eu/images/VN000Q09GC6-HERO/1" TargetMode="External"/><Relationship Id="rId560" Type="http://schemas.openxmlformats.org/officeDocument/2006/relationships/hyperlink" Target="https://assets.vans.eu/images/VN000PXSBLK-HERO/1" TargetMode="External"/><Relationship Id="rId1190" Type="http://schemas.openxmlformats.org/officeDocument/2006/relationships/hyperlink" Target="https://assets.vans.eu/images/VN000QDFWHT-HERO/1" TargetMode="External"/><Relationship Id="rId2034" Type="http://schemas.openxmlformats.org/officeDocument/2006/relationships/hyperlink" Target="https://assets.vans.eu/images/VN0003P3YB2-HERO/1" TargetMode="External"/><Relationship Id="rId2241" Type="http://schemas.openxmlformats.org/officeDocument/2006/relationships/hyperlink" Target="https://assets.vans.eu/images/VN000PH8CDX-HERO/1" TargetMode="External"/><Relationship Id="rId213" Type="http://schemas.openxmlformats.org/officeDocument/2006/relationships/hyperlink" Target="https://assets.vans.eu/images/VN000HTDBLK-HERO/1" TargetMode="External"/><Relationship Id="rId420" Type="http://schemas.openxmlformats.org/officeDocument/2006/relationships/hyperlink" Target="https://assets.vans.eu/images/VN000CTGZRY-HERO/1" TargetMode="External"/><Relationship Id="rId1050" Type="http://schemas.openxmlformats.org/officeDocument/2006/relationships/hyperlink" Target="https://assets.vans.eu/images/VN0A4CZ1BLK-HERO/1" TargetMode="External"/><Relationship Id="rId2101" Type="http://schemas.openxmlformats.org/officeDocument/2006/relationships/hyperlink" Target="https://assets.vans.eu/images/VN000M1PC9L-HERO/1" TargetMode="External"/><Relationship Id="rId4066" Type="http://schemas.openxmlformats.org/officeDocument/2006/relationships/hyperlink" Target="https://assets.vans.eu/images/VN000D111KP-HERO/1" TargetMode="External"/><Relationship Id="rId1867" Type="http://schemas.openxmlformats.org/officeDocument/2006/relationships/hyperlink" Target="https://assets.vans.eu/images/VN000D0S1NU-HERO/1" TargetMode="External"/><Relationship Id="rId2918" Type="http://schemas.openxmlformats.org/officeDocument/2006/relationships/hyperlink" Target="https://assets.vans.eu/images/VN00074MBYP-HERO/1" TargetMode="External"/><Relationship Id="rId4273" Type="http://schemas.openxmlformats.org/officeDocument/2006/relationships/hyperlink" Target="https://assets.vans.eu/images/VN000D5R11U-HERO/1" TargetMode="External"/><Relationship Id="rId4480" Type="http://schemas.openxmlformats.org/officeDocument/2006/relationships/hyperlink" Target="https://assets.vans.eu/images/VN000D9YBGP-HERO/1" TargetMode="External"/><Relationship Id="rId1727" Type="http://schemas.openxmlformats.org/officeDocument/2006/relationships/hyperlink" Target="https://assets.vans.eu/images/VN000PMHENB-HERO/1" TargetMode="External"/><Relationship Id="rId1934" Type="http://schemas.openxmlformats.org/officeDocument/2006/relationships/hyperlink" Target="https://assets.vans.eu/images/VN000D7U4QU-HERO/1" TargetMode="External"/><Relationship Id="rId3082" Type="http://schemas.openxmlformats.org/officeDocument/2006/relationships/hyperlink" Target="https://assets.vans.eu/images/VN000K0BBLK-HERO/1" TargetMode="External"/><Relationship Id="rId4133" Type="http://schemas.openxmlformats.org/officeDocument/2006/relationships/hyperlink" Target="https://assets.vans.eu/images/VN000D1JV0N-HERO/1" TargetMode="External"/><Relationship Id="rId4340" Type="http://schemas.openxmlformats.org/officeDocument/2006/relationships/hyperlink" Target="https://assets.vans.eu/images/VN000D6FY7U-HERO/1" TargetMode="External"/><Relationship Id="rId19" Type="http://schemas.openxmlformats.org/officeDocument/2006/relationships/hyperlink" Target="https://assets.vans.eu/images/VN000XZYWHT-HERO/1" TargetMode="External"/><Relationship Id="rId3899" Type="http://schemas.openxmlformats.org/officeDocument/2006/relationships/hyperlink" Target="https://assets.vans.eu/images/VN000CVTTUP-HERO/1" TargetMode="External"/><Relationship Id="rId4200" Type="http://schemas.openxmlformats.org/officeDocument/2006/relationships/hyperlink" Target="https://assets.vans.eu/images/VN000D29F89-HERO/1" TargetMode="External"/><Relationship Id="rId3759" Type="http://schemas.openxmlformats.org/officeDocument/2006/relationships/hyperlink" Target="https://assets.vans.eu/images/VN000BVZ239-HERO/1" TargetMode="External"/><Relationship Id="rId3966" Type="http://schemas.openxmlformats.org/officeDocument/2006/relationships/hyperlink" Target="https://assets.vans.eu/images/VN000CWESQ7-HERO/1" TargetMode="External"/><Relationship Id="rId3" Type="http://schemas.openxmlformats.org/officeDocument/2006/relationships/hyperlink" Target="https://assets.vans.eu/images/VN000JT2BLK-HERO/1" TargetMode="External"/><Relationship Id="rId887" Type="http://schemas.openxmlformats.org/officeDocument/2006/relationships/hyperlink" Target="https://assets.vans.eu/images/VN000P21JDU-HERO/1" TargetMode="External"/><Relationship Id="rId2568" Type="http://schemas.openxmlformats.org/officeDocument/2006/relationships/hyperlink" Target="https://assets.vans.eu/images/VN000D10N1Z-HERO/1" TargetMode="External"/><Relationship Id="rId2775" Type="http://schemas.openxmlformats.org/officeDocument/2006/relationships/hyperlink" Target="https://assets.vans.eu/images/VN000E89YG4-HERO/1" TargetMode="External"/><Relationship Id="rId2982" Type="http://schemas.openxmlformats.org/officeDocument/2006/relationships/hyperlink" Target="https://assets.vans.eu/images/VN000GVF0E0-HERO/1" TargetMode="External"/><Relationship Id="rId3619" Type="http://schemas.openxmlformats.org/officeDocument/2006/relationships/hyperlink" Target="https://assets.vans.eu/images/VN0010J9WHT-HERO/1" TargetMode="External"/><Relationship Id="rId3826" Type="http://schemas.openxmlformats.org/officeDocument/2006/relationships/hyperlink" Target="https://assets.vans.eu/images/VN000CS00ZB-HERO/1" TargetMode="External"/><Relationship Id="rId5041" Type="http://schemas.openxmlformats.org/officeDocument/2006/relationships/hyperlink" Target="https://assets.vans.eu/images/VN0A2Z3IY52-HERO/1" TargetMode="External"/><Relationship Id="rId747" Type="http://schemas.openxmlformats.org/officeDocument/2006/relationships/hyperlink" Target="https://assets.vans.eu/images/VN000CVV1O7-HERO/1" TargetMode="External"/><Relationship Id="rId954" Type="http://schemas.openxmlformats.org/officeDocument/2006/relationships/hyperlink" Target="https://assets.vans.eu/images/VN000D4NKCZ-HERO/1" TargetMode="External"/><Relationship Id="rId1377" Type="http://schemas.openxmlformats.org/officeDocument/2006/relationships/hyperlink" Target="https://assets.vans.eu/images/VN000PJSD3Z-HERO/1" TargetMode="External"/><Relationship Id="rId1584" Type="http://schemas.openxmlformats.org/officeDocument/2006/relationships/hyperlink" Target="https://assets.vans.eu/images/VN000LC0C9L-HERO/1" TargetMode="External"/><Relationship Id="rId1791" Type="http://schemas.openxmlformats.org/officeDocument/2006/relationships/hyperlink" Target="https://assets.vans.eu/images/VN000R92EMF-HERO/1" TargetMode="External"/><Relationship Id="rId2428" Type="http://schemas.openxmlformats.org/officeDocument/2006/relationships/hyperlink" Target="https://assets.vans.eu/images/VN000BVZCJL-HERO/1" TargetMode="External"/><Relationship Id="rId2635" Type="http://schemas.openxmlformats.org/officeDocument/2006/relationships/hyperlink" Target="https://assets.vans.eu/images/VN000D60CRM-HERO/1" TargetMode="External"/><Relationship Id="rId2842" Type="http://schemas.openxmlformats.org/officeDocument/2006/relationships/hyperlink" Target="https://assets.vans.eu/images/VN0A5HYWA3I-HERO/1" TargetMode="External"/><Relationship Id="rId83" Type="http://schemas.openxmlformats.org/officeDocument/2006/relationships/hyperlink" Target="https://assets.vans.eu/images/VN0008KUBML-HERO/1" TargetMode="External"/><Relationship Id="rId607" Type="http://schemas.openxmlformats.org/officeDocument/2006/relationships/hyperlink" Target="https://assets.vans.eu/images/VN000P8WPWT-HERO/1" TargetMode="External"/><Relationship Id="rId814" Type="http://schemas.openxmlformats.org/officeDocument/2006/relationships/hyperlink" Target="https://assets.vans.eu/images/VN000QDEY28-HERO/1" TargetMode="External"/><Relationship Id="rId1237" Type="http://schemas.openxmlformats.org/officeDocument/2006/relationships/hyperlink" Target="https://assets.vans.eu/images/VN000CZ7RV2-HERO/1" TargetMode="External"/><Relationship Id="rId1444" Type="http://schemas.openxmlformats.org/officeDocument/2006/relationships/hyperlink" Target="https://assets.vans.eu/images/VN000CQ04C3-HERO/1" TargetMode="External"/><Relationship Id="rId1651" Type="http://schemas.openxmlformats.org/officeDocument/2006/relationships/hyperlink" Target="https://assets.vans.eu/images/VN000M4W4SS-HERO/1" TargetMode="External"/><Relationship Id="rId2702" Type="http://schemas.openxmlformats.org/officeDocument/2006/relationships/hyperlink" Target="https://assets.vans.eu/images/VN000D7Z6N0-HERO/1" TargetMode="External"/><Relationship Id="rId1304" Type="http://schemas.openxmlformats.org/officeDocument/2006/relationships/hyperlink" Target="https://assets.vans.eu/images/VN00000D1LE-HERO/1" TargetMode="External"/><Relationship Id="rId1511" Type="http://schemas.openxmlformats.org/officeDocument/2006/relationships/hyperlink" Target="https://assets.vans.eu/images/VN000D5RBRG-HERO/1" TargetMode="External"/><Relationship Id="rId4667" Type="http://schemas.openxmlformats.org/officeDocument/2006/relationships/hyperlink" Target="https://assets.vans.eu/images/VN000EHZBA2-HERO/1" TargetMode="External"/><Relationship Id="rId4874" Type="http://schemas.openxmlformats.org/officeDocument/2006/relationships/hyperlink" Target="https://assets.vans.eu/images/VN0009UFKOU-HERO/1" TargetMode="External"/><Relationship Id="rId3269" Type="http://schemas.openxmlformats.org/officeDocument/2006/relationships/hyperlink" Target="https://assets.vans.eu/images/VN000P511QI-HERO/1" TargetMode="External"/><Relationship Id="rId3476" Type="http://schemas.openxmlformats.org/officeDocument/2006/relationships/hyperlink" Target="https://assets.vans.eu/images/VN000PWCF0G-HERO/1" TargetMode="External"/><Relationship Id="rId3683" Type="http://schemas.openxmlformats.org/officeDocument/2006/relationships/hyperlink" Target="https://assets.vans.eu/images/VN000H58CBO-HERO/1" TargetMode="External"/><Relationship Id="rId4527" Type="http://schemas.openxmlformats.org/officeDocument/2006/relationships/hyperlink" Target="https://assets.vans.eu/images/VN000DAH7UG-HERO/1" TargetMode="External"/><Relationship Id="rId10" Type="http://schemas.openxmlformats.org/officeDocument/2006/relationships/hyperlink" Target="https://assets.vans.eu/images/VN000R32BFM-HERO/1" TargetMode="External"/><Relationship Id="rId397" Type="http://schemas.openxmlformats.org/officeDocument/2006/relationships/hyperlink" Target="https://assets.vans.eu/images/VN000PRSEMV-HERO/1" TargetMode="External"/><Relationship Id="rId2078" Type="http://schemas.openxmlformats.org/officeDocument/2006/relationships/hyperlink" Target="https://assets.vans.eu/images/VN000JF5BLK-HERO/1" TargetMode="External"/><Relationship Id="rId2285" Type="http://schemas.openxmlformats.org/officeDocument/2006/relationships/hyperlink" Target="https://assets.vans.eu/images/VN000PR3BLK-HERO/1" TargetMode="External"/><Relationship Id="rId2492" Type="http://schemas.openxmlformats.org/officeDocument/2006/relationships/hyperlink" Target="https://assets.vans.eu/images/VN000CVUBLU-HERO/1" TargetMode="External"/><Relationship Id="rId3129" Type="http://schemas.openxmlformats.org/officeDocument/2006/relationships/hyperlink" Target="https://assets.vans.eu/images/VN000M28BR1-HERO/1" TargetMode="External"/><Relationship Id="rId3336" Type="http://schemas.openxmlformats.org/officeDocument/2006/relationships/hyperlink" Target="https://assets.vans.eu/images/VN000PAABLK-HERO/1" TargetMode="External"/><Relationship Id="rId3890" Type="http://schemas.openxmlformats.org/officeDocument/2006/relationships/hyperlink" Target="https://assets.vans.eu/images/VN000CVTBD2-HERO/1" TargetMode="External"/><Relationship Id="rId4734" Type="http://schemas.openxmlformats.org/officeDocument/2006/relationships/hyperlink" Target="https://assets.vans.eu/images/VN0A4UWM2QL-HERO/1" TargetMode="External"/><Relationship Id="rId4941" Type="http://schemas.openxmlformats.org/officeDocument/2006/relationships/hyperlink" Target="https://assets.vans.eu/images/VN000D1GSN0-HERO/1" TargetMode="External"/><Relationship Id="rId257" Type="http://schemas.openxmlformats.org/officeDocument/2006/relationships/hyperlink" Target="https://assets.vans.eu/images/VN000ECUB5P-HERO/1" TargetMode="External"/><Relationship Id="rId464" Type="http://schemas.openxmlformats.org/officeDocument/2006/relationships/hyperlink" Target="https://assets.vans.eu/images/VN000EE1GYG-HERO/1" TargetMode="External"/><Relationship Id="rId1094" Type="http://schemas.openxmlformats.org/officeDocument/2006/relationships/hyperlink" Target="https://assets.vans.eu/images/VN0A4U1KWHT-HERO/1" TargetMode="External"/><Relationship Id="rId2145" Type="http://schemas.openxmlformats.org/officeDocument/2006/relationships/hyperlink" Target="https://assets.vans.eu/images/VN000MBXFS8-HERO/1" TargetMode="External"/><Relationship Id="rId3543" Type="http://schemas.openxmlformats.org/officeDocument/2006/relationships/hyperlink" Target="https://assets.vans.eu/images/VN000R15EML-HERO/1" TargetMode="External"/><Relationship Id="rId3750" Type="http://schemas.openxmlformats.org/officeDocument/2006/relationships/hyperlink" Target="https://assets.vans.eu/images/VN000BVZ1NU-HERO/1" TargetMode="External"/><Relationship Id="rId4801" Type="http://schemas.openxmlformats.org/officeDocument/2006/relationships/hyperlink" Target="https://assets.vans.eu/images/VN000PNH5TU-HERO/1" TargetMode="External"/><Relationship Id="rId117" Type="http://schemas.openxmlformats.org/officeDocument/2006/relationships/hyperlink" Target="https://assets.vans.eu/images/VN000SN1BLK-HERO/1" TargetMode="External"/><Relationship Id="rId671" Type="http://schemas.openxmlformats.org/officeDocument/2006/relationships/hyperlink" Target="https://assets.vans.eu/images/VN000XCUWHT-HERO/1" TargetMode="External"/><Relationship Id="rId2352" Type="http://schemas.openxmlformats.org/officeDocument/2006/relationships/hyperlink" Target="https://assets.vans.eu/images/VN000REMBLK-HERO/1" TargetMode="External"/><Relationship Id="rId3403" Type="http://schemas.openxmlformats.org/officeDocument/2006/relationships/hyperlink" Target="https://assets.vans.eu/images/VN000PH8CDX-HERO/1" TargetMode="External"/><Relationship Id="rId3610" Type="http://schemas.openxmlformats.org/officeDocument/2006/relationships/hyperlink" Target="https://assets.vans.eu/images/VN000XOIY28-HERO/1" TargetMode="External"/><Relationship Id="rId324" Type="http://schemas.openxmlformats.org/officeDocument/2006/relationships/hyperlink" Target="https://assets.vans.eu/images/VN000K3MBLK-HERO/1" TargetMode="External"/><Relationship Id="rId531" Type="http://schemas.openxmlformats.org/officeDocument/2006/relationships/hyperlink" Target="https://assets.vans.eu/images/VN000D2VZ3R-HERO/1" TargetMode="External"/><Relationship Id="rId1161" Type="http://schemas.openxmlformats.org/officeDocument/2006/relationships/hyperlink" Target="https://assets.vans.eu/images/VN000PDR6JL-HERO/1" TargetMode="External"/><Relationship Id="rId2005" Type="http://schemas.openxmlformats.org/officeDocument/2006/relationships/hyperlink" Target="https://assets.vans.eu/images/VN000GKMCHJ-HERO/1" TargetMode="External"/><Relationship Id="rId2212" Type="http://schemas.openxmlformats.org/officeDocument/2006/relationships/hyperlink" Target="https://assets.vans.eu/images/VN000PBRBLK-HERO/1" TargetMode="External"/><Relationship Id="rId1021" Type="http://schemas.openxmlformats.org/officeDocument/2006/relationships/hyperlink" Target="https://assets.vans.eu/images/VN000PM3BLK-HERO/1" TargetMode="External"/><Relationship Id="rId1978" Type="http://schemas.openxmlformats.org/officeDocument/2006/relationships/hyperlink" Target="https://assets.vans.eu/images/VN000V25B5T-HERO/1" TargetMode="External"/><Relationship Id="rId4177" Type="http://schemas.openxmlformats.org/officeDocument/2006/relationships/hyperlink" Target="https://assets.vans.eu/images/VN000D26GWT-HERO/1" TargetMode="External"/><Relationship Id="rId4384" Type="http://schemas.openxmlformats.org/officeDocument/2006/relationships/hyperlink" Target="https://assets.vans.eu/images/VN000D6WEMW-HERO/1" TargetMode="External"/><Relationship Id="rId4591" Type="http://schemas.openxmlformats.org/officeDocument/2006/relationships/hyperlink" Target="https://assets.vans.eu/images/VN000DCBYJ7-HERO/1" TargetMode="External"/><Relationship Id="rId3193" Type="http://schemas.openxmlformats.org/officeDocument/2006/relationships/hyperlink" Target="https://assets.vans.eu/images/VN000MC0WHT-HERO/1" TargetMode="External"/><Relationship Id="rId4037" Type="http://schemas.openxmlformats.org/officeDocument/2006/relationships/hyperlink" Target="https://assets.vans.eu/images/VN000D0MKCZ-HERO/1" TargetMode="External"/><Relationship Id="rId4244" Type="http://schemas.openxmlformats.org/officeDocument/2006/relationships/hyperlink" Target="https://assets.vans.eu/images/VN000D4MKCZ-HERO/1" TargetMode="External"/><Relationship Id="rId4451" Type="http://schemas.openxmlformats.org/officeDocument/2006/relationships/hyperlink" Target="https://assets.vans.eu/images/VN000D831NU-HERO/1" TargetMode="External"/><Relationship Id="rId1838" Type="http://schemas.openxmlformats.org/officeDocument/2006/relationships/hyperlink" Target="https://assets.vans.eu/images/VN000CTGYJ7-HERO/1" TargetMode="External"/><Relationship Id="rId3053" Type="http://schemas.openxmlformats.org/officeDocument/2006/relationships/hyperlink" Target="https://assets.vans.eu/images/VN000JBRBR1-HERO/1" TargetMode="External"/><Relationship Id="rId3260" Type="http://schemas.openxmlformats.org/officeDocument/2006/relationships/hyperlink" Target="https://assets.vans.eu/images/VN000P21JDU-HERO/1" TargetMode="External"/><Relationship Id="rId4104" Type="http://schemas.openxmlformats.org/officeDocument/2006/relationships/hyperlink" Target="https://assets.vans.eu/images/VN000D1JBRO-HERO/1" TargetMode="External"/><Relationship Id="rId4311" Type="http://schemas.openxmlformats.org/officeDocument/2006/relationships/hyperlink" Target="https://assets.vans.eu/images/VN000D61EMP-HERO/1" TargetMode="External"/><Relationship Id="rId181" Type="http://schemas.openxmlformats.org/officeDocument/2006/relationships/hyperlink" Target="https://assets.vans.eu/images/VN000PXSWHT-HERO/1" TargetMode="External"/><Relationship Id="rId1905" Type="http://schemas.openxmlformats.org/officeDocument/2006/relationships/hyperlink" Target="https://assets.vans.eu/images/VN000D5RBRG-HERO/1" TargetMode="External"/><Relationship Id="rId3120" Type="http://schemas.openxmlformats.org/officeDocument/2006/relationships/hyperlink" Target="https://assets.vans.eu/images/VN000M0XKCZ-HERO/1" TargetMode="External"/><Relationship Id="rId998" Type="http://schemas.openxmlformats.org/officeDocument/2006/relationships/hyperlink" Target="https://assets.vans.eu/images/VN000M27CFL-HERO/1" TargetMode="External"/><Relationship Id="rId2679" Type="http://schemas.openxmlformats.org/officeDocument/2006/relationships/hyperlink" Target="https://assets.vans.eu/images/VN000D6WRPK-HERO/1" TargetMode="External"/><Relationship Id="rId2886" Type="http://schemas.openxmlformats.org/officeDocument/2006/relationships/hyperlink" Target="https://assets.vans.eu/images/VN000M7X6PH-HERO/1" TargetMode="External"/><Relationship Id="rId3937" Type="http://schemas.openxmlformats.org/officeDocument/2006/relationships/hyperlink" Target="https://assets.vans.eu/images/VN000CVVEMQ-HERO/1" TargetMode="External"/><Relationship Id="rId858" Type="http://schemas.openxmlformats.org/officeDocument/2006/relationships/hyperlink" Target="https://assets.vans.eu/images/VN000E9YLBR-HERO/1" TargetMode="External"/><Relationship Id="rId1488" Type="http://schemas.openxmlformats.org/officeDocument/2006/relationships/hyperlink" Target="https://assets.vans.eu/images/VN000D0SYLZ-HERO/1" TargetMode="External"/><Relationship Id="rId1695" Type="http://schemas.openxmlformats.org/officeDocument/2006/relationships/hyperlink" Target="https://assets.vans.eu/images/VN000P52Y28-HERO/1" TargetMode="External"/><Relationship Id="rId2539" Type="http://schemas.openxmlformats.org/officeDocument/2006/relationships/hyperlink" Target="https://assets.vans.eu/images/VN000D0HEMY-HERO/1" TargetMode="External"/><Relationship Id="rId2746" Type="http://schemas.openxmlformats.org/officeDocument/2006/relationships/hyperlink" Target="https://assets.vans.eu/images/VN000DAQ9DH-HERO/1" TargetMode="External"/><Relationship Id="rId2953" Type="http://schemas.openxmlformats.org/officeDocument/2006/relationships/hyperlink" Target="https://assets.vans.eu/images/VN000G756PH-HERO/1" TargetMode="External"/><Relationship Id="rId718" Type="http://schemas.openxmlformats.org/officeDocument/2006/relationships/hyperlink" Target="https://assets.vans.eu/images/VN000P8WPWT-HERO/1" TargetMode="External"/><Relationship Id="rId925" Type="http://schemas.openxmlformats.org/officeDocument/2006/relationships/hyperlink" Target="https://assets.vans.eu/images/VN0A4MQ35TU-HERO/1" TargetMode="External"/><Relationship Id="rId1348" Type="http://schemas.openxmlformats.org/officeDocument/2006/relationships/hyperlink" Target="https://assets.vans.eu/images/VN000NTSD6Z-HERO/1" TargetMode="External"/><Relationship Id="rId1555" Type="http://schemas.openxmlformats.org/officeDocument/2006/relationships/hyperlink" Target="https://assets.vans.eu/images/VN000SF4N3U-HERO/1" TargetMode="External"/><Relationship Id="rId1762" Type="http://schemas.openxmlformats.org/officeDocument/2006/relationships/hyperlink" Target="https://assets.vans.eu/images/VN000PXTRV2-HERO/1" TargetMode="External"/><Relationship Id="rId2606" Type="http://schemas.openxmlformats.org/officeDocument/2006/relationships/hyperlink" Target="https://assets.vans.eu/images/VN000D45EMY-HERO/1" TargetMode="External"/><Relationship Id="rId5012" Type="http://schemas.openxmlformats.org/officeDocument/2006/relationships/hyperlink" Target="https://assets.vans.eu/images/VN0A2Z32Y45-HERO/1" TargetMode="External"/><Relationship Id="rId1208" Type="http://schemas.openxmlformats.org/officeDocument/2006/relationships/hyperlink" Target="https://assets.vans.eu/images/VN0007Q3EMY-HERO/1" TargetMode="External"/><Relationship Id="rId1415" Type="http://schemas.openxmlformats.org/officeDocument/2006/relationships/hyperlink" Target="https://assets.vans.eu/images/VN000RBYY7U-HERO/1" TargetMode="External"/><Relationship Id="rId2813" Type="http://schemas.openxmlformats.org/officeDocument/2006/relationships/hyperlink" Target="https://assets.vans.eu/images/VN000EG59X1-HERO/1" TargetMode="External"/><Relationship Id="rId54" Type="http://schemas.openxmlformats.org/officeDocument/2006/relationships/hyperlink" Target="https://assets.vans.eu/images/VN000QCGWHT-HERO/1" TargetMode="External"/><Relationship Id="rId1622" Type="http://schemas.openxmlformats.org/officeDocument/2006/relationships/hyperlink" Target="https://assets.vans.eu/images/VN000HMQ1CI-HERO/1" TargetMode="External"/><Relationship Id="rId4778" Type="http://schemas.openxmlformats.org/officeDocument/2006/relationships/hyperlink" Target="https://assets.vans.eu/images/VN0A5JLGBMA-HERO/1" TargetMode="External"/><Relationship Id="rId4985" Type="http://schemas.openxmlformats.org/officeDocument/2006/relationships/hyperlink" Target="https://assets.vans.eu/images/VN000DA4PNK-HERO/1" TargetMode="External"/><Relationship Id="rId2189" Type="http://schemas.openxmlformats.org/officeDocument/2006/relationships/hyperlink" Target="https://assets.vans.eu/images/VN000P52Y28-HERO/1" TargetMode="External"/><Relationship Id="rId3587" Type="http://schemas.openxmlformats.org/officeDocument/2006/relationships/hyperlink" Target="https://assets.vans.eu/images/VN000RD4EN9-HERO/1" TargetMode="External"/><Relationship Id="rId3794" Type="http://schemas.openxmlformats.org/officeDocument/2006/relationships/hyperlink" Target="https://assets.vans.eu/images/VN000CQ0O33-HERO/1" TargetMode="External"/><Relationship Id="rId4638" Type="http://schemas.openxmlformats.org/officeDocument/2006/relationships/hyperlink" Target="https://assets.vans.eu/images/VN000EC4RV2-HERO/1" TargetMode="External"/><Relationship Id="rId4845" Type="http://schemas.openxmlformats.org/officeDocument/2006/relationships/hyperlink" Target="https://assets.vans.eu/images/VN0A2Z34B0Z-HERO/1" TargetMode="External"/><Relationship Id="rId2396" Type="http://schemas.openxmlformats.org/officeDocument/2006/relationships/hyperlink" Target="https://assets.vans.eu/images/VN000HRFEN6-HERO/1" TargetMode="External"/><Relationship Id="rId3447" Type="http://schemas.openxmlformats.org/officeDocument/2006/relationships/hyperlink" Target="https://assets.vans.eu/images/VN000PNJFS8-HERO/1" TargetMode="External"/><Relationship Id="rId3654" Type="http://schemas.openxmlformats.org/officeDocument/2006/relationships/hyperlink" Target="https://assets.vans.eu/images/VN0A4S97BLK-HERO/1" TargetMode="External"/><Relationship Id="rId3861" Type="http://schemas.openxmlformats.org/officeDocument/2006/relationships/hyperlink" Target="https://assets.vans.eu/images/VN000CTN2NC-HERO/1" TargetMode="External"/><Relationship Id="rId4705" Type="http://schemas.openxmlformats.org/officeDocument/2006/relationships/hyperlink" Target="https://assets.vans.eu/images/VN0A38HBPQZ-HERO/1" TargetMode="External"/><Relationship Id="rId4912" Type="http://schemas.openxmlformats.org/officeDocument/2006/relationships/hyperlink" Target="https://assets.vans.eu/images/VN000J9NCHG-HERO/1" TargetMode="External"/><Relationship Id="rId368" Type="http://schemas.openxmlformats.org/officeDocument/2006/relationships/hyperlink" Target="https://assets.vans.eu/images/VN000MBCWHT-HERO/1" TargetMode="External"/><Relationship Id="rId575" Type="http://schemas.openxmlformats.org/officeDocument/2006/relationships/hyperlink" Target="https://assets.vans.eu/images/VN000D5D17P-HERO/1" TargetMode="External"/><Relationship Id="rId782" Type="http://schemas.openxmlformats.org/officeDocument/2006/relationships/hyperlink" Target="https://assets.vans.eu/images/VN00046QE2W-HERO/1" TargetMode="External"/><Relationship Id="rId2049" Type="http://schemas.openxmlformats.org/officeDocument/2006/relationships/hyperlink" Target="https://assets.vans.eu/images/VN000GCHLKZ-HERO/1" TargetMode="External"/><Relationship Id="rId2256" Type="http://schemas.openxmlformats.org/officeDocument/2006/relationships/hyperlink" Target="https://assets.vans.eu/images/VN000PJU7WM-HERO/1" TargetMode="External"/><Relationship Id="rId2463" Type="http://schemas.openxmlformats.org/officeDocument/2006/relationships/hyperlink" Target="https://assets.vans.eu/images/VN000CS0D4C-HERO/1" TargetMode="External"/><Relationship Id="rId2670" Type="http://schemas.openxmlformats.org/officeDocument/2006/relationships/hyperlink" Target="https://assets.vans.eu/images/VN000D6WEMG-HERO/1" TargetMode="External"/><Relationship Id="rId3307" Type="http://schemas.openxmlformats.org/officeDocument/2006/relationships/hyperlink" Target="https://assets.vans.eu/images/VN000P5SEMW-HERO/1" TargetMode="External"/><Relationship Id="rId3514" Type="http://schemas.openxmlformats.org/officeDocument/2006/relationships/hyperlink" Target="https://assets.vans.eu/images/VN000Q43JDU-HERO/1" TargetMode="External"/><Relationship Id="rId3721" Type="http://schemas.openxmlformats.org/officeDocument/2006/relationships/hyperlink" Target="https://assets.vans.eu/images/VN0009QJO3N-HERO/1" TargetMode="External"/><Relationship Id="rId228" Type="http://schemas.openxmlformats.org/officeDocument/2006/relationships/hyperlink" Target="https://assets.vans.eu/images/VN000RD71O7-HERO/1" TargetMode="External"/><Relationship Id="rId435" Type="http://schemas.openxmlformats.org/officeDocument/2006/relationships/hyperlink" Target="https://assets.vans.eu/images/VN000M6XC9F-HERO/1" TargetMode="External"/><Relationship Id="rId642" Type="http://schemas.openxmlformats.org/officeDocument/2006/relationships/hyperlink" Target="https://assets.vans.eu/images/VN000HSUF0U-HERO/1" TargetMode="External"/><Relationship Id="rId1065" Type="http://schemas.openxmlformats.org/officeDocument/2006/relationships/hyperlink" Target="https://assets.vans.eu/images/VN000CWEEEI-HERO/1" TargetMode="External"/><Relationship Id="rId1272" Type="http://schemas.openxmlformats.org/officeDocument/2006/relationships/hyperlink" Target="https://assets.vans.eu/images/VN000DA2YY0-HERO/1" TargetMode="External"/><Relationship Id="rId2116" Type="http://schemas.openxmlformats.org/officeDocument/2006/relationships/hyperlink" Target="https://assets.vans.eu/images/VN000M8G1O7-HERO/1" TargetMode="External"/><Relationship Id="rId2323" Type="http://schemas.openxmlformats.org/officeDocument/2006/relationships/hyperlink" Target="https://assets.vans.eu/images/VN000Q74EN6-HERO/1" TargetMode="External"/><Relationship Id="rId2530" Type="http://schemas.openxmlformats.org/officeDocument/2006/relationships/hyperlink" Target="https://assets.vans.eu/images/VN000CZ7EMW-HERO/1" TargetMode="External"/><Relationship Id="rId502" Type="http://schemas.openxmlformats.org/officeDocument/2006/relationships/hyperlink" Target="https://assets.vans.eu/images/VN000ECUB5P-HERO/1" TargetMode="External"/><Relationship Id="rId1132" Type="http://schemas.openxmlformats.org/officeDocument/2006/relationships/hyperlink" Target="https://assets.vans.eu/images/VN000M6XC9F-HERO/1" TargetMode="External"/><Relationship Id="rId4288" Type="http://schemas.openxmlformats.org/officeDocument/2006/relationships/hyperlink" Target="https://assets.vans.eu/images/VN000D5VBH7-HERO/1" TargetMode="External"/><Relationship Id="rId4495" Type="http://schemas.openxmlformats.org/officeDocument/2006/relationships/hyperlink" Target="https://assets.vans.eu/images/VN000D9ZKOU-HERO/1" TargetMode="External"/><Relationship Id="rId3097" Type="http://schemas.openxmlformats.org/officeDocument/2006/relationships/hyperlink" Target="https://assets.vans.eu/images/VN000KHYBLK-HERO/1" TargetMode="External"/><Relationship Id="rId4148" Type="http://schemas.openxmlformats.org/officeDocument/2006/relationships/hyperlink" Target="https://assets.vans.eu/images/VN000D22B9P-HERO/1" TargetMode="External"/><Relationship Id="rId4355" Type="http://schemas.openxmlformats.org/officeDocument/2006/relationships/hyperlink" Target="https://assets.vans.eu/images/VN000D6S5SM-HERO/1" TargetMode="External"/><Relationship Id="rId1949" Type="http://schemas.openxmlformats.org/officeDocument/2006/relationships/hyperlink" Target="https://assets.vans.eu/images/VN000DAH7UG-HERO/1" TargetMode="External"/><Relationship Id="rId3164" Type="http://schemas.openxmlformats.org/officeDocument/2006/relationships/hyperlink" Target="https://assets.vans.eu/images/VN000M9HBLK-HERO/1" TargetMode="External"/><Relationship Id="rId4008" Type="http://schemas.openxmlformats.org/officeDocument/2006/relationships/hyperlink" Target="https://assets.vans.eu/images/VN000CZ7RV2-HERO/1" TargetMode="External"/><Relationship Id="rId4562" Type="http://schemas.openxmlformats.org/officeDocument/2006/relationships/hyperlink" Target="https://assets.vans.eu/images/VN000DAQZO2-HERO/1" TargetMode="External"/><Relationship Id="rId292" Type="http://schemas.openxmlformats.org/officeDocument/2006/relationships/hyperlink" Target="https://assets.vans.eu/images/VN000NWP1O7-HERO/1" TargetMode="External"/><Relationship Id="rId1809" Type="http://schemas.openxmlformats.org/officeDocument/2006/relationships/hyperlink" Target="https://assets.vans.eu/images/VN000Q9F29B-HERO/1" TargetMode="External"/><Relationship Id="rId3371" Type="http://schemas.openxmlformats.org/officeDocument/2006/relationships/hyperlink" Target="https://assets.vans.eu/images/VN000PDAEMF-HERO/1" TargetMode="External"/><Relationship Id="rId4215" Type="http://schemas.openxmlformats.org/officeDocument/2006/relationships/hyperlink" Target="https://assets.vans.eu/images/VN000D2VBLA-HERO/1" TargetMode="External"/><Relationship Id="rId4422" Type="http://schemas.openxmlformats.org/officeDocument/2006/relationships/hyperlink" Target="https://assets.vans.eu/images/VN000D7089F-HERO/1" TargetMode="External"/><Relationship Id="rId2180" Type="http://schemas.openxmlformats.org/officeDocument/2006/relationships/hyperlink" Target="https://assets.vans.eu/images/VN000P21JDU-HERO/1" TargetMode="External"/><Relationship Id="rId3024" Type="http://schemas.openxmlformats.org/officeDocument/2006/relationships/hyperlink" Target="https://assets.vans.eu/images/VN000HU0QID-HERO/1" TargetMode="External"/><Relationship Id="rId3231" Type="http://schemas.openxmlformats.org/officeDocument/2006/relationships/hyperlink" Target="https://assets.vans.eu/images/VN000NHPBLK-HERO/1" TargetMode="External"/><Relationship Id="rId152" Type="http://schemas.openxmlformats.org/officeDocument/2006/relationships/hyperlink" Target="https://assets.vans.eu/images/VN000GMYC9L-HERO/1" TargetMode="External"/><Relationship Id="rId2040" Type="http://schemas.openxmlformats.org/officeDocument/2006/relationships/hyperlink" Target="https://assets.vans.eu/images/VN0008N6BLK-HERO/1" TargetMode="External"/><Relationship Id="rId2997" Type="http://schemas.openxmlformats.org/officeDocument/2006/relationships/hyperlink" Target="https://assets.vans.eu/images/VN000HGKBLK-HERO/1" TargetMode="External"/><Relationship Id="rId969" Type="http://schemas.openxmlformats.org/officeDocument/2006/relationships/hyperlink" Target="https://assets.vans.eu/images/VN000E8WG58-HERO/1" TargetMode="External"/><Relationship Id="rId1599" Type="http://schemas.openxmlformats.org/officeDocument/2006/relationships/hyperlink" Target="https://assets.vans.eu/images/VN0A7S96D6Z-HERO/1" TargetMode="External"/><Relationship Id="rId5056" Type="http://schemas.openxmlformats.org/officeDocument/2006/relationships/hyperlink" Target="https://assets.vans.eu/images/VN0A4BX1LKK-HERO/1" TargetMode="External"/><Relationship Id="rId1459" Type="http://schemas.openxmlformats.org/officeDocument/2006/relationships/hyperlink" Target="https://assets.vans.eu/images/VN000CTG448-HERO/1" TargetMode="External"/><Relationship Id="rId2857" Type="http://schemas.openxmlformats.org/officeDocument/2006/relationships/hyperlink" Target="https://assets.vans.eu/images/VN0008P7BLK-HERO/1" TargetMode="External"/><Relationship Id="rId3908" Type="http://schemas.openxmlformats.org/officeDocument/2006/relationships/hyperlink" Target="https://assets.vans.eu/images/VN000CVUBLK-HERO/1" TargetMode="External"/><Relationship Id="rId4072" Type="http://schemas.openxmlformats.org/officeDocument/2006/relationships/hyperlink" Target="https://assets.vans.eu/images/VN000D1BEMU-HERO/1" TargetMode="External"/><Relationship Id="rId98" Type="http://schemas.openxmlformats.org/officeDocument/2006/relationships/hyperlink" Target="https://assets.vans.eu/images/VN000D3YFS8-HERO/1" TargetMode="External"/><Relationship Id="rId829" Type="http://schemas.openxmlformats.org/officeDocument/2006/relationships/hyperlink" Target="https://assets.vans.eu/images/VN0010J9WHT-HERO/1" TargetMode="External"/><Relationship Id="rId1666" Type="http://schemas.openxmlformats.org/officeDocument/2006/relationships/hyperlink" Target="https://assets.vans.eu/images/VN000MBX1O7-HERO/1" TargetMode="External"/><Relationship Id="rId1873" Type="http://schemas.openxmlformats.org/officeDocument/2006/relationships/hyperlink" Target="https://assets.vans.eu/images/VN000D1J689-HERO/1" TargetMode="External"/><Relationship Id="rId2717" Type="http://schemas.openxmlformats.org/officeDocument/2006/relationships/hyperlink" Target="https://assets.vans.eu/images/VN000D9YTUP-HERO/1" TargetMode="External"/><Relationship Id="rId2924" Type="http://schemas.openxmlformats.org/officeDocument/2006/relationships/hyperlink" Target="https://assets.vans.eu/images/VN0008CABLK-HERO/1" TargetMode="External"/><Relationship Id="rId1319" Type="http://schemas.openxmlformats.org/officeDocument/2006/relationships/hyperlink" Target="https://assets.vans.eu/images/VN000K0ULVB-HERO/1" TargetMode="External"/><Relationship Id="rId1526" Type="http://schemas.openxmlformats.org/officeDocument/2006/relationships/hyperlink" Target="https://assets.vans.eu/images/VN000D85EME-HERO/1" TargetMode="External"/><Relationship Id="rId1733" Type="http://schemas.openxmlformats.org/officeDocument/2006/relationships/hyperlink" Target="https://assets.vans.eu/images/VN000PNABLK-HERO/1" TargetMode="External"/><Relationship Id="rId1940" Type="http://schemas.openxmlformats.org/officeDocument/2006/relationships/hyperlink" Target="https://assets.vans.eu/images/VN000D9ABLA-HERO/1" TargetMode="External"/><Relationship Id="rId4889" Type="http://schemas.openxmlformats.org/officeDocument/2006/relationships/hyperlink" Target="https://assets.vans.eu/images/VN000EDNBJB-HERO/1" TargetMode="External"/><Relationship Id="rId25" Type="http://schemas.openxmlformats.org/officeDocument/2006/relationships/hyperlink" Target="https://assets.vans.eu/images/VN000D8NBKA-HERO/1" TargetMode="External"/><Relationship Id="rId1800" Type="http://schemas.openxmlformats.org/officeDocument/2006/relationships/hyperlink" Target="https://assets.vans.eu/images/VN000RG0EMS-HERO/1" TargetMode="External"/><Relationship Id="rId3698" Type="http://schemas.openxmlformats.org/officeDocument/2006/relationships/hyperlink" Target="https://assets.vans.eu/images/VN0005V8YU2-HERO/1" TargetMode="External"/><Relationship Id="rId4749" Type="http://schemas.openxmlformats.org/officeDocument/2006/relationships/hyperlink" Target="https://assets.vans.eu/images/VN0A5FCCB9M-HERO/1" TargetMode="External"/><Relationship Id="rId4956" Type="http://schemas.openxmlformats.org/officeDocument/2006/relationships/hyperlink" Target="https://assets.vans.eu/images/VN000D3UZBF-HERO/1" TargetMode="External"/><Relationship Id="rId3558" Type="http://schemas.openxmlformats.org/officeDocument/2006/relationships/hyperlink" Target="https://assets.vans.eu/images/VN000R94FS8-HERO/1" TargetMode="External"/><Relationship Id="rId3765" Type="http://schemas.openxmlformats.org/officeDocument/2006/relationships/hyperlink" Target="https://assets.vans.eu/images/VN000CMX239-HERO/1" TargetMode="External"/><Relationship Id="rId3972" Type="http://schemas.openxmlformats.org/officeDocument/2006/relationships/hyperlink" Target="https://assets.vans.eu/images/VN000CWF1P0-HERO/1" TargetMode="External"/><Relationship Id="rId4609" Type="http://schemas.openxmlformats.org/officeDocument/2006/relationships/hyperlink" Target="https://assets.vans.eu/images/VN000E8WBGF-HERO/1" TargetMode="External"/><Relationship Id="rId4816" Type="http://schemas.openxmlformats.org/officeDocument/2006/relationships/hyperlink" Target="https://assets.vans.eu/images/VN000CVVSR6-HERO/1" TargetMode="External"/><Relationship Id="rId479" Type="http://schemas.openxmlformats.org/officeDocument/2006/relationships/hyperlink" Target="https://assets.vans.eu/images/VN000M9SBLK-HERO/1" TargetMode="External"/><Relationship Id="rId686" Type="http://schemas.openxmlformats.org/officeDocument/2006/relationships/hyperlink" Target="https://assets.vans.eu/images/VN000D1JBO9-HERO/1" TargetMode="External"/><Relationship Id="rId893" Type="http://schemas.openxmlformats.org/officeDocument/2006/relationships/hyperlink" Target="https://assets.vans.eu/images/VN000PDYWHT-HERO/1" TargetMode="External"/><Relationship Id="rId2367" Type="http://schemas.openxmlformats.org/officeDocument/2006/relationships/hyperlink" Target="https://assets.vans.eu/images/VN000XR62N1-HERO/1" TargetMode="External"/><Relationship Id="rId2574" Type="http://schemas.openxmlformats.org/officeDocument/2006/relationships/hyperlink" Target="https://assets.vans.eu/images/VN000D12BIY-HERO/1" TargetMode="External"/><Relationship Id="rId2781" Type="http://schemas.openxmlformats.org/officeDocument/2006/relationships/hyperlink" Target="https://assets.vans.eu/images/VN000E8WCCZ-HERO/1" TargetMode="External"/><Relationship Id="rId3418" Type="http://schemas.openxmlformats.org/officeDocument/2006/relationships/hyperlink" Target="https://assets.vans.eu/images/VN000PJSBLK-HERO/1" TargetMode="External"/><Relationship Id="rId3625" Type="http://schemas.openxmlformats.org/officeDocument/2006/relationships/hyperlink" Target="https://assets.vans.eu/images/VN0A3CZENAV-HERO/1" TargetMode="External"/><Relationship Id="rId339" Type="http://schemas.openxmlformats.org/officeDocument/2006/relationships/hyperlink" Target="https://assets.vans.eu/images/VN000QA1EMJ-HERO/1" TargetMode="External"/><Relationship Id="rId546" Type="http://schemas.openxmlformats.org/officeDocument/2006/relationships/hyperlink" Target="https://assets.vans.eu/images/VN000HZBYEH-HERO/1" TargetMode="External"/><Relationship Id="rId753" Type="http://schemas.openxmlformats.org/officeDocument/2006/relationships/hyperlink" Target="https://assets.vans.eu/images/VN000D0MBZW-HERO/1" TargetMode="External"/><Relationship Id="rId1176" Type="http://schemas.openxmlformats.org/officeDocument/2006/relationships/hyperlink" Target="https://assets.vans.eu/images/VN000PM3BLK-HERO/1" TargetMode="External"/><Relationship Id="rId1383" Type="http://schemas.openxmlformats.org/officeDocument/2006/relationships/hyperlink" Target="https://assets.vans.eu/images/VN000PMDBLK-HERO/1" TargetMode="External"/><Relationship Id="rId2227" Type="http://schemas.openxmlformats.org/officeDocument/2006/relationships/hyperlink" Target="https://assets.vans.eu/images/VN000PE7BLK-HERO/1" TargetMode="External"/><Relationship Id="rId2434" Type="http://schemas.openxmlformats.org/officeDocument/2006/relationships/hyperlink" Target="https://assets.vans.eu/images/VN000CP5BMC-HERO/1" TargetMode="External"/><Relationship Id="rId3832" Type="http://schemas.openxmlformats.org/officeDocument/2006/relationships/hyperlink" Target="https://assets.vans.eu/images/VN000CS0D4C-HERO/1" TargetMode="External"/><Relationship Id="rId406" Type="http://schemas.openxmlformats.org/officeDocument/2006/relationships/hyperlink" Target="https://assets.vans.eu/images/VN000KTAEMB-HERO/1" TargetMode="External"/><Relationship Id="rId960" Type="http://schemas.openxmlformats.org/officeDocument/2006/relationships/hyperlink" Target="https://assets.vans.eu/images/VN000D6YEZI-HERO/1" TargetMode="External"/><Relationship Id="rId1036" Type="http://schemas.openxmlformats.org/officeDocument/2006/relationships/hyperlink" Target="https://assets.vans.eu/images/VN000R742N1-HERO/1" TargetMode="External"/><Relationship Id="rId1243" Type="http://schemas.openxmlformats.org/officeDocument/2006/relationships/hyperlink" Target="https://assets.vans.eu/images/VN000D11N1Z-HERO/1" TargetMode="External"/><Relationship Id="rId1590" Type="http://schemas.openxmlformats.org/officeDocument/2006/relationships/hyperlink" Target="https://assets.vans.eu/images/VN000QBWEN7-HERO/1" TargetMode="External"/><Relationship Id="rId2641" Type="http://schemas.openxmlformats.org/officeDocument/2006/relationships/hyperlink" Target="https://assets.vans.eu/images/VN000D60RV2-HERO/1" TargetMode="External"/><Relationship Id="rId4399" Type="http://schemas.openxmlformats.org/officeDocument/2006/relationships/hyperlink" Target="https://assets.vans.eu/images/VN000D6YEMY-HERO/1" TargetMode="External"/><Relationship Id="rId613" Type="http://schemas.openxmlformats.org/officeDocument/2006/relationships/hyperlink" Target="https://assets.vans.eu/images/VN000PXEEMS-HERO/1" TargetMode="External"/><Relationship Id="rId820" Type="http://schemas.openxmlformats.org/officeDocument/2006/relationships/hyperlink" Target="https://assets.vans.eu/images/VN000R92FBG-HERO/1" TargetMode="External"/><Relationship Id="rId1450" Type="http://schemas.openxmlformats.org/officeDocument/2006/relationships/hyperlink" Target="https://assets.vans.eu/images/VN000CQRYLW-HERO/1" TargetMode="External"/><Relationship Id="rId2501" Type="http://schemas.openxmlformats.org/officeDocument/2006/relationships/hyperlink" Target="https://assets.vans.eu/images/VN000CVURPK-HERO/1" TargetMode="External"/><Relationship Id="rId1103" Type="http://schemas.openxmlformats.org/officeDocument/2006/relationships/hyperlink" Target="https://assets.vans.eu/images/VN000PNTEMP-HERO/1" TargetMode="External"/><Relationship Id="rId1310" Type="http://schemas.openxmlformats.org/officeDocument/2006/relationships/hyperlink" Target="https://assets.vans.eu/images/VN000GGGEAY-HERO/1" TargetMode="External"/><Relationship Id="rId4259" Type="http://schemas.openxmlformats.org/officeDocument/2006/relationships/hyperlink" Target="https://assets.vans.eu/images/VN000D4NKCZ-HERO/1" TargetMode="External"/><Relationship Id="rId4466" Type="http://schemas.openxmlformats.org/officeDocument/2006/relationships/hyperlink" Target="https://assets.vans.eu/images/VN000D8NBKA-HERO/1" TargetMode="External"/><Relationship Id="rId4673" Type="http://schemas.openxmlformats.org/officeDocument/2006/relationships/hyperlink" Target="https://assets.vans.eu/images/VN000SF4JDU-HERO/1" TargetMode="External"/><Relationship Id="rId4880" Type="http://schemas.openxmlformats.org/officeDocument/2006/relationships/hyperlink" Target="https://assets.vans.eu/images/VN000D1GSN0-HERO/1" TargetMode="External"/><Relationship Id="rId3068" Type="http://schemas.openxmlformats.org/officeDocument/2006/relationships/hyperlink" Target="https://assets.vans.eu/images/VN000JQPBLK-HERO/1" TargetMode="External"/><Relationship Id="rId3275" Type="http://schemas.openxmlformats.org/officeDocument/2006/relationships/hyperlink" Target="https://assets.vans.eu/images/VN000P52EMS-HERO/1" TargetMode="External"/><Relationship Id="rId3482" Type="http://schemas.openxmlformats.org/officeDocument/2006/relationships/hyperlink" Target="https://assets.vans.eu/images/VN000PX3EN6-HERO/1" TargetMode="External"/><Relationship Id="rId4119" Type="http://schemas.openxmlformats.org/officeDocument/2006/relationships/hyperlink" Target="https://assets.vans.eu/images/VN000D1JJDU-HERO/1" TargetMode="External"/><Relationship Id="rId4326" Type="http://schemas.openxmlformats.org/officeDocument/2006/relationships/hyperlink" Target="https://assets.vans.eu/images/VN000D6FBGK-HERO/1" TargetMode="External"/><Relationship Id="rId4533" Type="http://schemas.openxmlformats.org/officeDocument/2006/relationships/hyperlink" Target="https://assets.vans.eu/images/VN000DAJBGK-HERO/1" TargetMode="External"/><Relationship Id="rId4740" Type="http://schemas.openxmlformats.org/officeDocument/2006/relationships/hyperlink" Target="https://assets.vans.eu/images/VN0A5FCAPIB-HERO/1" TargetMode="External"/><Relationship Id="rId196" Type="http://schemas.openxmlformats.org/officeDocument/2006/relationships/hyperlink" Target="https://assets.vans.eu/images/VN000PXG02F-HERO/1" TargetMode="External"/><Relationship Id="rId2084" Type="http://schemas.openxmlformats.org/officeDocument/2006/relationships/hyperlink" Target="https://assets.vans.eu/images/VN000JY4BLK-HERO/1" TargetMode="External"/><Relationship Id="rId2291" Type="http://schemas.openxmlformats.org/officeDocument/2006/relationships/hyperlink" Target="https://assets.vans.eu/images/VN000PREEMW-HERO/1" TargetMode="External"/><Relationship Id="rId3135" Type="http://schemas.openxmlformats.org/officeDocument/2006/relationships/hyperlink" Target="https://assets.vans.eu/images/VN000M47BLK-HERO/1" TargetMode="External"/><Relationship Id="rId3342" Type="http://schemas.openxmlformats.org/officeDocument/2006/relationships/hyperlink" Target="https://assets.vans.eu/images/VN000PB9BLK-HERO/1" TargetMode="External"/><Relationship Id="rId4600" Type="http://schemas.openxmlformats.org/officeDocument/2006/relationships/hyperlink" Target="https://assets.vans.eu/images/VN000E7UTC4-HERO/1" TargetMode="External"/><Relationship Id="rId263" Type="http://schemas.openxmlformats.org/officeDocument/2006/relationships/hyperlink" Target="https://assets.vans.eu/images/VN000RG2BLK-HERO/1" TargetMode="External"/><Relationship Id="rId470" Type="http://schemas.openxmlformats.org/officeDocument/2006/relationships/hyperlink" Target="https://assets.vans.eu/images/VN000GN0BLK-HERO/1" TargetMode="External"/><Relationship Id="rId2151" Type="http://schemas.openxmlformats.org/officeDocument/2006/relationships/hyperlink" Target="https://assets.vans.eu/images/VN000MGGBLK-HERO/1" TargetMode="External"/><Relationship Id="rId3202" Type="http://schemas.openxmlformats.org/officeDocument/2006/relationships/hyperlink" Target="https://assets.vans.eu/images/VN000MF0BLK-HERO/1" TargetMode="External"/><Relationship Id="rId123" Type="http://schemas.openxmlformats.org/officeDocument/2006/relationships/hyperlink" Target="https://assets.vans.eu/images/VN000D3YFS8-HERO/1" TargetMode="External"/><Relationship Id="rId330" Type="http://schemas.openxmlformats.org/officeDocument/2006/relationships/hyperlink" Target="https://assets.vans.eu/images/VN000CMXN1Z-HERO/1" TargetMode="External"/><Relationship Id="rId2011" Type="http://schemas.openxmlformats.org/officeDocument/2006/relationships/hyperlink" Target="https://assets.vans.eu/images/VN000J4TBLK-HERO/1" TargetMode="External"/><Relationship Id="rId2968" Type="http://schemas.openxmlformats.org/officeDocument/2006/relationships/hyperlink" Target="https://assets.vans.eu/images/VN000GCSYJ2-HERO/1" TargetMode="External"/><Relationship Id="rId4183" Type="http://schemas.openxmlformats.org/officeDocument/2006/relationships/hyperlink" Target="https://assets.vans.eu/images/VN000D26JDU-HERO/1" TargetMode="External"/><Relationship Id="rId5027" Type="http://schemas.openxmlformats.org/officeDocument/2006/relationships/hyperlink" Target="https://assets.vans.eu/images/VN0A2Z34BLG-HERO/1" TargetMode="External"/><Relationship Id="rId1777" Type="http://schemas.openxmlformats.org/officeDocument/2006/relationships/hyperlink" Target="https://assets.vans.eu/images/VN000QF3BLK-HERO/1" TargetMode="External"/><Relationship Id="rId1984" Type="http://schemas.openxmlformats.org/officeDocument/2006/relationships/hyperlink" Target="https://assets.vans.eu/images/VN000VOB4WV-HERO/1" TargetMode="External"/><Relationship Id="rId2828" Type="http://schemas.openxmlformats.org/officeDocument/2006/relationships/hyperlink" Target="https://assets.vans.eu/images/VN0A4U1K3MZ-HERO/1" TargetMode="External"/><Relationship Id="rId4390" Type="http://schemas.openxmlformats.org/officeDocument/2006/relationships/hyperlink" Target="https://assets.vans.eu/images/VN000D6WYY6-HERO/1" TargetMode="External"/><Relationship Id="rId69" Type="http://schemas.openxmlformats.org/officeDocument/2006/relationships/hyperlink" Target="https://assets.vans.eu/images/VN000QCEBLK-HERO/1" TargetMode="External"/><Relationship Id="rId1637" Type="http://schemas.openxmlformats.org/officeDocument/2006/relationships/hyperlink" Target="https://assets.vans.eu/images/VN000JC5LKZ-HERO/1" TargetMode="External"/><Relationship Id="rId1844" Type="http://schemas.openxmlformats.org/officeDocument/2006/relationships/hyperlink" Target="https://assets.vans.eu/images/VN000CVUPRP-HERO/1" TargetMode="External"/><Relationship Id="rId4043" Type="http://schemas.openxmlformats.org/officeDocument/2006/relationships/hyperlink" Target="https://assets.vans.eu/images/VN000D0S1NU-HERO/1" TargetMode="External"/><Relationship Id="rId4250" Type="http://schemas.openxmlformats.org/officeDocument/2006/relationships/hyperlink" Target="https://assets.vans.eu/images/VN000D4N208-HERO/1" TargetMode="External"/><Relationship Id="rId1704" Type="http://schemas.openxmlformats.org/officeDocument/2006/relationships/hyperlink" Target="https://assets.vans.eu/images/VN000P8A02F-HERO/1" TargetMode="External"/><Relationship Id="rId4110" Type="http://schemas.openxmlformats.org/officeDocument/2006/relationships/hyperlink" Target="https://assets.vans.eu/images/VN000D1JBRO-HERO/1" TargetMode="External"/><Relationship Id="rId1911" Type="http://schemas.openxmlformats.org/officeDocument/2006/relationships/hyperlink" Target="https://assets.vans.eu/images/VN000D6F239-HERO/1" TargetMode="External"/><Relationship Id="rId3669" Type="http://schemas.openxmlformats.org/officeDocument/2006/relationships/hyperlink" Target="https://assets.vans.eu/images/VN0A5KEZBLK-HERO/1" TargetMode="External"/><Relationship Id="rId797" Type="http://schemas.openxmlformats.org/officeDocument/2006/relationships/hyperlink" Target="https://assets.vans.eu/images/VN000P1PEML-HERO/1" TargetMode="External"/><Relationship Id="rId2478" Type="http://schemas.openxmlformats.org/officeDocument/2006/relationships/hyperlink" Target="https://assets.vans.eu/images/VN000CVR2PR-HERO/1" TargetMode="External"/><Relationship Id="rId3876" Type="http://schemas.openxmlformats.org/officeDocument/2006/relationships/hyperlink" Target="https://assets.vans.eu/images/VN000CVNBKA-HERO/1" TargetMode="External"/><Relationship Id="rId4927" Type="http://schemas.openxmlformats.org/officeDocument/2006/relationships/hyperlink" Target="https://assets.vans.eu/images/VN000CVVSR6-HERO/1" TargetMode="External"/><Relationship Id="rId1287" Type="http://schemas.openxmlformats.org/officeDocument/2006/relationships/hyperlink" Target="https://assets.vans.eu/images/VN000EZBBLK-HERO/1" TargetMode="External"/><Relationship Id="rId2685" Type="http://schemas.openxmlformats.org/officeDocument/2006/relationships/hyperlink" Target="https://assets.vans.eu/images/VN000D6YIZQ-HERO/1" TargetMode="External"/><Relationship Id="rId2892" Type="http://schemas.openxmlformats.org/officeDocument/2006/relationships/hyperlink" Target="https://assets.vans.eu/images/VN000QB27WM-HERO/1" TargetMode="External"/><Relationship Id="rId3529" Type="http://schemas.openxmlformats.org/officeDocument/2006/relationships/hyperlink" Target="https://assets.vans.eu/images/VN000Q77BLK-HERO/1" TargetMode="External"/><Relationship Id="rId3736" Type="http://schemas.openxmlformats.org/officeDocument/2006/relationships/hyperlink" Target="https://assets.vans.eu/images/VN000BCEBIY-HERO/1" TargetMode="External"/><Relationship Id="rId3943" Type="http://schemas.openxmlformats.org/officeDocument/2006/relationships/hyperlink" Target="https://assets.vans.eu/images/VN000CVVF87-HERO/1" TargetMode="External"/><Relationship Id="rId657" Type="http://schemas.openxmlformats.org/officeDocument/2006/relationships/hyperlink" Target="https://assets.vans.eu/images/VN000MJJCDX-HERO/1" TargetMode="External"/><Relationship Id="rId864" Type="http://schemas.openxmlformats.org/officeDocument/2006/relationships/hyperlink" Target="https://assets.vans.eu/images/VN0A5FCB1N6-HERO/1" TargetMode="External"/><Relationship Id="rId1494" Type="http://schemas.openxmlformats.org/officeDocument/2006/relationships/hyperlink" Target="https://assets.vans.eu/images/VN000D1JBO9-HERO/1" TargetMode="External"/><Relationship Id="rId2338" Type="http://schemas.openxmlformats.org/officeDocument/2006/relationships/hyperlink" Target="https://assets.vans.eu/images/VN000R95EMV-HERO/1" TargetMode="External"/><Relationship Id="rId2545" Type="http://schemas.openxmlformats.org/officeDocument/2006/relationships/hyperlink" Target="https://assets.vans.eu/images/VN000D0KEN6-HERO/1" TargetMode="External"/><Relationship Id="rId2752" Type="http://schemas.openxmlformats.org/officeDocument/2006/relationships/hyperlink" Target="https://assets.vans.eu/images/VN000DAQZO2-HERO/1" TargetMode="External"/><Relationship Id="rId3803" Type="http://schemas.openxmlformats.org/officeDocument/2006/relationships/hyperlink" Target="https://assets.vans.eu/images/VN000CQ9T9T-HERO/1" TargetMode="External"/><Relationship Id="rId517" Type="http://schemas.openxmlformats.org/officeDocument/2006/relationships/hyperlink" Target="https://assets.vans.eu/images/VN000MN07WM-HERO/1" TargetMode="External"/><Relationship Id="rId724" Type="http://schemas.openxmlformats.org/officeDocument/2006/relationships/hyperlink" Target="https://assets.vans.eu/images/VN000PR3EN9-HERO/1" TargetMode="External"/><Relationship Id="rId931" Type="http://schemas.openxmlformats.org/officeDocument/2006/relationships/hyperlink" Target="https://assets.vans.eu/images/VN000CQRBO5-HERO/1" TargetMode="External"/><Relationship Id="rId1147" Type="http://schemas.openxmlformats.org/officeDocument/2006/relationships/hyperlink" Target="https://assets.vans.eu/images/VN000MK9WHT-HERO/1" TargetMode="External"/><Relationship Id="rId1354" Type="http://schemas.openxmlformats.org/officeDocument/2006/relationships/hyperlink" Target="https://assets.vans.eu/images/VN000P58EMW-HERO/1" TargetMode="External"/><Relationship Id="rId1561" Type="http://schemas.openxmlformats.org/officeDocument/2006/relationships/hyperlink" Target="https://assets.vans.eu/images/VN0A5FCAPIB-HERO/1" TargetMode="External"/><Relationship Id="rId2405" Type="http://schemas.openxmlformats.org/officeDocument/2006/relationships/hyperlink" Target="https://assets.vans.eu/images/VN0005W8BLU-HERO/1" TargetMode="External"/><Relationship Id="rId2612" Type="http://schemas.openxmlformats.org/officeDocument/2006/relationships/hyperlink" Target="https://assets.vans.eu/images/VN000D4MYB2-HERO/1" TargetMode="External"/><Relationship Id="rId60" Type="http://schemas.openxmlformats.org/officeDocument/2006/relationships/hyperlink" Target="https://assets.vans.eu/images/VN000XZYM74-HERO/1" TargetMode="External"/><Relationship Id="rId1007" Type="http://schemas.openxmlformats.org/officeDocument/2006/relationships/hyperlink" Target="https://assets.vans.eu/images/VN000MB5Y7J-HERO/1" TargetMode="External"/><Relationship Id="rId1214" Type="http://schemas.openxmlformats.org/officeDocument/2006/relationships/hyperlink" Target="https://assets.vans.eu/images/VN000CR5FS8-HERO/1" TargetMode="External"/><Relationship Id="rId1421" Type="http://schemas.openxmlformats.org/officeDocument/2006/relationships/hyperlink" Target="https://assets.vans.eu/images/VN000RG0EML-HERO/1" TargetMode="External"/><Relationship Id="rId4577" Type="http://schemas.openxmlformats.org/officeDocument/2006/relationships/hyperlink" Target="https://assets.vans.eu/images/VN000DAZF88-HERO/1" TargetMode="External"/><Relationship Id="rId4784" Type="http://schemas.openxmlformats.org/officeDocument/2006/relationships/hyperlink" Target="https://assets.vans.eu/images/VN0A5KR3BM0-HERO/1" TargetMode="External"/><Relationship Id="rId4991" Type="http://schemas.openxmlformats.org/officeDocument/2006/relationships/hyperlink" Target="https://assets.vans.eu/images/VN000E23L38-HERO/1" TargetMode="External"/><Relationship Id="rId3179" Type="http://schemas.openxmlformats.org/officeDocument/2006/relationships/hyperlink" Target="https://assets.vans.eu/images/VN000MAEBLK-HERO/1" TargetMode="External"/><Relationship Id="rId3386" Type="http://schemas.openxmlformats.org/officeDocument/2006/relationships/hyperlink" Target="https://assets.vans.eu/images/VN000PEYYB2-HERO/1" TargetMode="External"/><Relationship Id="rId3593" Type="http://schemas.openxmlformats.org/officeDocument/2006/relationships/hyperlink" Target="https://assets.vans.eu/images/VN000RFRBLK-HERO/1" TargetMode="External"/><Relationship Id="rId4437" Type="http://schemas.openxmlformats.org/officeDocument/2006/relationships/hyperlink" Target="https://assets.vans.eu/images/VN000D7ZM8I-HERO/1" TargetMode="External"/><Relationship Id="rId4644" Type="http://schemas.openxmlformats.org/officeDocument/2006/relationships/hyperlink" Target="https://assets.vans.eu/images/VN000EDN7D6-HERO/1" TargetMode="External"/><Relationship Id="rId2195" Type="http://schemas.openxmlformats.org/officeDocument/2006/relationships/hyperlink" Target="https://assets.vans.eu/images/VN000P5GBLK-HERO/1" TargetMode="External"/><Relationship Id="rId3039" Type="http://schemas.openxmlformats.org/officeDocument/2006/relationships/hyperlink" Target="https://assets.vans.eu/images/VN000IVECJL-HERO/1" TargetMode="External"/><Relationship Id="rId3246" Type="http://schemas.openxmlformats.org/officeDocument/2006/relationships/hyperlink" Target="https://assets.vans.eu/images/VN000P1P6PH-HERO/1" TargetMode="External"/><Relationship Id="rId3453" Type="http://schemas.openxmlformats.org/officeDocument/2006/relationships/hyperlink" Target="https://assets.vans.eu/images/VN000PPUEN7-HERO/1" TargetMode="External"/><Relationship Id="rId4851" Type="http://schemas.openxmlformats.org/officeDocument/2006/relationships/hyperlink" Target="https://assets.vans.eu/images/VN000CVURV2-HERO/1" TargetMode="External"/><Relationship Id="rId167" Type="http://schemas.openxmlformats.org/officeDocument/2006/relationships/hyperlink" Target="https://assets.vans.eu/images/VN000QA5DDN-HERO/1" TargetMode="External"/><Relationship Id="rId374" Type="http://schemas.openxmlformats.org/officeDocument/2006/relationships/hyperlink" Target="https://assets.vans.eu/images/VN000RG41QI-HERO/1" TargetMode="External"/><Relationship Id="rId581" Type="http://schemas.openxmlformats.org/officeDocument/2006/relationships/hyperlink" Target="https://assets.vans.eu/images/VN000E8CGMX-HERO/1" TargetMode="External"/><Relationship Id="rId2055" Type="http://schemas.openxmlformats.org/officeDocument/2006/relationships/hyperlink" Target="https://assets.vans.eu/images/VN000HANCDX-HERO/1" TargetMode="External"/><Relationship Id="rId2262" Type="http://schemas.openxmlformats.org/officeDocument/2006/relationships/hyperlink" Target="https://assets.vans.eu/images/VN000PKEEN6-HERO/1" TargetMode="External"/><Relationship Id="rId3106" Type="http://schemas.openxmlformats.org/officeDocument/2006/relationships/hyperlink" Target="https://assets.vans.eu/images/VN000KUQJDU-HERO/1" TargetMode="External"/><Relationship Id="rId3660" Type="http://schemas.openxmlformats.org/officeDocument/2006/relationships/hyperlink" Target="https://assets.vans.eu/images/VN0A5FKDCFL-HERO/1" TargetMode="External"/><Relationship Id="rId4504" Type="http://schemas.openxmlformats.org/officeDocument/2006/relationships/hyperlink" Target="https://assets.vans.eu/images/VN000D9ZYB2-HERO/1" TargetMode="External"/><Relationship Id="rId4711" Type="http://schemas.openxmlformats.org/officeDocument/2006/relationships/hyperlink" Target="https://assets.vans.eu/images/VN0A3TL8187-HERO/1" TargetMode="External"/><Relationship Id="rId234" Type="http://schemas.openxmlformats.org/officeDocument/2006/relationships/hyperlink" Target="https://assets.vans.eu/images/VN000HTHBLK-HERO/1" TargetMode="External"/><Relationship Id="rId3313" Type="http://schemas.openxmlformats.org/officeDocument/2006/relationships/hyperlink" Target="https://assets.vans.eu/images/VN000P7U2N1-HERO/1" TargetMode="External"/><Relationship Id="rId3520" Type="http://schemas.openxmlformats.org/officeDocument/2006/relationships/hyperlink" Target="https://assets.vans.eu/images/VN000Q67EMX-HERO/1" TargetMode="External"/><Relationship Id="rId441" Type="http://schemas.openxmlformats.org/officeDocument/2006/relationships/hyperlink" Target="https://assets.vans.eu/images/VN000PXXBLK-HERO/1" TargetMode="External"/><Relationship Id="rId1071" Type="http://schemas.openxmlformats.org/officeDocument/2006/relationships/hyperlink" Target="https://assets.vans.eu/images/VN000D2T0V7-HERO/1" TargetMode="External"/><Relationship Id="rId2122" Type="http://schemas.openxmlformats.org/officeDocument/2006/relationships/hyperlink" Target="https://assets.vans.eu/images/VN000M8UWHT-HERO/1" TargetMode="External"/><Relationship Id="rId301" Type="http://schemas.openxmlformats.org/officeDocument/2006/relationships/hyperlink" Target="https://assets.vans.eu/images/VN000QBEF0E-HERO/1" TargetMode="External"/><Relationship Id="rId1888" Type="http://schemas.openxmlformats.org/officeDocument/2006/relationships/hyperlink" Target="https://assets.vans.eu/images/VN000D4N2B6-HERO/1" TargetMode="External"/><Relationship Id="rId2939" Type="http://schemas.openxmlformats.org/officeDocument/2006/relationships/hyperlink" Target="https://assets.vans.eu/images/VN000FVH4MG-HERO/1" TargetMode="External"/><Relationship Id="rId4087" Type="http://schemas.openxmlformats.org/officeDocument/2006/relationships/hyperlink" Target="https://assets.vans.eu/images/VN000D1HFUH-HERO/1" TargetMode="External"/><Relationship Id="rId4294" Type="http://schemas.openxmlformats.org/officeDocument/2006/relationships/hyperlink" Target="https://assets.vans.eu/images/VN000D5VZRY-HERO/1" TargetMode="External"/><Relationship Id="rId1748" Type="http://schemas.openxmlformats.org/officeDocument/2006/relationships/hyperlink" Target="https://assets.vans.eu/images/VN000PTBF0W-HERO/1" TargetMode="External"/><Relationship Id="rId4154" Type="http://schemas.openxmlformats.org/officeDocument/2006/relationships/hyperlink" Target="https://assets.vans.eu/images/VN000D22BRD-HERO/1" TargetMode="External"/><Relationship Id="rId4361" Type="http://schemas.openxmlformats.org/officeDocument/2006/relationships/hyperlink" Target="https://assets.vans.eu/images/VN000D6SYW3-HERO/1" TargetMode="External"/><Relationship Id="rId1955" Type="http://schemas.openxmlformats.org/officeDocument/2006/relationships/hyperlink" Target="https://assets.vans.eu/images/VN000DAQ02Y-HERO/1" TargetMode="External"/><Relationship Id="rId3170" Type="http://schemas.openxmlformats.org/officeDocument/2006/relationships/hyperlink" Target="https://assets.vans.eu/images/VN000M9HFS8-HERO/1" TargetMode="External"/><Relationship Id="rId4014" Type="http://schemas.openxmlformats.org/officeDocument/2006/relationships/hyperlink" Target="https://assets.vans.eu/images/VN000CZHBIL-HERO/1" TargetMode="External"/><Relationship Id="rId4221" Type="http://schemas.openxmlformats.org/officeDocument/2006/relationships/hyperlink" Target="https://assets.vans.eu/images/VN000D3MJDU-HERO/1" TargetMode="External"/><Relationship Id="rId1608" Type="http://schemas.openxmlformats.org/officeDocument/2006/relationships/hyperlink" Target="https://assets.vans.eu/images/VN000G8MEHC-HERO/1" TargetMode="External"/><Relationship Id="rId1815" Type="http://schemas.openxmlformats.org/officeDocument/2006/relationships/hyperlink" Target="https://assets.vans.eu/images/VN000BCELLC-HERO/1" TargetMode="External"/><Relationship Id="rId3030" Type="http://schemas.openxmlformats.org/officeDocument/2006/relationships/hyperlink" Target="https://assets.vans.eu/images/VN000HZBKCZ-HERO/1" TargetMode="External"/><Relationship Id="rId3987" Type="http://schemas.openxmlformats.org/officeDocument/2006/relationships/hyperlink" Target="https://assets.vans.eu/images/VN000CYPDJR-HERO/1" TargetMode="External"/><Relationship Id="rId2589" Type="http://schemas.openxmlformats.org/officeDocument/2006/relationships/hyperlink" Target="https://assets.vans.eu/images/VN000D221NU-HERO/1" TargetMode="External"/><Relationship Id="rId2796" Type="http://schemas.openxmlformats.org/officeDocument/2006/relationships/hyperlink" Target="https://assets.vans.eu/images/VN000ECGBFC-HERO/1" TargetMode="External"/><Relationship Id="rId3847" Type="http://schemas.openxmlformats.org/officeDocument/2006/relationships/hyperlink" Target="https://assets.vans.eu/images/VN000CTGPIB-HERO/1" TargetMode="External"/><Relationship Id="rId768" Type="http://schemas.openxmlformats.org/officeDocument/2006/relationships/hyperlink" Target="https://assets.vans.eu/images/VN000E9ZYF5-HERO/1" TargetMode="External"/><Relationship Id="rId975" Type="http://schemas.openxmlformats.org/officeDocument/2006/relationships/hyperlink" Target="https://assets.vans.eu/images/VN0A5FCB1N6-HERO/1" TargetMode="External"/><Relationship Id="rId1398" Type="http://schemas.openxmlformats.org/officeDocument/2006/relationships/hyperlink" Target="https://assets.vans.eu/images/VN000Q08BLK-HERO/1" TargetMode="External"/><Relationship Id="rId2449" Type="http://schemas.openxmlformats.org/officeDocument/2006/relationships/hyperlink" Target="https://assets.vans.eu/images/VN000CQ0Y09-HERO/1" TargetMode="External"/><Relationship Id="rId2656" Type="http://schemas.openxmlformats.org/officeDocument/2006/relationships/hyperlink" Target="https://assets.vans.eu/images/VN000D6FBF0-HERO/1" TargetMode="External"/><Relationship Id="rId2863" Type="http://schemas.openxmlformats.org/officeDocument/2006/relationships/hyperlink" Target="https://assets.vans.eu/images/VN000F0UJDU-HERO/1" TargetMode="External"/><Relationship Id="rId3707" Type="http://schemas.openxmlformats.org/officeDocument/2006/relationships/hyperlink" Target="https://assets.vans.eu/images/VN0007P2TWB-HERO/1" TargetMode="External"/><Relationship Id="rId3914" Type="http://schemas.openxmlformats.org/officeDocument/2006/relationships/hyperlink" Target="https://assets.vans.eu/images/VN000CVUE2V-HERO/1" TargetMode="External"/><Relationship Id="rId5062" Type="http://schemas.openxmlformats.org/officeDocument/2006/relationships/hyperlink" Target="https://assets.vans.eu/images/VN0A5FCCBJB-HERO/1" TargetMode="External"/><Relationship Id="rId628" Type="http://schemas.openxmlformats.org/officeDocument/2006/relationships/hyperlink" Target="https://assets.vans.eu/images/VN000CWELZZ-HERO/1" TargetMode="External"/><Relationship Id="rId835" Type="http://schemas.openxmlformats.org/officeDocument/2006/relationships/hyperlink" Target="https://assets.vans.eu/images/VN000CVTWHP-HERO/1" TargetMode="External"/><Relationship Id="rId1258" Type="http://schemas.openxmlformats.org/officeDocument/2006/relationships/hyperlink" Target="https://assets.vans.eu/images/VN000D6CCI2-HERO/1" TargetMode="External"/><Relationship Id="rId1465" Type="http://schemas.openxmlformats.org/officeDocument/2006/relationships/hyperlink" Target="https://assets.vans.eu/images/VN000CV4EMR-HERO/1" TargetMode="External"/><Relationship Id="rId1672" Type="http://schemas.openxmlformats.org/officeDocument/2006/relationships/hyperlink" Target="https://assets.vans.eu/images/VN000MJVDZ9-HERO/1" TargetMode="External"/><Relationship Id="rId2309" Type="http://schemas.openxmlformats.org/officeDocument/2006/relationships/hyperlink" Target="https://assets.vans.eu/images/VN000PXS6JL-HERO/1" TargetMode="External"/><Relationship Id="rId2516" Type="http://schemas.openxmlformats.org/officeDocument/2006/relationships/hyperlink" Target="https://assets.vans.eu/images/VN000CYARV2-HERO/1" TargetMode="External"/><Relationship Id="rId2723" Type="http://schemas.openxmlformats.org/officeDocument/2006/relationships/hyperlink" Target="https://assets.vans.eu/images/VN000DA18DX-HERO/1" TargetMode="External"/><Relationship Id="rId1118" Type="http://schemas.openxmlformats.org/officeDocument/2006/relationships/hyperlink" Target="https://assets.vans.eu/images/VN000HGJFS8-HERO/1" TargetMode="External"/><Relationship Id="rId1325" Type="http://schemas.openxmlformats.org/officeDocument/2006/relationships/hyperlink" Target="https://assets.vans.eu/images/VN000KURBLK-HERO/1" TargetMode="External"/><Relationship Id="rId1532" Type="http://schemas.openxmlformats.org/officeDocument/2006/relationships/hyperlink" Target="https://assets.vans.eu/images/VN000D9YTUP-HERO/1" TargetMode="External"/><Relationship Id="rId2930" Type="http://schemas.openxmlformats.org/officeDocument/2006/relationships/hyperlink" Target="https://assets.vans.eu/images/VN0008N5CR6-HERO/1" TargetMode="External"/><Relationship Id="rId4688" Type="http://schemas.openxmlformats.org/officeDocument/2006/relationships/hyperlink" Target="https://assets.vans.eu/images/VN000W9T9AL-HERO/1" TargetMode="External"/><Relationship Id="rId902" Type="http://schemas.openxmlformats.org/officeDocument/2006/relationships/hyperlink" Target="https://assets.vans.eu/images/VN000PXS6JL-HERO/1" TargetMode="External"/><Relationship Id="rId3497" Type="http://schemas.openxmlformats.org/officeDocument/2006/relationships/hyperlink" Target="https://assets.vans.eu/images/VN000Q0ACDX-HERO/1" TargetMode="External"/><Relationship Id="rId4895" Type="http://schemas.openxmlformats.org/officeDocument/2006/relationships/hyperlink" Target="https://assets.vans.eu/images/VN000MRJYQX-HERO/1" TargetMode="External"/><Relationship Id="rId31" Type="http://schemas.openxmlformats.org/officeDocument/2006/relationships/hyperlink" Target="https://assets.vans.eu/images/VN000R32EN7-HERO/1" TargetMode="External"/><Relationship Id="rId2099" Type="http://schemas.openxmlformats.org/officeDocument/2006/relationships/hyperlink" Target="https://assets.vans.eu/images/VN000M10ZUJ-HERO/1" TargetMode="External"/><Relationship Id="rId4548" Type="http://schemas.openxmlformats.org/officeDocument/2006/relationships/hyperlink" Target="https://assets.vans.eu/images/VN000DAQ239-HERO/1" TargetMode="External"/><Relationship Id="rId4755" Type="http://schemas.openxmlformats.org/officeDocument/2006/relationships/hyperlink" Target="https://assets.vans.eu/images/VN0A5FCDEMW-HERO/1" TargetMode="External"/><Relationship Id="rId4962" Type="http://schemas.openxmlformats.org/officeDocument/2006/relationships/hyperlink" Target="https://assets.vans.eu/images/VN000D5RHT3-HERO/1" TargetMode="External"/><Relationship Id="rId278" Type="http://schemas.openxmlformats.org/officeDocument/2006/relationships/hyperlink" Target="https://assets.vans.eu/images/VN000D1JY23-HERO/1" TargetMode="External"/><Relationship Id="rId3357" Type="http://schemas.openxmlformats.org/officeDocument/2006/relationships/hyperlink" Target="https://assets.vans.eu/images/VN000PC2WHT-HERO/1" TargetMode="External"/><Relationship Id="rId3564" Type="http://schemas.openxmlformats.org/officeDocument/2006/relationships/hyperlink" Target="https://assets.vans.eu/images/VN000RA2WHT-HERO/1" TargetMode="External"/><Relationship Id="rId3771" Type="http://schemas.openxmlformats.org/officeDocument/2006/relationships/hyperlink" Target="https://assets.vans.eu/images/VN000CP6BKA-HERO/1" TargetMode="External"/><Relationship Id="rId4408" Type="http://schemas.openxmlformats.org/officeDocument/2006/relationships/hyperlink" Target="https://assets.vans.eu/images/VN000D6ZEMT-HERO/1" TargetMode="External"/><Relationship Id="rId4615" Type="http://schemas.openxmlformats.org/officeDocument/2006/relationships/hyperlink" Target="https://assets.vans.eu/images/VN000E8WBRD-HERO/1" TargetMode="External"/><Relationship Id="rId4822" Type="http://schemas.openxmlformats.org/officeDocument/2006/relationships/hyperlink" Target="https://assets.vans.eu/images/VN000CVURV2-HERO/1" TargetMode="External"/><Relationship Id="rId485" Type="http://schemas.openxmlformats.org/officeDocument/2006/relationships/hyperlink" Target="https://assets.vans.eu/images/VN000R04EMF-HERO/1" TargetMode="External"/><Relationship Id="rId692" Type="http://schemas.openxmlformats.org/officeDocument/2006/relationships/hyperlink" Target="https://assets.vans.eu/images/VN000DAQ1MG-HERO/1" TargetMode="External"/><Relationship Id="rId2166" Type="http://schemas.openxmlformats.org/officeDocument/2006/relationships/hyperlink" Target="https://assets.vans.eu/images/VN000NWBCFL-HERO/1" TargetMode="External"/><Relationship Id="rId2373" Type="http://schemas.openxmlformats.org/officeDocument/2006/relationships/hyperlink" Target="https://assets.vans.eu/images/VN0A3UDDWHT-HERO/1" TargetMode="External"/><Relationship Id="rId2580" Type="http://schemas.openxmlformats.org/officeDocument/2006/relationships/hyperlink" Target="https://assets.vans.eu/images/VN000D1J4C6-HERO/1" TargetMode="External"/><Relationship Id="rId3217" Type="http://schemas.openxmlformats.org/officeDocument/2006/relationships/hyperlink" Target="https://assets.vans.eu/images/VN000MKUWHT-HERO/1" TargetMode="External"/><Relationship Id="rId3424" Type="http://schemas.openxmlformats.org/officeDocument/2006/relationships/hyperlink" Target="https://assets.vans.eu/images/VN000PKEEN9-HERO/1" TargetMode="External"/><Relationship Id="rId3631" Type="http://schemas.openxmlformats.org/officeDocument/2006/relationships/hyperlink" Target="https://assets.vans.eu/images/VN0A3UDCBLK-HERO/1" TargetMode="External"/><Relationship Id="rId138" Type="http://schemas.openxmlformats.org/officeDocument/2006/relationships/hyperlink" Target="https://assets.vans.eu/images/VN000JTRDBC-HERO/1" TargetMode="External"/><Relationship Id="rId345" Type="http://schemas.openxmlformats.org/officeDocument/2006/relationships/hyperlink" Target="https://assets.vans.eu/images/VN000G75D6Z-HERO/1" TargetMode="External"/><Relationship Id="rId552" Type="http://schemas.openxmlformats.org/officeDocument/2006/relationships/hyperlink" Target="https://assets.vans.eu/images/VN000MGTBL2-HERO/1" TargetMode="External"/><Relationship Id="rId1182" Type="http://schemas.openxmlformats.org/officeDocument/2006/relationships/hyperlink" Target="https://assets.vans.eu/images/VN000PN9ZX7-HERO/1" TargetMode="External"/><Relationship Id="rId2026" Type="http://schemas.openxmlformats.org/officeDocument/2006/relationships/hyperlink" Target="https://assets.vans.eu/images/VN0A48HCYB2-HERO/1" TargetMode="External"/><Relationship Id="rId2233" Type="http://schemas.openxmlformats.org/officeDocument/2006/relationships/hyperlink" Target="https://assets.vans.eu/images/VN000PFF2B6-HERO/1" TargetMode="External"/><Relationship Id="rId2440" Type="http://schemas.openxmlformats.org/officeDocument/2006/relationships/hyperlink" Target="https://assets.vans.eu/images/VN000CQ04C3-HERO/1" TargetMode="External"/><Relationship Id="rId205" Type="http://schemas.openxmlformats.org/officeDocument/2006/relationships/hyperlink" Target="https://assets.vans.eu/images/VN000KXMY7U-HERO/1" TargetMode="External"/><Relationship Id="rId412" Type="http://schemas.openxmlformats.org/officeDocument/2006/relationships/hyperlink" Target="https://assets.vans.eu/images/VN000P58EMW-HERO/1" TargetMode="External"/><Relationship Id="rId1042" Type="http://schemas.openxmlformats.org/officeDocument/2006/relationships/hyperlink" Target="https://assets.vans.eu/images/VN000RD71O7-HERO/1" TargetMode="External"/><Relationship Id="rId2300" Type="http://schemas.openxmlformats.org/officeDocument/2006/relationships/hyperlink" Target="https://assets.vans.eu/images/VN000PWXBLK-HERO/1" TargetMode="External"/><Relationship Id="rId4198" Type="http://schemas.openxmlformats.org/officeDocument/2006/relationships/hyperlink" Target="https://assets.vans.eu/images/VN000D29EMW-HERO/1" TargetMode="External"/><Relationship Id="rId1999" Type="http://schemas.openxmlformats.org/officeDocument/2006/relationships/hyperlink" Target="https://assets.vans.eu/images/VN0A5FCDGPE-HERO/1" TargetMode="External"/><Relationship Id="rId4058" Type="http://schemas.openxmlformats.org/officeDocument/2006/relationships/hyperlink" Target="https://assets.vans.eu/images/VN000D10N1Z-HERO/1" TargetMode="External"/><Relationship Id="rId4265" Type="http://schemas.openxmlformats.org/officeDocument/2006/relationships/hyperlink" Target="https://assets.vans.eu/images/VN000D5DDUF-HERO/1" TargetMode="External"/><Relationship Id="rId4472" Type="http://schemas.openxmlformats.org/officeDocument/2006/relationships/hyperlink" Target="https://assets.vans.eu/images/VN000D8WE2V-HERO/1" TargetMode="External"/><Relationship Id="rId1859" Type="http://schemas.openxmlformats.org/officeDocument/2006/relationships/hyperlink" Target="https://assets.vans.eu/images/VN000D0HEMY-HERO/1" TargetMode="External"/><Relationship Id="rId3074" Type="http://schemas.openxmlformats.org/officeDocument/2006/relationships/hyperlink" Target="https://assets.vans.eu/images/VN000JY412S-HERO/1" TargetMode="External"/><Relationship Id="rId4125" Type="http://schemas.openxmlformats.org/officeDocument/2006/relationships/hyperlink" Target="https://assets.vans.eu/images/VN000D1JOVM-HERO/1" TargetMode="External"/><Relationship Id="rId1719" Type="http://schemas.openxmlformats.org/officeDocument/2006/relationships/hyperlink" Target="https://assets.vans.eu/images/VN000PJMZBF-HERO/1" TargetMode="External"/><Relationship Id="rId1926" Type="http://schemas.openxmlformats.org/officeDocument/2006/relationships/hyperlink" Target="https://assets.vans.eu/images/VN000D6YEZI-HERO/1" TargetMode="External"/><Relationship Id="rId3281" Type="http://schemas.openxmlformats.org/officeDocument/2006/relationships/hyperlink" Target="https://assets.vans.eu/images/VN000P54ZUJ-HERO/1" TargetMode="External"/><Relationship Id="rId4332" Type="http://schemas.openxmlformats.org/officeDocument/2006/relationships/hyperlink" Target="https://assets.vans.eu/images/VN000D6FBGK-HERO/1" TargetMode="External"/><Relationship Id="rId2090" Type="http://schemas.openxmlformats.org/officeDocument/2006/relationships/hyperlink" Target="https://assets.vans.eu/images/VN000K8WBLK-HERO/1" TargetMode="External"/><Relationship Id="rId3141" Type="http://schemas.openxmlformats.org/officeDocument/2006/relationships/hyperlink" Target="https://assets.vans.eu/images/VN000M6RWHT-HERO/1" TargetMode="External"/><Relationship Id="rId3001" Type="http://schemas.openxmlformats.org/officeDocument/2006/relationships/hyperlink" Target="https://assets.vans.eu/images/VN000HJTBLK-HERO/1" TargetMode="External"/><Relationship Id="rId3958" Type="http://schemas.openxmlformats.org/officeDocument/2006/relationships/hyperlink" Target="https://assets.vans.eu/images/VN000CWE98L-HERO/1" TargetMode="External"/><Relationship Id="rId879" Type="http://schemas.openxmlformats.org/officeDocument/2006/relationships/hyperlink" Target="https://assets.vans.eu/images/VN000M9GJDU-HERO/1" TargetMode="External"/><Relationship Id="rId2767" Type="http://schemas.openxmlformats.org/officeDocument/2006/relationships/hyperlink" Target="https://assets.vans.eu/images/VN000DCBYJ7-HERO/1" TargetMode="External"/><Relationship Id="rId739" Type="http://schemas.openxmlformats.org/officeDocument/2006/relationships/hyperlink" Target="https://assets.vans.eu/images/VN000REMBLK-HERO/1" TargetMode="External"/><Relationship Id="rId1369" Type="http://schemas.openxmlformats.org/officeDocument/2006/relationships/hyperlink" Target="https://assets.vans.eu/images/VN000PFBEMU-HERO/1" TargetMode="External"/><Relationship Id="rId1576" Type="http://schemas.openxmlformats.org/officeDocument/2006/relationships/hyperlink" Target="https://assets.vans.eu/images/VN000GMZWHT-HERO/1" TargetMode="External"/><Relationship Id="rId2974" Type="http://schemas.openxmlformats.org/officeDocument/2006/relationships/hyperlink" Target="https://assets.vans.eu/images/VN000GFFWHT-HERO/1" TargetMode="External"/><Relationship Id="rId3818" Type="http://schemas.openxmlformats.org/officeDocument/2006/relationships/hyperlink" Target="https://assets.vans.eu/images/VN000CR5EPO-HERO/1" TargetMode="External"/><Relationship Id="rId5033" Type="http://schemas.openxmlformats.org/officeDocument/2006/relationships/hyperlink" Target="https://assets.vans.eu/images/VN0A2Z35BFA-HERO/1" TargetMode="External"/><Relationship Id="rId946" Type="http://schemas.openxmlformats.org/officeDocument/2006/relationships/hyperlink" Target="https://assets.vans.eu/images/VN000D0MKCZ-HERO/1" TargetMode="External"/><Relationship Id="rId1229" Type="http://schemas.openxmlformats.org/officeDocument/2006/relationships/hyperlink" Target="https://assets.vans.eu/images/VN000CYU4Y4-HERO/1" TargetMode="External"/><Relationship Id="rId1783" Type="http://schemas.openxmlformats.org/officeDocument/2006/relationships/hyperlink" Target="https://assets.vans.eu/images/VN000R4Z7D6-HERO/1" TargetMode="External"/><Relationship Id="rId1990" Type="http://schemas.openxmlformats.org/officeDocument/2006/relationships/hyperlink" Target="https://assets.vans.eu/images/VN0A2Z4CEL7-HERO/1" TargetMode="External"/><Relationship Id="rId2627" Type="http://schemas.openxmlformats.org/officeDocument/2006/relationships/hyperlink" Target="https://assets.vans.eu/images/VN000D5RBRG-HERO/1" TargetMode="External"/><Relationship Id="rId2834" Type="http://schemas.openxmlformats.org/officeDocument/2006/relationships/hyperlink" Target="https://assets.vans.eu/images/VN0A5FCAPIB-HERO/1" TargetMode="External"/><Relationship Id="rId75" Type="http://schemas.openxmlformats.org/officeDocument/2006/relationships/hyperlink" Target="https://assets.vans.eu/images/VN000K9YBHH-HERO/1" TargetMode="External"/><Relationship Id="rId806" Type="http://schemas.openxmlformats.org/officeDocument/2006/relationships/hyperlink" Target="https://assets.vans.eu/images/VN000PMABLK-HERO/1" TargetMode="External"/><Relationship Id="rId1436" Type="http://schemas.openxmlformats.org/officeDocument/2006/relationships/hyperlink" Target="https://assets.vans.eu/images/VN000H4YD3Z-HERO/1" TargetMode="External"/><Relationship Id="rId1643" Type="http://schemas.openxmlformats.org/officeDocument/2006/relationships/hyperlink" Target="https://assets.vans.eu/images/VN000KASFS8-HERO/1" TargetMode="External"/><Relationship Id="rId1850" Type="http://schemas.openxmlformats.org/officeDocument/2006/relationships/hyperlink" Target="https://assets.vans.eu/images/VN000CYKEN7-HERO/1" TargetMode="External"/><Relationship Id="rId2901" Type="http://schemas.openxmlformats.org/officeDocument/2006/relationships/hyperlink" Target="https://assets.vans.eu/images/VN0A31J6BLK-HERO/1" TargetMode="External"/><Relationship Id="rId4799" Type="http://schemas.openxmlformats.org/officeDocument/2006/relationships/hyperlink" Target="https://assets.vans.eu/images/VN000PP2BLK-HERO/1" TargetMode="External"/><Relationship Id="rId1503" Type="http://schemas.openxmlformats.org/officeDocument/2006/relationships/hyperlink" Target="https://assets.vans.eu/images/VN000D4MKCZ-HERO/1" TargetMode="External"/><Relationship Id="rId1710" Type="http://schemas.openxmlformats.org/officeDocument/2006/relationships/hyperlink" Target="https://assets.vans.eu/images/VN000PCXEMS-HERO/1" TargetMode="External"/><Relationship Id="rId4659" Type="http://schemas.openxmlformats.org/officeDocument/2006/relationships/hyperlink" Target="https://assets.vans.eu/images/VN000EDNGRY-HERO/1" TargetMode="External"/><Relationship Id="rId4866" Type="http://schemas.openxmlformats.org/officeDocument/2006/relationships/hyperlink" Target="https://assets.vans.eu/images/VN000EJTTC4-HERO/1" TargetMode="External"/><Relationship Id="rId3468" Type="http://schemas.openxmlformats.org/officeDocument/2006/relationships/hyperlink" Target="https://assets.vans.eu/images/VN000PTHWHT-HERO/1" TargetMode="External"/><Relationship Id="rId3675" Type="http://schemas.openxmlformats.org/officeDocument/2006/relationships/hyperlink" Target="https://assets.vans.eu/images/VN0A7Y4RJNH-HERO/1" TargetMode="External"/><Relationship Id="rId3882" Type="http://schemas.openxmlformats.org/officeDocument/2006/relationships/hyperlink" Target="https://assets.vans.eu/images/VN000CVS1OJ-HERO/1" TargetMode="External"/><Relationship Id="rId4519" Type="http://schemas.openxmlformats.org/officeDocument/2006/relationships/hyperlink" Target="https://assets.vans.eu/images/VN000DA2B9M-HERO/1" TargetMode="External"/><Relationship Id="rId4726" Type="http://schemas.openxmlformats.org/officeDocument/2006/relationships/hyperlink" Target="https://assets.vans.eu/images/VN0A4U1KBM7-HERO/1" TargetMode="External"/><Relationship Id="rId4933" Type="http://schemas.openxmlformats.org/officeDocument/2006/relationships/hyperlink" Target="https://assets.vans.eu/images/VN000D1G92A-HERO/1" TargetMode="External"/><Relationship Id="rId389" Type="http://schemas.openxmlformats.org/officeDocument/2006/relationships/hyperlink" Target="https://assets.vans.eu/images/VN000G756PH-HERO/1" TargetMode="External"/><Relationship Id="rId596" Type="http://schemas.openxmlformats.org/officeDocument/2006/relationships/hyperlink" Target="https://assets.vans.eu/images/VN000G75BL2-HERO/1" TargetMode="External"/><Relationship Id="rId2277" Type="http://schemas.openxmlformats.org/officeDocument/2006/relationships/hyperlink" Target="https://assets.vans.eu/images/VN000PNCRKZ-HERO/1" TargetMode="External"/><Relationship Id="rId2484" Type="http://schemas.openxmlformats.org/officeDocument/2006/relationships/hyperlink" Target="https://assets.vans.eu/images/VN000CVU85T-HERO/1" TargetMode="External"/><Relationship Id="rId2691" Type="http://schemas.openxmlformats.org/officeDocument/2006/relationships/hyperlink" Target="https://assets.vans.eu/images/VN000D6ZORA-HERO/1" TargetMode="External"/><Relationship Id="rId3328" Type="http://schemas.openxmlformats.org/officeDocument/2006/relationships/hyperlink" Target="https://assets.vans.eu/images/VN000P8MEMW-HERO/1" TargetMode="External"/><Relationship Id="rId3535" Type="http://schemas.openxmlformats.org/officeDocument/2006/relationships/hyperlink" Target="https://assets.vans.eu/images/VN000QJPWHT-HERO/1" TargetMode="External"/><Relationship Id="rId3742" Type="http://schemas.openxmlformats.org/officeDocument/2006/relationships/hyperlink" Target="https://assets.vans.eu/images/VN000BCELLC-HERO/1" TargetMode="External"/><Relationship Id="rId249" Type="http://schemas.openxmlformats.org/officeDocument/2006/relationships/hyperlink" Target="https://assets.vans.eu/images/VN000G75D6Z-HERO/1" TargetMode="External"/><Relationship Id="rId456" Type="http://schemas.openxmlformats.org/officeDocument/2006/relationships/hyperlink" Target="https://assets.vans.eu/images/VN000D11N1Z-HERO/1" TargetMode="External"/><Relationship Id="rId663" Type="http://schemas.openxmlformats.org/officeDocument/2006/relationships/hyperlink" Target="https://assets.vans.eu/images/VN000PR3EN9-HERO/1" TargetMode="External"/><Relationship Id="rId870" Type="http://schemas.openxmlformats.org/officeDocument/2006/relationships/hyperlink" Target="https://assets.vans.eu/images/VN0008NACDX-HERO/1" TargetMode="External"/><Relationship Id="rId1086" Type="http://schemas.openxmlformats.org/officeDocument/2006/relationships/hyperlink" Target="https://assets.vans.eu/images/VN000EDNAH9-HERO/1" TargetMode="External"/><Relationship Id="rId1293" Type="http://schemas.openxmlformats.org/officeDocument/2006/relationships/hyperlink" Target="https://assets.vans.eu/images/VN000Q18JDU-HERO/1" TargetMode="External"/><Relationship Id="rId2137" Type="http://schemas.openxmlformats.org/officeDocument/2006/relationships/hyperlink" Target="https://assets.vans.eu/images/VN000MAME2W-HERO/1" TargetMode="External"/><Relationship Id="rId2344" Type="http://schemas.openxmlformats.org/officeDocument/2006/relationships/hyperlink" Target="https://assets.vans.eu/images/VN000RD1EMW-HERO/1" TargetMode="External"/><Relationship Id="rId2551" Type="http://schemas.openxmlformats.org/officeDocument/2006/relationships/hyperlink" Target="https://assets.vans.eu/images/VN000D0MBZW-HERO/1" TargetMode="External"/><Relationship Id="rId2789" Type="http://schemas.openxmlformats.org/officeDocument/2006/relationships/hyperlink" Target="https://assets.vans.eu/images/VN000EB4TAN-HERO/1" TargetMode="External"/><Relationship Id="rId2996" Type="http://schemas.openxmlformats.org/officeDocument/2006/relationships/hyperlink" Target="https://assets.vans.eu/images/VN000HGE0E0-HERO/1" TargetMode="External"/><Relationship Id="rId109" Type="http://schemas.openxmlformats.org/officeDocument/2006/relationships/hyperlink" Target="https://assets.vans.eu/images/VN000M8EBL2-HERO/1" TargetMode="External"/><Relationship Id="rId316" Type="http://schemas.openxmlformats.org/officeDocument/2006/relationships/hyperlink" Target="https://assets.vans.eu/images/VN000CQ0O33-HERO/1" TargetMode="External"/><Relationship Id="rId523" Type="http://schemas.openxmlformats.org/officeDocument/2006/relationships/hyperlink" Target="https://assets.vans.eu/images/VN000REFWHT-HERO/1" TargetMode="External"/><Relationship Id="rId968" Type="http://schemas.openxmlformats.org/officeDocument/2006/relationships/hyperlink" Target="https://assets.vans.eu/images/VN000E8CGMX-HERO/1" TargetMode="External"/><Relationship Id="rId1153" Type="http://schemas.openxmlformats.org/officeDocument/2006/relationships/hyperlink" Target="https://assets.vans.eu/images/VN000P50EMW-HERO/1" TargetMode="External"/><Relationship Id="rId1598" Type="http://schemas.openxmlformats.org/officeDocument/2006/relationships/hyperlink" Target="https://assets.vans.eu/images/VN0A7PTC85W-HERO/1" TargetMode="External"/><Relationship Id="rId2204" Type="http://schemas.openxmlformats.org/officeDocument/2006/relationships/hyperlink" Target="https://assets.vans.eu/images/VN000P88BLK-HERO/1" TargetMode="External"/><Relationship Id="rId2649" Type="http://schemas.openxmlformats.org/officeDocument/2006/relationships/hyperlink" Target="https://assets.vans.eu/images/VN000D61TBN-HERO/1" TargetMode="External"/><Relationship Id="rId2856" Type="http://schemas.openxmlformats.org/officeDocument/2006/relationships/hyperlink" Target="https://assets.vans.eu/images/VN0008NSLKZ-HERO/1" TargetMode="External"/><Relationship Id="rId3602" Type="http://schemas.openxmlformats.org/officeDocument/2006/relationships/hyperlink" Target="https://assets.vans.eu/images/VN000RM1AHU-HERO/1" TargetMode="External"/><Relationship Id="rId3907" Type="http://schemas.openxmlformats.org/officeDocument/2006/relationships/hyperlink" Target="https://assets.vans.eu/images/VN000CVUBLK-HERO/1" TargetMode="External"/><Relationship Id="rId5055" Type="http://schemas.openxmlformats.org/officeDocument/2006/relationships/hyperlink" Target="https://assets.vans.eu/images/VN0A2Z3UCX6-HERO/1" TargetMode="External"/><Relationship Id="rId97" Type="http://schemas.openxmlformats.org/officeDocument/2006/relationships/hyperlink" Target="https://assets.vans.eu/images/VN000D220VW-HERO/1" TargetMode="External"/><Relationship Id="rId730" Type="http://schemas.openxmlformats.org/officeDocument/2006/relationships/hyperlink" Target="https://assets.vans.eu/images/VN000Q33EMF-HERO/1" TargetMode="External"/><Relationship Id="rId828" Type="http://schemas.openxmlformats.org/officeDocument/2006/relationships/hyperlink" Target="https://assets.vans.eu/images/VN00104UWHT-HERO/1" TargetMode="External"/><Relationship Id="rId1013" Type="http://schemas.openxmlformats.org/officeDocument/2006/relationships/hyperlink" Target="https://assets.vans.eu/images/VN000P78EMP-HERO/1" TargetMode="External"/><Relationship Id="rId1360" Type="http://schemas.openxmlformats.org/officeDocument/2006/relationships/hyperlink" Target="https://assets.vans.eu/images/VN000P5T5TU-HERO/1" TargetMode="External"/><Relationship Id="rId1458" Type="http://schemas.openxmlformats.org/officeDocument/2006/relationships/hyperlink" Target="https://assets.vans.eu/images/VN000CTG448-HERO/1" TargetMode="External"/><Relationship Id="rId1665" Type="http://schemas.openxmlformats.org/officeDocument/2006/relationships/hyperlink" Target="https://assets.vans.eu/images/VN000MBHC9L-HERO/1" TargetMode="External"/><Relationship Id="rId1872" Type="http://schemas.openxmlformats.org/officeDocument/2006/relationships/hyperlink" Target="https://assets.vans.eu/images/VN000D1H7VF-HERO/1" TargetMode="External"/><Relationship Id="rId2411" Type="http://schemas.openxmlformats.org/officeDocument/2006/relationships/hyperlink" Target="https://assets.vans.eu/images/VN0007P9EN9-HERO/1" TargetMode="External"/><Relationship Id="rId2509" Type="http://schemas.openxmlformats.org/officeDocument/2006/relationships/hyperlink" Target="https://assets.vans.eu/images/VN000CWEKKK-HERO/1" TargetMode="External"/><Relationship Id="rId2716" Type="http://schemas.openxmlformats.org/officeDocument/2006/relationships/hyperlink" Target="https://assets.vans.eu/images/VN000D9YTUP-HERO/1" TargetMode="External"/><Relationship Id="rId4071" Type="http://schemas.openxmlformats.org/officeDocument/2006/relationships/hyperlink" Target="https://assets.vans.eu/images/VN000D1BEMU-HERO/1" TargetMode="External"/><Relationship Id="rId4169" Type="http://schemas.openxmlformats.org/officeDocument/2006/relationships/hyperlink" Target="https://assets.vans.eu/images/VN000D25OVM-HERO/1" TargetMode="External"/><Relationship Id="rId1220" Type="http://schemas.openxmlformats.org/officeDocument/2006/relationships/hyperlink" Target="https://assets.vans.eu/images/VN000CTGREB-HERO/1" TargetMode="External"/><Relationship Id="rId1318" Type="http://schemas.openxmlformats.org/officeDocument/2006/relationships/hyperlink" Target="https://assets.vans.eu/images/VN000JUABLK-HERO/1" TargetMode="External"/><Relationship Id="rId1525" Type="http://schemas.openxmlformats.org/officeDocument/2006/relationships/hyperlink" Target="https://assets.vans.eu/images/VN000D85EME-HERO/1" TargetMode="External"/><Relationship Id="rId2923" Type="http://schemas.openxmlformats.org/officeDocument/2006/relationships/hyperlink" Target="https://assets.vans.eu/images/VN0008C7BLK-HERO/1" TargetMode="External"/><Relationship Id="rId4376" Type="http://schemas.openxmlformats.org/officeDocument/2006/relationships/hyperlink" Target="https://assets.vans.eu/images/VN000D6WEMG-HERO/1" TargetMode="External"/><Relationship Id="rId4583" Type="http://schemas.openxmlformats.org/officeDocument/2006/relationships/hyperlink" Target="https://assets.vans.eu/images/VN000DB1EMG-HERO/1" TargetMode="External"/><Relationship Id="rId4790" Type="http://schemas.openxmlformats.org/officeDocument/2006/relationships/hyperlink" Target="https://assets.vans.eu/images/VN0A5KS5BPO-HERO/1" TargetMode="External"/><Relationship Id="rId1732" Type="http://schemas.openxmlformats.org/officeDocument/2006/relationships/hyperlink" Target="https://assets.vans.eu/images/VN000PN9ZX7-HERO/1" TargetMode="External"/><Relationship Id="rId3185" Type="http://schemas.openxmlformats.org/officeDocument/2006/relationships/hyperlink" Target="https://assets.vans.eu/images/VN000MB2EB2-HERO/1" TargetMode="External"/><Relationship Id="rId3392" Type="http://schemas.openxmlformats.org/officeDocument/2006/relationships/hyperlink" Target="https://assets.vans.eu/images/VN000PFBEMU-HERO/1" TargetMode="External"/><Relationship Id="rId4029" Type="http://schemas.openxmlformats.org/officeDocument/2006/relationships/hyperlink" Target="https://assets.vans.eu/images/VN000D0JRV2-HERO/1" TargetMode="External"/><Relationship Id="rId4236" Type="http://schemas.openxmlformats.org/officeDocument/2006/relationships/hyperlink" Target="https://assets.vans.eu/images/VN000D45EMY-HERO/1" TargetMode="External"/><Relationship Id="rId4443" Type="http://schemas.openxmlformats.org/officeDocument/2006/relationships/hyperlink" Target="https://assets.vans.eu/images/VN000D7ZY7U-HERO/1" TargetMode="External"/><Relationship Id="rId4650" Type="http://schemas.openxmlformats.org/officeDocument/2006/relationships/hyperlink" Target="https://assets.vans.eu/images/VN000EDNAH9-HERO/1" TargetMode="External"/><Relationship Id="rId4888" Type="http://schemas.openxmlformats.org/officeDocument/2006/relationships/hyperlink" Target="https://assets.vans.eu/images/VN000EDNBJB-HERO/1" TargetMode="External"/><Relationship Id="rId24" Type="http://schemas.openxmlformats.org/officeDocument/2006/relationships/hyperlink" Target="https://assets.vans.eu/images/VN0A38G1PHN-HERO/1" TargetMode="External"/><Relationship Id="rId2299" Type="http://schemas.openxmlformats.org/officeDocument/2006/relationships/hyperlink" Target="https://assets.vans.eu/images/VN000PTTBRD-HERO/1" TargetMode="External"/><Relationship Id="rId3045" Type="http://schemas.openxmlformats.org/officeDocument/2006/relationships/hyperlink" Target="https://assets.vans.eu/images/VN000IVFC9L-HERO/1" TargetMode="External"/><Relationship Id="rId3252" Type="http://schemas.openxmlformats.org/officeDocument/2006/relationships/hyperlink" Target="https://assets.vans.eu/images/VN000P1PEMU-HERO/1" TargetMode="External"/><Relationship Id="rId3697" Type="http://schemas.openxmlformats.org/officeDocument/2006/relationships/hyperlink" Target="https://assets.vans.eu/images/VN0005V8174-HERO/1" TargetMode="External"/><Relationship Id="rId4303" Type="http://schemas.openxmlformats.org/officeDocument/2006/relationships/hyperlink" Target="https://assets.vans.eu/images/VN000D60EMW-HERO/1" TargetMode="External"/><Relationship Id="rId4510" Type="http://schemas.openxmlformats.org/officeDocument/2006/relationships/hyperlink" Target="https://assets.vans.eu/images/VN000DA18DX-HERO/1" TargetMode="External"/><Relationship Id="rId4748" Type="http://schemas.openxmlformats.org/officeDocument/2006/relationships/hyperlink" Target="https://assets.vans.eu/images/VN0A5FCBB9M-HERO/1" TargetMode="External"/><Relationship Id="rId4955" Type="http://schemas.openxmlformats.org/officeDocument/2006/relationships/hyperlink" Target="https://assets.vans.eu/images/VN000D3RSQ5-HERO/1" TargetMode="External"/><Relationship Id="rId173" Type="http://schemas.openxmlformats.org/officeDocument/2006/relationships/hyperlink" Target="https://assets.vans.eu/images/VN0A5FJX1O7-HERO/1" TargetMode="External"/><Relationship Id="rId380" Type="http://schemas.openxmlformats.org/officeDocument/2006/relationships/hyperlink" Target="https://assets.vans.eu/images/VN000CQ0O33-HERO/1" TargetMode="External"/><Relationship Id="rId2061" Type="http://schemas.openxmlformats.org/officeDocument/2006/relationships/hyperlink" Target="https://assets.vans.eu/images/VN000HN9DRJ-HERO/1" TargetMode="External"/><Relationship Id="rId3112" Type="http://schemas.openxmlformats.org/officeDocument/2006/relationships/hyperlink" Target="https://assets.vans.eu/images/VN000KYPBLK-HERO/1" TargetMode="External"/><Relationship Id="rId3557" Type="http://schemas.openxmlformats.org/officeDocument/2006/relationships/hyperlink" Target="https://assets.vans.eu/images/VN000R92EMF-HERO/1" TargetMode="External"/><Relationship Id="rId3764" Type="http://schemas.openxmlformats.org/officeDocument/2006/relationships/hyperlink" Target="https://assets.vans.eu/images/VN000CMTNGV-HERO/1" TargetMode="External"/><Relationship Id="rId3971" Type="http://schemas.openxmlformats.org/officeDocument/2006/relationships/hyperlink" Target="https://assets.vans.eu/images/VN000CWF1P0-HERO/1" TargetMode="External"/><Relationship Id="rId4608" Type="http://schemas.openxmlformats.org/officeDocument/2006/relationships/hyperlink" Target="https://assets.vans.eu/images/VN000E8WBGF-HERO/1" TargetMode="External"/><Relationship Id="rId4815" Type="http://schemas.openxmlformats.org/officeDocument/2006/relationships/hyperlink" Target="https://assets.vans.eu/images/VN000J9NCHG-HERO/1" TargetMode="External"/><Relationship Id="rId240" Type="http://schemas.openxmlformats.org/officeDocument/2006/relationships/hyperlink" Target="https://assets.vans.eu/images/VN000Q9DBLK-HERO/1" TargetMode="External"/><Relationship Id="rId478" Type="http://schemas.openxmlformats.org/officeDocument/2006/relationships/hyperlink" Target="https://assets.vans.eu/images/VN000KYXBLK-HERO/1" TargetMode="External"/><Relationship Id="rId685" Type="http://schemas.openxmlformats.org/officeDocument/2006/relationships/hyperlink" Target="https://assets.vans.eu/images/VN000D0MKCZ-HERO/1" TargetMode="External"/><Relationship Id="rId892" Type="http://schemas.openxmlformats.org/officeDocument/2006/relationships/hyperlink" Target="https://assets.vans.eu/images/VN000PDREN7-HERO/1" TargetMode="External"/><Relationship Id="rId2159" Type="http://schemas.openxmlformats.org/officeDocument/2006/relationships/hyperlink" Target="https://assets.vans.eu/images/VN000MKYBLK-HERO/1" TargetMode="External"/><Relationship Id="rId2366" Type="http://schemas.openxmlformats.org/officeDocument/2006/relationships/hyperlink" Target="https://assets.vans.eu/images/VN000XR62N1-HERO/1" TargetMode="External"/><Relationship Id="rId2573" Type="http://schemas.openxmlformats.org/officeDocument/2006/relationships/hyperlink" Target="https://assets.vans.eu/images/VN000D11N1Z-HERO/1" TargetMode="External"/><Relationship Id="rId2780" Type="http://schemas.openxmlformats.org/officeDocument/2006/relationships/hyperlink" Target="https://assets.vans.eu/images/VN000E8WBRD-HERO/1" TargetMode="External"/><Relationship Id="rId3417" Type="http://schemas.openxmlformats.org/officeDocument/2006/relationships/hyperlink" Target="https://assets.vans.eu/images/VN000PJSBLK-HERO/1" TargetMode="External"/><Relationship Id="rId3624" Type="http://schemas.openxmlformats.org/officeDocument/2006/relationships/hyperlink" Target="https://assets.vans.eu/images/VN0A3CZENAV-HERO/1" TargetMode="External"/><Relationship Id="rId3831" Type="http://schemas.openxmlformats.org/officeDocument/2006/relationships/hyperlink" Target="https://assets.vans.eu/images/VN000CS0BRO-HERO/1" TargetMode="External"/><Relationship Id="rId5077" Type="http://schemas.openxmlformats.org/officeDocument/2006/relationships/hyperlink" Target="https://assets.vans.eu/images/VN0A5KQZYY4-HERO/1" TargetMode="External"/><Relationship Id="rId100" Type="http://schemas.openxmlformats.org/officeDocument/2006/relationships/hyperlink" Target="https://assets.vans.eu/images/VN000CTG7VF-HERO/1" TargetMode="External"/><Relationship Id="rId338" Type="http://schemas.openxmlformats.org/officeDocument/2006/relationships/hyperlink" Target="https://assets.vans.eu/images/VN000Q9ZBLK-HERO/1" TargetMode="External"/><Relationship Id="rId545" Type="http://schemas.openxmlformats.org/officeDocument/2006/relationships/hyperlink" Target="https://assets.vans.eu/images/VN000HZABLK-HERO/1" TargetMode="External"/><Relationship Id="rId752" Type="http://schemas.openxmlformats.org/officeDocument/2006/relationships/hyperlink" Target="https://assets.vans.eu/images/VN000D0M11E-HERO/1" TargetMode="External"/><Relationship Id="rId1175" Type="http://schemas.openxmlformats.org/officeDocument/2006/relationships/hyperlink" Target="https://assets.vans.eu/images/VN000PK5BLK-HERO/1" TargetMode="External"/><Relationship Id="rId1382" Type="http://schemas.openxmlformats.org/officeDocument/2006/relationships/hyperlink" Target="https://assets.vans.eu/images/VN000PMABLK-HERO/1" TargetMode="External"/><Relationship Id="rId2019" Type="http://schemas.openxmlformats.org/officeDocument/2006/relationships/hyperlink" Target="https://assets.vans.eu/images/VN000QB9EMP-HERO/1" TargetMode="External"/><Relationship Id="rId2226" Type="http://schemas.openxmlformats.org/officeDocument/2006/relationships/hyperlink" Target="https://assets.vans.eu/images/VN000PDYWHT-HERO/1" TargetMode="External"/><Relationship Id="rId2433" Type="http://schemas.openxmlformats.org/officeDocument/2006/relationships/hyperlink" Target="https://assets.vans.eu/images/VN000CP5BMC-HERO/1" TargetMode="External"/><Relationship Id="rId2640" Type="http://schemas.openxmlformats.org/officeDocument/2006/relationships/hyperlink" Target="https://assets.vans.eu/images/VN000D60RV2-HERO/1" TargetMode="External"/><Relationship Id="rId2878" Type="http://schemas.openxmlformats.org/officeDocument/2006/relationships/hyperlink" Target="https://assets.vans.eu/images/VN000HSZD40-HERO/1" TargetMode="External"/><Relationship Id="rId3929" Type="http://schemas.openxmlformats.org/officeDocument/2006/relationships/hyperlink" Target="https://assets.vans.eu/images/VN000CVVEMQ-HERO/1" TargetMode="External"/><Relationship Id="rId4093" Type="http://schemas.openxmlformats.org/officeDocument/2006/relationships/hyperlink" Target="https://assets.vans.eu/images/VN000D1J4C6-HERO/1" TargetMode="External"/><Relationship Id="rId405" Type="http://schemas.openxmlformats.org/officeDocument/2006/relationships/hyperlink" Target="https://assets.vans.eu/images/VN000HZBBLK-HERO/1" TargetMode="External"/><Relationship Id="rId612" Type="http://schemas.openxmlformats.org/officeDocument/2006/relationships/hyperlink" Target="https://assets.vans.eu/images/VN000PMDEMW-HERO/1" TargetMode="External"/><Relationship Id="rId1035" Type="http://schemas.openxmlformats.org/officeDocument/2006/relationships/hyperlink" Target="https://assets.vans.eu/images/VN000R38EN6-HERO/1" TargetMode="External"/><Relationship Id="rId1242" Type="http://schemas.openxmlformats.org/officeDocument/2006/relationships/hyperlink" Target="https://assets.vans.eu/images/VN000D111KP-HERO/1" TargetMode="External"/><Relationship Id="rId1687" Type="http://schemas.openxmlformats.org/officeDocument/2006/relationships/hyperlink" Target="https://assets.vans.eu/images/VN000P1PEML-HERO/1" TargetMode="External"/><Relationship Id="rId1894" Type="http://schemas.openxmlformats.org/officeDocument/2006/relationships/hyperlink" Target="https://assets.vans.eu/images/VN000D4NDJR-HERO/1" TargetMode="External"/><Relationship Id="rId2500" Type="http://schemas.openxmlformats.org/officeDocument/2006/relationships/hyperlink" Target="https://assets.vans.eu/images/VN000CVUOLV-HERO/1" TargetMode="External"/><Relationship Id="rId2738" Type="http://schemas.openxmlformats.org/officeDocument/2006/relationships/hyperlink" Target="https://assets.vans.eu/images/VN000DAQ02Y-HERO/1" TargetMode="External"/><Relationship Id="rId2945" Type="http://schemas.openxmlformats.org/officeDocument/2006/relationships/hyperlink" Target="https://assets.vans.eu/images/VN000G3W1CI-HERO/1" TargetMode="External"/><Relationship Id="rId4398" Type="http://schemas.openxmlformats.org/officeDocument/2006/relationships/hyperlink" Target="https://assets.vans.eu/images/VN000D6YEMY-HERO/1" TargetMode="External"/><Relationship Id="rId917" Type="http://schemas.openxmlformats.org/officeDocument/2006/relationships/hyperlink" Target="https://assets.vans.eu/images/VN000RBCEML-HERO/1" TargetMode="External"/><Relationship Id="rId1102" Type="http://schemas.openxmlformats.org/officeDocument/2006/relationships/hyperlink" Target="https://assets.vans.eu/images/VN000HT39JC-HERO/1" TargetMode="External"/><Relationship Id="rId1547" Type="http://schemas.openxmlformats.org/officeDocument/2006/relationships/hyperlink" Target="https://assets.vans.eu/images/VN000DCJGRN-HERO/1" TargetMode="External"/><Relationship Id="rId1754" Type="http://schemas.openxmlformats.org/officeDocument/2006/relationships/hyperlink" Target="https://assets.vans.eu/images/VN000PX2EMP-HERO/1" TargetMode="External"/><Relationship Id="rId1961" Type="http://schemas.openxmlformats.org/officeDocument/2006/relationships/hyperlink" Target="https://assets.vans.eu/images/VN000DB3D3X-HERO/1" TargetMode="External"/><Relationship Id="rId2805" Type="http://schemas.openxmlformats.org/officeDocument/2006/relationships/hyperlink" Target="https://assets.vans.eu/images/VN000EDN9X1-HERO/1" TargetMode="External"/><Relationship Id="rId4160" Type="http://schemas.openxmlformats.org/officeDocument/2006/relationships/hyperlink" Target="https://assets.vans.eu/images/VN000D22EMU-HERO/1" TargetMode="External"/><Relationship Id="rId4258" Type="http://schemas.openxmlformats.org/officeDocument/2006/relationships/hyperlink" Target="https://assets.vans.eu/images/VN000D4NDJR-HERO/1" TargetMode="External"/><Relationship Id="rId4465" Type="http://schemas.openxmlformats.org/officeDocument/2006/relationships/hyperlink" Target="https://assets.vans.eu/images/VN000D8NBKA-HERO/1" TargetMode="External"/><Relationship Id="rId5004" Type="http://schemas.openxmlformats.org/officeDocument/2006/relationships/hyperlink" Target="https://assets.vans.eu/images/VN000EJTTC4-HERO/1" TargetMode="External"/><Relationship Id="rId46" Type="http://schemas.openxmlformats.org/officeDocument/2006/relationships/hyperlink" Target="https://assets.vans.eu/images/VN0A5FCCB9M-HERO/1" TargetMode="External"/><Relationship Id="rId1407" Type="http://schemas.openxmlformats.org/officeDocument/2006/relationships/hyperlink" Target="https://assets.vans.eu/images/VN000Q67EMX-HERO/1" TargetMode="External"/><Relationship Id="rId1614" Type="http://schemas.openxmlformats.org/officeDocument/2006/relationships/hyperlink" Target="https://assets.vans.eu/images/VN000GGC15P-HERO/1" TargetMode="External"/><Relationship Id="rId1821" Type="http://schemas.openxmlformats.org/officeDocument/2006/relationships/hyperlink" Target="https://assets.vans.eu/images/VN000CR5FS8-HERO/1" TargetMode="External"/><Relationship Id="rId3067" Type="http://schemas.openxmlformats.org/officeDocument/2006/relationships/hyperlink" Target="https://assets.vans.eu/images/VN000JQP9JC-HERO/1" TargetMode="External"/><Relationship Id="rId3274" Type="http://schemas.openxmlformats.org/officeDocument/2006/relationships/hyperlink" Target="https://assets.vans.eu/images/VN000P521QI-HERO/1" TargetMode="External"/><Relationship Id="rId4020" Type="http://schemas.openxmlformats.org/officeDocument/2006/relationships/hyperlink" Target="https://assets.vans.eu/images/VN000D09BLS-HERO/1" TargetMode="External"/><Relationship Id="rId4118" Type="http://schemas.openxmlformats.org/officeDocument/2006/relationships/hyperlink" Target="https://assets.vans.eu/images/VN000D1JJDU-HERO/1" TargetMode="External"/><Relationship Id="rId4672" Type="http://schemas.openxmlformats.org/officeDocument/2006/relationships/hyperlink" Target="https://assets.vans.eu/images/VN000SF46J6-HERO/1" TargetMode="External"/><Relationship Id="rId4977" Type="http://schemas.openxmlformats.org/officeDocument/2006/relationships/hyperlink" Target="https://assets.vans.eu/images/VN000D9ZRBG-HERO/1" TargetMode="External"/><Relationship Id="rId195" Type="http://schemas.openxmlformats.org/officeDocument/2006/relationships/hyperlink" Target="https://assets.vans.eu/images/VN000M3GJDU-HERO/1" TargetMode="External"/><Relationship Id="rId1919" Type="http://schemas.openxmlformats.org/officeDocument/2006/relationships/hyperlink" Target="https://assets.vans.eu/images/VN000D6WEMW-HERO/1" TargetMode="External"/><Relationship Id="rId3481" Type="http://schemas.openxmlformats.org/officeDocument/2006/relationships/hyperlink" Target="https://assets.vans.eu/images/VN000PX3BLK-HERO/1" TargetMode="External"/><Relationship Id="rId3579" Type="http://schemas.openxmlformats.org/officeDocument/2006/relationships/hyperlink" Target="https://assets.vans.eu/images/VN000RCEYB2-HERO/1" TargetMode="External"/><Relationship Id="rId3786" Type="http://schemas.openxmlformats.org/officeDocument/2006/relationships/hyperlink" Target="https://assets.vans.eu/images/VN000CQ0BRO-HERO/1" TargetMode="External"/><Relationship Id="rId4325" Type="http://schemas.openxmlformats.org/officeDocument/2006/relationships/hyperlink" Target="https://assets.vans.eu/images/VN000D6FBGK-HERO/1" TargetMode="External"/><Relationship Id="rId4532" Type="http://schemas.openxmlformats.org/officeDocument/2006/relationships/hyperlink" Target="https://assets.vans.eu/images/VN000DAHY40-HERO/1" TargetMode="External"/><Relationship Id="rId2083" Type="http://schemas.openxmlformats.org/officeDocument/2006/relationships/hyperlink" Target="https://assets.vans.eu/images/VN000JY412S-HERO/1" TargetMode="External"/><Relationship Id="rId2290" Type="http://schemas.openxmlformats.org/officeDocument/2006/relationships/hyperlink" Target="https://assets.vans.eu/images/VN000PR4EMV-HERO/1" TargetMode="External"/><Relationship Id="rId2388" Type="http://schemas.openxmlformats.org/officeDocument/2006/relationships/hyperlink" Target="https://assets.vans.eu/images/VN0A7U7KCHN-HERO/1" TargetMode="External"/><Relationship Id="rId2595" Type="http://schemas.openxmlformats.org/officeDocument/2006/relationships/hyperlink" Target="https://assets.vans.eu/images/VN000D26CJG-HERO/1" TargetMode="External"/><Relationship Id="rId3134" Type="http://schemas.openxmlformats.org/officeDocument/2006/relationships/hyperlink" Target="https://assets.vans.eu/images/VN000M3VBLK-HERO/1" TargetMode="External"/><Relationship Id="rId3341" Type="http://schemas.openxmlformats.org/officeDocument/2006/relationships/hyperlink" Target="https://assets.vans.eu/images/VN000PB9BLK-HERO/1" TargetMode="External"/><Relationship Id="rId3439" Type="http://schemas.openxmlformats.org/officeDocument/2006/relationships/hyperlink" Target="https://assets.vans.eu/images/VN000PMHENB-HERO/1" TargetMode="External"/><Relationship Id="rId3993" Type="http://schemas.openxmlformats.org/officeDocument/2006/relationships/hyperlink" Target="https://assets.vans.eu/images/VN000CYUE2T-HERO/1" TargetMode="External"/><Relationship Id="rId4837" Type="http://schemas.openxmlformats.org/officeDocument/2006/relationships/hyperlink" Target="https://assets.vans.eu/images/VN0A4VHFUY6-HERO/1" TargetMode="External"/><Relationship Id="rId262" Type="http://schemas.openxmlformats.org/officeDocument/2006/relationships/hyperlink" Target="https://assets.vans.eu/images/VN000PDRBLK-HERO/1" TargetMode="External"/><Relationship Id="rId567" Type="http://schemas.openxmlformats.org/officeDocument/2006/relationships/hyperlink" Target="https://assets.vans.eu/images/VN0A5FLPBLK-HERO/1" TargetMode="External"/><Relationship Id="rId1197" Type="http://schemas.openxmlformats.org/officeDocument/2006/relationships/hyperlink" Target="https://assets.vans.eu/images/VN000RC1O8W-HERO/1" TargetMode="External"/><Relationship Id="rId2150" Type="http://schemas.openxmlformats.org/officeDocument/2006/relationships/hyperlink" Target="https://assets.vans.eu/images/VN000MG8UUI-HERO/1" TargetMode="External"/><Relationship Id="rId2248" Type="http://schemas.openxmlformats.org/officeDocument/2006/relationships/hyperlink" Target="https://assets.vans.eu/images/VN000PJHLKZ-HERO/1" TargetMode="External"/><Relationship Id="rId3201" Type="http://schemas.openxmlformats.org/officeDocument/2006/relationships/hyperlink" Target="https://assets.vans.eu/images/VN000MEZWHT-HERO/1" TargetMode="External"/><Relationship Id="rId3646" Type="http://schemas.openxmlformats.org/officeDocument/2006/relationships/hyperlink" Target="https://assets.vans.eu/images/VN0A4CYFBLK-HERO/1" TargetMode="External"/><Relationship Id="rId3853" Type="http://schemas.openxmlformats.org/officeDocument/2006/relationships/hyperlink" Target="https://assets.vans.eu/images/VN000CTGY09-HERO/1" TargetMode="External"/><Relationship Id="rId4904" Type="http://schemas.openxmlformats.org/officeDocument/2006/relationships/hyperlink" Target="https://assets.vans.eu/images/VN0A2Z3NY40-HERO/1" TargetMode="External"/><Relationship Id="rId122" Type="http://schemas.openxmlformats.org/officeDocument/2006/relationships/hyperlink" Target="https://assets.vans.eu/images/VN000D3YFS8-HERO/1" TargetMode="External"/><Relationship Id="rId774" Type="http://schemas.openxmlformats.org/officeDocument/2006/relationships/hyperlink" Target="https://assets.vans.eu/images/VN000F0U5QJ-HERO/1" TargetMode="External"/><Relationship Id="rId981" Type="http://schemas.openxmlformats.org/officeDocument/2006/relationships/hyperlink" Target="https://assets.vans.eu/images/VN000JQ7WHT-HERO/1" TargetMode="External"/><Relationship Id="rId1057" Type="http://schemas.openxmlformats.org/officeDocument/2006/relationships/hyperlink" Target="https://assets.vans.eu/images/VN000CMXN1Z-HERO/1" TargetMode="External"/><Relationship Id="rId2010" Type="http://schemas.openxmlformats.org/officeDocument/2006/relationships/hyperlink" Target="https://assets.vans.eu/images/VN000HT1LKZ-HERO/1" TargetMode="External"/><Relationship Id="rId2455" Type="http://schemas.openxmlformats.org/officeDocument/2006/relationships/hyperlink" Target="https://assets.vans.eu/images/VN000CQF2VM-HERO/1" TargetMode="External"/><Relationship Id="rId2662" Type="http://schemas.openxmlformats.org/officeDocument/2006/relationships/hyperlink" Target="https://assets.vans.eu/images/VN000D6N24O-HERO/1" TargetMode="External"/><Relationship Id="rId3506" Type="http://schemas.openxmlformats.org/officeDocument/2006/relationships/hyperlink" Target="https://assets.vans.eu/images/VN000Q35RV2-HERO/1" TargetMode="External"/><Relationship Id="rId3713" Type="http://schemas.openxmlformats.org/officeDocument/2006/relationships/hyperlink" Target="https://assets.vans.eu/images/VN0009QCBKA-HERO/1" TargetMode="External"/><Relationship Id="rId3920" Type="http://schemas.openxmlformats.org/officeDocument/2006/relationships/hyperlink" Target="https://assets.vans.eu/images/VN000CVUY49-HERO/1" TargetMode="External"/><Relationship Id="rId427" Type="http://schemas.openxmlformats.org/officeDocument/2006/relationships/hyperlink" Target="https://assets.vans.eu/images/VN000LC0Y28-HERO/1" TargetMode="External"/><Relationship Id="rId634" Type="http://schemas.openxmlformats.org/officeDocument/2006/relationships/hyperlink" Target="https://assets.vans.eu/images/VN000D6WEMG-HERO/1" TargetMode="External"/><Relationship Id="rId841" Type="http://schemas.openxmlformats.org/officeDocument/2006/relationships/hyperlink" Target="https://assets.vans.eu/images/VN000D0HEMY-HERO/1" TargetMode="External"/><Relationship Id="rId1264" Type="http://schemas.openxmlformats.org/officeDocument/2006/relationships/hyperlink" Target="https://assets.vans.eu/images/VN000D70E2Y-HERO/1" TargetMode="External"/><Relationship Id="rId1471" Type="http://schemas.openxmlformats.org/officeDocument/2006/relationships/hyperlink" Target="https://assets.vans.eu/images/VN000CWDCRM-HERO/1" TargetMode="External"/><Relationship Id="rId1569" Type="http://schemas.openxmlformats.org/officeDocument/2006/relationships/hyperlink" Target="https://assets.vans.eu/images/VN000EZ1BZ0-HERO/1" TargetMode="External"/><Relationship Id="rId2108" Type="http://schemas.openxmlformats.org/officeDocument/2006/relationships/hyperlink" Target="https://assets.vans.eu/images/VN000M39D4C-HERO/1" TargetMode="External"/><Relationship Id="rId2315" Type="http://schemas.openxmlformats.org/officeDocument/2006/relationships/hyperlink" Target="https://assets.vans.eu/images/VN000Q07BLK-HERO/1" TargetMode="External"/><Relationship Id="rId2522" Type="http://schemas.openxmlformats.org/officeDocument/2006/relationships/hyperlink" Target="https://assets.vans.eu/images/VN000CYUE2T-HERO/1" TargetMode="External"/><Relationship Id="rId2967" Type="http://schemas.openxmlformats.org/officeDocument/2006/relationships/hyperlink" Target="https://assets.vans.eu/images/VN000GCECJL-HERO/1" TargetMode="External"/><Relationship Id="rId4182" Type="http://schemas.openxmlformats.org/officeDocument/2006/relationships/hyperlink" Target="https://assets.vans.eu/images/VN000D26JDU-HERO/1" TargetMode="External"/><Relationship Id="rId5026" Type="http://schemas.openxmlformats.org/officeDocument/2006/relationships/hyperlink" Target="https://assets.vans.eu/images/VN0A2Z34BLG-HERO/1" TargetMode="External"/><Relationship Id="rId701" Type="http://schemas.openxmlformats.org/officeDocument/2006/relationships/hyperlink" Target="https://assets.vans.eu/images/VN000QAQEMU-HERO/1" TargetMode="External"/><Relationship Id="rId939" Type="http://schemas.openxmlformats.org/officeDocument/2006/relationships/hyperlink" Target="https://assets.vans.eu/images/VN000CZ7RV2-HERO/1" TargetMode="External"/><Relationship Id="rId1124" Type="http://schemas.openxmlformats.org/officeDocument/2006/relationships/hyperlink" Target="https://assets.vans.eu/images/VN000JBRZBF-HERO/1" TargetMode="External"/><Relationship Id="rId1331" Type="http://schemas.openxmlformats.org/officeDocument/2006/relationships/hyperlink" Target="https://assets.vans.eu/images/VN000M6DBLK-HERO/1" TargetMode="External"/><Relationship Id="rId1776" Type="http://schemas.openxmlformats.org/officeDocument/2006/relationships/hyperlink" Target="https://assets.vans.eu/images/VN000Q7712Q-HERO/1" TargetMode="External"/><Relationship Id="rId1983" Type="http://schemas.openxmlformats.org/officeDocument/2006/relationships/hyperlink" Target="https://assets.vans.eu/images/VN000VO44K1-HERO/1" TargetMode="External"/><Relationship Id="rId2827" Type="http://schemas.openxmlformats.org/officeDocument/2006/relationships/hyperlink" Target="https://assets.vans.eu/images/VN0A4BXBKAQ-HERO/1" TargetMode="External"/><Relationship Id="rId4042" Type="http://schemas.openxmlformats.org/officeDocument/2006/relationships/hyperlink" Target="https://assets.vans.eu/images/VN000D0S1NU-HERO/1" TargetMode="External"/><Relationship Id="rId4487" Type="http://schemas.openxmlformats.org/officeDocument/2006/relationships/hyperlink" Target="https://assets.vans.eu/images/VN000D9YRV2-HERO/1" TargetMode="External"/><Relationship Id="rId4694" Type="http://schemas.openxmlformats.org/officeDocument/2006/relationships/hyperlink" Target="https://assets.vans.eu/images/VN0A2Z3I1CI-HERO/1" TargetMode="External"/><Relationship Id="rId68" Type="http://schemas.openxmlformats.org/officeDocument/2006/relationships/hyperlink" Target="https://assets.vans.eu/images/VN000D8NBKA-HERO/1" TargetMode="External"/><Relationship Id="rId1429" Type="http://schemas.openxmlformats.org/officeDocument/2006/relationships/hyperlink" Target="https://assets.vans.eu/images/VN0A5FJJ1RE-HERO/1" TargetMode="External"/><Relationship Id="rId1636" Type="http://schemas.openxmlformats.org/officeDocument/2006/relationships/hyperlink" Target="https://assets.vans.eu/images/VN000JBRBR1-HERO/1" TargetMode="External"/><Relationship Id="rId1843" Type="http://schemas.openxmlformats.org/officeDocument/2006/relationships/hyperlink" Target="https://assets.vans.eu/images/VN000CVUN1Z-HERO/1" TargetMode="External"/><Relationship Id="rId3089" Type="http://schemas.openxmlformats.org/officeDocument/2006/relationships/hyperlink" Target="https://assets.vans.eu/images/VN000K98EN6-HERO/1" TargetMode="External"/><Relationship Id="rId3296" Type="http://schemas.openxmlformats.org/officeDocument/2006/relationships/hyperlink" Target="https://assets.vans.eu/images/VN000P5ABRD-HERO/1" TargetMode="External"/><Relationship Id="rId4347" Type="http://schemas.openxmlformats.org/officeDocument/2006/relationships/hyperlink" Target="https://assets.vans.eu/images/VN000D6NBGK-HERO/1" TargetMode="External"/><Relationship Id="rId4554" Type="http://schemas.openxmlformats.org/officeDocument/2006/relationships/hyperlink" Target="https://assets.vans.eu/images/VN000DAQRPK-HERO/1" TargetMode="External"/><Relationship Id="rId4761" Type="http://schemas.openxmlformats.org/officeDocument/2006/relationships/hyperlink" Target="https://assets.vans.eu/images/VN0A5HYWA3I-HERO/1" TargetMode="External"/><Relationship Id="rId4999" Type="http://schemas.openxmlformats.org/officeDocument/2006/relationships/hyperlink" Target="https://assets.vans.eu/images/VN000EDNBJB-HERO/1" TargetMode="External"/><Relationship Id="rId1703" Type="http://schemas.openxmlformats.org/officeDocument/2006/relationships/hyperlink" Target="https://assets.vans.eu/images/VN000P8A02F-HERO/1" TargetMode="External"/><Relationship Id="rId1910" Type="http://schemas.openxmlformats.org/officeDocument/2006/relationships/hyperlink" Target="https://assets.vans.eu/images/VN000D610VW-HERO/1" TargetMode="External"/><Relationship Id="rId3156" Type="http://schemas.openxmlformats.org/officeDocument/2006/relationships/hyperlink" Target="https://assets.vans.eu/images/VN000M8Q6PH-HERO/1" TargetMode="External"/><Relationship Id="rId3363" Type="http://schemas.openxmlformats.org/officeDocument/2006/relationships/hyperlink" Target="https://assets.vans.eu/images/VN000PCXEMS-HERO/1" TargetMode="External"/><Relationship Id="rId4207" Type="http://schemas.openxmlformats.org/officeDocument/2006/relationships/hyperlink" Target="https://assets.vans.eu/images/VN000D2CBA2-HERO/1" TargetMode="External"/><Relationship Id="rId4414" Type="http://schemas.openxmlformats.org/officeDocument/2006/relationships/hyperlink" Target="https://assets.vans.eu/images/VN000D6ZEMY-HERO/1" TargetMode="External"/><Relationship Id="rId4859" Type="http://schemas.openxmlformats.org/officeDocument/2006/relationships/hyperlink" Target="https://assets.vans.eu/images/VN000DA4PNK-HERO/1" TargetMode="External"/><Relationship Id="rId284" Type="http://schemas.openxmlformats.org/officeDocument/2006/relationships/hyperlink" Target="https://assets.vans.eu/images/VN000D60BRO-HERO/1" TargetMode="External"/><Relationship Id="rId491" Type="http://schemas.openxmlformats.org/officeDocument/2006/relationships/hyperlink" Target="https://assets.vans.eu/images/VN000CTGEMY-HERO/1" TargetMode="External"/><Relationship Id="rId2172" Type="http://schemas.openxmlformats.org/officeDocument/2006/relationships/hyperlink" Target="https://assets.vans.eu/images/VN000P1PBR1-HERO/1" TargetMode="External"/><Relationship Id="rId3016" Type="http://schemas.openxmlformats.org/officeDocument/2006/relationships/hyperlink" Target="https://assets.vans.eu/images/VN000HNZBLK-HERO/1" TargetMode="External"/><Relationship Id="rId3223" Type="http://schemas.openxmlformats.org/officeDocument/2006/relationships/hyperlink" Target="https://assets.vans.eu/images/VN000MM5BLK-HERO/1" TargetMode="External"/><Relationship Id="rId3570" Type="http://schemas.openxmlformats.org/officeDocument/2006/relationships/hyperlink" Target="https://assets.vans.eu/images/VN000RAR5TU-HERO/1" TargetMode="External"/><Relationship Id="rId3668" Type="http://schemas.openxmlformats.org/officeDocument/2006/relationships/hyperlink" Target="https://assets.vans.eu/images/VN0A5JNMZBF-HERO/1" TargetMode="External"/><Relationship Id="rId3875" Type="http://schemas.openxmlformats.org/officeDocument/2006/relationships/hyperlink" Target="https://assets.vans.eu/images/VN000CVNBH4-HERO/1" TargetMode="External"/><Relationship Id="rId4621" Type="http://schemas.openxmlformats.org/officeDocument/2006/relationships/hyperlink" Target="https://assets.vans.eu/images/VN000E9RZ3R-HERO/1" TargetMode="External"/><Relationship Id="rId4719" Type="http://schemas.openxmlformats.org/officeDocument/2006/relationships/hyperlink" Target="https://assets.vans.eu/images/VN0A4BVS3N1-HERO/1" TargetMode="External"/><Relationship Id="rId4926" Type="http://schemas.openxmlformats.org/officeDocument/2006/relationships/hyperlink" Target="https://assets.vans.eu/images/VN000CVVSR6-HERO/1" TargetMode="External"/><Relationship Id="rId144" Type="http://schemas.openxmlformats.org/officeDocument/2006/relationships/hyperlink" Target="https://assets.vans.eu/images/VN000Q92EMW-HERO/1" TargetMode="External"/><Relationship Id="rId589" Type="http://schemas.openxmlformats.org/officeDocument/2006/relationships/hyperlink" Target="https://assets.vans.eu/images/VN000JTRLVB-HERO/1" TargetMode="External"/><Relationship Id="rId796" Type="http://schemas.openxmlformats.org/officeDocument/2006/relationships/hyperlink" Target="https://assets.vans.eu/images/VN000NWQWHT-HERO/1" TargetMode="External"/><Relationship Id="rId2477" Type="http://schemas.openxmlformats.org/officeDocument/2006/relationships/hyperlink" Target="https://assets.vans.eu/images/VN000CTMYY2-HERO/1" TargetMode="External"/><Relationship Id="rId2684" Type="http://schemas.openxmlformats.org/officeDocument/2006/relationships/hyperlink" Target="https://assets.vans.eu/images/VN000D6YEZI-HERO/1" TargetMode="External"/><Relationship Id="rId3430" Type="http://schemas.openxmlformats.org/officeDocument/2006/relationships/hyperlink" Target="https://assets.vans.eu/images/VN000PMABLK-HERO/1" TargetMode="External"/><Relationship Id="rId3528" Type="http://schemas.openxmlformats.org/officeDocument/2006/relationships/hyperlink" Target="https://assets.vans.eu/images/VN000Q7712Q-HERO/1" TargetMode="External"/><Relationship Id="rId3735" Type="http://schemas.openxmlformats.org/officeDocument/2006/relationships/hyperlink" Target="https://assets.vans.eu/images/VN000BCEBIG-HERO/1" TargetMode="External"/><Relationship Id="rId351" Type="http://schemas.openxmlformats.org/officeDocument/2006/relationships/hyperlink" Target="https://assets.vans.eu/images/VN000MFWUUI-HERO/1" TargetMode="External"/><Relationship Id="rId449" Type="http://schemas.openxmlformats.org/officeDocument/2006/relationships/hyperlink" Target="https://assets.vans.eu/images/VN000SN6EMU-HERO/1" TargetMode="External"/><Relationship Id="rId656" Type="http://schemas.openxmlformats.org/officeDocument/2006/relationships/hyperlink" Target="https://assets.vans.eu/images/VN000MC0ZUJ-HERO/1" TargetMode="External"/><Relationship Id="rId863" Type="http://schemas.openxmlformats.org/officeDocument/2006/relationships/hyperlink" Target="https://assets.vans.eu/images/VN000ZUVC4R-HERO/1" TargetMode="External"/><Relationship Id="rId1079" Type="http://schemas.openxmlformats.org/officeDocument/2006/relationships/hyperlink" Target="https://assets.vans.eu/images/VN000D7ZY7U-HERO/1" TargetMode="External"/><Relationship Id="rId1286" Type="http://schemas.openxmlformats.org/officeDocument/2006/relationships/hyperlink" Target="https://assets.vans.eu/images/VN000A9HBLK-HERO/1" TargetMode="External"/><Relationship Id="rId1493" Type="http://schemas.openxmlformats.org/officeDocument/2006/relationships/hyperlink" Target="https://assets.vans.eu/images/VN000D1J4VT-HERO/1" TargetMode="External"/><Relationship Id="rId2032" Type="http://schemas.openxmlformats.org/officeDocument/2006/relationships/hyperlink" Target="https://assets.vans.eu/images/VN000395WHT-HERO/1" TargetMode="External"/><Relationship Id="rId2337" Type="http://schemas.openxmlformats.org/officeDocument/2006/relationships/hyperlink" Target="https://assets.vans.eu/images/VN000R8ZBLK-HERO/1" TargetMode="External"/><Relationship Id="rId2544" Type="http://schemas.openxmlformats.org/officeDocument/2006/relationships/hyperlink" Target="https://assets.vans.eu/images/VN000D0KEN6-HERO/1" TargetMode="External"/><Relationship Id="rId2891" Type="http://schemas.openxmlformats.org/officeDocument/2006/relationships/hyperlink" Target="https://assets.vans.eu/images/VN000QAFEMP-HERO/1" TargetMode="External"/><Relationship Id="rId2989" Type="http://schemas.openxmlformats.org/officeDocument/2006/relationships/hyperlink" Target="https://assets.vans.eu/images/VN000HDUBLK-HERO/1" TargetMode="External"/><Relationship Id="rId3942" Type="http://schemas.openxmlformats.org/officeDocument/2006/relationships/hyperlink" Target="https://assets.vans.eu/images/VN000CVVF87-HERO/1" TargetMode="External"/><Relationship Id="rId211" Type="http://schemas.openxmlformats.org/officeDocument/2006/relationships/hyperlink" Target="https://assets.vans.eu/images/VN000E9YBGP-HERO/1" TargetMode="External"/><Relationship Id="rId309" Type="http://schemas.openxmlformats.org/officeDocument/2006/relationships/hyperlink" Target="https://assets.vans.eu/images/VN000M27CFL-HERO/1" TargetMode="External"/><Relationship Id="rId516" Type="http://schemas.openxmlformats.org/officeDocument/2006/relationships/hyperlink" Target="https://assets.vans.eu/images/VN000MEPJDU-HERO/1" TargetMode="External"/><Relationship Id="rId1146" Type="http://schemas.openxmlformats.org/officeDocument/2006/relationships/hyperlink" Target="https://assets.vans.eu/images/VN000MGTBL2-HERO/1" TargetMode="External"/><Relationship Id="rId1798" Type="http://schemas.openxmlformats.org/officeDocument/2006/relationships/hyperlink" Target="https://assets.vans.eu/images/VN000RFR1QI-HERO/1" TargetMode="External"/><Relationship Id="rId2751" Type="http://schemas.openxmlformats.org/officeDocument/2006/relationships/hyperlink" Target="https://assets.vans.eu/images/VN000DAQY49-HERO/1" TargetMode="External"/><Relationship Id="rId2849" Type="http://schemas.openxmlformats.org/officeDocument/2006/relationships/hyperlink" Target="https://assets.vans.eu/images/VN0A7Q5PBKN-HERO/1" TargetMode="External"/><Relationship Id="rId3802" Type="http://schemas.openxmlformats.org/officeDocument/2006/relationships/hyperlink" Target="https://assets.vans.eu/images/VN000CQ9KAQ-HERO/1" TargetMode="External"/><Relationship Id="rId5048" Type="http://schemas.openxmlformats.org/officeDocument/2006/relationships/hyperlink" Target="https://assets.vans.eu/images/VN0A2Z3NY40-HERO/1" TargetMode="External"/><Relationship Id="rId723" Type="http://schemas.openxmlformats.org/officeDocument/2006/relationships/hyperlink" Target="https://assets.vans.eu/images/VN000PPMBLK-HERO/1" TargetMode="External"/><Relationship Id="rId930" Type="http://schemas.openxmlformats.org/officeDocument/2006/relationships/hyperlink" Target="https://assets.vans.eu/images/VN000CMXN1Z-HERO/1" TargetMode="External"/><Relationship Id="rId1006" Type="http://schemas.openxmlformats.org/officeDocument/2006/relationships/hyperlink" Target="https://assets.vans.eu/images/VN000MAND4C-HERO/1" TargetMode="External"/><Relationship Id="rId1353" Type="http://schemas.openxmlformats.org/officeDocument/2006/relationships/hyperlink" Target="https://assets.vans.eu/images/VN000P51EMS-HERO/1" TargetMode="External"/><Relationship Id="rId1560" Type="http://schemas.openxmlformats.org/officeDocument/2006/relationships/hyperlink" Target="https://assets.vans.eu/images/VN0A4UWM2QL-HERO/1" TargetMode="External"/><Relationship Id="rId1658" Type="http://schemas.openxmlformats.org/officeDocument/2006/relationships/hyperlink" Target="https://assets.vans.eu/images/VN000M8NUUI-HERO/1" TargetMode="External"/><Relationship Id="rId1865" Type="http://schemas.openxmlformats.org/officeDocument/2006/relationships/hyperlink" Target="https://assets.vans.eu/images/VN000D0MBZW-HERO/1" TargetMode="External"/><Relationship Id="rId2404" Type="http://schemas.openxmlformats.org/officeDocument/2006/relationships/hyperlink" Target="https://assets.vans.eu/images/VN0005UFBLL-HERO/1" TargetMode="External"/><Relationship Id="rId2611" Type="http://schemas.openxmlformats.org/officeDocument/2006/relationships/hyperlink" Target="https://assets.vans.eu/images/VN000D4MNVY-HERO/1" TargetMode="External"/><Relationship Id="rId2709" Type="http://schemas.openxmlformats.org/officeDocument/2006/relationships/hyperlink" Target="https://assets.vans.eu/images/VN000D8X6PH-HERO/1" TargetMode="External"/><Relationship Id="rId4064" Type="http://schemas.openxmlformats.org/officeDocument/2006/relationships/hyperlink" Target="https://assets.vans.eu/images/VN000D1111E-HERO/1" TargetMode="External"/><Relationship Id="rId4271" Type="http://schemas.openxmlformats.org/officeDocument/2006/relationships/hyperlink" Target="https://assets.vans.eu/images/VN000D5PBMA-HERO/1" TargetMode="External"/><Relationship Id="rId1213" Type="http://schemas.openxmlformats.org/officeDocument/2006/relationships/hyperlink" Target="https://assets.vans.eu/images/VN000CQRYLZ-HERO/1" TargetMode="External"/><Relationship Id="rId1420" Type="http://schemas.openxmlformats.org/officeDocument/2006/relationships/hyperlink" Target="https://assets.vans.eu/images/VN000RFMEMV-HERO/1" TargetMode="External"/><Relationship Id="rId1518" Type="http://schemas.openxmlformats.org/officeDocument/2006/relationships/hyperlink" Target="https://assets.vans.eu/images/VN000D6ZE2S-HERO/1" TargetMode="External"/><Relationship Id="rId2916" Type="http://schemas.openxmlformats.org/officeDocument/2006/relationships/hyperlink" Target="https://assets.vans.eu/images/VN000508BKA-HERO/1" TargetMode="External"/><Relationship Id="rId3080" Type="http://schemas.openxmlformats.org/officeDocument/2006/relationships/hyperlink" Target="https://assets.vans.eu/images/VN000JYDE2W-HERO/1" TargetMode="External"/><Relationship Id="rId4131" Type="http://schemas.openxmlformats.org/officeDocument/2006/relationships/hyperlink" Target="https://assets.vans.eu/images/VN000D1JV0N-HERO/1" TargetMode="External"/><Relationship Id="rId4369" Type="http://schemas.openxmlformats.org/officeDocument/2006/relationships/hyperlink" Target="https://assets.vans.eu/images/VN000D6W203-HERO/1" TargetMode="External"/><Relationship Id="rId4576" Type="http://schemas.openxmlformats.org/officeDocument/2006/relationships/hyperlink" Target="https://assets.vans.eu/images/VN000DAZF88-HERO/1" TargetMode="External"/><Relationship Id="rId4783" Type="http://schemas.openxmlformats.org/officeDocument/2006/relationships/hyperlink" Target="https://assets.vans.eu/images/VN0A5JMKNWD-HERO/1" TargetMode="External"/><Relationship Id="rId4990" Type="http://schemas.openxmlformats.org/officeDocument/2006/relationships/hyperlink" Target="https://assets.vans.eu/images/VN000E23CQ0-HERO/1" TargetMode="External"/><Relationship Id="rId1725" Type="http://schemas.openxmlformats.org/officeDocument/2006/relationships/hyperlink" Target="https://assets.vans.eu/images/VN000PMFEB2-HERO/1" TargetMode="External"/><Relationship Id="rId1932" Type="http://schemas.openxmlformats.org/officeDocument/2006/relationships/hyperlink" Target="https://assets.vans.eu/images/VN000D70ZRY-HERO/1" TargetMode="External"/><Relationship Id="rId3178" Type="http://schemas.openxmlformats.org/officeDocument/2006/relationships/hyperlink" Target="https://assets.vans.eu/images/VN000MA9ZBF-HERO/1" TargetMode="External"/><Relationship Id="rId3385" Type="http://schemas.openxmlformats.org/officeDocument/2006/relationships/hyperlink" Target="https://assets.vans.eu/images/VN000PEYNAV-HERO/1" TargetMode="External"/><Relationship Id="rId3592" Type="http://schemas.openxmlformats.org/officeDocument/2006/relationships/hyperlink" Target="https://assets.vans.eu/images/VN000RFR1QI-HERO/1" TargetMode="External"/><Relationship Id="rId4229" Type="http://schemas.openxmlformats.org/officeDocument/2006/relationships/hyperlink" Target="https://assets.vans.eu/images/VN000D3SYB2-HERO/1" TargetMode="External"/><Relationship Id="rId4436" Type="http://schemas.openxmlformats.org/officeDocument/2006/relationships/hyperlink" Target="https://assets.vans.eu/images/VN000D7ZM8I-HERO/1" TargetMode="External"/><Relationship Id="rId4643" Type="http://schemas.openxmlformats.org/officeDocument/2006/relationships/hyperlink" Target="https://assets.vans.eu/images/VN000EDN7D6-HERO/1" TargetMode="External"/><Relationship Id="rId4850" Type="http://schemas.openxmlformats.org/officeDocument/2006/relationships/hyperlink" Target="https://assets.vans.eu/images/VN000CUYY49-HERO/1" TargetMode="External"/><Relationship Id="rId17" Type="http://schemas.openxmlformats.org/officeDocument/2006/relationships/hyperlink" Target="https://assets.vans.eu/images/VN000ECUB5P-HERO/1" TargetMode="External"/><Relationship Id="rId2194" Type="http://schemas.openxmlformats.org/officeDocument/2006/relationships/hyperlink" Target="https://assets.vans.eu/images/VN000P5D02F-HERO/1" TargetMode="External"/><Relationship Id="rId3038" Type="http://schemas.openxmlformats.org/officeDocument/2006/relationships/hyperlink" Target="https://assets.vans.eu/images/VN000IVEBLK-HERO/1" TargetMode="External"/><Relationship Id="rId3245" Type="http://schemas.openxmlformats.org/officeDocument/2006/relationships/hyperlink" Target="https://assets.vans.eu/images/VN000P1P12Q-HERO/1" TargetMode="External"/><Relationship Id="rId3452" Type="http://schemas.openxmlformats.org/officeDocument/2006/relationships/hyperlink" Target="https://assets.vans.eu/images/VN000PPMBLK-HERO/1" TargetMode="External"/><Relationship Id="rId3897" Type="http://schemas.openxmlformats.org/officeDocument/2006/relationships/hyperlink" Target="https://assets.vans.eu/images/VN000CVTTUP-HERO/1" TargetMode="External"/><Relationship Id="rId4503" Type="http://schemas.openxmlformats.org/officeDocument/2006/relationships/hyperlink" Target="https://assets.vans.eu/images/VN000D9ZYB2-HERO/1" TargetMode="External"/><Relationship Id="rId4710" Type="http://schemas.openxmlformats.org/officeDocument/2006/relationships/hyperlink" Target="https://assets.vans.eu/images/VN0A3TL8187-HERO/1" TargetMode="External"/><Relationship Id="rId4948" Type="http://schemas.openxmlformats.org/officeDocument/2006/relationships/hyperlink" Target="https://assets.vans.eu/images/VN000D1GYB2-HERO/1" TargetMode="External"/><Relationship Id="rId166" Type="http://schemas.openxmlformats.org/officeDocument/2006/relationships/hyperlink" Target="https://assets.vans.eu/images/VN000E8JQPT-HERO/1" TargetMode="External"/><Relationship Id="rId373" Type="http://schemas.openxmlformats.org/officeDocument/2006/relationships/hyperlink" Target="https://assets.vans.eu/images/VN000RCB1O7-HERO/1" TargetMode="External"/><Relationship Id="rId580" Type="http://schemas.openxmlformats.org/officeDocument/2006/relationships/hyperlink" Target="https://assets.vans.eu/images/VN000DAJBIY-HERO/1" TargetMode="External"/><Relationship Id="rId2054" Type="http://schemas.openxmlformats.org/officeDocument/2006/relationships/hyperlink" Target="https://assets.vans.eu/images/VN000GJ6BLK-HERO/1" TargetMode="External"/><Relationship Id="rId2261" Type="http://schemas.openxmlformats.org/officeDocument/2006/relationships/hyperlink" Target="https://assets.vans.eu/images/VN000PK8BLK-HERO/1" TargetMode="External"/><Relationship Id="rId2499" Type="http://schemas.openxmlformats.org/officeDocument/2006/relationships/hyperlink" Target="https://assets.vans.eu/images/VN000CVUOLV-HERO/1" TargetMode="External"/><Relationship Id="rId3105" Type="http://schemas.openxmlformats.org/officeDocument/2006/relationships/hyperlink" Target="https://assets.vans.eu/images/VN000KUEJDU-HERO/1" TargetMode="External"/><Relationship Id="rId3312" Type="http://schemas.openxmlformats.org/officeDocument/2006/relationships/hyperlink" Target="https://assets.vans.eu/images/VN000P7DCDX-HERO/1" TargetMode="External"/><Relationship Id="rId3757" Type="http://schemas.openxmlformats.org/officeDocument/2006/relationships/hyperlink" Target="https://assets.vans.eu/images/VN000BVZ1NU-HERO/1" TargetMode="External"/><Relationship Id="rId3964" Type="http://schemas.openxmlformats.org/officeDocument/2006/relationships/hyperlink" Target="https://assets.vans.eu/images/VN000CWEN1Z-HERO/1" TargetMode="External"/><Relationship Id="rId4808" Type="http://schemas.openxmlformats.org/officeDocument/2006/relationships/hyperlink" Target="https://assets.vans.eu/images/VN000CVVSR6-HERO/1" TargetMode="External"/><Relationship Id="rId1" Type="http://schemas.openxmlformats.org/officeDocument/2006/relationships/hyperlink" Target="https://assets.vans.eu/images/VN0A38HBPQZ-HERO/1" TargetMode="External"/><Relationship Id="rId233" Type="http://schemas.openxmlformats.org/officeDocument/2006/relationships/hyperlink" Target="https://assets.vans.eu/images/VN000E9XIVG-HERO/1" TargetMode="External"/><Relationship Id="rId440" Type="http://schemas.openxmlformats.org/officeDocument/2006/relationships/hyperlink" Target="https://assets.vans.eu/images/VN000PMAEMW-HERO/1" TargetMode="External"/><Relationship Id="rId678" Type="http://schemas.openxmlformats.org/officeDocument/2006/relationships/hyperlink" Target="https://assets.vans.eu/images/VN000CTNJBW-HERO/1" TargetMode="External"/><Relationship Id="rId885" Type="http://schemas.openxmlformats.org/officeDocument/2006/relationships/hyperlink" Target="https://assets.vans.eu/images/VN000MBCWHT-HERO/1" TargetMode="External"/><Relationship Id="rId1070" Type="http://schemas.openxmlformats.org/officeDocument/2006/relationships/hyperlink" Target="https://assets.vans.eu/images/VN000D2T0V7-HERO/1" TargetMode="External"/><Relationship Id="rId2121" Type="http://schemas.openxmlformats.org/officeDocument/2006/relationships/hyperlink" Target="https://assets.vans.eu/images/VN000M8UBLK-HERO/1" TargetMode="External"/><Relationship Id="rId2359" Type="http://schemas.openxmlformats.org/officeDocument/2006/relationships/hyperlink" Target="https://assets.vans.eu/images/VN000RG44QU-HERO/1" TargetMode="External"/><Relationship Id="rId2566" Type="http://schemas.openxmlformats.org/officeDocument/2006/relationships/hyperlink" Target="https://assets.vans.eu/images/VN000D1011E-HERO/1" TargetMode="External"/><Relationship Id="rId2773" Type="http://schemas.openxmlformats.org/officeDocument/2006/relationships/hyperlink" Target="https://assets.vans.eu/images/VN000E89OXS-HERO/1" TargetMode="External"/><Relationship Id="rId2980" Type="http://schemas.openxmlformats.org/officeDocument/2006/relationships/hyperlink" Target="https://assets.vans.eu/images/VN000GJ6BLK-HERO/1" TargetMode="External"/><Relationship Id="rId3617" Type="http://schemas.openxmlformats.org/officeDocument/2006/relationships/hyperlink" Target="https://assets.vans.eu/images/VN0010J9BLK-HERO/1" TargetMode="External"/><Relationship Id="rId3824" Type="http://schemas.openxmlformats.org/officeDocument/2006/relationships/hyperlink" Target="https://assets.vans.eu/images/VN000CRRD3X-HERO/1" TargetMode="External"/><Relationship Id="rId300" Type="http://schemas.openxmlformats.org/officeDocument/2006/relationships/hyperlink" Target="https://assets.vans.eu/images/VN000Q20ZJY-HERO/1" TargetMode="External"/><Relationship Id="rId538" Type="http://schemas.openxmlformats.org/officeDocument/2006/relationships/hyperlink" Target="https://assets.vans.eu/images/VN000F5TLKZ-HERO/1" TargetMode="External"/><Relationship Id="rId745" Type="http://schemas.openxmlformats.org/officeDocument/2006/relationships/hyperlink" Target="https://assets.vans.eu/images/VN000CTG7VF-HERO/1" TargetMode="External"/><Relationship Id="rId952" Type="http://schemas.openxmlformats.org/officeDocument/2006/relationships/hyperlink" Target="https://assets.vans.eu/images/VN000D26Y61-HERO/1" TargetMode="External"/><Relationship Id="rId1168" Type="http://schemas.openxmlformats.org/officeDocument/2006/relationships/hyperlink" Target="https://assets.vans.eu/images/VN000PH6IYR-HERO/1" TargetMode="External"/><Relationship Id="rId1375" Type="http://schemas.openxmlformats.org/officeDocument/2006/relationships/hyperlink" Target="https://assets.vans.eu/images/VN000PJMBLK-HERO/1" TargetMode="External"/><Relationship Id="rId1582" Type="http://schemas.openxmlformats.org/officeDocument/2006/relationships/hyperlink" Target="https://assets.vans.eu/images/VN000K61BLK-HERO/1" TargetMode="External"/><Relationship Id="rId2219" Type="http://schemas.openxmlformats.org/officeDocument/2006/relationships/hyperlink" Target="https://assets.vans.eu/images/VN000PD7EMS-HERO/1" TargetMode="External"/><Relationship Id="rId2426" Type="http://schemas.openxmlformats.org/officeDocument/2006/relationships/hyperlink" Target="https://assets.vans.eu/images/VN000BVZ239-HERO/1" TargetMode="External"/><Relationship Id="rId2633" Type="http://schemas.openxmlformats.org/officeDocument/2006/relationships/hyperlink" Target="https://assets.vans.eu/images/VN000D5VZRY-HERO/1" TargetMode="External"/><Relationship Id="rId4086" Type="http://schemas.openxmlformats.org/officeDocument/2006/relationships/hyperlink" Target="https://assets.vans.eu/images/VN000D1HEEI-HERO/1" TargetMode="External"/><Relationship Id="rId81" Type="http://schemas.openxmlformats.org/officeDocument/2006/relationships/hyperlink" Target="https://assets.vans.eu/images/VN000Y5XWHT-HERO/1" TargetMode="External"/><Relationship Id="rId605" Type="http://schemas.openxmlformats.org/officeDocument/2006/relationships/hyperlink" Target="https://assets.vans.eu/images/VN000MN07WM-HERO/1" TargetMode="External"/><Relationship Id="rId812" Type="http://schemas.openxmlformats.org/officeDocument/2006/relationships/hyperlink" Target="https://assets.vans.eu/images/VN000PXEEMS-HERO/1" TargetMode="External"/><Relationship Id="rId1028" Type="http://schemas.openxmlformats.org/officeDocument/2006/relationships/hyperlink" Target="https://assets.vans.eu/images/VN000PY4WHT-HERO/1" TargetMode="External"/><Relationship Id="rId1235" Type="http://schemas.openxmlformats.org/officeDocument/2006/relationships/hyperlink" Target="https://assets.vans.eu/images/VN000CYUEN6-HERO/1" TargetMode="External"/><Relationship Id="rId1442" Type="http://schemas.openxmlformats.org/officeDocument/2006/relationships/hyperlink" Target="https://assets.vans.eu/images/VN000BVZ239-HERO/1" TargetMode="External"/><Relationship Id="rId1887" Type="http://schemas.openxmlformats.org/officeDocument/2006/relationships/hyperlink" Target="https://assets.vans.eu/images/VN000D4N208-HERO/1" TargetMode="External"/><Relationship Id="rId2840" Type="http://schemas.openxmlformats.org/officeDocument/2006/relationships/hyperlink" Target="https://assets.vans.eu/images/VN0A5FCDGPE-HERO/1" TargetMode="External"/><Relationship Id="rId2938" Type="http://schemas.openxmlformats.org/officeDocument/2006/relationships/hyperlink" Target="https://assets.vans.eu/images/VN000EUMDSB-HERO/1" TargetMode="External"/><Relationship Id="rId4293" Type="http://schemas.openxmlformats.org/officeDocument/2006/relationships/hyperlink" Target="https://assets.vans.eu/images/VN000D5VDRK-HERO/1" TargetMode="External"/><Relationship Id="rId4598" Type="http://schemas.openxmlformats.org/officeDocument/2006/relationships/hyperlink" Target="https://assets.vans.eu/images/VN000DCHB9M-HERO/1" TargetMode="External"/><Relationship Id="rId1302" Type="http://schemas.openxmlformats.org/officeDocument/2006/relationships/hyperlink" Target="https://assets.vans.eu/images/VN0A36S8HNB-HERO/1" TargetMode="External"/><Relationship Id="rId1747" Type="http://schemas.openxmlformats.org/officeDocument/2006/relationships/hyperlink" Target="https://assets.vans.eu/images/VN000PREEMW-HERO/1" TargetMode="External"/><Relationship Id="rId1954" Type="http://schemas.openxmlformats.org/officeDocument/2006/relationships/hyperlink" Target="https://assets.vans.eu/images/VN000DAQ02Y-HERO/1" TargetMode="External"/><Relationship Id="rId2700" Type="http://schemas.openxmlformats.org/officeDocument/2006/relationships/hyperlink" Target="https://assets.vans.eu/images/VN000D7JCKP-HERO/1" TargetMode="External"/><Relationship Id="rId4153" Type="http://schemas.openxmlformats.org/officeDocument/2006/relationships/hyperlink" Target="https://assets.vans.eu/images/VN000D22BRD-HERO/1" TargetMode="External"/><Relationship Id="rId4360" Type="http://schemas.openxmlformats.org/officeDocument/2006/relationships/hyperlink" Target="https://assets.vans.eu/images/VN000D6SCJA-HERO/1" TargetMode="External"/><Relationship Id="rId4458" Type="http://schemas.openxmlformats.org/officeDocument/2006/relationships/hyperlink" Target="https://assets.vans.eu/images/VN000D88BF0-HERO/1" TargetMode="External"/><Relationship Id="rId39" Type="http://schemas.openxmlformats.org/officeDocument/2006/relationships/hyperlink" Target="https://assets.vans.eu/images/VN000V68Y61-HERO/1" TargetMode="External"/><Relationship Id="rId1607" Type="http://schemas.openxmlformats.org/officeDocument/2006/relationships/hyperlink" Target="https://assets.vans.eu/images/VN000EUMDSB-HERO/1" TargetMode="External"/><Relationship Id="rId1814" Type="http://schemas.openxmlformats.org/officeDocument/2006/relationships/hyperlink" Target="https://assets.vans.eu/images/VN000BCELLC-HERO/1" TargetMode="External"/><Relationship Id="rId3267" Type="http://schemas.openxmlformats.org/officeDocument/2006/relationships/hyperlink" Target="https://assets.vans.eu/images/VN000P50Y28-HERO/1" TargetMode="External"/><Relationship Id="rId4013" Type="http://schemas.openxmlformats.org/officeDocument/2006/relationships/hyperlink" Target="https://assets.vans.eu/images/VN000CZHBIL-HERO/1" TargetMode="External"/><Relationship Id="rId4220" Type="http://schemas.openxmlformats.org/officeDocument/2006/relationships/hyperlink" Target="https://assets.vans.eu/images/VN000D32WTM-HERO/1" TargetMode="External"/><Relationship Id="rId4665" Type="http://schemas.openxmlformats.org/officeDocument/2006/relationships/hyperlink" Target="https://assets.vans.eu/images/VN000EG59X1-HERO/1" TargetMode="External"/><Relationship Id="rId4872" Type="http://schemas.openxmlformats.org/officeDocument/2006/relationships/hyperlink" Target="https://assets.vans.eu/images/VN0009UFDRP-HERO/1" TargetMode="External"/><Relationship Id="rId188" Type="http://schemas.openxmlformats.org/officeDocument/2006/relationships/hyperlink" Target="https://assets.vans.eu/images/VN000MBCWHT-HERO/1" TargetMode="External"/><Relationship Id="rId395" Type="http://schemas.openxmlformats.org/officeDocument/2006/relationships/hyperlink" Target="https://assets.vans.eu/images/VN000PK1BLK-HERO/1" TargetMode="External"/><Relationship Id="rId2076" Type="http://schemas.openxmlformats.org/officeDocument/2006/relationships/hyperlink" Target="https://assets.vans.eu/images/VN000JC5LKZ-HERO/1" TargetMode="External"/><Relationship Id="rId3474" Type="http://schemas.openxmlformats.org/officeDocument/2006/relationships/hyperlink" Target="https://assets.vans.eu/images/VN000PWCF0G-HERO/1" TargetMode="External"/><Relationship Id="rId3681" Type="http://schemas.openxmlformats.org/officeDocument/2006/relationships/hyperlink" Target="https://assets.vans.eu/images/VN000H4YO3N-HERO/1" TargetMode="External"/><Relationship Id="rId3779" Type="http://schemas.openxmlformats.org/officeDocument/2006/relationships/hyperlink" Target="https://assets.vans.eu/images/VN000CQ0BRO-HERO/1" TargetMode="External"/><Relationship Id="rId4318" Type="http://schemas.openxmlformats.org/officeDocument/2006/relationships/hyperlink" Target="https://assets.vans.eu/images/VN000D6FBF0-HERO/1" TargetMode="External"/><Relationship Id="rId4525" Type="http://schemas.openxmlformats.org/officeDocument/2006/relationships/hyperlink" Target="https://assets.vans.eu/images/VN000DAH7UG-HERO/1" TargetMode="External"/><Relationship Id="rId4732" Type="http://schemas.openxmlformats.org/officeDocument/2006/relationships/hyperlink" Target="https://assets.vans.eu/images/VN0A4UUK4W7-HERO/1" TargetMode="External"/><Relationship Id="rId2283" Type="http://schemas.openxmlformats.org/officeDocument/2006/relationships/hyperlink" Target="https://assets.vans.eu/images/VN000PQHE90-HERO/1" TargetMode="External"/><Relationship Id="rId2490" Type="http://schemas.openxmlformats.org/officeDocument/2006/relationships/hyperlink" Target="https://assets.vans.eu/images/VN000CVUBLK-HERO/1" TargetMode="External"/><Relationship Id="rId2588" Type="http://schemas.openxmlformats.org/officeDocument/2006/relationships/hyperlink" Target="https://assets.vans.eu/images/VN000D1PDJR-HERO/1" TargetMode="External"/><Relationship Id="rId3127" Type="http://schemas.openxmlformats.org/officeDocument/2006/relationships/hyperlink" Target="https://assets.vans.eu/images/VN000M27CFL-HERO/1" TargetMode="External"/><Relationship Id="rId3334" Type="http://schemas.openxmlformats.org/officeDocument/2006/relationships/hyperlink" Target="https://assets.vans.eu/images/VN000PA9ENA-HERO/1" TargetMode="External"/><Relationship Id="rId3541" Type="http://schemas.openxmlformats.org/officeDocument/2006/relationships/hyperlink" Target="https://assets.vans.eu/images/VN000R02WHT-HERO/1" TargetMode="External"/><Relationship Id="rId3986" Type="http://schemas.openxmlformats.org/officeDocument/2006/relationships/hyperlink" Target="https://assets.vans.eu/images/VN000CYPDJR-HERO/1" TargetMode="External"/><Relationship Id="rId255" Type="http://schemas.openxmlformats.org/officeDocument/2006/relationships/hyperlink" Target="https://assets.vans.eu/images/VN000D1JY23-HERO/1" TargetMode="External"/><Relationship Id="rId462" Type="http://schemas.openxmlformats.org/officeDocument/2006/relationships/hyperlink" Target="https://assets.vans.eu/images/VN000EE1GYG-HERO/1" TargetMode="External"/><Relationship Id="rId1092" Type="http://schemas.openxmlformats.org/officeDocument/2006/relationships/hyperlink" Target="https://assets.vans.eu/images/VN0A4BTTPWT-HERO/1" TargetMode="External"/><Relationship Id="rId1397" Type="http://schemas.openxmlformats.org/officeDocument/2006/relationships/hyperlink" Target="https://assets.vans.eu/images/VN000PY8EMF-HERO/1" TargetMode="External"/><Relationship Id="rId2143" Type="http://schemas.openxmlformats.org/officeDocument/2006/relationships/hyperlink" Target="https://assets.vans.eu/images/VN000MBHC9L-HERO/1" TargetMode="External"/><Relationship Id="rId2350" Type="http://schemas.openxmlformats.org/officeDocument/2006/relationships/hyperlink" Target="https://assets.vans.eu/images/VN000REFWHT-HERO/1" TargetMode="External"/><Relationship Id="rId2795" Type="http://schemas.openxmlformats.org/officeDocument/2006/relationships/hyperlink" Target="https://assets.vans.eu/images/VN000ECGBFC-HERO/1" TargetMode="External"/><Relationship Id="rId3401" Type="http://schemas.openxmlformats.org/officeDocument/2006/relationships/hyperlink" Target="https://assets.vans.eu/images/VN000PH8CDX-HERO/1" TargetMode="External"/><Relationship Id="rId3639" Type="http://schemas.openxmlformats.org/officeDocument/2006/relationships/hyperlink" Target="https://assets.vans.eu/images/VN0A49LCYB2-HERO/1" TargetMode="External"/><Relationship Id="rId3846" Type="http://schemas.openxmlformats.org/officeDocument/2006/relationships/hyperlink" Target="https://assets.vans.eu/images/VN000CTGEMY-HERO/1" TargetMode="External"/><Relationship Id="rId5061" Type="http://schemas.openxmlformats.org/officeDocument/2006/relationships/hyperlink" Target="https://assets.vans.eu/images/VN0A5FCCBJB-HERO/1" TargetMode="External"/><Relationship Id="rId115" Type="http://schemas.openxmlformats.org/officeDocument/2006/relationships/hyperlink" Target="https://assets.vans.eu/images/VN000M8EBL2-HERO/1" TargetMode="External"/><Relationship Id="rId322" Type="http://schemas.openxmlformats.org/officeDocument/2006/relationships/hyperlink" Target="https://assets.vans.eu/images/VN000QAQEMU-HERO/1" TargetMode="External"/><Relationship Id="rId767" Type="http://schemas.openxmlformats.org/officeDocument/2006/relationships/hyperlink" Target="https://assets.vans.eu/images/VN000E9YBGP-HERO/1" TargetMode="External"/><Relationship Id="rId974" Type="http://schemas.openxmlformats.org/officeDocument/2006/relationships/hyperlink" Target="https://assets.vans.eu/images/VN000S65ZS6-HERO/1" TargetMode="External"/><Relationship Id="rId2003" Type="http://schemas.openxmlformats.org/officeDocument/2006/relationships/hyperlink" Target="https://assets.vans.eu/images/VN000F0XCLH-HERO/1" TargetMode="External"/><Relationship Id="rId2210" Type="http://schemas.openxmlformats.org/officeDocument/2006/relationships/hyperlink" Target="https://assets.vans.eu/images/VN000PAHEN7-HERO/1" TargetMode="External"/><Relationship Id="rId2448" Type="http://schemas.openxmlformats.org/officeDocument/2006/relationships/hyperlink" Target="https://assets.vans.eu/images/VN000CQ0EMY-HERO/1" TargetMode="External"/><Relationship Id="rId2655" Type="http://schemas.openxmlformats.org/officeDocument/2006/relationships/hyperlink" Target="https://assets.vans.eu/images/VN000D6F239-HERO/1" TargetMode="External"/><Relationship Id="rId2862" Type="http://schemas.openxmlformats.org/officeDocument/2006/relationships/hyperlink" Target="https://assets.vans.eu/images/VN000F0HZBF-HERO/1" TargetMode="External"/><Relationship Id="rId3706" Type="http://schemas.openxmlformats.org/officeDocument/2006/relationships/hyperlink" Target="https://assets.vans.eu/images/VN0007P2TWB-HERO/1" TargetMode="External"/><Relationship Id="rId3913" Type="http://schemas.openxmlformats.org/officeDocument/2006/relationships/hyperlink" Target="https://assets.vans.eu/images/VN000CVUE2V-HERO/1" TargetMode="External"/><Relationship Id="rId627" Type="http://schemas.openxmlformats.org/officeDocument/2006/relationships/hyperlink" Target="https://assets.vans.eu/images/VN000CWDCRM-HERO/1" TargetMode="External"/><Relationship Id="rId834" Type="http://schemas.openxmlformats.org/officeDocument/2006/relationships/hyperlink" Target="https://assets.vans.eu/images/VN000CTGYJ7-HERO/1" TargetMode="External"/><Relationship Id="rId1257" Type="http://schemas.openxmlformats.org/officeDocument/2006/relationships/hyperlink" Target="https://assets.vans.eu/images/VN000D610VW-HERO/1" TargetMode="External"/><Relationship Id="rId1464" Type="http://schemas.openxmlformats.org/officeDocument/2006/relationships/hyperlink" Target="https://assets.vans.eu/images/VN000CTGYJ7-HERO/1" TargetMode="External"/><Relationship Id="rId1671" Type="http://schemas.openxmlformats.org/officeDocument/2006/relationships/hyperlink" Target="https://assets.vans.eu/images/VN000ME602F-HERO/1" TargetMode="External"/><Relationship Id="rId2308" Type="http://schemas.openxmlformats.org/officeDocument/2006/relationships/hyperlink" Target="https://assets.vans.eu/images/VN000PXNJDU-HERO/1" TargetMode="External"/><Relationship Id="rId2515" Type="http://schemas.openxmlformats.org/officeDocument/2006/relationships/hyperlink" Target="https://assets.vans.eu/images/VN000CYAEMY-HERO/1" TargetMode="External"/><Relationship Id="rId2722" Type="http://schemas.openxmlformats.org/officeDocument/2006/relationships/hyperlink" Target="https://assets.vans.eu/images/VN000DA18DX-HERO/1" TargetMode="External"/><Relationship Id="rId4175" Type="http://schemas.openxmlformats.org/officeDocument/2006/relationships/hyperlink" Target="https://assets.vans.eu/images/VN000D26GWT-HERO/1" TargetMode="External"/><Relationship Id="rId4382" Type="http://schemas.openxmlformats.org/officeDocument/2006/relationships/hyperlink" Target="https://assets.vans.eu/images/VN000D6WEMW-HERO/1" TargetMode="External"/><Relationship Id="rId5019" Type="http://schemas.openxmlformats.org/officeDocument/2006/relationships/hyperlink" Target="https://assets.vans.eu/images/VN0A2Z34AFJ-HERO/1" TargetMode="External"/><Relationship Id="rId901" Type="http://schemas.openxmlformats.org/officeDocument/2006/relationships/hyperlink" Target="https://assets.vans.eu/images/VN000PXEEMS-HERO/1" TargetMode="External"/><Relationship Id="rId1117" Type="http://schemas.openxmlformats.org/officeDocument/2006/relationships/hyperlink" Target="https://assets.vans.eu/images/VN000GGGY28-HERO/1" TargetMode="External"/><Relationship Id="rId1324" Type="http://schemas.openxmlformats.org/officeDocument/2006/relationships/hyperlink" Target="https://assets.vans.eu/images/VN000KURBLK-HERO/1" TargetMode="External"/><Relationship Id="rId1531" Type="http://schemas.openxmlformats.org/officeDocument/2006/relationships/hyperlink" Target="https://assets.vans.eu/images/VN000D9YTUP-HERO/1" TargetMode="External"/><Relationship Id="rId1769" Type="http://schemas.openxmlformats.org/officeDocument/2006/relationships/hyperlink" Target="https://assets.vans.eu/images/VN000Q0ACDX-HERO/1" TargetMode="External"/><Relationship Id="rId1976" Type="http://schemas.openxmlformats.org/officeDocument/2006/relationships/hyperlink" Target="https://assets.vans.eu/images/VN000EF37VF-HERO/1" TargetMode="External"/><Relationship Id="rId3191" Type="http://schemas.openxmlformats.org/officeDocument/2006/relationships/hyperlink" Target="https://assets.vans.eu/images/VN000MBX1O7-HERO/1" TargetMode="External"/><Relationship Id="rId4035" Type="http://schemas.openxmlformats.org/officeDocument/2006/relationships/hyperlink" Target="https://assets.vans.eu/images/VN000D0MBZW-HERO/1" TargetMode="External"/><Relationship Id="rId4242" Type="http://schemas.openxmlformats.org/officeDocument/2006/relationships/hyperlink" Target="https://assets.vans.eu/images/VN000D4MBZW-HERO/1" TargetMode="External"/><Relationship Id="rId4687" Type="http://schemas.openxmlformats.org/officeDocument/2006/relationships/hyperlink" Target="https://assets.vans.eu/images/VN000VOB4WV-HERO/1" TargetMode="External"/><Relationship Id="rId4894" Type="http://schemas.openxmlformats.org/officeDocument/2006/relationships/hyperlink" Target="https://assets.vans.eu/images/VN000EKUBKA-HERO/1" TargetMode="External"/><Relationship Id="rId30" Type="http://schemas.openxmlformats.org/officeDocument/2006/relationships/hyperlink" Target="https://assets.vans.eu/images/VN000RW9BLK-HERO/1" TargetMode="External"/><Relationship Id="rId1629" Type="http://schemas.openxmlformats.org/officeDocument/2006/relationships/hyperlink" Target="https://assets.vans.eu/images/VN000HZCBLK-HERO/1" TargetMode="External"/><Relationship Id="rId1836" Type="http://schemas.openxmlformats.org/officeDocument/2006/relationships/hyperlink" Target="https://assets.vans.eu/images/VN000CTGRV2-HERO/1" TargetMode="External"/><Relationship Id="rId3289" Type="http://schemas.openxmlformats.org/officeDocument/2006/relationships/hyperlink" Target="https://assets.vans.eu/images/VN000P56O3N-HERO/1" TargetMode="External"/><Relationship Id="rId3496" Type="http://schemas.openxmlformats.org/officeDocument/2006/relationships/hyperlink" Target="https://assets.vans.eu/images/VN000Q0ACDX-HERO/1" TargetMode="External"/><Relationship Id="rId4547" Type="http://schemas.openxmlformats.org/officeDocument/2006/relationships/hyperlink" Target="https://assets.vans.eu/images/VN000DAQ239-HERO/1" TargetMode="External"/><Relationship Id="rId4754" Type="http://schemas.openxmlformats.org/officeDocument/2006/relationships/hyperlink" Target="https://assets.vans.eu/images/VN0A5FCDEMW-HERO/1" TargetMode="External"/><Relationship Id="rId1903" Type="http://schemas.openxmlformats.org/officeDocument/2006/relationships/hyperlink" Target="https://assets.vans.eu/images/VN000D5IBKA-HERO/1" TargetMode="External"/><Relationship Id="rId2098" Type="http://schemas.openxmlformats.org/officeDocument/2006/relationships/hyperlink" Target="https://assets.vans.eu/images/VN000M10ZUJ-HERO/1" TargetMode="External"/><Relationship Id="rId3051" Type="http://schemas.openxmlformats.org/officeDocument/2006/relationships/hyperlink" Target="https://assets.vans.eu/images/VN000JBN7WM-HERO/1" TargetMode="External"/><Relationship Id="rId3149" Type="http://schemas.openxmlformats.org/officeDocument/2006/relationships/hyperlink" Target="https://assets.vans.eu/images/VN000M8EKCZ-HERO/1" TargetMode="External"/><Relationship Id="rId3356" Type="http://schemas.openxmlformats.org/officeDocument/2006/relationships/hyperlink" Target="https://assets.vans.eu/images/VN000PBZBLK-HERO/1" TargetMode="External"/><Relationship Id="rId3563" Type="http://schemas.openxmlformats.org/officeDocument/2006/relationships/hyperlink" Target="https://assets.vans.eu/images/VN000R9YEN7-HERO/1" TargetMode="External"/><Relationship Id="rId4102" Type="http://schemas.openxmlformats.org/officeDocument/2006/relationships/hyperlink" Target="https://assets.vans.eu/images/VN000D1J9DH-HERO/1" TargetMode="External"/><Relationship Id="rId4407" Type="http://schemas.openxmlformats.org/officeDocument/2006/relationships/hyperlink" Target="https://assets.vans.eu/images/VN000D6ZEMT-HERO/1" TargetMode="External"/><Relationship Id="rId4961" Type="http://schemas.openxmlformats.org/officeDocument/2006/relationships/hyperlink" Target="https://assets.vans.eu/images/VN000D5DWHT-HERO/1" TargetMode="External"/><Relationship Id="rId277" Type="http://schemas.openxmlformats.org/officeDocument/2006/relationships/hyperlink" Target="https://assets.vans.eu/images/VN000CYAYLZ-HERO/1" TargetMode="External"/><Relationship Id="rId484" Type="http://schemas.openxmlformats.org/officeDocument/2006/relationships/hyperlink" Target="https://assets.vans.eu/images/VN000PMDEMW-HERO/1" TargetMode="External"/><Relationship Id="rId2165" Type="http://schemas.openxmlformats.org/officeDocument/2006/relationships/hyperlink" Target="https://assets.vans.eu/images/VN000NUYO3N-HERO/1" TargetMode="External"/><Relationship Id="rId3009" Type="http://schemas.openxmlformats.org/officeDocument/2006/relationships/hyperlink" Target="https://assets.vans.eu/images/VN000HNEBLK-HERO/1" TargetMode="External"/><Relationship Id="rId3216" Type="http://schemas.openxmlformats.org/officeDocument/2006/relationships/hyperlink" Target="https://assets.vans.eu/images/VN000MKPBLK-HERO/1" TargetMode="External"/><Relationship Id="rId3770" Type="http://schemas.openxmlformats.org/officeDocument/2006/relationships/hyperlink" Target="https://assets.vans.eu/images/VN000CP6BKA-HERO/1" TargetMode="External"/><Relationship Id="rId3868" Type="http://schemas.openxmlformats.org/officeDocument/2006/relationships/hyperlink" Target="https://assets.vans.eu/images/VN000CUYY30-HERO/1" TargetMode="External"/><Relationship Id="rId4614" Type="http://schemas.openxmlformats.org/officeDocument/2006/relationships/hyperlink" Target="https://assets.vans.eu/images/VN000E8WBRD-HERO/1" TargetMode="External"/><Relationship Id="rId4821" Type="http://schemas.openxmlformats.org/officeDocument/2006/relationships/hyperlink" Target="https://assets.vans.eu/images/VN000J9NCHG-HERO/1" TargetMode="External"/><Relationship Id="rId4919" Type="http://schemas.openxmlformats.org/officeDocument/2006/relationships/hyperlink" Target="https://assets.vans.eu/images/VN000CBSHR0-HERO/1" TargetMode="External"/><Relationship Id="rId137" Type="http://schemas.openxmlformats.org/officeDocument/2006/relationships/hyperlink" Target="https://assets.vans.eu/images/VN000P7ECDX-HERO/1" TargetMode="External"/><Relationship Id="rId344" Type="http://schemas.openxmlformats.org/officeDocument/2006/relationships/hyperlink" Target="https://assets.vans.eu/images/VN000G75D6Z-HERO/1" TargetMode="External"/><Relationship Id="rId691" Type="http://schemas.openxmlformats.org/officeDocument/2006/relationships/hyperlink" Target="https://assets.vans.eu/images/VN000DA2YY0-HERO/1" TargetMode="External"/><Relationship Id="rId789" Type="http://schemas.openxmlformats.org/officeDocument/2006/relationships/hyperlink" Target="https://assets.vans.eu/images/VN000M26CDX-HERO/1" TargetMode="External"/><Relationship Id="rId996" Type="http://schemas.openxmlformats.org/officeDocument/2006/relationships/hyperlink" Target="https://assets.vans.eu/images/VN000M12IYR-HERO/1" TargetMode="External"/><Relationship Id="rId2025" Type="http://schemas.openxmlformats.org/officeDocument/2006/relationships/hyperlink" Target="https://assets.vans.eu/images/VN0A3I5LBHH-HERO/1" TargetMode="External"/><Relationship Id="rId2372" Type="http://schemas.openxmlformats.org/officeDocument/2006/relationships/hyperlink" Target="https://assets.vans.eu/images/VN0A3CZEY28-HERO/1" TargetMode="External"/><Relationship Id="rId2677" Type="http://schemas.openxmlformats.org/officeDocument/2006/relationships/hyperlink" Target="https://assets.vans.eu/images/VN000D6WEMW-HERO/1" TargetMode="External"/><Relationship Id="rId2884" Type="http://schemas.openxmlformats.org/officeDocument/2006/relationships/hyperlink" Target="https://assets.vans.eu/images/VN000LC0E11-HERO/1" TargetMode="External"/><Relationship Id="rId3423" Type="http://schemas.openxmlformats.org/officeDocument/2006/relationships/hyperlink" Target="https://assets.vans.eu/images/VN000PK8BLK-HERO/1" TargetMode="External"/><Relationship Id="rId3630" Type="http://schemas.openxmlformats.org/officeDocument/2006/relationships/hyperlink" Target="https://assets.vans.eu/images/VN0A3IJ1BLK-HERO/1" TargetMode="External"/><Relationship Id="rId3728" Type="http://schemas.openxmlformats.org/officeDocument/2006/relationships/hyperlink" Target="https://assets.vans.eu/images/VN0009RCBZW-HERO/1" TargetMode="External"/><Relationship Id="rId551" Type="http://schemas.openxmlformats.org/officeDocument/2006/relationships/hyperlink" Target="https://assets.vans.eu/images/VN000M8EKCZ-HERO/1" TargetMode="External"/><Relationship Id="rId649" Type="http://schemas.openxmlformats.org/officeDocument/2006/relationships/hyperlink" Target="https://assets.vans.eu/images/VN000HNAC9J-HERO/1" TargetMode="External"/><Relationship Id="rId856" Type="http://schemas.openxmlformats.org/officeDocument/2006/relationships/hyperlink" Target="https://assets.vans.eu/images/VN000D9ACJ7-HERO/1" TargetMode="External"/><Relationship Id="rId1181" Type="http://schemas.openxmlformats.org/officeDocument/2006/relationships/hyperlink" Target="https://assets.vans.eu/images/VN000PMNEMP-HERO/1" TargetMode="External"/><Relationship Id="rId1279" Type="http://schemas.openxmlformats.org/officeDocument/2006/relationships/hyperlink" Target="https://assets.vans.eu/images/VN000EDNAH9-HERO/1" TargetMode="External"/><Relationship Id="rId1486" Type="http://schemas.openxmlformats.org/officeDocument/2006/relationships/hyperlink" Target="https://assets.vans.eu/images/VN000D0MKCZ-HERO/1" TargetMode="External"/><Relationship Id="rId2232" Type="http://schemas.openxmlformats.org/officeDocument/2006/relationships/hyperlink" Target="https://assets.vans.eu/images/VN000PFBF2L-HERO/1" TargetMode="External"/><Relationship Id="rId2537" Type="http://schemas.openxmlformats.org/officeDocument/2006/relationships/hyperlink" Target="https://assets.vans.eu/images/VN000D0HBZW-HERO/1" TargetMode="External"/><Relationship Id="rId3935" Type="http://schemas.openxmlformats.org/officeDocument/2006/relationships/hyperlink" Target="https://assets.vans.eu/images/VN000CVVEMQ-HERO/1" TargetMode="External"/><Relationship Id="rId204" Type="http://schemas.openxmlformats.org/officeDocument/2006/relationships/hyperlink" Target="https://assets.vans.eu/images/VN0A5KK9ZJY-HERO/1" TargetMode="External"/><Relationship Id="rId411" Type="http://schemas.openxmlformats.org/officeDocument/2006/relationships/hyperlink" Target="https://assets.vans.eu/images/VN000MFWUUI-HERO/1" TargetMode="External"/><Relationship Id="rId509" Type="http://schemas.openxmlformats.org/officeDocument/2006/relationships/hyperlink" Target="https://assets.vans.eu/images/VN000R51WHT-HERO/1" TargetMode="External"/><Relationship Id="rId1041" Type="http://schemas.openxmlformats.org/officeDocument/2006/relationships/hyperlink" Target="https://assets.vans.eu/images/VN000RD6ZRY-HERO/1" TargetMode="External"/><Relationship Id="rId1139" Type="http://schemas.openxmlformats.org/officeDocument/2006/relationships/hyperlink" Target="https://assets.vans.eu/images/VN000MBAE30-HERO/1" TargetMode="External"/><Relationship Id="rId1346" Type="http://schemas.openxmlformats.org/officeDocument/2006/relationships/hyperlink" Target="https://assets.vans.eu/images/VN000MC0ZUJ-HERO/1" TargetMode="External"/><Relationship Id="rId1693" Type="http://schemas.openxmlformats.org/officeDocument/2006/relationships/hyperlink" Target="https://assets.vans.eu/images/VN000P51EMS-HERO/1" TargetMode="External"/><Relationship Id="rId1998" Type="http://schemas.openxmlformats.org/officeDocument/2006/relationships/hyperlink" Target="https://assets.vans.eu/images/VN0A5FCB1N6-HERO/1" TargetMode="External"/><Relationship Id="rId2744" Type="http://schemas.openxmlformats.org/officeDocument/2006/relationships/hyperlink" Target="https://assets.vans.eu/images/VN000DAQ1MG-HERO/1" TargetMode="External"/><Relationship Id="rId2951" Type="http://schemas.openxmlformats.org/officeDocument/2006/relationships/hyperlink" Target="https://assets.vans.eu/images/VN000G6MBDX-HERO/1" TargetMode="External"/><Relationship Id="rId4197" Type="http://schemas.openxmlformats.org/officeDocument/2006/relationships/hyperlink" Target="https://assets.vans.eu/images/VN000D29EMW-HERO/1" TargetMode="External"/><Relationship Id="rId5010" Type="http://schemas.openxmlformats.org/officeDocument/2006/relationships/hyperlink" Target="https://assets.vans.eu/images/VN000MRJYQX-HERO/1" TargetMode="External"/><Relationship Id="rId716" Type="http://schemas.openxmlformats.org/officeDocument/2006/relationships/hyperlink" Target="https://assets.vans.eu/images/VN000P1PEML-HERO/1" TargetMode="External"/><Relationship Id="rId923" Type="http://schemas.openxmlformats.org/officeDocument/2006/relationships/hyperlink" Target="https://assets.vans.eu/images/VN0A3CZEY28-HERO/1" TargetMode="External"/><Relationship Id="rId1553" Type="http://schemas.openxmlformats.org/officeDocument/2006/relationships/hyperlink" Target="https://assets.vans.eu/images/VN000EG8B5T-HERO/1" TargetMode="External"/><Relationship Id="rId1760" Type="http://schemas.openxmlformats.org/officeDocument/2006/relationships/hyperlink" Target="https://assets.vans.eu/images/VN000PXG02F-HERO/1" TargetMode="External"/><Relationship Id="rId1858" Type="http://schemas.openxmlformats.org/officeDocument/2006/relationships/hyperlink" Target="https://assets.vans.eu/images/VN000D0HBZW-HERO/1" TargetMode="External"/><Relationship Id="rId2604" Type="http://schemas.openxmlformats.org/officeDocument/2006/relationships/hyperlink" Target="https://assets.vans.eu/images/VN000D2VBLA-HERO/1" TargetMode="External"/><Relationship Id="rId2811" Type="http://schemas.openxmlformats.org/officeDocument/2006/relationships/hyperlink" Target="https://assets.vans.eu/images/VN000EG59X1-HERO/1" TargetMode="External"/><Relationship Id="rId4057" Type="http://schemas.openxmlformats.org/officeDocument/2006/relationships/hyperlink" Target="https://assets.vans.eu/images/VN000D10N1Z-HERO/1" TargetMode="External"/><Relationship Id="rId4264" Type="http://schemas.openxmlformats.org/officeDocument/2006/relationships/hyperlink" Target="https://assets.vans.eu/images/VN000D5DDUF-HERO/1" TargetMode="External"/><Relationship Id="rId4471" Type="http://schemas.openxmlformats.org/officeDocument/2006/relationships/hyperlink" Target="https://assets.vans.eu/images/VN000D8NZ5D-HERO/1" TargetMode="External"/><Relationship Id="rId52" Type="http://schemas.openxmlformats.org/officeDocument/2006/relationships/hyperlink" Target="https://assets.vans.eu/images/VN000QB8BLK-HERO/1" TargetMode="External"/><Relationship Id="rId1206" Type="http://schemas.openxmlformats.org/officeDocument/2006/relationships/hyperlink" Target="https://assets.vans.eu/images/VN0A7YUTBLK-HERO/1" TargetMode="External"/><Relationship Id="rId1413" Type="http://schemas.openxmlformats.org/officeDocument/2006/relationships/hyperlink" Target="https://assets.vans.eu/images/VN000R8XBLK-HERO/1" TargetMode="External"/><Relationship Id="rId1620" Type="http://schemas.openxmlformats.org/officeDocument/2006/relationships/hyperlink" Target="https://assets.vans.eu/images/VN000HGJFS8-HERO/1" TargetMode="External"/><Relationship Id="rId2909" Type="http://schemas.openxmlformats.org/officeDocument/2006/relationships/hyperlink" Target="https://assets.vans.eu/images/VN0A7S96BLK-HERO/1" TargetMode="External"/><Relationship Id="rId3073" Type="http://schemas.openxmlformats.org/officeDocument/2006/relationships/hyperlink" Target="https://assets.vans.eu/images/VN000JY1KOU-HERO/1" TargetMode="External"/><Relationship Id="rId3280" Type="http://schemas.openxmlformats.org/officeDocument/2006/relationships/hyperlink" Target="https://assets.vans.eu/images/VN000P54WHT-HERO/1" TargetMode="External"/><Relationship Id="rId4124" Type="http://schemas.openxmlformats.org/officeDocument/2006/relationships/hyperlink" Target="https://assets.vans.eu/images/VN000D1JOVM-HERO/1" TargetMode="External"/><Relationship Id="rId4331" Type="http://schemas.openxmlformats.org/officeDocument/2006/relationships/hyperlink" Target="https://assets.vans.eu/images/VN000D6FBGK-HERO/1" TargetMode="External"/><Relationship Id="rId4569" Type="http://schemas.openxmlformats.org/officeDocument/2006/relationships/hyperlink" Target="https://assets.vans.eu/images/VN000DARC9F-HERO/1" TargetMode="External"/><Relationship Id="rId4776" Type="http://schemas.openxmlformats.org/officeDocument/2006/relationships/hyperlink" Target="https://assets.vans.eu/images/VN0A5JICNUT-HERO/1" TargetMode="External"/><Relationship Id="rId4983" Type="http://schemas.openxmlformats.org/officeDocument/2006/relationships/hyperlink" Target="https://assets.vans.eu/images/VN000D9ZRBG-HERO/1" TargetMode="External"/><Relationship Id="rId1718" Type="http://schemas.openxmlformats.org/officeDocument/2006/relationships/hyperlink" Target="https://assets.vans.eu/images/VN000PJMBLK-HERO/1" TargetMode="External"/><Relationship Id="rId1925" Type="http://schemas.openxmlformats.org/officeDocument/2006/relationships/hyperlink" Target="https://assets.vans.eu/images/VN000D6YEMY-HERO/1" TargetMode="External"/><Relationship Id="rId3140" Type="http://schemas.openxmlformats.org/officeDocument/2006/relationships/hyperlink" Target="https://assets.vans.eu/images/VN000M5JCLH-HERO/1" TargetMode="External"/><Relationship Id="rId3378" Type="http://schemas.openxmlformats.org/officeDocument/2006/relationships/hyperlink" Target="https://assets.vans.eu/images/VN000PDYWHT-HERO/1" TargetMode="External"/><Relationship Id="rId3585" Type="http://schemas.openxmlformats.org/officeDocument/2006/relationships/hyperlink" Target="https://assets.vans.eu/images/VN000RD4EMP-HERO/1" TargetMode="External"/><Relationship Id="rId3792" Type="http://schemas.openxmlformats.org/officeDocument/2006/relationships/hyperlink" Target="https://assets.vans.eu/images/VN000CQ0O33-HERO/1" TargetMode="External"/><Relationship Id="rId4429" Type="http://schemas.openxmlformats.org/officeDocument/2006/relationships/hyperlink" Target="https://assets.vans.eu/images/VN000D7Z1NU-HERO/1" TargetMode="External"/><Relationship Id="rId4636" Type="http://schemas.openxmlformats.org/officeDocument/2006/relationships/hyperlink" Target="https://assets.vans.eu/images/VN000EB4TAN-HERO/1" TargetMode="External"/><Relationship Id="rId4843" Type="http://schemas.openxmlformats.org/officeDocument/2006/relationships/hyperlink" Target="https://assets.vans.eu/images/VN000CVVSR6-HERO/1" TargetMode="External"/><Relationship Id="rId299" Type="http://schemas.openxmlformats.org/officeDocument/2006/relationships/hyperlink" Target="https://assets.vans.eu/images/VN000Q1FBRD-HERO/1" TargetMode="External"/><Relationship Id="rId2187" Type="http://schemas.openxmlformats.org/officeDocument/2006/relationships/hyperlink" Target="https://assets.vans.eu/images/VN000P51Y28-HERO/1" TargetMode="External"/><Relationship Id="rId2394" Type="http://schemas.openxmlformats.org/officeDocument/2006/relationships/hyperlink" Target="https://assets.vans.eu/images/VN000H58ENA-HERO/1" TargetMode="External"/><Relationship Id="rId3238" Type="http://schemas.openxmlformats.org/officeDocument/2006/relationships/hyperlink" Target="https://assets.vans.eu/images/VN000NWEBLK-HERO/1" TargetMode="External"/><Relationship Id="rId3445" Type="http://schemas.openxmlformats.org/officeDocument/2006/relationships/hyperlink" Target="https://assets.vans.eu/images/VN000PNGEMV-HERO/1" TargetMode="External"/><Relationship Id="rId3652" Type="http://schemas.openxmlformats.org/officeDocument/2006/relationships/hyperlink" Target="https://assets.vans.eu/images/VN0A4Q4BBLK-HERO/1" TargetMode="External"/><Relationship Id="rId4703" Type="http://schemas.openxmlformats.org/officeDocument/2006/relationships/hyperlink" Target="https://assets.vans.eu/images/VN0A38G19G5-HERO/1" TargetMode="External"/><Relationship Id="rId159" Type="http://schemas.openxmlformats.org/officeDocument/2006/relationships/hyperlink" Target="https://assets.vans.eu/images/VN000E9ZYF5-HERO/1" TargetMode="External"/><Relationship Id="rId366" Type="http://schemas.openxmlformats.org/officeDocument/2006/relationships/hyperlink" Target="https://assets.vans.eu/images/VN000M39DZ9-HERO/1" TargetMode="External"/><Relationship Id="rId573" Type="http://schemas.openxmlformats.org/officeDocument/2006/relationships/hyperlink" Target="https://assets.vans.eu/images/VN000D0SYJ7-HERO/1" TargetMode="External"/><Relationship Id="rId780" Type="http://schemas.openxmlformats.org/officeDocument/2006/relationships/hyperlink" Target="https://assets.vans.eu/images/VN000QBQWHT-HERO/1" TargetMode="External"/><Relationship Id="rId2047" Type="http://schemas.openxmlformats.org/officeDocument/2006/relationships/hyperlink" Target="https://assets.vans.eu/images/VN000GA0BLK-HERO/1" TargetMode="External"/><Relationship Id="rId2254" Type="http://schemas.openxmlformats.org/officeDocument/2006/relationships/hyperlink" Target="https://assets.vans.eu/images/VN000PJSD3Z-HERO/1" TargetMode="External"/><Relationship Id="rId2461" Type="http://schemas.openxmlformats.org/officeDocument/2006/relationships/hyperlink" Target="https://assets.vans.eu/images/VN000CRRBJ4-HERO/1" TargetMode="External"/><Relationship Id="rId2699" Type="http://schemas.openxmlformats.org/officeDocument/2006/relationships/hyperlink" Target="https://assets.vans.eu/images/VN000D7G29B-HERO/1" TargetMode="External"/><Relationship Id="rId3000" Type="http://schemas.openxmlformats.org/officeDocument/2006/relationships/hyperlink" Target="https://assets.vans.eu/images/VN000HJRD3Z-HERO/1" TargetMode="External"/><Relationship Id="rId3305" Type="http://schemas.openxmlformats.org/officeDocument/2006/relationships/hyperlink" Target="https://assets.vans.eu/images/VN000P5RBLK-HERO/1" TargetMode="External"/><Relationship Id="rId3512" Type="http://schemas.openxmlformats.org/officeDocument/2006/relationships/hyperlink" Target="https://assets.vans.eu/images/VN000Q43EN6-HERO/1" TargetMode="External"/><Relationship Id="rId3957" Type="http://schemas.openxmlformats.org/officeDocument/2006/relationships/hyperlink" Target="https://assets.vans.eu/images/VN000CWE887-HERO/1" TargetMode="External"/><Relationship Id="rId4910" Type="http://schemas.openxmlformats.org/officeDocument/2006/relationships/hyperlink" Target="https://assets.vans.eu/images/VN000GFGBLK-HERO/1" TargetMode="External"/><Relationship Id="rId226" Type="http://schemas.openxmlformats.org/officeDocument/2006/relationships/hyperlink" Target="https://assets.vans.eu/images/VN000HJV7D6-HERO/1" TargetMode="External"/><Relationship Id="rId433" Type="http://schemas.openxmlformats.org/officeDocument/2006/relationships/hyperlink" Target="https://assets.vans.eu/images/VN000HZBBLK-HERO/1" TargetMode="External"/><Relationship Id="rId878" Type="http://schemas.openxmlformats.org/officeDocument/2006/relationships/hyperlink" Target="https://assets.vans.eu/images/VN000M98ZBF-HERO/1" TargetMode="External"/><Relationship Id="rId1063" Type="http://schemas.openxmlformats.org/officeDocument/2006/relationships/hyperlink" Target="https://assets.vans.eu/images/VN000CVVYZO-HERO/1" TargetMode="External"/><Relationship Id="rId1270" Type="http://schemas.openxmlformats.org/officeDocument/2006/relationships/hyperlink" Target="https://assets.vans.eu/images/VN000D9YTUP-HERO/1" TargetMode="External"/><Relationship Id="rId2114" Type="http://schemas.openxmlformats.org/officeDocument/2006/relationships/hyperlink" Target="https://assets.vans.eu/images/VN000M6ZZBF-HERO/1" TargetMode="External"/><Relationship Id="rId2559" Type="http://schemas.openxmlformats.org/officeDocument/2006/relationships/hyperlink" Target="https://assets.vans.eu/images/VN000D0S1NU-HERO/1" TargetMode="External"/><Relationship Id="rId2766" Type="http://schemas.openxmlformats.org/officeDocument/2006/relationships/hyperlink" Target="https://assets.vans.eu/images/VN000DCBYJ7-HERO/1" TargetMode="External"/><Relationship Id="rId2973" Type="http://schemas.openxmlformats.org/officeDocument/2006/relationships/hyperlink" Target="https://assets.vans.eu/images/VN000GF8WHT-HERO/1" TargetMode="External"/><Relationship Id="rId3817" Type="http://schemas.openxmlformats.org/officeDocument/2006/relationships/hyperlink" Target="https://assets.vans.eu/images/VN000CR5BOU-HERO/1" TargetMode="External"/><Relationship Id="rId640" Type="http://schemas.openxmlformats.org/officeDocument/2006/relationships/hyperlink" Target="https://assets.vans.eu/images/VN000EK9BO5-HERO/1" TargetMode="External"/><Relationship Id="rId738" Type="http://schemas.openxmlformats.org/officeDocument/2006/relationships/hyperlink" Target="https://assets.vans.eu/images/VN000RDFBLK-HERO/1" TargetMode="External"/><Relationship Id="rId945" Type="http://schemas.openxmlformats.org/officeDocument/2006/relationships/hyperlink" Target="https://assets.vans.eu/images/VN000D0MKCZ-HERO/1" TargetMode="External"/><Relationship Id="rId1368" Type="http://schemas.openxmlformats.org/officeDocument/2006/relationships/hyperlink" Target="https://assets.vans.eu/images/VN000PE7WHT-HERO/1" TargetMode="External"/><Relationship Id="rId1575" Type="http://schemas.openxmlformats.org/officeDocument/2006/relationships/hyperlink" Target="https://assets.vans.eu/images/VN000GMTCHN-HERO/1" TargetMode="External"/><Relationship Id="rId1782" Type="http://schemas.openxmlformats.org/officeDocument/2006/relationships/hyperlink" Target="https://assets.vans.eu/images/VN000R05ATH-HERO/1" TargetMode="External"/><Relationship Id="rId2321" Type="http://schemas.openxmlformats.org/officeDocument/2006/relationships/hyperlink" Target="https://assets.vans.eu/images/VN000Q49BLK-HERO/1" TargetMode="External"/><Relationship Id="rId2419" Type="http://schemas.openxmlformats.org/officeDocument/2006/relationships/hyperlink" Target="https://assets.vans.eu/images/VN000BCECCZ-HERO/1" TargetMode="External"/><Relationship Id="rId2626" Type="http://schemas.openxmlformats.org/officeDocument/2006/relationships/hyperlink" Target="https://assets.vans.eu/images/VN000D5RBRG-HERO/1" TargetMode="External"/><Relationship Id="rId2833" Type="http://schemas.openxmlformats.org/officeDocument/2006/relationships/hyperlink" Target="https://assets.vans.eu/images/VN0A5FCAPIB-HERO/1" TargetMode="External"/><Relationship Id="rId4079" Type="http://schemas.openxmlformats.org/officeDocument/2006/relationships/hyperlink" Target="https://assets.vans.eu/images/VN000D1H4QU-HERO/1" TargetMode="External"/><Relationship Id="rId4286" Type="http://schemas.openxmlformats.org/officeDocument/2006/relationships/hyperlink" Target="https://assets.vans.eu/images/VN000D5VBH7-HERO/1" TargetMode="External"/><Relationship Id="rId5032" Type="http://schemas.openxmlformats.org/officeDocument/2006/relationships/hyperlink" Target="https://assets.vans.eu/images/VN0A2Z34REB-HERO/1" TargetMode="External"/><Relationship Id="rId74" Type="http://schemas.openxmlformats.org/officeDocument/2006/relationships/hyperlink" Target="https://assets.vans.eu/images/VN000EZ5WHT-HERO/1" TargetMode="External"/><Relationship Id="rId500" Type="http://schemas.openxmlformats.org/officeDocument/2006/relationships/hyperlink" Target="https://assets.vans.eu/images/VN000E8CGMX-HERO/1" TargetMode="External"/><Relationship Id="rId805" Type="http://schemas.openxmlformats.org/officeDocument/2006/relationships/hyperlink" Target="https://assets.vans.eu/images/VN000PK8BLK-HERO/1" TargetMode="External"/><Relationship Id="rId1130" Type="http://schemas.openxmlformats.org/officeDocument/2006/relationships/hyperlink" Target="https://assets.vans.eu/images/VN000M0XKCZ-HERO/1" TargetMode="External"/><Relationship Id="rId1228" Type="http://schemas.openxmlformats.org/officeDocument/2006/relationships/hyperlink" Target="https://assets.vans.eu/images/VN000CYAEMY-HERO/1" TargetMode="External"/><Relationship Id="rId1435" Type="http://schemas.openxmlformats.org/officeDocument/2006/relationships/hyperlink" Target="https://assets.vans.eu/images/VN0A7YUTBLK-HERO/1" TargetMode="External"/><Relationship Id="rId4493" Type="http://schemas.openxmlformats.org/officeDocument/2006/relationships/hyperlink" Target="https://assets.vans.eu/images/VN000D9YYY0-HERO/1" TargetMode="External"/><Relationship Id="rId4798" Type="http://schemas.openxmlformats.org/officeDocument/2006/relationships/hyperlink" Target="https://assets.vans.eu/images/VN000NQWBKA-HERO/1" TargetMode="External"/><Relationship Id="rId1642" Type="http://schemas.openxmlformats.org/officeDocument/2006/relationships/hyperlink" Target="https://assets.vans.eu/images/VN000K9ABLK-HERO/1" TargetMode="External"/><Relationship Id="rId1947" Type="http://schemas.openxmlformats.org/officeDocument/2006/relationships/hyperlink" Target="https://assets.vans.eu/images/VN000DA2B9M-HERO/1" TargetMode="External"/><Relationship Id="rId2900" Type="http://schemas.openxmlformats.org/officeDocument/2006/relationships/hyperlink" Target="https://assets.vans.eu/images/VN0A311PBLK-HERO/1" TargetMode="External"/><Relationship Id="rId3095" Type="http://schemas.openxmlformats.org/officeDocument/2006/relationships/hyperlink" Target="https://assets.vans.eu/images/VN000KG6BLK-HERO/1" TargetMode="External"/><Relationship Id="rId4146" Type="http://schemas.openxmlformats.org/officeDocument/2006/relationships/hyperlink" Target="https://assets.vans.eu/images/VN000D22B9P-HERO/1" TargetMode="External"/><Relationship Id="rId4353" Type="http://schemas.openxmlformats.org/officeDocument/2006/relationships/hyperlink" Target="https://assets.vans.eu/images/VN000D6NBGK-HERO/1" TargetMode="External"/><Relationship Id="rId4560" Type="http://schemas.openxmlformats.org/officeDocument/2006/relationships/hyperlink" Target="https://assets.vans.eu/images/VN000DAQY49-HERO/1" TargetMode="External"/><Relationship Id="rId1502" Type="http://schemas.openxmlformats.org/officeDocument/2006/relationships/hyperlink" Target="https://assets.vans.eu/images/VN000D3212S-HERO/1" TargetMode="External"/><Relationship Id="rId1807" Type="http://schemas.openxmlformats.org/officeDocument/2006/relationships/hyperlink" Target="https://assets.vans.eu/images/VN0A5FJJ1RE-HERO/1" TargetMode="External"/><Relationship Id="rId3162" Type="http://schemas.openxmlformats.org/officeDocument/2006/relationships/hyperlink" Target="https://assets.vans.eu/images/VN000M9DZBF-HERO/1" TargetMode="External"/><Relationship Id="rId4006" Type="http://schemas.openxmlformats.org/officeDocument/2006/relationships/hyperlink" Target="https://assets.vans.eu/images/VN000CZ7RV2-HERO/1" TargetMode="External"/><Relationship Id="rId4213" Type="http://schemas.openxmlformats.org/officeDocument/2006/relationships/hyperlink" Target="https://assets.vans.eu/images/VN000D2UBIY-HERO/1" TargetMode="External"/><Relationship Id="rId4420" Type="http://schemas.openxmlformats.org/officeDocument/2006/relationships/hyperlink" Target="https://assets.vans.eu/images/VN000D6ZZ5D-HERO/1" TargetMode="External"/><Relationship Id="rId4658" Type="http://schemas.openxmlformats.org/officeDocument/2006/relationships/hyperlink" Target="https://assets.vans.eu/images/VN000EDNGRY-HERO/1" TargetMode="External"/><Relationship Id="rId4865" Type="http://schemas.openxmlformats.org/officeDocument/2006/relationships/hyperlink" Target="https://assets.vans.eu/images/VN000EEBBO5-HERO/1" TargetMode="External"/><Relationship Id="rId290" Type="http://schemas.openxmlformats.org/officeDocument/2006/relationships/hyperlink" Target="https://assets.vans.eu/images/VN000M12IYR-HERO/1" TargetMode="External"/><Relationship Id="rId388" Type="http://schemas.openxmlformats.org/officeDocument/2006/relationships/hyperlink" Target="https://assets.vans.eu/images/VN000QCMBLK-HERO/1" TargetMode="External"/><Relationship Id="rId2069" Type="http://schemas.openxmlformats.org/officeDocument/2006/relationships/hyperlink" Target="https://assets.vans.eu/images/VN000J9JZR6-HERO/1" TargetMode="External"/><Relationship Id="rId3022" Type="http://schemas.openxmlformats.org/officeDocument/2006/relationships/hyperlink" Target="https://assets.vans.eu/images/VN000HPQ02F-HERO/1" TargetMode="External"/><Relationship Id="rId3467" Type="http://schemas.openxmlformats.org/officeDocument/2006/relationships/hyperlink" Target="https://assets.vans.eu/images/VN000PTHWHT-HERO/1" TargetMode="External"/><Relationship Id="rId3674" Type="http://schemas.openxmlformats.org/officeDocument/2006/relationships/hyperlink" Target="https://assets.vans.eu/images/VN0A7Y47Z2X-HERO/1" TargetMode="External"/><Relationship Id="rId3881" Type="http://schemas.openxmlformats.org/officeDocument/2006/relationships/hyperlink" Target="https://assets.vans.eu/images/VN000CVRN1Z-HERO/1" TargetMode="External"/><Relationship Id="rId4518" Type="http://schemas.openxmlformats.org/officeDocument/2006/relationships/hyperlink" Target="https://assets.vans.eu/images/VN000DA24GO-HERO/1" TargetMode="External"/><Relationship Id="rId4725" Type="http://schemas.openxmlformats.org/officeDocument/2006/relationships/hyperlink" Target="https://assets.vans.eu/images/VN0A4U1KBLK-HERO/1" TargetMode="External"/><Relationship Id="rId4932" Type="http://schemas.openxmlformats.org/officeDocument/2006/relationships/hyperlink" Target="https://assets.vans.eu/images/VN000D1G92A-HERO/1" TargetMode="External"/><Relationship Id="rId150" Type="http://schemas.openxmlformats.org/officeDocument/2006/relationships/hyperlink" Target="https://assets.vans.eu/images/VN000CS02W0-HERO/1" TargetMode="External"/><Relationship Id="rId595" Type="http://schemas.openxmlformats.org/officeDocument/2006/relationships/hyperlink" Target="https://assets.vans.eu/images/VN0A7PQZZX1-HERO/1" TargetMode="External"/><Relationship Id="rId2276" Type="http://schemas.openxmlformats.org/officeDocument/2006/relationships/hyperlink" Target="https://assets.vans.eu/images/VN000PN9ZX7-HERO/1" TargetMode="External"/><Relationship Id="rId2483" Type="http://schemas.openxmlformats.org/officeDocument/2006/relationships/hyperlink" Target="https://assets.vans.eu/images/VN000CVU1LO-HERO/1" TargetMode="External"/><Relationship Id="rId2690" Type="http://schemas.openxmlformats.org/officeDocument/2006/relationships/hyperlink" Target="https://assets.vans.eu/images/VN000D6ZEZI-HERO/1" TargetMode="External"/><Relationship Id="rId3327" Type="http://schemas.openxmlformats.org/officeDocument/2006/relationships/hyperlink" Target="https://assets.vans.eu/images/VN000P8GBRD-HERO/1" TargetMode="External"/><Relationship Id="rId3534" Type="http://schemas.openxmlformats.org/officeDocument/2006/relationships/hyperlink" Target="https://assets.vans.eu/images/VN000QFSBLK-HERO/1" TargetMode="External"/><Relationship Id="rId3741" Type="http://schemas.openxmlformats.org/officeDocument/2006/relationships/hyperlink" Target="https://assets.vans.eu/images/VN000BCELLC-HERO/1" TargetMode="External"/><Relationship Id="rId3979" Type="http://schemas.openxmlformats.org/officeDocument/2006/relationships/hyperlink" Target="https://assets.vans.eu/images/VN000CYABMC-HERO/1" TargetMode="External"/><Relationship Id="rId248" Type="http://schemas.openxmlformats.org/officeDocument/2006/relationships/hyperlink" Target="https://assets.vans.eu/images/VN0A7PQZEN7-HERO/1" TargetMode="External"/><Relationship Id="rId455" Type="http://schemas.openxmlformats.org/officeDocument/2006/relationships/hyperlink" Target="https://assets.vans.eu/images/VN000CYAYLZ-HERO/1" TargetMode="External"/><Relationship Id="rId662" Type="http://schemas.openxmlformats.org/officeDocument/2006/relationships/hyperlink" Target="https://assets.vans.eu/images/VN000PQHE90-HERO/1" TargetMode="External"/><Relationship Id="rId1085" Type="http://schemas.openxmlformats.org/officeDocument/2006/relationships/hyperlink" Target="https://assets.vans.eu/images/VN000E9ZYF5-HERO/1" TargetMode="External"/><Relationship Id="rId1292" Type="http://schemas.openxmlformats.org/officeDocument/2006/relationships/hyperlink" Target="https://assets.vans.eu/images/VN000JEQBLK-HERO/1" TargetMode="External"/><Relationship Id="rId2136" Type="http://schemas.openxmlformats.org/officeDocument/2006/relationships/hyperlink" Target="https://assets.vans.eu/images/VN000MAEBLK-HERO/1" TargetMode="External"/><Relationship Id="rId2343" Type="http://schemas.openxmlformats.org/officeDocument/2006/relationships/hyperlink" Target="https://assets.vans.eu/images/VN000RCHWHT-HERO/1" TargetMode="External"/><Relationship Id="rId2550" Type="http://schemas.openxmlformats.org/officeDocument/2006/relationships/hyperlink" Target="https://assets.vans.eu/images/VN000D0MBZW-HERO/1" TargetMode="External"/><Relationship Id="rId2788" Type="http://schemas.openxmlformats.org/officeDocument/2006/relationships/hyperlink" Target="https://assets.vans.eu/images/VN000EB4TAN-HERO/1" TargetMode="External"/><Relationship Id="rId2995" Type="http://schemas.openxmlformats.org/officeDocument/2006/relationships/hyperlink" Target="https://assets.vans.eu/images/VN000HF6FS8-HERO/1" TargetMode="External"/><Relationship Id="rId3601" Type="http://schemas.openxmlformats.org/officeDocument/2006/relationships/hyperlink" Target="https://assets.vans.eu/images/VN000RJYPWT-HERO/1" TargetMode="External"/><Relationship Id="rId3839" Type="http://schemas.openxmlformats.org/officeDocument/2006/relationships/hyperlink" Target="https://assets.vans.eu/images/VN000CTG1NU-HERO/1" TargetMode="External"/><Relationship Id="rId5054" Type="http://schemas.openxmlformats.org/officeDocument/2006/relationships/hyperlink" Target="https://assets.vans.eu/images/VN0A2Z3UCX6-HERO/1" TargetMode="External"/><Relationship Id="rId108" Type="http://schemas.openxmlformats.org/officeDocument/2006/relationships/hyperlink" Target="https://assets.vans.eu/images/VN000M6ZZBF-HERO/1" TargetMode="External"/><Relationship Id="rId315" Type="http://schemas.openxmlformats.org/officeDocument/2006/relationships/hyperlink" Target="https://assets.vans.eu/images/VN000CQ0O33-HERO/1" TargetMode="External"/><Relationship Id="rId522" Type="http://schemas.openxmlformats.org/officeDocument/2006/relationships/hyperlink" Target="https://assets.vans.eu/images/VN000R04EMF-HERO/1" TargetMode="External"/><Relationship Id="rId967" Type="http://schemas.openxmlformats.org/officeDocument/2006/relationships/hyperlink" Target="https://assets.vans.eu/images/VN000E89OXS-HERO/1" TargetMode="External"/><Relationship Id="rId1152" Type="http://schemas.openxmlformats.org/officeDocument/2006/relationships/hyperlink" Target="https://assets.vans.eu/images/VN000P21EMU-HERO/1" TargetMode="External"/><Relationship Id="rId1597" Type="http://schemas.openxmlformats.org/officeDocument/2006/relationships/hyperlink" Target="https://assets.vans.eu/images/VN0A48HI448-HERO/1" TargetMode="External"/><Relationship Id="rId2203" Type="http://schemas.openxmlformats.org/officeDocument/2006/relationships/hyperlink" Target="https://assets.vans.eu/images/VN000P86F0V-HERO/1" TargetMode="External"/><Relationship Id="rId2410" Type="http://schemas.openxmlformats.org/officeDocument/2006/relationships/hyperlink" Target="https://assets.vans.eu/images/VN0007NSRED-HERO/1" TargetMode="External"/><Relationship Id="rId2648" Type="http://schemas.openxmlformats.org/officeDocument/2006/relationships/hyperlink" Target="https://assets.vans.eu/images/VN000D61EMP-HERO/1" TargetMode="External"/><Relationship Id="rId2855" Type="http://schemas.openxmlformats.org/officeDocument/2006/relationships/hyperlink" Target="https://assets.vans.eu/images/VN0008NSLKZ-HERO/1" TargetMode="External"/><Relationship Id="rId3906" Type="http://schemas.openxmlformats.org/officeDocument/2006/relationships/hyperlink" Target="https://assets.vans.eu/images/VN000CVUBFB-HERO/1" TargetMode="External"/><Relationship Id="rId96" Type="http://schemas.openxmlformats.org/officeDocument/2006/relationships/hyperlink" Target="https://assets.vans.eu/images/VN000RATE30-HERO/1" TargetMode="External"/><Relationship Id="rId827" Type="http://schemas.openxmlformats.org/officeDocument/2006/relationships/hyperlink" Target="https://assets.vans.eu/images/VN000SPARU0-HERO/1" TargetMode="External"/><Relationship Id="rId1012" Type="http://schemas.openxmlformats.org/officeDocument/2006/relationships/hyperlink" Target="https://assets.vans.eu/images/VN000P20EMU-HERO/1" TargetMode="External"/><Relationship Id="rId1457" Type="http://schemas.openxmlformats.org/officeDocument/2006/relationships/hyperlink" Target="https://assets.vans.eu/images/VN000CS0D4C-HERO/1" TargetMode="External"/><Relationship Id="rId1664" Type="http://schemas.openxmlformats.org/officeDocument/2006/relationships/hyperlink" Target="https://assets.vans.eu/images/VN000MBEFS8-HERO/1" TargetMode="External"/><Relationship Id="rId1871" Type="http://schemas.openxmlformats.org/officeDocument/2006/relationships/hyperlink" Target="https://assets.vans.eu/images/VN000D11N1Z-HERO/1" TargetMode="External"/><Relationship Id="rId2508" Type="http://schemas.openxmlformats.org/officeDocument/2006/relationships/hyperlink" Target="https://assets.vans.eu/images/VN000CWEBLU-HERO/1" TargetMode="External"/><Relationship Id="rId2715" Type="http://schemas.openxmlformats.org/officeDocument/2006/relationships/hyperlink" Target="https://assets.vans.eu/images/VN000D9YTUP-HERO/1" TargetMode="External"/><Relationship Id="rId2922" Type="http://schemas.openxmlformats.org/officeDocument/2006/relationships/hyperlink" Target="https://assets.vans.eu/images/VN0008C6589-HERO/1" TargetMode="External"/><Relationship Id="rId4070" Type="http://schemas.openxmlformats.org/officeDocument/2006/relationships/hyperlink" Target="https://assets.vans.eu/images/VN000D13BGS-HERO/1" TargetMode="External"/><Relationship Id="rId4168" Type="http://schemas.openxmlformats.org/officeDocument/2006/relationships/hyperlink" Target="https://assets.vans.eu/images/VN000D22W00-HERO/1" TargetMode="External"/><Relationship Id="rId4375" Type="http://schemas.openxmlformats.org/officeDocument/2006/relationships/hyperlink" Target="https://assets.vans.eu/images/VN000D6WEMG-HERO/1" TargetMode="External"/><Relationship Id="rId1317" Type="http://schemas.openxmlformats.org/officeDocument/2006/relationships/hyperlink" Target="https://assets.vans.eu/images/VN000JF5BLK-HERO/1" TargetMode="External"/><Relationship Id="rId1524" Type="http://schemas.openxmlformats.org/officeDocument/2006/relationships/hyperlink" Target="https://assets.vans.eu/images/VN000D83SQ7-HERO/1" TargetMode="External"/><Relationship Id="rId1731" Type="http://schemas.openxmlformats.org/officeDocument/2006/relationships/hyperlink" Target="https://assets.vans.eu/images/VN000PMXEMU-HERO/1" TargetMode="External"/><Relationship Id="rId1969" Type="http://schemas.openxmlformats.org/officeDocument/2006/relationships/hyperlink" Target="https://assets.vans.eu/images/VN000E9RZ3R-HERO/1" TargetMode="External"/><Relationship Id="rId3184" Type="http://schemas.openxmlformats.org/officeDocument/2006/relationships/hyperlink" Target="https://assets.vans.eu/images/VN000MB2EB2-HERO/1" TargetMode="External"/><Relationship Id="rId4028" Type="http://schemas.openxmlformats.org/officeDocument/2006/relationships/hyperlink" Target="https://assets.vans.eu/images/VN000D0HN1Z-HERO/1" TargetMode="External"/><Relationship Id="rId4235" Type="http://schemas.openxmlformats.org/officeDocument/2006/relationships/hyperlink" Target="https://assets.vans.eu/images/VN000D45EMY-HERO/1" TargetMode="External"/><Relationship Id="rId4582" Type="http://schemas.openxmlformats.org/officeDocument/2006/relationships/hyperlink" Target="https://assets.vans.eu/images/VN000DB1EMG-HERO/1" TargetMode="External"/><Relationship Id="rId4887" Type="http://schemas.openxmlformats.org/officeDocument/2006/relationships/hyperlink" Target="https://assets.vans.eu/images/VN000DA4PNK-HERO/1" TargetMode="External"/><Relationship Id="rId23" Type="http://schemas.openxmlformats.org/officeDocument/2006/relationships/hyperlink" Target="https://assets.vans.eu/images/VN000D3YFS8-HERO/1" TargetMode="External"/><Relationship Id="rId1829" Type="http://schemas.openxmlformats.org/officeDocument/2006/relationships/hyperlink" Target="https://assets.vans.eu/images/VN000CS3ULE-HERO/1" TargetMode="External"/><Relationship Id="rId3391" Type="http://schemas.openxmlformats.org/officeDocument/2006/relationships/hyperlink" Target="https://assets.vans.eu/images/VN000PFBEMU-HERO/1" TargetMode="External"/><Relationship Id="rId3489" Type="http://schemas.openxmlformats.org/officeDocument/2006/relationships/hyperlink" Target="https://assets.vans.eu/images/VN000PXTBLK-HERO/1" TargetMode="External"/><Relationship Id="rId3696" Type="http://schemas.openxmlformats.org/officeDocument/2006/relationships/hyperlink" Target="https://assets.vans.eu/images/VN0005V8174-HERO/1" TargetMode="External"/><Relationship Id="rId4442" Type="http://schemas.openxmlformats.org/officeDocument/2006/relationships/hyperlink" Target="https://assets.vans.eu/images/VN000D7ZY7U-HERO/1" TargetMode="External"/><Relationship Id="rId4747" Type="http://schemas.openxmlformats.org/officeDocument/2006/relationships/hyperlink" Target="https://assets.vans.eu/images/VN0A5FCB1N6-HERO/1" TargetMode="External"/><Relationship Id="rId2298" Type="http://schemas.openxmlformats.org/officeDocument/2006/relationships/hyperlink" Target="https://assets.vans.eu/images/VN000PTTBRD-HERO/1" TargetMode="External"/><Relationship Id="rId3044" Type="http://schemas.openxmlformats.org/officeDocument/2006/relationships/hyperlink" Target="https://assets.vans.eu/images/VN000IVFBL2-HERO/1" TargetMode="External"/><Relationship Id="rId3251" Type="http://schemas.openxmlformats.org/officeDocument/2006/relationships/hyperlink" Target="https://assets.vans.eu/images/VN000P1PEML-HERO/1" TargetMode="External"/><Relationship Id="rId3349" Type="http://schemas.openxmlformats.org/officeDocument/2006/relationships/hyperlink" Target="https://assets.vans.eu/images/VN000PBVWHT-HERO/1" TargetMode="External"/><Relationship Id="rId3556" Type="http://schemas.openxmlformats.org/officeDocument/2006/relationships/hyperlink" Target="https://assets.vans.eu/images/VN000R8ZBLK-HERO/1" TargetMode="External"/><Relationship Id="rId4302" Type="http://schemas.openxmlformats.org/officeDocument/2006/relationships/hyperlink" Target="https://assets.vans.eu/images/VN000D60EMW-HERO/1" TargetMode="External"/><Relationship Id="rId4954" Type="http://schemas.openxmlformats.org/officeDocument/2006/relationships/hyperlink" Target="https://assets.vans.eu/images/VN000D3RSQ5-HERO/1" TargetMode="External"/><Relationship Id="rId172" Type="http://schemas.openxmlformats.org/officeDocument/2006/relationships/hyperlink" Target="https://assets.vans.eu/images/VN0010J9WHT-HERO/1" TargetMode="External"/><Relationship Id="rId477" Type="http://schemas.openxmlformats.org/officeDocument/2006/relationships/hyperlink" Target="https://assets.vans.eu/images/VN000KXMY7U-HERO/1" TargetMode="External"/><Relationship Id="rId684" Type="http://schemas.openxmlformats.org/officeDocument/2006/relationships/hyperlink" Target="https://assets.vans.eu/images/VN000D0MKCZ-HERO/1" TargetMode="External"/><Relationship Id="rId2060" Type="http://schemas.openxmlformats.org/officeDocument/2006/relationships/hyperlink" Target="https://assets.vans.eu/images/VN000HN197I-HERO/1" TargetMode="External"/><Relationship Id="rId2158" Type="http://schemas.openxmlformats.org/officeDocument/2006/relationships/hyperlink" Target="https://assets.vans.eu/images/VN000MKU6PH-HERO/1" TargetMode="External"/><Relationship Id="rId2365" Type="http://schemas.openxmlformats.org/officeDocument/2006/relationships/hyperlink" Target="https://assets.vans.eu/images/VN000XR4FS8-HERO/1" TargetMode="External"/><Relationship Id="rId3111" Type="http://schemas.openxmlformats.org/officeDocument/2006/relationships/hyperlink" Target="https://assets.vans.eu/images/VN000KVEBLK-HERO/1" TargetMode="External"/><Relationship Id="rId3209" Type="http://schemas.openxmlformats.org/officeDocument/2006/relationships/hyperlink" Target="https://assets.vans.eu/images/VN000MHGBLK-HERO/1" TargetMode="External"/><Relationship Id="rId3763" Type="http://schemas.openxmlformats.org/officeDocument/2006/relationships/hyperlink" Target="https://assets.vans.eu/images/VN000BWB0VW-HERO/1" TargetMode="External"/><Relationship Id="rId3970" Type="http://schemas.openxmlformats.org/officeDocument/2006/relationships/hyperlink" Target="https://assets.vans.eu/images/VN000CWEWHP-HERO/1" TargetMode="External"/><Relationship Id="rId4607" Type="http://schemas.openxmlformats.org/officeDocument/2006/relationships/hyperlink" Target="https://assets.vans.eu/images/VN000E8WBGF-HERO/1" TargetMode="External"/><Relationship Id="rId4814" Type="http://schemas.openxmlformats.org/officeDocument/2006/relationships/hyperlink" Target="https://assets.vans.eu/images/VN000EEBBO5-HERO/1" TargetMode="External"/><Relationship Id="rId337" Type="http://schemas.openxmlformats.org/officeDocument/2006/relationships/hyperlink" Target="https://assets.vans.eu/images/VN000PKNEN6-HERO/1" TargetMode="External"/><Relationship Id="rId891" Type="http://schemas.openxmlformats.org/officeDocument/2006/relationships/hyperlink" Target="https://assets.vans.eu/images/VN000PB5EMP-HERO/1" TargetMode="External"/><Relationship Id="rId989" Type="http://schemas.openxmlformats.org/officeDocument/2006/relationships/hyperlink" Target="https://assets.vans.eu/images/VN0008KUBML-HERO/1" TargetMode="External"/><Relationship Id="rId2018" Type="http://schemas.openxmlformats.org/officeDocument/2006/relationships/hyperlink" Target="https://assets.vans.eu/images/VN000QB2EMP-HERO/1" TargetMode="External"/><Relationship Id="rId2572" Type="http://schemas.openxmlformats.org/officeDocument/2006/relationships/hyperlink" Target="https://assets.vans.eu/images/VN000D111KP-HERO/1" TargetMode="External"/><Relationship Id="rId2877" Type="http://schemas.openxmlformats.org/officeDocument/2006/relationships/hyperlink" Target="https://assets.vans.eu/images/VN000HSTBLK-HERO/1" TargetMode="External"/><Relationship Id="rId3416" Type="http://schemas.openxmlformats.org/officeDocument/2006/relationships/hyperlink" Target="https://assets.vans.eu/images/VN000PJSBLK-HERO/1" TargetMode="External"/><Relationship Id="rId3623" Type="http://schemas.openxmlformats.org/officeDocument/2006/relationships/hyperlink" Target="https://assets.vans.eu/images/VN0A3ANBO3R-HERO/1" TargetMode="External"/><Relationship Id="rId3830" Type="http://schemas.openxmlformats.org/officeDocument/2006/relationships/hyperlink" Target="https://assets.vans.eu/images/VN000CS0BRO-HERO/1" TargetMode="External"/><Relationship Id="rId5076" Type="http://schemas.openxmlformats.org/officeDocument/2006/relationships/hyperlink" Target="https://assets.vans.eu/images/VN0A5KQZYY4-HERO/1" TargetMode="External"/><Relationship Id="rId544" Type="http://schemas.openxmlformats.org/officeDocument/2006/relationships/hyperlink" Target="https://assets.vans.eu/images/VN000FVHFS8-HERO/1" TargetMode="External"/><Relationship Id="rId751" Type="http://schemas.openxmlformats.org/officeDocument/2006/relationships/hyperlink" Target="https://assets.vans.eu/images/VN000D0HEMY-HERO/1" TargetMode="External"/><Relationship Id="rId849" Type="http://schemas.openxmlformats.org/officeDocument/2006/relationships/hyperlink" Target="https://assets.vans.eu/images/VN000D6NBR1-HERO/1" TargetMode="External"/><Relationship Id="rId1174" Type="http://schemas.openxmlformats.org/officeDocument/2006/relationships/hyperlink" Target="https://assets.vans.eu/images/VN000PK2EN9-HERO/1" TargetMode="External"/><Relationship Id="rId1381" Type="http://schemas.openxmlformats.org/officeDocument/2006/relationships/hyperlink" Target="https://assets.vans.eu/images/VN000PM39JC-HERO/1" TargetMode="External"/><Relationship Id="rId1479" Type="http://schemas.openxmlformats.org/officeDocument/2006/relationships/hyperlink" Target="https://assets.vans.eu/images/VN000D0H11E-HERO/1" TargetMode="External"/><Relationship Id="rId1686" Type="http://schemas.openxmlformats.org/officeDocument/2006/relationships/hyperlink" Target="https://assets.vans.eu/images/VN000P1P12Q-HERO/1" TargetMode="External"/><Relationship Id="rId2225" Type="http://schemas.openxmlformats.org/officeDocument/2006/relationships/hyperlink" Target="https://assets.vans.eu/images/VN000PDYEMP-HERO/1" TargetMode="External"/><Relationship Id="rId2432" Type="http://schemas.openxmlformats.org/officeDocument/2006/relationships/hyperlink" Target="https://assets.vans.eu/images/VN000CN1E30-HERO/1" TargetMode="External"/><Relationship Id="rId3928" Type="http://schemas.openxmlformats.org/officeDocument/2006/relationships/hyperlink" Target="https://assets.vans.eu/images/VN000CVVCRM-HERO/1" TargetMode="External"/><Relationship Id="rId4092" Type="http://schemas.openxmlformats.org/officeDocument/2006/relationships/hyperlink" Target="https://assets.vans.eu/images/VN000D1HPRP-HERO/1" TargetMode="External"/><Relationship Id="rId404" Type="http://schemas.openxmlformats.org/officeDocument/2006/relationships/hyperlink" Target="https://assets.vans.eu/images/VN000HUP7WM-HERO/1" TargetMode="External"/><Relationship Id="rId611" Type="http://schemas.openxmlformats.org/officeDocument/2006/relationships/hyperlink" Target="https://assets.vans.eu/images/VN000PMAEMW-HERO/1" TargetMode="External"/><Relationship Id="rId1034" Type="http://schemas.openxmlformats.org/officeDocument/2006/relationships/hyperlink" Target="https://assets.vans.eu/images/VN000QDFWHT-HERO/1" TargetMode="External"/><Relationship Id="rId1241" Type="http://schemas.openxmlformats.org/officeDocument/2006/relationships/hyperlink" Target="https://assets.vans.eu/images/VN000D0SYJ7-HERO/1" TargetMode="External"/><Relationship Id="rId1339" Type="http://schemas.openxmlformats.org/officeDocument/2006/relationships/hyperlink" Target="https://assets.vans.eu/images/VN000M9DBLK-HERO/1" TargetMode="External"/><Relationship Id="rId1893" Type="http://schemas.openxmlformats.org/officeDocument/2006/relationships/hyperlink" Target="https://assets.vans.eu/images/VN000D4NBZW-HERO/1" TargetMode="External"/><Relationship Id="rId2737" Type="http://schemas.openxmlformats.org/officeDocument/2006/relationships/hyperlink" Target="https://assets.vans.eu/images/VN000DAMRMO-HERO/1" TargetMode="External"/><Relationship Id="rId2944" Type="http://schemas.openxmlformats.org/officeDocument/2006/relationships/hyperlink" Target="https://assets.vans.eu/images/VN000G3JD3Z-HERO/1" TargetMode="External"/><Relationship Id="rId4397" Type="http://schemas.openxmlformats.org/officeDocument/2006/relationships/hyperlink" Target="https://assets.vans.eu/images/VN000D6YEMW-HERO/1" TargetMode="External"/><Relationship Id="rId5003" Type="http://schemas.openxmlformats.org/officeDocument/2006/relationships/hyperlink" Target="https://assets.vans.eu/images/VN000EEBBO5-HERO/1" TargetMode="External"/><Relationship Id="rId709" Type="http://schemas.openxmlformats.org/officeDocument/2006/relationships/hyperlink" Target="https://assets.vans.eu/images/VN000HZBBLK-HERO/1" TargetMode="External"/><Relationship Id="rId916" Type="http://schemas.openxmlformats.org/officeDocument/2006/relationships/hyperlink" Target="https://assets.vans.eu/images/VN000R94FS8-HERO/1" TargetMode="External"/><Relationship Id="rId1101" Type="http://schemas.openxmlformats.org/officeDocument/2006/relationships/hyperlink" Target="https://assets.vans.eu/images/VN000HSXHTG-HERO/1" TargetMode="External"/><Relationship Id="rId1546" Type="http://schemas.openxmlformats.org/officeDocument/2006/relationships/hyperlink" Target="https://assets.vans.eu/images/VN000DCEBRD-HERO/1" TargetMode="External"/><Relationship Id="rId1753" Type="http://schemas.openxmlformats.org/officeDocument/2006/relationships/hyperlink" Target="https://assets.vans.eu/images/VN000PWXBLK-HERO/1" TargetMode="External"/><Relationship Id="rId1960" Type="http://schemas.openxmlformats.org/officeDocument/2006/relationships/hyperlink" Target="https://assets.vans.eu/images/VN000DAZF88-HERO/1" TargetMode="External"/><Relationship Id="rId2804" Type="http://schemas.openxmlformats.org/officeDocument/2006/relationships/hyperlink" Target="https://assets.vans.eu/images/VN000EDN9X1-HERO/1" TargetMode="External"/><Relationship Id="rId4257" Type="http://schemas.openxmlformats.org/officeDocument/2006/relationships/hyperlink" Target="https://assets.vans.eu/images/VN000D4NDJR-HERO/1" TargetMode="External"/><Relationship Id="rId4464" Type="http://schemas.openxmlformats.org/officeDocument/2006/relationships/hyperlink" Target="https://assets.vans.eu/images/VN000D8NBKA-HERO/1" TargetMode="External"/><Relationship Id="rId4671" Type="http://schemas.openxmlformats.org/officeDocument/2006/relationships/hyperlink" Target="https://assets.vans.eu/images/VN000SF42LH-HERO/1" TargetMode="External"/><Relationship Id="rId45" Type="http://schemas.openxmlformats.org/officeDocument/2006/relationships/hyperlink" Target="https://assets.vans.eu/images/VN000KI5186-HERO/1" TargetMode="External"/><Relationship Id="rId1406" Type="http://schemas.openxmlformats.org/officeDocument/2006/relationships/hyperlink" Target="https://assets.vans.eu/images/VN000Q67EMX-HERO/1" TargetMode="External"/><Relationship Id="rId1613" Type="http://schemas.openxmlformats.org/officeDocument/2006/relationships/hyperlink" Target="https://assets.vans.eu/images/VN000GDGWHT-HERO/1" TargetMode="External"/><Relationship Id="rId1820" Type="http://schemas.openxmlformats.org/officeDocument/2006/relationships/hyperlink" Target="https://assets.vans.eu/images/VN000CQR5QJ-HERO/1" TargetMode="External"/><Relationship Id="rId3066" Type="http://schemas.openxmlformats.org/officeDocument/2006/relationships/hyperlink" Target="https://assets.vans.eu/images/VN000JQ5CCB-HERO/1" TargetMode="External"/><Relationship Id="rId3273" Type="http://schemas.openxmlformats.org/officeDocument/2006/relationships/hyperlink" Target="https://assets.vans.eu/images/VN000P51Y28-HERO/1" TargetMode="External"/><Relationship Id="rId3480" Type="http://schemas.openxmlformats.org/officeDocument/2006/relationships/hyperlink" Target="https://assets.vans.eu/images/VN000PX2EMP-HERO/1" TargetMode="External"/><Relationship Id="rId4117" Type="http://schemas.openxmlformats.org/officeDocument/2006/relationships/hyperlink" Target="https://assets.vans.eu/images/VN000D1JJDU-HERO/1" TargetMode="External"/><Relationship Id="rId4324" Type="http://schemas.openxmlformats.org/officeDocument/2006/relationships/hyperlink" Target="https://assets.vans.eu/images/VN000D6FBF0-HERO/1" TargetMode="External"/><Relationship Id="rId4531" Type="http://schemas.openxmlformats.org/officeDocument/2006/relationships/hyperlink" Target="https://assets.vans.eu/images/VN000DAHRV2-HERO/1" TargetMode="External"/><Relationship Id="rId4769" Type="http://schemas.openxmlformats.org/officeDocument/2006/relationships/hyperlink" Target="https://assets.vans.eu/images/VN0A5HZYA04-HERO/1" TargetMode="External"/><Relationship Id="rId4976" Type="http://schemas.openxmlformats.org/officeDocument/2006/relationships/hyperlink" Target="https://assets.vans.eu/images/VN000D9ZRBG-HERO/1" TargetMode="External"/><Relationship Id="rId194" Type="http://schemas.openxmlformats.org/officeDocument/2006/relationships/hyperlink" Target="https://assets.vans.eu/images/VN000QB42N1-HERO/1" TargetMode="External"/><Relationship Id="rId1918" Type="http://schemas.openxmlformats.org/officeDocument/2006/relationships/hyperlink" Target="https://assets.vans.eu/images/VN000D6WCJK-HERO/1" TargetMode="External"/><Relationship Id="rId2082" Type="http://schemas.openxmlformats.org/officeDocument/2006/relationships/hyperlink" Target="https://assets.vans.eu/images/VN000JT37W6-HERO/1" TargetMode="External"/><Relationship Id="rId3133" Type="http://schemas.openxmlformats.org/officeDocument/2006/relationships/hyperlink" Target="https://assets.vans.eu/images/VN000M3JC9F-HERO/1" TargetMode="External"/><Relationship Id="rId3578" Type="http://schemas.openxmlformats.org/officeDocument/2006/relationships/hyperlink" Target="https://assets.vans.eu/images/VN000RCEYB2-HERO/1" TargetMode="External"/><Relationship Id="rId3785" Type="http://schemas.openxmlformats.org/officeDocument/2006/relationships/hyperlink" Target="https://assets.vans.eu/images/VN000CQ0BRO-HERO/1" TargetMode="External"/><Relationship Id="rId3992" Type="http://schemas.openxmlformats.org/officeDocument/2006/relationships/hyperlink" Target="https://assets.vans.eu/images/VN000CYU4Y4-HERO/1" TargetMode="External"/><Relationship Id="rId4629" Type="http://schemas.openxmlformats.org/officeDocument/2006/relationships/hyperlink" Target="https://assets.vans.eu/images/VN000E9Y1NU-HERO/1" TargetMode="External"/><Relationship Id="rId4836" Type="http://schemas.openxmlformats.org/officeDocument/2006/relationships/hyperlink" Target="https://assets.vans.eu/images/VN0A4BWLOBL-HERO/1" TargetMode="External"/><Relationship Id="rId261" Type="http://schemas.openxmlformats.org/officeDocument/2006/relationships/hyperlink" Target="https://assets.vans.eu/images/VN000MN07WM-HERO/1" TargetMode="External"/><Relationship Id="rId499" Type="http://schemas.openxmlformats.org/officeDocument/2006/relationships/hyperlink" Target="https://assets.vans.eu/images/VN000D7JCKP-HERO/1" TargetMode="External"/><Relationship Id="rId2387" Type="http://schemas.openxmlformats.org/officeDocument/2006/relationships/hyperlink" Target="https://assets.vans.eu/images/VN0A7RMDDJR-HERO/1" TargetMode="External"/><Relationship Id="rId2594" Type="http://schemas.openxmlformats.org/officeDocument/2006/relationships/hyperlink" Target="https://assets.vans.eu/images/VN000D22WTM-HERO/1" TargetMode="External"/><Relationship Id="rId3340" Type="http://schemas.openxmlformats.org/officeDocument/2006/relationships/hyperlink" Target="https://assets.vans.eu/images/VN000PAUEMW-HERO/1" TargetMode="External"/><Relationship Id="rId3438" Type="http://schemas.openxmlformats.org/officeDocument/2006/relationships/hyperlink" Target="https://assets.vans.eu/images/VN000PMHEB2-HERO/1" TargetMode="External"/><Relationship Id="rId3645" Type="http://schemas.openxmlformats.org/officeDocument/2006/relationships/hyperlink" Target="https://assets.vans.eu/images/VN0A49OYZDS-HERO/1" TargetMode="External"/><Relationship Id="rId3852" Type="http://schemas.openxmlformats.org/officeDocument/2006/relationships/hyperlink" Target="https://assets.vans.eu/images/VN000CTGY09-HERO/1" TargetMode="External"/><Relationship Id="rId359" Type="http://schemas.openxmlformats.org/officeDocument/2006/relationships/hyperlink" Target="https://assets.vans.eu/images/VN000D0MBZW-HERO/1" TargetMode="External"/><Relationship Id="rId566" Type="http://schemas.openxmlformats.org/officeDocument/2006/relationships/hyperlink" Target="https://assets.vans.eu/images/VN0A5FLPBLK-HERO/1" TargetMode="External"/><Relationship Id="rId773" Type="http://schemas.openxmlformats.org/officeDocument/2006/relationships/hyperlink" Target="https://assets.vans.eu/images/VN000EZ1BLK-HERO/1" TargetMode="External"/><Relationship Id="rId1196" Type="http://schemas.openxmlformats.org/officeDocument/2006/relationships/hyperlink" Target="https://assets.vans.eu/images/VN000RAPE2Z-HERO/1" TargetMode="External"/><Relationship Id="rId2247" Type="http://schemas.openxmlformats.org/officeDocument/2006/relationships/hyperlink" Target="https://assets.vans.eu/images/VN000PJ7KCZ-HERO/1" TargetMode="External"/><Relationship Id="rId2454" Type="http://schemas.openxmlformats.org/officeDocument/2006/relationships/hyperlink" Target="https://assets.vans.eu/images/VN000CQ0Y09-HERO/1" TargetMode="External"/><Relationship Id="rId2899" Type="http://schemas.openxmlformats.org/officeDocument/2006/relationships/hyperlink" Target="https://assets.vans.eu/images/VN000Y5XPNK-HERO/1" TargetMode="External"/><Relationship Id="rId3200" Type="http://schemas.openxmlformats.org/officeDocument/2006/relationships/hyperlink" Target="https://assets.vans.eu/images/VN000MEPJDU-HERO/1" TargetMode="External"/><Relationship Id="rId3505" Type="http://schemas.openxmlformats.org/officeDocument/2006/relationships/hyperlink" Target="https://assets.vans.eu/images/VN000Q35RV2-HERO/1" TargetMode="External"/><Relationship Id="rId4903" Type="http://schemas.openxmlformats.org/officeDocument/2006/relationships/hyperlink" Target="https://assets.vans.eu/images/VN0A2Z3MGGR-HERO/1" TargetMode="External"/><Relationship Id="rId121" Type="http://schemas.openxmlformats.org/officeDocument/2006/relationships/hyperlink" Target="https://assets.vans.eu/images/VN000CV4O3N-HERO/1" TargetMode="External"/><Relationship Id="rId219" Type="http://schemas.openxmlformats.org/officeDocument/2006/relationships/hyperlink" Target="https://assets.vans.eu/images/VN000R3UU20-HERO/1" TargetMode="External"/><Relationship Id="rId426" Type="http://schemas.openxmlformats.org/officeDocument/2006/relationships/hyperlink" Target="https://assets.vans.eu/images/VN000KYE1NU-HERO/1" TargetMode="External"/><Relationship Id="rId633" Type="http://schemas.openxmlformats.org/officeDocument/2006/relationships/hyperlink" Target="https://assets.vans.eu/images/VN000D4SCFL-HERO/1" TargetMode="External"/><Relationship Id="rId980" Type="http://schemas.openxmlformats.org/officeDocument/2006/relationships/hyperlink" Target="https://assets.vans.eu/images/VN000HSXEMX-HERO/1" TargetMode="External"/><Relationship Id="rId1056" Type="http://schemas.openxmlformats.org/officeDocument/2006/relationships/hyperlink" Target="https://assets.vans.eu/images/VN0007P9CL2-HERO/1" TargetMode="External"/><Relationship Id="rId1263" Type="http://schemas.openxmlformats.org/officeDocument/2006/relationships/hyperlink" Target="https://assets.vans.eu/images/VN000D6ZEMY-HERO/1" TargetMode="External"/><Relationship Id="rId2107" Type="http://schemas.openxmlformats.org/officeDocument/2006/relationships/hyperlink" Target="https://assets.vans.eu/images/VN000M37ZBF-HERO/1" TargetMode="External"/><Relationship Id="rId2314" Type="http://schemas.openxmlformats.org/officeDocument/2006/relationships/hyperlink" Target="https://assets.vans.eu/images/VN000PYXJDU-HERO/1" TargetMode="External"/><Relationship Id="rId2661" Type="http://schemas.openxmlformats.org/officeDocument/2006/relationships/hyperlink" Target="https://assets.vans.eu/images/VN000D6FY7U-HERO/1" TargetMode="External"/><Relationship Id="rId2759" Type="http://schemas.openxmlformats.org/officeDocument/2006/relationships/hyperlink" Target="https://assets.vans.eu/images/VN000DARF87-HERO/1" TargetMode="External"/><Relationship Id="rId2966" Type="http://schemas.openxmlformats.org/officeDocument/2006/relationships/hyperlink" Target="https://assets.vans.eu/images/VN000GCECJL-HERO/1" TargetMode="External"/><Relationship Id="rId3712" Type="http://schemas.openxmlformats.org/officeDocument/2006/relationships/hyperlink" Target="https://assets.vans.eu/images/VN0009Q7YY6-HERO/1" TargetMode="External"/><Relationship Id="rId840" Type="http://schemas.openxmlformats.org/officeDocument/2006/relationships/hyperlink" Target="https://assets.vans.eu/images/VN000CYVENA-HERO/1" TargetMode="External"/><Relationship Id="rId938" Type="http://schemas.openxmlformats.org/officeDocument/2006/relationships/hyperlink" Target="https://assets.vans.eu/images/VN000CYA7VF-HERO/1" TargetMode="External"/><Relationship Id="rId1470" Type="http://schemas.openxmlformats.org/officeDocument/2006/relationships/hyperlink" Target="https://assets.vans.eu/images/VN000CWCY49-HERO/1" TargetMode="External"/><Relationship Id="rId1568" Type="http://schemas.openxmlformats.org/officeDocument/2006/relationships/hyperlink" Target="https://assets.vans.eu/images/VN0A5KY9BRO-HERO/1" TargetMode="External"/><Relationship Id="rId1775" Type="http://schemas.openxmlformats.org/officeDocument/2006/relationships/hyperlink" Target="https://assets.vans.eu/images/VN000Q74EN6-HERO/1" TargetMode="External"/><Relationship Id="rId2521" Type="http://schemas.openxmlformats.org/officeDocument/2006/relationships/hyperlink" Target="https://assets.vans.eu/images/VN000CYU4QU-HERO/1" TargetMode="External"/><Relationship Id="rId2619" Type="http://schemas.openxmlformats.org/officeDocument/2006/relationships/hyperlink" Target="https://assets.vans.eu/images/VN000D4SCFL-HERO/1" TargetMode="External"/><Relationship Id="rId2826" Type="http://schemas.openxmlformats.org/officeDocument/2006/relationships/hyperlink" Target="https://assets.vans.eu/images/VN0A4BVSBKA-HERO/1" TargetMode="External"/><Relationship Id="rId4181" Type="http://schemas.openxmlformats.org/officeDocument/2006/relationships/hyperlink" Target="https://assets.vans.eu/images/VN000D26JDU-HERO/1" TargetMode="External"/><Relationship Id="rId4279" Type="http://schemas.openxmlformats.org/officeDocument/2006/relationships/hyperlink" Target="https://assets.vans.eu/images/VN000D5R9DH-HERO/1" TargetMode="External"/><Relationship Id="rId5025" Type="http://schemas.openxmlformats.org/officeDocument/2006/relationships/hyperlink" Target="https://assets.vans.eu/images/VN0A2Z34BLG-HERO/1" TargetMode="External"/><Relationship Id="rId67" Type="http://schemas.openxmlformats.org/officeDocument/2006/relationships/hyperlink" Target="https://assets.vans.eu/images/VN000QBWEN7-HERO/1" TargetMode="External"/><Relationship Id="rId700" Type="http://schemas.openxmlformats.org/officeDocument/2006/relationships/hyperlink" Target="https://assets.vans.eu/images/VN000LC0CVQ-HERO/1" TargetMode="External"/><Relationship Id="rId1123" Type="http://schemas.openxmlformats.org/officeDocument/2006/relationships/hyperlink" Target="https://assets.vans.eu/images/VN000IVF7WM-HERO/1" TargetMode="External"/><Relationship Id="rId1330" Type="http://schemas.openxmlformats.org/officeDocument/2006/relationships/hyperlink" Target="https://assets.vans.eu/images/VN000M5G6PH-HERO/1" TargetMode="External"/><Relationship Id="rId1428" Type="http://schemas.openxmlformats.org/officeDocument/2006/relationships/hyperlink" Target="https://assets.vans.eu/images/VN0A3CZEY28-HERO/1" TargetMode="External"/><Relationship Id="rId1635" Type="http://schemas.openxmlformats.org/officeDocument/2006/relationships/hyperlink" Target="https://assets.vans.eu/images/VN000JBK02F-HERO/1" TargetMode="External"/><Relationship Id="rId1982" Type="http://schemas.openxmlformats.org/officeDocument/2006/relationships/hyperlink" Target="https://assets.vans.eu/images/VN000VO44K1-HERO/1" TargetMode="External"/><Relationship Id="rId3088" Type="http://schemas.openxmlformats.org/officeDocument/2006/relationships/hyperlink" Target="https://assets.vans.eu/images/VN000K98BLK-HERO/1" TargetMode="External"/><Relationship Id="rId4041" Type="http://schemas.openxmlformats.org/officeDocument/2006/relationships/hyperlink" Target="https://assets.vans.eu/images/VN000D0S1NU-HERO/1" TargetMode="External"/><Relationship Id="rId4486" Type="http://schemas.openxmlformats.org/officeDocument/2006/relationships/hyperlink" Target="https://assets.vans.eu/images/VN000D9YRV2-HERO/1" TargetMode="External"/><Relationship Id="rId4693" Type="http://schemas.openxmlformats.org/officeDocument/2006/relationships/hyperlink" Target="https://assets.vans.eu/images/VN0A2Z3I1CI-HERO/1" TargetMode="External"/><Relationship Id="rId1842" Type="http://schemas.openxmlformats.org/officeDocument/2006/relationships/hyperlink" Target="https://assets.vans.eu/images/VN000CVU85T-HERO/1" TargetMode="External"/><Relationship Id="rId3295" Type="http://schemas.openxmlformats.org/officeDocument/2006/relationships/hyperlink" Target="https://assets.vans.eu/images/VN000P59E2Z-HERO/1" TargetMode="External"/><Relationship Id="rId4139" Type="http://schemas.openxmlformats.org/officeDocument/2006/relationships/hyperlink" Target="https://assets.vans.eu/images/VN000D1JY23-HERO/1" TargetMode="External"/><Relationship Id="rId4346" Type="http://schemas.openxmlformats.org/officeDocument/2006/relationships/hyperlink" Target="https://assets.vans.eu/images/VN000D6N24O-HERO/1" TargetMode="External"/><Relationship Id="rId4553" Type="http://schemas.openxmlformats.org/officeDocument/2006/relationships/hyperlink" Target="https://assets.vans.eu/images/VN000DAQRPK-HERO/1" TargetMode="External"/><Relationship Id="rId4760" Type="http://schemas.openxmlformats.org/officeDocument/2006/relationships/hyperlink" Target="https://assets.vans.eu/images/VN0A5HF887T-HERO/1" TargetMode="External"/><Relationship Id="rId4998" Type="http://schemas.openxmlformats.org/officeDocument/2006/relationships/hyperlink" Target="https://assets.vans.eu/images/VN000EDNBJB-HERO/1" TargetMode="External"/><Relationship Id="rId1702" Type="http://schemas.openxmlformats.org/officeDocument/2006/relationships/hyperlink" Target="https://assets.vans.eu/images/VN000P73Y28-HERO/1" TargetMode="External"/><Relationship Id="rId3155" Type="http://schemas.openxmlformats.org/officeDocument/2006/relationships/hyperlink" Target="https://assets.vans.eu/images/VN000M8NUUI-HERO/1" TargetMode="External"/><Relationship Id="rId3362" Type="http://schemas.openxmlformats.org/officeDocument/2006/relationships/hyperlink" Target="https://assets.vans.eu/images/VN000PCWEMT-HERO/1" TargetMode="External"/><Relationship Id="rId4206" Type="http://schemas.openxmlformats.org/officeDocument/2006/relationships/hyperlink" Target="https://assets.vans.eu/images/VN000D2CBA2-HERO/1" TargetMode="External"/><Relationship Id="rId4413" Type="http://schemas.openxmlformats.org/officeDocument/2006/relationships/hyperlink" Target="https://assets.vans.eu/images/VN000D6ZEMY-HERO/1" TargetMode="External"/><Relationship Id="rId4620" Type="http://schemas.openxmlformats.org/officeDocument/2006/relationships/hyperlink" Target="https://assets.vans.eu/images/VN000E9RZ3R-HERO/1" TargetMode="External"/><Relationship Id="rId4858" Type="http://schemas.openxmlformats.org/officeDocument/2006/relationships/hyperlink" Target="https://assets.vans.eu/images/VN000DA4PNK-HERO/1" TargetMode="External"/><Relationship Id="rId283" Type="http://schemas.openxmlformats.org/officeDocument/2006/relationships/hyperlink" Target="https://assets.vans.eu/images/VN000CTNBP6-HERO/1" TargetMode="External"/><Relationship Id="rId490" Type="http://schemas.openxmlformats.org/officeDocument/2006/relationships/hyperlink" Target="https://assets.vans.eu/images/VN000CTG7VF-HERO/1" TargetMode="External"/><Relationship Id="rId2171" Type="http://schemas.openxmlformats.org/officeDocument/2006/relationships/hyperlink" Target="https://assets.vans.eu/images/VN000P1P6JL-HERO/1" TargetMode="External"/><Relationship Id="rId3015" Type="http://schemas.openxmlformats.org/officeDocument/2006/relationships/hyperlink" Target="https://assets.vans.eu/images/VN000HNX4MG-HERO/1" TargetMode="External"/><Relationship Id="rId3222" Type="http://schemas.openxmlformats.org/officeDocument/2006/relationships/hyperlink" Target="https://assets.vans.eu/images/VN000MM4RNE-HERO/1" TargetMode="External"/><Relationship Id="rId3667" Type="http://schemas.openxmlformats.org/officeDocument/2006/relationships/hyperlink" Target="https://assets.vans.eu/images/VN0A5FNVBR1-HERO/1" TargetMode="External"/><Relationship Id="rId3874" Type="http://schemas.openxmlformats.org/officeDocument/2006/relationships/hyperlink" Target="https://assets.vans.eu/images/VN000CVNBH4-HERO/1" TargetMode="External"/><Relationship Id="rId4718" Type="http://schemas.openxmlformats.org/officeDocument/2006/relationships/hyperlink" Target="https://assets.vans.eu/images/VN0A4BTWVLV-HERO/1" TargetMode="External"/><Relationship Id="rId4925" Type="http://schemas.openxmlformats.org/officeDocument/2006/relationships/hyperlink" Target="https://assets.vans.eu/images/VN000CVURV2-HERO/1" TargetMode="External"/><Relationship Id="rId143" Type="http://schemas.openxmlformats.org/officeDocument/2006/relationships/hyperlink" Target="https://assets.vans.eu/images/VN000Q1TWHT-HERO/1" TargetMode="External"/><Relationship Id="rId350" Type="http://schemas.openxmlformats.org/officeDocument/2006/relationships/hyperlink" Target="https://assets.vans.eu/images/VN000M1KBLK-HERO/1" TargetMode="External"/><Relationship Id="rId588" Type="http://schemas.openxmlformats.org/officeDocument/2006/relationships/hyperlink" Target="https://assets.vans.eu/images/VN000JTRBLK-HERO/1" TargetMode="External"/><Relationship Id="rId795" Type="http://schemas.openxmlformats.org/officeDocument/2006/relationships/hyperlink" Target="https://assets.vans.eu/images/VN000MMTBLK-HERO/1" TargetMode="External"/><Relationship Id="rId2031" Type="http://schemas.openxmlformats.org/officeDocument/2006/relationships/hyperlink" Target="https://assets.vans.eu/images/VN000389BQC-HERO/1" TargetMode="External"/><Relationship Id="rId2269" Type="http://schemas.openxmlformats.org/officeDocument/2006/relationships/hyperlink" Target="https://assets.vans.eu/images/VN000PMFEB2-HERO/1" TargetMode="External"/><Relationship Id="rId2476" Type="http://schemas.openxmlformats.org/officeDocument/2006/relationships/hyperlink" Target="https://assets.vans.eu/images/VN000CTGRV2-HERO/1" TargetMode="External"/><Relationship Id="rId2683" Type="http://schemas.openxmlformats.org/officeDocument/2006/relationships/hyperlink" Target="https://assets.vans.eu/images/VN000D6YEZI-HERO/1" TargetMode="External"/><Relationship Id="rId2890" Type="http://schemas.openxmlformats.org/officeDocument/2006/relationships/hyperlink" Target="https://assets.vans.eu/images/VN000QA8BLK-HERO/1" TargetMode="External"/><Relationship Id="rId3527" Type="http://schemas.openxmlformats.org/officeDocument/2006/relationships/hyperlink" Target="https://assets.vans.eu/images/VN000Q74EN6-HERO/1" TargetMode="External"/><Relationship Id="rId3734" Type="http://schemas.openxmlformats.org/officeDocument/2006/relationships/hyperlink" Target="https://assets.vans.eu/images/VN000BCEBF0-HERO/1" TargetMode="External"/><Relationship Id="rId3941" Type="http://schemas.openxmlformats.org/officeDocument/2006/relationships/hyperlink" Target="https://assets.vans.eu/images/VN000CVVF87-HERO/1" TargetMode="External"/><Relationship Id="rId9" Type="http://schemas.openxmlformats.org/officeDocument/2006/relationships/hyperlink" Target="https://assets.vans.eu/images/VN000Q92EMW-HERO/1" TargetMode="External"/><Relationship Id="rId210" Type="http://schemas.openxmlformats.org/officeDocument/2006/relationships/hyperlink" Target="https://assets.vans.eu/images/VN000D2VEMY-HERO/1" TargetMode="External"/><Relationship Id="rId448" Type="http://schemas.openxmlformats.org/officeDocument/2006/relationships/hyperlink" Target="https://assets.vans.eu/images/VN000SN6EMU-HERO/1" TargetMode="External"/><Relationship Id="rId655" Type="http://schemas.openxmlformats.org/officeDocument/2006/relationships/hyperlink" Target="https://assets.vans.eu/images/VN000M8EBL2-HERO/1" TargetMode="External"/><Relationship Id="rId862" Type="http://schemas.openxmlformats.org/officeDocument/2006/relationships/hyperlink" Target="https://assets.vans.eu/images/VN000KI5186-HERO/1" TargetMode="External"/><Relationship Id="rId1078" Type="http://schemas.openxmlformats.org/officeDocument/2006/relationships/hyperlink" Target="https://assets.vans.eu/images/VN000D75O3N-HERO/1" TargetMode="External"/><Relationship Id="rId1285" Type="http://schemas.openxmlformats.org/officeDocument/2006/relationships/hyperlink" Target="https://assets.vans.eu/images/VN0008NMJDU-HERO/1" TargetMode="External"/><Relationship Id="rId1492" Type="http://schemas.openxmlformats.org/officeDocument/2006/relationships/hyperlink" Target="https://assets.vans.eu/images/VN000D1HWWW-HERO/1" TargetMode="External"/><Relationship Id="rId2129" Type="http://schemas.openxmlformats.org/officeDocument/2006/relationships/hyperlink" Target="https://assets.vans.eu/images/VN000M9SRV2-HERO/1" TargetMode="External"/><Relationship Id="rId2336" Type="http://schemas.openxmlformats.org/officeDocument/2006/relationships/hyperlink" Target="https://assets.vans.eu/images/VN000R8XBLK-HERO/1" TargetMode="External"/><Relationship Id="rId2543" Type="http://schemas.openxmlformats.org/officeDocument/2006/relationships/hyperlink" Target="https://assets.vans.eu/images/VN000D0JYJ7-HERO/1" TargetMode="External"/><Relationship Id="rId2750" Type="http://schemas.openxmlformats.org/officeDocument/2006/relationships/hyperlink" Target="https://assets.vans.eu/images/VN000DAQTWH-HERO/1" TargetMode="External"/><Relationship Id="rId2988" Type="http://schemas.openxmlformats.org/officeDocument/2006/relationships/hyperlink" Target="https://assets.vans.eu/images/VN000HAWBLK-HERO/1" TargetMode="External"/><Relationship Id="rId3801" Type="http://schemas.openxmlformats.org/officeDocument/2006/relationships/hyperlink" Target="https://assets.vans.eu/images/VN000CQ9KAQ-HERO/1" TargetMode="External"/><Relationship Id="rId5047" Type="http://schemas.openxmlformats.org/officeDocument/2006/relationships/hyperlink" Target="https://assets.vans.eu/images/VN0A2Z3NY40-HERO/1" TargetMode="External"/><Relationship Id="rId308" Type="http://schemas.openxmlformats.org/officeDocument/2006/relationships/hyperlink" Target="https://assets.vans.eu/images/VN000KMZNAV-HERO/1" TargetMode="External"/><Relationship Id="rId515" Type="http://schemas.openxmlformats.org/officeDocument/2006/relationships/hyperlink" Target="https://assets.vans.eu/images/VN000JBRZBF-HERO/1" TargetMode="External"/><Relationship Id="rId722" Type="http://schemas.openxmlformats.org/officeDocument/2006/relationships/hyperlink" Target="https://assets.vans.eu/images/VN000PMFEB2-HERO/1" TargetMode="External"/><Relationship Id="rId1145" Type="http://schemas.openxmlformats.org/officeDocument/2006/relationships/hyperlink" Target="https://assets.vans.eu/images/VN000MCMBLK-HERO/1" TargetMode="External"/><Relationship Id="rId1352" Type="http://schemas.openxmlformats.org/officeDocument/2006/relationships/hyperlink" Target="https://assets.vans.eu/images/VN000P51EMS-HERO/1" TargetMode="External"/><Relationship Id="rId1797" Type="http://schemas.openxmlformats.org/officeDocument/2006/relationships/hyperlink" Target="https://assets.vans.eu/images/VN000RC0Y7U-HERO/1" TargetMode="External"/><Relationship Id="rId2403" Type="http://schemas.openxmlformats.org/officeDocument/2006/relationships/hyperlink" Target="https://assets.vans.eu/images/VN0005UFBLL-HERO/1" TargetMode="External"/><Relationship Id="rId2848" Type="http://schemas.openxmlformats.org/officeDocument/2006/relationships/hyperlink" Target="https://assets.vans.eu/images/VN0A5KYCZF5-HERO/1" TargetMode="External"/><Relationship Id="rId89" Type="http://schemas.openxmlformats.org/officeDocument/2006/relationships/hyperlink" Target="https://assets.vans.eu/images/VN000Q1TBLK-HERO/1" TargetMode="External"/><Relationship Id="rId1005" Type="http://schemas.openxmlformats.org/officeDocument/2006/relationships/hyperlink" Target="https://assets.vans.eu/images/VN000M9KEB2-HERO/1" TargetMode="External"/><Relationship Id="rId1212" Type="http://schemas.openxmlformats.org/officeDocument/2006/relationships/hyperlink" Target="https://assets.vans.eu/images/VN000CQR6PH-HERO/1" TargetMode="External"/><Relationship Id="rId1657" Type="http://schemas.openxmlformats.org/officeDocument/2006/relationships/hyperlink" Target="https://assets.vans.eu/images/VN000M8JY28-HERO/1" TargetMode="External"/><Relationship Id="rId1864" Type="http://schemas.openxmlformats.org/officeDocument/2006/relationships/hyperlink" Target="https://assets.vans.eu/images/VN000D0KEN6-HERO/1" TargetMode="External"/><Relationship Id="rId2610" Type="http://schemas.openxmlformats.org/officeDocument/2006/relationships/hyperlink" Target="https://assets.vans.eu/images/VN000D4MNVY-HERO/1" TargetMode="External"/><Relationship Id="rId2708" Type="http://schemas.openxmlformats.org/officeDocument/2006/relationships/hyperlink" Target="https://assets.vans.eu/images/VN000D85EME-HERO/1" TargetMode="External"/><Relationship Id="rId2915" Type="http://schemas.openxmlformats.org/officeDocument/2006/relationships/hyperlink" Target="https://assets.vans.eu/images/VN00045DBQL-HERO/1" TargetMode="External"/><Relationship Id="rId4063" Type="http://schemas.openxmlformats.org/officeDocument/2006/relationships/hyperlink" Target="https://assets.vans.eu/images/VN000D1111E-HERO/1" TargetMode="External"/><Relationship Id="rId4270" Type="http://schemas.openxmlformats.org/officeDocument/2006/relationships/hyperlink" Target="https://assets.vans.eu/images/VN000D5IBKA-HERO/1" TargetMode="External"/><Relationship Id="rId4368" Type="http://schemas.openxmlformats.org/officeDocument/2006/relationships/hyperlink" Target="https://assets.vans.eu/images/VN000D6W203-HERO/1" TargetMode="External"/><Relationship Id="rId4575" Type="http://schemas.openxmlformats.org/officeDocument/2006/relationships/hyperlink" Target="https://assets.vans.eu/images/VN000DAZB7G-HERO/1" TargetMode="External"/><Relationship Id="rId1517" Type="http://schemas.openxmlformats.org/officeDocument/2006/relationships/hyperlink" Target="https://assets.vans.eu/images/VN000D6YEMY-HERO/1" TargetMode="External"/><Relationship Id="rId1724" Type="http://schemas.openxmlformats.org/officeDocument/2006/relationships/hyperlink" Target="https://assets.vans.eu/images/VN000PMAEMW-HERO/1" TargetMode="External"/><Relationship Id="rId3177" Type="http://schemas.openxmlformats.org/officeDocument/2006/relationships/hyperlink" Target="https://assets.vans.eu/images/VN000MA2UUI-HERO/1" TargetMode="External"/><Relationship Id="rId4130" Type="http://schemas.openxmlformats.org/officeDocument/2006/relationships/hyperlink" Target="https://assets.vans.eu/images/VN000D1JV0N-HERO/1" TargetMode="External"/><Relationship Id="rId4228" Type="http://schemas.openxmlformats.org/officeDocument/2006/relationships/hyperlink" Target="https://assets.vans.eu/images/VN000D3QEMP-HERO/1" TargetMode="External"/><Relationship Id="rId4782" Type="http://schemas.openxmlformats.org/officeDocument/2006/relationships/hyperlink" Target="https://assets.vans.eu/images/VN0A5JMKBGF-HERO/1" TargetMode="External"/><Relationship Id="rId16" Type="http://schemas.openxmlformats.org/officeDocument/2006/relationships/hyperlink" Target="https://assets.vans.eu/images/VN000Y5XBLK-HERO/1" TargetMode="External"/><Relationship Id="rId1931" Type="http://schemas.openxmlformats.org/officeDocument/2006/relationships/hyperlink" Target="https://assets.vans.eu/images/VN000D70E2Y-HERO/1" TargetMode="External"/><Relationship Id="rId3037" Type="http://schemas.openxmlformats.org/officeDocument/2006/relationships/hyperlink" Target="https://assets.vans.eu/images/VN000HZD2N1-HERO/1" TargetMode="External"/><Relationship Id="rId3384" Type="http://schemas.openxmlformats.org/officeDocument/2006/relationships/hyperlink" Target="https://assets.vans.eu/images/VN000PEYF0F-HERO/1" TargetMode="External"/><Relationship Id="rId3591" Type="http://schemas.openxmlformats.org/officeDocument/2006/relationships/hyperlink" Target="https://assets.vans.eu/images/VN000REMBLK-HERO/1" TargetMode="External"/><Relationship Id="rId3689" Type="http://schemas.openxmlformats.org/officeDocument/2006/relationships/hyperlink" Target="https://assets.vans.eu/images/VN0005UFBLL-HERO/1" TargetMode="External"/><Relationship Id="rId3896" Type="http://schemas.openxmlformats.org/officeDocument/2006/relationships/hyperlink" Target="https://assets.vans.eu/images/VN000CVTI6Y-HERO/1" TargetMode="External"/><Relationship Id="rId4435" Type="http://schemas.openxmlformats.org/officeDocument/2006/relationships/hyperlink" Target="https://assets.vans.eu/images/VN000D7ZM8I-HERO/1" TargetMode="External"/><Relationship Id="rId4642" Type="http://schemas.openxmlformats.org/officeDocument/2006/relationships/hyperlink" Target="https://assets.vans.eu/images/VN000ECGBFC-HERO/1" TargetMode="External"/><Relationship Id="rId2193" Type="http://schemas.openxmlformats.org/officeDocument/2006/relationships/hyperlink" Target="https://assets.vans.eu/images/VN000P59E2Z-HERO/1" TargetMode="External"/><Relationship Id="rId2498" Type="http://schemas.openxmlformats.org/officeDocument/2006/relationships/hyperlink" Target="https://assets.vans.eu/images/VN000CVULKZ-HERO/1" TargetMode="External"/><Relationship Id="rId3244" Type="http://schemas.openxmlformats.org/officeDocument/2006/relationships/hyperlink" Target="https://assets.vans.eu/images/VN000OI0IND-HERO/1" TargetMode="External"/><Relationship Id="rId3451" Type="http://schemas.openxmlformats.org/officeDocument/2006/relationships/hyperlink" Target="https://assets.vans.eu/images/VN000PPKEMP-HERO/1" TargetMode="External"/><Relationship Id="rId3549" Type="http://schemas.openxmlformats.org/officeDocument/2006/relationships/hyperlink" Target="https://assets.vans.eu/images/VN000R4ZEMP-HERO/1" TargetMode="External"/><Relationship Id="rId4502" Type="http://schemas.openxmlformats.org/officeDocument/2006/relationships/hyperlink" Target="https://assets.vans.eu/images/VN000D9ZYB2-HERO/1" TargetMode="External"/><Relationship Id="rId4947" Type="http://schemas.openxmlformats.org/officeDocument/2006/relationships/hyperlink" Target="https://assets.vans.eu/images/VN000D1GYB2-HERO/1" TargetMode="External"/><Relationship Id="rId165" Type="http://schemas.openxmlformats.org/officeDocument/2006/relationships/hyperlink" Target="https://assets.vans.eu/images/VN000D7UTTN-HERO/1" TargetMode="External"/><Relationship Id="rId372" Type="http://schemas.openxmlformats.org/officeDocument/2006/relationships/hyperlink" Target="https://assets.vans.eu/images/VN000Q09GC6-HERO/1" TargetMode="External"/><Relationship Id="rId677" Type="http://schemas.openxmlformats.org/officeDocument/2006/relationships/hyperlink" Target="https://assets.vans.eu/images/VN000CQRYLW-HERO/1" TargetMode="External"/><Relationship Id="rId2053" Type="http://schemas.openxmlformats.org/officeDocument/2006/relationships/hyperlink" Target="https://assets.vans.eu/images/VN000GH8BLK-HERO/1" TargetMode="External"/><Relationship Id="rId2260" Type="http://schemas.openxmlformats.org/officeDocument/2006/relationships/hyperlink" Target="https://assets.vans.eu/images/VN000PK0ZRY-HERO/1" TargetMode="External"/><Relationship Id="rId2358" Type="http://schemas.openxmlformats.org/officeDocument/2006/relationships/hyperlink" Target="https://assets.vans.eu/images/VN000RG2BLK-HERO/1" TargetMode="External"/><Relationship Id="rId3104" Type="http://schemas.openxmlformats.org/officeDocument/2006/relationships/hyperlink" Target="https://assets.vans.eu/images/VN000KUE02F-HERO/1" TargetMode="External"/><Relationship Id="rId3311" Type="http://schemas.openxmlformats.org/officeDocument/2006/relationships/hyperlink" Target="https://assets.vans.eu/images/VN000P78BLK-HERO/1" TargetMode="External"/><Relationship Id="rId3756" Type="http://schemas.openxmlformats.org/officeDocument/2006/relationships/hyperlink" Target="https://assets.vans.eu/images/VN000BVZ1NU-HERO/1" TargetMode="External"/><Relationship Id="rId3963" Type="http://schemas.openxmlformats.org/officeDocument/2006/relationships/hyperlink" Target="https://assets.vans.eu/images/VN000CWEM8I-HERO/1" TargetMode="External"/><Relationship Id="rId4807" Type="http://schemas.openxmlformats.org/officeDocument/2006/relationships/hyperlink" Target="https://assets.vans.eu/images/VN000EEBBO5-HERO/1" TargetMode="External"/><Relationship Id="rId232" Type="http://schemas.openxmlformats.org/officeDocument/2006/relationships/hyperlink" Target="https://assets.vans.eu/images/VN000D4SCFL-HERO/1" TargetMode="External"/><Relationship Id="rId884" Type="http://schemas.openxmlformats.org/officeDocument/2006/relationships/hyperlink" Target="https://assets.vans.eu/images/VN000MB2EB2-HERO/1" TargetMode="External"/><Relationship Id="rId2120" Type="http://schemas.openxmlformats.org/officeDocument/2006/relationships/hyperlink" Target="https://assets.vans.eu/images/VN000M8UBLK-HERO/1" TargetMode="External"/><Relationship Id="rId2565" Type="http://schemas.openxmlformats.org/officeDocument/2006/relationships/hyperlink" Target="https://assets.vans.eu/images/VN000D1011E-HERO/1" TargetMode="External"/><Relationship Id="rId2772" Type="http://schemas.openxmlformats.org/officeDocument/2006/relationships/hyperlink" Target="https://assets.vans.eu/images/VN000E7UTC4-HERO/1" TargetMode="External"/><Relationship Id="rId3409" Type="http://schemas.openxmlformats.org/officeDocument/2006/relationships/hyperlink" Target="https://assets.vans.eu/images/VN000PJ912S-HERO/1" TargetMode="External"/><Relationship Id="rId3616" Type="http://schemas.openxmlformats.org/officeDocument/2006/relationships/hyperlink" Target="https://assets.vans.eu/images/VN001096BLK-HERO/1" TargetMode="External"/><Relationship Id="rId3823" Type="http://schemas.openxmlformats.org/officeDocument/2006/relationships/hyperlink" Target="https://assets.vans.eu/images/VN000CRRBJ4-HERO/1" TargetMode="External"/><Relationship Id="rId5069" Type="http://schemas.openxmlformats.org/officeDocument/2006/relationships/hyperlink" Target="https://assets.vans.eu/images/VN0A5JIAY04-HERO/1" TargetMode="External"/><Relationship Id="rId537" Type="http://schemas.openxmlformats.org/officeDocument/2006/relationships/hyperlink" Target="https://assets.vans.eu/images/VN0A5HYWYOH-HERO/1" TargetMode="External"/><Relationship Id="rId744" Type="http://schemas.openxmlformats.org/officeDocument/2006/relationships/hyperlink" Target="https://assets.vans.eu/images/VN000CQRYLZ-HERO/1" TargetMode="External"/><Relationship Id="rId951" Type="http://schemas.openxmlformats.org/officeDocument/2006/relationships/hyperlink" Target="https://assets.vans.eu/images/VN000D1JBO9-HERO/1" TargetMode="External"/><Relationship Id="rId1167" Type="http://schemas.openxmlformats.org/officeDocument/2006/relationships/hyperlink" Target="https://assets.vans.eu/images/VN000PGJEMF-HERO/1" TargetMode="External"/><Relationship Id="rId1374" Type="http://schemas.openxmlformats.org/officeDocument/2006/relationships/hyperlink" Target="https://assets.vans.eu/images/VN000PJMBLK-HERO/1" TargetMode="External"/><Relationship Id="rId1581" Type="http://schemas.openxmlformats.org/officeDocument/2006/relationships/hyperlink" Target="https://assets.vans.eu/images/VN000J4ZDAB-HERO/1" TargetMode="External"/><Relationship Id="rId1679" Type="http://schemas.openxmlformats.org/officeDocument/2006/relationships/hyperlink" Target="https://assets.vans.eu/images/VN000MMTBLK-HERO/1" TargetMode="External"/><Relationship Id="rId2218" Type="http://schemas.openxmlformats.org/officeDocument/2006/relationships/hyperlink" Target="https://assets.vans.eu/images/VN000PCYWHT-HERO/1" TargetMode="External"/><Relationship Id="rId2425" Type="http://schemas.openxmlformats.org/officeDocument/2006/relationships/hyperlink" Target="https://assets.vans.eu/images/VN000BVZ239-HERO/1" TargetMode="External"/><Relationship Id="rId2632" Type="http://schemas.openxmlformats.org/officeDocument/2006/relationships/hyperlink" Target="https://assets.vans.eu/images/VN000D5VDRB-HERO/1" TargetMode="External"/><Relationship Id="rId4085" Type="http://schemas.openxmlformats.org/officeDocument/2006/relationships/hyperlink" Target="https://assets.vans.eu/images/VN000D1HE2V-HERO/1" TargetMode="External"/><Relationship Id="rId4292" Type="http://schemas.openxmlformats.org/officeDocument/2006/relationships/hyperlink" Target="https://assets.vans.eu/images/VN000D5VDRK-HERO/1" TargetMode="External"/><Relationship Id="rId80" Type="http://schemas.openxmlformats.org/officeDocument/2006/relationships/hyperlink" Target="https://assets.vans.eu/images/VN000EZ5BLK-HERO/1" TargetMode="External"/><Relationship Id="rId604" Type="http://schemas.openxmlformats.org/officeDocument/2006/relationships/hyperlink" Target="https://assets.vans.eu/images/VN000MFWUUI-HERO/1" TargetMode="External"/><Relationship Id="rId811" Type="http://schemas.openxmlformats.org/officeDocument/2006/relationships/hyperlink" Target="https://assets.vans.eu/images/VN000PR3EN9-HERO/1" TargetMode="External"/><Relationship Id="rId1027" Type="http://schemas.openxmlformats.org/officeDocument/2006/relationships/hyperlink" Target="https://assets.vans.eu/images/VN000PXSWHT-HERO/1" TargetMode="External"/><Relationship Id="rId1234" Type="http://schemas.openxmlformats.org/officeDocument/2006/relationships/hyperlink" Target="https://assets.vans.eu/images/VN000CYU4Y4-HERO/1" TargetMode="External"/><Relationship Id="rId1441" Type="http://schemas.openxmlformats.org/officeDocument/2006/relationships/hyperlink" Target="https://assets.vans.eu/images/VN000BVXKAQ-HERO/1" TargetMode="External"/><Relationship Id="rId1886" Type="http://schemas.openxmlformats.org/officeDocument/2006/relationships/hyperlink" Target="https://assets.vans.eu/images/VN000D4MNVY-HERO/1" TargetMode="External"/><Relationship Id="rId2937" Type="http://schemas.openxmlformats.org/officeDocument/2006/relationships/hyperlink" Target="https://assets.vans.eu/images/VN000AT9BLK-HERO/1" TargetMode="External"/><Relationship Id="rId4152" Type="http://schemas.openxmlformats.org/officeDocument/2006/relationships/hyperlink" Target="https://assets.vans.eu/images/VN000D22BRD-HERO/1" TargetMode="External"/><Relationship Id="rId4597" Type="http://schemas.openxmlformats.org/officeDocument/2006/relationships/hyperlink" Target="https://assets.vans.eu/images/VN000DCHB9M-HERO/1" TargetMode="External"/><Relationship Id="rId909" Type="http://schemas.openxmlformats.org/officeDocument/2006/relationships/hyperlink" Target="https://assets.vans.eu/images/VN000R05WHT-HERO/1" TargetMode="External"/><Relationship Id="rId1301" Type="http://schemas.openxmlformats.org/officeDocument/2006/relationships/hyperlink" Target="https://assets.vans.eu/images/VN0A36IU1M7-HERO/1" TargetMode="External"/><Relationship Id="rId1539" Type="http://schemas.openxmlformats.org/officeDocument/2006/relationships/hyperlink" Target="https://assets.vans.eu/images/VN000DARC9F-HERO/1" TargetMode="External"/><Relationship Id="rId1746" Type="http://schemas.openxmlformats.org/officeDocument/2006/relationships/hyperlink" Target="https://assets.vans.eu/images/VN000PR485T-HERO/1" TargetMode="External"/><Relationship Id="rId1953" Type="http://schemas.openxmlformats.org/officeDocument/2006/relationships/hyperlink" Target="https://assets.vans.eu/images/VN000DAQ02Y-HERO/1" TargetMode="External"/><Relationship Id="rId3199" Type="http://schemas.openxmlformats.org/officeDocument/2006/relationships/hyperlink" Target="https://assets.vans.eu/images/VN000MDSYB2-HERO/1" TargetMode="External"/><Relationship Id="rId4457" Type="http://schemas.openxmlformats.org/officeDocument/2006/relationships/hyperlink" Target="https://assets.vans.eu/images/VN000D88BF0-HERO/1" TargetMode="External"/><Relationship Id="rId4664" Type="http://schemas.openxmlformats.org/officeDocument/2006/relationships/hyperlink" Target="https://assets.vans.eu/images/VN000EFBCJK-HERO/1" TargetMode="External"/><Relationship Id="rId38" Type="http://schemas.openxmlformats.org/officeDocument/2006/relationships/hyperlink" Target="https://assets.vans.eu/images/VN000V68Y61-HERO/1" TargetMode="External"/><Relationship Id="rId1606" Type="http://schemas.openxmlformats.org/officeDocument/2006/relationships/hyperlink" Target="https://assets.vans.eu/images/VN000A7DCDC-HERO/1" TargetMode="External"/><Relationship Id="rId1813" Type="http://schemas.openxmlformats.org/officeDocument/2006/relationships/hyperlink" Target="https://assets.vans.eu/images/VN000BCEBA2-HERO/1" TargetMode="External"/><Relationship Id="rId3059" Type="http://schemas.openxmlformats.org/officeDocument/2006/relationships/hyperlink" Target="https://assets.vans.eu/images/VN000JC5LKZ-HERO/1" TargetMode="External"/><Relationship Id="rId3266" Type="http://schemas.openxmlformats.org/officeDocument/2006/relationships/hyperlink" Target="https://assets.vans.eu/images/VN000P50Y28-HERO/1" TargetMode="External"/><Relationship Id="rId3473" Type="http://schemas.openxmlformats.org/officeDocument/2006/relationships/hyperlink" Target="https://assets.vans.eu/images/VN000PUEFS8-HERO/1" TargetMode="External"/><Relationship Id="rId4012" Type="http://schemas.openxmlformats.org/officeDocument/2006/relationships/hyperlink" Target="https://assets.vans.eu/images/VN000CZHBIL-HERO/1" TargetMode="External"/><Relationship Id="rId4317" Type="http://schemas.openxmlformats.org/officeDocument/2006/relationships/hyperlink" Target="https://assets.vans.eu/images/VN000D6F239-HERO/1" TargetMode="External"/><Relationship Id="rId4524" Type="http://schemas.openxmlformats.org/officeDocument/2006/relationships/hyperlink" Target="https://assets.vans.eu/images/VN000DAH7UG-HERO/1" TargetMode="External"/><Relationship Id="rId4871" Type="http://schemas.openxmlformats.org/officeDocument/2006/relationships/hyperlink" Target="https://assets.vans.eu/images/VN0009UFDRP-HERO/1" TargetMode="External"/><Relationship Id="rId4969" Type="http://schemas.openxmlformats.org/officeDocument/2006/relationships/hyperlink" Target="https://assets.vans.eu/images/VN000D85GRY-HERO/1" TargetMode="External"/><Relationship Id="rId187" Type="http://schemas.openxmlformats.org/officeDocument/2006/relationships/hyperlink" Target="https://assets.vans.eu/images/VN000M4CBR1-HERO/1" TargetMode="External"/><Relationship Id="rId394" Type="http://schemas.openxmlformats.org/officeDocument/2006/relationships/hyperlink" Target="https://assets.vans.eu/images/VN000P7AEN6-HERO/1" TargetMode="External"/><Relationship Id="rId2075" Type="http://schemas.openxmlformats.org/officeDocument/2006/relationships/hyperlink" Target="https://assets.vans.eu/images/VN000JC0J5F-HERO/1" TargetMode="External"/><Relationship Id="rId2282" Type="http://schemas.openxmlformats.org/officeDocument/2006/relationships/hyperlink" Target="https://assets.vans.eu/images/VN000PPUEN7-HERO/1" TargetMode="External"/><Relationship Id="rId3126" Type="http://schemas.openxmlformats.org/officeDocument/2006/relationships/hyperlink" Target="https://assets.vans.eu/images/VN000M27CFL-HERO/1" TargetMode="External"/><Relationship Id="rId3680" Type="http://schemas.openxmlformats.org/officeDocument/2006/relationships/hyperlink" Target="https://assets.vans.eu/images/VN000H4YCIC-HERO/1" TargetMode="External"/><Relationship Id="rId3778" Type="http://schemas.openxmlformats.org/officeDocument/2006/relationships/hyperlink" Target="https://assets.vans.eu/images/VN000CQ0BMW-HERO/1" TargetMode="External"/><Relationship Id="rId3985" Type="http://schemas.openxmlformats.org/officeDocument/2006/relationships/hyperlink" Target="https://assets.vans.eu/images/VN000CYPBML-HERO/1" TargetMode="External"/><Relationship Id="rId4731" Type="http://schemas.openxmlformats.org/officeDocument/2006/relationships/hyperlink" Target="https://assets.vans.eu/images/VN0A4UUK4W7-HERO/1" TargetMode="External"/><Relationship Id="rId4829" Type="http://schemas.openxmlformats.org/officeDocument/2006/relationships/hyperlink" Target="https://assets.vans.eu/images/VN000J9NCHG-HERO/1" TargetMode="External"/><Relationship Id="rId254" Type="http://schemas.openxmlformats.org/officeDocument/2006/relationships/hyperlink" Target="https://assets.vans.eu/images/VN000D0HKCZ-HERO/1" TargetMode="External"/><Relationship Id="rId699" Type="http://schemas.openxmlformats.org/officeDocument/2006/relationships/hyperlink" Target="https://assets.vans.eu/images/VN000KYCBLK-HERO/1" TargetMode="External"/><Relationship Id="rId1091" Type="http://schemas.openxmlformats.org/officeDocument/2006/relationships/hyperlink" Target="https://assets.vans.eu/images/VN000ZUVFM5-HERO/1" TargetMode="External"/><Relationship Id="rId2587" Type="http://schemas.openxmlformats.org/officeDocument/2006/relationships/hyperlink" Target="https://assets.vans.eu/images/VN000D1PDJR-HERO/1" TargetMode="External"/><Relationship Id="rId2794" Type="http://schemas.openxmlformats.org/officeDocument/2006/relationships/hyperlink" Target="https://assets.vans.eu/images/VN000EC4RV2-HERO/1" TargetMode="External"/><Relationship Id="rId3333" Type="http://schemas.openxmlformats.org/officeDocument/2006/relationships/hyperlink" Target="https://assets.vans.eu/images/VN000P94FII-HERO/1" TargetMode="External"/><Relationship Id="rId3540" Type="http://schemas.openxmlformats.org/officeDocument/2006/relationships/hyperlink" Target="https://assets.vans.eu/images/VN000R02RV2-HERO/1" TargetMode="External"/><Relationship Id="rId3638" Type="http://schemas.openxmlformats.org/officeDocument/2006/relationships/hyperlink" Target="https://assets.vans.eu/images/VN0A47TCBLK-HERO/1" TargetMode="External"/><Relationship Id="rId3845" Type="http://schemas.openxmlformats.org/officeDocument/2006/relationships/hyperlink" Target="https://assets.vans.eu/images/VN000CTGEMY-HERO/1" TargetMode="External"/><Relationship Id="rId114" Type="http://schemas.openxmlformats.org/officeDocument/2006/relationships/hyperlink" Target="https://assets.vans.eu/images/VN000LC0PA9-HERO/1" TargetMode="External"/><Relationship Id="rId461" Type="http://schemas.openxmlformats.org/officeDocument/2006/relationships/hyperlink" Target="https://assets.vans.eu/images/VN000EE1GYG-HERO/1" TargetMode="External"/><Relationship Id="rId559" Type="http://schemas.openxmlformats.org/officeDocument/2006/relationships/hyperlink" Target="https://assets.vans.eu/images/VN000PK8BLK-HERO/1" TargetMode="External"/><Relationship Id="rId766" Type="http://schemas.openxmlformats.org/officeDocument/2006/relationships/hyperlink" Target="https://assets.vans.eu/images/VN000E9XCJK-HERO/1" TargetMode="External"/><Relationship Id="rId1189" Type="http://schemas.openxmlformats.org/officeDocument/2006/relationships/hyperlink" Target="https://assets.vans.eu/images/VN000Q7712Q-HERO/1" TargetMode="External"/><Relationship Id="rId1396" Type="http://schemas.openxmlformats.org/officeDocument/2006/relationships/hyperlink" Target="https://assets.vans.eu/images/VN000PY4BLK-HERO/1" TargetMode="External"/><Relationship Id="rId2142" Type="http://schemas.openxmlformats.org/officeDocument/2006/relationships/hyperlink" Target="https://assets.vans.eu/images/VN000MBHC9L-HERO/1" TargetMode="External"/><Relationship Id="rId2447" Type="http://schemas.openxmlformats.org/officeDocument/2006/relationships/hyperlink" Target="https://assets.vans.eu/images/VN000CQ0EMY-HERO/1" TargetMode="External"/><Relationship Id="rId3400" Type="http://schemas.openxmlformats.org/officeDocument/2006/relationships/hyperlink" Target="https://assets.vans.eu/images/VN000PH6IYR-HERO/1" TargetMode="External"/><Relationship Id="rId5060" Type="http://schemas.openxmlformats.org/officeDocument/2006/relationships/hyperlink" Target="https://assets.vans.eu/images/VN0A5FCCBJB-HERO/1" TargetMode="External"/><Relationship Id="rId321" Type="http://schemas.openxmlformats.org/officeDocument/2006/relationships/hyperlink" Target="https://assets.vans.eu/images/VN000BHXWHT-HERO/1" TargetMode="External"/><Relationship Id="rId419" Type="http://schemas.openxmlformats.org/officeDocument/2006/relationships/hyperlink" Target="https://assets.vans.eu/images/VN000H4XZRY-HERO/1" TargetMode="External"/><Relationship Id="rId626" Type="http://schemas.openxmlformats.org/officeDocument/2006/relationships/hyperlink" Target="https://assets.vans.eu/images/VN000CR5FS8-HERO/1" TargetMode="External"/><Relationship Id="rId973" Type="http://schemas.openxmlformats.org/officeDocument/2006/relationships/hyperlink" Target="https://assets.vans.eu/images/VN000EC4RV2-HERO/1" TargetMode="External"/><Relationship Id="rId1049" Type="http://schemas.openxmlformats.org/officeDocument/2006/relationships/hyperlink" Target="https://assets.vans.eu/images/VN00104UWHT-HERO/1" TargetMode="External"/><Relationship Id="rId1256" Type="http://schemas.openxmlformats.org/officeDocument/2006/relationships/hyperlink" Target="https://assets.vans.eu/images/VN000D5VN43-HERO/1" TargetMode="External"/><Relationship Id="rId2002" Type="http://schemas.openxmlformats.org/officeDocument/2006/relationships/hyperlink" Target="https://assets.vans.eu/images/VN000F0SY28-HERO/1" TargetMode="External"/><Relationship Id="rId2307" Type="http://schemas.openxmlformats.org/officeDocument/2006/relationships/hyperlink" Target="https://assets.vans.eu/images/VN000PXMCDX-HERO/1" TargetMode="External"/><Relationship Id="rId2654" Type="http://schemas.openxmlformats.org/officeDocument/2006/relationships/hyperlink" Target="https://assets.vans.eu/images/VN000D6F239-HERO/1" TargetMode="External"/><Relationship Id="rId2861" Type="http://schemas.openxmlformats.org/officeDocument/2006/relationships/hyperlink" Target="https://assets.vans.eu/images/VN000F0HZBF-HERO/1" TargetMode="External"/><Relationship Id="rId2959" Type="http://schemas.openxmlformats.org/officeDocument/2006/relationships/hyperlink" Target="https://assets.vans.eu/images/VN000G8ECJL-HERO/1" TargetMode="External"/><Relationship Id="rId3705" Type="http://schemas.openxmlformats.org/officeDocument/2006/relationships/hyperlink" Target="https://assets.vans.eu/images/VN0007NTYP0-HERO/1" TargetMode="External"/><Relationship Id="rId3912" Type="http://schemas.openxmlformats.org/officeDocument/2006/relationships/hyperlink" Target="https://assets.vans.eu/images/VN000CVUDRB-HERO/1" TargetMode="External"/><Relationship Id="rId833" Type="http://schemas.openxmlformats.org/officeDocument/2006/relationships/hyperlink" Target="https://assets.vans.eu/images/VN000CQRBZW-HERO/1" TargetMode="External"/><Relationship Id="rId1116" Type="http://schemas.openxmlformats.org/officeDocument/2006/relationships/hyperlink" Target="https://assets.vans.eu/images/VN000G75D6Z-HERO/1" TargetMode="External"/><Relationship Id="rId1463" Type="http://schemas.openxmlformats.org/officeDocument/2006/relationships/hyperlink" Target="https://assets.vans.eu/images/VN000CTGYJ7-HERO/1" TargetMode="External"/><Relationship Id="rId1670" Type="http://schemas.openxmlformats.org/officeDocument/2006/relationships/hyperlink" Target="https://assets.vans.eu/images/VN000MDSYB2-HERO/1" TargetMode="External"/><Relationship Id="rId1768" Type="http://schemas.openxmlformats.org/officeDocument/2006/relationships/hyperlink" Target="https://assets.vans.eu/images/VN000Q09GC6-HERO/1" TargetMode="External"/><Relationship Id="rId2514" Type="http://schemas.openxmlformats.org/officeDocument/2006/relationships/hyperlink" Target="https://assets.vans.eu/images/VN000CYAEMY-HERO/1" TargetMode="External"/><Relationship Id="rId2721" Type="http://schemas.openxmlformats.org/officeDocument/2006/relationships/hyperlink" Target="https://assets.vans.eu/images/VN000D9ZYB2-HERO/1" TargetMode="External"/><Relationship Id="rId2819" Type="http://schemas.openxmlformats.org/officeDocument/2006/relationships/hyperlink" Target="https://assets.vans.eu/images/VN000ZUVC4R-HERO/1" TargetMode="External"/><Relationship Id="rId4174" Type="http://schemas.openxmlformats.org/officeDocument/2006/relationships/hyperlink" Target="https://assets.vans.eu/images/VN000D26GWT-HERO/1" TargetMode="External"/><Relationship Id="rId4381" Type="http://schemas.openxmlformats.org/officeDocument/2006/relationships/hyperlink" Target="https://assets.vans.eu/images/VN000D6WEMW-HERO/1" TargetMode="External"/><Relationship Id="rId5018" Type="http://schemas.openxmlformats.org/officeDocument/2006/relationships/hyperlink" Target="https://assets.vans.eu/images/VN0A2Z34AFJ-HERO/1" TargetMode="External"/><Relationship Id="rId900" Type="http://schemas.openxmlformats.org/officeDocument/2006/relationships/hyperlink" Target="https://assets.vans.eu/images/VN000PMDEMW-HERO/1" TargetMode="External"/><Relationship Id="rId1323" Type="http://schemas.openxmlformats.org/officeDocument/2006/relationships/hyperlink" Target="https://assets.vans.eu/images/VN000KASFS8-HERO/1" TargetMode="External"/><Relationship Id="rId1530" Type="http://schemas.openxmlformats.org/officeDocument/2006/relationships/hyperlink" Target="https://assets.vans.eu/images/VN000D9YRWZ-HERO/1" TargetMode="External"/><Relationship Id="rId1628" Type="http://schemas.openxmlformats.org/officeDocument/2006/relationships/hyperlink" Target="https://assets.vans.eu/images/VN000HZBYEH-HERO/1" TargetMode="External"/><Relationship Id="rId1975" Type="http://schemas.openxmlformats.org/officeDocument/2006/relationships/hyperlink" Target="https://assets.vans.eu/images/VN000EDNAH9-HERO/1" TargetMode="External"/><Relationship Id="rId3190" Type="http://schemas.openxmlformats.org/officeDocument/2006/relationships/hyperlink" Target="https://assets.vans.eu/images/VN000MBEFS8-HERO/1" TargetMode="External"/><Relationship Id="rId4034" Type="http://schemas.openxmlformats.org/officeDocument/2006/relationships/hyperlink" Target="https://assets.vans.eu/images/VN000D0M11E-HERO/1" TargetMode="External"/><Relationship Id="rId4241" Type="http://schemas.openxmlformats.org/officeDocument/2006/relationships/hyperlink" Target="https://assets.vans.eu/images/VN000D4MBZW-HERO/1" TargetMode="External"/><Relationship Id="rId4479" Type="http://schemas.openxmlformats.org/officeDocument/2006/relationships/hyperlink" Target="https://assets.vans.eu/images/VN000D9YBGK-HERO/1" TargetMode="External"/><Relationship Id="rId4686" Type="http://schemas.openxmlformats.org/officeDocument/2006/relationships/hyperlink" Target="https://assets.vans.eu/images/VN000VOB4WV-HERO/1" TargetMode="External"/><Relationship Id="rId4893" Type="http://schemas.openxmlformats.org/officeDocument/2006/relationships/hyperlink" Target="https://assets.vans.eu/images/VN000EJTTC4-HERO/1" TargetMode="External"/><Relationship Id="rId1835" Type="http://schemas.openxmlformats.org/officeDocument/2006/relationships/hyperlink" Target="https://assets.vans.eu/images/VN000CTGPIB-HERO/1" TargetMode="External"/><Relationship Id="rId3050" Type="http://schemas.openxmlformats.org/officeDocument/2006/relationships/hyperlink" Target="https://assets.vans.eu/images/VN000JBMCIB-HERO/1" TargetMode="External"/><Relationship Id="rId3288" Type="http://schemas.openxmlformats.org/officeDocument/2006/relationships/hyperlink" Target="https://assets.vans.eu/images/VN000P56O3N-HERO/1" TargetMode="External"/><Relationship Id="rId3495" Type="http://schemas.openxmlformats.org/officeDocument/2006/relationships/hyperlink" Target="https://assets.vans.eu/images/VN000Q09GC6-HERO/1" TargetMode="External"/><Relationship Id="rId4101" Type="http://schemas.openxmlformats.org/officeDocument/2006/relationships/hyperlink" Target="https://assets.vans.eu/images/VN000D1J7D6-HERO/1" TargetMode="External"/><Relationship Id="rId4339" Type="http://schemas.openxmlformats.org/officeDocument/2006/relationships/hyperlink" Target="https://assets.vans.eu/images/VN000D6FY7U-HERO/1" TargetMode="External"/><Relationship Id="rId4546" Type="http://schemas.openxmlformats.org/officeDocument/2006/relationships/hyperlink" Target="https://assets.vans.eu/images/VN000DAQ1MG-HERO/1" TargetMode="External"/><Relationship Id="rId4753" Type="http://schemas.openxmlformats.org/officeDocument/2006/relationships/hyperlink" Target="https://assets.vans.eu/images/VN0A5FCDEMW-HERO/1" TargetMode="External"/><Relationship Id="rId4960" Type="http://schemas.openxmlformats.org/officeDocument/2006/relationships/hyperlink" Target="https://assets.vans.eu/images/VN000D5DBRO-HERO/1" TargetMode="External"/><Relationship Id="rId1902" Type="http://schemas.openxmlformats.org/officeDocument/2006/relationships/hyperlink" Target="https://assets.vans.eu/images/VN000D5DDUF-HERO/1" TargetMode="External"/><Relationship Id="rId2097" Type="http://schemas.openxmlformats.org/officeDocument/2006/relationships/hyperlink" Target="https://assets.vans.eu/images/VN000KVEBLK-HERO/1" TargetMode="External"/><Relationship Id="rId3148" Type="http://schemas.openxmlformats.org/officeDocument/2006/relationships/hyperlink" Target="https://assets.vans.eu/images/VN000M8EBL2-HERO/1" TargetMode="External"/><Relationship Id="rId3355" Type="http://schemas.openxmlformats.org/officeDocument/2006/relationships/hyperlink" Target="https://assets.vans.eu/images/VN000PBXEMS-HERO/1" TargetMode="External"/><Relationship Id="rId3562" Type="http://schemas.openxmlformats.org/officeDocument/2006/relationships/hyperlink" Target="https://assets.vans.eu/images/VN000R97D3A-HERO/1" TargetMode="External"/><Relationship Id="rId4406" Type="http://schemas.openxmlformats.org/officeDocument/2006/relationships/hyperlink" Target="https://assets.vans.eu/images/VN000D6ZEMT-HERO/1" TargetMode="External"/><Relationship Id="rId4613" Type="http://schemas.openxmlformats.org/officeDocument/2006/relationships/hyperlink" Target="https://assets.vans.eu/images/VN000E8WBRD-HERO/1" TargetMode="External"/><Relationship Id="rId276" Type="http://schemas.openxmlformats.org/officeDocument/2006/relationships/hyperlink" Target="https://assets.vans.eu/images/VN000CWEYX2-HERO/1" TargetMode="External"/><Relationship Id="rId483" Type="http://schemas.openxmlformats.org/officeDocument/2006/relationships/hyperlink" Target="https://assets.vans.eu/images/VN000PFBEN9-HERO/1" TargetMode="External"/><Relationship Id="rId690" Type="http://schemas.openxmlformats.org/officeDocument/2006/relationships/hyperlink" Target="https://assets.vans.eu/images/VN000D7J52K-HERO/1" TargetMode="External"/><Relationship Id="rId2164" Type="http://schemas.openxmlformats.org/officeDocument/2006/relationships/hyperlink" Target="https://assets.vans.eu/images/VN000NU0WHT-HERO/1" TargetMode="External"/><Relationship Id="rId2371" Type="http://schemas.openxmlformats.org/officeDocument/2006/relationships/hyperlink" Target="https://assets.vans.eu/images/VN0010J9BLK-HERO/1" TargetMode="External"/><Relationship Id="rId3008" Type="http://schemas.openxmlformats.org/officeDocument/2006/relationships/hyperlink" Target="https://assets.vans.eu/images/VN000HN9DRJ-HERO/1" TargetMode="External"/><Relationship Id="rId3215" Type="http://schemas.openxmlformats.org/officeDocument/2006/relationships/hyperlink" Target="https://assets.vans.eu/images/VN000MKGBLK-HERO/1" TargetMode="External"/><Relationship Id="rId3422" Type="http://schemas.openxmlformats.org/officeDocument/2006/relationships/hyperlink" Target="https://assets.vans.eu/images/VN000PK1EMZ-HERO/1" TargetMode="External"/><Relationship Id="rId3867" Type="http://schemas.openxmlformats.org/officeDocument/2006/relationships/hyperlink" Target="https://assets.vans.eu/images/VN000CUYY30-HERO/1" TargetMode="External"/><Relationship Id="rId4820" Type="http://schemas.openxmlformats.org/officeDocument/2006/relationships/hyperlink" Target="https://assets.vans.eu/images/VN0A4BXB1KP-HERO/1" TargetMode="External"/><Relationship Id="rId4918" Type="http://schemas.openxmlformats.org/officeDocument/2006/relationships/hyperlink" Target="https://assets.vans.eu/images/VN000CBSDOL-HERO/1" TargetMode="External"/><Relationship Id="rId136" Type="http://schemas.openxmlformats.org/officeDocument/2006/relationships/hyperlink" Target="https://assets.vans.eu/images/VN000M3GJDU-HERO/1" TargetMode="External"/><Relationship Id="rId343" Type="http://schemas.openxmlformats.org/officeDocument/2006/relationships/hyperlink" Target="https://assets.vans.eu/images/VN000G4MBLK-HERO/1" TargetMode="External"/><Relationship Id="rId550" Type="http://schemas.openxmlformats.org/officeDocument/2006/relationships/hyperlink" Target="https://assets.vans.eu/images/VN000M12IYR-HERO/1" TargetMode="External"/><Relationship Id="rId788" Type="http://schemas.openxmlformats.org/officeDocument/2006/relationships/hyperlink" Target="https://assets.vans.eu/images/VN000KXMY7U-HERO/1" TargetMode="External"/><Relationship Id="rId995" Type="http://schemas.openxmlformats.org/officeDocument/2006/relationships/hyperlink" Target="https://assets.vans.eu/images/VN000IVEBLK-HERO/1" TargetMode="External"/><Relationship Id="rId1180" Type="http://schemas.openxmlformats.org/officeDocument/2006/relationships/hyperlink" Target="https://assets.vans.eu/images/VN000PMNEMP-HERO/1" TargetMode="External"/><Relationship Id="rId2024" Type="http://schemas.openxmlformats.org/officeDocument/2006/relationships/hyperlink" Target="https://assets.vans.eu/images/VN000XS9IZH-HERO/1" TargetMode="External"/><Relationship Id="rId2231" Type="http://schemas.openxmlformats.org/officeDocument/2006/relationships/hyperlink" Target="https://assets.vans.eu/images/VN000PEWEMU-HERO/1" TargetMode="External"/><Relationship Id="rId2469" Type="http://schemas.openxmlformats.org/officeDocument/2006/relationships/hyperlink" Target="https://assets.vans.eu/images/VN000CTG448-HERO/1" TargetMode="External"/><Relationship Id="rId2676" Type="http://schemas.openxmlformats.org/officeDocument/2006/relationships/hyperlink" Target="https://assets.vans.eu/images/VN000D6WEMW-HERO/1" TargetMode="External"/><Relationship Id="rId2883" Type="http://schemas.openxmlformats.org/officeDocument/2006/relationships/hyperlink" Target="https://assets.vans.eu/images/VN000LC0CVS-HERO/1" TargetMode="External"/><Relationship Id="rId3727" Type="http://schemas.openxmlformats.org/officeDocument/2006/relationships/hyperlink" Target="https://assets.vans.eu/images/VN0009QRCJJ-HERO/1" TargetMode="External"/><Relationship Id="rId3934" Type="http://schemas.openxmlformats.org/officeDocument/2006/relationships/hyperlink" Target="https://assets.vans.eu/images/VN000CVVEMQ-HERO/1" TargetMode="External"/><Relationship Id="rId203" Type="http://schemas.openxmlformats.org/officeDocument/2006/relationships/hyperlink" Target="https://assets.vans.eu/images/VN000QA7BLK-HERO/1" TargetMode="External"/><Relationship Id="rId648" Type="http://schemas.openxmlformats.org/officeDocument/2006/relationships/hyperlink" Target="https://assets.vans.eu/images/VN000H2AEN6-HERO/1" TargetMode="External"/><Relationship Id="rId855" Type="http://schemas.openxmlformats.org/officeDocument/2006/relationships/hyperlink" Target="https://assets.vans.eu/images/VN000D9ACJ7-HERO/1" TargetMode="External"/><Relationship Id="rId1040" Type="http://schemas.openxmlformats.org/officeDocument/2006/relationships/hyperlink" Target="https://assets.vans.eu/images/VN000RD27D6-HERO/1" TargetMode="External"/><Relationship Id="rId1278" Type="http://schemas.openxmlformats.org/officeDocument/2006/relationships/hyperlink" Target="https://assets.vans.eu/images/VN000EDN7D6-HERO/1" TargetMode="External"/><Relationship Id="rId1485" Type="http://schemas.openxmlformats.org/officeDocument/2006/relationships/hyperlink" Target="https://assets.vans.eu/images/VN000D0MKCZ-HERO/1" TargetMode="External"/><Relationship Id="rId1692" Type="http://schemas.openxmlformats.org/officeDocument/2006/relationships/hyperlink" Target="https://assets.vans.eu/images/VN000P51EMS-HERO/1" TargetMode="External"/><Relationship Id="rId2329" Type="http://schemas.openxmlformats.org/officeDocument/2006/relationships/hyperlink" Target="https://assets.vans.eu/images/VN000R05ATH-HERO/1" TargetMode="External"/><Relationship Id="rId2536" Type="http://schemas.openxmlformats.org/officeDocument/2006/relationships/hyperlink" Target="https://assets.vans.eu/images/VN000D0HBZW-HERO/1" TargetMode="External"/><Relationship Id="rId2743" Type="http://schemas.openxmlformats.org/officeDocument/2006/relationships/hyperlink" Target="https://assets.vans.eu/images/VN000DAQ1MG-HERO/1" TargetMode="External"/><Relationship Id="rId4196" Type="http://schemas.openxmlformats.org/officeDocument/2006/relationships/hyperlink" Target="https://assets.vans.eu/images/VN000D29EMV-HERO/1" TargetMode="External"/><Relationship Id="rId410" Type="http://schemas.openxmlformats.org/officeDocument/2006/relationships/hyperlink" Target="https://assets.vans.eu/images/VN000MBCWHT-HERO/1" TargetMode="External"/><Relationship Id="rId508" Type="http://schemas.openxmlformats.org/officeDocument/2006/relationships/hyperlink" Target="https://assets.vans.eu/images/VN000QBQEN7-HERO/1" TargetMode="External"/><Relationship Id="rId715" Type="http://schemas.openxmlformats.org/officeDocument/2006/relationships/hyperlink" Target="https://assets.vans.eu/images/VN000MN07WM-HERO/1" TargetMode="External"/><Relationship Id="rId922" Type="http://schemas.openxmlformats.org/officeDocument/2006/relationships/hyperlink" Target="https://assets.vans.eu/images/VN000U2CWHT-HERO/1" TargetMode="External"/><Relationship Id="rId1138" Type="http://schemas.openxmlformats.org/officeDocument/2006/relationships/hyperlink" Target="https://assets.vans.eu/images/VN000MA9ZBF-HERO/1" TargetMode="External"/><Relationship Id="rId1345" Type="http://schemas.openxmlformats.org/officeDocument/2006/relationships/hyperlink" Target="https://assets.vans.eu/images/VN000MB2EB2-HERO/1" TargetMode="External"/><Relationship Id="rId1552" Type="http://schemas.openxmlformats.org/officeDocument/2006/relationships/hyperlink" Target="https://assets.vans.eu/images/VN000EFBCJK-HERO/1" TargetMode="External"/><Relationship Id="rId1997" Type="http://schemas.openxmlformats.org/officeDocument/2006/relationships/hyperlink" Target="https://assets.vans.eu/images/VN0A5FCB1N6-HERO/1" TargetMode="External"/><Relationship Id="rId2603" Type="http://schemas.openxmlformats.org/officeDocument/2006/relationships/hyperlink" Target="https://assets.vans.eu/images/VN000D2DEMF-HERO/1" TargetMode="External"/><Relationship Id="rId2950" Type="http://schemas.openxmlformats.org/officeDocument/2006/relationships/hyperlink" Target="https://assets.vans.eu/images/VN000G56FS8-HERO/1" TargetMode="External"/><Relationship Id="rId4056" Type="http://schemas.openxmlformats.org/officeDocument/2006/relationships/hyperlink" Target="https://assets.vans.eu/images/VN000D10N1Z-HERO/1" TargetMode="External"/><Relationship Id="rId1205" Type="http://schemas.openxmlformats.org/officeDocument/2006/relationships/hyperlink" Target="https://assets.vans.eu/images/VN0A5JPN705-HERO/1" TargetMode="External"/><Relationship Id="rId1857" Type="http://schemas.openxmlformats.org/officeDocument/2006/relationships/hyperlink" Target="https://assets.vans.eu/images/VN000D0CY33-HERO/1" TargetMode="External"/><Relationship Id="rId2810" Type="http://schemas.openxmlformats.org/officeDocument/2006/relationships/hyperlink" Target="https://assets.vans.eu/images/VN000EG59X1-HERO/1" TargetMode="External"/><Relationship Id="rId2908" Type="http://schemas.openxmlformats.org/officeDocument/2006/relationships/hyperlink" Target="https://assets.vans.eu/images/VN0A7PR1PA9-HERO/1" TargetMode="External"/><Relationship Id="rId4263" Type="http://schemas.openxmlformats.org/officeDocument/2006/relationships/hyperlink" Target="https://assets.vans.eu/images/VN000D5D17P-HERO/1" TargetMode="External"/><Relationship Id="rId4470" Type="http://schemas.openxmlformats.org/officeDocument/2006/relationships/hyperlink" Target="https://assets.vans.eu/images/VN000D8NWWW-HERO/1" TargetMode="External"/><Relationship Id="rId4568" Type="http://schemas.openxmlformats.org/officeDocument/2006/relationships/hyperlink" Target="https://assets.vans.eu/images/VN000DARC9F-HERO/1" TargetMode="External"/><Relationship Id="rId51" Type="http://schemas.openxmlformats.org/officeDocument/2006/relationships/hyperlink" Target="https://assets.vans.eu/images/VN000V68Y61-HERO/1" TargetMode="External"/><Relationship Id="rId1412" Type="http://schemas.openxmlformats.org/officeDocument/2006/relationships/hyperlink" Target="https://assets.vans.eu/images/VN000R4Z7D6-HERO/1" TargetMode="External"/><Relationship Id="rId1717" Type="http://schemas.openxmlformats.org/officeDocument/2006/relationships/hyperlink" Target="https://assets.vans.eu/images/VN000PJ7BLK-HERO/1" TargetMode="External"/><Relationship Id="rId1924" Type="http://schemas.openxmlformats.org/officeDocument/2006/relationships/hyperlink" Target="https://assets.vans.eu/images/VN000D6YEMH-HERO/1" TargetMode="External"/><Relationship Id="rId3072" Type="http://schemas.openxmlformats.org/officeDocument/2006/relationships/hyperlink" Target="https://assets.vans.eu/images/VN000JT37W6-HERO/1" TargetMode="External"/><Relationship Id="rId3377" Type="http://schemas.openxmlformats.org/officeDocument/2006/relationships/hyperlink" Target="https://assets.vans.eu/images/VN000PDYWHT-HERO/1" TargetMode="External"/><Relationship Id="rId4123" Type="http://schemas.openxmlformats.org/officeDocument/2006/relationships/hyperlink" Target="https://assets.vans.eu/images/VN000D1JOVM-HERO/1" TargetMode="External"/><Relationship Id="rId4330" Type="http://schemas.openxmlformats.org/officeDocument/2006/relationships/hyperlink" Target="https://assets.vans.eu/images/VN000D6FBGK-HERO/1" TargetMode="External"/><Relationship Id="rId4775" Type="http://schemas.openxmlformats.org/officeDocument/2006/relationships/hyperlink" Target="https://assets.vans.eu/images/VN0A5JIC39L-HERO/1" TargetMode="External"/><Relationship Id="rId4982" Type="http://schemas.openxmlformats.org/officeDocument/2006/relationships/hyperlink" Target="https://assets.vans.eu/images/VN000D9ZRBG-HERO/1" TargetMode="External"/><Relationship Id="rId298" Type="http://schemas.openxmlformats.org/officeDocument/2006/relationships/hyperlink" Target="https://assets.vans.eu/images/VN000J5UBLK-HERO/1" TargetMode="External"/><Relationship Id="rId3584" Type="http://schemas.openxmlformats.org/officeDocument/2006/relationships/hyperlink" Target="https://assets.vans.eu/images/VN000RD4EMP-HERO/1" TargetMode="External"/><Relationship Id="rId3791" Type="http://schemas.openxmlformats.org/officeDocument/2006/relationships/hyperlink" Target="https://assets.vans.eu/images/VN000CQ0O33-HERO/1" TargetMode="External"/><Relationship Id="rId3889" Type="http://schemas.openxmlformats.org/officeDocument/2006/relationships/hyperlink" Target="https://assets.vans.eu/images/VN000CVT6I7-HERO/1" TargetMode="External"/><Relationship Id="rId4428" Type="http://schemas.openxmlformats.org/officeDocument/2006/relationships/hyperlink" Target="https://assets.vans.eu/images/VN000D7G29B-HERO/1" TargetMode="External"/><Relationship Id="rId4635" Type="http://schemas.openxmlformats.org/officeDocument/2006/relationships/hyperlink" Target="https://assets.vans.eu/images/VN000EB4TAN-HERO/1" TargetMode="External"/><Relationship Id="rId4842" Type="http://schemas.openxmlformats.org/officeDocument/2006/relationships/hyperlink" Target="https://assets.vans.eu/images/VN000CVVSR6-HERO/1" TargetMode="External"/><Relationship Id="rId158" Type="http://schemas.openxmlformats.org/officeDocument/2006/relationships/hyperlink" Target="https://assets.vans.eu/images/VN000CQ6CJK-HERO/1" TargetMode="External"/><Relationship Id="rId2186" Type="http://schemas.openxmlformats.org/officeDocument/2006/relationships/hyperlink" Target="https://assets.vans.eu/images/VN000P50YB2-HERO/1" TargetMode="External"/><Relationship Id="rId2393" Type="http://schemas.openxmlformats.org/officeDocument/2006/relationships/hyperlink" Target="https://assets.vans.eu/images/VN0A7YUTWHT-HERO/1" TargetMode="External"/><Relationship Id="rId2698" Type="http://schemas.openxmlformats.org/officeDocument/2006/relationships/hyperlink" Target="https://assets.vans.eu/images/VN000D7ABKA-HERO/1" TargetMode="External"/><Relationship Id="rId3237" Type="http://schemas.openxmlformats.org/officeDocument/2006/relationships/hyperlink" Target="https://assets.vans.eu/images/VN000NWBCFL-HERO/1" TargetMode="External"/><Relationship Id="rId3444" Type="http://schemas.openxmlformats.org/officeDocument/2006/relationships/hyperlink" Target="https://assets.vans.eu/images/VN000PNGEMV-HERO/1" TargetMode="External"/><Relationship Id="rId3651" Type="http://schemas.openxmlformats.org/officeDocument/2006/relationships/hyperlink" Target="https://assets.vans.eu/images/VN0A4OOO60Q-HERO/1" TargetMode="External"/><Relationship Id="rId4702" Type="http://schemas.openxmlformats.org/officeDocument/2006/relationships/hyperlink" Target="https://assets.vans.eu/images/VN0A38G19G5-HERO/1" TargetMode="External"/><Relationship Id="rId365" Type="http://schemas.openxmlformats.org/officeDocument/2006/relationships/hyperlink" Target="https://assets.vans.eu/images/VN000J79BLK-HERO/1" TargetMode="External"/><Relationship Id="rId572" Type="http://schemas.openxmlformats.org/officeDocument/2006/relationships/hyperlink" Target="https://assets.vans.eu/images/VN000D0SRV2-HERO/1" TargetMode="External"/><Relationship Id="rId2046" Type="http://schemas.openxmlformats.org/officeDocument/2006/relationships/hyperlink" Target="https://assets.vans.eu/images/VN000G81BLK-HERO/1" TargetMode="External"/><Relationship Id="rId2253" Type="http://schemas.openxmlformats.org/officeDocument/2006/relationships/hyperlink" Target="https://assets.vans.eu/images/VN000PJSBLK-HERO/1" TargetMode="External"/><Relationship Id="rId2460" Type="http://schemas.openxmlformats.org/officeDocument/2006/relationships/hyperlink" Target="https://assets.vans.eu/images/VN000CRRBJ4-HERO/1" TargetMode="External"/><Relationship Id="rId3304" Type="http://schemas.openxmlformats.org/officeDocument/2006/relationships/hyperlink" Target="https://assets.vans.eu/images/VN000P5RBLK-HERO/1" TargetMode="External"/><Relationship Id="rId3511" Type="http://schemas.openxmlformats.org/officeDocument/2006/relationships/hyperlink" Target="https://assets.vans.eu/images/VN000Q43EN6-HERO/1" TargetMode="External"/><Relationship Id="rId3749" Type="http://schemas.openxmlformats.org/officeDocument/2006/relationships/hyperlink" Target="https://assets.vans.eu/images/VN000BVZ1NU-HERO/1" TargetMode="External"/><Relationship Id="rId3956" Type="http://schemas.openxmlformats.org/officeDocument/2006/relationships/hyperlink" Target="https://assets.vans.eu/images/VN000CWE2BO-HERO/1" TargetMode="External"/><Relationship Id="rId225" Type="http://schemas.openxmlformats.org/officeDocument/2006/relationships/hyperlink" Target="https://assets.vans.eu/images/VN000XZYE11-HERO/1" TargetMode="External"/><Relationship Id="rId432" Type="http://schemas.openxmlformats.org/officeDocument/2006/relationships/hyperlink" Target="https://assets.vans.eu/images/VN000HUP7WM-HERO/1" TargetMode="External"/><Relationship Id="rId877" Type="http://schemas.openxmlformats.org/officeDocument/2006/relationships/hyperlink" Target="https://assets.vans.eu/images/VN000M60FLB-HERO/1" TargetMode="External"/><Relationship Id="rId1062" Type="http://schemas.openxmlformats.org/officeDocument/2006/relationships/hyperlink" Target="https://assets.vans.eu/images/VN000CVVBA2-HERO/1" TargetMode="External"/><Relationship Id="rId2113" Type="http://schemas.openxmlformats.org/officeDocument/2006/relationships/hyperlink" Target="https://assets.vans.eu/images/VN000M5FCLH-HERO/1" TargetMode="External"/><Relationship Id="rId2320" Type="http://schemas.openxmlformats.org/officeDocument/2006/relationships/hyperlink" Target="https://assets.vans.eu/images/VN000Q49BLK-HERO/1" TargetMode="External"/><Relationship Id="rId2558" Type="http://schemas.openxmlformats.org/officeDocument/2006/relationships/hyperlink" Target="https://assets.vans.eu/images/VN000D0PEMW-HERO/1" TargetMode="External"/><Relationship Id="rId2765" Type="http://schemas.openxmlformats.org/officeDocument/2006/relationships/hyperlink" Target="https://assets.vans.eu/images/VN000DAZSTN-HERO/1" TargetMode="External"/><Relationship Id="rId2972" Type="http://schemas.openxmlformats.org/officeDocument/2006/relationships/hyperlink" Target="https://assets.vans.eu/images/VN000GF7WHT-HERO/1" TargetMode="External"/><Relationship Id="rId3609" Type="http://schemas.openxmlformats.org/officeDocument/2006/relationships/hyperlink" Target="https://assets.vans.eu/images/VN000XOIBLK-HERO/1" TargetMode="External"/><Relationship Id="rId3816" Type="http://schemas.openxmlformats.org/officeDocument/2006/relationships/hyperlink" Target="https://assets.vans.eu/images/VN000CR50ZB-HERO/1" TargetMode="External"/><Relationship Id="rId737" Type="http://schemas.openxmlformats.org/officeDocument/2006/relationships/hyperlink" Target="https://assets.vans.eu/images/VN000RBCEML-HERO/1" TargetMode="External"/><Relationship Id="rId944" Type="http://schemas.openxmlformats.org/officeDocument/2006/relationships/hyperlink" Target="https://assets.vans.eu/images/VN000D0MKCZ-HERO/1" TargetMode="External"/><Relationship Id="rId1367" Type="http://schemas.openxmlformats.org/officeDocument/2006/relationships/hyperlink" Target="https://assets.vans.eu/images/VN000P8GBLK-HERO/1" TargetMode="External"/><Relationship Id="rId1574" Type="http://schemas.openxmlformats.org/officeDocument/2006/relationships/hyperlink" Target="https://assets.vans.eu/images/VN000GM0BLK-HERO/1" TargetMode="External"/><Relationship Id="rId1781" Type="http://schemas.openxmlformats.org/officeDocument/2006/relationships/hyperlink" Target="https://assets.vans.eu/images/VN000R03EN7-HERO/1" TargetMode="External"/><Relationship Id="rId2418" Type="http://schemas.openxmlformats.org/officeDocument/2006/relationships/hyperlink" Target="https://assets.vans.eu/images/VN000BCECCZ-HERO/1" TargetMode="External"/><Relationship Id="rId2625" Type="http://schemas.openxmlformats.org/officeDocument/2006/relationships/hyperlink" Target="https://assets.vans.eu/images/VN000D5R9DH-HERO/1" TargetMode="External"/><Relationship Id="rId2832" Type="http://schemas.openxmlformats.org/officeDocument/2006/relationships/hyperlink" Target="https://assets.vans.eu/images/VN0A5FCAPIB-HERO/1" TargetMode="External"/><Relationship Id="rId4078" Type="http://schemas.openxmlformats.org/officeDocument/2006/relationships/hyperlink" Target="https://assets.vans.eu/images/VN000D1H1NU-HERO/1" TargetMode="External"/><Relationship Id="rId4285" Type="http://schemas.openxmlformats.org/officeDocument/2006/relationships/hyperlink" Target="https://assets.vans.eu/images/VN000D5RY52-HERO/1" TargetMode="External"/><Relationship Id="rId4492" Type="http://schemas.openxmlformats.org/officeDocument/2006/relationships/hyperlink" Target="https://assets.vans.eu/images/VN000D9YY9T-HERO/1" TargetMode="External"/><Relationship Id="rId5031" Type="http://schemas.openxmlformats.org/officeDocument/2006/relationships/hyperlink" Target="https://assets.vans.eu/images/VN0A2Z34REB-HERO/1" TargetMode="External"/><Relationship Id="rId73" Type="http://schemas.openxmlformats.org/officeDocument/2006/relationships/hyperlink" Target="https://assets.vans.eu/images/VN0A5FJXDZ9-HERO/1" TargetMode="External"/><Relationship Id="rId804" Type="http://schemas.openxmlformats.org/officeDocument/2006/relationships/hyperlink" Target="https://assets.vans.eu/images/VN000PK1BLK-HERO/1" TargetMode="External"/><Relationship Id="rId1227" Type="http://schemas.openxmlformats.org/officeDocument/2006/relationships/hyperlink" Target="https://assets.vans.eu/images/VN000CYAEMY-HERO/1" TargetMode="External"/><Relationship Id="rId1434" Type="http://schemas.openxmlformats.org/officeDocument/2006/relationships/hyperlink" Target="https://assets.vans.eu/images/VN0A7YUTBLK-HERO/1" TargetMode="External"/><Relationship Id="rId1641" Type="http://schemas.openxmlformats.org/officeDocument/2006/relationships/hyperlink" Target="https://assets.vans.eu/images/VN000K42041-HERO/1" TargetMode="External"/><Relationship Id="rId1879" Type="http://schemas.openxmlformats.org/officeDocument/2006/relationships/hyperlink" Target="https://assets.vans.eu/images/VN000D26GWT-HERO/1" TargetMode="External"/><Relationship Id="rId3094" Type="http://schemas.openxmlformats.org/officeDocument/2006/relationships/hyperlink" Target="https://assets.vans.eu/images/VN000KASFS8-HERO/1" TargetMode="External"/><Relationship Id="rId4145" Type="http://schemas.openxmlformats.org/officeDocument/2006/relationships/hyperlink" Target="https://assets.vans.eu/images/VN000D22B9P-HERO/1" TargetMode="External"/><Relationship Id="rId4797" Type="http://schemas.openxmlformats.org/officeDocument/2006/relationships/hyperlink" Target="https://assets.vans.eu/images/VN0A7Q5MBLU-HERO/1" TargetMode="External"/><Relationship Id="rId1501" Type="http://schemas.openxmlformats.org/officeDocument/2006/relationships/hyperlink" Target="https://assets.vans.eu/images/VN000D2YBKA-HERO/1" TargetMode="External"/><Relationship Id="rId1739" Type="http://schemas.openxmlformats.org/officeDocument/2006/relationships/hyperlink" Target="https://assets.vans.eu/images/VN000PQWEMF-HERO/1" TargetMode="External"/><Relationship Id="rId1946" Type="http://schemas.openxmlformats.org/officeDocument/2006/relationships/hyperlink" Target="https://assets.vans.eu/images/VN000DA1Z34-HERO/1" TargetMode="External"/><Relationship Id="rId3399" Type="http://schemas.openxmlformats.org/officeDocument/2006/relationships/hyperlink" Target="https://assets.vans.eu/images/VN000PH6IYR-HERO/1" TargetMode="External"/><Relationship Id="rId4005" Type="http://schemas.openxmlformats.org/officeDocument/2006/relationships/hyperlink" Target="https://assets.vans.eu/images/VN000CZ7RV2-HERO/1" TargetMode="External"/><Relationship Id="rId4352" Type="http://schemas.openxmlformats.org/officeDocument/2006/relationships/hyperlink" Target="https://assets.vans.eu/images/VN000D6NBGK-HERO/1" TargetMode="External"/><Relationship Id="rId4657" Type="http://schemas.openxmlformats.org/officeDocument/2006/relationships/hyperlink" Target="https://assets.vans.eu/images/VN000EDNGRY-HERO/1" TargetMode="External"/><Relationship Id="rId4864" Type="http://schemas.openxmlformats.org/officeDocument/2006/relationships/hyperlink" Target="https://assets.vans.eu/images/VN000EEBBO5-HERO/1" TargetMode="External"/><Relationship Id="rId1806" Type="http://schemas.openxmlformats.org/officeDocument/2006/relationships/hyperlink" Target="https://assets.vans.eu/images/VN0A3HWCBLK-HERO/1" TargetMode="External"/><Relationship Id="rId3161" Type="http://schemas.openxmlformats.org/officeDocument/2006/relationships/hyperlink" Target="https://assets.vans.eu/images/VN000M9A1O7-HERO/1" TargetMode="External"/><Relationship Id="rId3259" Type="http://schemas.openxmlformats.org/officeDocument/2006/relationships/hyperlink" Target="https://assets.vans.eu/images/VN000P21JDU-HERO/1" TargetMode="External"/><Relationship Id="rId3466" Type="http://schemas.openxmlformats.org/officeDocument/2006/relationships/hyperlink" Target="https://assets.vans.eu/images/VN000PTHWHT-HERO/1" TargetMode="External"/><Relationship Id="rId4212" Type="http://schemas.openxmlformats.org/officeDocument/2006/relationships/hyperlink" Target="https://assets.vans.eu/images/VN000D2TY31-HERO/1" TargetMode="External"/><Relationship Id="rId4517" Type="http://schemas.openxmlformats.org/officeDocument/2006/relationships/hyperlink" Target="https://assets.vans.eu/images/VN000DA1Z34-HERO/1" TargetMode="External"/><Relationship Id="rId387" Type="http://schemas.openxmlformats.org/officeDocument/2006/relationships/hyperlink" Target="https://assets.vans.eu/images/VN000Q1UBLK-HERO/1" TargetMode="External"/><Relationship Id="rId594" Type="http://schemas.openxmlformats.org/officeDocument/2006/relationships/hyperlink" Target="https://assets.vans.eu/images/VN0A31J6DRB-HERO/1" TargetMode="External"/><Relationship Id="rId2068" Type="http://schemas.openxmlformats.org/officeDocument/2006/relationships/hyperlink" Target="https://assets.vans.eu/images/VN000IVFBRD-HERO/1" TargetMode="External"/><Relationship Id="rId2275" Type="http://schemas.openxmlformats.org/officeDocument/2006/relationships/hyperlink" Target="https://assets.vans.eu/images/VN000PMXEMU-HERO/1" TargetMode="External"/><Relationship Id="rId3021" Type="http://schemas.openxmlformats.org/officeDocument/2006/relationships/hyperlink" Target="https://assets.vans.eu/images/VN000HPQ02F-HERO/1" TargetMode="External"/><Relationship Id="rId3119" Type="http://schemas.openxmlformats.org/officeDocument/2006/relationships/hyperlink" Target="https://assets.vans.eu/images/VN000M0XKCZ-HERO/1" TargetMode="External"/><Relationship Id="rId3326" Type="http://schemas.openxmlformats.org/officeDocument/2006/relationships/hyperlink" Target="https://assets.vans.eu/images/VN000P8CJDU-HERO/1" TargetMode="External"/><Relationship Id="rId3673" Type="http://schemas.openxmlformats.org/officeDocument/2006/relationships/hyperlink" Target="https://assets.vans.eu/images/VN0A7Y3XJNH-HERO/1" TargetMode="External"/><Relationship Id="rId3880" Type="http://schemas.openxmlformats.org/officeDocument/2006/relationships/hyperlink" Target="https://assets.vans.eu/images/VN000CVRC5F-HERO/1" TargetMode="External"/><Relationship Id="rId3978" Type="http://schemas.openxmlformats.org/officeDocument/2006/relationships/hyperlink" Target="https://assets.vans.eu/images/VN000CYABMC-HERO/1" TargetMode="External"/><Relationship Id="rId4724" Type="http://schemas.openxmlformats.org/officeDocument/2006/relationships/hyperlink" Target="https://assets.vans.eu/images/VN0A4U1KBLK-HERO/1" TargetMode="External"/><Relationship Id="rId4931" Type="http://schemas.openxmlformats.org/officeDocument/2006/relationships/hyperlink" Target="https://assets.vans.eu/images/VN000D1G92A-HERO/1" TargetMode="External"/><Relationship Id="rId247" Type="http://schemas.openxmlformats.org/officeDocument/2006/relationships/hyperlink" Target="https://assets.vans.eu/images/VN000QB8EMU-HERO/1" TargetMode="External"/><Relationship Id="rId899" Type="http://schemas.openxmlformats.org/officeDocument/2006/relationships/hyperlink" Target="https://assets.vans.eu/images/VN000PMABLK-HERO/1" TargetMode="External"/><Relationship Id="rId1084" Type="http://schemas.openxmlformats.org/officeDocument/2006/relationships/hyperlink" Target="https://assets.vans.eu/images/VN000E9RG58-HERO/1" TargetMode="External"/><Relationship Id="rId2482" Type="http://schemas.openxmlformats.org/officeDocument/2006/relationships/hyperlink" Target="https://assets.vans.eu/images/VN000CVT7YO-HERO/1" TargetMode="External"/><Relationship Id="rId2787" Type="http://schemas.openxmlformats.org/officeDocument/2006/relationships/hyperlink" Target="https://assets.vans.eu/images/VN000EB4KAQ-HERO/1" TargetMode="External"/><Relationship Id="rId3533" Type="http://schemas.openxmlformats.org/officeDocument/2006/relationships/hyperlink" Target="https://assets.vans.eu/images/VN000QFGDJR-HERO/1" TargetMode="External"/><Relationship Id="rId3740" Type="http://schemas.openxmlformats.org/officeDocument/2006/relationships/hyperlink" Target="https://assets.vans.eu/images/VN000BCECCZ-HERO/1" TargetMode="External"/><Relationship Id="rId3838" Type="http://schemas.openxmlformats.org/officeDocument/2006/relationships/hyperlink" Target="https://assets.vans.eu/images/VN000CTDY23-HERO/1" TargetMode="External"/><Relationship Id="rId107" Type="http://schemas.openxmlformats.org/officeDocument/2006/relationships/hyperlink" Target="https://assets.vans.eu/images/VN000KI5186-HERO/1" TargetMode="External"/><Relationship Id="rId454" Type="http://schemas.openxmlformats.org/officeDocument/2006/relationships/hyperlink" Target="https://assets.vans.eu/images/VN000CWE887-HERO/1" TargetMode="External"/><Relationship Id="rId661" Type="http://schemas.openxmlformats.org/officeDocument/2006/relationships/hyperlink" Target="https://assets.vans.eu/images/VN000PMHENB-HERO/1" TargetMode="External"/><Relationship Id="rId759" Type="http://schemas.openxmlformats.org/officeDocument/2006/relationships/hyperlink" Target="https://assets.vans.eu/images/VN000D2VZ3R-HERO/1" TargetMode="External"/><Relationship Id="rId966" Type="http://schemas.openxmlformats.org/officeDocument/2006/relationships/hyperlink" Target="https://assets.vans.eu/images/VN000DAZF88-HERO/1" TargetMode="External"/><Relationship Id="rId1291" Type="http://schemas.openxmlformats.org/officeDocument/2006/relationships/hyperlink" Target="https://assets.vans.eu/images/VN000HSQ1RE-HERO/1" TargetMode="External"/><Relationship Id="rId1389" Type="http://schemas.openxmlformats.org/officeDocument/2006/relationships/hyperlink" Target="https://assets.vans.eu/images/VN000PQWBLK-HERO/1" TargetMode="External"/><Relationship Id="rId1596" Type="http://schemas.openxmlformats.org/officeDocument/2006/relationships/hyperlink" Target="https://assets.vans.eu/images/VN0A3I5L2N1-HERO/1" TargetMode="External"/><Relationship Id="rId2135" Type="http://schemas.openxmlformats.org/officeDocument/2006/relationships/hyperlink" Target="https://assets.vans.eu/images/VN000MA2EMF-HERO/1" TargetMode="External"/><Relationship Id="rId2342" Type="http://schemas.openxmlformats.org/officeDocument/2006/relationships/hyperlink" Target="https://assets.vans.eu/images/VN000RC1O8W-HERO/1" TargetMode="External"/><Relationship Id="rId2647" Type="http://schemas.openxmlformats.org/officeDocument/2006/relationships/hyperlink" Target="https://assets.vans.eu/images/VN000D610VW-HERO/1" TargetMode="External"/><Relationship Id="rId2994" Type="http://schemas.openxmlformats.org/officeDocument/2006/relationships/hyperlink" Target="https://assets.vans.eu/images/VN000HF6FS8-HERO/1" TargetMode="External"/><Relationship Id="rId3600" Type="http://schemas.openxmlformats.org/officeDocument/2006/relationships/hyperlink" Target="https://assets.vans.eu/images/VN000RJYPWT-HERO/1" TargetMode="External"/><Relationship Id="rId5053" Type="http://schemas.openxmlformats.org/officeDocument/2006/relationships/hyperlink" Target="https://assets.vans.eu/images/VN0A2Z3UCX6-HERO/1" TargetMode="External"/><Relationship Id="rId314" Type="http://schemas.openxmlformats.org/officeDocument/2006/relationships/hyperlink" Target="https://assets.vans.eu/images/VN0010J9BLK-HERO/1" TargetMode="External"/><Relationship Id="rId521" Type="http://schemas.openxmlformats.org/officeDocument/2006/relationships/hyperlink" Target="https://assets.vans.eu/images/VN000PXTBLK-HERO/1" TargetMode="External"/><Relationship Id="rId619" Type="http://schemas.openxmlformats.org/officeDocument/2006/relationships/hyperlink" Target="https://assets.vans.eu/images/VN000RD5EMP-HERO/1" TargetMode="External"/><Relationship Id="rId1151" Type="http://schemas.openxmlformats.org/officeDocument/2006/relationships/hyperlink" Target="https://assets.vans.eu/images/VN000P1PRNE-HERO/1" TargetMode="External"/><Relationship Id="rId1249" Type="http://schemas.openxmlformats.org/officeDocument/2006/relationships/hyperlink" Target="https://assets.vans.eu/images/VN000D26GWT-HERO/1" TargetMode="External"/><Relationship Id="rId2202" Type="http://schemas.openxmlformats.org/officeDocument/2006/relationships/hyperlink" Target="https://assets.vans.eu/images/VN000P86F0V-HERO/1" TargetMode="External"/><Relationship Id="rId2854" Type="http://schemas.openxmlformats.org/officeDocument/2006/relationships/hyperlink" Target="https://assets.vans.eu/images/VN0007A8J3Q-HERO/1" TargetMode="External"/><Relationship Id="rId3905" Type="http://schemas.openxmlformats.org/officeDocument/2006/relationships/hyperlink" Target="https://assets.vans.eu/images/VN000CVU7YO-HERO/1" TargetMode="External"/><Relationship Id="rId95" Type="http://schemas.openxmlformats.org/officeDocument/2006/relationships/hyperlink" Target="https://assets.vans.eu/images/VN000JK5BLK-HERO/1" TargetMode="External"/><Relationship Id="rId826" Type="http://schemas.openxmlformats.org/officeDocument/2006/relationships/hyperlink" Target="https://assets.vans.eu/images/VN000RPJ7D6-HERO/1" TargetMode="External"/><Relationship Id="rId1011" Type="http://schemas.openxmlformats.org/officeDocument/2006/relationships/hyperlink" Target="https://assets.vans.eu/images/VN000P1P6JL-HERO/1" TargetMode="External"/><Relationship Id="rId1109" Type="http://schemas.openxmlformats.org/officeDocument/2006/relationships/hyperlink" Target="https://assets.vans.eu/images/VN000QCMY28-HERO/1" TargetMode="External"/><Relationship Id="rId1456" Type="http://schemas.openxmlformats.org/officeDocument/2006/relationships/hyperlink" Target="https://assets.vans.eu/images/VN000CRRD3X-HERO/1" TargetMode="External"/><Relationship Id="rId1663" Type="http://schemas.openxmlformats.org/officeDocument/2006/relationships/hyperlink" Target="https://assets.vans.eu/images/VN000MAT7WM-HERO/1" TargetMode="External"/><Relationship Id="rId1870" Type="http://schemas.openxmlformats.org/officeDocument/2006/relationships/hyperlink" Target="https://assets.vans.eu/images/VN000D11N1Z-HERO/1" TargetMode="External"/><Relationship Id="rId1968" Type="http://schemas.openxmlformats.org/officeDocument/2006/relationships/hyperlink" Target="https://assets.vans.eu/images/VN000E9RZ3R-HERO/1" TargetMode="External"/><Relationship Id="rId2507" Type="http://schemas.openxmlformats.org/officeDocument/2006/relationships/hyperlink" Target="https://assets.vans.eu/images/VN000CWDCRM-HERO/1" TargetMode="External"/><Relationship Id="rId2714" Type="http://schemas.openxmlformats.org/officeDocument/2006/relationships/hyperlink" Target="https://assets.vans.eu/images/VN000D9YRV2-HERO/1" TargetMode="External"/><Relationship Id="rId2921" Type="http://schemas.openxmlformats.org/officeDocument/2006/relationships/hyperlink" Target="https://assets.vans.eu/images/VN0008BJBLK-HERO/1" TargetMode="External"/><Relationship Id="rId4167" Type="http://schemas.openxmlformats.org/officeDocument/2006/relationships/hyperlink" Target="https://assets.vans.eu/images/VN000D22RV2-HERO/1" TargetMode="External"/><Relationship Id="rId4374" Type="http://schemas.openxmlformats.org/officeDocument/2006/relationships/hyperlink" Target="https://assets.vans.eu/images/VN000D6WBOM-HERO/1" TargetMode="External"/><Relationship Id="rId4581" Type="http://schemas.openxmlformats.org/officeDocument/2006/relationships/hyperlink" Target="https://assets.vans.eu/images/VN000DB1EMG-HERO/1" TargetMode="External"/><Relationship Id="rId1316" Type="http://schemas.openxmlformats.org/officeDocument/2006/relationships/hyperlink" Target="https://assets.vans.eu/images/VN000J9JZR6-HERO/1" TargetMode="External"/><Relationship Id="rId1523" Type="http://schemas.openxmlformats.org/officeDocument/2006/relationships/hyperlink" Target="https://assets.vans.eu/images/VN000D80BF0-HERO/1" TargetMode="External"/><Relationship Id="rId1730" Type="http://schemas.openxmlformats.org/officeDocument/2006/relationships/hyperlink" Target="https://assets.vans.eu/images/VN000PMXEMU-HERO/1" TargetMode="External"/><Relationship Id="rId3183" Type="http://schemas.openxmlformats.org/officeDocument/2006/relationships/hyperlink" Target="https://assets.vans.eu/images/VN000MB2EB2-HERO/1" TargetMode="External"/><Relationship Id="rId3390" Type="http://schemas.openxmlformats.org/officeDocument/2006/relationships/hyperlink" Target="https://assets.vans.eu/images/VN000PF7Y28-HERO/1" TargetMode="External"/><Relationship Id="rId4027" Type="http://schemas.openxmlformats.org/officeDocument/2006/relationships/hyperlink" Target="https://assets.vans.eu/images/VN000D0HEMY-HERO/1" TargetMode="External"/><Relationship Id="rId4234" Type="http://schemas.openxmlformats.org/officeDocument/2006/relationships/hyperlink" Target="https://assets.vans.eu/images/VN000D45EMY-HERO/1" TargetMode="External"/><Relationship Id="rId4441" Type="http://schemas.openxmlformats.org/officeDocument/2006/relationships/hyperlink" Target="https://assets.vans.eu/images/VN000D7ZY7U-HERO/1" TargetMode="External"/><Relationship Id="rId4679" Type="http://schemas.openxmlformats.org/officeDocument/2006/relationships/hyperlink" Target="https://assets.vans.eu/images/VN000V25B5T-HERO/1" TargetMode="External"/><Relationship Id="rId4886" Type="http://schemas.openxmlformats.org/officeDocument/2006/relationships/hyperlink" Target="https://assets.vans.eu/images/VN000D9ZRBG-HERO/1" TargetMode="External"/><Relationship Id="rId22" Type="http://schemas.openxmlformats.org/officeDocument/2006/relationships/hyperlink" Target="https://assets.vans.eu/images/VN0A5FJXBLK-HERO/1" TargetMode="External"/><Relationship Id="rId1828" Type="http://schemas.openxmlformats.org/officeDocument/2006/relationships/hyperlink" Target="https://assets.vans.eu/images/VN000CS0BRO-HERO/1" TargetMode="External"/><Relationship Id="rId3043" Type="http://schemas.openxmlformats.org/officeDocument/2006/relationships/hyperlink" Target="https://assets.vans.eu/images/VN000IVEY28-HERO/1" TargetMode="External"/><Relationship Id="rId3250" Type="http://schemas.openxmlformats.org/officeDocument/2006/relationships/hyperlink" Target="https://assets.vans.eu/images/VN000P1PE30-HERO/1" TargetMode="External"/><Relationship Id="rId3488" Type="http://schemas.openxmlformats.org/officeDocument/2006/relationships/hyperlink" Target="https://assets.vans.eu/images/VN000PXNJDU-HERO/1" TargetMode="External"/><Relationship Id="rId3695" Type="http://schemas.openxmlformats.org/officeDocument/2006/relationships/hyperlink" Target="https://assets.vans.eu/images/VN0005UKQJM-HERO/1" TargetMode="External"/><Relationship Id="rId4539" Type="http://schemas.openxmlformats.org/officeDocument/2006/relationships/hyperlink" Target="https://assets.vans.eu/images/VN000DAJYJ7-HERO/1" TargetMode="External"/><Relationship Id="rId4746" Type="http://schemas.openxmlformats.org/officeDocument/2006/relationships/hyperlink" Target="https://assets.vans.eu/images/VN0A5FCB1N6-HERO/1" TargetMode="External"/><Relationship Id="rId4953" Type="http://schemas.openxmlformats.org/officeDocument/2006/relationships/hyperlink" Target="https://assets.vans.eu/images/VN000D3R203-HERO/1" TargetMode="External"/><Relationship Id="rId171" Type="http://schemas.openxmlformats.org/officeDocument/2006/relationships/hyperlink" Target="https://assets.vans.eu/images/VN000PK2EN9-HERO/1" TargetMode="External"/><Relationship Id="rId2297" Type="http://schemas.openxmlformats.org/officeDocument/2006/relationships/hyperlink" Target="https://assets.vans.eu/images/VN000PTBF0W-HERO/1" TargetMode="External"/><Relationship Id="rId3348" Type="http://schemas.openxmlformats.org/officeDocument/2006/relationships/hyperlink" Target="https://assets.vans.eu/images/VN000PBVWHT-HERO/1" TargetMode="External"/><Relationship Id="rId3555" Type="http://schemas.openxmlformats.org/officeDocument/2006/relationships/hyperlink" Target="https://assets.vans.eu/images/VN000R7AY28-HERO/1" TargetMode="External"/><Relationship Id="rId3762" Type="http://schemas.openxmlformats.org/officeDocument/2006/relationships/hyperlink" Target="https://assets.vans.eu/images/VN000BW7EME-HERO/1" TargetMode="External"/><Relationship Id="rId4301" Type="http://schemas.openxmlformats.org/officeDocument/2006/relationships/hyperlink" Target="https://assets.vans.eu/images/VN000D60EMW-HERO/1" TargetMode="External"/><Relationship Id="rId4606" Type="http://schemas.openxmlformats.org/officeDocument/2006/relationships/hyperlink" Target="https://assets.vans.eu/images/VN000E89YG4-HERO/1" TargetMode="External"/><Relationship Id="rId4813" Type="http://schemas.openxmlformats.org/officeDocument/2006/relationships/hyperlink" Target="https://assets.vans.eu/images/VN000D5RZHJ-HERO/1" TargetMode="External"/><Relationship Id="rId269" Type="http://schemas.openxmlformats.org/officeDocument/2006/relationships/hyperlink" Target="https://assets.vans.eu/images/VN000PKT1NU-HERO/1" TargetMode="External"/><Relationship Id="rId476" Type="http://schemas.openxmlformats.org/officeDocument/2006/relationships/hyperlink" Target="https://assets.vans.eu/images/VN000KASBTE-HERO/1" TargetMode="External"/><Relationship Id="rId683" Type="http://schemas.openxmlformats.org/officeDocument/2006/relationships/hyperlink" Target="https://assets.vans.eu/images/VN000D0HBZW-HERO/1" TargetMode="External"/><Relationship Id="rId890" Type="http://schemas.openxmlformats.org/officeDocument/2006/relationships/hyperlink" Target="https://assets.vans.eu/images/VN000PA7BLK-HERO/1" TargetMode="External"/><Relationship Id="rId2157" Type="http://schemas.openxmlformats.org/officeDocument/2006/relationships/hyperlink" Target="https://assets.vans.eu/images/VN000MK8BLK-HERO/1" TargetMode="External"/><Relationship Id="rId2364" Type="http://schemas.openxmlformats.org/officeDocument/2006/relationships/hyperlink" Target="https://assets.vans.eu/images/VN000XOIY28-HERO/1" TargetMode="External"/><Relationship Id="rId2571" Type="http://schemas.openxmlformats.org/officeDocument/2006/relationships/hyperlink" Target="https://assets.vans.eu/images/VN000D111KP-HERO/1" TargetMode="External"/><Relationship Id="rId3110" Type="http://schemas.openxmlformats.org/officeDocument/2006/relationships/hyperlink" Target="https://assets.vans.eu/images/VN000KV2JDU-HERO/1" TargetMode="External"/><Relationship Id="rId3208" Type="http://schemas.openxmlformats.org/officeDocument/2006/relationships/hyperlink" Target="https://assets.vans.eu/images/VN000MHGBLK-HERO/1" TargetMode="External"/><Relationship Id="rId3415" Type="http://schemas.openxmlformats.org/officeDocument/2006/relationships/hyperlink" Target="https://assets.vans.eu/images/VN000PJR3N1-HERO/1" TargetMode="External"/><Relationship Id="rId129" Type="http://schemas.openxmlformats.org/officeDocument/2006/relationships/hyperlink" Target="https://assets.vans.eu/images/VN000M8EBL2-HERO/1" TargetMode="External"/><Relationship Id="rId336" Type="http://schemas.openxmlformats.org/officeDocument/2006/relationships/hyperlink" Target="https://assets.vans.eu/images/VN000A92Y28-HERO/1" TargetMode="External"/><Relationship Id="rId543" Type="http://schemas.openxmlformats.org/officeDocument/2006/relationships/hyperlink" Target="https://assets.vans.eu/images/VN0008NACDX-HERO/1" TargetMode="External"/><Relationship Id="rId988" Type="http://schemas.openxmlformats.org/officeDocument/2006/relationships/hyperlink" Target="https://assets.vans.eu/images/VN0A31J6DRB-HERO/1" TargetMode="External"/><Relationship Id="rId1173" Type="http://schemas.openxmlformats.org/officeDocument/2006/relationships/hyperlink" Target="https://assets.vans.eu/images/VN000PK1EMZ-HERO/1" TargetMode="External"/><Relationship Id="rId1380" Type="http://schemas.openxmlformats.org/officeDocument/2006/relationships/hyperlink" Target="https://assets.vans.eu/images/VN000PK3BLK-HERO/1" TargetMode="External"/><Relationship Id="rId2017" Type="http://schemas.openxmlformats.org/officeDocument/2006/relationships/hyperlink" Target="https://assets.vans.eu/images/VN000QAREN6-HERO/1" TargetMode="External"/><Relationship Id="rId2224" Type="http://schemas.openxmlformats.org/officeDocument/2006/relationships/hyperlink" Target="https://assets.vans.eu/images/VN000PDREN7-HERO/1" TargetMode="External"/><Relationship Id="rId2669" Type="http://schemas.openxmlformats.org/officeDocument/2006/relationships/hyperlink" Target="https://assets.vans.eu/images/VN000D6W7D6-HERO/1" TargetMode="External"/><Relationship Id="rId2876" Type="http://schemas.openxmlformats.org/officeDocument/2006/relationships/hyperlink" Target="https://assets.vans.eu/images/VN000HST9JC-HERO/1" TargetMode="External"/><Relationship Id="rId3622" Type="http://schemas.openxmlformats.org/officeDocument/2006/relationships/hyperlink" Target="https://assets.vans.eu/images/VN0A36MZADY-HERO/1" TargetMode="External"/><Relationship Id="rId3927" Type="http://schemas.openxmlformats.org/officeDocument/2006/relationships/hyperlink" Target="https://assets.vans.eu/images/VN000CVVCRM-HERO/1" TargetMode="External"/><Relationship Id="rId5075" Type="http://schemas.openxmlformats.org/officeDocument/2006/relationships/hyperlink" Target="https://assets.vans.eu/images/VN0A5KQZYY4-HERO/1" TargetMode="External"/><Relationship Id="rId403" Type="http://schemas.openxmlformats.org/officeDocument/2006/relationships/hyperlink" Target="https://assets.vans.eu/images/VN0A2YR714A-HERO/1" TargetMode="External"/><Relationship Id="rId750" Type="http://schemas.openxmlformats.org/officeDocument/2006/relationships/hyperlink" Target="https://assets.vans.eu/images/VN000D0HBMV-HERO/1" TargetMode="External"/><Relationship Id="rId848" Type="http://schemas.openxmlformats.org/officeDocument/2006/relationships/hyperlink" Target="https://assets.vans.eu/images/VN000D61BOC-HERO/1" TargetMode="External"/><Relationship Id="rId1033" Type="http://schemas.openxmlformats.org/officeDocument/2006/relationships/hyperlink" Target="https://assets.vans.eu/images/VN000Q67EMX-HERO/1" TargetMode="External"/><Relationship Id="rId1478" Type="http://schemas.openxmlformats.org/officeDocument/2006/relationships/hyperlink" Target="https://assets.vans.eu/images/VN000CZ7BLA-HERO/1" TargetMode="External"/><Relationship Id="rId1685" Type="http://schemas.openxmlformats.org/officeDocument/2006/relationships/hyperlink" Target="https://assets.vans.eu/images/VN000NWQWHT-HERO/1" TargetMode="External"/><Relationship Id="rId1892" Type="http://schemas.openxmlformats.org/officeDocument/2006/relationships/hyperlink" Target="https://assets.vans.eu/images/VN000D4NBZW-HERO/1" TargetMode="External"/><Relationship Id="rId2431" Type="http://schemas.openxmlformats.org/officeDocument/2006/relationships/hyperlink" Target="https://assets.vans.eu/images/VN000BWB0VW-HERO/1" TargetMode="External"/><Relationship Id="rId2529" Type="http://schemas.openxmlformats.org/officeDocument/2006/relationships/hyperlink" Target="https://assets.vans.eu/images/VN000CZ7EMW-HERO/1" TargetMode="External"/><Relationship Id="rId2736" Type="http://schemas.openxmlformats.org/officeDocument/2006/relationships/hyperlink" Target="https://assets.vans.eu/images/VN000DAMLM3-HERO/1" TargetMode="External"/><Relationship Id="rId4091" Type="http://schemas.openxmlformats.org/officeDocument/2006/relationships/hyperlink" Target="https://assets.vans.eu/images/VN000D1HPRP-HERO/1" TargetMode="External"/><Relationship Id="rId4189" Type="http://schemas.openxmlformats.org/officeDocument/2006/relationships/hyperlink" Target="https://assets.vans.eu/images/VN000D26NVY-HERO/1" TargetMode="External"/><Relationship Id="rId610" Type="http://schemas.openxmlformats.org/officeDocument/2006/relationships/hyperlink" Target="https://assets.vans.eu/images/VN000PK1EMW-HERO/1" TargetMode="External"/><Relationship Id="rId708" Type="http://schemas.openxmlformats.org/officeDocument/2006/relationships/hyperlink" Target="https://assets.vans.eu/images/VN000HZABLK-HERO/1" TargetMode="External"/><Relationship Id="rId915" Type="http://schemas.openxmlformats.org/officeDocument/2006/relationships/hyperlink" Target="https://assets.vans.eu/images/VN000R92FBG-HERO/1" TargetMode="External"/><Relationship Id="rId1240" Type="http://schemas.openxmlformats.org/officeDocument/2006/relationships/hyperlink" Target="https://assets.vans.eu/images/VN000D0S1NU-HERO/1" TargetMode="External"/><Relationship Id="rId1338" Type="http://schemas.openxmlformats.org/officeDocument/2006/relationships/hyperlink" Target="https://assets.vans.eu/images/VN000M8UBLK-HERO/1" TargetMode="External"/><Relationship Id="rId1545" Type="http://schemas.openxmlformats.org/officeDocument/2006/relationships/hyperlink" Target="https://assets.vans.eu/images/VN000DCEBRD-HERO/1" TargetMode="External"/><Relationship Id="rId2943" Type="http://schemas.openxmlformats.org/officeDocument/2006/relationships/hyperlink" Target="https://assets.vans.eu/images/VN000G3JD3Z-HERO/1" TargetMode="External"/><Relationship Id="rId4049" Type="http://schemas.openxmlformats.org/officeDocument/2006/relationships/hyperlink" Target="https://assets.vans.eu/images/VN000D1011E-HERO/1" TargetMode="External"/><Relationship Id="rId4396" Type="http://schemas.openxmlformats.org/officeDocument/2006/relationships/hyperlink" Target="https://assets.vans.eu/images/VN000D6YEMW-HERO/1" TargetMode="External"/><Relationship Id="rId5002" Type="http://schemas.openxmlformats.org/officeDocument/2006/relationships/hyperlink" Target="https://assets.vans.eu/images/VN000EEBBO5-HERO/1" TargetMode="External"/><Relationship Id="rId1100" Type="http://schemas.openxmlformats.org/officeDocument/2006/relationships/hyperlink" Target="https://assets.vans.eu/images/VN000HSUY7X-HERO/1" TargetMode="External"/><Relationship Id="rId1405" Type="http://schemas.openxmlformats.org/officeDocument/2006/relationships/hyperlink" Target="https://assets.vans.eu/images/VN000Q53EMS-HERO/1" TargetMode="External"/><Relationship Id="rId1752" Type="http://schemas.openxmlformats.org/officeDocument/2006/relationships/hyperlink" Target="https://assets.vans.eu/images/VN000PWVEMW-HERO/1" TargetMode="External"/><Relationship Id="rId2803" Type="http://schemas.openxmlformats.org/officeDocument/2006/relationships/hyperlink" Target="https://assets.vans.eu/images/VN000EDN7D6-HERO/1" TargetMode="External"/><Relationship Id="rId4256" Type="http://schemas.openxmlformats.org/officeDocument/2006/relationships/hyperlink" Target="https://assets.vans.eu/images/VN000D4NBZW-HERO/1" TargetMode="External"/><Relationship Id="rId4463" Type="http://schemas.openxmlformats.org/officeDocument/2006/relationships/hyperlink" Target="https://assets.vans.eu/images/VN000D8NBKA-HERO/1" TargetMode="External"/><Relationship Id="rId4670" Type="http://schemas.openxmlformats.org/officeDocument/2006/relationships/hyperlink" Target="https://assets.vans.eu/images/VN000S65ZS6-HERO/1" TargetMode="External"/><Relationship Id="rId44" Type="http://schemas.openxmlformats.org/officeDocument/2006/relationships/hyperlink" Target="https://assets.vans.eu/images/VN000QBPWHT-HERO/1" TargetMode="External"/><Relationship Id="rId1612" Type="http://schemas.openxmlformats.org/officeDocument/2006/relationships/hyperlink" Target="https://assets.vans.eu/images/VN000GDFBLK-HERO/1" TargetMode="External"/><Relationship Id="rId1917" Type="http://schemas.openxmlformats.org/officeDocument/2006/relationships/hyperlink" Target="https://assets.vans.eu/images/VN000D6WCJJ-HERO/1" TargetMode="External"/><Relationship Id="rId3065" Type="http://schemas.openxmlformats.org/officeDocument/2006/relationships/hyperlink" Target="https://assets.vans.eu/images/VN000JPNBLK-HERO/1" TargetMode="External"/><Relationship Id="rId3272" Type="http://schemas.openxmlformats.org/officeDocument/2006/relationships/hyperlink" Target="https://assets.vans.eu/images/VN000P51O32-HERO/1" TargetMode="External"/><Relationship Id="rId4116" Type="http://schemas.openxmlformats.org/officeDocument/2006/relationships/hyperlink" Target="https://assets.vans.eu/images/VN000D1JJDU-HERO/1" TargetMode="External"/><Relationship Id="rId4323" Type="http://schemas.openxmlformats.org/officeDocument/2006/relationships/hyperlink" Target="https://assets.vans.eu/images/VN000D6FBF0-HERO/1" TargetMode="External"/><Relationship Id="rId4530" Type="http://schemas.openxmlformats.org/officeDocument/2006/relationships/hyperlink" Target="https://assets.vans.eu/images/VN000DAH7WM-HERO/1" TargetMode="External"/><Relationship Id="rId4768" Type="http://schemas.openxmlformats.org/officeDocument/2006/relationships/hyperlink" Target="https://assets.vans.eu/images/VN0A5HZY6J6-HERO/1" TargetMode="External"/><Relationship Id="rId4975" Type="http://schemas.openxmlformats.org/officeDocument/2006/relationships/hyperlink" Target="https://assets.vans.eu/images/VN000D85Y52-HERO/1" TargetMode="External"/><Relationship Id="rId193" Type="http://schemas.openxmlformats.org/officeDocument/2006/relationships/hyperlink" Target="https://assets.vans.eu/images/VN000QA1BRD-HERO/1" TargetMode="External"/><Relationship Id="rId498" Type="http://schemas.openxmlformats.org/officeDocument/2006/relationships/hyperlink" Target="https://assets.vans.eu/images/VN000D6ZO3N-HERO/1" TargetMode="External"/><Relationship Id="rId2081" Type="http://schemas.openxmlformats.org/officeDocument/2006/relationships/hyperlink" Target="https://assets.vans.eu/images/VN000JT37W6-HERO/1" TargetMode="External"/><Relationship Id="rId2179" Type="http://schemas.openxmlformats.org/officeDocument/2006/relationships/hyperlink" Target="https://assets.vans.eu/images/VN000P21EMU-HERO/1" TargetMode="External"/><Relationship Id="rId3132" Type="http://schemas.openxmlformats.org/officeDocument/2006/relationships/hyperlink" Target="https://assets.vans.eu/images/VN000M39DZ9-HERO/1" TargetMode="External"/><Relationship Id="rId3577" Type="http://schemas.openxmlformats.org/officeDocument/2006/relationships/hyperlink" Target="https://assets.vans.eu/images/VN000RCEFCT-HERO/1" TargetMode="External"/><Relationship Id="rId3784" Type="http://schemas.openxmlformats.org/officeDocument/2006/relationships/hyperlink" Target="https://assets.vans.eu/images/VN000CQ0BRO-HERO/1" TargetMode="External"/><Relationship Id="rId3991" Type="http://schemas.openxmlformats.org/officeDocument/2006/relationships/hyperlink" Target="https://assets.vans.eu/images/VN000CYU4Y4-HERO/1" TargetMode="External"/><Relationship Id="rId4628" Type="http://schemas.openxmlformats.org/officeDocument/2006/relationships/hyperlink" Target="https://assets.vans.eu/images/VN000E9XSLV-HERO/1" TargetMode="External"/><Relationship Id="rId4835" Type="http://schemas.openxmlformats.org/officeDocument/2006/relationships/hyperlink" Target="https://assets.vans.eu/images/VN000EEBBO5-HERO/1" TargetMode="External"/><Relationship Id="rId260" Type="http://schemas.openxmlformats.org/officeDocument/2006/relationships/hyperlink" Target="https://assets.vans.eu/images/VN000M6ZZBF-HERO/1" TargetMode="External"/><Relationship Id="rId2386" Type="http://schemas.openxmlformats.org/officeDocument/2006/relationships/hyperlink" Target="https://assets.vans.eu/images/VN0A5KEZBLK-HERO/1" TargetMode="External"/><Relationship Id="rId2593" Type="http://schemas.openxmlformats.org/officeDocument/2006/relationships/hyperlink" Target="https://assets.vans.eu/images/VN000D22EMU-HERO/1" TargetMode="External"/><Relationship Id="rId3437" Type="http://schemas.openxmlformats.org/officeDocument/2006/relationships/hyperlink" Target="https://assets.vans.eu/images/VN000PMFENB-HERO/1" TargetMode="External"/><Relationship Id="rId3644" Type="http://schemas.openxmlformats.org/officeDocument/2006/relationships/hyperlink" Target="https://assets.vans.eu/images/VN0A49OYBLK-HERO/1" TargetMode="External"/><Relationship Id="rId3851" Type="http://schemas.openxmlformats.org/officeDocument/2006/relationships/hyperlink" Target="https://assets.vans.eu/images/VN000CTGRV2-HERO/1" TargetMode="External"/><Relationship Id="rId4902" Type="http://schemas.openxmlformats.org/officeDocument/2006/relationships/hyperlink" Target="https://assets.vans.eu/images/VN0A2Z3HGLD-HERO/1" TargetMode="External"/><Relationship Id="rId120" Type="http://schemas.openxmlformats.org/officeDocument/2006/relationships/hyperlink" Target="https://assets.vans.eu/images/VN000KXMY7U-HERO/1" TargetMode="External"/><Relationship Id="rId358" Type="http://schemas.openxmlformats.org/officeDocument/2006/relationships/hyperlink" Target="https://assets.vans.eu/images/VN000D0HKCZ-HERO/1" TargetMode="External"/><Relationship Id="rId565" Type="http://schemas.openxmlformats.org/officeDocument/2006/relationships/hyperlink" Target="https://assets.vans.eu/images/VN000RG41QI-HERO/1" TargetMode="External"/><Relationship Id="rId772" Type="http://schemas.openxmlformats.org/officeDocument/2006/relationships/hyperlink" Target="https://assets.vans.eu/images/VN0008NNLKZ-HERO/1" TargetMode="External"/><Relationship Id="rId1195" Type="http://schemas.openxmlformats.org/officeDocument/2006/relationships/hyperlink" Target="https://assets.vans.eu/images/VN000R742N1-HERO/1" TargetMode="External"/><Relationship Id="rId2039" Type="http://schemas.openxmlformats.org/officeDocument/2006/relationships/hyperlink" Target="https://assets.vans.eu/images/VN0008KUJDU-HERO/1" TargetMode="External"/><Relationship Id="rId2246" Type="http://schemas.openxmlformats.org/officeDocument/2006/relationships/hyperlink" Target="https://assets.vans.eu/images/VN000PJ7BLK-HERO/1" TargetMode="External"/><Relationship Id="rId2453" Type="http://schemas.openxmlformats.org/officeDocument/2006/relationships/hyperlink" Target="https://assets.vans.eu/images/VN000CQ0Y09-HERO/1" TargetMode="External"/><Relationship Id="rId2660" Type="http://schemas.openxmlformats.org/officeDocument/2006/relationships/hyperlink" Target="https://assets.vans.eu/images/VN000D6FY49-HERO/1" TargetMode="External"/><Relationship Id="rId2898" Type="http://schemas.openxmlformats.org/officeDocument/2006/relationships/hyperlink" Target="https://assets.vans.eu/images/VN000TL5WHT-HERO/1" TargetMode="External"/><Relationship Id="rId3504" Type="http://schemas.openxmlformats.org/officeDocument/2006/relationships/hyperlink" Target="https://assets.vans.eu/images/VN000Q3002F-HERO/1" TargetMode="External"/><Relationship Id="rId3711" Type="http://schemas.openxmlformats.org/officeDocument/2006/relationships/hyperlink" Target="https://assets.vans.eu/images/VN0009Q7YY6-HERO/1" TargetMode="External"/><Relationship Id="rId3949" Type="http://schemas.openxmlformats.org/officeDocument/2006/relationships/hyperlink" Target="https://assets.vans.eu/images/VN000CVVF87-HERO/1" TargetMode="External"/><Relationship Id="rId218" Type="http://schemas.openxmlformats.org/officeDocument/2006/relationships/hyperlink" Target="https://assets.vans.eu/images/VN000M3GJDU-HERO/1" TargetMode="External"/><Relationship Id="rId425" Type="http://schemas.openxmlformats.org/officeDocument/2006/relationships/hyperlink" Target="https://assets.vans.eu/images/VN000E9YBGP-HERO/1" TargetMode="External"/><Relationship Id="rId632" Type="http://schemas.openxmlformats.org/officeDocument/2006/relationships/hyperlink" Target="https://assets.vans.eu/images/VN000D4MYB2-HERO/1" TargetMode="External"/><Relationship Id="rId1055" Type="http://schemas.openxmlformats.org/officeDocument/2006/relationships/hyperlink" Target="https://assets.vans.eu/images/VN0007P9CL2-HERO/1" TargetMode="External"/><Relationship Id="rId1262" Type="http://schemas.openxmlformats.org/officeDocument/2006/relationships/hyperlink" Target="https://assets.vans.eu/images/VN000D6YEZI-HERO/1" TargetMode="External"/><Relationship Id="rId2106" Type="http://schemas.openxmlformats.org/officeDocument/2006/relationships/hyperlink" Target="https://assets.vans.eu/images/VN000M2P1O7-HERO/1" TargetMode="External"/><Relationship Id="rId2313" Type="http://schemas.openxmlformats.org/officeDocument/2006/relationships/hyperlink" Target="https://assets.vans.eu/images/VN000PY4WHT-HERO/1" TargetMode="External"/><Relationship Id="rId2520" Type="http://schemas.openxmlformats.org/officeDocument/2006/relationships/hyperlink" Target="https://assets.vans.eu/images/VN000CYU4QU-HERO/1" TargetMode="External"/><Relationship Id="rId2758" Type="http://schemas.openxmlformats.org/officeDocument/2006/relationships/hyperlink" Target="https://assets.vans.eu/images/VN000DARC9F-HERO/1" TargetMode="External"/><Relationship Id="rId2965" Type="http://schemas.openxmlformats.org/officeDocument/2006/relationships/hyperlink" Target="https://assets.vans.eu/images/VN000GCBBLK-HERO/1" TargetMode="External"/><Relationship Id="rId3809" Type="http://schemas.openxmlformats.org/officeDocument/2006/relationships/hyperlink" Target="https://assets.vans.eu/images/VN000CQRO3N-HERO/1" TargetMode="External"/><Relationship Id="rId5024" Type="http://schemas.openxmlformats.org/officeDocument/2006/relationships/hyperlink" Target="https://assets.vans.eu/images/VN0A2Z34B0Z-HERO/1" TargetMode="External"/><Relationship Id="rId937" Type="http://schemas.openxmlformats.org/officeDocument/2006/relationships/hyperlink" Target="https://assets.vans.eu/images/VN000CWECRM-HERO/1" TargetMode="External"/><Relationship Id="rId1122" Type="http://schemas.openxmlformats.org/officeDocument/2006/relationships/hyperlink" Target="https://assets.vans.eu/images/VN000HZBYEH-HERO/1" TargetMode="External"/><Relationship Id="rId1567" Type="http://schemas.openxmlformats.org/officeDocument/2006/relationships/hyperlink" Target="https://assets.vans.eu/images/VN0A5JLTJBW-HERO/1" TargetMode="External"/><Relationship Id="rId1774" Type="http://schemas.openxmlformats.org/officeDocument/2006/relationships/hyperlink" Target="https://assets.vans.eu/images/VN000Q74EN6-HERO/1" TargetMode="External"/><Relationship Id="rId1981" Type="http://schemas.openxmlformats.org/officeDocument/2006/relationships/hyperlink" Target="https://assets.vans.eu/images/VN000VB4CJK-HERO/1" TargetMode="External"/><Relationship Id="rId2618" Type="http://schemas.openxmlformats.org/officeDocument/2006/relationships/hyperlink" Target="https://assets.vans.eu/images/VN000D4NBZW-HERO/1" TargetMode="External"/><Relationship Id="rId2825" Type="http://schemas.openxmlformats.org/officeDocument/2006/relationships/hyperlink" Target="https://assets.vans.eu/images/VN0A3TKN6BT-HERO/1" TargetMode="External"/><Relationship Id="rId4180" Type="http://schemas.openxmlformats.org/officeDocument/2006/relationships/hyperlink" Target="https://assets.vans.eu/images/VN000D26JDU-HERO/1" TargetMode="External"/><Relationship Id="rId4278" Type="http://schemas.openxmlformats.org/officeDocument/2006/relationships/hyperlink" Target="https://assets.vans.eu/images/VN000D5R9DH-HERO/1" TargetMode="External"/><Relationship Id="rId4485" Type="http://schemas.openxmlformats.org/officeDocument/2006/relationships/hyperlink" Target="https://assets.vans.eu/images/VN000D9YRV2-HERO/1" TargetMode="External"/><Relationship Id="rId66" Type="http://schemas.openxmlformats.org/officeDocument/2006/relationships/hyperlink" Target="https://assets.vans.eu/images/VN000R32EN7-HERO/1" TargetMode="External"/><Relationship Id="rId1427" Type="http://schemas.openxmlformats.org/officeDocument/2006/relationships/hyperlink" Target="https://assets.vans.eu/images/VN0A3CZEC9L-HERO/1" TargetMode="External"/><Relationship Id="rId1634" Type="http://schemas.openxmlformats.org/officeDocument/2006/relationships/hyperlink" Target="https://assets.vans.eu/images/VN000JBEBLK-HERO/1" TargetMode="External"/><Relationship Id="rId1841" Type="http://schemas.openxmlformats.org/officeDocument/2006/relationships/hyperlink" Target="https://assets.vans.eu/images/VN000CVTUOV-HERO/1" TargetMode="External"/><Relationship Id="rId3087" Type="http://schemas.openxmlformats.org/officeDocument/2006/relationships/hyperlink" Target="https://assets.vans.eu/images/VN000K98BLK-HERO/1" TargetMode="External"/><Relationship Id="rId3294" Type="http://schemas.openxmlformats.org/officeDocument/2006/relationships/hyperlink" Target="https://assets.vans.eu/images/VN000P58ZUJ-HERO/1" TargetMode="External"/><Relationship Id="rId4040" Type="http://schemas.openxmlformats.org/officeDocument/2006/relationships/hyperlink" Target="https://assets.vans.eu/images/VN000D0PEMW-HERO/1" TargetMode="External"/><Relationship Id="rId4138" Type="http://schemas.openxmlformats.org/officeDocument/2006/relationships/hyperlink" Target="https://assets.vans.eu/images/VN000D1JY23-HERO/1" TargetMode="External"/><Relationship Id="rId4345" Type="http://schemas.openxmlformats.org/officeDocument/2006/relationships/hyperlink" Target="https://assets.vans.eu/images/VN000D6N24O-HERO/1" TargetMode="External"/><Relationship Id="rId4692" Type="http://schemas.openxmlformats.org/officeDocument/2006/relationships/hyperlink" Target="https://assets.vans.eu/images/VN0A2Z3I1CI-HERO/1" TargetMode="External"/><Relationship Id="rId4997" Type="http://schemas.openxmlformats.org/officeDocument/2006/relationships/hyperlink" Target="https://assets.vans.eu/images/VN000EDNBJB-HERO/1" TargetMode="External"/><Relationship Id="rId1939" Type="http://schemas.openxmlformats.org/officeDocument/2006/relationships/hyperlink" Target="https://assets.vans.eu/images/VN000D8NZ5D-HERO/1" TargetMode="External"/><Relationship Id="rId3599" Type="http://schemas.openxmlformats.org/officeDocument/2006/relationships/hyperlink" Target="https://assets.vans.eu/images/VN000RG4BLK-HERO/1" TargetMode="External"/><Relationship Id="rId4552" Type="http://schemas.openxmlformats.org/officeDocument/2006/relationships/hyperlink" Target="https://assets.vans.eu/images/VN000DAQ9DH-HERO/1" TargetMode="External"/><Relationship Id="rId4857" Type="http://schemas.openxmlformats.org/officeDocument/2006/relationships/hyperlink" Target="https://assets.vans.eu/images/VN000D9ZRBG-HERO/1" TargetMode="External"/><Relationship Id="rId1701" Type="http://schemas.openxmlformats.org/officeDocument/2006/relationships/hyperlink" Target="https://assets.vans.eu/images/VN000P5SEMW-HERO/1" TargetMode="External"/><Relationship Id="rId3154" Type="http://schemas.openxmlformats.org/officeDocument/2006/relationships/hyperlink" Target="https://assets.vans.eu/images/VN000M8JY28-HERO/1" TargetMode="External"/><Relationship Id="rId3361" Type="http://schemas.openxmlformats.org/officeDocument/2006/relationships/hyperlink" Target="https://assets.vans.eu/images/VN000PCWEMT-HERO/1" TargetMode="External"/><Relationship Id="rId3459" Type="http://schemas.openxmlformats.org/officeDocument/2006/relationships/hyperlink" Target="https://assets.vans.eu/images/VN000PR2BLK-HERO/1" TargetMode="External"/><Relationship Id="rId3666" Type="http://schemas.openxmlformats.org/officeDocument/2006/relationships/hyperlink" Target="https://assets.vans.eu/images/VN0A5FNVBR1-HERO/1" TargetMode="External"/><Relationship Id="rId4205" Type="http://schemas.openxmlformats.org/officeDocument/2006/relationships/hyperlink" Target="https://assets.vans.eu/images/VN000D2CBA2-HERO/1" TargetMode="External"/><Relationship Id="rId4412" Type="http://schemas.openxmlformats.org/officeDocument/2006/relationships/hyperlink" Target="https://assets.vans.eu/images/VN000D6ZEMW-HERO/1" TargetMode="External"/><Relationship Id="rId282" Type="http://schemas.openxmlformats.org/officeDocument/2006/relationships/hyperlink" Target="https://assets.vans.eu/images/VN000CQRO3N-HERO/1" TargetMode="External"/><Relationship Id="rId587" Type="http://schemas.openxmlformats.org/officeDocument/2006/relationships/hyperlink" Target="https://assets.vans.eu/images/VN00066X6PH-HERO/1" TargetMode="External"/><Relationship Id="rId2170" Type="http://schemas.openxmlformats.org/officeDocument/2006/relationships/hyperlink" Target="https://assets.vans.eu/images/VN000P1P4MG-HERO/1" TargetMode="External"/><Relationship Id="rId2268" Type="http://schemas.openxmlformats.org/officeDocument/2006/relationships/hyperlink" Target="https://assets.vans.eu/images/VN000PMDEMW-HERO/1" TargetMode="External"/><Relationship Id="rId3014" Type="http://schemas.openxmlformats.org/officeDocument/2006/relationships/hyperlink" Target="https://assets.vans.eu/images/VN000HNTDAD-HERO/1" TargetMode="External"/><Relationship Id="rId3221" Type="http://schemas.openxmlformats.org/officeDocument/2006/relationships/hyperlink" Target="https://assets.vans.eu/images/VN000MM1WHT-HERO/1" TargetMode="External"/><Relationship Id="rId3319" Type="http://schemas.openxmlformats.org/officeDocument/2006/relationships/hyperlink" Target="https://assets.vans.eu/images/VN000P84EMV-HERO/1" TargetMode="External"/><Relationship Id="rId3873" Type="http://schemas.openxmlformats.org/officeDocument/2006/relationships/hyperlink" Target="https://assets.vans.eu/images/VN000CVNBH4-HERO/1" TargetMode="External"/><Relationship Id="rId4717" Type="http://schemas.openxmlformats.org/officeDocument/2006/relationships/hyperlink" Target="https://assets.vans.eu/images/VN0A4BTWVLV-HERO/1" TargetMode="External"/><Relationship Id="rId4924" Type="http://schemas.openxmlformats.org/officeDocument/2006/relationships/hyperlink" Target="https://assets.vans.eu/images/VN000CVURV2-HERO/1" TargetMode="External"/><Relationship Id="rId8" Type="http://schemas.openxmlformats.org/officeDocument/2006/relationships/hyperlink" Target="https://assets.vans.eu/images/VN000R32BFM-HERO/1" TargetMode="External"/><Relationship Id="rId142" Type="http://schemas.openxmlformats.org/officeDocument/2006/relationships/hyperlink" Target="https://assets.vans.eu/images/VN000GMYCLH-HERO/1" TargetMode="External"/><Relationship Id="rId447" Type="http://schemas.openxmlformats.org/officeDocument/2006/relationships/hyperlink" Target="https://assets.vans.eu/images/VN000SN6EMU-HERO/1" TargetMode="External"/><Relationship Id="rId794" Type="http://schemas.openxmlformats.org/officeDocument/2006/relationships/hyperlink" Target="https://assets.vans.eu/images/VN000MK6WHT-HERO/1" TargetMode="External"/><Relationship Id="rId1077" Type="http://schemas.openxmlformats.org/officeDocument/2006/relationships/hyperlink" Target="https://assets.vans.eu/images/VN000D6ZEMW-HERO/1" TargetMode="External"/><Relationship Id="rId2030" Type="http://schemas.openxmlformats.org/officeDocument/2006/relationships/hyperlink" Target="https://assets.vans.eu/images/VN0002QQYB2-HERO/1" TargetMode="External"/><Relationship Id="rId2128" Type="http://schemas.openxmlformats.org/officeDocument/2006/relationships/hyperlink" Target="https://assets.vans.eu/images/VN000M9SEMJ-HERO/1" TargetMode="External"/><Relationship Id="rId2475" Type="http://schemas.openxmlformats.org/officeDocument/2006/relationships/hyperlink" Target="https://assets.vans.eu/images/VN000CTGREB-HERO/1" TargetMode="External"/><Relationship Id="rId2682" Type="http://schemas.openxmlformats.org/officeDocument/2006/relationships/hyperlink" Target="https://assets.vans.eu/images/VN000D6YEMY-HERO/1" TargetMode="External"/><Relationship Id="rId2987" Type="http://schemas.openxmlformats.org/officeDocument/2006/relationships/hyperlink" Target="https://assets.vans.eu/images/VN000HANCDX-HERO/1" TargetMode="External"/><Relationship Id="rId3526" Type="http://schemas.openxmlformats.org/officeDocument/2006/relationships/hyperlink" Target="https://assets.vans.eu/images/VN000Q74EN6-HERO/1" TargetMode="External"/><Relationship Id="rId3733" Type="http://schemas.openxmlformats.org/officeDocument/2006/relationships/hyperlink" Target="https://assets.vans.eu/images/VN000BCE0HS-HERO/1" TargetMode="External"/><Relationship Id="rId3940" Type="http://schemas.openxmlformats.org/officeDocument/2006/relationships/hyperlink" Target="https://assets.vans.eu/images/VN000CVVF87-HERO/1" TargetMode="External"/><Relationship Id="rId654" Type="http://schemas.openxmlformats.org/officeDocument/2006/relationships/hyperlink" Target="https://assets.vans.eu/images/VN000M8EBL2-HERO/1" TargetMode="External"/><Relationship Id="rId861" Type="http://schemas.openxmlformats.org/officeDocument/2006/relationships/hyperlink" Target="https://assets.vans.eu/images/VN000EDNAH9-HERO/1" TargetMode="External"/><Relationship Id="rId959" Type="http://schemas.openxmlformats.org/officeDocument/2006/relationships/hyperlink" Target="https://assets.vans.eu/images/VN000D6WYY6-HERO/1" TargetMode="External"/><Relationship Id="rId1284" Type="http://schemas.openxmlformats.org/officeDocument/2006/relationships/hyperlink" Target="https://assets.vans.eu/images/VN0A5FCB1N6-HERO/1" TargetMode="External"/><Relationship Id="rId1491" Type="http://schemas.openxmlformats.org/officeDocument/2006/relationships/hyperlink" Target="https://assets.vans.eu/images/VN000D11N1Z-HERO/1" TargetMode="External"/><Relationship Id="rId1589" Type="http://schemas.openxmlformats.org/officeDocument/2006/relationships/hyperlink" Target="https://assets.vans.eu/images/VN000QBM7UG-HERO/1" TargetMode="External"/><Relationship Id="rId2335" Type="http://schemas.openxmlformats.org/officeDocument/2006/relationships/hyperlink" Target="https://assets.vans.eu/images/VN000R7AY28-HERO/1" TargetMode="External"/><Relationship Id="rId2542" Type="http://schemas.openxmlformats.org/officeDocument/2006/relationships/hyperlink" Target="https://assets.vans.eu/images/VN000D0HKCZ-HERO/1" TargetMode="External"/><Relationship Id="rId3800" Type="http://schemas.openxmlformats.org/officeDocument/2006/relationships/hyperlink" Target="https://assets.vans.eu/images/VN000CQ9KAQ-HERO/1" TargetMode="External"/><Relationship Id="rId5046" Type="http://schemas.openxmlformats.org/officeDocument/2006/relationships/hyperlink" Target="https://assets.vans.eu/images/VN0A2Z3NY40-HERO/1" TargetMode="External"/><Relationship Id="rId307" Type="http://schemas.openxmlformats.org/officeDocument/2006/relationships/hyperlink" Target="https://assets.vans.eu/images/VN000HZCBLK-HERO/1" TargetMode="External"/><Relationship Id="rId514" Type="http://schemas.openxmlformats.org/officeDocument/2006/relationships/hyperlink" Target="https://assets.vans.eu/images/VN000HJV7D6-HERO/1" TargetMode="External"/><Relationship Id="rId721" Type="http://schemas.openxmlformats.org/officeDocument/2006/relationships/hyperlink" Target="https://assets.vans.eu/images/VN000PK1BLK-HERO/1" TargetMode="External"/><Relationship Id="rId1144" Type="http://schemas.openxmlformats.org/officeDocument/2006/relationships/hyperlink" Target="https://assets.vans.eu/images/VN000MC0WHT-HERO/1" TargetMode="External"/><Relationship Id="rId1351" Type="http://schemas.openxmlformats.org/officeDocument/2006/relationships/hyperlink" Target="https://assets.vans.eu/images/VN000P51EMS-HERO/1" TargetMode="External"/><Relationship Id="rId1449" Type="http://schemas.openxmlformats.org/officeDocument/2006/relationships/hyperlink" Target="https://assets.vans.eu/images/VN000CQRO3N-HERO/1" TargetMode="External"/><Relationship Id="rId1796" Type="http://schemas.openxmlformats.org/officeDocument/2006/relationships/hyperlink" Target="https://assets.vans.eu/images/VN000RAPFS8-HERO/1" TargetMode="External"/><Relationship Id="rId2402" Type="http://schemas.openxmlformats.org/officeDocument/2006/relationships/hyperlink" Target="https://assets.vans.eu/images/VN0005UFBLL-HERO/1" TargetMode="External"/><Relationship Id="rId2847" Type="http://schemas.openxmlformats.org/officeDocument/2006/relationships/hyperlink" Target="https://assets.vans.eu/images/VN0A5KYCPBQ-HERO/1" TargetMode="External"/><Relationship Id="rId4062" Type="http://schemas.openxmlformats.org/officeDocument/2006/relationships/hyperlink" Target="https://assets.vans.eu/images/VN000D1111E-HERO/1" TargetMode="External"/><Relationship Id="rId88" Type="http://schemas.openxmlformats.org/officeDocument/2006/relationships/hyperlink" Target="https://assets.vans.eu/images/VN0A5HF8BLK-HERO/1" TargetMode="External"/><Relationship Id="rId819" Type="http://schemas.openxmlformats.org/officeDocument/2006/relationships/hyperlink" Target="https://assets.vans.eu/images/VN000R8XBLK-HERO/1" TargetMode="External"/><Relationship Id="rId1004" Type="http://schemas.openxmlformats.org/officeDocument/2006/relationships/hyperlink" Target="https://assets.vans.eu/images/VN000M9KEB2-HERO/1" TargetMode="External"/><Relationship Id="rId1211" Type="http://schemas.openxmlformats.org/officeDocument/2006/relationships/hyperlink" Target="https://assets.vans.eu/images/VN000BCELLC-HERO/1" TargetMode="External"/><Relationship Id="rId1656" Type="http://schemas.openxmlformats.org/officeDocument/2006/relationships/hyperlink" Target="https://assets.vans.eu/images/VN000M8G1O7-HERO/1" TargetMode="External"/><Relationship Id="rId1863" Type="http://schemas.openxmlformats.org/officeDocument/2006/relationships/hyperlink" Target="https://assets.vans.eu/images/VN000D0KEN6-HERO/1" TargetMode="External"/><Relationship Id="rId2707" Type="http://schemas.openxmlformats.org/officeDocument/2006/relationships/hyperlink" Target="https://assets.vans.eu/images/VN000D83RNE-HERO/1" TargetMode="External"/><Relationship Id="rId2914" Type="http://schemas.openxmlformats.org/officeDocument/2006/relationships/hyperlink" Target="https://assets.vans.eu/images/VN0003P3ATA-HERO/1" TargetMode="External"/><Relationship Id="rId4367" Type="http://schemas.openxmlformats.org/officeDocument/2006/relationships/hyperlink" Target="https://assets.vans.eu/images/VN000D6W203-HERO/1" TargetMode="External"/><Relationship Id="rId4574" Type="http://schemas.openxmlformats.org/officeDocument/2006/relationships/hyperlink" Target="https://assets.vans.eu/images/VN000DAYF87-HERO/1" TargetMode="External"/><Relationship Id="rId4781" Type="http://schemas.openxmlformats.org/officeDocument/2006/relationships/hyperlink" Target="https://assets.vans.eu/images/VN0A5JMKBGF-HERO/1" TargetMode="External"/><Relationship Id="rId1309" Type="http://schemas.openxmlformats.org/officeDocument/2006/relationships/hyperlink" Target="https://assets.vans.eu/images/VN000G75D6Z-HERO/1" TargetMode="External"/><Relationship Id="rId1516" Type="http://schemas.openxmlformats.org/officeDocument/2006/relationships/hyperlink" Target="https://assets.vans.eu/images/VN000D6YEMY-HERO/1" TargetMode="External"/><Relationship Id="rId1723" Type="http://schemas.openxmlformats.org/officeDocument/2006/relationships/hyperlink" Target="https://assets.vans.eu/images/VN000PMABLK-HERO/1" TargetMode="External"/><Relationship Id="rId1930" Type="http://schemas.openxmlformats.org/officeDocument/2006/relationships/hyperlink" Target="https://assets.vans.eu/images/VN000D6ZO3N-HERO/1" TargetMode="External"/><Relationship Id="rId3176" Type="http://schemas.openxmlformats.org/officeDocument/2006/relationships/hyperlink" Target="https://assets.vans.eu/images/VN000MA2UUI-HERO/1" TargetMode="External"/><Relationship Id="rId3383" Type="http://schemas.openxmlformats.org/officeDocument/2006/relationships/hyperlink" Target="https://assets.vans.eu/images/VN000PEWEMU-HERO/1" TargetMode="External"/><Relationship Id="rId3590" Type="http://schemas.openxmlformats.org/officeDocument/2006/relationships/hyperlink" Target="https://assets.vans.eu/images/VN000REFWHT-HERO/1" TargetMode="External"/><Relationship Id="rId4227" Type="http://schemas.openxmlformats.org/officeDocument/2006/relationships/hyperlink" Target="https://assets.vans.eu/images/VN000D3QEMP-HERO/1" TargetMode="External"/><Relationship Id="rId4434" Type="http://schemas.openxmlformats.org/officeDocument/2006/relationships/hyperlink" Target="https://assets.vans.eu/images/VN000D7ZJDU-HERO/1" TargetMode="External"/><Relationship Id="rId4879" Type="http://schemas.openxmlformats.org/officeDocument/2006/relationships/hyperlink" Target="https://assets.vans.eu/images/VN000D1GK1O-HERO/1" TargetMode="External"/><Relationship Id="rId15" Type="http://schemas.openxmlformats.org/officeDocument/2006/relationships/hyperlink" Target="https://assets.vans.eu/images/VN000QCFEN6-HERO/1" TargetMode="External"/><Relationship Id="rId2192" Type="http://schemas.openxmlformats.org/officeDocument/2006/relationships/hyperlink" Target="https://assets.vans.eu/images/VN000P58EMW-HERO/1" TargetMode="External"/><Relationship Id="rId3036" Type="http://schemas.openxmlformats.org/officeDocument/2006/relationships/hyperlink" Target="https://assets.vans.eu/images/VN000HZCBLK-HERO/1" TargetMode="External"/><Relationship Id="rId3243" Type="http://schemas.openxmlformats.org/officeDocument/2006/relationships/hyperlink" Target="https://assets.vans.eu/images/VN000NZDC9L-HERO/1" TargetMode="External"/><Relationship Id="rId3688" Type="http://schemas.openxmlformats.org/officeDocument/2006/relationships/hyperlink" Target="https://assets.vans.eu/images/VN0005UFBLL-HERO/1" TargetMode="External"/><Relationship Id="rId3895" Type="http://schemas.openxmlformats.org/officeDocument/2006/relationships/hyperlink" Target="https://assets.vans.eu/images/VN000CVTI6Y-HERO/1" TargetMode="External"/><Relationship Id="rId4641" Type="http://schemas.openxmlformats.org/officeDocument/2006/relationships/hyperlink" Target="https://assets.vans.eu/images/VN000ECGBFC-HERO/1" TargetMode="External"/><Relationship Id="rId4739" Type="http://schemas.openxmlformats.org/officeDocument/2006/relationships/hyperlink" Target="https://assets.vans.eu/images/VN0A5FCAPIB-HERO/1" TargetMode="External"/><Relationship Id="rId4946" Type="http://schemas.openxmlformats.org/officeDocument/2006/relationships/hyperlink" Target="https://assets.vans.eu/images/VN000D1GYB2-HERO/1" TargetMode="External"/><Relationship Id="rId164" Type="http://schemas.openxmlformats.org/officeDocument/2006/relationships/hyperlink" Target="https://assets.vans.eu/images/VN000CVTWHP-HERO/1" TargetMode="External"/><Relationship Id="rId371" Type="http://schemas.openxmlformats.org/officeDocument/2006/relationships/hyperlink" Target="https://assets.vans.eu/images/VN000PBRBLK-HERO/1" TargetMode="External"/><Relationship Id="rId2052" Type="http://schemas.openxmlformats.org/officeDocument/2006/relationships/hyperlink" Target="https://assets.vans.eu/images/VN000GGC15P-HERO/1" TargetMode="External"/><Relationship Id="rId2497" Type="http://schemas.openxmlformats.org/officeDocument/2006/relationships/hyperlink" Target="https://assets.vans.eu/images/VN000CVUE2V-HERO/1" TargetMode="External"/><Relationship Id="rId3450" Type="http://schemas.openxmlformats.org/officeDocument/2006/relationships/hyperlink" Target="https://assets.vans.eu/images/VN000PPFEN9-HERO/1" TargetMode="External"/><Relationship Id="rId3548" Type="http://schemas.openxmlformats.org/officeDocument/2006/relationships/hyperlink" Target="https://assets.vans.eu/images/VN000R3FBLK-HERO/1" TargetMode="External"/><Relationship Id="rId3755" Type="http://schemas.openxmlformats.org/officeDocument/2006/relationships/hyperlink" Target="https://assets.vans.eu/images/VN000BVZ1NU-HERO/1" TargetMode="External"/><Relationship Id="rId4501" Type="http://schemas.openxmlformats.org/officeDocument/2006/relationships/hyperlink" Target="https://assets.vans.eu/images/VN000D9ZY27-HERO/1" TargetMode="External"/><Relationship Id="rId4806" Type="http://schemas.openxmlformats.org/officeDocument/2006/relationships/hyperlink" Target="https://assets.vans.eu/images/VN000EJTTC4-HERO/1" TargetMode="External"/><Relationship Id="rId469" Type="http://schemas.openxmlformats.org/officeDocument/2006/relationships/hyperlink" Target="https://assets.vans.eu/images/VN00061YCBK-HERO/1" TargetMode="External"/><Relationship Id="rId676" Type="http://schemas.openxmlformats.org/officeDocument/2006/relationships/hyperlink" Target="https://assets.vans.eu/images/VN0007P9EN9-HERO/1" TargetMode="External"/><Relationship Id="rId883" Type="http://schemas.openxmlformats.org/officeDocument/2006/relationships/hyperlink" Target="https://assets.vans.eu/images/VN000MB2EB2-HERO/1" TargetMode="External"/><Relationship Id="rId1099" Type="http://schemas.openxmlformats.org/officeDocument/2006/relationships/hyperlink" Target="https://assets.vans.eu/images/VN000HSQKOU-HERO/1" TargetMode="External"/><Relationship Id="rId2357" Type="http://schemas.openxmlformats.org/officeDocument/2006/relationships/hyperlink" Target="https://assets.vans.eu/images/VN000RFUBLK-HERO/1" TargetMode="External"/><Relationship Id="rId2564" Type="http://schemas.openxmlformats.org/officeDocument/2006/relationships/hyperlink" Target="https://assets.vans.eu/images/VN000D1011E-HERO/1" TargetMode="External"/><Relationship Id="rId3103" Type="http://schemas.openxmlformats.org/officeDocument/2006/relationships/hyperlink" Target="https://assets.vans.eu/images/VN000KUE02F-HERO/1" TargetMode="External"/><Relationship Id="rId3310" Type="http://schemas.openxmlformats.org/officeDocument/2006/relationships/hyperlink" Target="https://assets.vans.eu/images/VN000P77AFM-HERO/1" TargetMode="External"/><Relationship Id="rId3408" Type="http://schemas.openxmlformats.org/officeDocument/2006/relationships/hyperlink" Target="https://assets.vans.eu/images/VN000PJ7LKZ-HERO/1" TargetMode="External"/><Relationship Id="rId3615" Type="http://schemas.openxmlformats.org/officeDocument/2006/relationships/hyperlink" Target="https://assets.vans.eu/images/VN00104UEMS-HERO/1" TargetMode="External"/><Relationship Id="rId3962" Type="http://schemas.openxmlformats.org/officeDocument/2006/relationships/hyperlink" Target="https://assets.vans.eu/images/VN000CWEDRK-HERO/1" TargetMode="External"/><Relationship Id="rId5068" Type="http://schemas.openxmlformats.org/officeDocument/2006/relationships/hyperlink" Target="https://assets.vans.eu/images/VN0A5HF8PWT-HERO/1" TargetMode="External"/><Relationship Id="rId231" Type="http://schemas.openxmlformats.org/officeDocument/2006/relationships/hyperlink" Target="https://assets.vans.eu/images/VN000D0H11E-HERO/1" TargetMode="External"/><Relationship Id="rId329" Type="http://schemas.openxmlformats.org/officeDocument/2006/relationships/hyperlink" Target="https://assets.vans.eu/images/VN0007P9CL2-HERO/1" TargetMode="External"/><Relationship Id="rId536" Type="http://schemas.openxmlformats.org/officeDocument/2006/relationships/hyperlink" Target="https://assets.vans.eu/images/VN0A5HF8BLK-HERO/1" TargetMode="External"/><Relationship Id="rId1166" Type="http://schemas.openxmlformats.org/officeDocument/2006/relationships/hyperlink" Target="https://assets.vans.eu/images/VN000PFF2B6-HERO/1" TargetMode="External"/><Relationship Id="rId1373" Type="http://schemas.openxmlformats.org/officeDocument/2006/relationships/hyperlink" Target="https://assets.vans.eu/images/VN000PH6IYR-HERO/1" TargetMode="External"/><Relationship Id="rId2217" Type="http://schemas.openxmlformats.org/officeDocument/2006/relationships/hyperlink" Target="https://assets.vans.eu/images/VN000PCXEMS-HERO/1" TargetMode="External"/><Relationship Id="rId2771" Type="http://schemas.openxmlformats.org/officeDocument/2006/relationships/hyperlink" Target="https://assets.vans.eu/images/VN000E7UTC4-HERO/1" TargetMode="External"/><Relationship Id="rId2869" Type="http://schemas.openxmlformats.org/officeDocument/2006/relationships/hyperlink" Target="https://assets.vans.eu/images/VN000GM0BLK-HERO/1" TargetMode="External"/><Relationship Id="rId3822" Type="http://schemas.openxmlformats.org/officeDocument/2006/relationships/hyperlink" Target="https://assets.vans.eu/images/VN000CRRBJ4-HERO/1" TargetMode="External"/><Relationship Id="rId743" Type="http://schemas.openxmlformats.org/officeDocument/2006/relationships/hyperlink" Target="https://assets.vans.eu/images/VN000CQRB9M-HERO/1" TargetMode="External"/><Relationship Id="rId950" Type="http://schemas.openxmlformats.org/officeDocument/2006/relationships/hyperlink" Target="https://assets.vans.eu/images/VN000D1HWWW-HERO/1" TargetMode="External"/><Relationship Id="rId1026" Type="http://schemas.openxmlformats.org/officeDocument/2006/relationships/hyperlink" Target="https://assets.vans.eu/images/VN000PTBF0W-HERO/1" TargetMode="External"/><Relationship Id="rId1580" Type="http://schemas.openxmlformats.org/officeDocument/2006/relationships/hyperlink" Target="https://assets.vans.eu/images/VN000J4VRV2-HERO/1" TargetMode="External"/><Relationship Id="rId1678" Type="http://schemas.openxmlformats.org/officeDocument/2006/relationships/hyperlink" Target="https://assets.vans.eu/images/VN000MMTBLK-HERO/1" TargetMode="External"/><Relationship Id="rId1885" Type="http://schemas.openxmlformats.org/officeDocument/2006/relationships/hyperlink" Target="https://assets.vans.eu/images/VN000D45NWH-HERO/1" TargetMode="External"/><Relationship Id="rId2424" Type="http://schemas.openxmlformats.org/officeDocument/2006/relationships/hyperlink" Target="https://assets.vans.eu/images/VN000BVZ1NU-HERO/1" TargetMode="External"/><Relationship Id="rId2631" Type="http://schemas.openxmlformats.org/officeDocument/2006/relationships/hyperlink" Target="https://assets.vans.eu/images/VN000D5VBH7-HERO/1" TargetMode="External"/><Relationship Id="rId2729" Type="http://schemas.openxmlformats.org/officeDocument/2006/relationships/hyperlink" Target="https://assets.vans.eu/images/VN000DAHRV2-HERO/1" TargetMode="External"/><Relationship Id="rId2936" Type="http://schemas.openxmlformats.org/officeDocument/2006/relationships/hyperlink" Target="https://assets.vans.eu/images/VN0008TKATJ-HERO/1" TargetMode="External"/><Relationship Id="rId4084" Type="http://schemas.openxmlformats.org/officeDocument/2006/relationships/hyperlink" Target="https://assets.vans.eu/images/VN000D1HE2V-HERO/1" TargetMode="External"/><Relationship Id="rId4291" Type="http://schemas.openxmlformats.org/officeDocument/2006/relationships/hyperlink" Target="https://assets.vans.eu/images/VN000D5VDRK-HERO/1" TargetMode="External"/><Relationship Id="rId4389" Type="http://schemas.openxmlformats.org/officeDocument/2006/relationships/hyperlink" Target="https://assets.vans.eu/images/VN000D6WYY6-HERO/1" TargetMode="External"/><Relationship Id="rId603" Type="http://schemas.openxmlformats.org/officeDocument/2006/relationships/hyperlink" Target="https://assets.vans.eu/images/VN000MEPJDU-HERO/1" TargetMode="External"/><Relationship Id="rId810" Type="http://schemas.openxmlformats.org/officeDocument/2006/relationships/hyperlink" Target="https://assets.vans.eu/images/VN000PPJ02F-HERO/1" TargetMode="External"/><Relationship Id="rId908" Type="http://schemas.openxmlformats.org/officeDocument/2006/relationships/hyperlink" Target="https://assets.vans.eu/images/VN000R04BLK-HERO/1" TargetMode="External"/><Relationship Id="rId1233" Type="http://schemas.openxmlformats.org/officeDocument/2006/relationships/hyperlink" Target="https://assets.vans.eu/images/VN000CYU4Y4-HERO/1" TargetMode="External"/><Relationship Id="rId1440" Type="http://schemas.openxmlformats.org/officeDocument/2006/relationships/hyperlink" Target="https://assets.vans.eu/images/VN000BCEBA2-HERO/1" TargetMode="External"/><Relationship Id="rId1538" Type="http://schemas.openxmlformats.org/officeDocument/2006/relationships/hyperlink" Target="https://assets.vans.eu/images/VN000DARBKL-HERO/1" TargetMode="External"/><Relationship Id="rId4151" Type="http://schemas.openxmlformats.org/officeDocument/2006/relationships/hyperlink" Target="https://assets.vans.eu/images/VN000D22BRD-HERO/1" TargetMode="External"/><Relationship Id="rId4596" Type="http://schemas.openxmlformats.org/officeDocument/2006/relationships/hyperlink" Target="https://assets.vans.eu/images/VN000DCH0QR-HERO/1" TargetMode="External"/><Relationship Id="rId1300" Type="http://schemas.openxmlformats.org/officeDocument/2006/relationships/hyperlink" Target="https://assets.vans.eu/images/VN0A34GRC8B-HERO/1" TargetMode="External"/><Relationship Id="rId1745" Type="http://schemas.openxmlformats.org/officeDocument/2006/relationships/hyperlink" Target="https://assets.vans.eu/images/VN000PR485T-HERO/1" TargetMode="External"/><Relationship Id="rId1952" Type="http://schemas.openxmlformats.org/officeDocument/2006/relationships/hyperlink" Target="https://assets.vans.eu/images/VN000DAQ02Y-HERO/1" TargetMode="External"/><Relationship Id="rId3198" Type="http://schemas.openxmlformats.org/officeDocument/2006/relationships/hyperlink" Target="https://assets.vans.eu/images/VN000MDBBLK-HERO/1" TargetMode="External"/><Relationship Id="rId4011" Type="http://schemas.openxmlformats.org/officeDocument/2006/relationships/hyperlink" Target="https://assets.vans.eu/images/VN000CZHBIL-HERO/1" TargetMode="External"/><Relationship Id="rId4249" Type="http://schemas.openxmlformats.org/officeDocument/2006/relationships/hyperlink" Target="https://assets.vans.eu/images/VN000D4N141-HERO/1" TargetMode="External"/><Relationship Id="rId4456" Type="http://schemas.openxmlformats.org/officeDocument/2006/relationships/hyperlink" Target="https://assets.vans.eu/images/VN000D85JVY-HERO/1" TargetMode="External"/><Relationship Id="rId4663" Type="http://schemas.openxmlformats.org/officeDocument/2006/relationships/hyperlink" Target="https://assets.vans.eu/images/VN000EDUCD3-HERO/1" TargetMode="External"/><Relationship Id="rId4870" Type="http://schemas.openxmlformats.org/officeDocument/2006/relationships/hyperlink" Target="https://assets.vans.eu/images/VN0009UEBLK-HERO/1" TargetMode="External"/><Relationship Id="rId37" Type="http://schemas.openxmlformats.org/officeDocument/2006/relationships/hyperlink" Target="https://assets.vans.eu/images/VN000ECUB5P-HERO/1" TargetMode="External"/><Relationship Id="rId1605" Type="http://schemas.openxmlformats.org/officeDocument/2006/relationships/hyperlink" Target="https://assets.vans.eu/images/VN0008TKD02-HERO/1" TargetMode="External"/><Relationship Id="rId1812" Type="http://schemas.openxmlformats.org/officeDocument/2006/relationships/hyperlink" Target="https://assets.vans.eu/images/VN0009Q7YY6-HERO/1" TargetMode="External"/><Relationship Id="rId3058" Type="http://schemas.openxmlformats.org/officeDocument/2006/relationships/hyperlink" Target="https://assets.vans.eu/images/VN000JC4BLK-HERO/1" TargetMode="External"/><Relationship Id="rId3265" Type="http://schemas.openxmlformats.org/officeDocument/2006/relationships/hyperlink" Target="https://assets.vans.eu/images/VN000P50Y28-HERO/1" TargetMode="External"/><Relationship Id="rId3472" Type="http://schemas.openxmlformats.org/officeDocument/2006/relationships/hyperlink" Target="https://assets.vans.eu/images/VN000PUEFS8-HERO/1" TargetMode="External"/><Relationship Id="rId4109" Type="http://schemas.openxmlformats.org/officeDocument/2006/relationships/hyperlink" Target="https://assets.vans.eu/images/VN000D1JBRO-HERO/1" TargetMode="External"/><Relationship Id="rId4316" Type="http://schemas.openxmlformats.org/officeDocument/2006/relationships/hyperlink" Target="https://assets.vans.eu/images/VN000D6F239-HERO/1" TargetMode="External"/><Relationship Id="rId4523" Type="http://schemas.openxmlformats.org/officeDocument/2006/relationships/hyperlink" Target="https://assets.vans.eu/images/VN000DAH14A-HERO/1" TargetMode="External"/><Relationship Id="rId4730" Type="http://schemas.openxmlformats.org/officeDocument/2006/relationships/hyperlink" Target="https://assets.vans.eu/images/VN0A4UUK4W7-HERO/1" TargetMode="External"/><Relationship Id="rId4968" Type="http://schemas.openxmlformats.org/officeDocument/2006/relationships/hyperlink" Target="https://assets.vans.eu/images/VN000D5RZHJ-HERO/1" TargetMode="External"/><Relationship Id="rId186" Type="http://schemas.openxmlformats.org/officeDocument/2006/relationships/hyperlink" Target="https://assets.vans.eu/images/VN000HZBYEH-HERO/1" TargetMode="External"/><Relationship Id="rId393" Type="http://schemas.openxmlformats.org/officeDocument/2006/relationships/hyperlink" Target="https://assets.vans.eu/images/VN000P5QO3N-HERO/1" TargetMode="External"/><Relationship Id="rId2074" Type="http://schemas.openxmlformats.org/officeDocument/2006/relationships/hyperlink" Target="https://assets.vans.eu/images/VN000JBRBR1-HERO/1" TargetMode="External"/><Relationship Id="rId2281" Type="http://schemas.openxmlformats.org/officeDocument/2006/relationships/hyperlink" Target="https://assets.vans.eu/images/VN000PPUEN7-HERO/1" TargetMode="External"/><Relationship Id="rId3125" Type="http://schemas.openxmlformats.org/officeDocument/2006/relationships/hyperlink" Target="https://assets.vans.eu/images/VN000M1KBLK-HERO/1" TargetMode="External"/><Relationship Id="rId3332" Type="http://schemas.openxmlformats.org/officeDocument/2006/relationships/hyperlink" Target="https://assets.vans.eu/images/VN000P94FII-HERO/1" TargetMode="External"/><Relationship Id="rId3777" Type="http://schemas.openxmlformats.org/officeDocument/2006/relationships/hyperlink" Target="https://assets.vans.eu/images/VN000CQ0BMW-HERO/1" TargetMode="External"/><Relationship Id="rId3984" Type="http://schemas.openxmlformats.org/officeDocument/2006/relationships/hyperlink" Target="https://assets.vans.eu/images/VN000CYDBJ1-HERO/1" TargetMode="External"/><Relationship Id="rId4828" Type="http://schemas.openxmlformats.org/officeDocument/2006/relationships/hyperlink" Target="https://assets.vans.eu/images/VN000EJTTC4-HERO/1" TargetMode="External"/><Relationship Id="rId253" Type="http://schemas.openxmlformats.org/officeDocument/2006/relationships/hyperlink" Target="https://assets.vans.eu/images/VN000PX3EN6-HERO/1" TargetMode="External"/><Relationship Id="rId460" Type="http://schemas.openxmlformats.org/officeDocument/2006/relationships/hyperlink" Target="https://assets.vans.eu/images/VN000E9XIVG-HERO/1" TargetMode="External"/><Relationship Id="rId698" Type="http://schemas.openxmlformats.org/officeDocument/2006/relationships/hyperlink" Target="https://assets.vans.eu/images/VN0A54F4BD5-HERO/1" TargetMode="External"/><Relationship Id="rId1090" Type="http://schemas.openxmlformats.org/officeDocument/2006/relationships/hyperlink" Target="https://assets.vans.eu/images/VN000EG59X1-HERO/1" TargetMode="External"/><Relationship Id="rId2141" Type="http://schemas.openxmlformats.org/officeDocument/2006/relationships/hyperlink" Target="https://assets.vans.eu/images/VN000MBEFS8-HERO/1" TargetMode="External"/><Relationship Id="rId2379" Type="http://schemas.openxmlformats.org/officeDocument/2006/relationships/hyperlink" Target="https://assets.vans.eu/images/VN0A4CYYWHT-HERO/1" TargetMode="External"/><Relationship Id="rId2586" Type="http://schemas.openxmlformats.org/officeDocument/2006/relationships/hyperlink" Target="https://assets.vans.eu/images/VN000D1P89F-HERO/1" TargetMode="External"/><Relationship Id="rId2793" Type="http://schemas.openxmlformats.org/officeDocument/2006/relationships/hyperlink" Target="https://assets.vans.eu/images/VN000EC4RV2-HERO/1" TargetMode="External"/><Relationship Id="rId3637" Type="http://schemas.openxmlformats.org/officeDocument/2006/relationships/hyperlink" Target="https://assets.vans.eu/images/VN0A45CMLKZ-HERO/1" TargetMode="External"/><Relationship Id="rId3844" Type="http://schemas.openxmlformats.org/officeDocument/2006/relationships/hyperlink" Target="https://assets.vans.eu/images/VN000CTGEMY-HERO/1" TargetMode="External"/><Relationship Id="rId113" Type="http://schemas.openxmlformats.org/officeDocument/2006/relationships/hyperlink" Target="https://assets.vans.eu/images/VN000Q35EMP-HERO/1" TargetMode="External"/><Relationship Id="rId320" Type="http://schemas.openxmlformats.org/officeDocument/2006/relationships/hyperlink" Target="https://assets.vans.eu/images/VN000E9YBGP-HERO/1" TargetMode="External"/><Relationship Id="rId558" Type="http://schemas.openxmlformats.org/officeDocument/2006/relationships/hyperlink" Target="https://assets.vans.eu/images/VN000PGJEMF-HERO/1" TargetMode="External"/><Relationship Id="rId765" Type="http://schemas.openxmlformats.org/officeDocument/2006/relationships/hyperlink" Target="https://assets.vans.eu/images/VN000E9XCJK-HERO/1" TargetMode="External"/><Relationship Id="rId972" Type="http://schemas.openxmlformats.org/officeDocument/2006/relationships/hyperlink" Target="https://assets.vans.eu/images/VN000EC4DJR-HERO/1" TargetMode="External"/><Relationship Id="rId1188" Type="http://schemas.openxmlformats.org/officeDocument/2006/relationships/hyperlink" Target="https://assets.vans.eu/images/VN000PXXWHT-HERO/1" TargetMode="External"/><Relationship Id="rId1395" Type="http://schemas.openxmlformats.org/officeDocument/2006/relationships/hyperlink" Target="https://assets.vans.eu/images/VN000PXWWHT-HERO/1" TargetMode="External"/><Relationship Id="rId2001" Type="http://schemas.openxmlformats.org/officeDocument/2006/relationships/hyperlink" Target="https://assets.vans.eu/images/VN000EZ26M3-HERO/1" TargetMode="External"/><Relationship Id="rId2239" Type="http://schemas.openxmlformats.org/officeDocument/2006/relationships/hyperlink" Target="https://assets.vans.eu/images/VN000PH8CDX-HERO/1" TargetMode="External"/><Relationship Id="rId2446" Type="http://schemas.openxmlformats.org/officeDocument/2006/relationships/hyperlink" Target="https://assets.vans.eu/images/VN000CQ0EMY-HERO/1" TargetMode="External"/><Relationship Id="rId2653" Type="http://schemas.openxmlformats.org/officeDocument/2006/relationships/hyperlink" Target="https://assets.vans.eu/images/VN000D6F239-HERO/1" TargetMode="External"/><Relationship Id="rId2860" Type="http://schemas.openxmlformats.org/officeDocument/2006/relationships/hyperlink" Target="https://assets.vans.eu/images/VN000EZ47WM-HERO/1" TargetMode="External"/><Relationship Id="rId3704" Type="http://schemas.openxmlformats.org/officeDocument/2006/relationships/hyperlink" Target="https://assets.vans.eu/images/VN0007NTYP0-HERO/1" TargetMode="External"/><Relationship Id="rId418" Type="http://schemas.openxmlformats.org/officeDocument/2006/relationships/hyperlink" Target="https://assets.vans.eu/images/VN000C3297I-HERO/1" TargetMode="External"/><Relationship Id="rId625" Type="http://schemas.openxmlformats.org/officeDocument/2006/relationships/hyperlink" Target="https://assets.vans.eu/images/VN000CQRYLZ-HERO/1" TargetMode="External"/><Relationship Id="rId832" Type="http://schemas.openxmlformats.org/officeDocument/2006/relationships/hyperlink" Target="https://assets.vans.eu/images/VN000CQRBZW-HERO/1" TargetMode="External"/><Relationship Id="rId1048" Type="http://schemas.openxmlformats.org/officeDocument/2006/relationships/hyperlink" Target="https://assets.vans.eu/images/VN000XBZIZQ-HERO/1" TargetMode="External"/><Relationship Id="rId1255" Type="http://schemas.openxmlformats.org/officeDocument/2006/relationships/hyperlink" Target="https://assets.vans.eu/images/VN000D5PZCF-HERO/1" TargetMode="External"/><Relationship Id="rId1462" Type="http://schemas.openxmlformats.org/officeDocument/2006/relationships/hyperlink" Target="https://assets.vans.eu/images/VN000CTGYJ7-HERO/1" TargetMode="External"/><Relationship Id="rId2306" Type="http://schemas.openxmlformats.org/officeDocument/2006/relationships/hyperlink" Target="https://assets.vans.eu/images/VN000PX9RV2-HERO/1" TargetMode="External"/><Relationship Id="rId2513" Type="http://schemas.openxmlformats.org/officeDocument/2006/relationships/hyperlink" Target="https://assets.vans.eu/images/VN000CXVOVI-HERO/1" TargetMode="External"/><Relationship Id="rId2958" Type="http://schemas.openxmlformats.org/officeDocument/2006/relationships/hyperlink" Target="https://assets.vans.eu/images/VN000G8DDSB-HERO/1" TargetMode="External"/><Relationship Id="rId3911" Type="http://schemas.openxmlformats.org/officeDocument/2006/relationships/hyperlink" Target="https://assets.vans.eu/images/VN000CVUDRB-HERO/1" TargetMode="External"/><Relationship Id="rId5017" Type="http://schemas.openxmlformats.org/officeDocument/2006/relationships/hyperlink" Target="https://assets.vans.eu/images/VN0A2Z34AFJ-HERO/1" TargetMode="External"/><Relationship Id="rId1115" Type="http://schemas.openxmlformats.org/officeDocument/2006/relationships/hyperlink" Target="https://assets.vans.eu/images/VN000G75D6Z-HERO/1" TargetMode="External"/><Relationship Id="rId1322" Type="http://schemas.openxmlformats.org/officeDocument/2006/relationships/hyperlink" Target="https://assets.vans.eu/images/VN000K4XCDX-HERO/1" TargetMode="External"/><Relationship Id="rId1767" Type="http://schemas.openxmlformats.org/officeDocument/2006/relationships/hyperlink" Target="https://assets.vans.eu/images/VN000PYXJDU-HERO/1" TargetMode="External"/><Relationship Id="rId1974" Type="http://schemas.openxmlformats.org/officeDocument/2006/relationships/hyperlink" Target="https://assets.vans.eu/images/VN000EDN9X1-HERO/1" TargetMode="External"/><Relationship Id="rId2720" Type="http://schemas.openxmlformats.org/officeDocument/2006/relationships/hyperlink" Target="https://assets.vans.eu/images/VN000D9ZYB2-HERO/1" TargetMode="External"/><Relationship Id="rId2818" Type="http://schemas.openxmlformats.org/officeDocument/2006/relationships/hyperlink" Target="https://assets.vans.eu/images/VN000VO44K1-HERO/1" TargetMode="External"/><Relationship Id="rId4173" Type="http://schemas.openxmlformats.org/officeDocument/2006/relationships/hyperlink" Target="https://assets.vans.eu/images/VN000D26DFN-HERO/1" TargetMode="External"/><Relationship Id="rId4380" Type="http://schemas.openxmlformats.org/officeDocument/2006/relationships/hyperlink" Target="https://assets.vans.eu/images/VN000D6WEMW-HERO/1" TargetMode="External"/><Relationship Id="rId4478" Type="http://schemas.openxmlformats.org/officeDocument/2006/relationships/hyperlink" Target="https://assets.vans.eu/images/VN000D9YBGK-HERO/1" TargetMode="External"/><Relationship Id="rId59" Type="http://schemas.openxmlformats.org/officeDocument/2006/relationships/hyperlink" Target="https://assets.vans.eu/images/VN000RD4WHT-HERO/1" TargetMode="External"/><Relationship Id="rId1627" Type="http://schemas.openxmlformats.org/officeDocument/2006/relationships/hyperlink" Target="https://assets.vans.eu/images/VN000HZBEMP-HERO/1" TargetMode="External"/><Relationship Id="rId1834" Type="http://schemas.openxmlformats.org/officeDocument/2006/relationships/hyperlink" Target="https://assets.vans.eu/images/VN000CTGEMY-HERO/1" TargetMode="External"/><Relationship Id="rId3287" Type="http://schemas.openxmlformats.org/officeDocument/2006/relationships/hyperlink" Target="https://assets.vans.eu/images/VN000P56O3N-HERO/1" TargetMode="External"/><Relationship Id="rId4033" Type="http://schemas.openxmlformats.org/officeDocument/2006/relationships/hyperlink" Target="https://assets.vans.eu/images/VN000D0KEN6-HERO/1" TargetMode="External"/><Relationship Id="rId4240" Type="http://schemas.openxmlformats.org/officeDocument/2006/relationships/hyperlink" Target="https://assets.vans.eu/images/VN000D4MBZW-HERO/1" TargetMode="External"/><Relationship Id="rId4338" Type="http://schemas.openxmlformats.org/officeDocument/2006/relationships/hyperlink" Target="https://assets.vans.eu/images/VN000D6FY7U-HERO/1" TargetMode="External"/><Relationship Id="rId4685" Type="http://schemas.openxmlformats.org/officeDocument/2006/relationships/hyperlink" Target="https://assets.vans.eu/images/VN000VOB4K1-HERO/1" TargetMode="External"/><Relationship Id="rId4892" Type="http://schemas.openxmlformats.org/officeDocument/2006/relationships/hyperlink" Target="https://assets.vans.eu/images/VN000EJTTC4-HERO/1" TargetMode="External"/><Relationship Id="rId2096" Type="http://schemas.openxmlformats.org/officeDocument/2006/relationships/hyperlink" Target="https://assets.vans.eu/images/VN000KV2JDU-HERO/1" TargetMode="External"/><Relationship Id="rId3494" Type="http://schemas.openxmlformats.org/officeDocument/2006/relationships/hyperlink" Target="https://assets.vans.eu/images/VN000PY6BLK-HERO/1" TargetMode="External"/><Relationship Id="rId3799" Type="http://schemas.openxmlformats.org/officeDocument/2006/relationships/hyperlink" Target="https://assets.vans.eu/images/VN000CQ9BYS-HERO/1" TargetMode="External"/><Relationship Id="rId4100" Type="http://schemas.openxmlformats.org/officeDocument/2006/relationships/hyperlink" Target="https://assets.vans.eu/images/VN000D1J7D6-HERO/1" TargetMode="External"/><Relationship Id="rId4545" Type="http://schemas.openxmlformats.org/officeDocument/2006/relationships/hyperlink" Target="https://assets.vans.eu/images/VN000DAQ02Y-HERO/1" TargetMode="External"/><Relationship Id="rId4752" Type="http://schemas.openxmlformats.org/officeDocument/2006/relationships/hyperlink" Target="https://assets.vans.eu/images/VN0A5FCDEMW-HERO/1" TargetMode="External"/><Relationship Id="rId1901" Type="http://schemas.openxmlformats.org/officeDocument/2006/relationships/hyperlink" Target="https://assets.vans.eu/images/VN000D5D17P-HERO/1" TargetMode="External"/><Relationship Id="rId3147" Type="http://schemas.openxmlformats.org/officeDocument/2006/relationships/hyperlink" Target="https://assets.vans.eu/images/VN000M77C9F-HERO/1" TargetMode="External"/><Relationship Id="rId3354" Type="http://schemas.openxmlformats.org/officeDocument/2006/relationships/hyperlink" Target="https://assets.vans.eu/images/VN000PBXEML-HERO/1" TargetMode="External"/><Relationship Id="rId3561" Type="http://schemas.openxmlformats.org/officeDocument/2006/relationships/hyperlink" Target="https://assets.vans.eu/images/VN000R96FS8-HERO/1" TargetMode="External"/><Relationship Id="rId3659" Type="http://schemas.openxmlformats.org/officeDocument/2006/relationships/hyperlink" Target="https://assets.vans.eu/images/VN0A5FJXBLK-HERO/1" TargetMode="External"/><Relationship Id="rId4405" Type="http://schemas.openxmlformats.org/officeDocument/2006/relationships/hyperlink" Target="https://assets.vans.eu/images/VN000D6ZEMP-HERO/1" TargetMode="External"/><Relationship Id="rId4612" Type="http://schemas.openxmlformats.org/officeDocument/2006/relationships/hyperlink" Target="https://assets.vans.eu/images/VN000E8WBRD-HERO/1" TargetMode="External"/><Relationship Id="rId275" Type="http://schemas.openxmlformats.org/officeDocument/2006/relationships/hyperlink" Target="https://assets.vans.eu/images/VN000CWEBFA-HERO/1" TargetMode="External"/><Relationship Id="rId482" Type="http://schemas.openxmlformats.org/officeDocument/2006/relationships/hyperlink" Target="https://assets.vans.eu/images/VN000MGJE4T-HERO/1" TargetMode="External"/><Relationship Id="rId2163" Type="http://schemas.openxmlformats.org/officeDocument/2006/relationships/hyperlink" Target="https://assets.vans.eu/images/VN000NDQBLK-HERO/1" TargetMode="External"/><Relationship Id="rId2370" Type="http://schemas.openxmlformats.org/officeDocument/2006/relationships/hyperlink" Target="https://assets.vans.eu/images/VN001096WHT-HERO/1" TargetMode="External"/><Relationship Id="rId3007" Type="http://schemas.openxmlformats.org/officeDocument/2006/relationships/hyperlink" Target="https://assets.vans.eu/images/VN000HN7D4C-HERO/1" TargetMode="External"/><Relationship Id="rId3214" Type="http://schemas.openxmlformats.org/officeDocument/2006/relationships/hyperlink" Target="https://assets.vans.eu/images/VN000MKEBLK-HERO/1" TargetMode="External"/><Relationship Id="rId3421" Type="http://schemas.openxmlformats.org/officeDocument/2006/relationships/hyperlink" Target="https://assets.vans.eu/images/VN000PK0ZRY-HERO/1" TargetMode="External"/><Relationship Id="rId3866" Type="http://schemas.openxmlformats.org/officeDocument/2006/relationships/hyperlink" Target="https://assets.vans.eu/images/VN000CUYY30-HERO/1" TargetMode="External"/><Relationship Id="rId4917" Type="http://schemas.openxmlformats.org/officeDocument/2006/relationships/hyperlink" Target="https://assets.vans.eu/images/VN000CBSB7G-HERO/1" TargetMode="External"/><Relationship Id="rId135" Type="http://schemas.openxmlformats.org/officeDocument/2006/relationships/hyperlink" Target="https://assets.vans.eu/images/VN000HZBYEH-HERO/1" TargetMode="External"/><Relationship Id="rId342" Type="http://schemas.openxmlformats.org/officeDocument/2006/relationships/hyperlink" Target="https://assets.vans.eu/images/VN000UOUJ5F-HERO/1" TargetMode="External"/><Relationship Id="rId787" Type="http://schemas.openxmlformats.org/officeDocument/2006/relationships/hyperlink" Target="https://assets.vans.eu/images/VN000JBMENA-HERO/1" TargetMode="External"/><Relationship Id="rId994" Type="http://schemas.openxmlformats.org/officeDocument/2006/relationships/hyperlink" Target="https://assets.vans.eu/images/VN000HU0BLK-HERO/1" TargetMode="External"/><Relationship Id="rId2023" Type="http://schemas.openxmlformats.org/officeDocument/2006/relationships/hyperlink" Target="https://assets.vans.eu/images/VN000QCKBLK-HERO/1" TargetMode="External"/><Relationship Id="rId2230" Type="http://schemas.openxmlformats.org/officeDocument/2006/relationships/hyperlink" Target="https://assets.vans.eu/images/VN000PEWEMU-HERO/1" TargetMode="External"/><Relationship Id="rId2468" Type="http://schemas.openxmlformats.org/officeDocument/2006/relationships/hyperlink" Target="https://assets.vans.eu/images/VN000CTG1NU-HERO/1" TargetMode="External"/><Relationship Id="rId2675" Type="http://schemas.openxmlformats.org/officeDocument/2006/relationships/hyperlink" Target="https://assets.vans.eu/images/VN000D6WEMU-HERO/1" TargetMode="External"/><Relationship Id="rId2882" Type="http://schemas.openxmlformats.org/officeDocument/2006/relationships/hyperlink" Target="https://assets.vans.eu/images/VN000KXQCI2-HERO/1" TargetMode="External"/><Relationship Id="rId3519" Type="http://schemas.openxmlformats.org/officeDocument/2006/relationships/hyperlink" Target="https://assets.vans.eu/images/VN000Q67EMX-HERO/1" TargetMode="External"/><Relationship Id="rId3726" Type="http://schemas.openxmlformats.org/officeDocument/2006/relationships/hyperlink" Target="https://assets.vans.eu/images/VN0009QPBLK-HERO/1" TargetMode="External"/><Relationship Id="rId3933" Type="http://schemas.openxmlformats.org/officeDocument/2006/relationships/hyperlink" Target="https://assets.vans.eu/images/VN000CVVEMQ-HERO/1" TargetMode="External"/><Relationship Id="rId202" Type="http://schemas.openxmlformats.org/officeDocument/2006/relationships/hyperlink" Target="https://assets.vans.eu/images/VN000E9YBGP-HERO/1" TargetMode="External"/><Relationship Id="rId647" Type="http://schemas.openxmlformats.org/officeDocument/2006/relationships/hyperlink" Target="https://assets.vans.eu/images/VN000G75BL2-HERO/1" TargetMode="External"/><Relationship Id="rId854" Type="http://schemas.openxmlformats.org/officeDocument/2006/relationships/hyperlink" Target="https://assets.vans.eu/images/VN000D83O3N-HERO/1" TargetMode="External"/><Relationship Id="rId1277" Type="http://schemas.openxmlformats.org/officeDocument/2006/relationships/hyperlink" Target="https://assets.vans.eu/images/VN000EA7HFV-HERO/1" TargetMode="External"/><Relationship Id="rId1484" Type="http://schemas.openxmlformats.org/officeDocument/2006/relationships/hyperlink" Target="https://assets.vans.eu/images/VN000D0MKCZ-HERO/1" TargetMode="External"/><Relationship Id="rId1691" Type="http://schemas.openxmlformats.org/officeDocument/2006/relationships/hyperlink" Target="https://assets.vans.eu/images/VN000P50EMF-HERO/1" TargetMode="External"/><Relationship Id="rId2328" Type="http://schemas.openxmlformats.org/officeDocument/2006/relationships/hyperlink" Target="https://assets.vans.eu/images/VN000R03WHT-HERO/1" TargetMode="External"/><Relationship Id="rId2535" Type="http://schemas.openxmlformats.org/officeDocument/2006/relationships/hyperlink" Target="https://assets.vans.eu/images/VN000D0HBMV-HERO/1" TargetMode="External"/><Relationship Id="rId2742" Type="http://schemas.openxmlformats.org/officeDocument/2006/relationships/hyperlink" Target="https://assets.vans.eu/images/VN000DAQ1MG-HERO/1" TargetMode="External"/><Relationship Id="rId4195" Type="http://schemas.openxmlformats.org/officeDocument/2006/relationships/hyperlink" Target="https://assets.vans.eu/images/VN000D28EMF-HERO/1" TargetMode="External"/><Relationship Id="rId5039" Type="http://schemas.openxmlformats.org/officeDocument/2006/relationships/hyperlink" Target="https://assets.vans.eu/images/VN0A2Z3HYHI-HERO/1" TargetMode="External"/><Relationship Id="rId507" Type="http://schemas.openxmlformats.org/officeDocument/2006/relationships/hyperlink" Target="https://assets.vans.eu/images/VN000QB9EMP-HERO/1" TargetMode="External"/><Relationship Id="rId714" Type="http://schemas.openxmlformats.org/officeDocument/2006/relationships/hyperlink" Target="https://assets.vans.eu/images/VN000MK1WHT-HERO/1" TargetMode="External"/><Relationship Id="rId921" Type="http://schemas.openxmlformats.org/officeDocument/2006/relationships/hyperlink" Target="https://assets.vans.eu/images/VN000RG0EML-HERO/1" TargetMode="External"/><Relationship Id="rId1137" Type="http://schemas.openxmlformats.org/officeDocument/2006/relationships/hyperlink" Target="https://assets.vans.eu/images/VN000M9SEMJ-HERO/1" TargetMode="External"/><Relationship Id="rId1344" Type="http://schemas.openxmlformats.org/officeDocument/2006/relationships/hyperlink" Target="https://assets.vans.eu/images/VN000MAB1O7-HERO/1" TargetMode="External"/><Relationship Id="rId1551" Type="http://schemas.openxmlformats.org/officeDocument/2006/relationships/hyperlink" Target="https://assets.vans.eu/images/VN000EB4KAQ-HERO/1" TargetMode="External"/><Relationship Id="rId1789" Type="http://schemas.openxmlformats.org/officeDocument/2006/relationships/hyperlink" Target="https://assets.vans.eu/images/VN000R92EMF-HERO/1" TargetMode="External"/><Relationship Id="rId1996" Type="http://schemas.openxmlformats.org/officeDocument/2006/relationships/hyperlink" Target="https://assets.vans.eu/images/VN0A5FCB1N6-HERO/1" TargetMode="External"/><Relationship Id="rId2602" Type="http://schemas.openxmlformats.org/officeDocument/2006/relationships/hyperlink" Target="https://assets.vans.eu/images/VN000D281OJ-HERO/1" TargetMode="External"/><Relationship Id="rId4055" Type="http://schemas.openxmlformats.org/officeDocument/2006/relationships/hyperlink" Target="https://assets.vans.eu/images/VN000D10N1Z-HERO/1" TargetMode="External"/><Relationship Id="rId4262" Type="http://schemas.openxmlformats.org/officeDocument/2006/relationships/hyperlink" Target="https://assets.vans.eu/images/VN000D4SCFL-HERO/1" TargetMode="External"/><Relationship Id="rId50" Type="http://schemas.openxmlformats.org/officeDocument/2006/relationships/hyperlink" Target="https://assets.vans.eu/images/VN000HZBYEH-HERO/1" TargetMode="External"/><Relationship Id="rId1204" Type="http://schemas.openxmlformats.org/officeDocument/2006/relationships/hyperlink" Target="https://assets.vans.eu/images/VN000W4GCI2-HERO/1" TargetMode="External"/><Relationship Id="rId1411" Type="http://schemas.openxmlformats.org/officeDocument/2006/relationships/hyperlink" Target="https://assets.vans.eu/images/VN000R38EN6-HERO/1" TargetMode="External"/><Relationship Id="rId1649" Type="http://schemas.openxmlformats.org/officeDocument/2006/relationships/hyperlink" Target="https://assets.vans.eu/images/VN000M1ABML-HERO/1" TargetMode="External"/><Relationship Id="rId1856" Type="http://schemas.openxmlformats.org/officeDocument/2006/relationships/hyperlink" Target="https://assets.vans.eu/images/VN000CZ7O33-HERO/1" TargetMode="External"/><Relationship Id="rId2907" Type="http://schemas.openxmlformats.org/officeDocument/2006/relationships/hyperlink" Target="https://assets.vans.eu/images/VN0A7PQZY28-HERO/1" TargetMode="External"/><Relationship Id="rId3071" Type="http://schemas.openxmlformats.org/officeDocument/2006/relationships/hyperlink" Target="https://assets.vans.eu/images/VN000JT37W6-HERO/1" TargetMode="External"/><Relationship Id="rId4567" Type="http://schemas.openxmlformats.org/officeDocument/2006/relationships/hyperlink" Target="https://assets.vans.eu/images/VN000DARBKL-HERO/1" TargetMode="External"/><Relationship Id="rId4774" Type="http://schemas.openxmlformats.org/officeDocument/2006/relationships/hyperlink" Target="https://assets.vans.eu/images/VN0A5JIC39L-HERO/1" TargetMode="External"/><Relationship Id="rId1509" Type="http://schemas.openxmlformats.org/officeDocument/2006/relationships/hyperlink" Target="https://assets.vans.eu/images/VN000D4SCFL-HERO/1" TargetMode="External"/><Relationship Id="rId1716" Type="http://schemas.openxmlformats.org/officeDocument/2006/relationships/hyperlink" Target="https://assets.vans.eu/images/VN000PHPAFM-HERO/1" TargetMode="External"/><Relationship Id="rId1923" Type="http://schemas.openxmlformats.org/officeDocument/2006/relationships/hyperlink" Target="https://assets.vans.eu/images/VN000D6WRPK-HERO/1" TargetMode="External"/><Relationship Id="rId3169" Type="http://schemas.openxmlformats.org/officeDocument/2006/relationships/hyperlink" Target="https://assets.vans.eu/images/VN000M9HFS8-HERO/1" TargetMode="External"/><Relationship Id="rId3376" Type="http://schemas.openxmlformats.org/officeDocument/2006/relationships/hyperlink" Target="https://assets.vans.eu/images/VN000PDYWHT-HERO/1" TargetMode="External"/><Relationship Id="rId3583" Type="http://schemas.openxmlformats.org/officeDocument/2006/relationships/hyperlink" Target="https://assets.vans.eu/images/VN000RD4EMP-HERO/1" TargetMode="External"/><Relationship Id="rId4122" Type="http://schemas.openxmlformats.org/officeDocument/2006/relationships/hyperlink" Target="https://assets.vans.eu/images/VN000D1JOVM-HERO/1" TargetMode="External"/><Relationship Id="rId4427" Type="http://schemas.openxmlformats.org/officeDocument/2006/relationships/hyperlink" Target="https://assets.vans.eu/images/VN000D7G29B-HERO/1" TargetMode="External"/><Relationship Id="rId4981" Type="http://schemas.openxmlformats.org/officeDocument/2006/relationships/hyperlink" Target="https://assets.vans.eu/images/VN000D9ZRBG-HERO/1" TargetMode="External"/><Relationship Id="rId297" Type="http://schemas.openxmlformats.org/officeDocument/2006/relationships/hyperlink" Target="https://assets.vans.eu/images/VN000E9XIVG-HERO/1" TargetMode="External"/><Relationship Id="rId2185" Type="http://schemas.openxmlformats.org/officeDocument/2006/relationships/hyperlink" Target="https://assets.vans.eu/images/VN000P50EMW-HERO/1" TargetMode="External"/><Relationship Id="rId2392" Type="http://schemas.openxmlformats.org/officeDocument/2006/relationships/hyperlink" Target="https://assets.vans.eu/images/VN0A7YUTBLK-HERO/1" TargetMode="External"/><Relationship Id="rId3029" Type="http://schemas.openxmlformats.org/officeDocument/2006/relationships/hyperlink" Target="https://assets.vans.eu/images/VN000HZBKCZ-HERO/1" TargetMode="External"/><Relationship Id="rId3236" Type="http://schemas.openxmlformats.org/officeDocument/2006/relationships/hyperlink" Target="https://assets.vans.eu/images/VN000NWBBLK-HERO/1" TargetMode="External"/><Relationship Id="rId3790" Type="http://schemas.openxmlformats.org/officeDocument/2006/relationships/hyperlink" Target="https://assets.vans.eu/images/VN000CQ0O33-HERO/1" TargetMode="External"/><Relationship Id="rId3888" Type="http://schemas.openxmlformats.org/officeDocument/2006/relationships/hyperlink" Target="https://assets.vans.eu/images/VN000CVT6I7-HERO/1" TargetMode="External"/><Relationship Id="rId4634" Type="http://schemas.openxmlformats.org/officeDocument/2006/relationships/hyperlink" Target="https://assets.vans.eu/images/VN000EB4TAN-HERO/1" TargetMode="External"/><Relationship Id="rId4841" Type="http://schemas.openxmlformats.org/officeDocument/2006/relationships/hyperlink" Target="https://assets.vans.eu/images/VN000CVURV2-HERO/1" TargetMode="External"/><Relationship Id="rId4939" Type="http://schemas.openxmlformats.org/officeDocument/2006/relationships/hyperlink" Target="https://assets.vans.eu/images/VN000D1GK1O-HERO/1" TargetMode="External"/><Relationship Id="rId157" Type="http://schemas.openxmlformats.org/officeDocument/2006/relationships/hyperlink" Target="https://assets.vans.eu/images/VN000PBRWHT-HERO/1" TargetMode="External"/><Relationship Id="rId364" Type="http://schemas.openxmlformats.org/officeDocument/2006/relationships/hyperlink" Target="https://assets.vans.eu/images/VN000HUP7WM-HERO/1" TargetMode="External"/><Relationship Id="rId2045" Type="http://schemas.openxmlformats.org/officeDocument/2006/relationships/hyperlink" Target="https://assets.vans.eu/images/VN000G75D6Z-HERO/1" TargetMode="External"/><Relationship Id="rId2697" Type="http://schemas.openxmlformats.org/officeDocument/2006/relationships/hyperlink" Target="https://assets.vans.eu/images/VN000D70BM8-HERO/1" TargetMode="External"/><Relationship Id="rId3443" Type="http://schemas.openxmlformats.org/officeDocument/2006/relationships/hyperlink" Target="https://assets.vans.eu/images/VN000PNEFS8-HERO/1" TargetMode="External"/><Relationship Id="rId3650" Type="http://schemas.openxmlformats.org/officeDocument/2006/relationships/hyperlink" Target="https://assets.vans.eu/images/VN0A4MQ3BR1-HERO/1" TargetMode="External"/><Relationship Id="rId3748" Type="http://schemas.openxmlformats.org/officeDocument/2006/relationships/hyperlink" Target="https://assets.vans.eu/images/VN000BVZ1NU-HERO/1" TargetMode="External"/><Relationship Id="rId4701" Type="http://schemas.openxmlformats.org/officeDocument/2006/relationships/hyperlink" Target="https://assets.vans.eu/images/VN0A32QM28L-HERO/1" TargetMode="External"/><Relationship Id="rId571" Type="http://schemas.openxmlformats.org/officeDocument/2006/relationships/hyperlink" Target="https://assets.vans.eu/images/VN000D0H11E-HERO/1" TargetMode="External"/><Relationship Id="rId669" Type="http://schemas.openxmlformats.org/officeDocument/2006/relationships/hyperlink" Target="https://assets.vans.eu/images/VN000RCHWHT-HERO/1" TargetMode="External"/><Relationship Id="rId876" Type="http://schemas.openxmlformats.org/officeDocument/2006/relationships/hyperlink" Target="https://assets.vans.eu/images/VN000K42041-HERO/1" TargetMode="External"/><Relationship Id="rId1299" Type="http://schemas.openxmlformats.org/officeDocument/2006/relationships/hyperlink" Target="https://assets.vans.eu/images/VN0A31J6BLK-HERO/1" TargetMode="External"/><Relationship Id="rId2252" Type="http://schemas.openxmlformats.org/officeDocument/2006/relationships/hyperlink" Target="https://assets.vans.eu/images/VN000PJR3N1-HERO/1" TargetMode="External"/><Relationship Id="rId2557" Type="http://schemas.openxmlformats.org/officeDocument/2006/relationships/hyperlink" Target="https://assets.vans.eu/images/VN000D0MKCZ-HERO/1" TargetMode="External"/><Relationship Id="rId3303" Type="http://schemas.openxmlformats.org/officeDocument/2006/relationships/hyperlink" Target="https://assets.vans.eu/images/VN000P5QO3N-HERO/1" TargetMode="External"/><Relationship Id="rId3510" Type="http://schemas.openxmlformats.org/officeDocument/2006/relationships/hyperlink" Target="https://assets.vans.eu/images/VN000Q43EN6-HERO/1" TargetMode="External"/><Relationship Id="rId3608" Type="http://schemas.openxmlformats.org/officeDocument/2006/relationships/hyperlink" Target="https://assets.vans.eu/images/VN000XOIBLK-HERO/1" TargetMode="External"/><Relationship Id="rId3955" Type="http://schemas.openxmlformats.org/officeDocument/2006/relationships/hyperlink" Target="https://assets.vans.eu/images/VN000CWE2BO-HERO/1" TargetMode="External"/><Relationship Id="rId224" Type="http://schemas.openxmlformats.org/officeDocument/2006/relationships/hyperlink" Target="https://assets.vans.eu/images/VN000QA7EN9-HERO/1" TargetMode="External"/><Relationship Id="rId431" Type="http://schemas.openxmlformats.org/officeDocument/2006/relationships/hyperlink" Target="https://assets.vans.eu/images/VN0008N6BLK-HERO/1" TargetMode="External"/><Relationship Id="rId529" Type="http://schemas.openxmlformats.org/officeDocument/2006/relationships/hyperlink" Target="https://assets.vans.eu/images/VN000D0HEMY-HERO/1" TargetMode="External"/><Relationship Id="rId736" Type="http://schemas.openxmlformats.org/officeDocument/2006/relationships/hyperlink" Target="https://assets.vans.eu/images/VN000R742N1-HERO/1" TargetMode="External"/><Relationship Id="rId1061" Type="http://schemas.openxmlformats.org/officeDocument/2006/relationships/hyperlink" Target="https://assets.vans.eu/images/VN000CTNJBW-HERO/1" TargetMode="External"/><Relationship Id="rId1159" Type="http://schemas.openxmlformats.org/officeDocument/2006/relationships/hyperlink" Target="https://assets.vans.eu/images/VN000PAUBLK-HERO/1" TargetMode="External"/><Relationship Id="rId1366" Type="http://schemas.openxmlformats.org/officeDocument/2006/relationships/hyperlink" Target="https://assets.vans.eu/images/VN000P7ECDX-HERO/1" TargetMode="External"/><Relationship Id="rId2112" Type="http://schemas.openxmlformats.org/officeDocument/2006/relationships/hyperlink" Target="https://assets.vans.eu/images/VN000M4W4SS-HERO/1" TargetMode="External"/><Relationship Id="rId2417" Type="http://schemas.openxmlformats.org/officeDocument/2006/relationships/hyperlink" Target="https://assets.vans.eu/images/VN000BCEBMV-HERO/1" TargetMode="External"/><Relationship Id="rId2764" Type="http://schemas.openxmlformats.org/officeDocument/2006/relationships/hyperlink" Target="https://assets.vans.eu/images/VN000DAZSTN-HERO/1" TargetMode="External"/><Relationship Id="rId2971" Type="http://schemas.openxmlformats.org/officeDocument/2006/relationships/hyperlink" Target="https://assets.vans.eu/images/VN000GE8BLK-HERO/1" TargetMode="External"/><Relationship Id="rId3815" Type="http://schemas.openxmlformats.org/officeDocument/2006/relationships/hyperlink" Target="https://assets.vans.eu/images/VN000CR50ZB-HERO/1" TargetMode="External"/><Relationship Id="rId5030" Type="http://schemas.openxmlformats.org/officeDocument/2006/relationships/hyperlink" Target="https://assets.vans.eu/images/VN0A2Z34REB-HERO/1" TargetMode="External"/><Relationship Id="rId943" Type="http://schemas.openxmlformats.org/officeDocument/2006/relationships/hyperlink" Target="https://assets.vans.eu/images/VN000D0MBZW-HERO/1" TargetMode="External"/><Relationship Id="rId1019" Type="http://schemas.openxmlformats.org/officeDocument/2006/relationships/hyperlink" Target="https://assets.vans.eu/images/VN000PGJEMF-HERO/1" TargetMode="External"/><Relationship Id="rId1573" Type="http://schemas.openxmlformats.org/officeDocument/2006/relationships/hyperlink" Target="https://assets.vans.eu/images/VN000FTEBLK-HERO/1" TargetMode="External"/><Relationship Id="rId1780" Type="http://schemas.openxmlformats.org/officeDocument/2006/relationships/hyperlink" Target="https://assets.vans.eu/images/VN000QN8Y28-HERO/1" TargetMode="External"/><Relationship Id="rId1878" Type="http://schemas.openxmlformats.org/officeDocument/2006/relationships/hyperlink" Target="https://assets.vans.eu/images/VN000D26E2Z-HERO/1" TargetMode="External"/><Relationship Id="rId2624" Type="http://schemas.openxmlformats.org/officeDocument/2006/relationships/hyperlink" Target="https://assets.vans.eu/images/VN000D5R11U-HERO/1" TargetMode="External"/><Relationship Id="rId2831" Type="http://schemas.openxmlformats.org/officeDocument/2006/relationships/hyperlink" Target="https://assets.vans.eu/images/VN0A4UWMBP1-HERO/1" TargetMode="External"/><Relationship Id="rId2929" Type="http://schemas.openxmlformats.org/officeDocument/2006/relationships/hyperlink" Target="https://assets.vans.eu/images/VN0008KUJDU-HERO/1" TargetMode="External"/><Relationship Id="rId4077" Type="http://schemas.openxmlformats.org/officeDocument/2006/relationships/hyperlink" Target="https://assets.vans.eu/images/VN000D1GBA2-HERO/1" TargetMode="External"/><Relationship Id="rId4284" Type="http://schemas.openxmlformats.org/officeDocument/2006/relationships/hyperlink" Target="https://assets.vans.eu/images/VN000D5RBRG-HERO/1" TargetMode="External"/><Relationship Id="rId4491" Type="http://schemas.openxmlformats.org/officeDocument/2006/relationships/hyperlink" Target="https://assets.vans.eu/images/VN000D9YTUP-HERO/1" TargetMode="External"/><Relationship Id="rId72" Type="http://schemas.openxmlformats.org/officeDocument/2006/relationships/hyperlink" Target="https://assets.vans.eu/images/VN000R32ENA-HERO/1" TargetMode="External"/><Relationship Id="rId803" Type="http://schemas.openxmlformats.org/officeDocument/2006/relationships/hyperlink" Target="https://assets.vans.eu/images/VN000PFBEMU-HERO/1" TargetMode="External"/><Relationship Id="rId1226" Type="http://schemas.openxmlformats.org/officeDocument/2006/relationships/hyperlink" Target="https://assets.vans.eu/images/VN000CYABMC-HERO/1" TargetMode="External"/><Relationship Id="rId1433" Type="http://schemas.openxmlformats.org/officeDocument/2006/relationships/hyperlink" Target="https://assets.vans.eu/images/VN0A7YUTBLK-HERO/1" TargetMode="External"/><Relationship Id="rId1640" Type="http://schemas.openxmlformats.org/officeDocument/2006/relationships/hyperlink" Target="https://assets.vans.eu/images/VN000K0DDBC-HERO/1" TargetMode="External"/><Relationship Id="rId1738" Type="http://schemas.openxmlformats.org/officeDocument/2006/relationships/hyperlink" Target="https://assets.vans.eu/images/VN000PQWBLK-HERO/1" TargetMode="External"/><Relationship Id="rId3093" Type="http://schemas.openxmlformats.org/officeDocument/2006/relationships/hyperlink" Target="https://assets.vans.eu/images/VN000KASD3Z-HERO/1" TargetMode="External"/><Relationship Id="rId4144" Type="http://schemas.openxmlformats.org/officeDocument/2006/relationships/hyperlink" Target="https://assets.vans.eu/images/VN000D22B9P-HERO/1" TargetMode="External"/><Relationship Id="rId4351" Type="http://schemas.openxmlformats.org/officeDocument/2006/relationships/hyperlink" Target="https://assets.vans.eu/images/VN000D6NBGK-HERO/1" TargetMode="External"/><Relationship Id="rId4589" Type="http://schemas.openxmlformats.org/officeDocument/2006/relationships/hyperlink" Target="https://assets.vans.eu/images/VN000DC6BRO-HERO/1" TargetMode="External"/><Relationship Id="rId4796" Type="http://schemas.openxmlformats.org/officeDocument/2006/relationships/hyperlink" Target="https://assets.vans.eu/images/VN0A7Q5EZBF-HERO/1" TargetMode="External"/><Relationship Id="rId1500" Type="http://schemas.openxmlformats.org/officeDocument/2006/relationships/hyperlink" Target="https://assets.vans.eu/images/VN000D26GWT-HERO/1" TargetMode="External"/><Relationship Id="rId1945" Type="http://schemas.openxmlformats.org/officeDocument/2006/relationships/hyperlink" Target="https://assets.vans.eu/images/VN000DA1Z34-HERO/1" TargetMode="External"/><Relationship Id="rId3160" Type="http://schemas.openxmlformats.org/officeDocument/2006/relationships/hyperlink" Target="https://assets.vans.eu/images/VN000M8UBLK-HERO/1" TargetMode="External"/><Relationship Id="rId3398" Type="http://schemas.openxmlformats.org/officeDocument/2006/relationships/hyperlink" Target="https://assets.vans.eu/images/VN000PH6IYR-HERO/1" TargetMode="External"/><Relationship Id="rId4004" Type="http://schemas.openxmlformats.org/officeDocument/2006/relationships/hyperlink" Target="https://assets.vans.eu/images/VN000CZ7O33-HERO/1" TargetMode="External"/><Relationship Id="rId4211" Type="http://schemas.openxmlformats.org/officeDocument/2006/relationships/hyperlink" Target="https://assets.vans.eu/images/VN000D2DBA2-HERO/1" TargetMode="External"/><Relationship Id="rId4449" Type="http://schemas.openxmlformats.org/officeDocument/2006/relationships/hyperlink" Target="https://assets.vans.eu/images/VN000D831NU-HERO/1" TargetMode="External"/><Relationship Id="rId4656" Type="http://schemas.openxmlformats.org/officeDocument/2006/relationships/hyperlink" Target="https://assets.vans.eu/images/VN000EDNGRY-HERO/1" TargetMode="External"/><Relationship Id="rId4863" Type="http://schemas.openxmlformats.org/officeDocument/2006/relationships/hyperlink" Target="https://assets.vans.eu/images/VN000EEBBO5-HERO/1" TargetMode="External"/><Relationship Id="rId1805" Type="http://schemas.openxmlformats.org/officeDocument/2006/relationships/hyperlink" Target="https://assets.vans.eu/images/VN0A3CZEYB2-HERO/1" TargetMode="External"/><Relationship Id="rId3020" Type="http://schemas.openxmlformats.org/officeDocument/2006/relationships/hyperlink" Target="https://assets.vans.eu/images/VN000HPFFS8-HERO/1" TargetMode="External"/><Relationship Id="rId3258" Type="http://schemas.openxmlformats.org/officeDocument/2006/relationships/hyperlink" Target="https://assets.vans.eu/images/VN000P21EMU-HERO/1" TargetMode="External"/><Relationship Id="rId3465" Type="http://schemas.openxmlformats.org/officeDocument/2006/relationships/hyperlink" Target="https://assets.vans.eu/images/VN000PTGEN7-HERO/1" TargetMode="External"/><Relationship Id="rId3672" Type="http://schemas.openxmlformats.org/officeDocument/2006/relationships/hyperlink" Target="https://assets.vans.eu/images/VN0A7SHE705-HERO/1" TargetMode="External"/><Relationship Id="rId4309" Type="http://schemas.openxmlformats.org/officeDocument/2006/relationships/hyperlink" Target="https://assets.vans.eu/images/VN000D60RV2-HERO/1" TargetMode="External"/><Relationship Id="rId4516" Type="http://schemas.openxmlformats.org/officeDocument/2006/relationships/hyperlink" Target="https://assets.vans.eu/images/VN000DA1Z34-HERO/1" TargetMode="External"/><Relationship Id="rId4723" Type="http://schemas.openxmlformats.org/officeDocument/2006/relationships/hyperlink" Target="https://assets.vans.eu/images/VN0A4U1K3MZ-HERO/1" TargetMode="External"/><Relationship Id="rId179" Type="http://schemas.openxmlformats.org/officeDocument/2006/relationships/hyperlink" Target="https://assets.vans.eu/images/VN0A4U1KWHT-HERO/1" TargetMode="External"/><Relationship Id="rId386" Type="http://schemas.openxmlformats.org/officeDocument/2006/relationships/hyperlink" Target="https://assets.vans.eu/images/VN000E9YBGP-HERO/1" TargetMode="External"/><Relationship Id="rId593" Type="http://schemas.openxmlformats.org/officeDocument/2006/relationships/hyperlink" Target="https://assets.vans.eu/images/VN000QB4Y7X-HERO/1" TargetMode="External"/><Relationship Id="rId2067" Type="http://schemas.openxmlformats.org/officeDocument/2006/relationships/hyperlink" Target="https://assets.vans.eu/images/VN000IVEZX7-HERO/1" TargetMode="External"/><Relationship Id="rId2274" Type="http://schemas.openxmlformats.org/officeDocument/2006/relationships/hyperlink" Target="https://assets.vans.eu/images/VN000PMXEMU-HERO/1" TargetMode="External"/><Relationship Id="rId2481" Type="http://schemas.openxmlformats.org/officeDocument/2006/relationships/hyperlink" Target="https://assets.vans.eu/images/VN000CVT7YO-HERO/1" TargetMode="External"/><Relationship Id="rId3118" Type="http://schemas.openxmlformats.org/officeDocument/2006/relationships/hyperlink" Target="https://assets.vans.eu/images/VN000M0PKCZ-HERO/1" TargetMode="External"/><Relationship Id="rId3325" Type="http://schemas.openxmlformats.org/officeDocument/2006/relationships/hyperlink" Target="https://assets.vans.eu/images/VN000P8CJDU-HERO/1" TargetMode="External"/><Relationship Id="rId3532" Type="http://schemas.openxmlformats.org/officeDocument/2006/relationships/hyperlink" Target="https://assets.vans.eu/images/VN000QFGDJR-HERO/1" TargetMode="External"/><Relationship Id="rId3977" Type="http://schemas.openxmlformats.org/officeDocument/2006/relationships/hyperlink" Target="https://assets.vans.eu/images/VN000CYA7VF-HERO/1" TargetMode="External"/><Relationship Id="rId4930" Type="http://schemas.openxmlformats.org/officeDocument/2006/relationships/hyperlink" Target="https://assets.vans.eu/images/VN000D1G1OJ-HERO/1" TargetMode="External"/><Relationship Id="rId246" Type="http://schemas.openxmlformats.org/officeDocument/2006/relationships/hyperlink" Target="https://assets.vans.eu/images/VN000E9ZYF5-HERO/1" TargetMode="External"/><Relationship Id="rId453" Type="http://schemas.openxmlformats.org/officeDocument/2006/relationships/hyperlink" Target="https://assets.vans.eu/images/VN000CRRD3X-HERO/1" TargetMode="External"/><Relationship Id="rId660" Type="http://schemas.openxmlformats.org/officeDocument/2006/relationships/hyperlink" Target="https://assets.vans.eu/images/VN000PK1EMZ-HERO/1" TargetMode="External"/><Relationship Id="rId898" Type="http://schemas.openxmlformats.org/officeDocument/2006/relationships/hyperlink" Target="https://assets.vans.eu/images/VN000PHPAFM-HERO/1" TargetMode="External"/><Relationship Id="rId1083" Type="http://schemas.openxmlformats.org/officeDocument/2006/relationships/hyperlink" Target="https://assets.vans.eu/images/VN000E9RG58-HERO/1" TargetMode="External"/><Relationship Id="rId1290" Type="http://schemas.openxmlformats.org/officeDocument/2006/relationships/hyperlink" Target="https://assets.vans.eu/images/VN000HSMVVL-HERO/1" TargetMode="External"/><Relationship Id="rId2134" Type="http://schemas.openxmlformats.org/officeDocument/2006/relationships/hyperlink" Target="https://assets.vans.eu/images/VN000MA2EMF-HERO/1" TargetMode="External"/><Relationship Id="rId2341" Type="http://schemas.openxmlformats.org/officeDocument/2006/relationships/hyperlink" Target="https://assets.vans.eu/images/VN000RC1O8W-HERO/1" TargetMode="External"/><Relationship Id="rId2579" Type="http://schemas.openxmlformats.org/officeDocument/2006/relationships/hyperlink" Target="https://assets.vans.eu/images/VN000D1HO3N-HERO/1" TargetMode="External"/><Relationship Id="rId2786" Type="http://schemas.openxmlformats.org/officeDocument/2006/relationships/hyperlink" Target="https://assets.vans.eu/images/VN000EA9BA2-HERO/1" TargetMode="External"/><Relationship Id="rId2993" Type="http://schemas.openxmlformats.org/officeDocument/2006/relationships/hyperlink" Target="https://assets.vans.eu/images/VN000HEUFS8-HERO/1" TargetMode="External"/><Relationship Id="rId3837" Type="http://schemas.openxmlformats.org/officeDocument/2006/relationships/hyperlink" Target="https://assets.vans.eu/images/VN000CTDY23-HERO/1" TargetMode="External"/><Relationship Id="rId106" Type="http://schemas.openxmlformats.org/officeDocument/2006/relationships/hyperlink" Target="https://assets.vans.eu/images/VN000Q1TBLK-HERO/1" TargetMode="External"/><Relationship Id="rId313" Type="http://schemas.openxmlformats.org/officeDocument/2006/relationships/hyperlink" Target="https://assets.vans.eu/images/VN000RG21QI-HERO/1" TargetMode="External"/><Relationship Id="rId758" Type="http://schemas.openxmlformats.org/officeDocument/2006/relationships/hyperlink" Target="https://assets.vans.eu/images/VN000D1PDJR-HERO/1" TargetMode="External"/><Relationship Id="rId965" Type="http://schemas.openxmlformats.org/officeDocument/2006/relationships/hyperlink" Target="https://assets.vans.eu/images/VN000D9ACJ7-HERO/1" TargetMode="External"/><Relationship Id="rId1150" Type="http://schemas.openxmlformats.org/officeDocument/2006/relationships/hyperlink" Target="https://assets.vans.eu/images/VN000NY1C9L-HERO/1" TargetMode="External"/><Relationship Id="rId1388" Type="http://schemas.openxmlformats.org/officeDocument/2006/relationships/hyperlink" Target="https://assets.vans.eu/images/VN000PN9ZX7-HERO/1" TargetMode="External"/><Relationship Id="rId1595" Type="http://schemas.openxmlformats.org/officeDocument/2006/relationships/hyperlink" Target="https://assets.vans.eu/images/VN000YBSWHT-HERO/1" TargetMode="External"/><Relationship Id="rId2439" Type="http://schemas.openxmlformats.org/officeDocument/2006/relationships/hyperlink" Target="https://assets.vans.eu/images/VN000CQ04C3-HERO/1" TargetMode="External"/><Relationship Id="rId2646" Type="http://schemas.openxmlformats.org/officeDocument/2006/relationships/hyperlink" Target="https://assets.vans.eu/images/VN000D610VW-HERO/1" TargetMode="External"/><Relationship Id="rId2853" Type="http://schemas.openxmlformats.org/officeDocument/2006/relationships/hyperlink" Target="https://assets.vans.eu/images/VN0006760E0-HERO/1" TargetMode="External"/><Relationship Id="rId3904" Type="http://schemas.openxmlformats.org/officeDocument/2006/relationships/hyperlink" Target="https://assets.vans.eu/images/VN000CVU1LO-HERO/1" TargetMode="External"/><Relationship Id="rId4099" Type="http://schemas.openxmlformats.org/officeDocument/2006/relationships/hyperlink" Target="https://assets.vans.eu/images/VN000D1J4VT-HERO/1" TargetMode="External"/><Relationship Id="rId5052" Type="http://schemas.openxmlformats.org/officeDocument/2006/relationships/hyperlink" Target="https://assets.vans.eu/images/VN0A2Z3TWTM-HERO/1" TargetMode="External"/><Relationship Id="rId94" Type="http://schemas.openxmlformats.org/officeDocument/2006/relationships/hyperlink" Target="https://assets.vans.eu/images/VN0A45NMGL4-HERO/1" TargetMode="External"/><Relationship Id="rId520" Type="http://schemas.openxmlformats.org/officeDocument/2006/relationships/hyperlink" Target="https://assets.vans.eu/images/VN000PQR02F-HERO/1" TargetMode="External"/><Relationship Id="rId618" Type="http://schemas.openxmlformats.org/officeDocument/2006/relationships/hyperlink" Target="https://assets.vans.eu/images/VN000R7AYB2-HERO/1" TargetMode="External"/><Relationship Id="rId825" Type="http://schemas.openxmlformats.org/officeDocument/2006/relationships/hyperlink" Target="https://assets.vans.eu/images/VN000RFUWHT-HERO/1" TargetMode="External"/><Relationship Id="rId1248" Type="http://schemas.openxmlformats.org/officeDocument/2006/relationships/hyperlink" Target="https://assets.vans.eu/images/VN000D1JY23-HERO/1" TargetMode="External"/><Relationship Id="rId1455" Type="http://schemas.openxmlformats.org/officeDocument/2006/relationships/hyperlink" Target="https://assets.vans.eu/images/VN000CRRCCZ-HERO/1" TargetMode="External"/><Relationship Id="rId1662" Type="http://schemas.openxmlformats.org/officeDocument/2006/relationships/hyperlink" Target="https://assets.vans.eu/images/VN000MA2EMF-HERO/1" TargetMode="External"/><Relationship Id="rId2201" Type="http://schemas.openxmlformats.org/officeDocument/2006/relationships/hyperlink" Target="https://assets.vans.eu/images/VN000P7UJDU-HERO/1" TargetMode="External"/><Relationship Id="rId2506" Type="http://schemas.openxmlformats.org/officeDocument/2006/relationships/hyperlink" Target="https://assets.vans.eu/images/VN000CVVOLV-HERO/1" TargetMode="External"/><Relationship Id="rId1010" Type="http://schemas.openxmlformats.org/officeDocument/2006/relationships/hyperlink" Target="https://assets.vans.eu/images/VN000NUYO3N-HERO/1" TargetMode="External"/><Relationship Id="rId1108" Type="http://schemas.openxmlformats.org/officeDocument/2006/relationships/hyperlink" Target="https://assets.vans.eu/images/VN000QBQEN7-HERO/1" TargetMode="External"/><Relationship Id="rId1315" Type="http://schemas.openxmlformats.org/officeDocument/2006/relationships/hyperlink" Target="https://assets.vans.eu/images/VN000IVEBLK-HERO/1" TargetMode="External"/><Relationship Id="rId1967" Type="http://schemas.openxmlformats.org/officeDocument/2006/relationships/hyperlink" Target="https://assets.vans.eu/images/VN000E9RG58-HERO/1" TargetMode="External"/><Relationship Id="rId2713" Type="http://schemas.openxmlformats.org/officeDocument/2006/relationships/hyperlink" Target="https://assets.vans.eu/images/VN000D9YBX9-HERO/1" TargetMode="External"/><Relationship Id="rId2920" Type="http://schemas.openxmlformats.org/officeDocument/2006/relationships/hyperlink" Target="https://assets.vans.eu/images/VN00087WBLK-HERO/1" TargetMode="External"/><Relationship Id="rId4166" Type="http://schemas.openxmlformats.org/officeDocument/2006/relationships/hyperlink" Target="https://assets.vans.eu/images/VN000D22RV2-HERO/1" TargetMode="External"/><Relationship Id="rId4373" Type="http://schemas.openxmlformats.org/officeDocument/2006/relationships/hyperlink" Target="https://assets.vans.eu/images/VN000D6WBOM-HERO/1" TargetMode="External"/><Relationship Id="rId4580" Type="http://schemas.openxmlformats.org/officeDocument/2006/relationships/hyperlink" Target="https://assets.vans.eu/images/VN000DAZSTN-HERO/1" TargetMode="External"/><Relationship Id="rId4678" Type="http://schemas.openxmlformats.org/officeDocument/2006/relationships/hyperlink" Target="https://assets.vans.eu/images/VN000V25B5T-HERO/1" TargetMode="External"/><Relationship Id="rId1522" Type="http://schemas.openxmlformats.org/officeDocument/2006/relationships/hyperlink" Target="https://assets.vans.eu/images/VN000D80BF0-HERO/1" TargetMode="External"/><Relationship Id="rId4885" Type="http://schemas.openxmlformats.org/officeDocument/2006/relationships/hyperlink" Target="https://assets.vans.eu/images/VN000D9ZRBG-HERO/1" TargetMode="External"/><Relationship Id="rId21" Type="http://schemas.openxmlformats.org/officeDocument/2006/relationships/hyperlink" Target="https://assets.vans.eu/images/VN0007BHDAJ-HERO/1" TargetMode="External"/><Relationship Id="rId2089" Type="http://schemas.openxmlformats.org/officeDocument/2006/relationships/hyperlink" Target="https://assets.vans.eu/images/VN000K42E2Z-HERO/1" TargetMode="External"/><Relationship Id="rId3487" Type="http://schemas.openxmlformats.org/officeDocument/2006/relationships/hyperlink" Target="https://assets.vans.eu/images/VN000PXMCDX-HERO/1" TargetMode="External"/><Relationship Id="rId3694" Type="http://schemas.openxmlformats.org/officeDocument/2006/relationships/hyperlink" Target="https://assets.vans.eu/images/VN0005UKQJM-HERO/1" TargetMode="External"/><Relationship Id="rId4538" Type="http://schemas.openxmlformats.org/officeDocument/2006/relationships/hyperlink" Target="https://assets.vans.eu/images/VN000DAJYJ7-HERO/1" TargetMode="External"/><Relationship Id="rId4745" Type="http://schemas.openxmlformats.org/officeDocument/2006/relationships/hyperlink" Target="https://assets.vans.eu/images/VN0A5FCB1N6-HERO/1" TargetMode="External"/><Relationship Id="rId4952" Type="http://schemas.openxmlformats.org/officeDocument/2006/relationships/hyperlink" Target="https://assets.vans.eu/images/VN000D3NEZ7-HERO/1" TargetMode="External"/><Relationship Id="rId2296" Type="http://schemas.openxmlformats.org/officeDocument/2006/relationships/hyperlink" Target="https://assets.vans.eu/images/VN000PTBF0W-HERO/1" TargetMode="External"/><Relationship Id="rId3347" Type="http://schemas.openxmlformats.org/officeDocument/2006/relationships/hyperlink" Target="https://assets.vans.eu/images/VN000PBVWHT-HERO/1" TargetMode="External"/><Relationship Id="rId3554" Type="http://schemas.openxmlformats.org/officeDocument/2006/relationships/hyperlink" Target="https://assets.vans.eu/images/VN000R74EMS-HERO/1" TargetMode="External"/><Relationship Id="rId3761" Type="http://schemas.openxmlformats.org/officeDocument/2006/relationships/hyperlink" Target="https://assets.vans.eu/images/VN000BVZFRL-HERO/1" TargetMode="External"/><Relationship Id="rId4605" Type="http://schemas.openxmlformats.org/officeDocument/2006/relationships/hyperlink" Target="https://assets.vans.eu/images/VN000E89YG4-HERO/1" TargetMode="External"/><Relationship Id="rId4812" Type="http://schemas.openxmlformats.org/officeDocument/2006/relationships/hyperlink" Target="https://assets.vans.eu/images/VN000D5RZHJ-HERO/1" TargetMode="External"/><Relationship Id="rId268" Type="http://schemas.openxmlformats.org/officeDocument/2006/relationships/hyperlink" Target="https://assets.vans.eu/images/VN000BHXBLK-HERO/1" TargetMode="External"/><Relationship Id="rId475" Type="http://schemas.openxmlformats.org/officeDocument/2006/relationships/hyperlink" Target="https://assets.vans.eu/images/VN000HQ3M8I-HERO/1" TargetMode="External"/><Relationship Id="rId682" Type="http://schemas.openxmlformats.org/officeDocument/2006/relationships/hyperlink" Target="https://assets.vans.eu/images/VN000CYVENA-HERO/1" TargetMode="External"/><Relationship Id="rId2156" Type="http://schemas.openxmlformats.org/officeDocument/2006/relationships/hyperlink" Target="https://assets.vans.eu/images/VN000MK8BLK-HERO/1" TargetMode="External"/><Relationship Id="rId2363" Type="http://schemas.openxmlformats.org/officeDocument/2006/relationships/hyperlink" Target="https://assets.vans.eu/images/VN000XBZIZQ-HERO/1" TargetMode="External"/><Relationship Id="rId2570" Type="http://schemas.openxmlformats.org/officeDocument/2006/relationships/hyperlink" Target="https://assets.vans.eu/images/VN000D111KP-HERO/1" TargetMode="External"/><Relationship Id="rId3207" Type="http://schemas.openxmlformats.org/officeDocument/2006/relationships/hyperlink" Target="https://assets.vans.eu/images/VN000MHGBLK-HERO/1" TargetMode="External"/><Relationship Id="rId3414" Type="http://schemas.openxmlformats.org/officeDocument/2006/relationships/hyperlink" Target="https://assets.vans.eu/images/VN000PJR3N1-HERO/1" TargetMode="External"/><Relationship Id="rId3621" Type="http://schemas.openxmlformats.org/officeDocument/2006/relationships/hyperlink" Target="https://assets.vans.eu/images/VN0A3189LKZ-HERO/1" TargetMode="External"/><Relationship Id="rId128" Type="http://schemas.openxmlformats.org/officeDocument/2006/relationships/hyperlink" Target="https://assets.vans.eu/images/VN000P2A1NU-HERO/1" TargetMode="External"/><Relationship Id="rId335" Type="http://schemas.openxmlformats.org/officeDocument/2006/relationships/hyperlink" Target="https://assets.vans.eu/images/VN0001TTHU0-HERO/1" TargetMode="External"/><Relationship Id="rId542" Type="http://schemas.openxmlformats.org/officeDocument/2006/relationships/hyperlink" Target="https://assets.vans.eu/images/VN000QB3EMJ-HERO/1" TargetMode="External"/><Relationship Id="rId1172" Type="http://schemas.openxmlformats.org/officeDocument/2006/relationships/hyperlink" Target="https://assets.vans.eu/images/VN000PK1BLK-HERO/1" TargetMode="External"/><Relationship Id="rId2016" Type="http://schemas.openxmlformats.org/officeDocument/2006/relationships/hyperlink" Target="https://assets.vans.eu/images/VN000QAGLVB-HERO/1" TargetMode="External"/><Relationship Id="rId2223" Type="http://schemas.openxmlformats.org/officeDocument/2006/relationships/hyperlink" Target="https://assets.vans.eu/images/VN000PDREMS-HERO/1" TargetMode="External"/><Relationship Id="rId2430" Type="http://schemas.openxmlformats.org/officeDocument/2006/relationships/hyperlink" Target="https://assets.vans.eu/images/VN000BW7RV2-HERO/1" TargetMode="External"/><Relationship Id="rId402" Type="http://schemas.openxmlformats.org/officeDocument/2006/relationships/hyperlink" Target="https://assets.vans.eu/images/VN000EE1I6Y-HERO/1" TargetMode="External"/><Relationship Id="rId1032" Type="http://schemas.openxmlformats.org/officeDocument/2006/relationships/hyperlink" Target="https://assets.vans.eu/images/VN000Q35RV2-HERO/1" TargetMode="External"/><Relationship Id="rId4188" Type="http://schemas.openxmlformats.org/officeDocument/2006/relationships/hyperlink" Target="https://assets.vans.eu/images/VN000D26KGR-HERO/1" TargetMode="External"/><Relationship Id="rId4395" Type="http://schemas.openxmlformats.org/officeDocument/2006/relationships/hyperlink" Target="https://assets.vans.eu/images/VN000D6YEMW-HERO/1" TargetMode="External"/><Relationship Id="rId1989" Type="http://schemas.openxmlformats.org/officeDocument/2006/relationships/hyperlink" Target="https://assets.vans.eu/images/VN000ZSRGQ0-HERO/1" TargetMode="External"/><Relationship Id="rId4048" Type="http://schemas.openxmlformats.org/officeDocument/2006/relationships/hyperlink" Target="https://assets.vans.eu/images/VN000D0SYLZ-HERO/1" TargetMode="External"/><Relationship Id="rId4255" Type="http://schemas.openxmlformats.org/officeDocument/2006/relationships/hyperlink" Target="https://assets.vans.eu/images/VN000D4NBZW-HERO/1" TargetMode="External"/><Relationship Id="rId1849" Type="http://schemas.openxmlformats.org/officeDocument/2006/relationships/hyperlink" Target="https://assets.vans.eu/images/VN000CWEN1Z-HERO/1" TargetMode="External"/><Relationship Id="rId3064" Type="http://schemas.openxmlformats.org/officeDocument/2006/relationships/hyperlink" Target="https://assets.vans.eu/images/VN000JGT02F-HERO/1" TargetMode="External"/><Relationship Id="rId4462" Type="http://schemas.openxmlformats.org/officeDocument/2006/relationships/hyperlink" Target="https://assets.vans.eu/images/VN000D88WTM-HERO/1" TargetMode="External"/><Relationship Id="rId192" Type="http://schemas.openxmlformats.org/officeDocument/2006/relationships/hyperlink" Target="https://assets.vans.eu/images/VN000Q981O7-HERO/1" TargetMode="External"/><Relationship Id="rId1709" Type="http://schemas.openxmlformats.org/officeDocument/2006/relationships/hyperlink" Target="https://assets.vans.eu/images/VN000PBX6JL-HERO/1" TargetMode="External"/><Relationship Id="rId1916" Type="http://schemas.openxmlformats.org/officeDocument/2006/relationships/hyperlink" Target="https://assets.vans.eu/images/VN000D6W7WM-HERO/1" TargetMode="External"/><Relationship Id="rId3271" Type="http://schemas.openxmlformats.org/officeDocument/2006/relationships/hyperlink" Target="https://assets.vans.eu/images/VN000P51O32-HERO/1" TargetMode="External"/><Relationship Id="rId4115" Type="http://schemas.openxmlformats.org/officeDocument/2006/relationships/hyperlink" Target="https://assets.vans.eu/images/VN000D1JG2T-HERO/1" TargetMode="External"/><Relationship Id="rId4322" Type="http://schemas.openxmlformats.org/officeDocument/2006/relationships/hyperlink" Target="https://assets.vans.eu/images/VN000D6FBF0-HERO/1" TargetMode="External"/><Relationship Id="rId2080" Type="http://schemas.openxmlformats.org/officeDocument/2006/relationships/hyperlink" Target="https://assets.vans.eu/images/VN000JQP7YO-HERO/1" TargetMode="External"/><Relationship Id="rId3131" Type="http://schemas.openxmlformats.org/officeDocument/2006/relationships/hyperlink" Target="https://assets.vans.eu/images/VN000M2KCI2-HERO/1" TargetMode="External"/><Relationship Id="rId2897" Type="http://schemas.openxmlformats.org/officeDocument/2006/relationships/hyperlink" Target="https://assets.vans.eu/images/VN000R98BLK-HERO/1" TargetMode="External"/><Relationship Id="rId3948" Type="http://schemas.openxmlformats.org/officeDocument/2006/relationships/hyperlink" Target="https://assets.vans.eu/images/VN000CVVF87-HERO/1" TargetMode="External"/><Relationship Id="rId869" Type="http://schemas.openxmlformats.org/officeDocument/2006/relationships/hyperlink" Target="https://assets.vans.eu/images/VN0A7PR1BLK-HERO/1" TargetMode="External"/><Relationship Id="rId1499" Type="http://schemas.openxmlformats.org/officeDocument/2006/relationships/hyperlink" Target="https://assets.vans.eu/images/VN000D26EWR-HERO/1" TargetMode="External"/><Relationship Id="rId729" Type="http://schemas.openxmlformats.org/officeDocument/2006/relationships/hyperlink" Target="https://assets.vans.eu/images/VN000Q0PEMP-HERO/1" TargetMode="External"/><Relationship Id="rId1359" Type="http://schemas.openxmlformats.org/officeDocument/2006/relationships/hyperlink" Target="https://assets.vans.eu/images/VN000P5SEMW-HERO/1" TargetMode="External"/><Relationship Id="rId2757" Type="http://schemas.openxmlformats.org/officeDocument/2006/relationships/hyperlink" Target="https://assets.vans.eu/images/VN000DARC9F-HERO/1" TargetMode="External"/><Relationship Id="rId2964" Type="http://schemas.openxmlformats.org/officeDocument/2006/relationships/hyperlink" Target="https://assets.vans.eu/images/VN000GBKCJL-HERO/1" TargetMode="External"/><Relationship Id="rId3808" Type="http://schemas.openxmlformats.org/officeDocument/2006/relationships/hyperlink" Target="https://assets.vans.eu/images/VN000CQRO3N-HERO/1" TargetMode="External"/><Relationship Id="rId5023" Type="http://schemas.openxmlformats.org/officeDocument/2006/relationships/hyperlink" Target="https://assets.vans.eu/images/VN0A2Z34B0Z-HERO/1" TargetMode="External"/><Relationship Id="rId936" Type="http://schemas.openxmlformats.org/officeDocument/2006/relationships/hyperlink" Target="https://assets.vans.eu/images/VN000CVVYZO-HERO/1" TargetMode="External"/><Relationship Id="rId1219" Type="http://schemas.openxmlformats.org/officeDocument/2006/relationships/hyperlink" Target="https://assets.vans.eu/images/VN000CTG448-HERO/1" TargetMode="External"/><Relationship Id="rId1566" Type="http://schemas.openxmlformats.org/officeDocument/2006/relationships/hyperlink" Target="https://assets.vans.eu/images/VN0A5JLTJBW-HERO/1" TargetMode="External"/><Relationship Id="rId1773" Type="http://schemas.openxmlformats.org/officeDocument/2006/relationships/hyperlink" Target="https://assets.vans.eu/images/VN000Q39EN9-HERO/1" TargetMode="External"/><Relationship Id="rId1980" Type="http://schemas.openxmlformats.org/officeDocument/2006/relationships/hyperlink" Target="https://assets.vans.eu/images/VN000V8EGUG-HERO/1" TargetMode="External"/><Relationship Id="rId2617" Type="http://schemas.openxmlformats.org/officeDocument/2006/relationships/hyperlink" Target="https://assets.vans.eu/images/VN000D4NBZW-HERO/1" TargetMode="External"/><Relationship Id="rId2824" Type="http://schemas.openxmlformats.org/officeDocument/2006/relationships/hyperlink" Target="https://assets.vans.eu/images/VN0A3TKN6BT-HERO/1" TargetMode="External"/><Relationship Id="rId65" Type="http://schemas.openxmlformats.org/officeDocument/2006/relationships/hyperlink" Target="https://assets.vans.eu/images/VN000Q1XBLK-HERO/1" TargetMode="External"/><Relationship Id="rId1426" Type="http://schemas.openxmlformats.org/officeDocument/2006/relationships/hyperlink" Target="https://assets.vans.eu/images/VN000XBZIZQ-HERO/1" TargetMode="External"/><Relationship Id="rId1633" Type="http://schemas.openxmlformats.org/officeDocument/2006/relationships/hyperlink" Target="https://assets.vans.eu/images/VN000JB5JDU-HERO/1" TargetMode="External"/><Relationship Id="rId1840" Type="http://schemas.openxmlformats.org/officeDocument/2006/relationships/hyperlink" Target="https://assets.vans.eu/images/VN000CVTCX6-HERO/1" TargetMode="External"/><Relationship Id="rId4789" Type="http://schemas.openxmlformats.org/officeDocument/2006/relationships/hyperlink" Target="https://assets.vans.eu/images/VN0A5KS5BPO-HERO/1" TargetMode="External"/><Relationship Id="rId4996" Type="http://schemas.openxmlformats.org/officeDocument/2006/relationships/hyperlink" Target="https://assets.vans.eu/images/VN000EDNBJB-HERO/1" TargetMode="External"/><Relationship Id="rId1700" Type="http://schemas.openxmlformats.org/officeDocument/2006/relationships/hyperlink" Target="https://assets.vans.eu/images/VN000P5SEMW-HERO/1" TargetMode="External"/><Relationship Id="rId3598" Type="http://schemas.openxmlformats.org/officeDocument/2006/relationships/hyperlink" Target="https://assets.vans.eu/images/VN000RG44QU-HERO/1" TargetMode="External"/><Relationship Id="rId4649" Type="http://schemas.openxmlformats.org/officeDocument/2006/relationships/hyperlink" Target="https://assets.vans.eu/images/VN000EDNAH9-HERO/1" TargetMode="External"/><Relationship Id="rId4856" Type="http://schemas.openxmlformats.org/officeDocument/2006/relationships/hyperlink" Target="https://assets.vans.eu/images/VN000D5RZHJ-HERO/1" TargetMode="External"/><Relationship Id="rId3458" Type="http://schemas.openxmlformats.org/officeDocument/2006/relationships/hyperlink" Target="https://assets.vans.eu/images/VN000PQWEMF-HERO/1" TargetMode="External"/><Relationship Id="rId3665" Type="http://schemas.openxmlformats.org/officeDocument/2006/relationships/hyperlink" Target="https://assets.vans.eu/images/VN0A5FN19JC-HERO/1" TargetMode="External"/><Relationship Id="rId3872" Type="http://schemas.openxmlformats.org/officeDocument/2006/relationships/hyperlink" Target="https://assets.vans.eu/images/VN000CVNBH4-HERO/1" TargetMode="External"/><Relationship Id="rId4509" Type="http://schemas.openxmlformats.org/officeDocument/2006/relationships/hyperlink" Target="https://assets.vans.eu/images/VN000DA18DX-HERO/1" TargetMode="External"/><Relationship Id="rId4716" Type="http://schemas.openxmlformats.org/officeDocument/2006/relationships/hyperlink" Target="https://assets.vans.eu/images/VN0A4BTWVLV-HERO/1" TargetMode="External"/><Relationship Id="rId379" Type="http://schemas.openxmlformats.org/officeDocument/2006/relationships/hyperlink" Target="https://assets.vans.eu/images/VN000BCEBA2-HERO/1" TargetMode="External"/><Relationship Id="rId586" Type="http://schemas.openxmlformats.org/officeDocument/2006/relationships/hyperlink" Target="https://assets.vans.eu/images/VN000ZUVC4R-HERO/1" TargetMode="External"/><Relationship Id="rId793" Type="http://schemas.openxmlformats.org/officeDocument/2006/relationships/hyperlink" Target="https://assets.vans.eu/images/VN000MJJCDX-HERO/1" TargetMode="External"/><Relationship Id="rId2267" Type="http://schemas.openxmlformats.org/officeDocument/2006/relationships/hyperlink" Target="https://assets.vans.eu/images/VN000PMDEMW-HERO/1" TargetMode="External"/><Relationship Id="rId2474" Type="http://schemas.openxmlformats.org/officeDocument/2006/relationships/hyperlink" Target="https://assets.vans.eu/images/VN000CTGPIB-HERO/1" TargetMode="External"/><Relationship Id="rId2681" Type="http://schemas.openxmlformats.org/officeDocument/2006/relationships/hyperlink" Target="https://assets.vans.eu/images/VN000D6YEMH-HERO/1" TargetMode="External"/><Relationship Id="rId3318" Type="http://schemas.openxmlformats.org/officeDocument/2006/relationships/hyperlink" Target="https://assets.vans.eu/images/VN000P84EMV-HERO/1" TargetMode="External"/><Relationship Id="rId3525" Type="http://schemas.openxmlformats.org/officeDocument/2006/relationships/hyperlink" Target="https://assets.vans.eu/images/VN000Q74EN6-HERO/1" TargetMode="External"/><Relationship Id="rId4923" Type="http://schemas.openxmlformats.org/officeDocument/2006/relationships/hyperlink" Target="https://assets.vans.eu/images/VN000CVURV2-HERO/1" TargetMode="External"/><Relationship Id="rId239" Type="http://schemas.openxmlformats.org/officeDocument/2006/relationships/hyperlink" Target="https://assets.vans.eu/images/VN0A7Y3X6OG-HERO/1" TargetMode="External"/><Relationship Id="rId446" Type="http://schemas.openxmlformats.org/officeDocument/2006/relationships/hyperlink" Target="https://assets.vans.eu/images/VN000SN14OU-HERO/1" TargetMode="External"/><Relationship Id="rId653" Type="http://schemas.openxmlformats.org/officeDocument/2006/relationships/hyperlink" Target="https://assets.vans.eu/images/VN000M77Y7U-HERO/1" TargetMode="External"/><Relationship Id="rId1076" Type="http://schemas.openxmlformats.org/officeDocument/2006/relationships/hyperlink" Target="https://assets.vans.eu/images/VN000D61EMP-HERO/1" TargetMode="External"/><Relationship Id="rId1283" Type="http://schemas.openxmlformats.org/officeDocument/2006/relationships/hyperlink" Target="https://assets.vans.eu/images/VN0A4U16ASX-HERO/1" TargetMode="External"/><Relationship Id="rId1490" Type="http://schemas.openxmlformats.org/officeDocument/2006/relationships/hyperlink" Target="https://assets.vans.eu/images/VN000D11N1Z-HERO/1" TargetMode="External"/><Relationship Id="rId2127" Type="http://schemas.openxmlformats.org/officeDocument/2006/relationships/hyperlink" Target="https://assets.vans.eu/images/VN000M9SBLK-HERO/1" TargetMode="External"/><Relationship Id="rId2334" Type="http://schemas.openxmlformats.org/officeDocument/2006/relationships/hyperlink" Target="https://assets.vans.eu/images/VN000R74EMS-HERO/1" TargetMode="External"/><Relationship Id="rId3732" Type="http://schemas.openxmlformats.org/officeDocument/2006/relationships/hyperlink" Target="https://assets.vans.eu/images/VN0009W3DD8-HERO/1" TargetMode="External"/><Relationship Id="rId306" Type="http://schemas.openxmlformats.org/officeDocument/2006/relationships/hyperlink" Target="https://assets.vans.eu/images/VN000G75BL2-HERO/1" TargetMode="External"/><Relationship Id="rId860" Type="http://schemas.openxmlformats.org/officeDocument/2006/relationships/hyperlink" Target="https://assets.vans.eu/images/VN000ED891K-HERO/1" TargetMode="External"/><Relationship Id="rId1143" Type="http://schemas.openxmlformats.org/officeDocument/2006/relationships/hyperlink" Target="https://assets.vans.eu/images/VN000MBEFS8-HERO/1" TargetMode="External"/><Relationship Id="rId2541" Type="http://schemas.openxmlformats.org/officeDocument/2006/relationships/hyperlink" Target="https://assets.vans.eu/images/VN000D0HKCZ-HERO/1" TargetMode="External"/><Relationship Id="rId4299" Type="http://schemas.openxmlformats.org/officeDocument/2006/relationships/hyperlink" Target="https://assets.vans.eu/images/VN000D60BRO-HERO/1" TargetMode="External"/><Relationship Id="rId513" Type="http://schemas.openxmlformats.org/officeDocument/2006/relationships/hyperlink" Target="https://assets.vans.eu/images/VN000HJV7D6-HERO/1" TargetMode="External"/><Relationship Id="rId720" Type="http://schemas.openxmlformats.org/officeDocument/2006/relationships/hyperlink" Target="https://assets.vans.eu/images/VN000PJU7WM-HERO/1" TargetMode="External"/><Relationship Id="rId1350" Type="http://schemas.openxmlformats.org/officeDocument/2006/relationships/hyperlink" Target="https://assets.vans.eu/images/VN000P1PEML-HERO/1" TargetMode="External"/><Relationship Id="rId2401" Type="http://schemas.openxmlformats.org/officeDocument/2006/relationships/hyperlink" Target="https://assets.vans.eu/images/VN0005UFBLL-HERO/1" TargetMode="External"/><Relationship Id="rId4159" Type="http://schemas.openxmlformats.org/officeDocument/2006/relationships/hyperlink" Target="https://assets.vans.eu/images/VN000D22EMT-HERO/1" TargetMode="External"/><Relationship Id="rId1003" Type="http://schemas.openxmlformats.org/officeDocument/2006/relationships/hyperlink" Target="https://assets.vans.eu/images/VN000M77Y7U-HERO/1" TargetMode="External"/><Relationship Id="rId1210" Type="http://schemas.openxmlformats.org/officeDocument/2006/relationships/hyperlink" Target="https://assets.vans.eu/images/VN000BCEBKA-HERO/1" TargetMode="External"/><Relationship Id="rId4366" Type="http://schemas.openxmlformats.org/officeDocument/2006/relationships/hyperlink" Target="https://assets.vans.eu/images/VN000D6W203-HERO/1" TargetMode="External"/><Relationship Id="rId4573" Type="http://schemas.openxmlformats.org/officeDocument/2006/relationships/hyperlink" Target="https://assets.vans.eu/images/VN000DAYBKA-HERO/1" TargetMode="External"/><Relationship Id="rId4780" Type="http://schemas.openxmlformats.org/officeDocument/2006/relationships/hyperlink" Target="https://assets.vans.eu/images/VN0A5JMKBGF-HERO/1" TargetMode="External"/><Relationship Id="rId3175" Type="http://schemas.openxmlformats.org/officeDocument/2006/relationships/hyperlink" Target="https://assets.vans.eu/images/VN000MA2UUI-HERO/1" TargetMode="External"/><Relationship Id="rId3382" Type="http://schemas.openxmlformats.org/officeDocument/2006/relationships/hyperlink" Target="https://assets.vans.eu/images/VN000PEWBLK-HERO/1" TargetMode="External"/><Relationship Id="rId4019" Type="http://schemas.openxmlformats.org/officeDocument/2006/relationships/hyperlink" Target="https://assets.vans.eu/images/VN000D07L37-HERO/1" TargetMode="External"/><Relationship Id="rId4226" Type="http://schemas.openxmlformats.org/officeDocument/2006/relationships/hyperlink" Target="https://assets.vans.eu/images/VN000D3QEMP-HERO/1" TargetMode="External"/><Relationship Id="rId4433" Type="http://schemas.openxmlformats.org/officeDocument/2006/relationships/hyperlink" Target="https://assets.vans.eu/images/VN000D7ZCHS-HERO/1" TargetMode="External"/><Relationship Id="rId4640" Type="http://schemas.openxmlformats.org/officeDocument/2006/relationships/hyperlink" Target="https://assets.vans.eu/images/VN000ECGBFC-HERO/1" TargetMode="External"/><Relationship Id="rId2191" Type="http://schemas.openxmlformats.org/officeDocument/2006/relationships/hyperlink" Target="https://assets.vans.eu/images/VN000P58E2Z-HERO/1" TargetMode="External"/><Relationship Id="rId3035" Type="http://schemas.openxmlformats.org/officeDocument/2006/relationships/hyperlink" Target="https://assets.vans.eu/images/VN000HZCBLK-HERO/1" TargetMode="External"/><Relationship Id="rId3242" Type="http://schemas.openxmlformats.org/officeDocument/2006/relationships/hyperlink" Target="https://assets.vans.eu/images/VN000NY1C9L-HERO/1" TargetMode="External"/><Relationship Id="rId4500" Type="http://schemas.openxmlformats.org/officeDocument/2006/relationships/hyperlink" Target="https://assets.vans.eu/images/VN000D9ZY27-HERO/1" TargetMode="External"/><Relationship Id="rId163" Type="http://schemas.openxmlformats.org/officeDocument/2006/relationships/hyperlink" Target="https://assets.vans.eu/images/VN000CTG7VF-HERO/1" TargetMode="External"/><Relationship Id="rId370" Type="http://schemas.openxmlformats.org/officeDocument/2006/relationships/hyperlink" Target="https://assets.vans.eu/images/VN000P73Y28-HERO/1" TargetMode="External"/><Relationship Id="rId2051" Type="http://schemas.openxmlformats.org/officeDocument/2006/relationships/hyperlink" Target="https://assets.vans.eu/images/VN000GF8WHT-HERO/1" TargetMode="External"/><Relationship Id="rId3102" Type="http://schemas.openxmlformats.org/officeDocument/2006/relationships/hyperlink" Target="https://assets.vans.eu/images/VN000KU4BLK-HERO/1" TargetMode="External"/><Relationship Id="rId230" Type="http://schemas.openxmlformats.org/officeDocument/2006/relationships/hyperlink" Target="https://assets.vans.eu/images/VN000CWE887-HERO/1" TargetMode="External"/><Relationship Id="rId5067" Type="http://schemas.openxmlformats.org/officeDocument/2006/relationships/hyperlink" Target="https://assets.vans.eu/images/VN0A5HF8PWT-HERO/1" TargetMode="External"/><Relationship Id="rId2868" Type="http://schemas.openxmlformats.org/officeDocument/2006/relationships/hyperlink" Target="https://assets.vans.eu/images/VN000GK8BR1-HERO/1" TargetMode="External"/><Relationship Id="rId3919" Type="http://schemas.openxmlformats.org/officeDocument/2006/relationships/hyperlink" Target="https://assets.vans.eu/images/VN000CVULKZ-HERO/1" TargetMode="External"/><Relationship Id="rId4083" Type="http://schemas.openxmlformats.org/officeDocument/2006/relationships/hyperlink" Target="https://assets.vans.eu/images/VN000D1HBXU-HERO/1" TargetMode="External"/><Relationship Id="rId1677" Type="http://schemas.openxmlformats.org/officeDocument/2006/relationships/hyperlink" Target="https://assets.vans.eu/images/VN000MMMBLK-HERO/1" TargetMode="External"/><Relationship Id="rId1884" Type="http://schemas.openxmlformats.org/officeDocument/2006/relationships/hyperlink" Target="https://assets.vans.eu/images/VN000D45EMY-HERO/1" TargetMode="External"/><Relationship Id="rId2728" Type="http://schemas.openxmlformats.org/officeDocument/2006/relationships/hyperlink" Target="https://assets.vans.eu/images/VN000DAH7UG-HERO/1" TargetMode="External"/><Relationship Id="rId2935" Type="http://schemas.openxmlformats.org/officeDocument/2006/relationships/hyperlink" Target="https://assets.vans.eu/images/VN0008NAE90-HERO/1" TargetMode="External"/><Relationship Id="rId4290" Type="http://schemas.openxmlformats.org/officeDocument/2006/relationships/hyperlink" Target="https://assets.vans.eu/images/VN000D5VDRB-HERO/1" TargetMode="External"/><Relationship Id="rId907" Type="http://schemas.openxmlformats.org/officeDocument/2006/relationships/hyperlink" Target="https://assets.vans.eu/images/VN000R03EN7-HERO/1" TargetMode="External"/><Relationship Id="rId1537" Type="http://schemas.openxmlformats.org/officeDocument/2006/relationships/hyperlink" Target="https://assets.vans.eu/images/VN000DAQRPK-HERO/1" TargetMode="External"/><Relationship Id="rId1744" Type="http://schemas.openxmlformats.org/officeDocument/2006/relationships/hyperlink" Target="https://assets.vans.eu/images/VN000PR3EN9-HERO/1" TargetMode="External"/><Relationship Id="rId1951" Type="http://schemas.openxmlformats.org/officeDocument/2006/relationships/hyperlink" Target="https://assets.vans.eu/images/VN000DAMLM3-HERO/1" TargetMode="External"/><Relationship Id="rId4150" Type="http://schemas.openxmlformats.org/officeDocument/2006/relationships/hyperlink" Target="https://assets.vans.eu/images/VN000D22BRD-HERO/1" TargetMode="External"/><Relationship Id="rId36" Type="http://schemas.openxmlformats.org/officeDocument/2006/relationships/hyperlink" Target="https://assets.vans.eu/images/VN000Q94BLK-HERO/1" TargetMode="External"/><Relationship Id="rId1604" Type="http://schemas.openxmlformats.org/officeDocument/2006/relationships/hyperlink" Target="https://assets.vans.eu/images/VN0008N6BLK-HERO/1" TargetMode="External"/><Relationship Id="rId4010" Type="http://schemas.openxmlformats.org/officeDocument/2006/relationships/hyperlink" Target="https://assets.vans.eu/images/VN000CZ7RV2-HERO/1" TargetMode="External"/><Relationship Id="rId4967" Type="http://schemas.openxmlformats.org/officeDocument/2006/relationships/hyperlink" Target="https://assets.vans.eu/images/VN000D5RZHJ-HERO/1" TargetMode="External"/><Relationship Id="rId1811" Type="http://schemas.openxmlformats.org/officeDocument/2006/relationships/hyperlink" Target="https://assets.vans.eu/images/VN0007P9KAQ-HERO/1" TargetMode="External"/><Relationship Id="rId3569" Type="http://schemas.openxmlformats.org/officeDocument/2006/relationships/hyperlink" Target="https://assets.vans.eu/images/VN000RAP7D6-HERO/1" TargetMode="External"/><Relationship Id="rId697" Type="http://schemas.openxmlformats.org/officeDocument/2006/relationships/hyperlink" Target="https://assets.vans.eu/images/VN0A2Z4CEL7-HERO/1" TargetMode="External"/><Relationship Id="rId2378" Type="http://schemas.openxmlformats.org/officeDocument/2006/relationships/hyperlink" Target="https://assets.vans.eu/images/VN0A49OYBLK-HERO/1" TargetMode="External"/><Relationship Id="rId3429" Type="http://schemas.openxmlformats.org/officeDocument/2006/relationships/hyperlink" Target="https://assets.vans.eu/images/VN000PMA9JC-HERO/1" TargetMode="External"/><Relationship Id="rId3776" Type="http://schemas.openxmlformats.org/officeDocument/2006/relationships/hyperlink" Target="https://assets.vans.eu/images/VN000CQ0BMW-HERO/1" TargetMode="External"/><Relationship Id="rId3983" Type="http://schemas.openxmlformats.org/officeDocument/2006/relationships/hyperlink" Target="https://assets.vans.eu/images/VN000CYCBF2-HERO/1" TargetMode="External"/><Relationship Id="rId4827" Type="http://schemas.openxmlformats.org/officeDocument/2006/relationships/hyperlink" Target="https://assets.vans.eu/images/VN000EB4CCZ-HERO/1" TargetMode="External"/><Relationship Id="rId1187" Type="http://schemas.openxmlformats.org/officeDocument/2006/relationships/hyperlink" Target="https://assets.vans.eu/images/VN000PXSBLK-HERO/1" TargetMode="External"/><Relationship Id="rId2585" Type="http://schemas.openxmlformats.org/officeDocument/2006/relationships/hyperlink" Target="https://assets.vans.eu/images/VN000D1JY23-HERO/1" TargetMode="External"/><Relationship Id="rId2792" Type="http://schemas.openxmlformats.org/officeDocument/2006/relationships/hyperlink" Target="https://assets.vans.eu/images/VN000EC4RV2-HERO/1" TargetMode="External"/><Relationship Id="rId3636" Type="http://schemas.openxmlformats.org/officeDocument/2006/relationships/hyperlink" Target="https://assets.vans.eu/images/VN0A45CMLKZ-HERO/1" TargetMode="External"/><Relationship Id="rId3843" Type="http://schemas.openxmlformats.org/officeDocument/2006/relationships/hyperlink" Target="https://assets.vans.eu/images/VN000CTG7VF-HERO/1" TargetMode="External"/><Relationship Id="rId557" Type="http://schemas.openxmlformats.org/officeDocument/2006/relationships/hyperlink" Target="https://assets.vans.eu/images/VN000PEYNAV-HERO/1" TargetMode="External"/><Relationship Id="rId764" Type="http://schemas.openxmlformats.org/officeDocument/2006/relationships/hyperlink" Target="https://assets.vans.eu/images/VN000E7UTC4-HERO/1" TargetMode="External"/><Relationship Id="rId971" Type="http://schemas.openxmlformats.org/officeDocument/2006/relationships/hyperlink" Target="https://assets.vans.eu/images/VN000EC4B5T-HERO/1" TargetMode="External"/><Relationship Id="rId1394" Type="http://schemas.openxmlformats.org/officeDocument/2006/relationships/hyperlink" Target="https://assets.vans.eu/images/VN000PXSWHT-HERO/1" TargetMode="External"/><Relationship Id="rId2238" Type="http://schemas.openxmlformats.org/officeDocument/2006/relationships/hyperlink" Target="https://assets.vans.eu/images/VN000PH6IYR-HERO/1" TargetMode="External"/><Relationship Id="rId2445" Type="http://schemas.openxmlformats.org/officeDocument/2006/relationships/hyperlink" Target="https://assets.vans.eu/images/VN000CQ0BRO-HERO/1" TargetMode="External"/><Relationship Id="rId2652" Type="http://schemas.openxmlformats.org/officeDocument/2006/relationships/hyperlink" Target="https://assets.vans.eu/images/VN000D6F239-HERO/1" TargetMode="External"/><Relationship Id="rId3703" Type="http://schemas.openxmlformats.org/officeDocument/2006/relationships/hyperlink" Target="https://assets.vans.eu/images/VN0007NTYB2-HERO/1" TargetMode="External"/><Relationship Id="rId3910" Type="http://schemas.openxmlformats.org/officeDocument/2006/relationships/hyperlink" Target="https://assets.vans.eu/images/VN000CVUDRB-HERO/1" TargetMode="External"/><Relationship Id="rId417" Type="http://schemas.openxmlformats.org/officeDocument/2006/relationships/hyperlink" Target="https://assets.vans.eu/images/VN000R94FS8-HERO/1" TargetMode="External"/><Relationship Id="rId624" Type="http://schemas.openxmlformats.org/officeDocument/2006/relationships/hyperlink" Target="https://assets.vans.eu/images/VN000BCEBA2-HERO/1" TargetMode="External"/><Relationship Id="rId831" Type="http://schemas.openxmlformats.org/officeDocument/2006/relationships/hyperlink" Target="https://assets.vans.eu/images/VN000BCECCZ-HERO/1" TargetMode="External"/><Relationship Id="rId1047" Type="http://schemas.openxmlformats.org/officeDocument/2006/relationships/hyperlink" Target="https://assets.vans.eu/images/VN000U2CWHT-HERO/1" TargetMode="External"/><Relationship Id="rId1254" Type="http://schemas.openxmlformats.org/officeDocument/2006/relationships/hyperlink" Target="https://assets.vans.eu/images/VN000D4SCFL-HERO/1" TargetMode="External"/><Relationship Id="rId1461" Type="http://schemas.openxmlformats.org/officeDocument/2006/relationships/hyperlink" Target="https://assets.vans.eu/images/VN000CTG7VF-HERO/1" TargetMode="External"/><Relationship Id="rId2305" Type="http://schemas.openxmlformats.org/officeDocument/2006/relationships/hyperlink" Target="https://assets.vans.eu/images/VN000PX3BLK-HERO/1" TargetMode="External"/><Relationship Id="rId2512" Type="http://schemas.openxmlformats.org/officeDocument/2006/relationships/hyperlink" Target="https://assets.vans.eu/images/VN000CWF9JC-HERO/1" TargetMode="External"/><Relationship Id="rId1114" Type="http://schemas.openxmlformats.org/officeDocument/2006/relationships/hyperlink" Target="https://assets.vans.eu/images/VN0008NACDX-HERO/1" TargetMode="External"/><Relationship Id="rId1321" Type="http://schemas.openxmlformats.org/officeDocument/2006/relationships/hyperlink" Target="https://assets.vans.eu/images/VN000K42041-HERO/1" TargetMode="External"/><Relationship Id="rId4477" Type="http://schemas.openxmlformats.org/officeDocument/2006/relationships/hyperlink" Target="https://assets.vans.eu/images/VN000D9YBGK-HERO/1" TargetMode="External"/><Relationship Id="rId4684" Type="http://schemas.openxmlformats.org/officeDocument/2006/relationships/hyperlink" Target="https://assets.vans.eu/images/VN000VOB4K1-HERO/1" TargetMode="External"/><Relationship Id="rId4891" Type="http://schemas.openxmlformats.org/officeDocument/2006/relationships/hyperlink" Target="https://assets.vans.eu/images/VN000EEBBO5-HERO/1" TargetMode="External"/><Relationship Id="rId3079" Type="http://schemas.openxmlformats.org/officeDocument/2006/relationships/hyperlink" Target="https://assets.vans.eu/images/VN000JYD14A-HERO/1" TargetMode="External"/><Relationship Id="rId3286" Type="http://schemas.openxmlformats.org/officeDocument/2006/relationships/hyperlink" Target="https://assets.vans.eu/images/VN000P56O3N-HERO/1" TargetMode="External"/><Relationship Id="rId3493" Type="http://schemas.openxmlformats.org/officeDocument/2006/relationships/hyperlink" Target="https://assets.vans.eu/images/VN000PXXWHT-HERO/1" TargetMode="External"/><Relationship Id="rId4337" Type="http://schemas.openxmlformats.org/officeDocument/2006/relationships/hyperlink" Target="https://assets.vans.eu/images/VN000D6FY49-HERO/1" TargetMode="External"/><Relationship Id="rId4544" Type="http://schemas.openxmlformats.org/officeDocument/2006/relationships/hyperlink" Target="https://assets.vans.eu/images/VN000DAMRMO-HERO/1" TargetMode="External"/><Relationship Id="rId2095" Type="http://schemas.openxmlformats.org/officeDocument/2006/relationships/hyperlink" Target="https://assets.vans.eu/images/VN000KV2JDU-HERO/1" TargetMode="External"/><Relationship Id="rId3146" Type="http://schemas.openxmlformats.org/officeDocument/2006/relationships/hyperlink" Target="https://assets.vans.eu/images/VN000M75BLK-HERO/1" TargetMode="External"/><Relationship Id="rId3353" Type="http://schemas.openxmlformats.org/officeDocument/2006/relationships/hyperlink" Target="https://assets.vans.eu/images/VN000PBXEML-HERO/1" TargetMode="External"/><Relationship Id="rId4751" Type="http://schemas.openxmlformats.org/officeDocument/2006/relationships/hyperlink" Target="https://assets.vans.eu/images/VN0A5FCDEMW-HERO/1" TargetMode="External"/><Relationship Id="rId274" Type="http://schemas.openxmlformats.org/officeDocument/2006/relationships/hyperlink" Target="https://assets.vans.eu/images/VN000CS5RV2-HERO/1" TargetMode="External"/><Relationship Id="rId481" Type="http://schemas.openxmlformats.org/officeDocument/2006/relationships/hyperlink" Target="https://assets.vans.eu/images/VN000MFWUUI-HERO/1" TargetMode="External"/><Relationship Id="rId2162" Type="http://schemas.openxmlformats.org/officeDocument/2006/relationships/hyperlink" Target="https://assets.vans.eu/images/VN000ND8JDU-HERO/1" TargetMode="External"/><Relationship Id="rId3006" Type="http://schemas.openxmlformats.org/officeDocument/2006/relationships/hyperlink" Target="https://assets.vans.eu/images/VN000HN197I-HERO/1" TargetMode="External"/><Relationship Id="rId3560" Type="http://schemas.openxmlformats.org/officeDocument/2006/relationships/hyperlink" Target="https://assets.vans.eu/images/VN000R95EMV-HERO/1" TargetMode="External"/><Relationship Id="rId4404" Type="http://schemas.openxmlformats.org/officeDocument/2006/relationships/hyperlink" Target="https://assets.vans.eu/images/VN000D6ZEMP-HERO/1" TargetMode="External"/><Relationship Id="rId4611" Type="http://schemas.openxmlformats.org/officeDocument/2006/relationships/hyperlink" Target="https://assets.vans.eu/images/VN000E8WBGF-HERO/1" TargetMode="External"/><Relationship Id="rId134" Type="http://schemas.openxmlformats.org/officeDocument/2006/relationships/hyperlink" Target="https://assets.vans.eu/images/VN000QB9EMP-HERO/1" TargetMode="External"/><Relationship Id="rId3213" Type="http://schemas.openxmlformats.org/officeDocument/2006/relationships/hyperlink" Target="https://assets.vans.eu/images/VN000MK8BR1-HERO/1" TargetMode="External"/><Relationship Id="rId3420" Type="http://schemas.openxmlformats.org/officeDocument/2006/relationships/hyperlink" Target="https://assets.vans.eu/images/VN000PJU7WM-HERO/1" TargetMode="External"/><Relationship Id="rId341" Type="http://schemas.openxmlformats.org/officeDocument/2006/relationships/hyperlink" Target="https://assets.vans.eu/images/VN000QAV7UG-HERO/1" TargetMode="External"/><Relationship Id="rId2022" Type="http://schemas.openxmlformats.org/officeDocument/2006/relationships/hyperlink" Target="https://assets.vans.eu/images/VN000QBSBLK-HERO/1" TargetMode="External"/><Relationship Id="rId2979" Type="http://schemas.openxmlformats.org/officeDocument/2006/relationships/hyperlink" Target="https://assets.vans.eu/images/VN000GJ6BLK-HERO/1" TargetMode="External"/><Relationship Id="rId201" Type="http://schemas.openxmlformats.org/officeDocument/2006/relationships/hyperlink" Target="https://assets.vans.eu/images/VN000D61BOC-HERO/1" TargetMode="External"/><Relationship Id="rId1788" Type="http://schemas.openxmlformats.org/officeDocument/2006/relationships/hyperlink" Target="https://assets.vans.eu/images/VN000R90EMV-HERO/1" TargetMode="External"/><Relationship Id="rId1995" Type="http://schemas.openxmlformats.org/officeDocument/2006/relationships/hyperlink" Target="https://assets.vans.eu/images/VN0A5FCB1N6-HERO/1" TargetMode="External"/><Relationship Id="rId2839" Type="http://schemas.openxmlformats.org/officeDocument/2006/relationships/hyperlink" Target="https://assets.vans.eu/images/VN0A5FCDEMW-HERO/1" TargetMode="External"/><Relationship Id="rId4194" Type="http://schemas.openxmlformats.org/officeDocument/2006/relationships/hyperlink" Target="https://assets.vans.eu/images/VN000D28B7G-HERO/1" TargetMode="External"/><Relationship Id="rId5038" Type="http://schemas.openxmlformats.org/officeDocument/2006/relationships/hyperlink" Target="https://assets.vans.eu/images/VN0A2Z3HOUO-HERO/1" TargetMode="External"/><Relationship Id="rId1648" Type="http://schemas.openxmlformats.org/officeDocument/2006/relationships/hyperlink" Target="https://assets.vans.eu/images/VN000M07BLK-HERO/1" TargetMode="External"/><Relationship Id="rId4054" Type="http://schemas.openxmlformats.org/officeDocument/2006/relationships/hyperlink" Target="https://assets.vans.eu/images/VN000D10BF2-HERO/1" TargetMode="External"/><Relationship Id="rId4261" Type="http://schemas.openxmlformats.org/officeDocument/2006/relationships/hyperlink" Target="https://assets.vans.eu/images/VN000D4SCFL-HERO/1" TargetMode="External"/><Relationship Id="rId1508" Type="http://schemas.openxmlformats.org/officeDocument/2006/relationships/hyperlink" Target="https://assets.vans.eu/images/VN000D4SCFL-HERO/1" TargetMode="External"/><Relationship Id="rId1855" Type="http://schemas.openxmlformats.org/officeDocument/2006/relationships/hyperlink" Target="https://assets.vans.eu/images/VN000CZ7BLA-HERO/1" TargetMode="External"/><Relationship Id="rId2906" Type="http://schemas.openxmlformats.org/officeDocument/2006/relationships/hyperlink" Target="https://assets.vans.eu/images/VN0A5LGXDJR-HERO/1" TargetMode="External"/><Relationship Id="rId3070" Type="http://schemas.openxmlformats.org/officeDocument/2006/relationships/hyperlink" Target="https://assets.vans.eu/images/VN000JSN7YO-HERO/1" TargetMode="External"/><Relationship Id="rId4121" Type="http://schemas.openxmlformats.org/officeDocument/2006/relationships/hyperlink" Target="https://assets.vans.eu/images/VN000D1JOVM-HERO/1" TargetMode="External"/><Relationship Id="rId1715" Type="http://schemas.openxmlformats.org/officeDocument/2006/relationships/hyperlink" Target="https://assets.vans.eu/images/VN000PH6IYR-HERO/1" TargetMode="External"/><Relationship Id="rId1922" Type="http://schemas.openxmlformats.org/officeDocument/2006/relationships/hyperlink" Target="https://assets.vans.eu/images/VN000D6WRPK-HERO/1" TargetMode="External"/><Relationship Id="rId3887" Type="http://schemas.openxmlformats.org/officeDocument/2006/relationships/hyperlink" Target="https://assets.vans.eu/images/VN000CVT239-HERO/1" TargetMode="External"/><Relationship Id="rId4938" Type="http://schemas.openxmlformats.org/officeDocument/2006/relationships/hyperlink" Target="https://assets.vans.eu/images/VN000D1GK1O-HERO/1" TargetMode="External"/><Relationship Id="rId2489" Type="http://schemas.openxmlformats.org/officeDocument/2006/relationships/hyperlink" Target="https://assets.vans.eu/images/VN000CVUBLK-HERO/1" TargetMode="External"/><Relationship Id="rId2696" Type="http://schemas.openxmlformats.org/officeDocument/2006/relationships/hyperlink" Target="https://assets.vans.eu/images/VN000D6ZTTN-HERO/1" TargetMode="External"/><Relationship Id="rId3747" Type="http://schemas.openxmlformats.org/officeDocument/2006/relationships/hyperlink" Target="https://assets.vans.eu/images/VN000BVS6BT-HERO/1" TargetMode="External"/><Relationship Id="rId3954" Type="http://schemas.openxmlformats.org/officeDocument/2006/relationships/hyperlink" Target="https://assets.vans.eu/images/VN000CWDDRB-HERO/1" TargetMode="External"/><Relationship Id="rId668" Type="http://schemas.openxmlformats.org/officeDocument/2006/relationships/hyperlink" Target="https://assets.vans.eu/images/VN000RARFS8-HERO/1" TargetMode="External"/><Relationship Id="rId875" Type="http://schemas.openxmlformats.org/officeDocument/2006/relationships/hyperlink" Target="https://assets.vans.eu/images/VN000JUABLK-HERO/1" TargetMode="External"/><Relationship Id="rId1298" Type="http://schemas.openxmlformats.org/officeDocument/2006/relationships/hyperlink" Target="https://assets.vans.eu/images/VN000R51WHT-HERO/1" TargetMode="External"/><Relationship Id="rId2349" Type="http://schemas.openxmlformats.org/officeDocument/2006/relationships/hyperlink" Target="https://assets.vans.eu/images/VN000RD4EN9-HERO/1" TargetMode="External"/><Relationship Id="rId2556" Type="http://schemas.openxmlformats.org/officeDocument/2006/relationships/hyperlink" Target="https://assets.vans.eu/images/VN000D0MKCZ-HERO/1" TargetMode="External"/><Relationship Id="rId2763" Type="http://schemas.openxmlformats.org/officeDocument/2006/relationships/hyperlink" Target="https://assets.vans.eu/images/VN000DAZSTN-HERO/1" TargetMode="External"/><Relationship Id="rId2970" Type="http://schemas.openxmlformats.org/officeDocument/2006/relationships/hyperlink" Target="https://assets.vans.eu/images/VN000GDPY28-HERO/1" TargetMode="External"/><Relationship Id="rId3607" Type="http://schemas.openxmlformats.org/officeDocument/2006/relationships/hyperlink" Target="https://assets.vans.eu/images/VN000XOIBLK-HERO/1" TargetMode="External"/><Relationship Id="rId3814" Type="http://schemas.openxmlformats.org/officeDocument/2006/relationships/hyperlink" Target="https://assets.vans.eu/images/VN000CQRYLZ-HERO/1" TargetMode="External"/><Relationship Id="rId528" Type="http://schemas.openxmlformats.org/officeDocument/2006/relationships/hyperlink" Target="https://assets.vans.eu/images/VN000CZ71NU-HERO/1" TargetMode="External"/><Relationship Id="rId735" Type="http://schemas.openxmlformats.org/officeDocument/2006/relationships/hyperlink" Target="https://assets.vans.eu/images/VN000R4Z7D6-HERO/1" TargetMode="External"/><Relationship Id="rId942" Type="http://schemas.openxmlformats.org/officeDocument/2006/relationships/hyperlink" Target="https://assets.vans.eu/images/VN000D0HKCZ-HERO/1" TargetMode="External"/><Relationship Id="rId1158" Type="http://schemas.openxmlformats.org/officeDocument/2006/relationships/hyperlink" Target="https://assets.vans.eu/images/VN000P7AEN6-HERO/1" TargetMode="External"/><Relationship Id="rId1365" Type="http://schemas.openxmlformats.org/officeDocument/2006/relationships/hyperlink" Target="https://assets.vans.eu/images/VN000P7DCDX-HERO/1" TargetMode="External"/><Relationship Id="rId1572" Type="http://schemas.openxmlformats.org/officeDocument/2006/relationships/hyperlink" Target="https://assets.vans.eu/images/VN000F0GZCF-HERO/1" TargetMode="External"/><Relationship Id="rId2209" Type="http://schemas.openxmlformats.org/officeDocument/2006/relationships/hyperlink" Target="https://assets.vans.eu/images/VN000PAABLK-HERO/1" TargetMode="External"/><Relationship Id="rId2416" Type="http://schemas.openxmlformats.org/officeDocument/2006/relationships/hyperlink" Target="https://assets.vans.eu/images/VN0009QMBLA-HERO/1" TargetMode="External"/><Relationship Id="rId2623" Type="http://schemas.openxmlformats.org/officeDocument/2006/relationships/hyperlink" Target="https://assets.vans.eu/images/VN000D5DDUF-HERO/1" TargetMode="External"/><Relationship Id="rId1018" Type="http://schemas.openxmlformats.org/officeDocument/2006/relationships/hyperlink" Target="https://assets.vans.eu/images/VN000PGJEMF-HERO/1" TargetMode="External"/><Relationship Id="rId1225" Type="http://schemas.openxmlformats.org/officeDocument/2006/relationships/hyperlink" Target="https://assets.vans.eu/images/VN000CWEBLU-HERO/1" TargetMode="External"/><Relationship Id="rId1432" Type="http://schemas.openxmlformats.org/officeDocument/2006/relationships/hyperlink" Target="https://assets.vans.eu/images/VN0A7S4SE90-HERO/1" TargetMode="External"/><Relationship Id="rId2830" Type="http://schemas.openxmlformats.org/officeDocument/2006/relationships/hyperlink" Target="https://assets.vans.eu/images/VN0A4UWM2LN-HERO/1" TargetMode="External"/><Relationship Id="rId4588" Type="http://schemas.openxmlformats.org/officeDocument/2006/relationships/hyperlink" Target="https://assets.vans.eu/images/VN000DB3ZX7-HERO/1" TargetMode="External"/><Relationship Id="rId71" Type="http://schemas.openxmlformats.org/officeDocument/2006/relationships/hyperlink" Target="https://assets.vans.eu/images/VN000EA7HFV-HERO/1" TargetMode="External"/><Relationship Id="rId802" Type="http://schemas.openxmlformats.org/officeDocument/2006/relationships/hyperlink" Target="https://assets.vans.eu/images/VN000P78BLK-HERO/1" TargetMode="External"/><Relationship Id="rId3397" Type="http://schemas.openxmlformats.org/officeDocument/2006/relationships/hyperlink" Target="https://assets.vans.eu/images/VN000PH6IYR-HERO/1" TargetMode="External"/><Relationship Id="rId4795" Type="http://schemas.openxmlformats.org/officeDocument/2006/relationships/hyperlink" Target="https://assets.vans.eu/images/VN0A7Q5E95Y-HERO/1" TargetMode="External"/><Relationship Id="rId4448" Type="http://schemas.openxmlformats.org/officeDocument/2006/relationships/hyperlink" Target="https://assets.vans.eu/images/VN000D80BF0-HERO/1" TargetMode="External"/><Relationship Id="rId4655" Type="http://schemas.openxmlformats.org/officeDocument/2006/relationships/hyperlink" Target="https://assets.vans.eu/images/VN000EDNAH9-HERO/1" TargetMode="External"/><Relationship Id="rId4862" Type="http://schemas.openxmlformats.org/officeDocument/2006/relationships/hyperlink" Target="https://assets.vans.eu/images/VN000EDNBJB-HERO/1" TargetMode="External"/><Relationship Id="rId178" Type="http://schemas.openxmlformats.org/officeDocument/2006/relationships/hyperlink" Target="https://assets.vans.eu/images/VN000E9ZYF5-HERO/1" TargetMode="External"/><Relationship Id="rId3257" Type="http://schemas.openxmlformats.org/officeDocument/2006/relationships/hyperlink" Target="https://assets.vans.eu/images/VN000P20EMU-HERO/1" TargetMode="External"/><Relationship Id="rId3464" Type="http://schemas.openxmlformats.org/officeDocument/2006/relationships/hyperlink" Target="https://assets.vans.eu/images/VN000PTBF0W-HERO/1" TargetMode="External"/><Relationship Id="rId3671" Type="http://schemas.openxmlformats.org/officeDocument/2006/relationships/hyperlink" Target="https://assets.vans.eu/images/VN0A7RMDDJR-HERO/1" TargetMode="External"/><Relationship Id="rId4308" Type="http://schemas.openxmlformats.org/officeDocument/2006/relationships/hyperlink" Target="https://assets.vans.eu/images/VN000D60RV2-HERO/1" TargetMode="External"/><Relationship Id="rId4515" Type="http://schemas.openxmlformats.org/officeDocument/2006/relationships/hyperlink" Target="https://assets.vans.eu/images/VN000DA1Z34-HERO/1" TargetMode="External"/><Relationship Id="rId4722" Type="http://schemas.openxmlformats.org/officeDocument/2006/relationships/hyperlink" Target="https://assets.vans.eu/images/VN0A4OFQDCC-HERO/1" TargetMode="External"/><Relationship Id="rId385" Type="http://schemas.openxmlformats.org/officeDocument/2006/relationships/hyperlink" Target="https://assets.vans.eu/images/VN000D4SCFL-HERO/1" TargetMode="External"/><Relationship Id="rId592" Type="http://schemas.openxmlformats.org/officeDocument/2006/relationships/hyperlink" Target="https://assets.vans.eu/images/VN000QB4FLM-HERO/1" TargetMode="External"/><Relationship Id="rId2066" Type="http://schemas.openxmlformats.org/officeDocument/2006/relationships/hyperlink" Target="https://assets.vans.eu/images/VN000HZCBLK-HERO/1" TargetMode="External"/><Relationship Id="rId2273" Type="http://schemas.openxmlformats.org/officeDocument/2006/relationships/hyperlink" Target="https://assets.vans.eu/images/VN000PMHENB-HERO/1" TargetMode="External"/><Relationship Id="rId2480" Type="http://schemas.openxmlformats.org/officeDocument/2006/relationships/hyperlink" Target="https://assets.vans.eu/images/VN000CVS1OJ-HERO/1" TargetMode="External"/><Relationship Id="rId3117" Type="http://schemas.openxmlformats.org/officeDocument/2006/relationships/hyperlink" Target="https://assets.vans.eu/images/VN000M0MBLK-HERO/1" TargetMode="External"/><Relationship Id="rId3324" Type="http://schemas.openxmlformats.org/officeDocument/2006/relationships/hyperlink" Target="https://assets.vans.eu/images/VN000P8A02F-HERO/1" TargetMode="External"/><Relationship Id="rId3531" Type="http://schemas.openxmlformats.org/officeDocument/2006/relationships/hyperlink" Target="https://assets.vans.eu/images/VN000QF32N1-HERO/1" TargetMode="External"/><Relationship Id="rId245" Type="http://schemas.openxmlformats.org/officeDocument/2006/relationships/hyperlink" Target="https://assets.vans.eu/images/VN000D1JY23-HERO/1" TargetMode="External"/><Relationship Id="rId452" Type="http://schemas.openxmlformats.org/officeDocument/2006/relationships/hyperlink" Target="https://assets.vans.eu/images/VN0009QCBKA-HERO/1" TargetMode="External"/><Relationship Id="rId1082" Type="http://schemas.openxmlformats.org/officeDocument/2006/relationships/hyperlink" Target="https://assets.vans.eu/images/VN000DARC9F-HERO/1" TargetMode="External"/><Relationship Id="rId2133" Type="http://schemas.openxmlformats.org/officeDocument/2006/relationships/hyperlink" Target="https://assets.vans.eu/images/VN000MA21O7-HERO/1" TargetMode="External"/><Relationship Id="rId2340" Type="http://schemas.openxmlformats.org/officeDocument/2006/relationships/hyperlink" Target="https://assets.vans.eu/images/VN000RBYY7U-HERO/1" TargetMode="External"/><Relationship Id="rId105" Type="http://schemas.openxmlformats.org/officeDocument/2006/relationships/hyperlink" Target="https://assets.vans.eu/images/VN000MNCD3X-HERO/1" TargetMode="External"/><Relationship Id="rId312" Type="http://schemas.openxmlformats.org/officeDocument/2006/relationships/hyperlink" Target="https://assets.vans.eu/images/VN000PFBEMU-HERO/1" TargetMode="External"/><Relationship Id="rId2200" Type="http://schemas.openxmlformats.org/officeDocument/2006/relationships/hyperlink" Target="https://assets.vans.eu/images/VN000P7U2N1-HERO/1" TargetMode="External"/><Relationship Id="rId4098" Type="http://schemas.openxmlformats.org/officeDocument/2006/relationships/hyperlink" Target="https://assets.vans.eu/images/VN000D1J4VT-HERO/1" TargetMode="External"/><Relationship Id="rId1899" Type="http://schemas.openxmlformats.org/officeDocument/2006/relationships/hyperlink" Target="https://assets.vans.eu/images/VN000D4SCFL-HERO/1" TargetMode="External"/><Relationship Id="rId4165" Type="http://schemas.openxmlformats.org/officeDocument/2006/relationships/hyperlink" Target="https://assets.vans.eu/images/VN000D22EMU-HERO/1" TargetMode="External"/><Relationship Id="rId4372" Type="http://schemas.openxmlformats.org/officeDocument/2006/relationships/hyperlink" Target="https://assets.vans.eu/images/VN000D6W7WM-HERO/1" TargetMode="External"/><Relationship Id="rId5009" Type="http://schemas.openxmlformats.org/officeDocument/2006/relationships/hyperlink" Target="https://assets.vans.eu/images/VN000EKUBKA-HERO/1" TargetMode="External"/><Relationship Id="rId1759" Type="http://schemas.openxmlformats.org/officeDocument/2006/relationships/hyperlink" Target="https://assets.vans.eu/images/VN000PXG02F-HERO/1" TargetMode="External"/><Relationship Id="rId1966" Type="http://schemas.openxmlformats.org/officeDocument/2006/relationships/hyperlink" Target="https://assets.vans.eu/images/VN000E8WIZQ-HERO/1" TargetMode="External"/><Relationship Id="rId3181" Type="http://schemas.openxmlformats.org/officeDocument/2006/relationships/hyperlink" Target="https://assets.vans.eu/images/VN000MAT7WM-HERO/1" TargetMode="External"/><Relationship Id="rId4025" Type="http://schemas.openxmlformats.org/officeDocument/2006/relationships/hyperlink" Target="https://assets.vans.eu/images/VN000D0HBMV-HERO/1" TargetMode="External"/><Relationship Id="rId1619" Type="http://schemas.openxmlformats.org/officeDocument/2006/relationships/hyperlink" Target="https://assets.vans.eu/images/VN000HAWBLK-HERO/1" TargetMode="External"/><Relationship Id="rId1826" Type="http://schemas.openxmlformats.org/officeDocument/2006/relationships/hyperlink" Target="https://assets.vans.eu/images/VN000CRVEN7-HERO/1" TargetMode="External"/><Relationship Id="rId4232" Type="http://schemas.openxmlformats.org/officeDocument/2006/relationships/hyperlink" Target="https://assets.vans.eu/images/VN000D45EMY-HERO/1" TargetMode="External"/><Relationship Id="rId3041" Type="http://schemas.openxmlformats.org/officeDocument/2006/relationships/hyperlink" Target="https://assets.vans.eu/images/VN000IVEWHT-HERO/1" TargetMode="External"/><Relationship Id="rId3998" Type="http://schemas.openxmlformats.org/officeDocument/2006/relationships/hyperlink" Target="https://assets.vans.eu/images/VN000CYUEN6-HERO/1" TargetMode="External"/><Relationship Id="rId3858" Type="http://schemas.openxmlformats.org/officeDocument/2006/relationships/hyperlink" Target="https://assets.vans.eu/images/VN000CTMSN0-HERO/1" TargetMode="External"/><Relationship Id="rId4909" Type="http://schemas.openxmlformats.org/officeDocument/2006/relationships/hyperlink" Target="https://assets.vans.eu/images/VN0009UFKOU-HERO/1" TargetMode="External"/><Relationship Id="rId779" Type="http://schemas.openxmlformats.org/officeDocument/2006/relationships/hyperlink" Target="https://assets.vans.eu/images/VN000QB9LKZ-HERO/1" TargetMode="External"/><Relationship Id="rId986" Type="http://schemas.openxmlformats.org/officeDocument/2006/relationships/hyperlink" Target="https://assets.vans.eu/images/VN000R50BLK-HERO/1" TargetMode="External"/><Relationship Id="rId2667" Type="http://schemas.openxmlformats.org/officeDocument/2006/relationships/hyperlink" Target="https://assets.vans.eu/images/VN000D6W203-HERO/1" TargetMode="External"/><Relationship Id="rId3718" Type="http://schemas.openxmlformats.org/officeDocument/2006/relationships/hyperlink" Target="https://assets.vans.eu/images/VN0009QCNWH-HERO/1" TargetMode="External"/><Relationship Id="rId5073" Type="http://schemas.openxmlformats.org/officeDocument/2006/relationships/hyperlink" Target="https://assets.vans.eu/images/VN0A5KQZYY4-HERO/1" TargetMode="External"/><Relationship Id="rId639" Type="http://schemas.openxmlformats.org/officeDocument/2006/relationships/hyperlink" Target="https://assets.vans.eu/images/VN000EC4DJR-HERO/1" TargetMode="External"/><Relationship Id="rId1269" Type="http://schemas.openxmlformats.org/officeDocument/2006/relationships/hyperlink" Target="https://assets.vans.eu/images/VN000D9Y0CS-HERO/1" TargetMode="External"/><Relationship Id="rId1476" Type="http://schemas.openxmlformats.org/officeDocument/2006/relationships/hyperlink" Target="https://assets.vans.eu/images/VN000CYAYJ7-HERO/1" TargetMode="External"/><Relationship Id="rId2874" Type="http://schemas.openxmlformats.org/officeDocument/2006/relationships/hyperlink" Target="https://assets.vans.eu/images/VN000HMSE8A-HERO/1" TargetMode="External"/><Relationship Id="rId3925" Type="http://schemas.openxmlformats.org/officeDocument/2006/relationships/hyperlink" Target="https://assets.vans.eu/images/VN000CVVBA2-HERO/1" TargetMode="External"/><Relationship Id="rId846" Type="http://schemas.openxmlformats.org/officeDocument/2006/relationships/hyperlink" Target="https://assets.vans.eu/images/VN000D4SCFL-HERO/1" TargetMode="External"/><Relationship Id="rId1129" Type="http://schemas.openxmlformats.org/officeDocument/2006/relationships/hyperlink" Target="https://assets.vans.eu/images/VN000KUEJDU-HERO/1" TargetMode="External"/><Relationship Id="rId1683" Type="http://schemas.openxmlformats.org/officeDocument/2006/relationships/hyperlink" Target="https://assets.vans.eu/images/VN000NKS02F-HERO/1" TargetMode="External"/><Relationship Id="rId1890" Type="http://schemas.openxmlformats.org/officeDocument/2006/relationships/hyperlink" Target="https://assets.vans.eu/images/VN000D4NBZW-HERO/1" TargetMode="External"/><Relationship Id="rId2527" Type="http://schemas.openxmlformats.org/officeDocument/2006/relationships/hyperlink" Target="https://assets.vans.eu/images/VN000CZ7EMW-HERO/1" TargetMode="External"/><Relationship Id="rId2734" Type="http://schemas.openxmlformats.org/officeDocument/2006/relationships/hyperlink" Target="https://assets.vans.eu/images/VN000DAHY40-HERO/1" TargetMode="External"/><Relationship Id="rId2941" Type="http://schemas.openxmlformats.org/officeDocument/2006/relationships/hyperlink" Target="https://assets.vans.eu/images/VN000G3JCHF-HERO/1" TargetMode="External"/><Relationship Id="rId5000" Type="http://schemas.openxmlformats.org/officeDocument/2006/relationships/hyperlink" Target="https://assets.vans.eu/images/VN000EEBBO5-HERO/1" TargetMode="External"/><Relationship Id="rId706" Type="http://schemas.openxmlformats.org/officeDocument/2006/relationships/hyperlink" Target="https://assets.vans.eu/images/VN000G75D6Z-HERO/1" TargetMode="External"/><Relationship Id="rId913" Type="http://schemas.openxmlformats.org/officeDocument/2006/relationships/hyperlink" Target="https://assets.vans.eu/images/VN000R742N1-HERO/1" TargetMode="External"/><Relationship Id="rId1336" Type="http://schemas.openxmlformats.org/officeDocument/2006/relationships/hyperlink" Target="https://assets.vans.eu/images/VN000M8G1O7-HERO/1" TargetMode="External"/><Relationship Id="rId1543" Type="http://schemas.openxmlformats.org/officeDocument/2006/relationships/hyperlink" Target="https://assets.vans.eu/images/VN000DCBYJ7-HERO/1" TargetMode="External"/><Relationship Id="rId1750" Type="http://schemas.openxmlformats.org/officeDocument/2006/relationships/hyperlink" Target="https://assets.vans.eu/images/VN000PWVEMW-HERO/1" TargetMode="External"/><Relationship Id="rId2801" Type="http://schemas.openxmlformats.org/officeDocument/2006/relationships/hyperlink" Target="https://assets.vans.eu/images/VN000EDN7D6-HERO/1" TargetMode="External"/><Relationship Id="rId4699" Type="http://schemas.openxmlformats.org/officeDocument/2006/relationships/hyperlink" Target="https://assets.vans.eu/images/VN0A32QG5WU-HERO/1" TargetMode="External"/><Relationship Id="rId42" Type="http://schemas.openxmlformats.org/officeDocument/2006/relationships/hyperlink" Target="https://assets.vans.eu/images/VN0A5GPLQID-HERO/1" TargetMode="External"/><Relationship Id="rId1403" Type="http://schemas.openxmlformats.org/officeDocument/2006/relationships/hyperlink" Target="https://assets.vans.eu/images/VN000Q39EN9-HERO/1" TargetMode="External"/><Relationship Id="rId1610" Type="http://schemas.openxmlformats.org/officeDocument/2006/relationships/hyperlink" Target="https://assets.vans.eu/images/VN000GBECJL-HERO/1" TargetMode="External"/><Relationship Id="rId4559" Type="http://schemas.openxmlformats.org/officeDocument/2006/relationships/hyperlink" Target="https://assets.vans.eu/images/VN000DAQTWH-HERO/1" TargetMode="External"/><Relationship Id="rId4766" Type="http://schemas.openxmlformats.org/officeDocument/2006/relationships/hyperlink" Target="https://assets.vans.eu/images/VN0A5HZY6I6-HERO/1" TargetMode="External"/><Relationship Id="rId4973" Type="http://schemas.openxmlformats.org/officeDocument/2006/relationships/hyperlink" Target="https://assets.vans.eu/images/VN000D85Y52-HERO/1" TargetMode="External"/><Relationship Id="rId3368" Type="http://schemas.openxmlformats.org/officeDocument/2006/relationships/hyperlink" Target="https://assets.vans.eu/images/VN000PD7EMS-HERO/1" TargetMode="External"/><Relationship Id="rId3575" Type="http://schemas.openxmlformats.org/officeDocument/2006/relationships/hyperlink" Target="https://assets.vans.eu/images/VN000RCB1O7-HERO/1" TargetMode="External"/><Relationship Id="rId3782" Type="http://schemas.openxmlformats.org/officeDocument/2006/relationships/hyperlink" Target="https://assets.vans.eu/images/VN000CQ0BRO-HERO/1" TargetMode="External"/><Relationship Id="rId4419" Type="http://schemas.openxmlformats.org/officeDocument/2006/relationships/hyperlink" Target="https://assets.vans.eu/images/VN000D6ZTTN-HERO/1" TargetMode="External"/><Relationship Id="rId4626" Type="http://schemas.openxmlformats.org/officeDocument/2006/relationships/hyperlink" Target="https://assets.vans.eu/images/VN000E9XF2B-HERO/1" TargetMode="External"/><Relationship Id="rId4833" Type="http://schemas.openxmlformats.org/officeDocument/2006/relationships/hyperlink" Target="https://assets.vans.eu/images/VN000D1GSN0-HERO/1" TargetMode="External"/><Relationship Id="rId289" Type="http://schemas.openxmlformats.org/officeDocument/2006/relationships/hyperlink" Target="https://assets.vans.eu/images/VN000KXMY7U-HERO/1" TargetMode="External"/><Relationship Id="rId496" Type="http://schemas.openxmlformats.org/officeDocument/2006/relationships/hyperlink" Target="https://assets.vans.eu/images/VN000D5V6MZ-HERO/1" TargetMode="External"/><Relationship Id="rId2177" Type="http://schemas.openxmlformats.org/officeDocument/2006/relationships/hyperlink" Target="https://assets.vans.eu/images/VN000P20ZRY-HERO/1" TargetMode="External"/><Relationship Id="rId2384" Type="http://schemas.openxmlformats.org/officeDocument/2006/relationships/hyperlink" Target="https://assets.vans.eu/images/VN0A5FLPBLK-HERO/1" TargetMode="External"/><Relationship Id="rId2591" Type="http://schemas.openxmlformats.org/officeDocument/2006/relationships/hyperlink" Target="https://assets.vans.eu/images/VN000D22BGG-HERO/1" TargetMode="External"/><Relationship Id="rId3228" Type="http://schemas.openxmlformats.org/officeDocument/2006/relationships/hyperlink" Target="https://assets.vans.eu/images/VN000ND8JDU-HERO/1" TargetMode="External"/><Relationship Id="rId3435" Type="http://schemas.openxmlformats.org/officeDocument/2006/relationships/hyperlink" Target="https://assets.vans.eu/images/VN000PMDBLK-HERO/1" TargetMode="External"/><Relationship Id="rId3642" Type="http://schemas.openxmlformats.org/officeDocument/2006/relationships/hyperlink" Target="https://assets.vans.eu/images/VN0A49MUY28-HERO/1" TargetMode="External"/><Relationship Id="rId149" Type="http://schemas.openxmlformats.org/officeDocument/2006/relationships/hyperlink" Target="https://assets.vans.eu/images/VN00069GNOA-HERO/1" TargetMode="External"/><Relationship Id="rId356" Type="http://schemas.openxmlformats.org/officeDocument/2006/relationships/hyperlink" Target="https://assets.vans.eu/images/VN000BCE2N1-HERO/1" TargetMode="External"/><Relationship Id="rId563" Type="http://schemas.openxmlformats.org/officeDocument/2006/relationships/hyperlink" Target="https://assets.vans.eu/images/VN000R3UU20-HERO/1" TargetMode="External"/><Relationship Id="rId770" Type="http://schemas.openxmlformats.org/officeDocument/2006/relationships/hyperlink" Target="https://assets.vans.eu/images/VN000EF3RAS-HERO/1" TargetMode="External"/><Relationship Id="rId1193" Type="http://schemas.openxmlformats.org/officeDocument/2006/relationships/hyperlink" Target="https://assets.vans.eu/images/VN000R04BLK-HERO/1" TargetMode="External"/><Relationship Id="rId2037" Type="http://schemas.openxmlformats.org/officeDocument/2006/relationships/hyperlink" Target="https://assets.vans.eu/images/VN0007ZCBLK-HERO/1" TargetMode="External"/><Relationship Id="rId2244" Type="http://schemas.openxmlformats.org/officeDocument/2006/relationships/hyperlink" Target="https://assets.vans.eu/images/VN000PJ7BLK-HERO/1" TargetMode="External"/><Relationship Id="rId2451" Type="http://schemas.openxmlformats.org/officeDocument/2006/relationships/hyperlink" Target="https://assets.vans.eu/images/VN000CQ0Y09-HERO/1" TargetMode="External"/><Relationship Id="rId4900" Type="http://schemas.openxmlformats.org/officeDocument/2006/relationships/hyperlink" Target="https://assets.vans.eu/images/VN0A2Z3H1OU-HERO/1" TargetMode="External"/><Relationship Id="rId216" Type="http://schemas.openxmlformats.org/officeDocument/2006/relationships/hyperlink" Target="https://assets.vans.eu/images/VN0A7YTTBM5-HERO/1" TargetMode="External"/><Relationship Id="rId423" Type="http://schemas.openxmlformats.org/officeDocument/2006/relationships/hyperlink" Target="https://assets.vans.eu/images/VN000DAJBIY-HERO/1" TargetMode="External"/><Relationship Id="rId1053" Type="http://schemas.openxmlformats.org/officeDocument/2006/relationships/hyperlink" Target="https://assets.vans.eu/images/VN000H4WZRY-HERO/1" TargetMode="External"/><Relationship Id="rId1260" Type="http://schemas.openxmlformats.org/officeDocument/2006/relationships/hyperlink" Target="https://assets.vans.eu/images/VN000D6WEMW-HERO/1" TargetMode="External"/><Relationship Id="rId2104" Type="http://schemas.openxmlformats.org/officeDocument/2006/relationships/hyperlink" Target="https://assets.vans.eu/images/VN000M27CFL-HERO/1" TargetMode="External"/><Relationship Id="rId3502" Type="http://schemas.openxmlformats.org/officeDocument/2006/relationships/hyperlink" Target="https://assets.vans.eu/images/VN000Q11BLK-HERO/1" TargetMode="External"/><Relationship Id="rId630" Type="http://schemas.openxmlformats.org/officeDocument/2006/relationships/hyperlink" Target="https://assets.vans.eu/images/VN000D2VEMY-HERO/1" TargetMode="External"/><Relationship Id="rId2311" Type="http://schemas.openxmlformats.org/officeDocument/2006/relationships/hyperlink" Target="https://assets.vans.eu/images/VN000PY4BLK-HERO/1" TargetMode="External"/><Relationship Id="rId4069" Type="http://schemas.openxmlformats.org/officeDocument/2006/relationships/hyperlink" Target="https://assets.vans.eu/images/VN000D12BIY-HERO/1" TargetMode="External"/><Relationship Id="rId1120" Type="http://schemas.openxmlformats.org/officeDocument/2006/relationships/hyperlink" Target="https://assets.vans.eu/images/VN000HHEC9J-HERO/1" TargetMode="External"/><Relationship Id="rId4276" Type="http://schemas.openxmlformats.org/officeDocument/2006/relationships/hyperlink" Target="https://assets.vans.eu/images/VN000D5R11U-HERO/1" TargetMode="External"/><Relationship Id="rId4483" Type="http://schemas.openxmlformats.org/officeDocument/2006/relationships/hyperlink" Target="https://assets.vans.eu/images/VN000D9YBW2-HERO/1" TargetMode="External"/><Relationship Id="rId4690" Type="http://schemas.openxmlformats.org/officeDocument/2006/relationships/hyperlink" Target="https://assets.vans.eu/images/VN000ZUVC4R-HERO/1" TargetMode="External"/><Relationship Id="rId1937" Type="http://schemas.openxmlformats.org/officeDocument/2006/relationships/hyperlink" Target="https://assets.vans.eu/images/VN000D83O3N-HERO/1" TargetMode="External"/><Relationship Id="rId3085" Type="http://schemas.openxmlformats.org/officeDocument/2006/relationships/hyperlink" Target="https://assets.vans.eu/images/VN000K42041-HERO/1" TargetMode="External"/><Relationship Id="rId3292" Type="http://schemas.openxmlformats.org/officeDocument/2006/relationships/hyperlink" Target="https://assets.vans.eu/images/VN000P58O3N-HERO/1" TargetMode="External"/><Relationship Id="rId4136" Type="http://schemas.openxmlformats.org/officeDocument/2006/relationships/hyperlink" Target="https://assets.vans.eu/images/VN000D1JY23-HERO/1" TargetMode="External"/><Relationship Id="rId4343" Type="http://schemas.openxmlformats.org/officeDocument/2006/relationships/hyperlink" Target="https://assets.vans.eu/images/VN000D6N24O-HERO/1" TargetMode="External"/><Relationship Id="rId4550" Type="http://schemas.openxmlformats.org/officeDocument/2006/relationships/hyperlink" Target="https://assets.vans.eu/images/VN000DAQ9DH-HERO/1" TargetMode="External"/><Relationship Id="rId3152" Type="http://schemas.openxmlformats.org/officeDocument/2006/relationships/hyperlink" Target="https://assets.vans.eu/images/VN000M8FKCZ-HERO/1" TargetMode="External"/><Relationship Id="rId4203" Type="http://schemas.openxmlformats.org/officeDocument/2006/relationships/hyperlink" Target="https://assets.vans.eu/images/VN000D29Y2B-HERO/1" TargetMode="External"/><Relationship Id="rId4410" Type="http://schemas.openxmlformats.org/officeDocument/2006/relationships/hyperlink" Target="https://assets.vans.eu/images/VN000D6ZEMT-HERO/1" TargetMode="External"/><Relationship Id="rId280" Type="http://schemas.openxmlformats.org/officeDocument/2006/relationships/hyperlink" Target="https://assets.vans.eu/images/VN000HJV7D6-HERO/1" TargetMode="External"/><Relationship Id="rId3012" Type="http://schemas.openxmlformats.org/officeDocument/2006/relationships/hyperlink" Target="https://assets.vans.eu/images/VN000HNHDAM-HERO/1" TargetMode="External"/><Relationship Id="rId140" Type="http://schemas.openxmlformats.org/officeDocument/2006/relationships/hyperlink" Target="https://assets.vans.eu/images/VN000CS5PIB-HERO/1" TargetMode="External"/><Relationship Id="rId3969" Type="http://schemas.openxmlformats.org/officeDocument/2006/relationships/hyperlink" Target="https://assets.vans.eu/images/VN000CWEUUI-HERO/1" TargetMode="External"/><Relationship Id="rId6" Type="http://schemas.openxmlformats.org/officeDocument/2006/relationships/hyperlink" Target="https://assets.vans.eu/images/VN000Q1KBFM-HERO/1" TargetMode="External"/><Relationship Id="rId2778" Type="http://schemas.openxmlformats.org/officeDocument/2006/relationships/hyperlink" Target="https://assets.vans.eu/images/VN000E8WBRD-HERO/1" TargetMode="External"/><Relationship Id="rId2985" Type="http://schemas.openxmlformats.org/officeDocument/2006/relationships/hyperlink" Target="https://assets.vans.eu/images/VN000H2AKF1-HERO/1" TargetMode="External"/><Relationship Id="rId3829" Type="http://schemas.openxmlformats.org/officeDocument/2006/relationships/hyperlink" Target="https://assets.vans.eu/images/VN000CS0BRO-HERO/1" TargetMode="External"/><Relationship Id="rId5044" Type="http://schemas.openxmlformats.org/officeDocument/2006/relationships/hyperlink" Target="https://assets.vans.eu/images/VN0A2Z3NY40-HERO/1" TargetMode="External"/><Relationship Id="rId957" Type="http://schemas.openxmlformats.org/officeDocument/2006/relationships/hyperlink" Target="https://assets.vans.eu/images/VN000D6W203-HERO/1" TargetMode="External"/><Relationship Id="rId1587" Type="http://schemas.openxmlformats.org/officeDocument/2006/relationships/hyperlink" Target="https://assets.vans.eu/images/VN000QBEF0E-HERO/1" TargetMode="External"/><Relationship Id="rId1794" Type="http://schemas.openxmlformats.org/officeDocument/2006/relationships/hyperlink" Target="https://assets.vans.eu/images/VN000R95EMV-HERO/1" TargetMode="External"/><Relationship Id="rId2638" Type="http://schemas.openxmlformats.org/officeDocument/2006/relationships/hyperlink" Target="https://assets.vans.eu/images/VN000D60EMW-HERO/1" TargetMode="External"/><Relationship Id="rId2845" Type="http://schemas.openxmlformats.org/officeDocument/2006/relationships/hyperlink" Target="https://assets.vans.eu/images/VN0A5JICNUT-HERO/1" TargetMode="External"/><Relationship Id="rId86" Type="http://schemas.openxmlformats.org/officeDocument/2006/relationships/hyperlink" Target="https://assets.vans.eu/images/VN000IVFENA-HERO/1" TargetMode="External"/><Relationship Id="rId817" Type="http://schemas.openxmlformats.org/officeDocument/2006/relationships/hyperlink" Target="https://assets.vans.eu/images/VN000R04BLK-HERO/1" TargetMode="External"/><Relationship Id="rId1447" Type="http://schemas.openxmlformats.org/officeDocument/2006/relationships/hyperlink" Target="https://assets.vans.eu/images/VN000CQRBO5-HERO/1" TargetMode="External"/><Relationship Id="rId1654" Type="http://schemas.openxmlformats.org/officeDocument/2006/relationships/hyperlink" Target="https://assets.vans.eu/images/VN000M6XEMW-HERO/1" TargetMode="External"/><Relationship Id="rId1861" Type="http://schemas.openxmlformats.org/officeDocument/2006/relationships/hyperlink" Target="https://assets.vans.eu/images/VN000D0HEMY-HERO/1" TargetMode="External"/><Relationship Id="rId2705" Type="http://schemas.openxmlformats.org/officeDocument/2006/relationships/hyperlink" Target="https://assets.vans.eu/images/VN000D7ZM8I-HERO/1" TargetMode="External"/><Relationship Id="rId2912" Type="http://schemas.openxmlformats.org/officeDocument/2006/relationships/hyperlink" Target="https://assets.vans.eu/images/VN000395WHT-HERO/1" TargetMode="External"/><Relationship Id="rId4060" Type="http://schemas.openxmlformats.org/officeDocument/2006/relationships/hyperlink" Target="https://assets.vans.eu/images/VN000D1111E-HERO/1" TargetMode="External"/><Relationship Id="rId1307" Type="http://schemas.openxmlformats.org/officeDocument/2006/relationships/hyperlink" Target="https://assets.vans.eu/images/VN0008KUJDU-HERO/1" TargetMode="External"/><Relationship Id="rId1514" Type="http://schemas.openxmlformats.org/officeDocument/2006/relationships/hyperlink" Target="https://assets.vans.eu/images/VN000D6WRPK-HERO/1" TargetMode="External"/><Relationship Id="rId1721" Type="http://schemas.openxmlformats.org/officeDocument/2006/relationships/hyperlink" Target="https://assets.vans.eu/images/VN000PJSD3Z-HERO/1" TargetMode="External"/><Relationship Id="rId4877" Type="http://schemas.openxmlformats.org/officeDocument/2006/relationships/hyperlink" Target="https://assets.vans.eu/images/VN000CVVSR6-HERO/1" TargetMode="External"/><Relationship Id="rId13" Type="http://schemas.openxmlformats.org/officeDocument/2006/relationships/hyperlink" Target="https://assets.vans.eu/images/VN000QB8BLK-HERO/1" TargetMode="External"/><Relationship Id="rId3479" Type="http://schemas.openxmlformats.org/officeDocument/2006/relationships/hyperlink" Target="https://assets.vans.eu/images/VN000PWXBLK-HERO/1" TargetMode="External"/><Relationship Id="rId3686" Type="http://schemas.openxmlformats.org/officeDocument/2006/relationships/hyperlink" Target="https://assets.vans.eu/images/VN0A7PQE7UG-HERO/1" TargetMode="External"/><Relationship Id="rId2288" Type="http://schemas.openxmlformats.org/officeDocument/2006/relationships/hyperlink" Target="https://assets.vans.eu/images/VN000PR4EMV-HERO/1" TargetMode="External"/><Relationship Id="rId2495" Type="http://schemas.openxmlformats.org/officeDocument/2006/relationships/hyperlink" Target="https://assets.vans.eu/images/VN000CVUDRB-HERO/1" TargetMode="External"/><Relationship Id="rId3339" Type="http://schemas.openxmlformats.org/officeDocument/2006/relationships/hyperlink" Target="https://assets.vans.eu/images/VN000PAUBLK-HERO/1" TargetMode="External"/><Relationship Id="rId3893" Type="http://schemas.openxmlformats.org/officeDocument/2006/relationships/hyperlink" Target="https://assets.vans.eu/images/VN000CVTBKA-HERO/1" TargetMode="External"/><Relationship Id="rId4737" Type="http://schemas.openxmlformats.org/officeDocument/2006/relationships/hyperlink" Target="https://assets.vans.eu/images/VN0A4UWMBER-HERO/1" TargetMode="External"/><Relationship Id="rId4944" Type="http://schemas.openxmlformats.org/officeDocument/2006/relationships/hyperlink" Target="https://assets.vans.eu/images/VN000D1GYB2-HERO/1" TargetMode="External"/><Relationship Id="rId467" Type="http://schemas.openxmlformats.org/officeDocument/2006/relationships/hyperlink" Target="https://assets.vans.eu/images/VN0A3TKN6BT-HERO/1" TargetMode="External"/><Relationship Id="rId1097" Type="http://schemas.openxmlformats.org/officeDocument/2006/relationships/hyperlink" Target="https://assets.vans.eu/images/VN0007A8BLK-HERO/1" TargetMode="External"/><Relationship Id="rId2148" Type="http://schemas.openxmlformats.org/officeDocument/2006/relationships/hyperlink" Target="https://assets.vans.eu/images/VN000MEMZBF-HERO/1" TargetMode="External"/><Relationship Id="rId3546" Type="http://schemas.openxmlformats.org/officeDocument/2006/relationships/hyperlink" Target="https://assets.vans.eu/images/VN000R15FS8-HERO/1" TargetMode="External"/><Relationship Id="rId3753" Type="http://schemas.openxmlformats.org/officeDocument/2006/relationships/hyperlink" Target="https://assets.vans.eu/images/VN000BVZ1NU-HERO/1" TargetMode="External"/><Relationship Id="rId3960" Type="http://schemas.openxmlformats.org/officeDocument/2006/relationships/hyperlink" Target="https://assets.vans.eu/images/VN000CWEBO5-HERO/1" TargetMode="External"/><Relationship Id="rId4804" Type="http://schemas.openxmlformats.org/officeDocument/2006/relationships/hyperlink" Target="https://assets.vans.eu/images/VN000PNH5TU-HERO/1" TargetMode="External"/><Relationship Id="rId674" Type="http://schemas.openxmlformats.org/officeDocument/2006/relationships/hyperlink" Target="https://assets.vans.eu/images/VN000HRJEMX-HERO/1" TargetMode="External"/><Relationship Id="rId881" Type="http://schemas.openxmlformats.org/officeDocument/2006/relationships/hyperlink" Target="https://assets.vans.eu/images/VN000M9SRV2-HERO/1" TargetMode="External"/><Relationship Id="rId2355" Type="http://schemas.openxmlformats.org/officeDocument/2006/relationships/hyperlink" Target="https://assets.vans.eu/images/VN000RFRBLK-HERO/1" TargetMode="External"/><Relationship Id="rId2562" Type="http://schemas.openxmlformats.org/officeDocument/2006/relationships/hyperlink" Target="https://assets.vans.eu/images/VN000D0SYJ7-HERO/1" TargetMode="External"/><Relationship Id="rId3406" Type="http://schemas.openxmlformats.org/officeDocument/2006/relationships/hyperlink" Target="https://assets.vans.eu/images/VN000PHHLVB-HERO/1" TargetMode="External"/><Relationship Id="rId3613" Type="http://schemas.openxmlformats.org/officeDocument/2006/relationships/hyperlink" Target="https://assets.vans.eu/images/VN000Y8VYB2-HERO/1" TargetMode="External"/><Relationship Id="rId3820" Type="http://schemas.openxmlformats.org/officeDocument/2006/relationships/hyperlink" Target="https://assets.vans.eu/images/VN000CR5WGR-HERO/1" TargetMode="External"/><Relationship Id="rId327" Type="http://schemas.openxmlformats.org/officeDocument/2006/relationships/hyperlink" Target="https://assets.vans.eu/images/VN000MJJCDX-HERO/1" TargetMode="External"/><Relationship Id="rId534" Type="http://schemas.openxmlformats.org/officeDocument/2006/relationships/hyperlink" Target="https://assets.vans.eu/images/VN000E9ZYF5-HERO/1" TargetMode="External"/><Relationship Id="rId741" Type="http://schemas.openxmlformats.org/officeDocument/2006/relationships/hyperlink" Target="https://assets.vans.eu/images/VN000MP6EMJ-HERO/1" TargetMode="External"/><Relationship Id="rId1164" Type="http://schemas.openxmlformats.org/officeDocument/2006/relationships/hyperlink" Target="https://assets.vans.eu/images/VN000PFBBRR-HERO/1" TargetMode="External"/><Relationship Id="rId1371" Type="http://schemas.openxmlformats.org/officeDocument/2006/relationships/hyperlink" Target="https://assets.vans.eu/images/VN000PFF2B6-HERO/1" TargetMode="External"/><Relationship Id="rId2008" Type="http://schemas.openxmlformats.org/officeDocument/2006/relationships/hyperlink" Target="https://assets.vans.eu/images/VN000HSZFS8-HERO/1" TargetMode="External"/><Relationship Id="rId2215" Type="http://schemas.openxmlformats.org/officeDocument/2006/relationships/hyperlink" Target="https://assets.vans.eu/images/VN000PCWEMT-HERO/1" TargetMode="External"/><Relationship Id="rId2422" Type="http://schemas.openxmlformats.org/officeDocument/2006/relationships/hyperlink" Target="https://assets.vans.eu/images/VN000BCERV2-HERO/1" TargetMode="External"/><Relationship Id="rId601" Type="http://schemas.openxmlformats.org/officeDocument/2006/relationships/hyperlink" Target="https://assets.vans.eu/images/VN000M47BLK-HERO/1" TargetMode="External"/><Relationship Id="rId1024" Type="http://schemas.openxmlformats.org/officeDocument/2006/relationships/hyperlink" Target="https://assets.vans.eu/images/VN000PMHENB-HERO/1" TargetMode="External"/><Relationship Id="rId1231" Type="http://schemas.openxmlformats.org/officeDocument/2006/relationships/hyperlink" Target="https://assets.vans.eu/images/VN000CYU4Y4-HERO/1" TargetMode="External"/><Relationship Id="rId4387" Type="http://schemas.openxmlformats.org/officeDocument/2006/relationships/hyperlink" Target="https://assets.vans.eu/images/VN000D6WY28-HERO/1" TargetMode="External"/><Relationship Id="rId4594" Type="http://schemas.openxmlformats.org/officeDocument/2006/relationships/hyperlink" Target="https://assets.vans.eu/images/VN000DCE2VZ-HERO/1" TargetMode="External"/><Relationship Id="rId3196" Type="http://schemas.openxmlformats.org/officeDocument/2006/relationships/hyperlink" Target="https://assets.vans.eu/images/VN000MCRBLK-HERO/1" TargetMode="External"/><Relationship Id="rId4247" Type="http://schemas.openxmlformats.org/officeDocument/2006/relationships/hyperlink" Target="https://assets.vans.eu/images/VN000D4MY6Z-HERO/1" TargetMode="External"/><Relationship Id="rId4454" Type="http://schemas.openxmlformats.org/officeDocument/2006/relationships/hyperlink" Target="https://assets.vans.eu/images/VN000D85EME-HERO/1" TargetMode="External"/><Relationship Id="rId4661" Type="http://schemas.openxmlformats.org/officeDocument/2006/relationships/hyperlink" Target="https://assets.vans.eu/images/VN000EDNGRY-HERO/1" TargetMode="External"/><Relationship Id="rId3056" Type="http://schemas.openxmlformats.org/officeDocument/2006/relationships/hyperlink" Target="https://assets.vans.eu/images/VN000JC0J5F-HERO/1" TargetMode="External"/><Relationship Id="rId3263" Type="http://schemas.openxmlformats.org/officeDocument/2006/relationships/hyperlink" Target="https://assets.vans.eu/images/VN000P50EMF-HERO/1" TargetMode="External"/><Relationship Id="rId3470" Type="http://schemas.openxmlformats.org/officeDocument/2006/relationships/hyperlink" Target="https://assets.vans.eu/images/VN000PTTBRD-HERO/1" TargetMode="External"/><Relationship Id="rId4107" Type="http://schemas.openxmlformats.org/officeDocument/2006/relationships/hyperlink" Target="https://assets.vans.eu/images/VN000D1JBRO-HERO/1" TargetMode="External"/><Relationship Id="rId4314" Type="http://schemas.openxmlformats.org/officeDocument/2006/relationships/hyperlink" Target="https://assets.vans.eu/images/VN000D6CDFM-HERO/1" TargetMode="External"/><Relationship Id="rId184" Type="http://schemas.openxmlformats.org/officeDocument/2006/relationships/hyperlink" Target="https://assets.vans.eu/images/VN000R10WHT-HERO/1" TargetMode="External"/><Relationship Id="rId391" Type="http://schemas.openxmlformats.org/officeDocument/2006/relationships/hyperlink" Target="https://assets.vans.eu/images/VN000NDGBLK-HERO/1" TargetMode="External"/><Relationship Id="rId1908" Type="http://schemas.openxmlformats.org/officeDocument/2006/relationships/hyperlink" Target="https://assets.vans.eu/images/VN000D60RV2-HERO/1" TargetMode="External"/><Relationship Id="rId2072" Type="http://schemas.openxmlformats.org/officeDocument/2006/relationships/hyperlink" Target="https://assets.vans.eu/images/VN000JBK02F-HERO/1" TargetMode="External"/><Relationship Id="rId3123" Type="http://schemas.openxmlformats.org/officeDocument/2006/relationships/hyperlink" Target="https://assets.vans.eu/images/VN000M1ABML-HERO/1" TargetMode="External"/><Relationship Id="rId4521" Type="http://schemas.openxmlformats.org/officeDocument/2006/relationships/hyperlink" Target="https://assets.vans.eu/images/VN000DA2B9M-HERO/1" TargetMode="External"/><Relationship Id="rId251" Type="http://schemas.openxmlformats.org/officeDocument/2006/relationships/hyperlink" Target="https://assets.vans.eu/images/VN000K3NBLK-HERO/1" TargetMode="External"/><Relationship Id="rId3330" Type="http://schemas.openxmlformats.org/officeDocument/2006/relationships/hyperlink" Target="https://assets.vans.eu/images/VN000P8VBLK-HERO/1" TargetMode="External"/><Relationship Id="rId2889" Type="http://schemas.openxmlformats.org/officeDocument/2006/relationships/hyperlink" Target="https://assets.vans.eu/images/VN000QA6EN6-HERO/1" TargetMode="External"/><Relationship Id="rId111" Type="http://schemas.openxmlformats.org/officeDocument/2006/relationships/hyperlink" Target="https://assets.vans.eu/images/VN0A5HZK9BY-HERO/1" TargetMode="External"/><Relationship Id="rId1698" Type="http://schemas.openxmlformats.org/officeDocument/2006/relationships/hyperlink" Target="https://assets.vans.eu/images/VN000P5S14A-HERO/1" TargetMode="External"/><Relationship Id="rId2749" Type="http://schemas.openxmlformats.org/officeDocument/2006/relationships/hyperlink" Target="https://assets.vans.eu/images/VN000DAQTWH-HERO/1" TargetMode="External"/><Relationship Id="rId2956" Type="http://schemas.openxmlformats.org/officeDocument/2006/relationships/hyperlink" Target="https://assets.vans.eu/images/VN000G8AP8X-HERO/1" TargetMode="External"/><Relationship Id="rId928" Type="http://schemas.openxmlformats.org/officeDocument/2006/relationships/hyperlink" Target="https://assets.vans.eu/images/VN000M7MBLK-HERO/1" TargetMode="External"/><Relationship Id="rId1558" Type="http://schemas.openxmlformats.org/officeDocument/2006/relationships/hyperlink" Target="https://assets.vans.eu/images/VN000Y12YS5-HERO/1" TargetMode="External"/><Relationship Id="rId1765" Type="http://schemas.openxmlformats.org/officeDocument/2006/relationships/hyperlink" Target="https://assets.vans.eu/images/VN000PXXWHT-HERO/1" TargetMode="External"/><Relationship Id="rId2609" Type="http://schemas.openxmlformats.org/officeDocument/2006/relationships/hyperlink" Target="https://assets.vans.eu/images/VN000D4MKCZ-HERO/1" TargetMode="External"/><Relationship Id="rId4171" Type="http://schemas.openxmlformats.org/officeDocument/2006/relationships/hyperlink" Target="https://assets.vans.eu/images/VN000D25PWT-HERO/1" TargetMode="External"/><Relationship Id="rId5015" Type="http://schemas.openxmlformats.org/officeDocument/2006/relationships/hyperlink" Target="https://assets.vans.eu/images/VN0A2Z32Y45-HERO/1" TargetMode="External"/><Relationship Id="rId57" Type="http://schemas.openxmlformats.org/officeDocument/2006/relationships/hyperlink" Target="https://assets.vans.eu/images/VN000XUJB9P-HERO/1" TargetMode="External"/><Relationship Id="rId1418" Type="http://schemas.openxmlformats.org/officeDocument/2006/relationships/hyperlink" Target="https://assets.vans.eu/images/VN000RD71O7-HERO/1" TargetMode="External"/><Relationship Id="rId1972" Type="http://schemas.openxmlformats.org/officeDocument/2006/relationships/hyperlink" Target="https://assets.vans.eu/images/VN000EDN7D6-HERO/1" TargetMode="External"/><Relationship Id="rId2816" Type="http://schemas.openxmlformats.org/officeDocument/2006/relationships/hyperlink" Target="https://assets.vans.eu/images/VN000V16EMT-HERO/1" TargetMode="External"/><Relationship Id="rId4031" Type="http://schemas.openxmlformats.org/officeDocument/2006/relationships/hyperlink" Target="https://assets.vans.eu/images/VN000D0JRV2-HERO/1" TargetMode="External"/><Relationship Id="rId1625" Type="http://schemas.openxmlformats.org/officeDocument/2006/relationships/hyperlink" Target="https://assets.vans.eu/images/VN000HZABLK-HERO/1" TargetMode="External"/><Relationship Id="rId1832" Type="http://schemas.openxmlformats.org/officeDocument/2006/relationships/hyperlink" Target="https://assets.vans.eu/images/VN000CTG448-HERO/1" TargetMode="External"/><Relationship Id="rId4988" Type="http://schemas.openxmlformats.org/officeDocument/2006/relationships/hyperlink" Target="https://assets.vans.eu/images/VN000E23CQ0-HERO/1" TargetMode="External"/><Relationship Id="rId3797" Type="http://schemas.openxmlformats.org/officeDocument/2006/relationships/hyperlink" Target="https://assets.vans.eu/images/VN000CQ0Y61-HERO/1" TargetMode="External"/><Relationship Id="rId4848" Type="http://schemas.openxmlformats.org/officeDocument/2006/relationships/hyperlink" Target="https://assets.vans.eu/images/VN000PP2BLK-HERO/1" TargetMode="External"/><Relationship Id="rId2399" Type="http://schemas.openxmlformats.org/officeDocument/2006/relationships/hyperlink" Target="https://assets.vans.eu/images/VN000M7MZBF-HERO/1" TargetMode="External"/><Relationship Id="rId3657" Type="http://schemas.openxmlformats.org/officeDocument/2006/relationships/hyperlink" Target="https://assets.vans.eu/images/VN0A5AUBDSB-HERO/1" TargetMode="External"/><Relationship Id="rId3864" Type="http://schemas.openxmlformats.org/officeDocument/2006/relationships/hyperlink" Target="https://assets.vans.eu/images/VN000CTNBX9-HERO/1" TargetMode="External"/><Relationship Id="rId4708" Type="http://schemas.openxmlformats.org/officeDocument/2006/relationships/hyperlink" Target="https://assets.vans.eu/images/VN0A3TK2V2O-HERO/1" TargetMode="External"/><Relationship Id="rId4915" Type="http://schemas.openxmlformats.org/officeDocument/2006/relationships/hyperlink" Target="https://assets.vans.eu/images/VN000J9NCHG-HERO/1" TargetMode="External"/><Relationship Id="rId578" Type="http://schemas.openxmlformats.org/officeDocument/2006/relationships/hyperlink" Target="https://assets.vans.eu/images/VN000D70CHG-HERO/1" TargetMode="External"/><Relationship Id="rId785" Type="http://schemas.openxmlformats.org/officeDocument/2006/relationships/hyperlink" Target="https://assets.vans.eu/images/VN000H2AEN6-HERO/1" TargetMode="External"/><Relationship Id="rId992" Type="http://schemas.openxmlformats.org/officeDocument/2006/relationships/hyperlink" Target="https://assets.vans.eu/images/VN000HJQBLK-HERO/1" TargetMode="External"/><Relationship Id="rId2259" Type="http://schemas.openxmlformats.org/officeDocument/2006/relationships/hyperlink" Target="https://assets.vans.eu/images/VN000PJU7WM-HERO/1" TargetMode="External"/><Relationship Id="rId2466" Type="http://schemas.openxmlformats.org/officeDocument/2006/relationships/hyperlink" Target="https://assets.vans.eu/images/VN000CT8HCZ-HERO/1" TargetMode="External"/><Relationship Id="rId2673" Type="http://schemas.openxmlformats.org/officeDocument/2006/relationships/hyperlink" Target="https://assets.vans.eu/images/VN000D6WEMG-HERO/1" TargetMode="External"/><Relationship Id="rId2880" Type="http://schemas.openxmlformats.org/officeDocument/2006/relationships/hyperlink" Target="https://assets.vans.eu/images/VN000JEQBLK-HERO/1" TargetMode="External"/><Relationship Id="rId3517" Type="http://schemas.openxmlformats.org/officeDocument/2006/relationships/hyperlink" Target="https://assets.vans.eu/images/VN000Q49BLK-HERO/1" TargetMode="External"/><Relationship Id="rId3724" Type="http://schemas.openxmlformats.org/officeDocument/2006/relationships/hyperlink" Target="https://assets.vans.eu/images/VN0009QMJM9-HERO/1" TargetMode="External"/><Relationship Id="rId3931" Type="http://schemas.openxmlformats.org/officeDocument/2006/relationships/hyperlink" Target="https://assets.vans.eu/images/VN000CVVEMQ-HERO/1" TargetMode="External"/><Relationship Id="rId438" Type="http://schemas.openxmlformats.org/officeDocument/2006/relationships/hyperlink" Target="https://assets.vans.eu/images/VN000PFBEN9-HERO/1" TargetMode="External"/><Relationship Id="rId645" Type="http://schemas.openxmlformats.org/officeDocument/2006/relationships/hyperlink" Target="https://assets.vans.eu/images/VN000PNVBLK-HERO/1" TargetMode="External"/><Relationship Id="rId852" Type="http://schemas.openxmlformats.org/officeDocument/2006/relationships/hyperlink" Target="https://assets.vans.eu/images/VN000D6YEZI-HERO/1" TargetMode="External"/><Relationship Id="rId1068" Type="http://schemas.openxmlformats.org/officeDocument/2006/relationships/hyperlink" Target="https://assets.vans.eu/images/VN000D0HBMV-HERO/1" TargetMode="External"/><Relationship Id="rId1275" Type="http://schemas.openxmlformats.org/officeDocument/2006/relationships/hyperlink" Target="https://assets.vans.eu/images/VN000E9RG58-HERO/1" TargetMode="External"/><Relationship Id="rId1482" Type="http://schemas.openxmlformats.org/officeDocument/2006/relationships/hyperlink" Target="https://assets.vans.eu/images/VN000D0HEMY-HERO/1" TargetMode="External"/><Relationship Id="rId2119" Type="http://schemas.openxmlformats.org/officeDocument/2006/relationships/hyperlink" Target="https://assets.vans.eu/images/VN000M8JY28-HERO/1" TargetMode="External"/><Relationship Id="rId2326" Type="http://schemas.openxmlformats.org/officeDocument/2006/relationships/hyperlink" Target="https://assets.vans.eu/images/VN000R02WHT-HERO/1" TargetMode="External"/><Relationship Id="rId2533" Type="http://schemas.openxmlformats.org/officeDocument/2006/relationships/hyperlink" Target="https://assets.vans.eu/images/VN000D07YB2-HERO/1" TargetMode="External"/><Relationship Id="rId2740" Type="http://schemas.openxmlformats.org/officeDocument/2006/relationships/hyperlink" Target="https://assets.vans.eu/images/VN000DAQ02Y-HERO/1" TargetMode="External"/><Relationship Id="rId505" Type="http://schemas.openxmlformats.org/officeDocument/2006/relationships/hyperlink" Target="https://assets.vans.eu/images/VN000NBPBLK-HERO/1" TargetMode="External"/><Relationship Id="rId712" Type="http://schemas.openxmlformats.org/officeDocument/2006/relationships/hyperlink" Target="https://assets.vans.eu/images/VN000MB2EB2-HERO/1" TargetMode="External"/><Relationship Id="rId1135" Type="http://schemas.openxmlformats.org/officeDocument/2006/relationships/hyperlink" Target="https://assets.vans.eu/images/VN000M8JY28-HERO/1" TargetMode="External"/><Relationship Id="rId1342" Type="http://schemas.openxmlformats.org/officeDocument/2006/relationships/hyperlink" Target="https://assets.vans.eu/images/VN000M9SBLK-HERO/1" TargetMode="External"/><Relationship Id="rId4498" Type="http://schemas.openxmlformats.org/officeDocument/2006/relationships/hyperlink" Target="https://assets.vans.eu/images/VN000D9ZKOU-HERO/1" TargetMode="External"/><Relationship Id="rId1202" Type="http://schemas.openxmlformats.org/officeDocument/2006/relationships/hyperlink" Target="https://assets.vans.eu/images/VN000RK6EMW-HERO/1" TargetMode="External"/><Relationship Id="rId2600" Type="http://schemas.openxmlformats.org/officeDocument/2006/relationships/hyperlink" Target="https://assets.vans.eu/images/VN000D26PWT-HERO/1" TargetMode="External"/><Relationship Id="rId4358" Type="http://schemas.openxmlformats.org/officeDocument/2006/relationships/hyperlink" Target="https://assets.vans.eu/images/VN000D6SCJA-HERO/1" TargetMode="External"/><Relationship Id="rId3167" Type="http://schemas.openxmlformats.org/officeDocument/2006/relationships/hyperlink" Target="https://assets.vans.eu/images/VN000M9HFS8-HERO/1" TargetMode="External"/><Relationship Id="rId4565" Type="http://schemas.openxmlformats.org/officeDocument/2006/relationships/hyperlink" Target="https://assets.vans.eu/images/VN000DARBKL-HERO/1" TargetMode="External"/><Relationship Id="rId4772" Type="http://schemas.openxmlformats.org/officeDocument/2006/relationships/hyperlink" Target="https://assets.vans.eu/images/VN0A5I111OJ-HERO/1" TargetMode="External"/><Relationship Id="rId295" Type="http://schemas.openxmlformats.org/officeDocument/2006/relationships/hyperlink" Target="https://assets.vans.eu/images/VN0A7YUTWHT-HERO/1" TargetMode="External"/><Relationship Id="rId3374" Type="http://schemas.openxmlformats.org/officeDocument/2006/relationships/hyperlink" Target="https://assets.vans.eu/images/VN000PDREN7-HERO/1" TargetMode="External"/><Relationship Id="rId3581" Type="http://schemas.openxmlformats.org/officeDocument/2006/relationships/hyperlink" Target="https://assets.vans.eu/images/VN000RD1O32-HERO/1" TargetMode="External"/><Relationship Id="rId4218" Type="http://schemas.openxmlformats.org/officeDocument/2006/relationships/hyperlink" Target="https://assets.vans.eu/images/VN000D2YBKA-HERO/1" TargetMode="External"/><Relationship Id="rId4425" Type="http://schemas.openxmlformats.org/officeDocument/2006/relationships/hyperlink" Target="https://assets.vans.eu/images/VN000D7G29B-HERO/1" TargetMode="External"/><Relationship Id="rId4632" Type="http://schemas.openxmlformats.org/officeDocument/2006/relationships/hyperlink" Target="https://assets.vans.eu/images/VN000EB4TAN-HERO/1" TargetMode="External"/><Relationship Id="rId2183" Type="http://schemas.openxmlformats.org/officeDocument/2006/relationships/hyperlink" Target="https://assets.vans.eu/images/VN000P50EMF-HERO/1" TargetMode="External"/><Relationship Id="rId2390" Type="http://schemas.openxmlformats.org/officeDocument/2006/relationships/hyperlink" Target="https://assets.vans.eu/images/VN0A7U7KCHN-HERO/1" TargetMode="External"/><Relationship Id="rId3027" Type="http://schemas.openxmlformats.org/officeDocument/2006/relationships/hyperlink" Target="https://assets.vans.eu/images/VN000HZB0E0-HERO/1" TargetMode="External"/><Relationship Id="rId3234" Type="http://schemas.openxmlformats.org/officeDocument/2006/relationships/hyperlink" Target="https://assets.vans.eu/images/VN000NTSD6Z-HERO/1" TargetMode="External"/><Relationship Id="rId3441" Type="http://schemas.openxmlformats.org/officeDocument/2006/relationships/hyperlink" Target="https://assets.vans.eu/images/VN000PNCRKZ-HERO/1" TargetMode="External"/><Relationship Id="rId155" Type="http://schemas.openxmlformats.org/officeDocument/2006/relationships/hyperlink" Target="https://assets.vans.eu/images/VN000HZBBLK-HERO/1" TargetMode="External"/><Relationship Id="rId362" Type="http://schemas.openxmlformats.org/officeDocument/2006/relationships/hyperlink" Target="https://assets.vans.eu/images/VN000PKJBLK-HERO/1" TargetMode="External"/><Relationship Id="rId2043" Type="http://schemas.openxmlformats.org/officeDocument/2006/relationships/hyperlink" Target="https://assets.vans.eu/images/VN0008NAE90-HERO/1" TargetMode="External"/><Relationship Id="rId2250" Type="http://schemas.openxmlformats.org/officeDocument/2006/relationships/hyperlink" Target="https://assets.vans.eu/images/VN000PJMZBF-HERO/1" TargetMode="External"/><Relationship Id="rId3301" Type="http://schemas.openxmlformats.org/officeDocument/2006/relationships/hyperlink" Target="https://assets.vans.eu/images/VN000P5FBLK-HERO/1" TargetMode="External"/><Relationship Id="rId222" Type="http://schemas.openxmlformats.org/officeDocument/2006/relationships/hyperlink" Target="https://assets.vans.eu/images/VN000J58LKZ-HERO/1" TargetMode="External"/><Relationship Id="rId2110" Type="http://schemas.openxmlformats.org/officeDocument/2006/relationships/hyperlink" Target="https://assets.vans.eu/images/VN000M3GJDU-HERO/1" TargetMode="External"/><Relationship Id="rId5059" Type="http://schemas.openxmlformats.org/officeDocument/2006/relationships/hyperlink" Target="https://assets.vans.eu/images/VN0A5AODENR-HERO/1" TargetMode="External"/><Relationship Id="rId4075" Type="http://schemas.openxmlformats.org/officeDocument/2006/relationships/hyperlink" Target="https://assets.vans.eu/images/VN000D1GBA2-HERO/1" TargetMode="External"/><Relationship Id="rId4282" Type="http://schemas.openxmlformats.org/officeDocument/2006/relationships/hyperlink" Target="https://assets.vans.eu/images/VN000D5RBRG-HERO/1" TargetMode="External"/><Relationship Id="rId1669" Type="http://schemas.openxmlformats.org/officeDocument/2006/relationships/hyperlink" Target="https://assets.vans.eu/images/VN000MCRBLK-HERO/1" TargetMode="External"/><Relationship Id="rId1876" Type="http://schemas.openxmlformats.org/officeDocument/2006/relationships/hyperlink" Target="https://assets.vans.eu/images/VN000D1JV0N-HERO/1" TargetMode="External"/><Relationship Id="rId2927" Type="http://schemas.openxmlformats.org/officeDocument/2006/relationships/hyperlink" Target="https://assets.vans.eu/images/VN0008J9BZ0-HERO/1" TargetMode="External"/><Relationship Id="rId3091" Type="http://schemas.openxmlformats.org/officeDocument/2006/relationships/hyperlink" Target="https://assets.vans.eu/images/VN000KASBN5-HERO/1" TargetMode="External"/><Relationship Id="rId4142" Type="http://schemas.openxmlformats.org/officeDocument/2006/relationships/hyperlink" Target="https://assets.vans.eu/images/VN000D1SEMW-HERO/1" TargetMode="External"/><Relationship Id="rId1529" Type="http://schemas.openxmlformats.org/officeDocument/2006/relationships/hyperlink" Target="https://assets.vans.eu/images/VN000D9ACJ7-HERO/1" TargetMode="External"/><Relationship Id="rId1736" Type="http://schemas.openxmlformats.org/officeDocument/2006/relationships/hyperlink" Target="https://assets.vans.eu/images/VN000PPJ02F-HERO/1" TargetMode="External"/><Relationship Id="rId1943" Type="http://schemas.openxmlformats.org/officeDocument/2006/relationships/hyperlink" Target="https://assets.vans.eu/images/VN000D9YRWZ-HERO/1" TargetMode="External"/><Relationship Id="rId28" Type="http://schemas.openxmlformats.org/officeDocument/2006/relationships/hyperlink" Target="https://assets.vans.eu/images/VN0A5HF8BLK-HERO/1" TargetMode="External"/><Relationship Id="rId1803" Type="http://schemas.openxmlformats.org/officeDocument/2006/relationships/hyperlink" Target="https://assets.vans.eu/images/VN00104UEMS-HERO/1" TargetMode="External"/><Relationship Id="rId4002" Type="http://schemas.openxmlformats.org/officeDocument/2006/relationships/hyperlink" Target="https://assets.vans.eu/images/VN000CZ7O33-HERO/1" TargetMode="External"/><Relationship Id="rId4959" Type="http://schemas.openxmlformats.org/officeDocument/2006/relationships/hyperlink" Target="https://assets.vans.eu/images/VN000D3UZBF-HERO/1" TargetMode="External"/><Relationship Id="rId3768" Type="http://schemas.openxmlformats.org/officeDocument/2006/relationships/hyperlink" Target="https://assets.vans.eu/images/VN000CMXN1Z-HERO/1" TargetMode="External"/><Relationship Id="rId3975" Type="http://schemas.openxmlformats.org/officeDocument/2006/relationships/hyperlink" Target="https://assets.vans.eu/images/VN000CWFSKQ-HERO/1" TargetMode="External"/><Relationship Id="rId4819" Type="http://schemas.openxmlformats.org/officeDocument/2006/relationships/hyperlink" Target="https://assets.vans.eu/images/VN000D1GSN0-HERO/1" TargetMode="External"/><Relationship Id="rId689" Type="http://schemas.openxmlformats.org/officeDocument/2006/relationships/hyperlink" Target="https://assets.vans.eu/images/VN000D6ZO3N-HERO/1" TargetMode="External"/><Relationship Id="rId896" Type="http://schemas.openxmlformats.org/officeDocument/2006/relationships/hyperlink" Target="https://assets.vans.eu/images/VN000PGMEMU-HERO/1" TargetMode="External"/><Relationship Id="rId2577" Type="http://schemas.openxmlformats.org/officeDocument/2006/relationships/hyperlink" Target="https://assets.vans.eu/images/VN000D1BEMU-HERO/1" TargetMode="External"/><Relationship Id="rId2784" Type="http://schemas.openxmlformats.org/officeDocument/2006/relationships/hyperlink" Target="https://assets.vans.eu/images/VN000E91BA5-HERO/1" TargetMode="External"/><Relationship Id="rId3628" Type="http://schemas.openxmlformats.org/officeDocument/2006/relationships/hyperlink" Target="https://assets.vans.eu/images/VN0A3HSCP8X-HERO/1" TargetMode="External"/><Relationship Id="rId549" Type="http://schemas.openxmlformats.org/officeDocument/2006/relationships/hyperlink" Target="https://assets.vans.eu/images/VN000KYUCI2-HERO/1" TargetMode="External"/><Relationship Id="rId756" Type="http://schemas.openxmlformats.org/officeDocument/2006/relationships/hyperlink" Target="https://assets.vans.eu/images/VN000D11N1Z-HERO/1" TargetMode="External"/><Relationship Id="rId1179" Type="http://schemas.openxmlformats.org/officeDocument/2006/relationships/hyperlink" Target="https://assets.vans.eu/images/VN000PMDEMW-HERO/1" TargetMode="External"/><Relationship Id="rId1386" Type="http://schemas.openxmlformats.org/officeDocument/2006/relationships/hyperlink" Target="https://assets.vans.eu/images/VN000PMNEMP-HERO/1" TargetMode="External"/><Relationship Id="rId1593" Type="http://schemas.openxmlformats.org/officeDocument/2006/relationships/hyperlink" Target="https://assets.vans.eu/images/VN000XZY4QU-HERO/1" TargetMode="External"/><Relationship Id="rId2437" Type="http://schemas.openxmlformats.org/officeDocument/2006/relationships/hyperlink" Target="https://assets.vans.eu/images/VN000CQ04C3-HERO/1" TargetMode="External"/><Relationship Id="rId2991" Type="http://schemas.openxmlformats.org/officeDocument/2006/relationships/hyperlink" Target="https://assets.vans.eu/images/VN000HE2KOU-HERO/1" TargetMode="External"/><Relationship Id="rId3835" Type="http://schemas.openxmlformats.org/officeDocument/2006/relationships/hyperlink" Target="https://assets.vans.eu/images/VN000CTDBKA-HERO/1" TargetMode="External"/><Relationship Id="rId5050" Type="http://schemas.openxmlformats.org/officeDocument/2006/relationships/hyperlink" Target="https://assets.vans.eu/images/VN0A2Z3TWTM-HERO/1" TargetMode="External"/><Relationship Id="rId409" Type="http://schemas.openxmlformats.org/officeDocument/2006/relationships/hyperlink" Target="https://assets.vans.eu/images/VN000M9A1O7-HERO/1" TargetMode="External"/><Relationship Id="rId963" Type="http://schemas.openxmlformats.org/officeDocument/2006/relationships/hyperlink" Target="https://assets.vans.eu/images/VN000D9ACJ7-HERO/1" TargetMode="External"/><Relationship Id="rId1039" Type="http://schemas.openxmlformats.org/officeDocument/2006/relationships/hyperlink" Target="https://assets.vans.eu/images/VN000RD1EMW-HERO/1" TargetMode="External"/><Relationship Id="rId1246" Type="http://schemas.openxmlformats.org/officeDocument/2006/relationships/hyperlink" Target="https://assets.vans.eu/images/VN000D1JCFL-HERO/1" TargetMode="External"/><Relationship Id="rId2644" Type="http://schemas.openxmlformats.org/officeDocument/2006/relationships/hyperlink" Target="https://assets.vans.eu/images/VN000D610VW-HERO/1" TargetMode="External"/><Relationship Id="rId2851" Type="http://schemas.openxmlformats.org/officeDocument/2006/relationships/hyperlink" Target="https://assets.vans.eu/images/VN000613Y28-HERO/1" TargetMode="External"/><Relationship Id="rId3902" Type="http://schemas.openxmlformats.org/officeDocument/2006/relationships/hyperlink" Target="https://assets.vans.eu/images/VN000CVU1LO-HERO/1" TargetMode="External"/><Relationship Id="rId92" Type="http://schemas.openxmlformats.org/officeDocument/2006/relationships/hyperlink" Target="https://assets.vans.eu/images/VN000Q1XBLK-HERO/1" TargetMode="External"/><Relationship Id="rId616" Type="http://schemas.openxmlformats.org/officeDocument/2006/relationships/hyperlink" Target="https://assets.vans.eu/images/VN000R03WHT-HERO/1" TargetMode="External"/><Relationship Id="rId823" Type="http://schemas.openxmlformats.org/officeDocument/2006/relationships/hyperlink" Target="https://assets.vans.eu/images/VN000RFMEMV-HERO/1" TargetMode="External"/><Relationship Id="rId1453" Type="http://schemas.openxmlformats.org/officeDocument/2006/relationships/hyperlink" Target="https://assets.vans.eu/images/VN000CRRBJ4-HERO/1" TargetMode="External"/><Relationship Id="rId1660" Type="http://schemas.openxmlformats.org/officeDocument/2006/relationships/hyperlink" Target="https://assets.vans.eu/images/VN000M9MZUJ-HERO/1" TargetMode="External"/><Relationship Id="rId2504" Type="http://schemas.openxmlformats.org/officeDocument/2006/relationships/hyperlink" Target="https://assets.vans.eu/images/VN000CVVCRM-HERO/1" TargetMode="External"/><Relationship Id="rId2711" Type="http://schemas.openxmlformats.org/officeDocument/2006/relationships/hyperlink" Target="https://assets.vans.eu/images/VN000D9Y0CS-HERO/1" TargetMode="External"/><Relationship Id="rId1106" Type="http://schemas.openxmlformats.org/officeDocument/2006/relationships/hyperlink" Target="https://assets.vans.eu/images/VN000QAXEN7-HERO/1" TargetMode="External"/><Relationship Id="rId1313" Type="http://schemas.openxmlformats.org/officeDocument/2006/relationships/hyperlink" Target="https://assets.vans.eu/images/VN000HNTDAD-HERO/1" TargetMode="External"/><Relationship Id="rId1520" Type="http://schemas.openxmlformats.org/officeDocument/2006/relationships/hyperlink" Target="https://assets.vans.eu/images/VN000D6ZORA-HERO/1" TargetMode="External"/><Relationship Id="rId4469" Type="http://schemas.openxmlformats.org/officeDocument/2006/relationships/hyperlink" Target="https://assets.vans.eu/images/VN000D8NWWW-HERO/1" TargetMode="External"/><Relationship Id="rId4676" Type="http://schemas.openxmlformats.org/officeDocument/2006/relationships/hyperlink" Target="https://assets.vans.eu/images/VN000V16EMT-HERO/1" TargetMode="External"/><Relationship Id="rId4883" Type="http://schemas.openxmlformats.org/officeDocument/2006/relationships/hyperlink" Target="https://assets.vans.eu/images/VN000D3J689-HERO/1" TargetMode="External"/><Relationship Id="rId3278" Type="http://schemas.openxmlformats.org/officeDocument/2006/relationships/hyperlink" Target="https://assets.vans.eu/images/VN000P52Y28-HERO/1" TargetMode="External"/><Relationship Id="rId3485" Type="http://schemas.openxmlformats.org/officeDocument/2006/relationships/hyperlink" Target="https://assets.vans.eu/images/VN000PXBEN7-HERO/1" TargetMode="External"/><Relationship Id="rId3692" Type="http://schemas.openxmlformats.org/officeDocument/2006/relationships/hyperlink" Target="https://assets.vans.eu/images/VN0005UFCJL-HERO/1" TargetMode="External"/><Relationship Id="rId4329" Type="http://schemas.openxmlformats.org/officeDocument/2006/relationships/hyperlink" Target="https://assets.vans.eu/images/VN000D6FBGK-HERO/1" TargetMode="External"/><Relationship Id="rId4536" Type="http://schemas.openxmlformats.org/officeDocument/2006/relationships/hyperlink" Target="https://assets.vans.eu/images/VN000DAJPWT-HERO/1" TargetMode="External"/><Relationship Id="rId4743" Type="http://schemas.openxmlformats.org/officeDocument/2006/relationships/hyperlink" Target="https://assets.vans.eu/images/VN0A5FCAPIB-HERO/1" TargetMode="External"/><Relationship Id="rId4950" Type="http://schemas.openxmlformats.org/officeDocument/2006/relationships/hyperlink" Target="https://assets.vans.eu/images/VN000D3JB7G-HERO/1" TargetMode="External"/><Relationship Id="rId199" Type="http://schemas.openxmlformats.org/officeDocument/2006/relationships/hyperlink" Target="https://assets.vans.eu/images/VN000BCECCZ-HERO/1" TargetMode="External"/><Relationship Id="rId2087" Type="http://schemas.openxmlformats.org/officeDocument/2006/relationships/hyperlink" Target="https://assets.vans.eu/images/VN000K0DDBC-HERO/1" TargetMode="External"/><Relationship Id="rId2294" Type="http://schemas.openxmlformats.org/officeDocument/2006/relationships/hyperlink" Target="https://assets.vans.eu/images/VN000PRKEN9-HERO/1" TargetMode="External"/><Relationship Id="rId3138" Type="http://schemas.openxmlformats.org/officeDocument/2006/relationships/hyperlink" Target="https://assets.vans.eu/images/VN000M4M4T1-HERO/1" TargetMode="External"/><Relationship Id="rId3345" Type="http://schemas.openxmlformats.org/officeDocument/2006/relationships/hyperlink" Target="https://assets.vans.eu/images/VN000PBSBRD-HERO/1" TargetMode="External"/><Relationship Id="rId3552" Type="http://schemas.openxmlformats.org/officeDocument/2006/relationships/hyperlink" Target="https://assets.vans.eu/images/VN000R74BLK-HERO/1" TargetMode="External"/><Relationship Id="rId4603" Type="http://schemas.openxmlformats.org/officeDocument/2006/relationships/hyperlink" Target="https://assets.vans.eu/images/VN000E897WM-HERO/1" TargetMode="External"/><Relationship Id="rId266" Type="http://schemas.openxmlformats.org/officeDocument/2006/relationships/hyperlink" Target="https://assets.vans.eu/images/VN000D26EWR-HERO/1" TargetMode="External"/><Relationship Id="rId473" Type="http://schemas.openxmlformats.org/officeDocument/2006/relationships/hyperlink" Target="https://assets.vans.eu/images/VN0008N6BLK-HERO/1" TargetMode="External"/><Relationship Id="rId680" Type="http://schemas.openxmlformats.org/officeDocument/2006/relationships/hyperlink" Target="https://assets.vans.eu/images/VN000CVUOLV-HERO/1" TargetMode="External"/><Relationship Id="rId2154" Type="http://schemas.openxmlformats.org/officeDocument/2006/relationships/hyperlink" Target="https://assets.vans.eu/images/VN000MJ6BLK-HERO/1" TargetMode="External"/><Relationship Id="rId2361" Type="http://schemas.openxmlformats.org/officeDocument/2006/relationships/hyperlink" Target="https://assets.vans.eu/images/VN000RJYPWT-HERO/1" TargetMode="External"/><Relationship Id="rId3205" Type="http://schemas.openxmlformats.org/officeDocument/2006/relationships/hyperlink" Target="https://assets.vans.eu/images/VN000MGUCI2-HERO/1" TargetMode="External"/><Relationship Id="rId3412" Type="http://schemas.openxmlformats.org/officeDocument/2006/relationships/hyperlink" Target="https://assets.vans.eu/images/VN000PJMBLK-HERO/1" TargetMode="External"/><Relationship Id="rId4810" Type="http://schemas.openxmlformats.org/officeDocument/2006/relationships/hyperlink" Target="https://assets.vans.eu/images/VN000D3JB7G-HERO/1" TargetMode="External"/><Relationship Id="rId126" Type="http://schemas.openxmlformats.org/officeDocument/2006/relationships/hyperlink" Target="https://assets.vans.eu/images/VN000H4WEMJ-HERO/1" TargetMode="External"/><Relationship Id="rId333" Type="http://schemas.openxmlformats.org/officeDocument/2006/relationships/hyperlink" Target="https://assets.vans.eu/images/VN000D1JY23-HERO/1" TargetMode="External"/><Relationship Id="rId540" Type="http://schemas.openxmlformats.org/officeDocument/2006/relationships/hyperlink" Target="https://assets.vans.eu/images/VN000PT612Q-HERO/1" TargetMode="External"/><Relationship Id="rId1170" Type="http://schemas.openxmlformats.org/officeDocument/2006/relationships/hyperlink" Target="https://assets.vans.eu/images/VN000PJSD3Z-HERO/1" TargetMode="External"/><Relationship Id="rId2014" Type="http://schemas.openxmlformats.org/officeDocument/2006/relationships/hyperlink" Target="https://assets.vans.eu/images/VN000Q1ABRD-HERO/1" TargetMode="External"/><Relationship Id="rId2221" Type="http://schemas.openxmlformats.org/officeDocument/2006/relationships/hyperlink" Target="https://assets.vans.eu/images/VN000PDABLK-HERO/1" TargetMode="External"/><Relationship Id="rId1030" Type="http://schemas.openxmlformats.org/officeDocument/2006/relationships/hyperlink" Target="https://assets.vans.eu/images/VN000Q35EMP-HERO/1" TargetMode="External"/><Relationship Id="rId4186" Type="http://schemas.openxmlformats.org/officeDocument/2006/relationships/hyperlink" Target="https://assets.vans.eu/images/VN000D26JDU-HERO/1" TargetMode="External"/><Relationship Id="rId400" Type="http://schemas.openxmlformats.org/officeDocument/2006/relationships/hyperlink" Target="https://assets.vans.eu/images/VN000D6WEMU-HERO/1" TargetMode="External"/><Relationship Id="rId1987" Type="http://schemas.openxmlformats.org/officeDocument/2006/relationships/hyperlink" Target="https://assets.vans.eu/images/VN000ZSRGQ0-HERO/1" TargetMode="External"/><Relationship Id="rId4393" Type="http://schemas.openxmlformats.org/officeDocument/2006/relationships/hyperlink" Target="https://assets.vans.eu/images/VN000D6YEMH-HERO/1" TargetMode="External"/><Relationship Id="rId1847" Type="http://schemas.openxmlformats.org/officeDocument/2006/relationships/hyperlink" Target="https://assets.vans.eu/images/VN000CWEBER-HERO/1" TargetMode="External"/><Relationship Id="rId4046" Type="http://schemas.openxmlformats.org/officeDocument/2006/relationships/hyperlink" Target="https://assets.vans.eu/images/VN000D0S705-HERO/1" TargetMode="External"/><Relationship Id="rId4253" Type="http://schemas.openxmlformats.org/officeDocument/2006/relationships/hyperlink" Target="https://assets.vans.eu/images/VN000D4N2B6-HERO/1" TargetMode="External"/><Relationship Id="rId4460" Type="http://schemas.openxmlformats.org/officeDocument/2006/relationships/hyperlink" Target="https://assets.vans.eu/images/VN000D88MCG-HERO/1" TargetMode="External"/><Relationship Id="rId1707" Type="http://schemas.openxmlformats.org/officeDocument/2006/relationships/hyperlink" Target="https://assets.vans.eu/images/VN000PAUBLK-HERO/1" TargetMode="External"/><Relationship Id="rId3062" Type="http://schemas.openxmlformats.org/officeDocument/2006/relationships/hyperlink" Target="https://assets.vans.eu/images/VN000JGPD3Z-HERO/1" TargetMode="External"/><Relationship Id="rId4113" Type="http://schemas.openxmlformats.org/officeDocument/2006/relationships/hyperlink" Target="https://assets.vans.eu/images/VN000D1JEN7-HERO/1" TargetMode="External"/><Relationship Id="rId4320" Type="http://schemas.openxmlformats.org/officeDocument/2006/relationships/hyperlink" Target="https://assets.vans.eu/images/VN000D6FBF0-HERO/1" TargetMode="External"/><Relationship Id="rId190" Type="http://schemas.openxmlformats.org/officeDocument/2006/relationships/hyperlink" Target="https://assets.vans.eu/images/VN000SPAMTR-HERO/1" TargetMode="External"/><Relationship Id="rId1914" Type="http://schemas.openxmlformats.org/officeDocument/2006/relationships/hyperlink" Target="https://assets.vans.eu/images/VN000D6W11E-HERO/1" TargetMode="External"/><Relationship Id="rId3879" Type="http://schemas.openxmlformats.org/officeDocument/2006/relationships/hyperlink" Target="https://assets.vans.eu/images/VN000CVRBLK-HERO/1" TargetMode="External"/><Relationship Id="rId2688" Type="http://schemas.openxmlformats.org/officeDocument/2006/relationships/hyperlink" Target="https://assets.vans.eu/images/VN000D6ZEZI-HERO/1" TargetMode="External"/><Relationship Id="rId2895" Type="http://schemas.openxmlformats.org/officeDocument/2006/relationships/hyperlink" Target="https://assets.vans.eu/images/VN000QBPWHT-HERO/1" TargetMode="External"/><Relationship Id="rId3739" Type="http://schemas.openxmlformats.org/officeDocument/2006/relationships/hyperlink" Target="https://assets.vans.eu/images/VN000BCEBMV-HERO/1" TargetMode="External"/><Relationship Id="rId3946" Type="http://schemas.openxmlformats.org/officeDocument/2006/relationships/hyperlink" Target="https://assets.vans.eu/images/VN000CVVF87-HERO/1" TargetMode="External"/><Relationship Id="rId867" Type="http://schemas.openxmlformats.org/officeDocument/2006/relationships/hyperlink" Target="https://assets.vans.eu/images/VN000R51BLK-HERO/1" TargetMode="External"/><Relationship Id="rId1497" Type="http://schemas.openxmlformats.org/officeDocument/2006/relationships/hyperlink" Target="https://assets.vans.eu/images/VN000D1PDJR-HERO/1" TargetMode="External"/><Relationship Id="rId2548" Type="http://schemas.openxmlformats.org/officeDocument/2006/relationships/hyperlink" Target="https://assets.vans.eu/images/VN000D0M11E-HERO/1" TargetMode="External"/><Relationship Id="rId2755" Type="http://schemas.openxmlformats.org/officeDocument/2006/relationships/hyperlink" Target="https://assets.vans.eu/images/VN000DARBKL-HERO/1" TargetMode="External"/><Relationship Id="rId2962" Type="http://schemas.openxmlformats.org/officeDocument/2006/relationships/hyperlink" Target="https://assets.vans.eu/images/VN000GA0D3Z-HERO/1" TargetMode="External"/><Relationship Id="rId3806" Type="http://schemas.openxmlformats.org/officeDocument/2006/relationships/hyperlink" Target="https://assets.vans.eu/images/VN000CQRBZW-HERO/1" TargetMode="External"/><Relationship Id="rId727" Type="http://schemas.openxmlformats.org/officeDocument/2006/relationships/hyperlink" Target="https://assets.vans.eu/images/VN000PXWWHT-HERO/1" TargetMode="External"/><Relationship Id="rId934" Type="http://schemas.openxmlformats.org/officeDocument/2006/relationships/hyperlink" Target="https://assets.vans.eu/images/VN000CS0CX2-HERO/1" TargetMode="External"/><Relationship Id="rId1357" Type="http://schemas.openxmlformats.org/officeDocument/2006/relationships/hyperlink" Target="https://assets.vans.eu/images/VN000P5GBLK-HERO/1" TargetMode="External"/><Relationship Id="rId1564" Type="http://schemas.openxmlformats.org/officeDocument/2006/relationships/hyperlink" Target="https://assets.vans.eu/images/VN0A5HZY6J6-HERO/1" TargetMode="External"/><Relationship Id="rId1771" Type="http://schemas.openxmlformats.org/officeDocument/2006/relationships/hyperlink" Target="https://assets.vans.eu/images/VN000Q0VEMS-HERO/1" TargetMode="External"/><Relationship Id="rId2408" Type="http://schemas.openxmlformats.org/officeDocument/2006/relationships/hyperlink" Target="https://assets.vans.eu/images/VN0007NKBKA-HERO/1" TargetMode="External"/><Relationship Id="rId2615" Type="http://schemas.openxmlformats.org/officeDocument/2006/relationships/hyperlink" Target="https://assets.vans.eu/images/VN000D4NBKA-HERO/1" TargetMode="External"/><Relationship Id="rId2822" Type="http://schemas.openxmlformats.org/officeDocument/2006/relationships/hyperlink" Target="https://assets.vans.eu/images/VN0A3B3UW00-HERO/1" TargetMode="External"/><Relationship Id="rId5021" Type="http://schemas.openxmlformats.org/officeDocument/2006/relationships/hyperlink" Target="https://assets.vans.eu/images/VN0A2Z34B0Z-HERO/1" TargetMode="External"/><Relationship Id="rId63" Type="http://schemas.openxmlformats.org/officeDocument/2006/relationships/hyperlink" Target="https://assets.vans.eu/images/VN000QBKYLZ-HERO/1" TargetMode="External"/><Relationship Id="rId1217" Type="http://schemas.openxmlformats.org/officeDocument/2006/relationships/hyperlink" Target="https://assets.vans.eu/images/VN000CRRD3X-HERO/1" TargetMode="External"/><Relationship Id="rId1424" Type="http://schemas.openxmlformats.org/officeDocument/2006/relationships/hyperlink" Target="https://assets.vans.eu/images/VN000RG4WHT-HERO/1" TargetMode="External"/><Relationship Id="rId1631" Type="http://schemas.openxmlformats.org/officeDocument/2006/relationships/hyperlink" Target="https://assets.vans.eu/images/VN000IVEWHT-HERO/1" TargetMode="External"/><Relationship Id="rId4787" Type="http://schemas.openxmlformats.org/officeDocument/2006/relationships/hyperlink" Target="https://assets.vans.eu/images/VN0A5KS4DOL-HERO/1" TargetMode="External"/><Relationship Id="rId4994" Type="http://schemas.openxmlformats.org/officeDocument/2006/relationships/hyperlink" Target="https://assets.vans.eu/images/VN000EB4CCZ-HERO/1" TargetMode="External"/><Relationship Id="rId3389" Type="http://schemas.openxmlformats.org/officeDocument/2006/relationships/hyperlink" Target="https://assets.vans.eu/images/VN000PF7Y28-HERO/1" TargetMode="External"/><Relationship Id="rId3596" Type="http://schemas.openxmlformats.org/officeDocument/2006/relationships/hyperlink" Target="https://assets.vans.eu/images/VN000RG2BLK-HERO/1" TargetMode="External"/><Relationship Id="rId4647" Type="http://schemas.openxmlformats.org/officeDocument/2006/relationships/hyperlink" Target="https://assets.vans.eu/images/VN000EDN9X1-HERO/1" TargetMode="External"/><Relationship Id="rId2198" Type="http://schemas.openxmlformats.org/officeDocument/2006/relationships/hyperlink" Target="https://assets.vans.eu/images/VN000P5T5TU-HERO/1" TargetMode="External"/><Relationship Id="rId3249" Type="http://schemas.openxmlformats.org/officeDocument/2006/relationships/hyperlink" Target="https://assets.vans.eu/images/VN000P1PCLH-HERO/1" TargetMode="External"/><Relationship Id="rId3456" Type="http://schemas.openxmlformats.org/officeDocument/2006/relationships/hyperlink" Target="https://assets.vans.eu/images/VN000PQHE90-HERO/1" TargetMode="External"/><Relationship Id="rId4854" Type="http://schemas.openxmlformats.org/officeDocument/2006/relationships/hyperlink" Target="https://assets.vans.eu/images/VN000D3JB7G-HERO/1" TargetMode="External"/><Relationship Id="rId377" Type="http://schemas.openxmlformats.org/officeDocument/2006/relationships/hyperlink" Target="https://assets.vans.eu/images/VN0007P9CL2-HERO/1" TargetMode="External"/><Relationship Id="rId584" Type="http://schemas.openxmlformats.org/officeDocument/2006/relationships/hyperlink" Target="https://assets.vans.eu/images/VN000EA9BA2-HERO/1" TargetMode="External"/><Relationship Id="rId2058" Type="http://schemas.openxmlformats.org/officeDocument/2006/relationships/hyperlink" Target="https://assets.vans.eu/images/VN000HMQF0E-HERO/1" TargetMode="External"/><Relationship Id="rId2265" Type="http://schemas.openxmlformats.org/officeDocument/2006/relationships/hyperlink" Target="https://assets.vans.eu/images/VN000PMABLK-HERO/1" TargetMode="External"/><Relationship Id="rId3109" Type="http://schemas.openxmlformats.org/officeDocument/2006/relationships/hyperlink" Target="https://assets.vans.eu/images/VN000KV2JDU-HERO/1" TargetMode="External"/><Relationship Id="rId3663" Type="http://schemas.openxmlformats.org/officeDocument/2006/relationships/hyperlink" Target="https://assets.vans.eu/images/VN0A5FLPBLK-HERO/1" TargetMode="External"/><Relationship Id="rId3870" Type="http://schemas.openxmlformats.org/officeDocument/2006/relationships/hyperlink" Target="https://assets.vans.eu/images/VN000CUYY30-HERO/1" TargetMode="External"/><Relationship Id="rId4507" Type="http://schemas.openxmlformats.org/officeDocument/2006/relationships/hyperlink" Target="https://assets.vans.eu/images/VN000DA18DX-HERO/1" TargetMode="External"/><Relationship Id="rId4714" Type="http://schemas.openxmlformats.org/officeDocument/2006/relationships/hyperlink" Target="https://assets.vans.eu/images/VN0A4BTW5ZN-HERO/1" TargetMode="External"/><Relationship Id="rId4921" Type="http://schemas.openxmlformats.org/officeDocument/2006/relationships/hyperlink" Target="https://assets.vans.eu/images/VN000CNXYY2-HERO/1" TargetMode="External"/><Relationship Id="rId237" Type="http://schemas.openxmlformats.org/officeDocument/2006/relationships/hyperlink" Target="https://assets.vans.eu/images/VN000G75D6Z-HERO/1" TargetMode="External"/><Relationship Id="rId791" Type="http://schemas.openxmlformats.org/officeDocument/2006/relationships/hyperlink" Target="https://assets.vans.eu/images/VN000M9RWHT-HERO/1" TargetMode="External"/><Relationship Id="rId1074" Type="http://schemas.openxmlformats.org/officeDocument/2006/relationships/hyperlink" Target="https://assets.vans.eu/images/VN000D5D17P-HERO/1" TargetMode="External"/><Relationship Id="rId2472" Type="http://schemas.openxmlformats.org/officeDocument/2006/relationships/hyperlink" Target="https://assets.vans.eu/images/VN000CTGPIB-HERO/1" TargetMode="External"/><Relationship Id="rId3316" Type="http://schemas.openxmlformats.org/officeDocument/2006/relationships/hyperlink" Target="https://assets.vans.eu/images/VN000P7ZF0O-HERO/1" TargetMode="External"/><Relationship Id="rId3523" Type="http://schemas.openxmlformats.org/officeDocument/2006/relationships/hyperlink" Target="https://assets.vans.eu/images/VN000Q7429B-HERO/1" TargetMode="External"/><Relationship Id="rId3730" Type="http://schemas.openxmlformats.org/officeDocument/2006/relationships/hyperlink" Target="https://assets.vans.eu/images/VN0009W3BTX-HERO/1" TargetMode="External"/><Relationship Id="rId444" Type="http://schemas.openxmlformats.org/officeDocument/2006/relationships/hyperlink" Target="https://assets.vans.eu/images/VN000SN14OU-HERO/1" TargetMode="External"/><Relationship Id="rId651" Type="http://schemas.openxmlformats.org/officeDocument/2006/relationships/hyperlink" Target="https://assets.vans.eu/images/VN000J79BLK-HERO/1" TargetMode="External"/><Relationship Id="rId1281" Type="http://schemas.openxmlformats.org/officeDocument/2006/relationships/hyperlink" Target="https://assets.vans.eu/images/VN000SF4JDU-HERO/1" TargetMode="External"/><Relationship Id="rId2125" Type="http://schemas.openxmlformats.org/officeDocument/2006/relationships/hyperlink" Target="https://assets.vans.eu/images/VN000M9MZUJ-HERO/1" TargetMode="External"/><Relationship Id="rId2332" Type="http://schemas.openxmlformats.org/officeDocument/2006/relationships/hyperlink" Target="https://assets.vans.eu/images/VN000R4ZEMP-HERO/1" TargetMode="External"/><Relationship Id="rId304" Type="http://schemas.openxmlformats.org/officeDocument/2006/relationships/hyperlink" Target="https://assets.vans.eu/images/VN0A7YTTBM5-HERO/1" TargetMode="External"/><Relationship Id="rId511" Type="http://schemas.openxmlformats.org/officeDocument/2006/relationships/hyperlink" Target="https://assets.vans.eu/images/VN000G75D6Z-HERO/1" TargetMode="External"/><Relationship Id="rId1141" Type="http://schemas.openxmlformats.org/officeDocument/2006/relationships/hyperlink" Target="https://assets.vans.eu/images/VN000MBCWHT-HERO/1" TargetMode="External"/><Relationship Id="rId4297" Type="http://schemas.openxmlformats.org/officeDocument/2006/relationships/hyperlink" Target="https://assets.vans.eu/images/VN000D609JC-HERO/1" TargetMode="External"/><Relationship Id="rId1001" Type="http://schemas.openxmlformats.org/officeDocument/2006/relationships/hyperlink" Target="https://assets.vans.eu/images/VN000M6XEMW-HERO/1" TargetMode="External"/><Relationship Id="rId4157" Type="http://schemas.openxmlformats.org/officeDocument/2006/relationships/hyperlink" Target="https://assets.vans.eu/images/VN000D22EMB-HERO/1" TargetMode="External"/><Relationship Id="rId4364" Type="http://schemas.openxmlformats.org/officeDocument/2006/relationships/hyperlink" Target="https://assets.vans.eu/images/VN000D6W203-HERO/1" TargetMode="External"/><Relationship Id="rId4571" Type="http://schemas.openxmlformats.org/officeDocument/2006/relationships/hyperlink" Target="https://assets.vans.eu/images/VN000DARF87-HERO/1" TargetMode="External"/><Relationship Id="rId1958" Type="http://schemas.openxmlformats.org/officeDocument/2006/relationships/hyperlink" Target="https://assets.vans.eu/images/VN000DARBKL-HERO/1" TargetMode="External"/><Relationship Id="rId3173" Type="http://schemas.openxmlformats.org/officeDocument/2006/relationships/hyperlink" Target="https://assets.vans.eu/images/VN000MA21O7-HERO/1" TargetMode="External"/><Relationship Id="rId3380" Type="http://schemas.openxmlformats.org/officeDocument/2006/relationships/hyperlink" Target="https://assets.vans.eu/images/VN000PE7BLK-HERO/1" TargetMode="External"/><Relationship Id="rId4017" Type="http://schemas.openxmlformats.org/officeDocument/2006/relationships/hyperlink" Target="https://assets.vans.eu/images/VN000CZUC9F-HERO/1" TargetMode="External"/><Relationship Id="rId4224" Type="http://schemas.openxmlformats.org/officeDocument/2006/relationships/hyperlink" Target="https://assets.vans.eu/images/VN000D3QEMP-HERO/1" TargetMode="External"/><Relationship Id="rId4431" Type="http://schemas.openxmlformats.org/officeDocument/2006/relationships/hyperlink" Target="https://assets.vans.eu/images/VN000D7ZBTO-HERO/1" TargetMode="External"/><Relationship Id="rId1818" Type="http://schemas.openxmlformats.org/officeDocument/2006/relationships/hyperlink" Target="https://assets.vans.eu/images/VN000BVZ239-HERO/1" TargetMode="External"/><Relationship Id="rId3033" Type="http://schemas.openxmlformats.org/officeDocument/2006/relationships/hyperlink" Target="https://assets.vans.eu/images/VN000HZCBLK-HERO/1" TargetMode="External"/><Relationship Id="rId3240" Type="http://schemas.openxmlformats.org/officeDocument/2006/relationships/hyperlink" Target="https://assets.vans.eu/images/VN000NWNE2Z-HERO/1" TargetMode="External"/><Relationship Id="rId161" Type="http://schemas.openxmlformats.org/officeDocument/2006/relationships/hyperlink" Target="https://assets.vans.eu/images/VN000Q1TWHT-HERO/1" TargetMode="External"/><Relationship Id="rId2799" Type="http://schemas.openxmlformats.org/officeDocument/2006/relationships/hyperlink" Target="https://assets.vans.eu/images/VN000ED891K-HERO/1" TargetMode="External"/><Relationship Id="rId3100" Type="http://schemas.openxmlformats.org/officeDocument/2006/relationships/hyperlink" Target="https://assets.vans.eu/images/VN000KTBCI2-HERO/1" TargetMode="External"/><Relationship Id="rId978" Type="http://schemas.openxmlformats.org/officeDocument/2006/relationships/hyperlink" Target="https://assets.vans.eu/images/VN000F9HBSM-HERO/1" TargetMode="External"/><Relationship Id="rId2659" Type="http://schemas.openxmlformats.org/officeDocument/2006/relationships/hyperlink" Target="https://assets.vans.eu/images/VN000D6FEME-HERO/1" TargetMode="External"/><Relationship Id="rId2866" Type="http://schemas.openxmlformats.org/officeDocument/2006/relationships/hyperlink" Target="https://assets.vans.eu/images/VN000F0XBLK-HERO/1" TargetMode="External"/><Relationship Id="rId3917" Type="http://schemas.openxmlformats.org/officeDocument/2006/relationships/hyperlink" Target="https://assets.vans.eu/images/VN000CVULBR-HERO/1" TargetMode="External"/><Relationship Id="rId5065" Type="http://schemas.openxmlformats.org/officeDocument/2006/relationships/hyperlink" Target="https://assets.vans.eu/images/VN0A5HF8PWT-HERO/1" TargetMode="External"/><Relationship Id="rId838" Type="http://schemas.openxmlformats.org/officeDocument/2006/relationships/hyperlink" Target="https://assets.vans.eu/images/VN000CYUEN6-HERO/1" TargetMode="External"/><Relationship Id="rId1468" Type="http://schemas.openxmlformats.org/officeDocument/2006/relationships/hyperlink" Target="https://assets.vans.eu/images/VN000CVTGRN-HERO/1" TargetMode="External"/><Relationship Id="rId1675" Type="http://schemas.openxmlformats.org/officeDocument/2006/relationships/hyperlink" Target="https://assets.vans.eu/images/VN000MKXRNE-HERO/1" TargetMode="External"/><Relationship Id="rId1882" Type="http://schemas.openxmlformats.org/officeDocument/2006/relationships/hyperlink" Target="https://assets.vans.eu/images/VN000D26WGR-HERO/1" TargetMode="External"/><Relationship Id="rId2519" Type="http://schemas.openxmlformats.org/officeDocument/2006/relationships/hyperlink" Target="https://assets.vans.eu/images/VN000CYU4QU-HERO/1" TargetMode="External"/><Relationship Id="rId2726" Type="http://schemas.openxmlformats.org/officeDocument/2006/relationships/hyperlink" Target="https://assets.vans.eu/images/VN000DA2B9M-HERO/1" TargetMode="External"/><Relationship Id="rId4081" Type="http://schemas.openxmlformats.org/officeDocument/2006/relationships/hyperlink" Target="https://assets.vans.eu/images/VN000D1H887-HERO/1" TargetMode="External"/><Relationship Id="rId1328" Type="http://schemas.openxmlformats.org/officeDocument/2006/relationships/hyperlink" Target="https://assets.vans.eu/images/VN000M39DZ9-HERO/1" TargetMode="External"/><Relationship Id="rId1535" Type="http://schemas.openxmlformats.org/officeDocument/2006/relationships/hyperlink" Target="https://assets.vans.eu/images/VN000DAHY40-HERO/1" TargetMode="External"/><Relationship Id="rId2933" Type="http://schemas.openxmlformats.org/officeDocument/2006/relationships/hyperlink" Target="https://assets.vans.eu/images/VN0008N6EMU-HERO/1" TargetMode="External"/><Relationship Id="rId905" Type="http://schemas.openxmlformats.org/officeDocument/2006/relationships/hyperlink" Target="https://assets.vans.eu/images/VN000QDFBLK-HERO/1" TargetMode="External"/><Relationship Id="rId1742" Type="http://schemas.openxmlformats.org/officeDocument/2006/relationships/hyperlink" Target="https://assets.vans.eu/images/VN000PR2BLK-HERO/1" TargetMode="External"/><Relationship Id="rId4898" Type="http://schemas.openxmlformats.org/officeDocument/2006/relationships/hyperlink" Target="https://assets.vans.eu/images/VN0A2Z35BFA-HERO/1" TargetMode="External"/><Relationship Id="rId34" Type="http://schemas.openxmlformats.org/officeDocument/2006/relationships/hyperlink" Target="https://assets.vans.eu/images/VN000V68Y61-HERO/1" TargetMode="External"/><Relationship Id="rId1602" Type="http://schemas.openxmlformats.org/officeDocument/2006/relationships/hyperlink" Target="https://assets.vans.eu/images/VN0007VBG5O-HERO/1" TargetMode="External"/><Relationship Id="rId4758" Type="http://schemas.openxmlformats.org/officeDocument/2006/relationships/hyperlink" Target="https://assets.vans.eu/images/VN0A5FCDGPE-HERO/1" TargetMode="External"/><Relationship Id="rId4965" Type="http://schemas.openxmlformats.org/officeDocument/2006/relationships/hyperlink" Target="https://assets.vans.eu/images/VN000D5RZHJ-HERO/1" TargetMode="External"/><Relationship Id="rId3567" Type="http://schemas.openxmlformats.org/officeDocument/2006/relationships/hyperlink" Target="https://assets.vans.eu/images/VN000RAP5TU-HERO/1" TargetMode="External"/><Relationship Id="rId3774" Type="http://schemas.openxmlformats.org/officeDocument/2006/relationships/hyperlink" Target="https://assets.vans.eu/images/VN000CQ0BLK-HERO/1" TargetMode="External"/><Relationship Id="rId3981" Type="http://schemas.openxmlformats.org/officeDocument/2006/relationships/hyperlink" Target="https://assets.vans.eu/images/VN000CYAYLZ-HERO/1" TargetMode="External"/><Relationship Id="rId4618" Type="http://schemas.openxmlformats.org/officeDocument/2006/relationships/hyperlink" Target="https://assets.vans.eu/images/VN000E8WZX1-HERO/1" TargetMode="External"/><Relationship Id="rId4825" Type="http://schemas.openxmlformats.org/officeDocument/2006/relationships/hyperlink" Target="https://assets.vans.eu/images/VN000D1GSN0-HERO/1" TargetMode="External"/><Relationship Id="rId488" Type="http://schemas.openxmlformats.org/officeDocument/2006/relationships/hyperlink" Target="https://assets.vans.eu/images/VN0A7YUTBLK-HERO/1" TargetMode="External"/><Relationship Id="rId695" Type="http://schemas.openxmlformats.org/officeDocument/2006/relationships/hyperlink" Target="https://assets.vans.eu/images/VN000E8JQPT-HERO/1" TargetMode="External"/><Relationship Id="rId2169" Type="http://schemas.openxmlformats.org/officeDocument/2006/relationships/hyperlink" Target="https://assets.vans.eu/images/VN000NZDC9L-HERO/1" TargetMode="External"/><Relationship Id="rId2376" Type="http://schemas.openxmlformats.org/officeDocument/2006/relationships/hyperlink" Target="https://assets.vans.eu/images/VN0A49MUY28-HERO/1" TargetMode="External"/><Relationship Id="rId2583" Type="http://schemas.openxmlformats.org/officeDocument/2006/relationships/hyperlink" Target="https://assets.vans.eu/images/VN000D1JV0N-HERO/1" TargetMode="External"/><Relationship Id="rId2790" Type="http://schemas.openxmlformats.org/officeDocument/2006/relationships/hyperlink" Target="https://assets.vans.eu/images/VN000EBAQPT-HERO/1" TargetMode="External"/><Relationship Id="rId3427" Type="http://schemas.openxmlformats.org/officeDocument/2006/relationships/hyperlink" Target="https://assets.vans.eu/images/VN000PM3BLK-HERO/1" TargetMode="External"/><Relationship Id="rId3634" Type="http://schemas.openxmlformats.org/officeDocument/2006/relationships/hyperlink" Target="https://assets.vans.eu/images/VN0A3WF1KCZ-HERO/1" TargetMode="External"/><Relationship Id="rId3841" Type="http://schemas.openxmlformats.org/officeDocument/2006/relationships/hyperlink" Target="https://assets.vans.eu/images/VN000CTG1NU-HERO/1" TargetMode="External"/><Relationship Id="rId348" Type="http://schemas.openxmlformats.org/officeDocument/2006/relationships/hyperlink" Target="https://assets.vans.eu/images/VN000JBRZBF-HERO/1" TargetMode="External"/><Relationship Id="rId555" Type="http://schemas.openxmlformats.org/officeDocument/2006/relationships/hyperlink" Target="https://assets.vans.eu/images/VN000PBRBLK-HERO/1" TargetMode="External"/><Relationship Id="rId762" Type="http://schemas.openxmlformats.org/officeDocument/2006/relationships/hyperlink" Target="https://assets.vans.eu/images/VN000D9ACJ7-HERO/1" TargetMode="External"/><Relationship Id="rId1185" Type="http://schemas.openxmlformats.org/officeDocument/2006/relationships/hyperlink" Target="https://assets.vans.eu/images/VN000PR3BLK-HERO/1" TargetMode="External"/><Relationship Id="rId1392" Type="http://schemas.openxmlformats.org/officeDocument/2006/relationships/hyperlink" Target="https://assets.vans.eu/images/VN000PUEFS8-HERO/1" TargetMode="External"/><Relationship Id="rId2029" Type="http://schemas.openxmlformats.org/officeDocument/2006/relationships/hyperlink" Target="https://assets.vans.eu/images/VN0A7S9FZMK-HERO/1" TargetMode="External"/><Relationship Id="rId2236" Type="http://schemas.openxmlformats.org/officeDocument/2006/relationships/hyperlink" Target="https://assets.vans.eu/images/VN000PGMY28-HERO/1" TargetMode="External"/><Relationship Id="rId2443" Type="http://schemas.openxmlformats.org/officeDocument/2006/relationships/hyperlink" Target="https://assets.vans.eu/images/VN000CQ0BLK-HERO/1" TargetMode="External"/><Relationship Id="rId2650" Type="http://schemas.openxmlformats.org/officeDocument/2006/relationships/hyperlink" Target="https://assets.vans.eu/images/VN000D6CCI2-HERO/1" TargetMode="External"/><Relationship Id="rId3701" Type="http://schemas.openxmlformats.org/officeDocument/2006/relationships/hyperlink" Target="https://assets.vans.eu/images/VN0007NKYJ7-HERO/1" TargetMode="External"/><Relationship Id="rId208" Type="http://schemas.openxmlformats.org/officeDocument/2006/relationships/hyperlink" Target="https://assets.vans.eu/images/VN000D0H11E-HERO/1" TargetMode="External"/><Relationship Id="rId415" Type="http://schemas.openxmlformats.org/officeDocument/2006/relationships/hyperlink" Target="https://assets.vans.eu/images/VN000PFBEN9-HERO/1" TargetMode="External"/><Relationship Id="rId622" Type="http://schemas.openxmlformats.org/officeDocument/2006/relationships/hyperlink" Target="https://assets.vans.eu/images/VN0A2ZXXLVB-HERO/1" TargetMode="External"/><Relationship Id="rId1045" Type="http://schemas.openxmlformats.org/officeDocument/2006/relationships/hyperlink" Target="https://assets.vans.eu/images/VN000RG0EMS-HERO/1" TargetMode="External"/><Relationship Id="rId1252" Type="http://schemas.openxmlformats.org/officeDocument/2006/relationships/hyperlink" Target="https://assets.vans.eu/images/VN000D4NBZW-HERO/1" TargetMode="External"/><Relationship Id="rId2303" Type="http://schemas.openxmlformats.org/officeDocument/2006/relationships/hyperlink" Target="https://assets.vans.eu/images/VN000PX2EMP-HERO/1" TargetMode="External"/><Relationship Id="rId2510" Type="http://schemas.openxmlformats.org/officeDocument/2006/relationships/hyperlink" Target="https://assets.vans.eu/images/VN000CWESQ7-HERO/1" TargetMode="External"/><Relationship Id="rId1112" Type="http://schemas.openxmlformats.org/officeDocument/2006/relationships/hyperlink" Target="https://assets.vans.eu/images/VN00046QE2W-HERO/1" TargetMode="External"/><Relationship Id="rId4268" Type="http://schemas.openxmlformats.org/officeDocument/2006/relationships/hyperlink" Target="https://assets.vans.eu/images/VN000D5IBKA-HERO/1" TargetMode="External"/><Relationship Id="rId4475" Type="http://schemas.openxmlformats.org/officeDocument/2006/relationships/hyperlink" Target="https://assets.vans.eu/images/VN000D9Y0CS-HERO/1" TargetMode="External"/><Relationship Id="rId3077" Type="http://schemas.openxmlformats.org/officeDocument/2006/relationships/hyperlink" Target="https://assets.vans.eu/images/VN000JYB4OU-HERO/1" TargetMode="External"/><Relationship Id="rId3284" Type="http://schemas.openxmlformats.org/officeDocument/2006/relationships/hyperlink" Target="https://assets.vans.eu/images/VN000P56EMW-HERO/1" TargetMode="External"/><Relationship Id="rId4128" Type="http://schemas.openxmlformats.org/officeDocument/2006/relationships/hyperlink" Target="https://assets.vans.eu/images/VN000D1JPCA-HERO/1" TargetMode="External"/><Relationship Id="rId4682" Type="http://schemas.openxmlformats.org/officeDocument/2006/relationships/hyperlink" Target="https://assets.vans.eu/images/VN000VO44K1-HERO/1" TargetMode="External"/><Relationship Id="rId1929" Type="http://schemas.openxmlformats.org/officeDocument/2006/relationships/hyperlink" Target="https://assets.vans.eu/images/VN000D6ZEZI-HERO/1" TargetMode="External"/><Relationship Id="rId2093" Type="http://schemas.openxmlformats.org/officeDocument/2006/relationships/hyperlink" Target="https://assets.vans.eu/images/VN000KTAEMB-HERO/1" TargetMode="External"/><Relationship Id="rId3491" Type="http://schemas.openxmlformats.org/officeDocument/2006/relationships/hyperlink" Target="https://assets.vans.eu/images/VN000PXUBLK-HERO/1" TargetMode="External"/><Relationship Id="rId4335" Type="http://schemas.openxmlformats.org/officeDocument/2006/relationships/hyperlink" Target="https://assets.vans.eu/images/VN000D6FLKZ-HERO/1" TargetMode="External"/><Relationship Id="rId4542" Type="http://schemas.openxmlformats.org/officeDocument/2006/relationships/hyperlink" Target="https://assets.vans.eu/images/VN000DAMRMO-HERO/1" TargetMode="External"/><Relationship Id="rId3144" Type="http://schemas.openxmlformats.org/officeDocument/2006/relationships/hyperlink" Target="https://assets.vans.eu/images/VN000M6XEMW-HERO/1" TargetMode="External"/><Relationship Id="rId3351" Type="http://schemas.openxmlformats.org/officeDocument/2006/relationships/hyperlink" Target="https://assets.vans.eu/images/VN000PBX6JL-HERO/1" TargetMode="External"/><Relationship Id="rId4402" Type="http://schemas.openxmlformats.org/officeDocument/2006/relationships/hyperlink" Target="https://assets.vans.eu/images/VN000D6ZEMP-HERO/1" TargetMode="External"/><Relationship Id="rId272" Type="http://schemas.openxmlformats.org/officeDocument/2006/relationships/hyperlink" Target="https://assets.vans.eu/images/VN000NTSD6Z-HERO/1" TargetMode="External"/><Relationship Id="rId2160" Type="http://schemas.openxmlformats.org/officeDocument/2006/relationships/hyperlink" Target="https://assets.vans.eu/images/VN000MMC7WM-HERO/1" TargetMode="External"/><Relationship Id="rId3004" Type="http://schemas.openxmlformats.org/officeDocument/2006/relationships/hyperlink" Target="https://assets.vans.eu/images/VN000HMQJDU-HERO/1" TargetMode="External"/><Relationship Id="rId3211" Type="http://schemas.openxmlformats.org/officeDocument/2006/relationships/hyperlink" Target="https://assets.vans.eu/images/VN000MK2BL2-HERO/1" TargetMode="External"/><Relationship Id="rId132" Type="http://schemas.openxmlformats.org/officeDocument/2006/relationships/hyperlink" Target="https://assets.vans.eu/images/VN000GMNWHT-HERO/1" TargetMode="External"/><Relationship Id="rId2020" Type="http://schemas.openxmlformats.org/officeDocument/2006/relationships/hyperlink" Target="https://assets.vans.eu/images/VN000QBEF0E-HERO/1" TargetMode="External"/><Relationship Id="rId1579" Type="http://schemas.openxmlformats.org/officeDocument/2006/relationships/hyperlink" Target="https://assets.vans.eu/images/VN000HMSE8A-HERO/1" TargetMode="External"/><Relationship Id="rId2977" Type="http://schemas.openxmlformats.org/officeDocument/2006/relationships/hyperlink" Target="https://assets.vans.eu/images/VN000GGGY28-HERO/1" TargetMode="External"/><Relationship Id="rId4192" Type="http://schemas.openxmlformats.org/officeDocument/2006/relationships/hyperlink" Target="https://assets.vans.eu/images/VN000D281OJ-HERO/1" TargetMode="External"/><Relationship Id="rId5036" Type="http://schemas.openxmlformats.org/officeDocument/2006/relationships/hyperlink" Target="https://assets.vans.eu/images/VN0A2Z3H6RJ-HERO/1" TargetMode="External"/><Relationship Id="rId949" Type="http://schemas.openxmlformats.org/officeDocument/2006/relationships/hyperlink" Target="https://assets.vans.eu/images/VN000D11N1Z-HERO/1" TargetMode="External"/><Relationship Id="rId1786" Type="http://schemas.openxmlformats.org/officeDocument/2006/relationships/hyperlink" Target="https://assets.vans.eu/images/VN000R8XBLK-HERO/1" TargetMode="External"/><Relationship Id="rId1993" Type="http://schemas.openxmlformats.org/officeDocument/2006/relationships/hyperlink" Target="https://assets.vans.eu/images/VN0A3TKN6BT-HERO/1" TargetMode="External"/><Relationship Id="rId2837" Type="http://schemas.openxmlformats.org/officeDocument/2006/relationships/hyperlink" Target="https://assets.vans.eu/images/VN0A5FCB1N6-HERO/1" TargetMode="External"/><Relationship Id="rId4052" Type="http://schemas.openxmlformats.org/officeDocument/2006/relationships/hyperlink" Target="https://assets.vans.eu/images/VN000D1011E-HERO/1" TargetMode="External"/><Relationship Id="rId78" Type="http://schemas.openxmlformats.org/officeDocument/2006/relationships/hyperlink" Target="https://assets.vans.eu/images/VN0001TTWHT-HERO/1" TargetMode="External"/><Relationship Id="rId809" Type="http://schemas.openxmlformats.org/officeDocument/2006/relationships/hyperlink" Target="https://assets.vans.eu/images/VN000PN9ZX7-HERO/1" TargetMode="External"/><Relationship Id="rId1439" Type="http://schemas.openxmlformats.org/officeDocument/2006/relationships/hyperlink" Target="https://assets.vans.eu/images/VN000BCEBA2-HERO/1" TargetMode="External"/><Relationship Id="rId1646" Type="http://schemas.openxmlformats.org/officeDocument/2006/relationships/hyperlink" Target="https://assets.vans.eu/images/VN000KV1EMW-HERO/1" TargetMode="External"/><Relationship Id="rId1853" Type="http://schemas.openxmlformats.org/officeDocument/2006/relationships/hyperlink" Target="https://assets.vans.eu/images/VN000CYVENA-HERO/1" TargetMode="External"/><Relationship Id="rId2904" Type="http://schemas.openxmlformats.org/officeDocument/2006/relationships/hyperlink" Target="https://assets.vans.eu/images/VN0A48HJ448-HERO/1" TargetMode="External"/><Relationship Id="rId1506" Type="http://schemas.openxmlformats.org/officeDocument/2006/relationships/hyperlink" Target="https://assets.vans.eu/images/VN000D4NDJR-HERO/1" TargetMode="External"/><Relationship Id="rId1713" Type="http://schemas.openxmlformats.org/officeDocument/2006/relationships/hyperlink" Target="https://assets.vans.eu/images/VN000PGKFS8-HERO/1" TargetMode="External"/><Relationship Id="rId1920" Type="http://schemas.openxmlformats.org/officeDocument/2006/relationships/hyperlink" Target="https://assets.vans.eu/images/VN000D6WEMW-HERO/1" TargetMode="External"/><Relationship Id="rId4869" Type="http://schemas.openxmlformats.org/officeDocument/2006/relationships/hyperlink" Target="https://assets.vans.eu/images/VN0009UDKOU-HERO/1" TargetMode="External"/><Relationship Id="rId3678" Type="http://schemas.openxmlformats.org/officeDocument/2006/relationships/hyperlink" Target="https://assets.vans.eu/images/VN00082G9RJ-HERO/1" TargetMode="External"/><Relationship Id="rId3885" Type="http://schemas.openxmlformats.org/officeDocument/2006/relationships/hyperlink" Target="https://assets.vans.eu/images/VN000CVT239-HERO/1" TargetMode="External"/><Relationship Id="rId4729" Type="http://schemas.openxmlformats.org/officeDocument/2006/relationships/hyperlink" Target="https://assets.vans.eu/images/VN0A4UUK4W7-HERO/1" TargetMode="External"/><Relationship Id="rId4936" Type="http://schemas.openxmlformats.org/officeDocument/2006/relationships/hyperlink" Target="https://assets.vans.eu/images/VN000D1GA2T-HERO/1" TargetMode="External"/><Relationship Id="rId599" Type="http://schemas.openxmlformats.org/officeDocument/2006/relationships/hyperlink" Target="https://assets.vans.eu/images/VN000KASFBI-HERO/1" TargetMode="External"/><Relationship Id="rId2487" Type="http://schemas.openxmlformats.org/officeDocument/2006/relationships/hyperlink" Target="https://assets.vans.eu/images/VN000CVUBLK-HERO/1" TargetMode="External"/><Relationship Id="rId2694" Type="http://schemas.openxmlformats.org/officeDocument/2006/relationships/hyperlink" Target="https://assets.vans.eu/images/VN000D6ZORA-HERO/1" TargetMode="External"/><Relationship Id="rId3538" Type="http://schemas.openxmlformats.org/officeDocument/2006/relationships/hyperlink" Target="https://assets.vans.eu/images/VN000QN8YB2-HERO/1" TargetMode="External"/><Relationship Id="rId3745" Type="http://schemas.openxmlformats.org/officeDocument/2006/relationships/hyperlink" Target="https://assets.vans.eu/images/VN000BCEW00-HERO/1" TargetMode="External"/><Relationship Id="rId459" Type="http://schemas.openxmlformats.org/officeDocument/2006/relationships/hyperlink" Target="https://assets.vans.eu/images/VN000E8WG58-HERO/1" TargetMode="External"/><Relationship Id="rId666" Type="http://schemas.openxmlformats.org/officeDocument/2006/relationships/hyperlink" Target="https://assets.vans.eu/images/VN000QDEY28-HERO/1" TargetMode="External"/><Relationship Id="rId873" Type="http://schemas.openxmlformats.org/officeDocument/2006/relationships/hyperlink" Target="https://assets.vans.eu/images/VN000HZBEMP-HERO/1" TargetMode="External"/><Relationship Id="rId1089" Type="http://schemas.openxmlformats.org/officeDocument/2006/relationships/hyperlink" Target="https://assets.vans.eu/images/VN000EG59X1-HERO/1" TargetMode="External"/><Relationship Id="rId1296" Type="http://schemas.openxmlformats.org/officeDocument/2006/relationships/hyperlink" Target="https://assets.vans.eu/images/VN000QBPWHT-HERO/1" TargetMode="External"/><Relationship Id="rId2347" Type="http://schemas.openxmlformats.org/officeDocument/2006/relationships/hyperlink" Target="https://assets.vans.eu/images/VN000RD4EMP-HERO/1" TargetMode="External"/><Relationship Id="rId2554" Type="http://schemas.openxmlformats.org/officeDocument/2006/relationships/hyperlink" Target="https://assets.vans.eu/images/VN000D0MKCZ-HERO/1" TargetMode="External"/><Relationship Id="rId3952" Type="http://schemas.openxmlformats.org/officeDocument/2006/relationships/hyperlink" Target="https://assets.vans.eu/images/VN000CWC7Z6-HERO/1" TargetMode="External"/><Relationship Id="rId319" Type="http://schemas.openxmlformats.org/officeDocument/2006/relationships/hyperlink" Target="https://assets.vans.eu/images/VN000D70CHG-HERO/1" TargetMode="External"/><Relationship Id="rId526" Type="http://schemas.openxmlformats.org/officeDocument/2006/relationships/hyperlink" Target="https://assets.vans.eu/images/VN000CS5PIB-HERO/1" TargetMode="External"/><Relationship Id="rId1156" Type="http://schemas.openxmlformats.org/officeDocument/2006/relationships/hyperlink" Target="https://assets.vans.eu/images/VN000P73Y28-HERO/1" TargetMode="External"/><Relationship Id="rId1363" Type="http://schemas.openxmlformats.org/officeDocument/2006/relationships/hyperlink" Target="https://assets.vans.eu/images/VN000P77AFM-HERO/1" TargetMode="External"/><Relationship Id="rId2207" Type="http://schemas.openxmlformats.org/officeDocument/2006/relationships/hyperlink" Target="https://assets.vans.eu/images/VN000PAABLK-HERO/1" TargetMode="External"/><Relationship Id="rId2761" Type="http://schemas.openxmlformats.org/officeDocument/2006/relationships/hyperlink" Target="https://assets.vans.eu/images/VN000DAZSTN-HERO/1" TargetMode="External"/><Relationship Id="rId3605" Type="http://schemas.openxmlformats.org/officeDocument/2006/relationships/hyperlink" Target="https://assets.vans.eu/images/VN000SN6BLK-HERO/1" TargetMode="External"/><Relationship Id="rId3812" Type="http://schemas.openxmlformats.org/officeDocument/2006/relationships/hyperlink" Target="https://assets.vans.eu/images/VN000CQRYLZ-HERO/1" TargetMode="External"/><Relationship Id="rId733" Type="http://schemas.openxmlformats.org/officeDocument/2006/relationships/hyperlink" Target="https://assets.vans.eu/images/VN000R4Z7D6-HERO/1" TargetMode="External"/><Relationship Id="rId940" Type="http://schemas.openxmlformats.org/officeDocument/2006/relationships/hyperlink" Target="https://assets.vans.eu/images/VN000CZHPRM-HERO/1" TargetMode="External"/><Relationship Id="rId1016" Type="http://schemas.openxmlformats.org/officeDocument/2006/relationships/hyperlink" Target="https://assets.vans.eu/images/VN000PBXWHT-HERO/1" TargetMode="External"/><Relationship Id="rId1570" Type="http://schemas.openxmlformats.org/officeDocument/2006/relationships/hyperlink" Target="https://assets.vans.eu/images/VN000EZ1OC2-HERO/1" TargetMode="External"/><Relationship Id="rId2414" Type="http://schemas.openxmlformats.org/officeDocument/2006/relationships/hyperlink" Target="https://assets.vans.eu/images/VN0009Q0BGF-HERO/1" TargetMode="External"/><Relationship Id="rId2621" Type="http://schemas.openxmlformats.org/officeDocument/2006/relationships/hyperlink" Target="https://assets.vans.eu/images/VN000D5D17P-HERO/1" TargetMode="External"/><Relationship Id="rId800" Type="http://schemas.openxmlformats.org/officeDocument/2006/relationships/hyperlink" Target="https://assets.vans.eu/images/VN000P5QC9L-HERO/1" TargetMode="External"/><Relationship Id="rId1223" Type="http://schemas.openxmlformats.org/officeDocument/2006/relationships/hyperlink" Target="https://assets.vans.eu/images/VN000CVUPRP-HERO/1" TargetMode="External"/><Relationship Id="rId1430" Type="http://schemas.openxmlformats.org/officeDocument/2006/relationships/hyperlink" Target="https://assets.vans.eu/images/VN0A5FLPD4C-HERO/1" TargetMode="External"/><Relationship Id="rId4379" Type="http://schemas.openxmlformats.org/officeDocument/2006/relationships/hyperlink" Target="https://assets.vans.eu/images/VN000D6WEMW-HERO/1" TargetMode="External"/><Relationship Id="rId4586" Type="http://schemas.openxmlformats.org/officeDocument/2006/relationships/hyperlink" Target="https://assets.vans.eu/images/VN000DB3Y23-HERO/1" TargetMode="External"/><Relationship Id="rId4793" Type="http://schemas.openxmlformats.org/officeDocument/2006/relationships/hyperlink" Target="https://assets.vans.eu/images/VN0A5KYCZF5-HERO/1" TargetMode="External"/><Relationship Id="rId3188" Type="http://schemas.openxmlformats.org/officeDocument/2006/relationships/hyperlink" Target="https://assets.vans.eu/images/VN000MB5F2D-HERO/1" TargetMode="External"/><Relationship Id="rId3395" Type="http://schemas.openxmlformats.org/officeDocument/2006/relationships/hyperlink" Target="https://assets.vans.eu/images/VN000PGJEMF-HERO/1" TargetMode="External"/><Relationship Id="rId4239" Type="http://schemas.openxmlformats.org/officeDocument/2006/relationships/hyperlink" Target="https://assets.vans.eu/images/VN000D4M239-HERO/1" TargetMode="External"/><Relationship Id="rId4446" Type="http://schemas.openxmlformats.org/officeDocument/2006/relationships/hyperlink" Target="https://assets.vans.eu/images/VN000D80BF0-HERO/1" TargetMode="External"/><Relationship Id="rId4653" Type="http://schemas.openxmlformats.org/officeDocument/2006/relationships/hyperlink" Target="https://assets.vans.eu/images/VN000EDNAH9-HERO/1" TargetMode="External"/><Relationship Id="rId4860" Type="http://schemas.openxmlformats.org/officeDocument/2006/relationships/hyperlink" Target="https://assets.vans.eu/images/VN000E23L38-HERO/1" TargetMode="External"/><Relationship Id="rId3048" Type="http://schemas.openxmlformats.org/officeDocument/2006/relationships/hyperlink" Target="https://assets.vans.eu/images/VN000J9JZR6-HERO/1" TargetMode="External"/><Relationship Id="rId3255" Type="http://schemas.openxmlformats.org/officeDocument/2006/relationships/hyperlink" Target="https://assets.vans.eu/images/VN000P1PZRY-HERO/1" TargetMode="External"/><Relationship Id="rId3462" Type="http://schemas.openxmlformats.org/officeDocument/2006/relationships/hyperlink" Target="https://assets.vans.eu/images/VN000PR4EMV-HERO/1" TargetMode="External"/><Relationship Id="rId4306" Type="http://schemas.openxmlformats.org/officeDocument/2006/relationships/hyperlink" Target="https://assets.vans.eu/images/VN000D60JLN-HERO/1" TargetMode="External"/><Relationship Id="rId4513" Type="http://schemas.openxmlformats.org/officeDocument/2006/relationships/hyperlink" Target="https://assets.vans.eu/images/VN000DA1B5T-HERO/1" TargetMode="External"/><Relationship Id="rId4720" Type="http://schemas.openxmlformats.org/officeDocument/2006/relationships/hyperlink" Target="https://assets.vans.eu/images/VN0A4BWL1KP-HERO/1" TargetMode="External"/><Relationship Id="rId176" Type="http://schemas.openxmlformats.org/officeDocument/2006/relationships/hyperlink" Target="https://assets.vans.eu/images/VN000CVTWHP-HERO/1" TargetMode="External"/><Relationship Id="rId383" Type="http://schemas.openxmlformats.org/officeDocument/2006/relationships/hyperlink" Target="https://assets.vans.eu/images/VN000CTGYLZ-HERO/1" TargetMode="External"/><Relationship Id="rId590" Type="http://schemas.openxmlformats.org/officeDocument/2006/relationships/hyperlink" Target="https://assets.vans.eu/images/VN000K9Y7VJ-HERO/1" TargetMode="External"/><Relationship Id="rId2064" Type="http://schemas.openxmlformats.org/officeDocument/2006/relationships/hyperlink" Target="https://assets.vans.eu/images/VN000HZBBLK-HERO/1" TargetMode="External"/><Relationship Id="rId2271" Type="http://schemas.openxmlformats.org/officeDocument/2006/relationships/hyperlink" Target="https://assets.vans.eu/images/VN000PMHEB2-HERO/1" TargetMode="External"/><Relationship Id="rId3115" Type="http://schemas.openxmlformats.org/officeDocument/2006/relationships/hyperlink" Target="https://assets.vans.eu/images/VN000M056PH-HERO/1" TargetMode="External"/><Relationship Id="rId3322" Type="http://schemas.openxmlformats.org/officeDocument/2006/relationships/hyperlink" Target="https://assets.vans.eu/images/VN000P89C9F-HERO/1" TargetMode="External"/><Relationship Id="rId243" Type="http://schemas.openxmlformats.org/officeDocument/2006/relationships/hyperlink" Target="https://assets.vans.eu/images/VN000CWE4QU-HERO/1" TargetMode="External"/><Relationship Id="rId450" Type="http://schemas.openxmlformats.org/officeDocument/2006/relationships/hyperlink" Target="https://assets.vans.eu/images/VN0A4MQ35TU-HERO/1" TargetMode="External"/><Relationship Id="rId1080" Type="http://schemas.openxmlformats.org/officeDocument/2006/relationships/hyperlink" Target="https://assets.vans.eu/images/VN000DA2YY0-HERO/1" TargetMode="External"/><Relationship Id="rId2131" Type="http://schemas.openxmlformats.org/officeDocument/2006/relationships/hyperlink" Target="https://assets.vans.eu/images/VN000M9SRV2-HERO/1" TargetMode="External"/><Relationship Id="rId103" Type="http://schemas.openxmlformats.org/officeDocument/2006/relationships/hyperlink" Target="https://assets.vans.eu/images/VN000RATE30-HERO/1" TargetMode="External"/><Relationship Id="rId310" Type="http://schemas.openxmlformats.org/officeDocument/2006/relationships/hyperlink" Target="https://assets.vans.eu/images/VN000MBEE30-HERO/1" TargetMode="External"/><Relationship Id="rId4096" Type="http://schemas.openxmlformats.org/officeDocument/2006/relationships/hyperlink" Target="https://assets.vans.eu/images/VN000D1J4VT-HERO/1" TargetMode="External"/><Relationship Id="rId1897" Type="http://schemas.openxmlformats.org/officeDocument/2006/relationships/hyperlink" Target="https://assets.vans.eu/images/VN000D4PIY7-HERO/1" TargetMode="External"/><Relationship Id="rId2948" Type="http://schemas.openxmlformats.org/officeDocument/2006/relationships/hyperlink" Target="https://assets.vans.eu/images/VN000G4JFS8-HERO/1" TargetMode="External"/><Relationship Id="rId1757" Type="http://schemas.openxmlformats.org/officeDocument/2006/relationships/hyperlink" Target="https://assets.vans.eu/images/VN000PX9RV2-HERO/1" TargetMode="External"/><Relationship Id="rId1964" Type="http://schemas.openxmlformats.org/officeDocument/2006/relationships/hyperlink" Target="https://assets.vans.eu/images/VN000E89OXS-HERO/1" TargetMode="External"/><Relationship Id="rId2808" Type="http://schemas.openxmlformats.org/officeDocument/2006/relationships/hyperlink" Target="https://assets.vans.eu/images/VN000EFBCJK-HERO/1" TargetMode="External"/><Relationship Id="rId4163" Type="http://schemas.openxmlformats.org/officeDocument/2006/relationships/hyperlink" Target="https://assets.vans.eu/images/VN000D22EMU-HERO/1" TargetMode="External"/><Relationship Id="rId4370" Type="http://schemas.openxmlformats.org/officeDocument/2006/relationships/hyperlink" Target="https://assets.vans.eu/images/VN000D6W203-HERO/1" TargetMode="External"/><Relationship Id="rId5007" Type="http://schemas.openxmlformats.org/officeDocument/2006/relationships/hyperlink" Target="https://assets.vans.eu/images/VN000EKUBKA-HERO/1" TargetMode="External"/><Relationship Id="rId49" Type="http://schemas.openxmlformats.org/officeDocument/2006/relationships/hyperlink" Target="https://assets.vans.eu/images/VN000J4Y7WM-HERO/1" TargetMode="External"/><Relationship Id="rId1617" Type="http://schemas.openxmlformats.org/officeDocument/2006/relationships/hyperlink" Target="https://assets.vans.eu/images/VN000GWNBLK-HERO/1" TargetMode="External"/><Relationship Id="rId1824" Type="http://schemas.openxmlformats.org/officeDocument/2006/relationships/hyperlink" Target="https://assets.vans.eu/images/VN000CRRBJ4-HERO/1" TargetMode="External"/><Relationship Id="rId4023" Type="http://schemas.openxmlformats.org/officeDocument/2006/relationships/hyperlink" Target="https://assets.vans.eu/images/VN000D0ENGM-HERO/1" TargetMode="External"/><Relationship Id="rId4230" Type="http://schemas.openxmlformats.org/officeDocument/2006/relationships/hyperlink" Target="https://assets.vans.eu/images/VN000D3SYB2-HERO/1" TargetMode="External"/><Relationship Id="rId3789" Type="http://schemas.openxmlformats.org/officeDocument/2006/relationships/hyperlink" Target="https://assets.vans.eu/images/VN000CQ0HF9-HERO/1" TargetMode="External"/><Relationship Id="rId2598" Type="http://schemas.openxmlformats.org/officeDocument/2006/relationships/hyperlink" Target="https://assets.vans.eu/images/VN000D26GWT-HERO/1" TargetMode="External"/><Relationship Id="rId3996" Type="http://schemas.openxmlformats.org/officeDocument/2006/relationships/hyperlink" Target="https://assets.vans.eu/images/VN000CYUEN6-HERO/1" TargetMode="External"/><Relationship Id="rId3649" Type="http://schemas.openxmlformats.org/officeDocument/2006/relationships/hyperlink" Target="https://assets.vans.eu/images/VN0A4CYYWHT-HERO/1" TargetMode="External"/><Relationship Id="rId3856" Type="http://schemas.openxmlformats.org/officeDocument/2006/relationships/hyperlink" Target="https://assets.vans.eu/images/VN000CTMBA2-HERO/1" TargetMode="External"/><Relationship Id="rId4907" Type="http://schemas.openxmlformats.org/officeDocument/2006/relationships/hyperlink" Target="https://assets.vans.eu/images/VN0009UEBLK-HERO/1" TargetMode="External"/><Relationship Id="rId5071" Type="http://schemas.openxmlformats.org/officeDocument/2006/relationships/hyperlink" Target="https://assets.vans.eu/images/VN0A5JIE1OJ-HERO/1" TargetMode="External"/><Relationship Id="rId777" Type="http://schemas.openxmlformats.org/officeDocument/2006/relationships/hyperlink" Target="https://assets.vans.eu/images/VN000ND7BLK-HERO/1" TargetMode="External"/><Relationship Id="rId984" Type="http://schemas.openxmlformats.org/officeDocument/2006/relationships/hyperlink" Target="https://assets.vans.eu/images/VN000Q1GEN7-HERO/1" TargetMode="External"/><Relationship Id="rId2458" Type="http://schemas.openxmlformats.org/officeDocument/2006/relationships/hyperlink" Target="https://assets.vans.eu/images/VN000CQRYLZ-HERO/1" TargetMode="External"/><Relationship Id="rId2665" Type="http://schemas.openxmlformats.org/officeDocument/2006/relationships/hyperlink" Target="https://assets.vans.eu/images/VN000D6SYW3-HERO/1" TargetMode="External"/><Relationship Id="rId2872" Type="http://schemas.openxmlformats.org/officeDocument/2006/relationships/hyperlink" Target="https://assets.vans.eu/images/VN000GNDBLK-HERO/1" TargetMode="External"/><Relationship Id="rId3509" Type="http://schemas.openxmlformats.org/officeDocument/2006/relationships/hyperlink" Target="https://assets.vans.eu/images/VN000Q43EN6-HERO/1" TargetMode="External"/><Relationship Id="rId3716" Type="http://schemas.openxmlformats.org/officeDocument/2006/relationships/hyperlink" Target="https://assets.vans.eu/images/VN0009QCCJI-HERO/1" TargetMode="External"/><Relationship Id="rId3923" Type="http://schemas.openxmlformats.org/officeDocument/2006/relationships/hyperlink" Target="https://assets.vans.eu/images/VN000CVV7YO-HERO/1" TargetMode="External"/><Relationship Id="rId637" Type="http://schemas.openxmlformats.org/officeDocument/2006/relationships/hyperlink" Target="https://assets.vans.eu/images/VN000E86BA2-HERO/1" TargetMode="External"/><Relationship Id="rId844" Type="http://schemas.openxmlformats.org/officeDocument/2006/relationships/hyperlink" Target="https://assets.vans.eu/images/VN000D26EWR-HERO/1" TargetMode="External"/><Relationship Id="rId1267" Type="http://schemas.openxmlformats.org/officeDocument/2006/relationships/hyperlink" Target="https://assets.vans.eu/images/VN000D7Z0BP-HERO/1" TargetMode="External"/><Relationship Id="rId1474" Type="http://schemas.openxmlformats.org/officeDocument/2006/relationships/hyperlink" Target="https://assets.vans.eu/images/VN000CYABMC-HERO/1" TargetMode="External"/><Relationship Id="rId1681" Type="http://schemas.openxmlformats.org/officeDocument/2006/relationships/hyperlink" Target="https://assets.vans.eu/images/VN000NDNCUQ-HERO/1" TargetMode="External"/><Relationship Id="rId2318" Type="http://schemas.openxmlformats.org/officeDocument/2006/relationships/hyperlink" Target="https://assets.vans.eu/images/VN000Q39EN9-HERO/1" TargetMode="External"/><Relationship Id="rId2525" Type="http://schemas.openxmlformats.org/officeDocument/2006/relationships/hyperlink" Target="https://assets.vans.eu/images/VN000CZ7BLA-HERO/1" TargetMode="External"/><Relationship Id="rId2732" Type="http://schemas.openxmlformats.org/officeDocument/2006/relationships/hyperlink" Target="https://assets.vans.eu/images/VN000DAHY40-HERO/1" TargetMode="External"/><Relationship Id="rId704" Type="http://schemas.openxmlformats.org/officeDocument/2006/relationships/hyperlink" Target="https://assets.vans.eu/images/VN000QCMBLK-HERO/1" TargetMode="External"/><Relationship Id="rId911" Type="http://schemas.openxmlformats.org/officeDocument/2006/relationships/hyperlink" Target="https://assets.vans.eu/images/VN000R05WHT-HERO/1" TargetMode="External"/><Relationship Id="rId1127" Type="http://schemas.openxmlformats.org/officeDocument/2006/relationships/hyperlink" Target="https://assets.vans.eu/images/VN000KTBCI2-HERO/1" TargetMode="External"/><Relationship Id="rId1334" Type="http://schemas.openxmlformats.org/officeDocument/2006/relationships/hyperlink" Target="https://assets.vans.eu/images/VN000M77Y7U-HERO/1" TargetMode="External"/><Relationship Id="rId1541" Type="http://schemas.openxmlformats.org/officeDocument/2006/relationships/hyperlink" Target="https://assets.vans.eu/images/VN000DAZSTN-HERO/1" TargetMode="External"/><Relationship Id="rId4697" Type="http://schemas.openxmlformats.org/officeDocument/2006/relationships/hyperlink" Target="https://assets.vans.eu/images/VN0A2Z3XYV3-HERO/1" TargetMode="External"/><Relationship Id="rId40" Type="http://schemas.openxmlformats.org/officeDocument/2006/relationships/hyperlink" Target="https://assets.vans.eu/images/VN000QBM7UG-HERO/1" TargetMode="External"/><Relationship Id="rId1401" Type="http://schemas.openxmlformats.org/officeDocument/2006/relationships/hyperlink" Target="https://assets.vans.eu/images/VN000Q35EMP-HERO/1" TargetMode="External"/><Relationship Id="rId3299" Type="http://schemas.openxmlformats.org/officeDocument/2006/relationships/hyperlink" Target="https://assets.vans.eu/images/VN000P5CBLK-HERO/1" TargetMode="External"/><Relationship Id="rId4557" Type="http://schemas.openxmlformats.org/officeDocument/2006/relationships/hyperlink" Target="https://assets.vans.eu/images/VN000DAQTWH-HERO/1" TargetMode="External"/><Relationship Id="rId4764" Type="http://schemas.openxmlformats.org/officeDocument/2006/relationships/hyperlink" Target="https://assets.vans.eu/images/VN0A5HZKENY-HERO/1" TargetMode="External"/><Relationship Id="rId3159" Type="http://schemas.openxmlformats.org/officeDocument/2006/relationships/hyperlink" Target="https://assets.vans.eu/images/VN000M8R1NU-HERO/1" TargetMode="External"/><Relationship Id="rId3366" Type="http://schemas.openxmlformats.org/officeDocument/2006/relationships/hyperlink" Target="https://assets.vans.eu/images/VN000PD7EMS-HERO/1" TargetMode="External"/><Relationship Id="rId3573" Type="http://schemas.openxmlformats.org/officeDocument/2006/relationships/hyperlink" Target="https://assets.vans.eu/images/VN000RATE30-HERO/1" TargetMode="External"/><Relationship Id="rId4417" Type="http://schemas.openxmlformats.org/officeDocument/2006/relationships/hyperlink" Target="https://assets.vans.eu/images/VN000D6ZPNK-HERO/1" TargetMode="External"/><Relationship Id="rId4971" Type="http://schemas.openxmlformats.org/officeDocument/2006/relationships/hyperlink" Target="https://assets.vans.eu/images/VN000D85GRY-HERO/1" TargetMode="External"/><Relationship Id="rId287" Type="http://schemas.openxmlformats.org/officeDocument/2006/relationships/hyperlink" Target="https://assets.vans.eu/images/VN0008KUJDU-HERO/1" TargetMode="External"/><Relationship Id="rId494" Type="http://schemas.openxmlformats.org/officeDocument/2006/relationships/hyperlink" Target="https://assets.vans.eu/images/VN000D1JBG7-HERO/1" TargetMode="External"/><Relationship Id="rId2175" Type="http://schemas.openxmlformats.org/officeDocument/2006/relationships/hyperlink" Target="https://assets.vans.eu/images/VN000P20EMU-HERO/1" TargetMode="External"/><Relationship Id="rId2382" Type="http://schemas.openxmlformats.org/officeDocument/2006/relationships/hyperlink" Target="https://assets.vans.eu/images/VN0A5FJ7DZ9-HERO/1" TargetMode="External"/><Relationship Id="rId3019" Type="http://schemas.openxmlformats.org/officeDocument/2006/relationships/hyperlink" Target="https://assets.vans.eu/images/VN000HPFFS8-HERO/1" TargetMode="External"/><Relationship Id="rId3226" Type="http://schemas.openxmlformats.org/officeDocument/2006/relationships/hyperlink" Target="https://assets.vans.eu/images/VN000MMNCLH-HERO/1" TargetMode="External"/><Relationship Id="rId3780" Type="http://schemas.openxmlformats.org/officeDocument/2006/relationships/hyperlink" Target="https://assets.vans.eu/images/VN000CQ0BRO-HERO/1" TargetMode="External"/><Relationship Id="rId4624" Type="http://schemas.openxmlformats.org/officeDocument/2006/relationships/hyperlink" Target="https://assets.vans.eu/images/VN000E9XF2B-HERO/1" TargetMode="External"/><Relationship Id="rId4831" Type="http://schemas.openxmlformats.org/officeDocument/2006/relationships/hyperlink" Target="https://assets.vans.eu/images/VN000CVVSR6-HERO/1" TargetMode="External"/><Relationship Id="rId147" Type="http://schemas.openxmlformats.org/officeDocument/2006/relationships/hyperlink" Target="https://assets.vans.eu/images/VN000P8A02F-HERO/1" TargetMode="External"/><Relationship Id="rId354" Type="http://schemas.openxmlformats.org/officeDocument/2006/relationships/hyperlink" Target="https://assets.vans.eu/images/VN000R3UU20-HERO/1" TargetMode="External"/><Relationship Id="rId1191" Type="http://schemas.openxmlformats.org/officeDocument/2006/relationships/hyperlink" Target="https://assets.vans.eu/images/VN000QXUEN7-HERO/1" TargetMode="External"/><Relationship Id="rId2035" Type="http://schemas.openxmlformats.org/officeDocument/2006/relationships/hyperlink" Target="https://assets.vans.eu/images/VN00074M4QU-HERO/1" TargetMode="External"/><Relationship Id="rId3433" Type="http://schemas.openxmlformats.org/officeDocument/2006/relationships/hyperlink" Target="https://assets.vans.eu/images/VN000PMAEMW-HERO/1" TargetMode="External"/><Relationship Id="rId3640" Type="http://schemas.openxmlformats.org/officeDocument/2006/relationships/hyperlink" Target="https://assets.vans.eu/images/VN0A49LCYB2-HERO/1" TargetMode="External"/><Relationship Id="rId561" Type="http://schemas.openxmlformats.org/officeDocument/2006/relationships/hyperlink" Target="https://assets.vans.eu/images/VN000Q39EN9-HERO/1" TargetMode="External"/><Relationship Id="rId2242" Type="http://schemas.openxmlformats.org/officeDocument/2006/relationships/hyperlink" Target="https://assets.vans.eu/images/VN000PH8CDX-HERO/1" TargetMode="External"/><Relationship Id="rId3500" Type="http://schemas.openxmlformats.org/officeDocument/2006/relationships/hyperlink" Target="https://assets.vans.eu/images/VN000Q0PEMP-HERO/1" TargetMode="External"/><Relationship Id="rId214" Type="http://schemas.openxmlformats.org/officeDocument/2006/relationships/hyperlink" Target="https://assets.vans.eu/images/VN000QAD7WM-HERO/1" TargetMode="External"/><Relationship Id="rId421" Type="http://schemas.openxmlformats.org/officeDocument/2006/relationships/hyperlink" Target="https://assets.vans.eu/images/VN000D1H887-HERO/1" TargetMode="External"/><Relationship Id="rId1051" Type="http://schemas.openxmlformats.org/officeDocument/2006/relationships/hyperlink" Target="https://assets.vans.eu/images/VN0A5JHIBLK-HERO/1" TargetMode="External"/><Relationship Id="rId2102" Type="http://schemas.openxmlformats.org/officeDocument/2006/relationships/hyperlink" Target="https://assets.vans.eu/images/VN000M1PC9L-HERO/1" TargetMode="External"/><Relationship Id="rId1868" Type="http://schemas.openxmlformats.org/officeDocument/2006/relationships/hyperlink" Target="https://assets.vans.eu/images/VN000D1111E-HERO/1" TargetMode="External"/><Relationship Id="rId4067" Type="http://schemas.openxmlformats.org/officeDocument/2006/relationships/hyperlink" Target="https://assets.vans.eu/images/VN000D111KP-HERO/1" TargetMode="External"/><Relationship Id="rId4274" Type="http://schemas.openxmlformats.org/officeDocument/2006/relationships/hyperlink" Target="https://assets.vans.eu/images/VN000D5R11U-HERO/1" TargetMode="External"/><Relationship Id="rId4481" Type="http://schemas.openxmlformats.org/officeDocument/2006/relationships/hyperlink" Target="https://assets.vans.eu/images/VN000D9YBGP-HERO/1" TargetMode="External"/><Relationship Id="rId2919" Type="http://schemas.openxmlformats.org/officeDocument/2006/relationships/hyperlink" Target="https://assets.vans.eu/images/VN0007Z5G5O-HERO/1" TargetMode="External"/><Relationship Id="rId3083" Type="http://schemas.openxmlformats.org/officeDocument/2006/relationships/hyperlink" Target="https://assets.vans.eu/images/VN000K0C4MG-HERO/1" TargetMode="External"/><Relationship Id="rId3290" Type="http://schemas.openxmlformats.org/officeDocument/2006/relationships/hyperlink" Target="https://assets.vans.eu/images/VN000P58EMW-HERO/1" TargetMode="External"/><Relationship Id="rId4134" Type="http://schemas.openxmlformats.org/officeDocument/2006/relationships/hyperlink" Target="https://assets.vans.eu/images/VN000D1JY23-HERO/1" TargetMode="External"/><Relationship Id="rId4341" Type="http://schemas.openxmlformats.org/officeDocument/2006/relationships/hyperlink" Target="https://assets.vans.eu/images/VN000D6N24O-HERO/1" TargetMode="External"/><Relationship Id="rId1728" Type="http://schemas.openxmlformats.org/officeDocument/2006/relationships/hyperlink" Target="https://assets.vans.eu/images/VN000PMNEMP-HERO/1" TargetMode="External"/><Relationship Id="rId1935" Type="http://schemas.openxmlformats.org/officeDocument/2006/relationships/hyperlink" Target="https://assets.vans.eu/images/VN000D7Z6N0-HERO/1" TargetMode="External"/><Relationship Id="rId3150" Type="http://schemas.openxmlformats.org/officeDocument/2006/relationships/hyperlink" Target="https://assets.vans.eu/images/VN000M8FKCZ-HERO/1" TargetMode="External"/><Relationship Id="rId4201" Type="http://schemas.openxmlformats.org/officeDocument/2006/relationships/hyperlink" Target="https://assets.vans.eu/images/VN000D29Y2B-HERO/1" TargetMode="External"/><Relationship Id="rId3010" Type="http://schemas.openxmlformats.org/officeDocument/2006/relationships/hyperlink" Target="https://assets.vans.eu/images/VN000HNFD40-HERO/1" TargetMode="External"/><Relationship Id="rId3967" Type="http://schemas.openxmlformats.org/officeDocument/2006/relationships/hyperlink" Target="https://assets.vans.eu/images/VN000CWESQ7-HERO/1" TargetMode="External"/><Relationship Id="rId4" Type="http://schemas.openxmlformats.org/officeDocument/2006/relationships/hyperlink" Target="https://assets.vans.eu/images/VN000UFHC8B-HERO/1" TargetMode="External"/><Relationship Id="rId888" Type="http://schemas.openxmlformats.org/officeDocument/2006/relationships/hyperlink" Target="https://assets.vans.eu/images/VN000P59E2Z-HERO/1" TargetMode="External"/><Relationship Id="rId2569" Type="http://schemas.openxmlformats.org/officeDocument/2006/relationships/hyperlink" Target="https://assets.vans.eu/images/VN000D1111E-HERO/1" TargetMode="External"/><Relationship Id="rId2776" Type="http://schemas.openxmlformats.org/officeDocument/2006/relationships/hyperlink" Target="https://assets.vans.eu/images/VN000E8CGMU-HERO/1" TargetMode="External"/><Relationship Id="rId2983" Type="http://schemas.openxmlformats.org/officeDocument/2006/relationships/hyperlink" Target="https://assets.vans.eu/images/VN000GWNBLK-HERO/1" TargetMode="External"/><Relationship Id="rId3827" Type="http://schemas.openxmlformats.org/officeDocument/2006/relationships/hyperlink" Target="https://assets.vans.eu/images/VN000CS0BLL-HERO/1" TargetMode="External"/><Relationship Id="rId748" Type="http://schemas.openxmlformats.org/officeDocument/2006/relationships/hyperlink" Target="https://assets.vans.eu/images/VN000CYUEN6-HERO/1" TargetMode="External"/><Relationship Id="rId955" Type="http://schemas.openxmlformats.org/officeDocument/2006/relationships/hyperlink" Target="https://assets.vans.eu/images/VN000D4SCFL-HERO/1" TargetMode="External"/><Relationship Id="rId1378" Type="http://schemas.openxmlformats.org/officeDocument/2006/relationships/hyperlink" Target="https://assets.vans.eu/images/VN000PJSD3Z-HERO/1" TargetMode="External"/><Relationship Id="rId1585" Type="http://schemas.openxmlformats.org/officeDocument/2006/relationships/hyperlink" Target="https://assets.vans.eu/images/VN000MNFO3N-HERO/1" TargetMode="External"/><Relationship Id="rId1792" Type="http://schemas.openxmlformats.org/officeDocument/2006/relationships/hyperlink" Target="https://assets.vans.eu/images/VN000R92FBG-HERO/1" TargetMode="External"/><Relationship Id="rId2429" Type="http://schemas.openxmlformats.org/officeDocument/2006/relationships/hyperlink" Target="https://assets.vans.eu/images/VN000BW7B7G-HERO/1" TargetMode="External"/><Relationship Id="rId2636" Type="http://schemas.openxmlformats.org/officeDocument/2006/relationships/hyperlink" Target="https://assets.vans.eu/images/VN000D60CRM-HERO/1" TargetMode="External"/><Relationship Id="rId2843" Type="http://schemas.openxmlformats.org/officeDocument/2006/relationships/hyperlink" Target="https://assets.vans.eu/images/VN0A5HZK1KP-HERO/1" TargetMode="External"/><Relationship Id="rId5042" Type="http://schemas.openxmlformats.org/officeDocument/2006/relationships/hyperlink" Target="https://assets.vans.eu/images/VN0A2Z3KLTG-HERO/1" TargetMode="External"/><Relationship Id="rId84" Type="http://schemas.openxmlformats.org/officeDocument/2006/relationships/hyperlink" Target="https://assets.vans.eu/images/VN000HZBYEH-HERO/1" TargetMode="External"/><Relationship Id="rId608" Type="http://schemas.openxmlformats.org/officeDocument/2006/relationships/hyperlink" Target="https://assets.vans.eu/images/VN000P8WPWT-HERO/1" TargetMode="External"/><Relationship Id="rId815" Type="http://schemas.openxmlformats.org/officeDocument/2006/relationships/hyperlink" Target="https://assets.vans.eu/images/VN000QDFBLK-HERO/1" TargetMode="External"/><Relationship Id="rId1238" Type="http://schemas.openxmlformats.org/officeDocument/2006/relationships/hyperlink" Target="https://assets.vans.eu/images/VN000CZHCFB-HERO/1" TargetMode="External"/><Relationship Id="rId1445" Type="http://schemas.openxmlformats.org/officeDocument/2006/relationships/hyperlink" Target="https://assets.vans.eu/images/VN000CQR52K-HERO/1" TargetMode="External"/><Relationship Id="rId1652" Type="http://schemas.openxmlformats.org/officeDocument/2006/relationships/hyperlink" Target="https://assets.vans.eu/images/VN000M5G6PH-HERO/1" TargetMode="External"/><Relationship Id="rId1305" Type="http://schemas.openxmlformats.org/officeDocument/2006/relationships/hyperlink" Target="https://assets.vans.eu/images/VN000462CHJ-HERO/1" TargetMode="External"/><Relationship Id="rId2703" Type="http://schemas.openxmlformats.org/officeDocument/2006/relationships/hyperlink" Target="https://assets.vans.eu/images/VN000D7Z6N0-HERO/1" TargetMode="External"/><Relationship Id="rId2910" Type="http://schemas.openxmlformats.org/officeDocument/2006/relationships/hyperlink" Target="https://assets.vans.eu/images/VN000389BQC-HERO/1" TargetMode="External"/><Relationship Id="rId1512" Type="http://schemas.openxmlformats.org/officeDocument/2006/relationships/hyperlink" Target="https://assets.vans.eu/images/VN000D60O3N-HERO/1" TargetMode="External"/><Relationship Id="rId4668" Type="http://schemas.openxmlformats.org/officeDocument/2006/relationships/hyperlink" Target="https://assets.vans.eu/images/VN000EK9BO5-HERO/1" TargetMode="External"/><Relationship Id="rId4875" Type="http://schemas.openxmlformats.org/officeDocument/2006/relationships/hyperlink" Target="https://assets.vans.eu/images/VN0005VDNGV-HERO/1" TargetMode="External"/><Relationship Id="rId11" Type="http://schemas.openxmlformats.org/officeDocument/2006/relationships/hyperlink" Target="https://assets.vans.eu/images/VN0A38G1PHN-HERO/1" TargetMode="External"/><Relationship Id="rId398" Type="http://schemas.openxmlformats.org/officeDocument/2006/relationships/hyperlink" Target="https://assets.vans.eu/images/VN000PXXBLK-HERO/1" TargetMode="External"/><Relationship Id="rId2079" Type="http://schemas.openxmlformats.org/officeDocument/2006/relationships/hyperlink" Target="https://assets.vans.eu/images/VN000JF5BLK-HERO/1" TargetMode="External"/><Relationship Id="rId3477" Type="http://schemas.openxmlformats.org/officeDocument/2006/relationships/hyperlink" Target="https://assets.vans.eu/images/VN000PWVBLK-HERO/1" TargetMode="External"/><Relationship Id="rId3684" Type="http://schemas.openxmlformats.org/officeDocument/2006/relationships/hyperlink" Target="https://assets.vans.eu/images/VN000MNNY7X-HERO/1" TargetMode="External"/><Relationship Id="rId3891" Type="http://schemas.openxmlformats.org/officeDocument/2006/relationships/hyperlink" Target="https://assets.vans.eu/images/VN000CVTBKA-HERO/1" TargetMode="External"/><Relationship Id="rId4528" Type="http://schemas.openxmlformats.org/officeDocument/2006/relationships/hyperlink" Target="https://assets.vans.eu/images/VN000DAH7UG-HERO/1" TargetMode="External"/><Relationship Id="rId4735" Type="http://schemas.openxmlformats.org/officeDocument/2006/relationships/hyperlink" Target="https://assets.vans.eu/images/VN0A4UWM5UR-HERO/1" TargetMode="External"/><Relationship Id="rId4942" Type="http://schemas.openxmlformats.org/officeDocument/2006/relationships/hyperlink" Target="https://assets.vans.eu/images/VN000D1GSN0-HERO/1" TargetMode="External"/><Relationship Id="rId2286" Type="http://schemas.openxmlformats.org/officeDocument/2006/relationships/hyperlink" Target="https://assets.vans.eu/images/VN000PR485T-HERO/1" TargetMode="External"/><Relationship Id="rId2493" Type="http://schemas.openxmlformats.org/officeDocument/2006/relationships/hyperlink" Target="https://assets.vans.eu/images/VN000CVUCRM-HERO/1" TargetMode="External"/><Relationship Id="rId3337" Type="http://schemas.openxmlformats.org/officeDocument/2006/relationships/hyperlink" Target="https://assets.vans.eu/images/VN000PAABLK-HERO/1" TargetMode="External"/><Relationship Id="rId3544" Type="http://schemas.openxmlformats.org/officeDocument/2006/relationships/hyperlink" Target="https://assets.vans.eu/images/VN000R15EML-HERO/1" TargetMode="External"/><Relationship Id="rId3751" Type="http://schemas.openxmlformats.org/officeDocument/2006/relationships/hyperlink" Target="https://assets.vans.eu/images/VN000BVZ1NU-HERO/1" TargetMode="External"/><Relationship Id="rId4802" Type="http://schemas.openxmlformats.org/officeDocument/2006/relationships/hyperlink" Target="https://assets.vans.eu/images/VN000EEBBO5-HERO/1" TargetMode="External"/><Relationship Id="rId258" Type="http://schemas.openxmlformats.org/officeDocument/2006/relationships/hyperlink" Target="https://assets.vans.eu/images/VN000Q1RHTG-HERO/1" TargetMode="External"/><Relationship Id="rId465" Type="http://schemas.openxmlformats.org/officeDocument/2006/relationships/hyperlink" Target="https://assets.vans.eu/images/VN000EE1GYG-HERO/1" TargetMode="External"/><Relationship Id="rId672" Type="http://schemas.openxmlformats.org/officeDocument/2006/relationships/hyperlink" Target="https://assets.vans.eu/images/VN0A5FJJ3N1-HERO/1" TargetMode="External"/><Relationship Id="rId1095" Type="http://schemas.openxmlformats.org/officeDocument/2006/relationships/hyperlink" Target="https://assets.vans.eu/images/VN0A5KR5239-HERO/1" TargetMode="External"/><Relationship Id="rId2146" Type="http://schemas.openxmlformats.org/officeDocument/2006/relationships/hyperlink" Target="https://assets.vans.eu/images/VN000MC0ZUJ-HERO/1" TargetMode="External"/><Relationship Id="rId2353" Type="http://schemas.openxmlformats.org/officeDocument/2006/relationships/hyperlink" Target="https://assets.vans.eu/images/VN000RFR1QI-HERO/1" TargetMode="External"/><Relationship Id="rId2560" Type="http://schemas.openxmlformats.org/officeDocument/2006/relationships/hyperlink" Target="https://assets.vans.eu/images/VN000D0S705-HERO/1" TargetMode="External"/><Relationship Id="rId3404" Type="http://schemas.openxmlformats.org/officeDocument/2006/relationships/hyperlink" Target="https://assets.vans.eu/images/VN000PHHLVB-HERO/1" TargetMode="External"/><Relationship Id="rId3611" Type="http://schemas.openxmlformats.org/officeDocument/2006/relationships/hyperlink" Target="https://assets.vans.eu/images/VN000XR4FS8-HERO/1" TargetMode="External"/><Relationship Id="rId118" Type="http://schemas.openxmlformats.org/officeDocument/2006/relationships/hyperlink" Target="https://assets.vans.eu/images/VN000D3YFS8-HERO/1" TargetMode="External"/><Relationship Id="rId325" Type="http://schemas.openxmlformats.org/officeDocument/2006/relationships/hyperlink" Target="https://assets.vans.eu/images/VN000M3GJDU-HERO/1" TargetMode="External"/><Relationship Id="rId532" Type="http://schemas.openxmlformats.org/officeDocument/2006/relationships/hyperlink" Target="https://assets.vans.eu/images/VN000DCJGRN-HERO/1" TargetMode="External"/><Relationship Id="rId1162" Type="http://schemas.openxmlformats.org/officeDocument/2006/relationships/hyperlink" Target="https://assets.vans.eu/images/VN000PDREMS-HERO/1" TargetMode="External"/><Relationship Id="rId2006" Type="http://schemas.openxmlformats.org/officeDocument/2006/relationships/hyperlink" Target="https://assets.vans.eu/images/VN000GMQEHC-HERO/1" TargetMode="External"/><Relationship Id="rId2213" Type="http://schemas.openxmlformats.org/officeDocument/2006/relationships/hyperlink" Target="https://assets.vans.eu/images/VN000PCAWHT-HERO/1" TargetMode="External"/><Relationship Id="rId2420" Type="http://schemas.openxmlformats.org/officeDocument/2006/relationships/hyperlink" Target="https://assets.vans.eu/images/VN000BCELLC-HERO/1" TargetMode="External"/><Relationship Id="rId1022" Type="http://schemas.openxmlformats.org/officeDocument/2006/relationships/hyperlink" Target="https://assets.vans.eu/images/VN000PMDBLK-HERO/1" TargetMode="External"/><Relationship Id="rId4178" Type="http://schemas.openxmlformats.org/officeDocument/2006/relationships/hyperlink" Target="https://assets.vans.eu/images/VN000D26GWT-HERO/1" TargetMode="External"/><Relationship Id="rId4385" Type="http://schemas.openxmlformats.org/officeDocument/2006/relationships/hyperlink" Target="https://assets.vans.eu/images/VN000D6WEMW-HERO/1" TargetMode="External"/><Relationship Id="rId4592" Type="http://schemas.openxmlformats.org/officeDocument/2006/relationships/hyperlink" Target="https://assets.vans.eu/images/VN000DCBYJ7-HERO/1" TargetMode="External"/><Relationship Id="rId1979" Type="http://schemas.openxmlformats.org/officeDocument/2006/relationships/hyperlink" Target="https://assets.vans.eu/images/VN000V68Y61-HERO/1" TargetMode="External"/><Relationship Id="rId3194" Type="http://schemas.openxmlformats.org/officeDocument/2006/relationships/hyperlink" Target="https://assets.vans.eu/images/VN000MC1BLK-HERO/1" TargetMode="External"/><Relationship Id="rId4038" Type="http://schemas.openxmlformats.org/officeDocument/2006/relationships/hyperlink" Target="https://assets.vans.eu/images/VN000D0PEMW-HERO/1" TargetMode="External"/><Relationship Id="rId4245" Type="http://schemas.openxmlformats.org/officeDocument/2006/relationships/hyperlink" Target="https://assets.vans.eu/images/VN000D4MNVY-HERO/1" TargetMode="External"/><Relationship Id="rId1839" Type="http://schemas.openxmlformats.org/officeDocument/2006/relationships/hyperlink" Target="https://assets.vans.eu/images/VN000CVS4MG-HERO/1" TargetMode="External"/><Relationship Id="rId3054" Type="http://schemas.openxmlformats.org/officeDocument/2006/relationships/hyperlink" Target="https://assets.vans.eu/images/VN000JBRZBF-HERO/1" TargetMode="External"/><Relationship Id="rId4452" Type="http://schemas.openxmlformats.org/officeDocument/2006/relationships/hyperlink" Target="https://assets.vans.eu/images/VN000D831NU-HERO/1" TargetMode="External"/><Relationship Id="rId182" Type="http://schemas.openxmlformats.org/officeDocument/2006/relationships/hyperlink" Target="https://assets.vans.eu/images/VN000D22BH7-HERO/1" TargetMode="External"/><Relationship Id="rId1906" Type="http://schemas.openxmlformats.org/officeDocument/2006/relationships/hyperlink" Target="https://assets.vans.eu/images/VN000D5RBRG-HERO/1" TargetMode="External"/><Relationship Id="rId3261" Type="http://schemas.openxmlformats.org/officeDocument/2006/relationships/hyperlink" Target="https://assets.vans.eu/images/VN000P4YBLK-HERO/1" TargetMode="External"/><Relationship Id="rId4105" Type="http://schemas.openxmlformats.org/officeDocument/2006/relationships/hyperlink" Target="https://assets.vans.eu/images/VN000D1JBRO-HERO/1" TargetMode="External"/><Relationship Id="rId4312" Type="http://schemas.openxmlformats.org/officeDocument/2006/relationships/hyperlink" Target="https://assets.vans.eu/images/VN000D6CCI2-HERO/1" TargetMode="External"/><Relationship Id="rId2070" Type="http://schemas.openxmlformats.org/officeDocument/2006/relationships/hyperlink" Target="https://assets.vans.eu/images/VN000JBDDBC-HERO/1" TargetMode="External"/><Relationship Id="rId3121" Type="http://schemas.openxmlformats.org/officeDocument/2006/relationships/hyperlink" Target="https://assets.vans.eu/images/VN000M15EBF-HERO/1" TargetMode="External"/><Relationship Id="rId999" Type="http://schemas.openxmlformats.org/officeDocument/2006/relationships/hyperlink" Target="https://assets.vans.eu/images/VN000M2P1O7-HERO/1" TargetMode="External"/><Relationship Id="rId2887" Type="http://schemas.openxmlformats.org/officeDocument/2006/relationships/hyperlink" Target="https://assets.vans.eu/images/VN000MPGBLK-HERO/1" TargetMode="External"/><Relationship Id="rId859" Type="http://schemas.openxmlformats.org/officeDocument/2006/relationships/hyperlink" Target="https://assets.vans.eu/images/VN000E9YLBR-HERO/1" TargetMode="External"/><Relationship Id="rId1489" Type="http://schemas.openxmlformats.org/officeDocument/2006/relationships/hyperlink" Target="https://assets.vans.eu/images/VN000D11N1Z-HERO/1" TargetMode="External"/><Relationship Id="rId1696" Type="http://schemas.openxmlformats.org/officeDocument/2006/relationships/hyperlink" Target="https://assets.vans.eu/images/VN000P56EMW-HERO/1" TargetMode="External"/><Relationship Id="rId3938" Type="http://schemas.openxmlformats.org/officeDocument/2006/relationships/hyperlink" Target="https://assets.vans.eu/images/VN000CVVEMQ-HERO/1" TargetMode="External"/><Relationship Id="rId1349" Type="http://schemas.openxmlformats.org/officeDocument/2006/relationships/hyperlink" Target="https://assets.vans.eu/images/VN000NWQWHT-HERO/1" TargetMode="External"/><Relationship Id="rId2747" Type="http://schemas.openxmlformats.org/officeDocument/2006/relationships/hyperlink" Target="https://assets.vans.eu/images/VN000DAQRPK-HERO/1" TargetMode="External"/><Relationship Id="rId2954" Type="http://schemas.openxmlformats.org/officeDocument/2006/relationships/hyperlink" Target="https://assets.vans.eu/images/VN000G75BLK-HERO/1" TargetMode="External"/><Relationship Id="rId5013" Type="http://schemas.openxmlformats.org/officeDocument/2006/relationships/hyperlink" Target="https://assets.vans.eu/images/VN0A2Z32Y45-HERO/1" TargetMode="External"/><Relationship Id="rId719" Type="http://schemas.openxmlformats.org/officeDocument/2006/relationships/hyperlink" Target="https://assets.vans.eu/images/VN000PAUBLK-HERO/1" TargetMode="External"/><Relationship Id="rId926" Type="http://schemas.openxmlformats.org/officeDocument/2006/relationships/hyperlink" Target="https://assets.vans.eu/images/VN0A4MQ35TU-HERO/1" TargetMode="External"/><Relationship Id="rId1556" Type="http://schemas.openxmlformats.org/officeDocument/2006/relationships/hyperlink" Target="https://assets.vans.eu/images/VN000VO44K1-HERO/1" TargetMode="External"/><Relationship Id="rId1763" Type="http://schemas.openxmlformats.org/officeDocument/2006/relationships/hyperlink" Target="https://assets.vans.eu/images/VN000PXWWHT-HERO/1" TargetMode="External"/><Relationship Id="rId1970" Type="http://schemas.openxmlformats.org/officeDocument/2006/relationships/hyperlink" Target="https://assets.vans.eu/images/VN000E9YLBR-HERO/1" TargetMode="External"/><Relationship Id="rId2607" Type="http://schemas.openxmlformats.org/officeDocument/2006/relationships/hyperlink" Target="https://assets.vans.eu/images/VN000D4MKCZ-HERO/1" TargetMode="External"/><Relationship Id="rId2814" Type="http://schemas.openxmlformats.org/officeDocument/2006/relationships/hyperlink" Target="https://assets.vans.eu/images/VN000EG59X1-HERO/1" TargetMode="External"/><Relationship Id="rId55" Type="http://schemas.openxmlformats.org/officeDocument/2006/relationships/hyperlink" Target="https://assets.vans.eu/images/VN000D75Y28-HERO/1" TargetMode="External"/><Relationship Id="rId1209" Type="http://schemas.openxmlformats.org/officeDocument/2006/relationships/hyperlink" Target="https://assets.vans.eu/images/VN000BCEBA2-HERO/1" TargetMode="External"/><Relationship Id="rId1416" Type="http://schemas.openxmlformats.org/officeDocument/2006/relationships/hyperlink" Target="https://assets.vans.eu/images/VN000RC1O8W-HERO/1" TargetMode="External"/><Relationship Id="rId1623" Type="http://schemas.openxmlformats.org/officeDocument/2006/relationships/hyperlink" Target="https://assets.vans.eu/images/VN000HNE2LN-HERO/1" TargetMode="External"/><Relationship Id="rId1830" Type="http://schemas.openxmlformats.org/officeDocument/2006/relationships/hyperlink" Target="https://assets.vans.eu/images/VN000CS5PIB-HERO/1" TargetMode="External"/><Relationship Id="rId4779" Type="http://schemas.openxmlformats.org/officeDocument/2006/relationships/hyperlink" Target="https://assets.vans.eu/images/VN0A5JMKBGF-HERO/1" TargetMode="External"/><Relationship Id="rId4986" Type="http://schemas.openxmlformats.org/officeDocument/2006/relationships/hyperlink" Target="https://assets.vans.eu/images/VN000DA4PNK-HERO/1" TargetMode="External"/><Relationship Id="rId3588" Type="http://schemas.openxmlformats.org/officeDocument/2006/relationships/hyperlink" Target="https://assets.vans.eu/images/VN000RD4EN9-HERO/1" TargetMode="External"/><Relationship Id="rId3795" Type="http://schemas.openxmlformats.org/officeDocument/2006/relationships/hyperlink" Target="https://assets.vans.eu/images/VN000CQ0Y09-HERO/1" TargetMode="External"/><Relationship Id="rId4639" Type="http://schemas.openxmlformats.org/officeDocument/2006/relationships/hyperlink" Target="https://assets.vans.eu/images/VN000EC4RV2-HERO/1" TargetMode="External"/><Relationship Id="rId4846" Type="http://schemas.openxmlformats.org/officeDocument/2006/relationships/hyperlink" Target="https://assets.vans.eu/images/VN0A2Z3HGLD-HERO/1" TargetMode="External"/><Relationship Id="rId2397" Type="http://schemas.openxmlformats.org/officeDocument/2006/relationships/hyperlink" Target="https://assets.vans.eu/images/VN000HRJ6PH-HERO/1" TargetMode="External"/><Relationship Id="rId3448" Type="http://schemas.openxmlformats.org/officeDocument/2006/relationships/hyperlink" Target="https://assets.vans.eu/images/VN000PNKEMJ-HERO/1" TargetMode="External"/><Relationship Id="rId3655" Type="http://schemas.openxmlformats.org/officeDocument/2006/relationships/hyperlink" Target="https://assets.vans.eu/images/VN0A4TURWHT-HERO/1" TargetMode="External"/><Relationship Id="rId3862" Type="http://schemas.openxmlformats.org/officeDocument/2006/relationships/hyperlink" Target="https://assets.vans.eu/images/VN000CTN2NC-HERO/1" TargetMode="External"/><Relationship Id="rId4706" Type="http://schemas.openxmlformats.org/officeDocument/2006/relationships/hyperlink" Target="https://assets.vans.eu/images/VN0A3IL2IJU-HERO/1" TargetMode="External"/><Relationship Id="rId369" Type="http://schemas.openxmlformats.org/officeDocument/2006/relationships/hyperlink" Target="https://assets.vans.eu/images/VN000NDGBLK-HERO/1" TargetMode="External"/><Relationship Id="rId576" Type="http://schemas.openxmlformats.org/officeDocument/2006/relationships/hyperlink" Target="https://assets.vans.eu/images/VN000D6SBKA-HERO/1" TargetMode="External"/><Relationship Id="rId783" Type="http://schemas.openxmlformats.org/officeDocument/2006/relationships/hyperlink" Target="https://assets.vans.eu/images/VN000GFFWHT-HERO/1" TargetMode="External"/><Relationship Id="rId990" Type="http://schemas.openxmlformats.org/officeDocument/2006/relationships/hyperlink" Target="https://assets.vans.eu/images/VN0008NACDX-HERO/1" TargetMode="External"/><Relationship Id="rId2257" Type="http://schemas.openxmlformats.org/officeDocument/2006/relationships/hyperlink" Target="https://assets.vans.eu/images/VN000PJU7WM-HERO/1" TargetMode="External"/><Relationship Id="rId2464" Type="http://schemas.openxmlformats.org/officeDocument/2006/relationships/hyperlink" Target="https://assets.vans.eu/images/VN000CS3ULE-HERO/1" TargetMode="External"/><Relationship Id="rId2671" Type="http://schemas.openxmlformats.org/officeDocument/2006/relationships/hyperlink" Target="https://assets.vans.eu/images/VN000D6WEMG-HERO/1" TargetMode="External"/><Relationship Id="rId3308" Type="http://schemas.openxmlformats.org/officeDocument/2006/relationships/hyperlink" Target="https://assets.vans.eu/images/VN000P5WCFL-HERO/1" TargetMode="External"/><Relationship Id="rId3515" Type="http://schemas.openxmlformats.org/officeDocument/2006/relationships/hyperlink" Target="https://assets.vans.eu/images/VN000Q43JDU-HERO/1" TargetMode="External"/><Relationship Id="rId4913" Type="http://schemas.openxmlformats.org/officeDocument/2006/relationships/hyperlink" Target="https://assets.vans.eu/images/VN000J9NCHG-HERO/1" TargetMode="External"/><Relationship Id="rId229" Type="http://schemas.openxmlformats.org/officeDocument/2006/relationships/hyperlink" Target="https://assets.vans.eu/images/VN0A7Y3X6OG-HERO/1" TargetMode="External"/><Relationship Id="rId436" Type="http://schemas.openxmlformats.org/officeDocument/2006/relationships/hyperlink" Target="https://assets.vans.eu/images/VN000MEPJDU-HERO/1" TargetMode="External"/><Relationship Id="rId643" Type="http://schemas.openxmlformats.org/officeDocument/2006/relationships/hyperlink" Target="https://assets.vans.eu/images/VN000JRK97I-HERO/1" TargetMode="External"/><Relationship Id="rId1066" Type="http://schemas.openxmlformats.org/officeDocument/2006/relationships/hyperlink" Target="https://assets.vans.eu/images/VN000CYAYJ7-HERO/1" TargetMode="External"/><Relationship Id="rId1273" Type="http://schemas.openxmlformats.org/officeDocument/2006/relationships/hyperlink" Target="https://assets.vans.eu/images/VN000DAJKL4-HERO/1" TargetMode="External"/><Relationship Id="rId1480" Type="http://schemas.openxmlformats.org/officeDocument/2006/relationships/hyperlink" Target="https://assets.vans.eu/images/VN000D0HBMV-HERO/1" TargetMode="External"/><Relationship Id="rId2117" Type="http://schemas.openxmlformats.org/officeDocument/2006/relationships/hyperlink" Target="https://assets.vans.eu/images/VN000M8G1O7-HERO/1" TargetMode="External"/><Relationship Id="rId2324" Type="http://schemas.openxmlformats.org/officeDocument/2006/relationships/hyperlink" Target="https://assets.vans.eu/images/VN000Q74EN6-HERO/1" TargetMode="External"/><Relationship Id="rId3722" Type="http://schemas.openxmlformats.org/officeDocument/2006/relationships/hyperlink" Target="https://assets.vans.eu/images/VN0009QMBLA-HERO/1" TargetMode="External"/><Relationship Id="rId850" Type="http://schemas.openxmlformats.org/officeDocument/2006/relationships/hyperlink" Target="https://assets.vans.eu/images/VN000D6W203-HERO/1" TargetMode="External"/><Relationship Id="rId1133" Type="http://schemas.openxmlformats.org/officeDocument/2006/relationships/hyperlink" Target="https://assets.vans.eu/images/VN000M77Y7U-HERO/1" TargetMode="External"/><Relationship Id="rId2531" Type="http://schemas.openxmlformats.org/officeDocument/2006/relationships/hyperlink" Target="https://assets.vans.eu/images/VN000CZ7RV2-HERO/1" TargetMode="External"/><Relationship Id="rId4289" Type="http://schemas.openxmlformats.org/officeDocument/2006/relationships/hyperlink" Target="https://assets.vans.eu/images/VN000D5VDRB-HERO/1" TargetMode="External"/><Relationship Id="rId503" Type="http://schemas.openxmlformats.org/officeDocument/2006/relationships/hyperlink" Target="https://assets.vans.eu/images/VN000EFBYY6-HERO/1" TargetMode="External"/><Relationship Id="rId710" Type="http://schemas.openxmlformats.org/officeDocument/2006/relationships/hyperlink" Target="https://assets.vans.eu/images/VN000M99CFL-HERO/1" TargetMode="External"/><Relationship Id="rId1340" Type="http://schemas.openxmlformats.org/officeDocument/2006/relationships/hyperlink" Target="https://assets.vans.eu/images/VN000M9MZUJ-HERO/1" TargetMode="External"/><Relationship Id="rId3098" Type="http://schemas.openxmlformats.org/officeDocument/2006/relationships/hyperlink" Target="https://assets.vans.eu/images/VN000KTABLK-HERO/1" TargetMode="External"/><Relationship Id="rId4496" Type="http://schemas.openxmlformats.org/officeDocument/2006/relationships/hyperlink" Target="https://assets.vans.eu/images/VN000D9ZKOU-HERO/1" TargetMode="External"/><Relationship Id="rId1200" Type="http://schemas.openxmlformats.org/officeDocument/2006/relationships/hyperlink" Target="https://assets.vans.eu/images/VN000REMBLK-HERO/1" TargetMode="External"/><Relationship Id="rId4149" Type="http://schemas.openxmlformats.org/officeDocument/2006/relationships/hyperlink" Target="https://assets.vans.eu/images/VN000D22BRD-HERO/1" TargetMode="External"/><Relationship Id="rId4356" Type="http://schemas.openxmlformats.org/officeDocument/2006/relationships/hyperlink" Target="https://assets.vans.eu/images/VN000D6SBH7-HERO/1" TargetMode="External"/><Relationship Id="rId4563" Type="http://schemas.openxmlformats.org/officeDocument/2006/relationships/hyperlink" Target="https://assets.vans.eu/images/VN000DARBKL-HERO/1" TargetMode="External"/><Relationship Id="rId4770" Type="http://schemas.openxmlformats.org/officeDocument/2006/relationships/hyperlink" Target="https://assets.vans.eu/images/VN0A5HZYZLD-HERO/1" TargetMode="External"/><Relationship Id="rId3165" Type="http://schemas.openxmlformats.org/officeDocument/2006/relationships/hyperlink" Target="https://assets.vans.eu/images/VN000M9HBLK-HERO/1" TargetMode="External"/><Relationship Id="rId3372" Type="http://schemas.openxmlformats.org/officeDocument/2006/relationships/hyperlink" Target="https://assets.vans.eu/images/VN000PDRBLK-HERO/1" TargetMode="External"/><Relationship Id="rId4009" Type="http://schemas.openxmlformats.org/officeDocument/2006/relationships/hyperlink" Target="https://assets.vans.eu/images/VN000CZ7RV2-HERO/1" TargetMode="External"/><Relationship Id="rId4216" Type="http://schemas.openxmlformats.org/officeDocument/2006/relationships/hyperlink" Target="https://assets.vans.eu/images/VN000D2VBLA-HERO/1" TargetMode="External"/><Relationship Id="rId4423" Type="http://schemas.openxmlformats.org/officeDocument/2006/relationships/hyperlink" Target="https://assets.vans.eu/images/VN000D7089F-HERO/1" TargetMode="External"/><Relationship Id="rId4630" Type="http://schemas.openxmlformats.org/officeDocument/2006/relationships/hyperlink" Target="https://assets.vans.eu/images/VN000EB4KAQ-HERO/1" TargetMode="External"/><Relationship Id="rId293" Type="http://schemas.openxmlformats.org/officeDocument/2006/relationships/hyperlink" Target="https://assets.vans.eu/images/VN000QF32N1-HERO/1" TargetMode="External"/><Relationship Id="rId2181" Type="http://schemas.openxmlformats.org/officeDocument/2006/relationships/hyperlink" Target="https://assets.vans.eu/images/VN000P21JDU-HERO/1" TargetMode="External"/><Relationship Id="rId3025" Type="http://schemas.openxmlformats.org/officeDocument/2006/relationships/hyperlink" Target="https://assets.vans.eu/images/VN000HUH2N1-HERO/1" TargetMode="External"/><Relationship Id="rId3232" Type="http://schemas.openxmlformats.org/officeDocument/2006/relationships/hyperlink" Target="https://assets.vans.eu/images/VN000NKKBLK-HERO/1" TargetMode="External"/><Relationship Id="rId153" Type="http://schemas.openxmlformats.org/officeDocument/2006/relationships/hyperlink" Target="https://assets.vans.eu/images/VN000ND7FS8-HERO/1" TargetMode="External"/><Relationship Id="rId360" Type="http://schemas.openxmlformats.org/officeDocument/2006/relationships/hyperlink" Target="https://assets.vans.eu/images/VN000D26EWR-HERO/1" TargetMode="External"/><Relationship Id="rId2041" Type="http://schemas.openxmlformats.org/officeDocument/2006/relationships/hyperlink" Target="https://assets.vans.eu/images/VN0008N6EMU-HERO/1" TargetMode="External"/><Relationship Id="rId220" Type="http://schemas.openxmlformats.org/officeDocument/2006/relationships/hyperlink" Target="https://assets.vans.eu/images/VN000XCUWHT-HERO/1" TargetMode="External"/><Relationship Id="rId2998" Type="http://schemas.openxmlformats.org/officeDocument/2006/relationships/hyperlink" Target="https://assets.vans.eu/images/VN000HHNWHT-HERO/1" TargetMode="External"/><Relationship Id="rId5057" Type="http://schemas.openxmlformats.org/officeDocument/2006/relationships/hyperlink" Target="https://assets.vans.eu/images/VN0A4BXL39L-HERO/1" TargetMode="External"/><Relationship Id="rId2858" Type="http://schemas.openxmlformats.org/officeDocument/2006/relationships/hyperlink" Target="https://assets.vans.eu/images/VN000CAQBLK-HERO/1" TargetMode="External"/><Relationship Id="rId3909" Type="http://schemas.openxmlformats.org/officeDocument/2006/relationships/hyperlink" Target="https://assets.vans.eu/images/VN000CVUDRB-HERO/1" TargetMode="External"/><Relationship Id="rId4073" Type="http://schemas.openxmlformats.org/officeDocument/2006/relationships/hyperlink" Target="https://assets.vans.eu/images/VN000D1BEMU-HERO/1" TargetMode="External"/><Relationship Id="rId99" Type="http://schemas.openxmlformats.org/officeDocument/2006/relationships/hyperlink" Target="https://assets.vans.eu/images/VN000RD61O7-HERO/1" TargetMode="External"/><Relationship Id="rId1667" Type="http://schemas.openxmlformats.org/officeDocument/2006/relationships/hyperlink" Target="https://assets.vans.eu/images/VN000MC06PH-HERO/1" TargetMode="External"/><Relationship Id="rId1874" Type="http://schemas.openxmlformats.org/officeDocument/2006/relationships/hyperlink" Target="https://assets.vans.eu/images/VN000D1JJ4C-HERO/1" TargetMode="External"/><Relationship Id="rId2718" Type="http://schemas.openxmlformats.org/officeDocument/2006/relationships/hyperlink" Target="https://assets.vans.eu/images/VN000D9ZKOU-HERO/1" TargetMode="External"/><Relationship Id="rId2925" Type="http://schemas.openxmlformats.org/officeDocument/2006/relationships/hyperlink" Target="https://assets.vans.eu/images/VN0008CABLK-HERO/1" TargetMode="External"/><Relationship Id="rId4280" Type="http://schemas.openxmlformats.org/officeDocument/2006/relationships/hyperlink" Target="https://assets.vans.eu/images/VN000D5R9DH-HERO/1" TargetMode="External"/><Relationship Id="rId1527" Type="http://schemas.openxmlformats.org/officeDocument/2006/relationships/hyperlink" Target="https://assets.vans.eu/images/VN000D9ACJ7-HERO/1" TargetMode="External"/><Relationship Id="rId1734" Type="http://schemas.openxmlformats.org/officeDocument/2006/relationships/hyperlink" Target="https://assets.vans.eu/images/VN000PNCRKZ-HERO/1" TargetMode="External"/><Relationship Id="rId1941" Type="http://schemas.openxmlformats.org/officeDocument/2006/relationships/hyperlink" Target="https://assets.vans.eu/images/VN000D9ACJ7-HERO/1" TargetMode="External"/><Relationship Id="rId4140" Type="http://schemas.openxmlformats.org/officeDocument/2006/relationships/hyperlink" Target="https://assets.vans.eu/images/VN000D1JY23-HERO/1" TargetMode="External"/><Relationship Id="rId26" Type="http://schemas.openxmlformats.org/officeDocument/2006/relationships/hyperlink" Target="https://assets.vans.eu/images/VN000D75BOP-HERO/1" TargetMode="External"/><Relationship Id="rId3699" Type="http://schemas.openxmlformats.org/officeDocument/2006/relationships/hyperlink" Target="https://assets.vans.eu/images/VN0007NKBZW-HERO/1" TargetMode="External"/><Relationship Id="rId4000" Type="http://schemas.openxmlformats.org/officeDocument/2006/relationships/hyperlink" Target="https://assets.vans.eu/images/VN000CZ7EMW-HERO/1" TargetMode="External"/><Relationship Id="rId1801" Type="http://schemas.openxmlformats.org/officeDocument/2006/relationships/hyperlink" Target="https://assets.vans.eu/images/VN000XBZIZQ-HERO/1" TargetMode="External"/><Relationship Id="rId3559" Type="http://schemas.openxmlformats.org/officeDocument/2006/relationships/hyperlink" Target="https://assets.vans.eu/images/VN000R94FS8-HERO/1" TargetMode="External"/><Relationship Id="rId4957" Type="http://schemas.openxmlformats.org/officeDocument/2006/relationships/hyperlink" Target="https://assets.vans.eu/images/VN000D3UZBF-HERO/1" TargetMode="External"/><Relationship Id="rId687" Type="http://schemas.openxmlformats.org/officeDocument/2006/relationships/hyperlink" Target="https://assets.vans.eu/images/VN000D2VEMY-HERO/1" TargetMode="External"/><Relationship Id="rId2368" Type="http://schemas.openxmlformats.org/officeDocument/2006/relationships/hyperlink" Target="https://assets.vans.eu/images/VN000Y8VY28-HERO/1" TargetMode="External"/><Relationship Id="rId3766" Type="http://schemas.openxmlformats.org/officeDocument/2006/relationships/hyperlink" Target="https://assets.vans.eu/images/VN000CMX9JC-HERO/1" TargetMode="External"/><Relationship Id="rId3973" Type="http://schemas.openxmlformats.org/officeDocument/2006/relationships/hyperlink" Target="https://assets.vans.eu/images/VN000CWF1P0-HERO/1" TargetMode="External"/><Relationship Id="rId4817" Type="http://schemas.openxmlformats.org/officeDocument/2006/relationships/hyperlink" Target="https://assets.vans.eu/images/VN000CVVSR6-HERO/1" TargetMode="External"/><Relationship Id="rId894" Type="http://schemas.openxmlformats.org/officeDocument/2006/relationships/hyperlink" Target="https://assets.vans.eu/images/VN000PF7YB2-HERO/1" TargetMode="External"/><Relationship Id="rId1177" Type="http://schemas.openxmlformats.org/officeDocument/2006/relationships/hyperlink" Target="https://assets.vans.eu/images/VN000PM3BLK-HERO/1" TargetMode="External"/><Relationship Id="rId2575" Type="http://schemas.openxmlformats.org/officeDocument/2006/relationships/hyperlink" Target="https://assets.vans.eu/images/VN000D1BEMU-HERO/1" TargetMode="External"/><Relationship Id="rId2782" Type="http://schemas.openxmlformats.org/officeDocument/2006/relationships/hyperlink" Target="https://assets.vans.eu/images/VN000E8WIZQ-HERO/1" TargetMode="External"/><Relationship Id="rId3419" Type="http://schemas.openxmlformats.org/officeDocument/2006/relationships/hyperlink" Target="https://assets.vans.eu/images/VN000PJSBLK-HERO/1" TargetMode="External"/><Relationship Id="rId3626" Type="http://schemas.openxmlformats.org/officeDocument/2006/relationships/hyperlink" Target="https://assets.vans.eu/images/VN0A3CZENAV-HERO/1" TargetMode="External"/><Relationship Id="rId3833" Type="http://schemas.openxmlformats.org/officeDocument/2006/relationships/hyperlink" Target="https://assets.vans.eu/images/VN000CS0D4C-HERO/1" TargetMode="External"/><Relationship Id="rId547" Type="http://schemas.openxmlformats.org/officeDocument/2006/relationships/hyperlink" Target="https://assets.vans.eu/images/VN000HZBYEH-HERO/1" TargetMode="External"/><Relationship Id="rId754" Type="http://schemas.openxmlformats.org/officeDocument/2006/relationships/hyperlink" Target="https://assets.vans.eu/images/VN000D0MKCZ-HERO/1" TargetMode="External"/><Relationship Id="rId961" Type="http://schemas.openxmlformats.org/officeDocument/2006/relationships/hyperlink" Target="https://assets.vans.eu/images/VN000D6ZPNK-HERO/1" TargetMode="External"/><Relationship Id="rId1384" Type="http://schemas.openxmlformats.org/officeDocument/2006/relationships/hyperlink" Target="https://assets.vans.eu/images/VN000PMFEB2-HERO/1" TargetMode="External"/><Relationship Id="rId1591" Type="http://schemas.openxmlformats.org/officeDocument/2006/relationships/hyperlink" Target="https://assets.vans.eu/images/VN000UOUYEH-HERO/1" TargetMode="External"/><Relationship Id="rId2228" Type="http://schemas.openxmlformats.org/officeDocument/2006/relationships/hyperlink" Target="https://assets.vans.eu/images/VN000PE7BLK-HERO/1" TargetMode="External"/><Relationship Id="rId2435" Type="http://schemas.openxmlformats.org/officeDocument/2006/relationships/hyperlink" Target="https://assets.vans.eu/images/VN000CPZC2R-HERO/1" TargetMode="External"/><Relationship Id="rId2642" Type="http://schemas.openxmlformats.org/officeDocument/2006/relationships/hyperlink" Target="https://assets.vans.eu/images/VN000D60RV2-HERO/1" TargetMode="External"/><Relationship Id="rId3900" Type="http://schemas.openxmlformats.org/officeDocument/2006/relationships/hyperlink" Target="https://assets.vans.eu/images/VN000CVU1LO-HERO/1" TargetMode="External"/><Relationship Id="rId90" Type="http://schemas.openxmlformats.org/officeDocument/2006/relationships/hyperlink" Target="https://assets.vans.eu/images/VN000QB4BRD-HERO/1" TargetMode="External"/><Relationship Id="rId407" Type="http://schemas.openxmlformats.org/officeDocument/2006/relationships/hyperlink" Target="https://assets.vans.eu/images/VN000KUR7WM-HERO/1" TargetMode="External"/><Relationship Id="rId614" Type="http://schemas.openxmlformats.org/officeDocument/2006/relationships/hyperlink" Target="https://assets.vans.eu/images/VN000PXS6JL-HERO/1" TargetMode="External"/><Relationship Id="rId821" Type="http://schemas.openxmlformats.org/officeDocument/2006/relationships/hyperlink" Target="https://assets.vans.eu/images/VN000RARFS8-HERO/1" TargetMode="External"/><Relationship Id="rId1037" Type="http://schemas.openxmlformats.org/officeDocument/2006/relationships/hyperlink" Target="https://assets.vans.eu/images/VN000R74EMS-HERO/1" TargetMode="External"/><Relationship Id="rId1244" Type="http://schemas.openxmlformats.org/officeDocument/2006/relationships/hyperlink" Target="https://assets.vans.eu/images/VN000D1J4C6-HERO/1" TargetMode="External"/><Relationship Id="rId1451" Type="http://schemas.openxmlformats.org/officeDocument/2006/relationships/hyperlink" Target="https://assets.vans.eu/images/VN000CRRBJ4-HERO/1" TargetMode="External"/><Relationship Id="rId2502" Type="http://schemas.openxmlformats.org/officeDocument/2006/relationships/hyperlink" Target="https://assets.vans.eu/images/VN000CVV7YO-HERO/1" TargetMode="External"/><Relationship Id="rId1104" Type="http://schemas.openxmlformats.org/officeDocument/2006/relationships/hyperlink" Target="https://assets.vans.eu/images/VN000Q1UWHT-HERO/1" TargetMode="External"/><Relationship Id="rId1311" Type="http://schemas.openxmlformats.org/officeDocument/2006/relationships/hyperlink" Target="https://assets.vans.eu/images/VN000GGGY28-HERO/1" TargetMode="External"/><Relationship Id="rId4467" Type="http://schemas.openxmlformats.org/officeDocument/2006/relationships/hyperlink" Target="https://assets.vans.eu/images/VN000D8NWWW-HERO/1" TargetMode="External"/><Relationship Id="rId4674" Type="http://schemas.openxmlformats.org/officeDocument/2006/relationships/hyperlink" Target="https://assets.vans.eu/images/VN000V160E0-HERO/1" TargetMode="External"/><Relationship Id="rId4881" Type="http://schemas.openxmlformats.org/officeDocument/2006/relationships/hyperlink" Target="https://assets.vans.eu/images/VN000D1GSN0-HERO/1" TargetMode="External"/><Relationship Id="rId3069" Type="http://schemas.openxmlformats.org/officeDocument/2006/relationships/hyperlink" Target="https://assets.vans.eu/images/VN000JQPC9F-HERO/1" TargetMode="External"/><Relationship Id="rId3276" Type="http://schemas.openxmlformats.org/officeDocument/2006/relationships/hyperlink" Target="https://assets.vans.eu/images/VN000P52EMS-HERO/1" TargetMode="External"/><Relationship Id="rId3483" Type="http://schemas.openxmlformats.org/officeDocument/2006/relationships/hyperlink" Target="https://assets.vans.eu/images/VN000PX8LUT-HERO/1" TargetMode="External"/><Relationship Id="rId3690" Type="http://schemas.openxmlformats.org/officeDocument/2006/relationships/hyperlink" Target="https://assets.vans.eu/images/VN0005UFBLL-HERO/1" TargetMode="External"/><Relationship Id="rId4327" Type="http://schemas.openxmlformats.org/officeDocument/2006/relationships/hyperlink" Target="https://assets.vans.eu/images/VN000D6FBGK-HERO/1" TargetMode="External"/><Relationship Id="rId4534" Type="http://schemas.openxmlformats.org/officeDocument/2006/relationships/hyperlink" Target="https://assets.vans.eu/images/VN000DAJKL4-HERO/1" TargetMode="External"/><Relationship Id="rId197" Type="http://schemas.openxmlformats.org/officeDocument/2006/relationships/hyperlink" Target="https://assets.vans.eu/images/VN0A5LMECR2-HERO/1" TargetMode="External"/><Relationship Id="rId2085" Type="http://schemas.openxmlformats.org/officeDocument/2006/relationships/hyperlink" Target="https://assets.vans.eu/images/VN000JYD14A-HERO/1" TargetMode="External"/><Relationship Id="rId2292" Type="http://schemas.openxmlformats.org/officeDocument/2006/relationships/hyperlink" Target="https://assets.vans.eu/images/VN000PREEMW-HERO/1" TargetMode="External"/><Relationship Id="rId3136" Type="http://schemas.openxmlformats.org/officeDocument/2006/relationships/hyperlink" Target="https://assets.vans.eu/images/VN000M4DD6Z-HERO/1" TargetMode="External"/><Relationship Id="rId3343" Type="http://schemas.openxmlformats.org/officeDocument/2006/relationships/hyperlink" Target="https://assets.vans.eu/images/VN000PBSBRD-HERO/1" TargetMode="External"/><Relationship Id="rId4741" Type="http://schemas.openxmlformats.org/officeDocument/2006/relationships/hyperlink" Target="https://assets.vans.eu/images/VN0A5FCAPIB-HERO/1" TargetMode="External"/><Relationship Id="rId264" Type="http://schemas.openxmlformats.org/officeDocument/2006/relationships/hyperlink" Target="https://assets.vans.eu/images/VN000RG4BLK-HERO/1" TargetMode="External"/><Relationship Id="rId471" Type="http://schemas.openxmlformats.org/officeDocument/2006/relationships/hyperlink" Target="https://assets.vans.eu/images/VN000KXWBLK-HERO/1" TargetMode="External"/><Relationship Id="rId2152" Type="http://schemas.openxmlformats.org/officeDocument/2006/relationships/hyperlink" Target="https://assets.vans.eu/images/VN000MH702F-HERO/1" TargetMode="External"/><Relationship Id="rId3550" Type="http://schemas.openxmlformats.org/officeDocument/2006/relationships/hyperlink" Target="https://assets.vans.eu/images/VN000R4ZEMP-HERO/1" TargetMode="External"/><Relationship Id="rId4601" Type="http://schemas.openxmlformats.org/officeDocument/2006/relationships/hyperlink" Target="https://assets.vans.eu/images/VN000E86BA2-HERO/1" TargetMode="External"/><Relationship Id="rId124" Type="http://schemas.openxmlformats.org/officeDocument/2006/relationships/hyperlink" Target="https://assets.vans.eu/images/VN000JTRCIC-HERO/1" TargetMode="External"/><Relationship Id="rId3203" Type="http://schemas.openxmlformats.org/officeDocument/2006/relationships/hyperlink" Target="https://assets.vans.eu/images/VN000MG8UUI-HERO/1" TargetMode="External"/><Relationship Id="rId3410" Type="http://schemas.openxmlformats.org/officeDocument/2006/relationships/hyperlink" Target="https://assets.vans.eu/images/VN000PJ912S-HERO/1" TargetMode="External"/><Relationship Id="rId331" Type="http://schemas.openxmlformats.org/officeDocument/2006/relationships/hyperlink" Target="https://assets.vans.eu/images/VN000CTG7VF-HERO/1" TargetMode="External"/><Relationship Id="rId2012" Type="http://schemas.openxmlformats.org/officeDocument/2006/relationships/hyperlink" Target="https://assets.vans.eu/images/VN000M7UZBF-HERO/1" TargetMode="External"/><Relationship Id="rId2969" Type="http://schemas.openxmlformats.org/officeDocument/2006/relationships/hyperlink" Target="https://assets.vans.eu/images/VN000GDFBLK-HERO/1" TargetMode="External"/><Relationship Id="rId1778" Type="http://schemas.openxmlformats.org/officeDocument/2006/relationships/hyperlink" Target="https://assets.vans.eu/images/VN000QFGDJR-HERO/1" TargetMode="External"/><Relationship Id="rId1985" Type="http://schemas.openxmlformats.org/officeDocument/2006/relationships/hyperlink" Target="https://assets.vans.eu/images/VN000VOB4WV-HERO/1" TargetMode="External"/><Relationship Id="rId2829" Type="http://schemas.openxmlformats.org/officeDocument/2006/relationships/hyperlink" Target="https://assets.vans.eu/images/VN0A4UWM2LN-HERO/1" TargetMode="External"/><Relationship Id="rId4184" Type="http://schemas.openxmlformats.org/officeDocument/2006/relationships/hyperlink" Target="https://assets.vans.eu/images/VN000D26JDU-HERO/1" TargetMode="External"/><Relationship Id="rId4391" Type="http://schemas.openxmlformats.org/officeDocument/2006/relationships/hyperlink" Target="https://assets.vans.eu/images/VN000D6YE2T-HERO/1" TargetMode="External"/><Relationship Id="rId5028" Type="http://schemas.openxmlformats.org/officeDocument/2006/relationships/hyperlink" Target="https://assets.vans.eu/images/VN0A2Z34BLG-HERO/1" TargetMode="External"/><Relationship Id="rId1638" Type="http://schemas.openxmlformats.org/officeDocument/2006/relationships/hyperlink" Target="https://assets.vans.eu/images/VN000JGPBLK-HERO/1" TargetMode="External"/><Relationship Id="rId4044" Type="http://schemas.openxmlformats.org/officeDocument/2006/relationships/hyperlink" Target="https://assets.vans.eu/images/VN000D0S705-HERO/1" TargetMode="External"/><Relationship Id="rId4251" Type="http://schemas.openxmlformats.org/officeDocument/2006/relationships/hyperlink" Target="https://assets.vans.eu/images/VN000D4N2B6-HERO/1" TargetMode="External"/><Relationship Id="rId1845" Type="http://schemas.openxmlformats.org/officeDocument/2006/relationships/hyperlink" Target="https://assets.vans.eu/images/VN000CVUPRP-HERO/1" TargetMode="External"/><Relationship Id="rId3060" Type="http://schemas.openxmlformats.org/officeDocument/2006/relationships/hyperlink" Target="https://assets.vans.eu/images/VN000JF5BLK-HERO/1" TargetMode="External"/><Relationship Id="rId4111" Type="http://schemas.openxmlformats.org/officeDocument/2006/relationships/hyperlink" Target="https://assets.vans.eu/images/VN000D1JCFL-HERO/1" TargetMode="External"/><Relationship Id="rId1705" Type="http://schemas.openxmlformats.org/officeDocument/2006/relationships/hyperlink" Target="https://assets.vans.eu/images/VN000P8GBLK-HERO/1" TargetMode="External"/><Relationship Id="rId1912" Type="http://schemas.openxmlformats.org/officeDocument/2006/relationships/hyperlink" Target="https://assets.vans.eu/images/VN000D6FLKZ-HERO/1" TargetMode="External"/><Relationship Id="rId3877" Type="http://schemas.openxmlformats.org/officeDocument/2006/relationships/hyperlink" Target="https://assets.vans.eu/images/VN000CVNBKA-HERO/1" TargetMode="External"/><Relationship Id="rId4928" Type="http://schemas.openxmlformats.org/officeDocument/2006/relationships/hyperlink" Target="https://assets.vans.eu/images/VN000D1G1OJ-HERO/1" TargetMode="External"/><Relationship Id="rId798" Type="http://schemas.openxmlformats.org/officeDocument/2006/relationships/hyperlink" Target="https://assets.vans.eu/images/VN000P59E2Z-HERO/1" TargetMode="External"/><Relationship Id="rId2479" Type="http://schemas.openxmlformats.org/officeDocument/2006/relationships/hyperlink" Target="https://assets.vans.eu/images/VN000CVRN1Z-HERO/1" TargetMode="External"/><Relationship Id="rId2686" Type="http://schemas.openxmlformats.org/officeDocument/2006/relationships/hyperlink" Target="https://assets.vans.eu/images/VN000D6ZEMT-HERO/1" TargetMode="External"/><Relationship Id="rId2893" Type="http://schemas.openxmlformats.org/officeDocument/2006/relationships/hyperlink" Target="https://assets.vans.eu/images/VN000QBBBLK-HERO/1" TargetMode="External"/><Relationship Id="rId3737" Type="http://schemas.openxmlformats.org/officeDocument/2006/relationships/hyperlink" Target="https://assets.vans.eu/images/VN000BCEBIY-HERO/1" TargetMode="External"/><Relationship Id="rId3944" Type="http://schemas.openxmlformats.org/officeDocument/2006/relationships/hyperlink" Target="https://assets.vans.eu/images/VN000CVVF87-HERO/1" TargetMode="External"/><Relationship Id="rId658" Type="http://schemas.openxmlformats.org/officeDocument/2006/relationships/hyperlink" Target="https://assets.vans.eu/images/VN000MMTBLK-HERO/1" TargetMode="External"/><Relationship Id="rId865" Type="http://schemas.openxmlformats.org/officeDocument/2006/relationships/hyperlink" Target="https://assets.vans.eu/images/VN0A5HYWYOH-HERO/1" TargetMode="External"/><Relationship Id="rId1288" Type="http://schemas.openxmlformats.org/officeDocument/2006/relationships/hyperlink" Target="https://assets.vans.eu/images/VN000F10BLK-HERO/1" TargetMode="External"/><Relationship Id="rId1495" Type="http://schemas.openxmlformats.org/officeDocument/2006/relationships/hyperlink" Target="https://assets.vans.eu/images/VN000D1JOVM-HERO/1" TargetMode="External"/><Relationship Id="rId2339" Type="http://schemas.openxmlformats.org/officeDocument/2006/relationships/hyperlink" Target="https://assets.vans.eu/images/VN000RAPFS8-HERO/1" TargetMode="External"/><Relationship Id="rId2546" Type="http://schemas.openxmlformats.org/officeDocument/2006/relationships/hyperlink" Target="https://assets.vans.eu/images/VN000D0KEN6-HERO/1" TargetMode="External"/><Relationship Id="rId2753" Type="http://schemas.openxmlformats.org/officeDocument/2006/relationships/hyperlink" Target="https://assets.vans.eu/images/VN000DAQZO2-HERO/1" TargetMode="External"/><Relationship Id="rId2960" Type="http://schemas.openxmlformats.org/officeDocument/2006/relationships/hyperlink" Target="https://assets.vans.eu/images/VN000G9S7VJ-HERO/1" TargetMode="External"/><Relationship Id="rId3804" Type="http://schemas.openxmlformats.org/officeDocument/2006/relationships/hyperlink" Target="https://assets.vans.eu/images/VN000CQFBL2-HERO/1" TargetMode="External"/><Relationship Id="rId518" Type="http://schemas.openxmlformats.org/officeDocument/2006/relationships/hyperlink" Target="https://assets.vans.eu/images/VN000P77AFM-HERO/1" TargetMode="External"/><Relationship Id="rId725" Type="http://schemas.openxmlformats.org/officeDocument/2006/relationships/hyperlink" Target="https://assets.vans.eu/images/VN000PR3EN9-HERO/1" TargetMode="External"/><Relationship Id="rId932" Type="http://schemas.openxmlformats.org/officeDocument/2006/relationships/hyperlink" Target="https://assets.vans.eu/images/VN000CRRBJ4-HERO/1" TargetMode="External"/><Relationship Id="rId1148" Type="http://schemas.openxmlformats.org/officeDocument/2006/relationships/hyperlink" Target="https://assets.vans.eu/images/VN000MMTBLK-HERO/1" TargetMode="External"/><Relationship Id="rId1355" Type="http://schemas.openxmlformats.org/officeDocument/2006/relationships/hyperlink" Target="https://assets.vans.eu/images/VN000P59E2Z-HERO/1" TargetMode="External"/><Relationship Id="rId1562" Type="http://schemas.openxmlformats.org/officeDocument/2006/relationships/hyperlink" Target="https://assets.vans.eu/images/VN0A5FCAPIB-HERO/1" TargetMode="External"/><Relationship Id="rId2406" Type="http://schemas.openxmlformats.org/officeDocument/2006/relationships/hyperlink" Target="https://assets.vans.eu/images/VN0007NK3N1-HERO/1" TargetMode="External"/><Relationship Id="rId2613" Type="http://schemas.openxmlformats.org/officeDocument/2006/relationships/hyperlink" Target="https://assets.vans.eu/images/VN000D4N2B6-HERO/1" TargetMode="External"/><Relationship Id="rId1008" Type="http://schemas.openxmlformats.org/officeDocument/2006/relationships/hyperlink" Target="https://assets.vans.eu/images/VN000MBX1O7-HERO/1" TargetMode="External"/><Relationship Id="rId1215" Type="http://schemas.openxmlformats.org/officeDocument/2006/relationships/hyperlink" Target="https://assets.vans.eu/images/VN000CR5FS8-HERO/1" TargetMode="External"/><Relationship Id="rId1422" Type="http://schemas.openxmlformats.org/officeDocument/2006/relationships/hyperlink" Target="https://assets.vans.eu/images/VN000RG0EMS-HERO/1" TargetMode="External"/><Relationship Id="rId2820" Type="http://schemas.openxmlformats.org/officeDocument/2006/relationships/hyperlink" Target="https://assets.vans.eu/images/VN0A2Z42BMA-HERO/1" TargetMode="External"/><Relationship Id="rId4578" Type="http://schemas.openxmlformats.org/officeDocument/2006/relationships/hyperlink" Target="https://assets.vans.eu/images/VN000DAZSTN-HERO/1" TargetMode="External"/><Relationship Id="rId61" Type="http://schemas.openxmlformats.org/officeDocument/2006/relationships/hyperlink" Target="https://assets.vans.eu/images/VN000MNNBLK-HERO/1" TargetMode="External"/><Relationship Id="rId3387" Type="http://schemas.openxmlformats.org/officeDocument/2006/relationships/hyperlink" Target="https://assets.vans.eu/images/VN000PF7F0D-HERO/1" TargetMode="External"/><Relationship Id="rId4785" Type="http://schemas.openxmlformats.org/officeDocument/2006/relationships/hyperlink" Target="https://assets.vans.eu/images/VN0A5KR5239-HERO/1" TargetMode="External"/><Relationship Id="rId4992" Type="http://schemas.openxmlformats.org/officeDocument/2006/relationships/hyperlink" Target="https://assets.vans.eu/images/VN000E23L38-HERO/1" TargetMode="External"/><Relationship Id="rId2196" Type="http://schemas.openxmlformats.org/officeDocument/2006/relationships/hyperlink" Target="https://assets.vans.eu/images/VN000P5RO3N-HERO/1" TargetMode="External"/><Relationship Id="rId3594" Type="http://schemas.openxmlformats.org/officeDocument/2006/relationships/hyperlink" Target="https://assets.vans.eu/images/VN000RFUWHT-HERO/1" TargetMode="External"/><Relationship Id="rId4438" Type="http://schemas.openxmlformats.org/officeDocument/2006/relationships/hyperlink" Target="https://assets.vans.eu/images/VN000D7ZM8I-HERO/1" TargetMode="External"/><Relationship Id="rId4645" Type="http://schemas.openxmlformats.org/officeDocument/2006/relationships/hyperlink" Target="https://assets.vans.eu/images/VN000EDN7D6-HERO/1" TargetMode="External"/><Relationship Id="rId4852" Type="http://schemas.openxmlformats.org/officeDocument/2006/relationships/hyperlink" Target="https://assets.vans.eu/images/VN000CVVSR6-HERO/1" TargetMode="External"/><Relationship Id="rId168" Type="http://schemas.openxmlformats.org/officeDocument/2006/relationships/hyperlink" Target="https://assets.vans.eu/images/VN000QBGWHT-HERO/1" TargetMode="External"/><Relationship Id="rId3247" Type="http://schemas.openxmlformats.org/officeDocument/2006/relationships/hyperlink" Target="https://assets.vans.eu/images/VN000P1PBR1-HERO/1" TargetMode="External"/><Relationship Id="rId3454" Type="http://schemas.openxmlformats.org/officeDocument/2006/relationships/hyperlink" Target="https://assets.vans.eu/images/VN000PPZY7J-HERO/1" TargetMode="External"/><Relationship Id="rId3661" Type="http://schemas.openxmlformats.org/officeDocument/2006/relationships/hyperlink" Target="https://assets.vans.eu/images/VN0A5FKDKHK-HERO/1" TargetMode="External"/><Relationship Id="rId4505" Type="http://schemas.openxmlformats.org/officeDocument/2006/relationships/hyperlink" Target="https://assets.vans.eu/images/VN000DA18DX-HERO/1" TargetMode="External"/><Relationship Id="rId4712" Type="http://schemas.openxmlformats.org/officeDocument/2006/relationships/hyperlink" Target="https://assets.vans.eu/images/VN0A45JMJBW-HERO/1" TargetMode="External"/><Relationship Id="rId375" Type="http://schemas.openxmlformats.org/officeDocument/2006/relationships/hyperlink" Target="https://assets.vans.eu/images/VN0A4MQ35TU-HERO/1" TargetMode="External"/><Relationship Id="rId582" Type="http://schemas.openxmlformats.org/officeDocument/2006/relationships/hyperlink" Target="https://assets.vans.eu/images/VN000E8CGMX-HERO/1" TargetMode="External"/><Relationship Id="rId2056" Type="http://schemas.openxmlformats.org/officeDocument/2006/relationships/hyperlink" Target="https://assets.vans.eu/images/VN000HDZKOU-HERO/1" TargetMode="External"/><Relationship Id="rId2263" Type="http://schemas.openxmlformats.org/officeDocument/2006/relationships/hyperlink" Target="https://assets.vans.eu/images/VN000PM39JC-HERO/1" TargetMode="External"/><Relationship Id="rId2470" Type="http://schemas.openxmlformats.org/officeDocument/2006/relationships/hyperlink" Target="https://assets.vans.eu/images/VN000CTG7VF-HERO/1" TargetMode="External"/><Relationship Id="rId3107" Type="http://schemas.openxmlformats.org/officeDocument/2006/relationships/hyperlink" Target="https://assets.vans.eu/images/VN000KUR7WM-HERO/1" TargetMode="External"/><Relationship Id="rId3314" Type="http://schemas.openxmlformats.org/officeDocument/2006/relationships/hyperlink" Target="https://assets.vans.eu/images/VN000P7U2N1-HERO/1" TargetMode="External"/><Relationship Id="rId3521" Type="http://schemas.openxmlformats.org/officeDocument/2006/relationships/hyperlink" Target="https://assets.vans.eu/images/VN000Q67EMX-HERO/1" TargetMode="External"/><Relationship Id="rId235" Type="http://schemas.openxmlformats.org/officeDocument/2006/relationships/hyperlink" Target="https://assets.vans.eu/images/VN000Q94EN7-HERO/1" TargetMode="External"/><Relationship Id="rId442" Type="http://schemas.openxmlformats.org/officeDocument/2006/relationships/hyperlink" Target="https://assets.vans.eu/images/VN000RFMEMV-HERO/1" TargetMode="External"/><Relationship Id="rId1072" Type="http://schemas.openxmlformats.org/officeDocument/2006/relationships/hyperlink" Target="https://assets.vans.eu/images/VN000D2VZ3R-HERO/1" TargetMode="External"/><Relationship Id="rId2123" Type="http://schemas.openxmlformats.org/officeDocument/2006/relationships/hyperlink" Target="https://assets.vans.eu/images/VN000M99CFL-HERO/1" TargetMode="External"/><Relationship Id="rId2330" Type="http://schemas.openxmlformats.org/officeDocument/2006/relationships/hyperlink" Target="https://assets.vans.eu/images/VN000R15EML-HERO/1" TargetMode="External"/><Relationship Id="rId302" Type="http://schemas.openxmlformats.org/officeDocument/2006/relationships/hyperlink" Target="https://assets.vans.eu/images/VN000QCMBLK-HERO/1" TargetMode="External"/><Relationship Id="rId4088" Type="http://schemas.openxmlformats.org/officeDocument/2006/relationships/hyperlink" Target="https://assets.vans.eu/images/VN000D1HLIM-HERO/1" TargetMode="External"/><Relationship Id="rId4295" Type="http://schemas.openxmlformats.org/officeDocument/2006/relationships/hyperlink" Target="https://assets.vans.eu/images/VN000D5VZRY-HERO/1" TargetMode="External"/><Relationship Id="rId1889" Type="http://schemas.openxmlformats.org/officeDocument/2006/relationships/hyperlink" Target="https://assets.vans.eu/images/VN000D4NBKA-HERO/1" TargetMode="External"/><Relationship Id="rId4155" Type="http://schemas.openxmlformats.org/officeDocument/2006/relationships/hyperlink" Target="https://assets.vans.eu/images/VN000D22BW2-HERO/1" TargetMode="External"/><Relationship Id="rId4362" Type="http://schemas.openxmlformats.org/officeDocument/2006/relationships/hyperlink" Target="https://assets.vans.eu/images/VN000D6W11E-HERO/1" TargetMode="External"/><Relationship Id="rId1749" Type="http://schemas.openxmlformats.org/officeDocument/2006/relationships/hyperlink" Target="https://assets.vans.eu/images/VN000PWQGRH-HERO/1" TargetMode="External"/><Relationship Id="rId1956" Type="http://schemas.openxmlformats.org/officeDocument/2006/relationships/hyperlink" Target="https://assets.vans.eu/images/VN000DAQ1MG-HERO/1" TargetMode="External"/><Relationship Id="rId3171" Type="http://schemas.openxmlformats.org/officeDocument/2006/relationships/hyperlink" Target="https://assets.vans.eu/images/VN000M9SBLK-HERO/1" TargetMode="External"/><Relationship Id="rId4015" Type="http://schemas.openxmlformats.org/officeDocument/2006/relationships/hyperlink" Target="https://assets.vans.eu/images/VN000CZHCFB-HERO/1" TargetMode="External"/><Relationship Id="rId1609" Type="http://schemas.openxmlformats.org/officeDocument/2006/relationships/hyperlink" Target="https://assets.vans.eu/images/VN000GA0DJR-HERO/1" TargetMode="External"/><Relationship Id="rId1816" Type="http://schemas.openxmlformats.org/officeDocument/2006/relationships/hyperlink" Target="https://assets.vans.eu/images/VN000BVS1M7-HERO/1" TargetMode="External"/><Relationship Id="rId4222" Type="http://schemas.openxmlformats.org/officeDocument/2006/relationships/hyperlink" Target="https://assets.vans.eu/images/VN000D3MJDU-HERO/1" TargetMode="External"/><Relationship Id="rId3031" Type="http://schemas.openxmlformats.org/officeDocument/2006/relationships/hyperlink" Target="https://assets.vans.eu/images/VN000HZBKCZ-HERO/1" TargetMode="External"/><Relationship Id="rId3988" Type="http://schemas.openxmlformats.org/officeDocument/2006/relationships/hyperlink" Target="https://assets.vans.eu/images/VN000CYU4QU-HERO/1" TargetMode="External"/><Relationship Id="rId2797" Type="http://schemas.openxmlformats.org/officeDocument/2006/relationships/hyperlink" Target="https://assets.vans.eu/images/VN000ECUB5P-HERO/1" TargetMode="External"/><Relationship Id="rId3848" Type="http://schemas.openxmlformats.org/officeDocument/2006/relationships/hyperlink" Target="https://assets.vans.eu/images/VN000CTGPIB-HERO/1" TargetMode="External"/><Relationship Id="rId769" Type="http://schemas.openxmlformats.org/officeDocument/2006/relationships/hyperlink" Target="https://assets.vans.eu/images/VN000EE1I6Y-HERO/1" TargetMode="External"/><Relationship Id="rId976" Type="http://schemas.openxmlformats.org/officeDocument/2006/relationships/hyperlink" Target="https://assets.vans.eu/images/VN0A5KR5YJ7-HERO/1" TargetMode="External"/><Relationship Id="rId1399" Type="http://schemas.openxmlformats.org/officeDocument/2006/relationships/hyperlink" Target="https://assets.vans.eu/images/VN000Q0PEMP-HERO/1" TargetMode="External"/><Relationship Id="rId2657" Type="http://schemas.openxmlformats.org/officeDocument/2006/relationships/hyperlink" Target="https://assets.vans.eu/images/VN000D6FBGK-HERO/1" TargetMode="External"/><Relationship Id="rId5063" Type="http://schemas.openxmlformats.org/officeDocument/2006/relationships/hyperlink" Target="https://assets.vans.eu/images/VN0A5FCDYW9-HERO/1" TargetMode="External"/><Relationship Id="rId629" Type="http://schemas.openxmlformats.org/officeDocument/2006/relationships/hyperlink" Target="https://assets.vans.eu/images/VN000D0HBMV-HERO/1" TargetMode="External"/><Relationship Id="rId1259" Type="http://schemas.openxmlformats.org/officeDocument/2006/relationships/hyperlink" Target="https://assets.vans.eu/images/VN000D6W7WM-HERO/1" TargetMode="External"/><Relationship Id="rId1466" Type="http://schemas.openxmlformats.org/officeDocument/2006/relationships/hyperlink" Target="https://assets.vans.eu/images/VN000CV4WWW-HERO/1" TargetMode="External"/><Relationship Id="rId2864" Type="http://schemas.openxmlformats.org/officeDocument/2006/relationships/hyperlink" Target="https://assets.vans.eu/images/VN000F0UJDU-HERO/1" TargetMode="External"/><Relationship Id="rId3708" Type="http://schemas.openxmlformats.org/officeDocument/2006/relationships/hyperlink" Target="https://assets.vans.eu/images/VN0007Q3BIY-HERO/1" TargetMode="External"/><Relationship Id="rId3915" Type="http://schemas.openxmlformats.org/officeDocument/2006/relationships/hyperlink" Target="https://assets.vans.eu/images/VN000CVUKKK-HERO/1" TargetMode="External"/><Relationship Id="rId836" Type="http://schemas.openxmlformats.org/officeDocument/2006/relationships/hyperlink" Target="https://assets.vans.eu/images/VN000CVV50K-HERO/1" TargetMode="External"/><Relationship Id="rId1119" Type="http://schemas.openxmlformats.org/officeDocument/2006/relationships/hyperlink" Target="https://assets.vans.eu/images/VN000HHAM8I-HERO/1" TargetMode="External"/><Relationship Id="rId1673" Type="http://schemas.openxmlformats.org/officeDocument/2006/relationships/hyperlink" Target="https://assets.vans.eu/images/VN000MK2BL2-HERO/1" TargetMode="External"/><Relationship Id="rId1880" Type="http://schemas.openxmlformats.org/officeDocument/2006/relationships/hyperlink" Target="https://assets.vans.eu/images/VN000D26KGR-HERO/1" TargetMode="External"/><Relationship Id="rId2517" Type="http://schemas.openxmlformats.org/officeDocument/2006/relationships/hyperlink" Target="https://assets.vans.eu/images/VN000CYEEMY-HERO/1" TargetMode="External"/><Relationship Id="rId2724" Type="http://schemas.openxmlformats.org/officeDocument/2006/relationships/hyperlink" Target="https://assets.vans.eu/images/VN000DA18DX-HERO/1" TargetMode="External"/><Relationship Id="rId2931" Type="http://schemas.openxmlformats.org/officeDocument/2006/relationships/hyperlink" Target="https://assets.vans.eu/images/VN0008N6BLK-HERO/1" TargetMode="External"/><Relationship Id="rId903" Type="http://schemas.openxmlformats.org/officeDocument/2006/relationships/hyperlink" Target="https://assets.vans.eu/images/VN000Q0VEMS-HERO/1" TargetMode="External"/><Relationship Id="rId1326" Type="http://schemas.openxmlformats.org/officeDocument/2006/relationships/hyperlink" Target="https://assets.vans.eu/images/VN000M1KBLK-HERO/1" TargetMode="External"/><Relationship Id="rId1533" Type="http://schemas.openxmlformats.org/officeDocument/2006/relationships/hyperlink" Target="https://assets.vans.eu/images/VN000DA1Z34-HERO/1" TargetMode="External"/><Relationship Id="rId1740" Type="http://schemas.openxmlformats.org/officeDocument/2006/relationships/hyperlink" Target="https://assets.vans.eu/images/VN000PQWEMF-HERO/1" TargetMode="External"/><Relationship Id="rId4689" Type="http://schemas.openxmlformats.org/officeDocument/2006/relationships/hyperlink" Target="https://assets.vans.eu/images/VN000ZSRGQ0-HERO/1" TargetMode="External"/><Relationship Id="rId4896" Type="http://schemas.openxmlformats.org/officeDocument/2006/relationships/hyperlink" Target="https://assets.vans.eu/images/VN0A2Z32Y45-HERO/1" TargetMode="External"/><Relationship Id="rId32" Type="http://schemas.openxmlformats.org/officeDocument/2006/relationships/hyperlink" Target="https://assets.vans.eu/images/VN000E9XIVG-HERO/1" TargetMode="External"/><Relationship Id="rId1600" Type="http://schemas.openxmlformats.org/officeDocument/2006/relationships/hyperlink" Target="https://assets.vans.eu/images/VN0A7SCBOC2-HERO/1" TargetMode="External"/><Relationship Id="rId3498" Type="http://schemas.openxmlformats.org/officeDocument/2006/relationships/hyperlink" Target="https://assets.vans.eu/images/VN000Q0ACDX-HERO/1" TargetMode="External"/><Relationship Id="rId4549" Type="http://schemas.openxmlformats.org/officeDocument/2006/relationships/hyperlink" Target="https://assets.vans.eu/images/VN000DAQ239-HERO/1" TargetMode="External"/><Relationship Id="rId4756" Type="http://schemas.openxmlformats.org/officeDocument/2006/relationships/hyperlink" Target="https://assets.vans.eu/images/VN0A5FCDGPE-HERO/1" TargetMode="External"/><Relationship Id="rId4963" Type="http://schemas.openxmlformats.org/officeDocument/2006/relationships/hyperlink" Target="https://assets.vans.eu/images/VN000D5RZHJ-HERO/1" TargetMode="External"/><Relationship Id="rId3358" Type="http://schemas.openxmlformats.org/officeDocument/2006/relationships/hyperlink" Target="https://assets.vans.eu/images/VN000PCAWHT-HERO/1" TargetMode="External"/><Relationship Id="rId3565" Type="http://schemas.openxmlformats.org/officeDocument/2006/relationships/hyperlink" Target="https://assets.vans.eu/images/VN000RAP5TU-HERO/1" TargetMode="External"/><Relationship Id="rId3772" Type="http://schemas.openxmlformats.org/officeDocument/2006/relationships/hyperlink" Target="https://assets.vans.eu/images/VN000CP6BXC-HERO/1" TargetMode="External"/><Relationship Id="rId4409" Type="http://schemas.openxmlformats.org/officeDocument/2006/relationships/hyperlink" Target="https://assets.vans.eu/images/VN000D6ZEMT-HERO/1" TargetMode="External"/><Relationship Id="rId4616" Type="http://schemas.openxmlformats.org/officeDocument/2006/relationships/hyperlink" Target="https://assets.vans.eu/images/VN000E8WBRD-HERO/1" TargetMode="External"/><Relationship Id="rId4823" Type="http://schemas.openxmlformats.org/officeDocument/2006/relationships/hyperlink" Target="https://assets.vans.eu/images/VN000CVVSR6-HERO/1" TargetMode="External"/><Relationship Id="rId279" Type="http://schemas.openxmlformats.org/officeDocument/2006/relationships/hyperlink" Target="https://assets.vans.eu/images/VN000ED891K-HERO/1" TargetMode="External"/><Relationship Id="rId486" Type="http://schemas.openxmlformats.org/officeDocument/2006/relationships/hyperlink" Target="https://assets.vans.eu/images/VN000R92EMF-HERO/1" TargetMode="External"/><Relationship Id="rId693" Type="http://schemas.openxmlformats.org/officeDocument/2006/relationships/hyperlink" Target="https://assets.vans.eu/images/VN000DCJGRN-HERO/1" TargetMode="External"/><Relationship Id="rId2167" Type="http://schemas.openxmlformats.org/officeDocument/2006/relationships/hyperlink" Target="https://assets.vans.eu/images/VN000NWGCLH-HERO/1" TargetMode="External"/><Relationship Id="rId2374" Type="http://schemas.openxmlformats.org/officeDocument/2006/relationships/hyperlink" Target="https://assets.vans.eu/images/VN0A3W76BLK-HERO/1" TargetMode="External"/><Relationship Id="rId2581" Type="http://schemas.openxmlformats.org/officeDocument/2006/relationships/hyperlink" Target="https://assets.vans.eu/images/VN000D1J7D6-HERO/1" TargetMode="External"/><Relationship Id="rId3218" Type="http://schemas.openxmlformats.org/officeDocument/2006/relationships/hyperlink" Target="https://assets.vans.eu/images/VN000MKYBLK-HERO/1" TargetMode="External"/><Relationship Id="rId3425" Type="http://schemas.openxmlformats.org/officeDocument/2006/relationships/hyperlink" Target="https://assets.vans.eu/images/VN000PKEEN9-HERO/1" TargetMode="External"/><Relationship Id="rId3632" Type="http://schemas.openxmlformats.org/officeDocument/2006/relationships/hyperlink" Target="https://assets.vans.eu/images/VN0A3WCW4PV-HERO/1" TargetMode="External"/><Relationship Id="rId139" Type="http://schemas.openxmlformats.org/officeDocument/2006/relationships/hyperlink" Target="https://assets.vans.eu/images/VN000HZBYEH-HERO/1" TargetMode="External"/><Relationship Id="rId346" Type="http://schemas.openxmlformats.org/officeDocument/2006/relationships/hyperlink" Target="https://assets.vans.eu/images/VN000HJV7D6-HERO/1" TargetMode="External"/><Relationship Id="rId553" Type="http://schemas.openxmlformats.org/officeDocument/2006/relationships/hyperlink" Target="https://assets.vans.eu/images/VN000MMTBLK-HERO/1" TargetMode="External"/><Relationship Id="rId760" Type="http://schemas.openxmlformats.org/officeDocument/2006/relationships/hyperlink" Target="https://assets.vans.eu/images/VN000D4SCFL-HERO/1" TargetMode="External"/><Relationship Id="rId1183" Type="http://schemas.openxmlformats.org/officeDocument/2006/relationships/hyperlink" Target="https://assets.vans.eu/images/VN000PNKEMJ-HERO/1" TargetMode="External"/><Relationship Id="rId1390" Type="http://schemas.openxmlformats.org/officeDocument/2006/relationships/hyperlink" Target="https://assets.vans.eu/images/VN000PREEMW-HERO/1" TargetMode="External"/><Relationship Id="rId2027" Type="http://schemas.openxmlformats.org/officeDocument/2006/relationships/hyperlink" Target="https://assets.vans.eu/images/VN0A7PR496O-HERO/1" TargetMode="External"/><Relationship Id="rId2234" Type="http://schemas.openxmlformats.org/officeDocument/2006/relationships/hyperlink" Target="https://assets.vans.eu/images/VN000PGMEMU-HERO/1" TargetMode="External"/><Relationship Id="rId2441" Type="http://schemas.openxmlformats.org/officeDocument/2006/relationships/hyperlink" Target="https://assets.vans.eu/images/VN000CQ0BLK-HERO/1" TargetMode="External"/><Relationship Id="rId206" Type="http://schemas.openxmlformats.org/officeDocument/2006/relationships/hyperlink" Target="https://assets.vans.eu/images/VN000PF7YB2-HERO/1" TargetMode="External"/><Relationship Id="rId413" Type="http://schemas.openxmlformats.org/officeDocument/2006/relationships/hyperlink" Target="https://assets.vans.eu/images/VN000PAZBLK-HERO/1" TargetMode="External"/><Relationship Id="rId1043" Type="http://schemas.openxmlformats.org/officeDocument/2006/relationships/hyperlink" Target="https://assets.vans.eu/images/VN000RDFBLK-HERO/1" TargetMode="External"/><Relationship Id="rId4199" Type="http://schemas.openxmlformats.org/officeDocument/2006/relationships/hyperlink" Target="https://assets.vans.eu/images/VN000D29F89-HERO/1" TargetMode="External"/><Relationship Id="rId620" Type="http://schemas.openxmlformats.org/officeDocument/2006/relationships/hyperlink" Target="https://assets.vans.eu/images/VN000RG4BLK-HERO/1" TargetMode="External"/><Relationship Id="rId1250" Type="http://schemas.openxmlformats.org/officeDocument/2006/relationships/hyperlink" Target="https://assets.vans.eu/images/VN000D26PWT-HERO/1" TargetMode="External"/><Relationship Id="rId2301" Type="http://schemas.openxmlformats.org/officeDocument/2006/relationships/hyperlink" Target="https://assets.vans.eu/images/VN000PWXEMW-HERO/1" TargetMode="External"/><Relationship Id="rId4059" Type="http://schemas.openxmlformats.org/officeDocument/2006/relationships/hyperlink" Target="https://assets.vans.eu/images/VN000D1111E-HERO/1" TargetMode="External"/><Relationship Id="rId1110" Type="http://schemas.openxmlformats.org/officeDocument/2006/relationships/hyperlink" Target="https://assets.vans.eu/images/VN0A31J6BLK-HERO/1" TargetMode="External"/><Relationship Id="rId4266" Type="http://schemas.openxmlformats.org/officeDocument/2006/relationships/hyperlink" Target="https://assets.vans.eu/images/VN000D5DDUF-HERO/1" TargetMode="External"/><Relationship Id="rId4473" Type="http://schemas.openxmlformats.org/officeDocument/2006/relationships/hyperlink" Target="https://assets.vans.eu/images/VN000D9ACJ7-HERO/1" TargetMode="External"/><Relationship Id="rId4680" Type="http://schemas.openxmlformats.org/officeDocument/2006/relationships/hyperlink" Target="https://assets.vans.eu/images/VN000V68Y61-HERO/1" TargetMode="External"/><Relationship Id="rId1927" Type="http://schemas.openxmlformats.org/officeDocument/2006/relationships/hyperlink" Target="https://assets.vans.eu/images/VN000D6YEZI-HERO/1" TargetMode="External"/><Relationship Id="rId3075" Type="http://schemas.openxmlformats.org/officeDocument/2006/relationships/hyperlink" Target="https://assets.vans.eu/images/VN000JY412S-HERO/1" TargetMode="External"/><Relationship Id="rId3282" Type="http://schemas.openxmlformats.org/officeDocument/2006/relationships/hyperlink" Target="https://assets.vans.eu/images/VN000P56CHG-HERO/1" TargetMode="External"/><Relationship Id="rId4126" Type="http://schemas.openxmlformats.org/officeDocument/2006/relationships/hyperlink" Target="https://assets.vans.eu/images/VN000D1JOVM-HERO/1" TargetMode="External"/><Relationship Id="rId4333" Type="http://schemas.openxmlformats.org/officeDocument/2006/relationships/hyperlink" Target="https://assets.vans.eu/images/VN000D6FEME-HERO/1" TargetMode="External"/><Relationship Id="rId4540" Type="http://schemas.openxmlformats.org/officeDocument/2006/relationships/hyperlink" Target="https://assets.vans.eu/images/VN000DAMLM3-HERO/1" TargetMode="External"/><Relationship Id="rId2091" Type="http://schemas.openxmlformats.org/officeDocument/2006/relationships/hyperlink" Target="https://assets.vans.eu/images/VN000K98BLK-HERO/1" TargetMode="External"/><Relationship Id="rId3142" Type="http://schemas.openxmlformats.org/officeDocument/2006/relationships/hyperlink" Target="https://assets.vans.eu/images/VN000M6RWHT-HERO/1" TargetMode="External"/><Relationship Id="rId4400" Type="http://schemas.openxmlformats.org/officeDocument/2006/relationships/hyperlink" Target="https://assets.vans.eu/images/VN000D6YEZI-HERO/1" TargetMode="External"/><Relationship Id="rId270" Type="http://schemas.openxmlformats.org/officeDocument/2006/relationships/hyperlink" Target="https://assets.vans.eu/images/VN000HJV7D6-HERO/1" TargetMode="External"/><Relationship Id="rId3002" Type="http://schemas.openxmlformats.org/officeDocument/2006/relationships/hyperlink" Target="https://assets.vans.eu/images/VN000HMNBLK-HERO/1" TargetMode="External"/><Relationship Id="rId130" Type="http://schemas.openxmlformats.org/officeDocument/2006/relationships/hyperlink" Target="https://assets.vans.eu/images/VN000D1JPRP-HERO/1" TargetMode="External"/><Relationship Id="rId3959" Type="http://schemas.openxmlformats.org/officeDocument/2006/relationships/hyperlink" Target="https://assets.vans.eu/images/VN000CWEBH1-HERO/1" TargetMode="External"/><Relationship Id="rId2768" Type="http://schemas.openxmlformats.org/officeDocument/2006/relationships/hyperlink" Target="https://assets.vans.eu/images/VN000DCE2VZ-HERO/1" TargetMode="External"/><Relationship Id="rId2975" Type="http://schemas.openxmlformats.org/officeDocument/2006/relationships/hyperlink" Target="https://assets.vans.eu/images/VN000GFFWHT-HERO/1" TargetMode="External"/><Relationship Id="rId3819" Type="http://schemas.openxmlformats.org/officeDocument/2006/relationships/hyperlink" Target="https://assets.vans.eu/images/VN000CR5WGR-HERO/1" TargetMode="External"/><Relationship Id="rId5034" Type="http://schemas.openxmlformats.org/officeDocument/2006/relationships/hyperlink" Target="https://assets.vans.eu/images/VN0A2Z3H1OU-HERO/1" TargetMode="External"/><Relationship Id="rId947" Type="http://schemas.openxmlformats.org/officeDocument/2006/relationships/hyperlink" Target="https://assets.vans.eu/images/VN000D0SYLZ-HERO/1" TargetMode="External"/><Relationship Id="rId1577" Type="http://schemas.openxmlformats.org/officeDocument/2006/relationships/hyperlink" Target="https://assets.vans.eu/images/VN000GNDBLK-HERO/1" TargetMode="External"/><Relationship Id="rId1784" Type="http://schemas.openxmlformats.org/officeDocument/2006/relationships/hyperlink" Target="https://assets.vans.eu/images/VN000R4ZEMP-HERO/1" TargetMode="External"/><Relationship Id="rId1991" Type="http://schemas.openxmlformats.org/officeDocument/2006/relationships/hyperlink" Target="https://assets.vans.eu/images/VN0A347ZDDU-HERO/1" TargetMode="External"/><Relationship Id="rId2628" Type="http://schemas.openxmlformats.org/officeDocument/2006/relationships/hyperlink" Target="https://assets.vans.eu/images/VN000D5RBRG-HERO/1" TargetMode="External"/><Relationship Id="rId2835" Type="http://schemas.openxmlformats.org/officeDocument/2006/relationships/hyperlink" Target="https://assets.vans.eu/images/VN0A5FCAPIB-HERO/1" TargetMode="External"/><Relationship Id="rId4190" Type="http://schemas.openxmlformats.org/officeDocument/2006/relationships/hyperlink" Target="https://assets.vans.eu/images/VN000D26WGR-HERO/1" TargetMode="External"/><Relationship Id="rId76" Type="http://schemas.openxmlformats.org/officeDocument/2006/relationships/hyperlink" Target="https://assets.vans.eu/images/VN000D1JPRP-HERO/1" TargetMode="External"/><Relationship Id="rId807" Type="http://schemas.openxmlformats.org/officeDocument/2006/relationships/hyperlink" Target="https://assets.vans.eu/images/VN000PMFENB-HERO/1" TargetMode="External"/><Relationship Id="rId1437" Type="http://schemas.openxmlformats.org/officeDocument/2006/relationships/hyperlink" Target="https://assets.vans.eu/images/VN000Q9829B-HERO/1" TargetMode="External"/><Relationship Id="rId1644" Type="http://schemas.openxmlformats.org/officeDocument/2006/relationships/hyperlink" Target="https://assets.vans.eu/images/VN000KTBCI2-HERO/1" TargetMode="External"/><Relationship Id="rId1851" Type="http://schemas.openxmlformats.org/officeDocument/2006/relationships/hyperlink" Target="https://assets.vans.eu/images/VN000CYUE2T-HERO/1" TargetMode="External"/><Relationship Id="rId2902" Type="http://schemas.openxmlformats.org/officeDocument/2006/relationships/hyperlink" Target="https://assets.vans.eu/images/VN0A3H47PNO-HERO/1" TargetMode="External"/><Relationship Id="rId4050" Type="http://schemas.openxmlformats.org/officeDocument/2006/relationships/hyperlink" Target="https://assets.vans.eu/images/VN000D1011E-HERO/1" TargetMode="External"/><Relationship Id="rId1504" Type="http://schemas.openxmlformats.org/officeDocument/2006/relationships/hyperlink" Target="https://assets.vans.eu/images/VN000D4MKCZ-HERO/1" TargetMode="External"/><Relationship Id="rId1711" Type="http://schemas.openxmlformats.org/officeDocument/2006/relationships/hyperlink" Target="https://assets.vans.eu/images/VN000PDREMS-HERO/1" TargetMode="External"/><Relationship Id="rId4867" Type="http://schemas.openxmlformats.org/officeDocument/2006/relationships/hyperlink" Target="https://assets.vans.eu/images/VN0A5KQZYY4-HERO/1" TargetMode="External"/><Relationship Id="rId3469" Type="http://schemas.openxmlformats.org/officeDocument/2006/relationships/hyperlink" Target="https://assets.vans.eu/images/VN000PTHWHT-HERO/1" TargetMode="External"/><Relationship Id="rId3676" Type="http://schemas.openxmlformats.org/officeDocument/2006/relationships/hyperlink" Target="https://assets.vans.eu/images/VN0A7YK5BLK-HERO/1" TargetMode="External"/><Relationship Id="rId597" Type="http://schemas.openxmlformats.org/officeDocument/2006/relationships/hyperlink" Target="https://assets.vans.eu/images/VN000HZCBLK-HERO/1" TargetMode="External"/><Relationship Id="rId2278" Type="http://schemas.openxmlformats.org/officeDocument/2006/relationships/hyperlink" Target="https://assets.vans.eu/images/VN000PNGEMV-HERO/1" TargetMode="External"/><Relationship Id="rId2485" Type="http://schemas.openxmlformats.org/officeDocument/2006/relationships/hyperlink" Target="https://assets.vans.eu/images/VN000CVUBLK-HERO/1" TargetMode="External"/><Relationship Id="rId3329" Type="http://schemas.openxmlformats.org/officeDocument/2006/relationships/hyperlink" Target="https://assets.vans.eu/images/VN000P8VBLK-HERO/1" TargetMode="External"/><Relationship Id="rId3883" Type="http://schemas.openxmlformats.org/officeDocument/2006/relationships/hyperlink" Target="https://assets.vans.eu/images/VN000CVS1OJ-HERO/1" TargetMode="External"/><Relationship Id="rId4727" Type="http://schemas.openxmlformats.org/officeDocument/2006/relationships/hyperlink" Target="https://assets.vans.eu/images/VN0A4U1KBM7-HERO/1" TargetMode="External"/><Relationship Id="rId4934" Type="http://schemas.openxmlformats.org/officeDocument/2006/relationships/hyperlink" Target="https://assets.vans.eu/images/VN000D1G92A-HERO/1" TargetMode="External"/><Relationship Id="rId457" Type="http://schemas.openxmlformats.org/officeDocument/2006/relationships/hyperlink" Target="https://assets.vans.eu/images/VN000D8NBKA-HERO/1" TargetMode="External"/><Relationship Id="rId1087" Type="http://schemas.openxmlformats.org/officeDocument/2006/relationships/hyperlink" Target="https://assets.vans.eu/images/VN000EE1I6Y-HERO/1" TargetMode="External"/><Relationship Id="rId1294" Type="http://schemas.openxmlformats.org/officeDocument/2006/relationships/hyperlink" Target="https://assets.vans.eu/images/VN000QB3EMT-HERO/1" TargetMode="External"/><Relationship Id="rId2138" Type="http://schemas.openxmlformats.org/officeDocument/2006/relationships/hyperlink" Target="https://assets.vans.eu/images/VN000MAT7WM-HERO/1" TargetMode="External"/><Relationship Id="rId2692" Type="http://schemas.openxmlformats.org/officeDocument/2006/relationships/hyperlink" Target="https://assets.vans.eu/images/VN000D6ZORA-HERO/1" TargetMode="External"/><Relationship Id="rId3536" Type="http://schemas.openxmlformats.org/officeDocument/2006/relationships/hyperlink" Target="https://assets.vans.eu/images/VN000QJPWHT-HERO/1" TargetMode="External"/><Relationship Id="rId3743" Type="http://schemas.openxmlformats.org/officeDocument/2006/relationships/hyperlink" Target="https://assets.vans.eu/images/VN000BCELLC-HERO/1" TargetMode="External"/><Relationship Id="rId3950" Type="http://schemas.openxmlformats.org/officeDocument/2006/relationships/hyperlink" Target="https://assets.vans.eu/images/VN000CVVN1Z-HERO/1" TargetMode="External"/><Relationship Id="rId664" Type="http://schemas.openxmlformats.org/officeDocument/2006/relationships/hyperlink" Target="https://assets.vans.eu/images/VN000PX3BLK-HERO/1" TargetMode="External"/><Relationship Id="rId871" Type="http://schemas.openxmlformats.org/officeDocument/2006/relationships/hyperlink" Target="https://assets.vans.eu/images/VN000FYHBLH-HERO/1" TargetMode="External"/><Relationship Id="rId2345" Type="http://schemas.openxmlformats.org/officeDocument/2006/relationships/hyperlink" Target="https://assets.vans.eu/images/VN000RD1O32-HERO/1" TargetMode="External"/><Relationship Id="rId2552" Type="http://schemas.openxmlformats.org/officeDocument/2006/relationships/hyperlink" Target="https://assets.vans.eu/images/VN000D0MBZW-HERO/1" TargetMode="External"/><Relationship Id="rId3603" Type="http://schemas.openxmlformats.org/officeDocument/2006/relationships/hyperlink" Target="https://assets.vans.eu/images/VN000RM1AHU-HERO/1" TargetMode="External"/><Relationship Id="rId3810" Type="http://schemas.openxmlformats.org/officeDocument/2006/relationships/hyperlink" Target="https://assets.vans.eu/images/VN000CQRYLW-HERO/1" TargetMode="External"/><Relationship Id="rId317" Type="http://schemas.openxmlformats.org/officeDocument/2006/relationships/hyperlink" Target="https://assets.vans.eu/images/VN000CTGYLZ-HERO/1" TargetMode="External"/><Relationship Id="rId524" Type="http://schemas.openxmlformats.org/officeDocument/2006/relationships/hyperlink" Target="https://assets.vans.eu/images/VN0A3W76EMY-HERO/1" TargetMode="External"/><Relationship Id="rId731" Type="http://schemas.openxmlformats.org/officeDocument/2006/relationships/hyperlink" Target="https://assets.vans.eu/images/VN000R04EMF-HERO/1" TargetMode="External"/><Relationship Id="rId1154" Type="http://schemas.openxmlformats.org/officeDocument/2006/relationships/hyperlink" Target="https://assets.vans.eu/images/VN000P58CHG-HERO/1" TargetMode="External"/><Relationship Id="rId1361" Type="http://schemas.openxmlformats.org/officeDocument/2006/relationships/hyperlink" Target="https://assets.vans.eu/images/VN000P5WCFL-HERO/1" TargetMode="External"/><Relationship Id="rId2205" Type="http://schemas.openxmlformats.org/officeDocument/2006/relationships/hyperlink" Target="https://assets.vans.eu/images/VN000P8CJDU-HERO/1" TargetMode="External"/><Relationship Id="rId2412" Type="http://schemas.openxmlformats.org/officeDocument/2006/relationships/hyperlink" Target="https://assets.vans.eu/images/VN0007Q3DJR-HERO/1" TargetMode="External"/><Relationship Id="rId1014" Type="http://schemas.openxmlformats.org/officeDocument/2006/relationships/hyperlink" Target="https://assets.vans.eu/images/VN000P88BLK-HERO/1" TargetMode="External"/><Relationship Id="rId1221" Type="http://schemas.openxmlformats.org/officeDocument/2006/relationships/hyperlink" Target="https://assets.vans.eu/images/VN000CTGYLZ-HERO/1" TargetMode="External"/><Relationship Id="rId4377" Type="http://schemas.openxmlformats.org/officeDocument/2006/relationships/hyperlink" Target="https://assets.vans.eu/images/VN000D6WEMG-HERO/1" TargetMode="External"/><Relationship Id="rId4584" Type="http://schemas.openxmlformats.org/officeDocument/2006/relationships/hyperlink" Target="https://assets.vans.eu/images/VN000DB34VT-HERO/1" TargetMode="External"/><Relationship Id="rId4791" Type="http://schemas.openxmlformats.org/officeDocument/2006/relationships/hyperlink" Target="https://assets.vans.eu/images/VN0A5KY5BA2-HERO/1" TargetMode="External"/><Relationship Id="rId3186" Type="http://schemas.openxmlformats.org/officeDocument/2006/relationships/hyperlink" Target="https://assets.vans.eu/images/VN000MB31O7-HERO/1" TargetMode="External"/><Relationship Id="rId3393" Type="http://schemas.openxmlformats.org/officeDocument/2006/relationships/hyperlink" Target="https://assets.vans.eu/images/VN000PFBF2L-HERO/1" TargetMode="External"/><Relationship Id="rId4237" Type="http://schemas.openxmlformats.org/officeDocument/2006/relationships/hyperlink" Target="https://assets.vans.eu/images/VN000D45EMY-HERO/1" TargetMode="External"/><Relationship Id="rId4444" Type="http://schemas.openxmlformats.org/officeDocument/2006/relationships/hyperlink" Target="https://assets.vans.eu/images/VN000D7ZYJ7-HERO/1" TargetMode="External"/><Relationship Id="rId4651" Type="http://schemas.openxmlformats.org/officeDocument/2006/relationships/hyperlink" Target="https://assets.vans.eu/images/VN000EDNAH9-HERO/1" TargetMode="External"/><Relationship Id="rId3046" Type="http://schemas.openxmlformats.org/officeDocument/2006/relationships/hyperlink" Target="https://assets.vans.eu/images/VN000J5VBLK-HERO/1" TargetMode="External"/><Relationship Id="rId3253" Type="http://schemas.openxmlformats.org/officeDocument/2006/relationships/hyperlink" Target="https://assets.vans.eu/images/VN000P1PEMU-HERO/1" TargetMode="External"/><Relationship Id="rId3460" Type="http://schemas.openxmlformats.org/officeDocument/2006/relationships/hyperlink" Target="https://assets.vans.eu/images/VN000PR3BLK-HERO/1" TargetMode="External"/><Relationship Id="rId4304" Type="http://schemas.openxmlformats.org/officeDocument/2006/relationships/hyperlink" Target="https://assets.vans.eu/images/VN000D60JLN-HERO/1" TargetMode="External"/><Relationship Id="rId174" Type="http://schemas.openxmlformats.org/officeDocument/2006/relationships/hyperlink" Target="https://assets.vans.eu/images/VN0A5FCBB9M-HERO/1" TargetMode="External"/><Relationship Id="rId381" Type="http://schemas.openxmlformats.org/officeDocument/2006/relationships/hyperlink" Target="https://assets.vans.eu/images/VN000CQRYLZ-HERO/1" TargetMode="External"/><Relationship Id="rId2062" Type="http://schemas.openxmlformats.org/officeDocument/2006/relationships/hyperlink" Target="https://assets.vans.eu/images/VN000HNFD40-HERO/1" TargetMode="External"/><Relationship Id="rId3113" Type="http://schemas.openxmlformats.org/officeDocument/2006/relationships/hyperlink" Target="https://assets.vans.eu/images/VN000KYVBYS-HERO/1" TargetMode="External"/><Relationship Id="rId4511" Type="http://schemas.openxmlformats.org/officeDocument/2006/relationships/hyperlink" Target="https://assets.vans.eu/images/VN000DA1B5T-HERO/1" TargetMode="External"/><Relationship Id="rId241" Type="http://schemas.openxmlformats.org/officeDocument/2006/relationships/hyperlink" Target="https://assets.vans.eu/images/VN0007P9CL2-HERO/1" TargetMode="External"/><Relationship Id="rId3320" Type="http://schemas.openxmlformats.org/officeDocument/2006/relationships/hyperlink" Target="https://assets.vans.eu/images/VN000P86F0V-HERO/1" TargetMode="External"/><Relationship Id="rId5078" Type="http://schemas.openxmlformats.org/officeDocument/2006/relationships/hyperlink" Target="https://assets.vans.eu/images/VN0A5KQZYY4-HERO/1" TargetMode="External"/><Relationship Id="rId2879" Type="http://schemas.openxmlformats.org/officeDocument/2006/relationships/hyperlink" Target="https://assets.vans.eu/images/VN000HT2CUQ-HERO/1" TargetMode="External"/><Relationship Id="rId101" Type="http://schemas.openxmlformats.org/officeDocument/2006/relationships/hyperlink" Target="https://assets.vans.eu/images/VN000KRSJ0Z-HERO/1" TargetMode="External"/><Relationship Id="rId1688" Type="http://schemas.openxmlformats.org/officeDocument/2006/relationships/hyperlink" Target="https://assets.vans.eu/images/VN000P1PEMU-HERO/1" TargetMode="External"/><Relationship Id="rId1895" Type="http://schemas.openxmlformats.org/officeDocument/2006/relationships/hyperlink" Target="https://assets.vans.eu/images/VN000D4NDJR-HERO/1" TargetMode="External"/><Relationship Id="rId2739" Type="http://schemas.openxmlformats.org/officeDocument/2006/relationships/hyperlink" Target="https://assets.vans.eu/images/VN000DAQ02Y-HERO/1" TargetMode="External"/><Relationship Id="rId2946" Type="http://schemas.openxmlformats.org/officeDocument/2006/relationships/hyperlink" Target="https://assets.vans.eu/images/VN000G3WBLK-HERO/1" TargetMode="External"/><Relationship Id="rId4094" Type="http://schemas.openxmlformats.org/officeDocument/2006/relationships/hyperlink" Target="https://assets.vans.eu/images/VN000D1J4C6-HERO/1" TargetMode="External"/><Relationship Id="rId918" Type="http://schemas.openxmlformats.org/officeDocument/2006/relationships/hyperlink" Target="https://assets.vans.eu/images/VN000RBCEML-HERO/1" TargetMode="External"/><Relationship Id="rId1548" Type="http://schemas.openxmlformats.org/officeDocument/2006/relationships/hyperlink" Target="https://assets.vans.eu/images/VN000E89YG4-HERO/1" TargetMode="External"/><Relationship Id="rId1755" Type="http://schemas.openxmlformats.org/officeDocument/2006/relationships/hyperlink" Target="https://assets.vans.eu/images/VN000PX3EN6-HERO/1" TargetMode="External"/><Relationship Id="rId4161" Type="http://schemas.openxmlformats.org/officeDocument/2006/relationships/hyperlink" Target="https://assets.vans.eu/images/VN000D22EMU-HERO/1" TargetMode="External"/><Relationship Id="rId5005" Type="http://schemas.openxmlformats.org/officeDocument/2006/relationships/hyperlink" Target="https://assets.vans.eu/images/VN000EKUBKA-HERO/1" TargetMode="External"/><Relationship Id="rId1408" Type="http://schemas.openxmlformats.org/officeDocument/2006/relationships/hyperlink" Target="https://assets.vans.eu/images/VN000Q74EN6-HERO/1" TargetMode="External"/><Relationship Id="rId1962" Type="http://schemas.openxmlformats.org/officeDocument/2006/relationships/hyperlink" Target="https://assets.vans.eu/images/VN000E7UTC4-HERO/1" TargetMode="External"/><Relationship Id="rId2806" Type="http://schemas.openxmlformats.org/officeDocument/2006/relationships/hyperlink" Target="https://assets.vans.eu/images/VN000EDN9X1-HERO/1" TargetMode="External"/><Relationship Id="rId4021" Type="http://schemas.openxmlformats.org/officeDocument/2006/relationships/hyperlink" Target="https://assets.vans.eu/images/VN000D09M8I-HERO/1" TargetMode="External"/><Relationship Id="rId47" Type="http://schemas.openxmlformats.org/officeDocument/2006/relationships/hyperlink" Target="https://assets.vans.eu/images/VN000QBGBLK-HERO/1" TargetMode="External"/><Relationship Id="rId1615" Type="http://schemas.openxmlformats.org/officeDocument/2006/relationships/hyperlink" Target="https://assets.vans.eu/images/VN000GGGEAY-HERO/1" TargetMode="External"/><Relationship Id="rId1822" Type="http://schemas.openxmlformats.org/officeDocument/2006/relationships/hyperlink" Target="https://assets.vans.eu/images/VN000CRPKHK-HERO/1" TargetMode="External"/><Relationship Id="rId4978" Type="http://schemas.openxmlformats.org/officeDocument/2006/relationships/hyperlink" Target="https://assets.vans.eu/images/VN000D9ZRBG-HERO/1" TargetMode="External"/><Relationship Id="rId3787" Type="http://schemas.openxmlformats.org/officeDocument/2006/relationships/hyperlink" Target="https://assets.vans.eu/images/VN000CQ0EMY-HERO/1" TargetMode="External"/><Relationship Id="rId3994" Type="http://schemas.openxmlformats.org/officeDocument/2006/relationships/hyperlink" Target="https://assets.vans.eu/images/VN000CYUE2T-HERO/1" TargetMode="External"/><Relationship Id="rId4838" Type="http://schemas.openxmlformats.org/officeDocument/2006/relationships/hyperlink" Target="https://assets.vans.eu/images/VN0009UEBLK-HERO/1" TargetMode="External"/><Relationship Id="rId2389" Type="http://schemas.openxmlformats.org/officeDocument/2006/relationships/hyperlink" Target="https://assets.vans.eu/images/VN0A7U7KCHN-HERO/1" TargetMode="External"/><Relationship Id="rId2596" Type="http://schemas.openxmlformats.org/officeDocument/2006/relationships/hyperlink" Target="https://assets.vans.eu/images/VN000D26CJG-HERO/1" TargetMode="External"/><Relationship Id="rId3647" Type="http://schemas.openxmlformats.org/officeDocument/2006/relationships/hyperlink" Target="https://assets.vans.eu/images/VN0A4CYFBLK-HERO/1" TargetMode="External"/><Relationship Id="rId3854" Type="http://schemas.openxmlformats.org/officeDocument/2006/relationships/hyperlink" Target="https://assets.vans.eu/images/VN000CTGYLZ-HERO/1" TargetMode="External"/><Relationship Id="rId4905" Type="http://schemas.openxmlformats.org/officeDocument/2006/relationships/hyperlink" Target="https://assets.vans.eu/images/VN0A2Z3UCX6-HERO/1" TargetMode="External"/><Relationship Id="rId568" Type="http://schemas.openxmlformats.org/officeDocument/2006/relationships/hyperlink" Target="https://assets.vans.eu/images/VN000H4ZE2W-HERO/1" TargetMode="External"/><Relationship Id="rId775" Type="http://schemas.openxmlformats.org/officeDocument/2006/relationships/hyperlink" Target="https://assets.vans.eu/images/VN000HSMVVL-HERO/1" TargetMode="External"/><Relationship Id="rId982" Type="http://schemas.openxmlformats.org/officeDocument/2006/relationships/hyperlink" Target="https://assets.vans.eu/images/VN000ND7SLV-HERO/1" TargetMode="External"/><Relationship Id="rId1198" Type="http://schemas.openxmlformats.org/officeDocument/2006/relationships/hyperlink" Target="https://assets.vans.eu/images/VN000RD1O32-HERO/1" TargetMode="External"/><Relationship Id="rId2249" Type="http://schemas.openxmlformats.org/officeDocument/2006/relationships/hyperlink" Target="https://assets.vans.eu/images/VN000PJMZBF-HERO/1" TargetMode="External"/><Relationship Id="rId2456" Type="http://schemas.openxmlformats.org/officeDocument/2006/relationships/hyperlink" Target="https://assets.vans.eu/images/VN000CQFBL2-HERO/1" TargetMode="External"/><Relationship Id="rId2663" Type="http://schemas.openxmlformats.org/officeDocument/2006/relationships/hyperlink" Target="https://assets.vans.eu/images/VN000D6SCJA-HERO/1" TargetMode="External"/><Relationship Id="rId2870" Type="http://schemas.openxmlformats.org/officeDocument/2006/relationships/hyperlink" Target="https://assets.vans.eu/images/VN000GMX161-HERO/1" TargetMode="External"/><Relationship Id="rId3507" Type="http://schemas.openxmlformats.org/officeDocument/2006/relationships/hyperlink" Target="https://assets.vans.eu/images/VN000Q38BLK-HERO/1" TargetMode="External"/><Relationship Id="rId3714" Type="http://schemas.openxmlformats.org/officeDocument/2006/relationships/hyperlink" Target="https://assets.vans.eu/images/VN0009QCBKA-HERO/1" TargetMode="External"/><Relationship Id="rId3921" Type="http://schemas.openxmlformats.org/officeDocument/2006/relationships/hyperlink" Target="https://assets.vans.eu/images/VN000CVV7YO-HERO/1" TargetMode="External"/><Relationship Id="rId428" Type="http://schemas.openxmlformats.org/officeDocument/2006/relationships/hyperlink" Target="https://assets.vans.eu/images/VN000QAWBRD-HERO/1" TargetMode="External"/><Relationship Id="rId635" Type="http://schemas.openxmlformats.org/officeDocument/2006/relationships/hyperlink" Target="https://assets.vans.eu/images/VN000D7UGWT-HERO/1" TargetMode="External"/><Relationship Id="rId842" Type="http://schemas.openxmlformats.org/officeDocument/2006/relationships/hyperlink" Target="https://assets.vans.eu/images/VN000D10N1Z-HERO/1" TargetMode="External"/><Relationship Id="rId1058" Type="http://schemas.openxmlformats.org/officeDocument/2006/relationships/hyperlink" Target="https://assets.vans.eu/images/VN000CQRBO5-HERO/1" TargetMode="External"/><Relationship Id="rId1265" Type="http://schemas.openxmlformats.org/officeDocument/2006/relationships/hyperlink" Target="https://assets.vans.eu/images/VN000D75O3N-HERO/1" TargetMode="External"/><Relationship Id="rId1472" Type="http://schemas.openxmlformats.org/officeDocument/2006/relationships/hyperlink" Target="https://assets.vans.eu/images/VN000CWE9JC-HERO/1" TargetMode="External"/><Relationship Id="rId2109" Type="http://schemas.openxmlformats.org/officeDocument/2006/relationships/hyperlink" Target="https://assets.vans.eu/images/VN000M3AZBF-HERO/1" TargetMode="External"/><Relationship Id="rId2316" Type="http://schemas.openxmlformats.org/officeDocument/2006/relationships/hyperlink" Target="https://assets.vans.eu/images/VN000Q09GC6-HERO/1" TargetMode="External"/><Relationship Id="rId2523" Type="http://schemas.openxmlformats.org/officeDocument/2006/relationships/hyperlink" Target="https://assets.vans.eu/images/VN000CYUEN6-HERO/1" TargetMode="External"/><Relationship Id="rId2730" Type="http://schemas.openxmlformats.org/officeDocument/2006/relationships/hyperlink" Target="https://assets.vans.eu/images/VN000DAHRV2-HERO/1" TargetMode="External"/><Relationship Id="rId702" Type="http://schemas.openxmlformats.org/officeDocument/2006/relationships/hyperlink" Target="https://assets.vans.eu/images/VN000QAWBLK-HERO/1" TargetMode="External"/><Relationship Id="rId1125" Type="http://schemas.openxmlformats.org/officeDocument/2006/relationships/hyperlink" Target="https://assets.vans.eu/images/VN000JF5BLK-HERO/1" TargetMode="External"/><Relationship Id="rId1332" Type="http://schemas.openxmlformats.org/officeDocument/2006/relationships/hyperlink" Target="https://assets.vans.eu/images/VN000M6XEMW-HERO/1" TargetMode="External"/><Relationship Id="rId4488" Type="http://schemas.openxmlformats.org/officeDocument/2006/relationships/hyperlink" Target="https://assets.vans.eu/images/VN000D9YRV2-HERO/1" TargetMode="External"/><Relationship Id="rId4695" Type="http://schemas.openxmlformats.org/officeDocument/2006/relationships/hyperlink" Target="https://assets.vans.eu/images/VN0A2Z3I1CI-HERO/1" TargetMode="External"/><Relationship Id="rId3297" Type="http://schemas.openxmlformats.org/officeDocument/2006/relationships/hyperlink" Target="https://assets.vans.eu/images/VN000P5ABRD-HERO/1" TargetMode="External"/><Relationship Id="rId4348" Type="http://schemas.openxmlformats.org/officeDocument/2006/relationships/hyperlink" Target="https://assets.vans.eu/images/VN000D6NBGK-HERO/1" TargetMode="External"/><Relationship Id="rId3157" Type="http://schemas.openxmlformats.org/officeDocument/2006/relationships/hyperlink" Target="https://assets.vans.eu/images/VN000M8R1NU-HERO/1" TargetMode="External"/><Relationship Id="rId4555" Type="http://schemas.openxmlformats.org/officeDocument/2006/relationships/hyperlink" Target="https://assets.vans.eu/images/VN000DAQRPK-HERO/1" TargetMode="External"/><Relationship Id="rId4762" Type="http://schemas.openxmlformats.org/officeDocument/2006/relationships/hyperlink" Target="https://assets.vans.eu/images/VN0A5HZGGRY-HERO/1" TargetMode="External"/><Relationship Id="rId285" Type="http://schemas.openxmlformats.org/officeDocument/2006/relationships/hyperlink" Target="https://assets.vans.eu/images/VN00046QE2W-HERO/1" TargetMode="External"/><Relationship Id="rId3364" Type="http://schemas.openxmlformats.org/officeDocument/2006/relationships/hyperlink" Target="https://assets.vans.eu/images/VN000PCXFS8-HERO/1" TargetMode="External"/><Relationship Id="rId3571" Type="http://schemas.openxmlformats.org/officeDocument/2006/relationships/hyperlink" Target="https://assets.vans.eu/images/VN000RAR7D6-HERO/1" TargetMode="External"/><Relationship Id="rId4208" Type="http://schemas.openxmlformats.org/officeDocument/2006/relationships/hyperlink" Target="https://assets.vans.eu/images/VN000D2CBA2-HERO/1" TargetMode="External"/><Relationship Id="rId4415" Type="http://schemas.openxmlformats.org/officeDocument/2006/relationships/hyperlink" Target="https://assets.vans.eu/images/VN000D6ZEMY-HERO/1" TargetMode="External"/><Relationship Id="rId4622" Type="http://schemas.openxmlformats.org/officeDocument/2006/relationships/hyperlink" Target="https://assets.vans.eu/images/VN000E9RZ3R-HERO/1" TargetMode="External"/><Relationship Id="rId492" Type="http://schemas.openxmlformats.org/officeDocument/2006/relationships/hyperlink" Target="https://assets.vans.eu/images/VN000D0HBMV-HERO/1" TargetMode="External"/><Relationship Id="rId2173" Type="http://schemas.openxmlformats.org/officeDocument/2006/relationships/hyperlink" Target="https://assets.vans.eu/images/VN000P1PBR1-HERO/1" TargetMode="External"/><Relationship Id="rId2380" Type="http://schemas.openxmlformats.org/officeDocument/2006/relationships/hyperlink" Target="https://assets.vans.eu/images/VN0A54YJBLK-HERO/1" TargetMode="External"/><Relationship Id="rId3017" Type="http://schemas.openxmlformats.org/officeDocument/2006/relationships/hyperlink" Target="https://assets.vans.eu/images/VN000HP602F-HERO/1" TargetMode="External"/><Relationship Id="rId3224" Type="http://schemas.openxmlformats.org/officeDocument/2006/relationships/hyperlink" Target="https://assets.vans.eu/images/VN000MMD02F-HERO/1" TargetMode="External"/><Relationship Id="rId3431" Type="http://schemas.openxmlformats.org/officeDocument/2006/relationships/hyperlink" Target="https://assets.vans.eu/images/VN000PMAEMW-HERO/1" TargetMode="External"/><Relationship Id="rId145" Type="http://schemas.openxmlformats.org/officeDocument/2006/relationships/hyperlink" Target="https://assets.vans.eu/images/VN000HZBBLK-HERO/1" TargetMode="External"/><Relationship Id="rId352" Type="http://schemas.openxmlformats.org/officeDocument/2006/relationships/hyperlink" Target="https://assets.vans.eu/images/VN000PE7WHT-HERO/1" TargetMode="External"/><Relationship Id="rId2033" Type="http://schemas.openxmlformats.org/officeDocument/2006/relationships/hyperlink" Target="https://assets.vans.eu/images/VN0003P3YB2-HERO/1" TargetMode="External"/><Relationship Id="rId2240" Type="http://schemas.openxmlformats.org/officeDocument/2006/relationships/hyperlink" Target="https://assets.vans.eu/images/VN000PH8CDX-HERO/1" TargetMode="External"/><Relationship Id="rId212" Type="http://schemas.openxmlformats.org/officeDocument/2006/relationships/hyperlink" Target="https://assets.vans.eu/images/VN0A5FCBB9M-HERO/1" TargetMode="External"/><Relationship Id="rId1799" Type="http://schemas.openxmlformats.org/officeDocument/2006/relationships/hyperlink" Target="https://assets.vans.eu/images/VN000RG0EML-HERO/1" TargetMode="External"/><Relationship Id="rId2100" Type="http://schemas.openxmlformats.org/officeDocument/2006/relationships/hyperlink" Target="https://assets.vans.eu/images/VN000M10ZUJ-HERO/1" TargetMode="External"/><Relationship Id="rId5049" Type="http://schemas.openxmlformats.org/officeDocument/2006/relationships/hyperlink" Target="https://assets.vans.eu/images/VN0A2Z3TWTM-HERO/1" TargetMode="External"/><Relationship Id="rId4065" Type="http://schemas.openxmlformats.org/officeDocument/2006/relationships/hyperlink" Target="https://assets.vans.eu/images/VN000D1111E-HERO/1" TargetMode="External"/><Relationship Id="rId4272" Type="http://schemas.openxmlformats.org/officeDocument/2006/relationships/hyperlink" Target="https://assets.vans.eu/images/VN000D5PZCF-HERO/1" TargetMode="External"/><Relationship Id="rId1659" Type="http://schemas.openxmlformats.org/officeDocument/2006/relationships/hyperlink" Target="https://assets.vans.eu/images/VN000M9DZBF-HERO/1" TargetMode="External"/><Relationship Id="rId1866" Type="http://schemas.openxmlformats.org/officeDocument/2006/relationships/hyperlink" Target="https://assets.vans.eu/images/VN000D0MBZW-HERO/1" TargetMode="External"/><Relationship Id="rId2917" Type="http://schemas.openxmlformats.org/officeDocument/2006/relationships/hyperlink" Target="https://assets.vans.eu/images/VN00065PG5O-HERO/1" TargetMode="External"/><Relationship Id="rId3081" Type="http://schemas.openxmlformats.org/officeDocument/2006/relationships/hyperlink" Target="https://assets.vans.eu/images/VN000K04BLK-HERO/1" TargetMode="External"/><Relationship Id="rId4132" Type="http://schemas.openxmlformats.org/officeDocument/2006/relationships/hyperlink" Target="https://assets.vans.eu/images/VN000D1JV0N-HERO/1" TargetMode="External"/><Relationship Id="rId1519" Type="http://schemas.openxmlformats.org/officeDocument/2006/relationships/hyperlink" Target="https://assets.vans.eu/images/VN000D6ZO3N-HERO/1" TargetMode="External"/><Relationship Id="rId1726" Type="http://schemas.openxmlformats.org/officeDocument/2006/relationships/hyperlink" Target="https://assets.vans.eu/images/VN000PMHEB2-HERO/1" TargetMode="External"/><Relationship Id="rId1933" Type="http://schemas.openxmlformats.org/officeDocument/2006/relationships/hyperlink" Target="https://assets.vans.eu/images/VN000D750CK-HERO/1" TargetMode="External"/><Relationship Id="rId18" Type="http://schemas.openxmlformats.org/officeDocument/2006/relationships/hyperlink" Target="https://assets.vans.eu/images/VN000Y5WBLK-HERO/1" TargetMode="External"/><Relationship Id="rId3898" Type="http://schemas.openxmlformats.org/officeDocument/2006/relationships/hyperlink" Target="https://assets.vans.eu/images/VN000CVTTUP-HERO/1" TargetMode="External"/><Relationship Id="rId4949" Type="http://schemas.openxmlformats.org/officeDocument/2006/relationships/hyperlink" Target="https://assets.vans.eu/images/VN000D3JB7G-HERO/1" TargetMode="External"/><Relationship Id="rId3758" Type="http://schemas.openxmlformats.org/officeDocument/2006/relationships/hyperlink" Target="https://assets.vans.eu/images/VN000BVZ1NU-HERO/1" TargetMode="External"/><Relationship Id="rId3965" Type="http://schemas.openxmlformats.org/officeDocument/2006/relationships/hyperlink" Target="https://assets.vans.eu/images/VN000CWESQ7-HERO/1" TargetMode="External"/><Relationship Id="rId4809" Type="http://schemas.openxmlformats.org/officeDocument/2006/relationships/hyperlink" Target="https://assets.vans.eu/images/VN000CVVSR6-HERO/1" TargetMode="External"/><Relationship Id="rId679" Type="http://schemas.openxmlformats.org/officeDocument/2006/relationships/hyperlink" Target="https://assets.vans.eu/images/VN000CVTWHP-HERO/1" TargetMode="External"/><Relationship Id="rId886" Type="http://schemas.openxmlformats.org/officeDocument/2006/relationships/hyperlink" Target="https://assets.vans.eu/images/VN000P1PEML-HERO/1" TargetMode="External"/><Relationship Id="rId2567" Type="http://schemas.openxmlformats.org/officeDocument/2006/relationships/hyperlink" Target="https://assets.vans.eu/images/VN000D10N1Z-HERO/1" TargetMode="External"/><Relationship Id="rId2774" Type="http://schemas.openxmlformats.org/officeDocument/2006/relationships/hyperlink" Target="https://assets.vans.eu/images/VN000E89YG4-HERO/1" TargetMode="External"/><Relationship Id="rId3618" Type="http://schemas.openxmlformats.org/officeDocument/2006/relationships/hyperlink" Target="https://assets.vans.eu/images/VN0010J9BLK-HERO/1" TargetMode="External"/><Relationship Id="rId2" Type="http://schemas.openxmlformats.org/officeDocument/2006/relationships/hyperlink" Target="https://assets.vans.eu/images/VN0A7Y47Y28-HERO/1" TargetMode="External"/><Relationship Id="rId539" Type="http://schemas.openxmlformats.org/officeDocument/2006/relationships/hyperlink" Target="https://assets.vans.eu/images/VN000HTUM8I-HERO/1" TargetMode="External"/><Relationship Id="rId746" Type="http://schemas.openxmlformats.org/officeDocument/2006/relationships/hyperlink" Target="https://assets.vans.eu/images/VN000CTG7VF-HERO/1" TargetMode="External"/><Relationship Id="rId1169" Type="http://schemas.openxmlformats.org/officeDocument/2006/relationships/hyperlink" Target="https://assets.vans.eu/images/VN000PH6IYR-HERO/1" TargetMode="External"/><Relationship Id="rId1376" Type="http://schemas.openxmlformats.org/officeDocument/2006/relationships/hyperlink" Target="https://assets.vans.eu/images/VN000PJMZBF-HERO/1" TargetMode="External"/><Relationship Id="rId1583" Type="http://schemas.openxmlformats.org/officeDocument/2006/relationships/hyperlink" Target="https://assets.vans.eu/images/VN000KYE1NU-HERO/1" TargetMode="External"/><Relationship Id="rId2427" Type="http://schemas.openxmlformats.org/officeDocument/2006/relationships/hyperlink" Target="https://assets.vans.eu/images/VN000BVZ239-HERO/1" TargetMode="External"/><Relationship Id="rId2981" Type="http://schemas.openxmlformats.org/officeDocument/2006/relationships/hyperlink" Target="https://assets.vans.eu/images/VN000GVF0E0-HERO/1" TargetMode="External"/><Relationship Id="rId3825" Type="http://schemas.openxmlformats.org/officeDocument/2006/relationships/hyperlink" Target="https://assets.vans.eu/images/VN000CS00ZB-HERO/1" TargetMode="External"/><Relationship Id="rId5040" Type="http://schemas.openxmlformats.org/officeDocument/2006/relationships/hyperlink" Target="https://assets.vans.eu/images/VN0A2Z3IBYB-HERO/1" TargetMode="External"/><Relationship Id="rId953" Type="http://schemas.openxmlformats.org/officeDocument/2006/relationships/hyperlink" Target="https://assets.vans.eu/images/VN000D2VEMY-HERO/1" TargetMode="External"/><Relationship Id="rId1029" Type="http://schemas.openxmlformats.org/officeDocument/2006/relationships/hyperlink" Target="https://assets.vans.eu/images/VN000Q09GC6-HERO/1" TargetMode="External"/><Relationship Id="rId1236" Type="http://schemas.openxmlformats.org/officeDocument/2006/relationships/hyperlink" Target="https://assets.vans.eu/images/VN000CZ7BLA-HERO/1" TargetMode="External"/><Relationship Id="rId1790" Type="http://schemas.openxmlformats.org/officeDocument/2006/relationships/hyperlink" Target="https://assets.vans.eu/images/VN000R92EMF-HERO/1" TargetMode="External"/><Relationship Id="rId2634" Type="http://schemas.openxmlformats.org/officeDocument/2006/relationships/hyperlink" Target="https://assets.vans.eu/images/VN000D5VZRY-HERO/1" TargetMode="External"/><Relationship Id="rId2841" Type="http://schemas.openxmlformats.org/officeDocument/2006/relationships/hyperlink" Target="https://assets.vans.eu/images/VN0A5FCDGPE-HERO/1" TargetMode="External"/><Relationship Id="rId82" Type="http://schemas.openxmlformats.org/officeDocument/2006/relationships/hyperlink" Target="https://assets.vans.eu/images/VN000D26EWR-HERO/1" TargetMode="External"/><Relationship Id="rId606" Type="http://schemas.openxmlformats.org/officeDocument/2006/relationships/hyperlink" Target="https://assets.vans.eu/images/VN000P1PCLH-HERO/1" TargetMode="External"/><Relationship Id="rId813" Type="http://schemas.openxmlformats.org/officeDocument/2006/relationships/hyperlink" Target="https://assets.vans.eu/images/VN000Q30BLK-HERO/1" TargetMode="External"/><Relationship Id="rId1443" Type="http://schemas.openxmlformats.org/officeDocument/2006/relationships/hyperlink" Target="https://assets.vans.eu/images/VN000CQ04C3-HERO/1" TargetMode="External"/><Relationship Id="rId1650" Type="http://schemas.openxmlformats.org/officeDocument/2006/relationships/hyperlink" Target="https://assets.vans.eu/images/VN000M37ZBF-HERO/1" TargetMode="External"/><Relationship Id="rId2701" Type="http://schemas.openxmlformats.org/officeDocument/2006/relationships/hyperlink" Target="https://assets.vans.eu/images/VN000D7Z1NU-HERO/1" TargetMode="External"/><Relationship Id="rId4599" Type="http://schemas.openxmlformats.org/officeDocument/2006/relationships/hyperlink" Target="https://assets.vans.eu/images/VN000DCJGRN-HERO/1" TargetMode="External"/><Relationship Id="rId1303" Type="http://schemas.openxmlformats.org/officeDocument/2006/relationships/hyperlink" Target="https://assets.vans.eu/images/VN0A3HZJBLK-HERO/1" TargetMode="External"/><Relationship Id="rId1510" Type="http://schemas.openxmlformats.org/officeDocument/2006/relationships/hyperlink" Target="https://assets.vans.eu/images/VN000D5NWHT-HERO/1" TargetMode="External"/><Relationship Id="rId4459" Type="http://schemas.openxmlformats.org/officeDocument/2006/relationships/hyperlink" Target="https://assets.vans.eu/images/VN000D88BF0-HERO/1" TargetMode="External"/><Relationship Id="rId4666" Type="http://schemas.openxmlformats.org/officeDocument/2006/relationships/hyperlink" Target="https://assets.vans.eu/images/VN000EHWEME-HERO/1" TargetMode="External"/><Relationship Id="rId4873" Type="http://schemas.openxmlformats.org/officeDocument/2006/relationships/hyperlink" Target="https://assets.vans.eu/images/VN0009UFKOU-HERO/1" TargetMode="External"/><Relationship Id="rId3268" Type="http://schemas.openxmlformats.org/officeDocument/2006/relationships/hyperlink" Target="https://assets.vans.eu/images/VN000P50YB2-HERO/1" TargetMode="External"/><Relationship Id="rId3475" Type="http://schemas.openxmlformats.org/officeDocument/2006/relationships/hyperlink" Target="https://assets.vans.eu/images/VN000PWCF0G-HERO/1" TargetMode="External"/><Relationship Id="rId3682" Type="http://schemas.openxmlformats.org/officeDocument/2006/relationships/hyperlink" Target="https://assets.vans.eu/images/VN000H56CBO-HERO/1" TargetMode="External"/><Relationship Id="rId4319" Type="http://schemas.openxmlformats.org/officeDocument/2006/relationships/hyperlink" Target="https://assets.vans.eu/images/VN000D6FBF0-HERO/1" TargetMode="External"/><Relationship Id="rId4526" Type="http://schemas.openxmlformats.org/officeDocument/2006/relationships/hyperlink" Target="https://assets.vans.eu/images/VN000DAH7UG-HERO/1" TargetMode="External"/><Relationship Id="rId4733" Type="http://schemas.openxmlformats.org/officeDocument/2006/relationships/hyperlink" Target="https://assets.vans.eu/images/VN0A4UUK4W7-HERO/1" TargetMode="External"/><Relationship Id="rId4940" Type="http://schemas.openxmlformats.org/officeDocument/2006/relationships/hyperlink" Target="https://assets.vans.eu/images/VN000D1GK1O-HERO/1" TargetMode="External"/><Relationship Id="rId189" Type="http://schemas.openxmlformats.org/officeDocument/2006/relationships/hyperlink" Target="https://assets.vans.eu/images/VN000RG44QU-HERO/1" TargetMode="External"/><Relationship Id="rId396" Type="http://schemas.openxmlformats.org/officeDocument/2006/relationships/hyperlink" Target="https://assets.vans.eu/images/VN000PK1BLK-HERO/1" TargetMode="External"/><Relationship Id="rId2077" Type="http://schemas.openxmlformats.org/officeDocument/2006/relationships/hyperlink" Target="https://assets.vans.eu/images/VN000JCXWHT-HERO/1" TargetMode="External"/><Relationship Id="rId2284" Type="http://schemas.openxmlformats.org/officeDocument/2006/relationships/hyperlink" Target="https://assets.vans.eu/images/VN000PR2BLK-HERO/1" TargetMode="External"/><Relationship Id="rId2491" Type="http://schemas.openxmlformats.org/officeDocument/2006/relationships/hyperlink" Target="https://assets.vans.eu/images/VN000CVUBLU-HERO/1" TargetMode="External"/><Relationship Id="rId3128" Type="http://schemas.openxmlformats.org/officeDocument/2006/relationships/hyperlink" Target="https://assets.vans.eu/images/VN000M27CFL-HERO/1" TargetMode="External"/><Relationship Id="rId3335" Type="http://schemas.openxmlformats.org/officeDocument/2006/relationships/hyperlink" Target="https://assets.vans.eu/images/VN000PAABLK-HERO/1" TargetMode="External"/><Relationship Id="rId3542" Type="http://schemas.openxmlformats.org/officeDocument/2006/relationships/hyperlink" Target="https://assets.vans.eu/images/VN000R15EML-HERO/1" TargetMode="External"/><Relationship Id="rId256" Type="http://schemas.openxmlformats.org/officeDocument/2006/relationships/hyperlink" Target="https://assets.vans.eu/images/VN000E9F5TU-HERO/1" TargetMode="External"/><Relationship Id="rId463" Type="http://schemas.openxmlformats.org/officeDocument/2006/relationships/hyperlink" Target="https://assets.vans.eu/images/VN000EE1GYG-HERO/1" TargetMode="External"/><Relationship Id="rId670" Type="http://schemas.openxmlformats.org/officeDocument/2006/relationships/hyperlink" Target="https://assets.vans.eu/images/VN000RG0EMS-HERO/1" TargetMode="External"/><Relationship Id="rId1093" Type="http://schemas.openxmlformats.org/officeDocument/2006/relationships/hyperlink" Target="https://assets.vans.eu/images/VN0A4BVSBKA-HERO/1" TargetMode="External"/><Relationship Id="rId2144" Type="http://schemas.openxmlformats.org/officeDocument/2006/relationships/hyperlink" Target="https://assets.vans.eu/images/VN000MBHC9L-HERO/1" TargetMode="External"/><Relationship Id="rId2351" Type="http://schemas.openxmlformats.org/officeDocument/2006/relationships/hyperlink" Target="https://assets.vans.eu/images/VN000REFWHT-HERO/1" TargetMode="External"/><Relationship Id="rId3402" Type="http://schemas.openxmlformats.org/officeDocument/2006/relationships/hyperlink" Target="https://assets.vans.eu/images/VN000PH8CDX-HERO/1" TargetMode="External"/><Relationship Id="rId4800" Type="http://schemas.openxmlformats.org/officeDocument/2006/relationships/hyperlink" Target="https://assets.vans.eu/images/VN000PNH5TU-HERO/1" TargetMode="External"/><Relationship Id="rId116" Type="http://schemas.openxmlformats.org/officeDocument/2006/relationships/hyperlink" Target="https://assets.vans.eu/images/VN000RW9UUI-HERO/1" TargetMode="External"/><Relationship Id="rId323" Type="http://schemas.openxmlformats.org/officeDocument/2006/relationships/hyperlink" Target="https://assets.vans.eu/images/VN000R51WHT-HERO/1" TargetMode="External"/><Relationship Id="rId530" Type="http://schemas.openxmlformats.org/officeDocument/2006/relationships/hyperlink" Target="https://assets.vans.eu/images/VN000D0HKCZ-HERO/1" TargetMode="External"/><Relationship Id="rId1160" Type="http://schemas.openxmlformats.org/officeDocument/2006/relationships/hyperlink" Target="https://assets.vans.eu/images/VN000PBRWHT-HERO/1" TargetMode="External"/><Relationship Id="rId2004" Type="http://schemas.openxmlformats.org/officeDocument/2006/relationships/hyperlink" Target="https://assets.vans.eu/images/VN000FN8BED-HERO/1" TargetMode="External"/><Relationship Id="rId2211" Type="http://schemas.openxmlformats.org/officeDocument/2006/relationships/hyperlink" Target="https://assets.vans.eu/images/VN000PAZBLK-HERO/1" TargetMode="External"/><Relationship Id="rId4176" Type="http://schemas.openxmlformats.org/officeDocument/2006/relationships/hyperlink" Target="https://assets.vans.eu/images/VN000D26GWT-HERO/1" TargetMode="External"/><Relationship Id="rId1020" Type="http://schemas.openxmlformats.org/officeDocument/2006/relationships/hyperlink" Target="https://assets.vans.eu/images/VN000PHDEMF-HERO/1" TargetMode="External"/><Relationship Id="rId1977" Type="http://schemas.openxmlformats.org/officeDocument/2006/relationships/hyperlink" Target="https://assets.vans.eu/images/VN000EG59X1-HERO/1" TargetMode="External"/><Relationship Id="rId4383" Type="http://schemas.openxmlformats.org/officeDocument/2006/relationships/hyperlink" Target="https://assets.vans.eu/images/VN000D6WEMW-HERO/1" TargetMode="External"/><Relationship Id="rId4590" Type="http://schemas.openxmlformats.org/officeDocument/2006/relationships/hyperlink" Target="https://assets.vans.eu/images/VN000DCBYJ7-HERO/1" TargetMode="External"/><Relationship Id="rId1837" Type="http://schemas.openxmlformats.org/officeDocument/2006/relationships/hyperlink" Target="https://assets.vans.eu/images/VN000CTGY09-HERO/1" TargetMode="External"/><Relationship Id="rId3192" Type="http://schemas.openxmlformats.org/officeDocument/2006/relationships/hyperlink" Target="https://assets.vans.eu/images/VN000MBXFS8-HERO/1" TargetMode="External"/><Relationship Id="rId4036" Type="http://schemas.openxmlformats.org/officeDocument/2006/relationships/hyperlink" Target="https://assets.vans.eu/images/VN000D0MBZW-HERO/1" TargetMode="External"/><Relationship Id="rId4243" Type="http://schemas.openxmlformats.org/officeDocument/2006/relationships/hyperlink" Target="https://assets.vans.eu/images/VN000D4MKCZ-HERO/1" TargetMode="External"/><Relationship Id="rId4450" Type="http://schemas.openxmlformats.org/officeDocument/2006/relationships/hyperlink" Target="https://assets.vans.eu/images/VN000D831NU-HERO/1" TargetMode="External"/><Relationship Id="rId3052" Type="http://schemas.openxmlformats.org/officeDocument/2006/relationships/hyperlink" Target="https://assets.vans.eu/images/VN000JBN7WM-HERO/1" TargetMode="External"/><Relationship Id="rId4103" Type="http://schemas.openxmlformats.org/officeDocument/2006/relationships/hyperlink" Target="https://assets.vans.eu/images/VN000D1JBRO-HERO/1" TargetMode="External"/><Relationship Id="rId4310" Type="http://schemas.openxmlformats.org/officeDocument/2006/relationships/hyperlink" Target="https://assets.vans.eu/images/VN000D61BA2-HERO/1" TargetMode="External"/><Relationship Id="rId180" Type="http://schemas.openxmlformats.org/officeDocument/2006/relationships/hyperlink" Target="https://assets.vans.eu/images/VN000MEPJDU-HERO/1" TargetMode="External"/><Relationship Id="rId1904" Type="http://schemas.openxmlformats.org/officeDocument/2006/relationships/hyperlink" Target="https://assets.vans.eu/images/VN000D5PCJA-HERO/1" TargetMode="External"/><Relationship Id="rId3869" Type="http://schemas.openxmlformats.org/officeDocument/2006/relationships/hyperlink" Target="https://assets.vans.eu/images/VN000CUYY30-HERO/1" TargetMode="External"/><Relationship Id="rId997" Type="http://schemas.openxmlformats.org/officeDocument/2006/relationships/hyperlink" Target="https://assets.vans.eu/images/VN000M1KBLK-HERO/1" TargetMode="External"/><Relationship Id="rId2678" Type="http://schemas.openxmlformats.org/officeDocument/2006/relationships/hyperlink" Target="https://assets.vans.eu/images/VN000D6WEMW-HERO/1" TargetMode="External"/><Relationship Id="rId2885" Type="http://schemas.openxmlformats.org/officeDocument/2006/relationships/hyperlink" Target="https://assets.vans.eu/images/VN000LC0FZF-HERO/1" TargetMode="External"/><Relationship Id="rId3729" Type="http://schemas.openxmlformats.org/officeDocument/2006/relationships/hyperlink" Target="https://assets.vans.eu/images/VN0009RCBZW-HERO/1" TargetMode="External"/><Relationship Id="rId3936" Type="http://schemas.openxmlformats.org/officeDocument/2006/relationships/hyperlink" Target="https://assets.vans.eu/images/VN000CVVEMQ-HERO/1" TargetMode="External"/><Relationship Id="rId857" Type="http://schemas.openxmlformats.org/officeDocument/2006/relationships/hyperlink" Target="https://assets.vans.eu/images/VN000E9YLBR-HERO/1" TargetMode="External"/><Relationship Id="rId1487" Type="http://schemas.openxmlformats.org/officeDocument/2006/relationships/hyperlink" Target="https://assets.vans.eu/images/VN000D0SYJ7-HERO/1" TargetMode="External"/><Relationship Id="rId1694" Type="http://schemas.openxmlformats.org/officeDocument/2006/relationships/hyperlink" Target="https://assets.vans.eu/images/VN000P51O32-HERO/1" TargetMode="External"/><Relationship Id="rId2538" Type="http://schemas.openxmlformats.org/officeDocument/2006/relationships/hyperlink" Target="https://assets.vans.eu/images/VN000D0HEMY-HERO/1" TargetMode="External"/><Relationship Id="rId2745" Type="http://schemas.openxmlformats.org/officeDocument/2006/relationships/hyperlink" Target="https://assets.vans.eu/images/VN000DAQ91K-HERO/1" TargetMode="External"/><Relationship Id="rId2952" Type="http://schemas.openxmlformats.org/officeDocument/2006/relationships/hyperlink" Target="https://assets.vans.eu/images/VN000G6MBDX-HERO/1" TargetMode="External"/><Relationship Id="rId717" Type="http://schemas.openxmlformats.org/officeDocument/2006/relationships/hyperlink" Target="https://assets.vans.eu/images/VN000P5WCFL-HERO/1" TargetMode="External"/><Relationship Id="rId924" Type="http://schemas.openxmlformats.org/officeDocument/2006/relationships/hyperlink" Target="https://assets.vans.eu/images/VN0A3W76EMY-HERO/1" TargetMode="External"/><Relationship Id="rId1347" Type="http://schemas.openxmlformats.org/officeDocument/2006/relationships/hyperlink" Target="https://assets.vans.eu/images/VN000MK6C9L-HERO/1" TargetMode="External"/><Relationship Id="rId1554" Type="http://schemas.openxmlformats.org/officeDocument/2006/relationships/hyperlink" Target="https://assets.vans.eu/images/VN000KI5186-HERO/1" TargetMode="External"/><Relationship Id="rId1761" Type="http://schemas.openxmlformats.org/officeDocument/2006/relationships/hyperlink" Target="https://assets.vans.eu/images/VN000PXMCDX-HERO/1" TargetMode="External"/><Relationship Id="rId2605" Type="http://schemas.openxmlformats.org/officeDocument/2006/relationships/hyperlink" Target="https://assets.vans.eu/images/VN000D3QEMP-HERO/1" TargetMode="External"/><Relationship Id="rId2812" Type="http://schemas.openxmlformats.org/officeDocument/2006/relationships/hyperlink" Target="https://assets.vans.eu/images/VN000EG59X1-HERO/1" TargetMode="External"/><Relationship Id="rId5011" Type="http://schemas.openxmlformats.org/officeDocument/2006/relationships/hyperlink" Target="https://assets.vans.eu/images/VN0A2Z32Y45-HERO/1" TargetMode="External"/><Relationship Id="rId53" Type="http://schemas.openxmlformats.org/officeDocument/2006/relationships/hyperlink" Target="https://assets.vans.eu/images/VN000QB8BLK-HERO/1" TargetMode="External"/><Relationship Id="rId1207" Type="http://schemas.openxmlformats.org/officeDocument/2006/relationships/hyperlink" Target="https://assets.vans.eu/images/VN0007Q3BGK-HERO/1" TargetMode="External"/><Relationship Id="rId1414" Type="http://schemas.openxmlformats.org/officeDocument/2006/relationships/hyperlink" Target="https://assets.vans.eu/images/VN000RAPFS8-HERO/1" TargetMode="External"/><Relationship Id="rId1621" Type="http://schemas.openxmlformats.org/officeDocument/2006/relationships/hyperlink" Target="https://assets.vans.eu/images/VN000HHEC9J-HERO/1" TargetMode="External"/><Relationship Id="rId4777" Type="http://schemas.openxmlformats.org/officeDocument/2006/relationships/hyperlink" Target="https://assets.vans.eu/images/VN0A5JICNUT-HERO/1" TargetMode="External"/><Relationship Id="rId4984" Type="http://schemas.openxmlformats.org/officeDocument/2006/relationships/hyperlink" Target="https://assets.vans.eu/images/VN000D9ZRBG-HERO/1" TargetMode="External"/><Relationship Id="rId3379" Type="http://schemas.openxmlformats.org/officeDocument/2006/relationships/hyperlink" Target="https://assets.vans.eu/images/VN000PE7BLK-HERO/1" TargetMode="External"/><Relationship Id="rId3586" Type="http://schemas.openxmlformats.org/officeDocument/2006/relationships/hyperlink" Target="https://assets.vans.eu/images/VN000RD4EN9-HERO/1" TargetMode="External"/><Relationship Id="rId3793" Type="http://schemas.openxmlformats.org/officeDocument/2006/relationships/hyperlink" Target="https://assets.vans.eu/images/VN000CQ0O33-HERO/1" TargetMode="External"/><Relationship Id="rId4637" Type="http://schemas.openxmlformats.org/officeDocument/2006/relationships/hyperlink" Target="https://assets.vans.eu/images/VN000EBAQPT-HERO/1" TargetMode="External"/><Relationship Id="rId2188" Type="http://schemas.openxmlformats.org/officeDocument/2006/relationships/hyperlink" Target="https://assets.vans.eu/images/VN000P51Y28-HERO/1" TargetMode="External"/><Relationship Id="rId2395" Type="http://schemas.openxmlformats.org/officeDocument/2006/relationships/hyperlink" Target="https://assets.vans.eu/images/VN000HDDE2W-HERO/1" TargetMode="External"/><Relationship Id="rId3239" Type="http://schemas.openxmlformats.org/officeDocument/2006/relationships/hyperlink" Target="https://assets.vans.eu/images/VN000NWN1O7-HERO/1" TargetMode="External"/><Relationship Id="rId3446" Type="http://schemas.openxmlformats.org/officeDocument/2006/relationships/hyperlink" Target="https://assets.vans.eu/images/VN000PNGEMV-HERO/1" TargetMode="External"/><Relationship Id="rId4844" Type="http://schemas.openxmlformats.org/officeDocument/2006/relationships/hyperlink" Target="https://assets.vans.eu/images/VN000EEBBO5-HERO/1" TargetMode="External"/><Relationship Id="rId367" Type="http://schemas.openxmlformats.org/officeDocument/2006/relationships/hyperlink" Target="https://assets.vans.eu/images/VN000M77Y7U-HERO/1" TargetMode="External"/><Relationship Id="rId574" Type="http://schemas.openxmlformats.org/officeDocument/2006/relationships/hyperlink" Target="https://assets.vans.eu/images/VN000D1HWWW-HERO/1" TargetMode="External"/><Relationship Id="rId2048" Type="http://schemas.openxmlformats.org/officeDocument/2006/relationships/hyperlink" Target="https://assets.vans.eu/images/VN000GA0D3Z-HERO/1" TargetMode="External"/><Relationship Id="rId2255" Type="http://schemas.openxmlformats.org/officeDocument/2006/relationships/hyperlink" Target="https://assets.vans.eu/images/VN000PJTC9F-HERO/1" TargetMode="External"/><Relationship Id="rId3653" Type="http://schemas.openxmlformats.org/officeDocument/2006/relationships/hyperlink" Target="https://assets.vans.eu/images/VN0A4R97BLK-HERO/1" TargetMode="External"/><Relationship Id="rId3860" Type="http://schemas.openxmlformats.org/officeDocument/2006/relationships/hyperlink" Target="https://assets.vans.eu/images/VN000CTMYY2-HERO/1" TargetMode="External"/><Relationship Id="rId4704" Type="http://schemas.openxmlformats.org/officeDocument/2006/relationships/hyperlink" Target="https://assets.vans.eu/images/VN0A38G19G5-HERO/1" TargetMode="External"/><Relationship Id="rId4911" Type="http://schemas.openxmlformats.org/officeDocument/2006/relationships/hyperlink" Target="https://assets.vans.eu/images/VN000J9NCHG-HERO/1" TargetMode="External"/><Relationship Id="rId227" Type="http://schemas.openxmlformats.org/officeDocument/2006/relationships/hyperlink" Target="https://assets.vans.eu/images/VN000HZBBLK-HERO/1" TargetMode="External"/><Relationship Id="rId781" Type="http://schemas.openxmlformats.org/officeDocument/2006/relationships/hyperlink" Target="https://assets.vans.eu/images/VN0A31J6DRB-HERO/1" TargetMode="External"/><Relationship Id="rId2462" Type="http://schemas.openxmlformats.org/officeDocument/2006/relationships/hyperlink" Target="https://assets.vans.eu/images/VN000CS0BRO-HERO/1" TargetMode="External"/><Relationship Id="rId3306" Type="http://schemas.openxmlformats.org/officeDocument/2006/relationships/hyperlink" Target="https://assets.vans.eu/images/VN000P5S14A-HERO/1" TargetMode="External"/><Relationship Id="rId3513" Type="http://schemas.openxmlformats.org/officeDocument/2006/relationships/hyperlink" Target="https://assets.vans.eu/images/VN000Q43JDU-HERO/1" TargetMode="External"/><Relationship Id="rId3720" Type="http://schemas.openxmlformats.org/officeDocument/2006/relationships/hyperlink" Target="https://assets.vans.eu/images/VN0009QDPNK-HERO/1" TargetMode="External"/><Relationship Id="rId434" Type="http://schemas.openxmlformats.org/officeDocument/2006/relationships/hyperlink" Target="https://assets.vans.eu/images/VN000HZCBLK-HERO/1" TargetMode="External"/><Relationship Id="rId641" Type="http://schemas.openxmlformats.org/officeDocument/2006/relationships/hyperlink" Target="https://assets.vans.eu/images/VN0A5FCB1N6-HERO/1" TargetMode="External"/><Relationship Id="rId1064" Type="http://schemas.openxmlformats.org/officeDocument/2006/relationships/hyperlink" Target="https://assets.vans.eu/images/VN000CWDCRM-HERO/1" TargetMode="External"/><Relationship Id="rId1271" Type="http://schemas.openxmlformats.org/officeDocument/2006/relationships/hyperlink" Target="https://assets.vans.eu/images/VN000D9YTUP-HERO/1" TargetMode="External"/><Relationship Id="rId2115" Type="http://schemas.openxmlformats.org/officeDocument/2006/relationships/hyperlink" Target="https://assets.vans.eu/images/VN000M8EBL2-HERO/1" TargetMode="External"/><Relationship Id="rId2322" Type="http://schemas.openxmlformats.org/officeDocument/2006/relationships/hyperlink" Target="https://assets.vans.eu/images/VN000Q7429B-HERO/1" TargetMode="External"/><Relationship Id="rId501" Type="http://schemas.openxmlformats.org/officeDocument/2006/relationships/hyperlink" Target="https://assets.vans.eu/images/VN000E8WG58-HERO/1" TargetMode="External"/><Relationship Id="rId1131" Type="http://schemas.openxmlformats.org/officeDocument/2006/relationships/hyperlink" Target="https://assets.vans.eu/images/VN000M330E0-HERO/1" TargetMode="External"/><Relationship Id="rId4287" Type="http://schemas.openxmlformats.org/officeDocument/2006/relationships/hyperlink" Target="https://assets.vans.eu/images/VN000D5VBH7-HERO/1" TargetMode="External"/><Relationship Id="rId4494" Type="http://schemas.openxmlformats.org/officeDocument/2006/relationships/hyperlink" Target="https://assets.vans.eu/images/VN000D9YYY0-HERO/1" TargetMode="External"/><Relationship Id="rId3096" Type="http://schemas.openxmlformats.org/officeDocument/2006/relationships/hyperlink" Target="https://assets.vans.eu/images/VN000KHN7VJ-HERO/1" TargetMode="External"/><Relationship Id="rId4147" Type="http://schemas.openxmlformats.org/officeDocument/2006/relationships/hyperlink" Target="https://assets.vans.eu/images/VN000D22B9P-HERO/1" TargetMode="External"/><Relationship Id="rId4354" Type="http://schemas.openxmlformats.org/officeDocument/2006/relationships/hyperlink" Target="https://assets.vans.eu/images/VN000D6NFTY-HERO/1" TargetMode="External"/><Relationship Id="rId4561" Type="http://schemas.openxmlformats.org/officeDocument/2006/relationships/hyperlink" Target="https://assets.vans.eu/images/VN000DAQY49-HERO/1" TargetMode="External"/><Relationship Id="rId1948" Type="http://schemas.openxmlformats.org/officeDocument/2006/relationships/hyperlink" Target="https://assets.vans.eu/images/VN000DA4D7U-HERO/1" TargetMode="External"/><Relationship Id="rId3163" Type="http://schemas.openxmlformats.org/officeDocument/2006/relationships/hyperlink" Target="https://assets.vans.eu/images/VN000M9HBLK-HERO/1" TargetMode="External"/><Relationship Id="rId3370" Type="http://schemas.openxmlformats.org/officeDocument/2006/relationships/hyperlink" Target="https://assets.vans.eu/images/VN000PDABLK-HERO/1" TargetMode="External"/><Relationship Id="rId4007" Type="http://schemas.openxmlformats.org/officeDocument/2006/relationships/hyperlink" Target="https://assets.vans.eu/images/VN000CZ7RV2-HERO/1" TargetMode="External"/><Relationship Id="rId4214" Type="http://schemas.openxmlformats.org/officeDocument/2006/relationships/hyperlink" Target="https://assets.vans.eu/images/VN000D2VBLA-HERO/1" TargetMode="External"/><Relationship Id="rId4421" Type="http://schemas.openxmlformats.org/officeDocument/2006/relationships/hyperlink" Target="https://assets.vans.eu/images/VN000D6ZZ5D-HERO/1" TargetMode="External"/><Relationship Id="rId291" Type="http://schemas.openxmlformats.org/officeDocument/2006/relationships/hyperlink" Target="https://assets.vans.eu/images/VN000MBCWHT-HERO/1" TargetMode="External"/><Relationship Id="rId1808" Type="http://schemas.openxmlformats.org/officeDocument/2006/relationships/hyperlink" Target="https://assets.vans.eu/images/VN000H4ZZX7-HERO/1" TargetMode="External"/><Relationship Id="rId3023" Type="http://schemas.openxmlformats.org/officeDocument/2006/relationships/hyperlink" Target="https://assets.vans.eu/images/VN000HQC7W6-HERO/1" TargetMode="External"/><Relationship Id="rId151" Type="http://schemas.openxmlformats.org/officeDocument/2006/relationships/hyperlink" Target="https://assets.vans.eu/images/VN0A5JM21CI-HERO/1" TargetMode="External"/><Relationship Id="rId3230" Type="http://schemas.openxmlformats.org/officeDocument/2006/relationships/hyperlink" Target="https://assets.vans.eu/images/VN000NDPD45-HERO/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080"/>
  <sheetViews>
    <sheetView showGridLines="0" tabSelected="1" workbookViewId="0">
      <selection activeCell="AJ7" sqref="AJ7"/>
    </sheetView>
  </sheetViews>
  <sheetFormatPr defaultColWidth="8.85546875" defaultRowHeight="14.45" customHeight="1" x14ac:dyDescent="0.2"/>
  <cols>
    <col min="1" max="1" width="36.42578125" style="1" customWidth="1"/>
    <col min="2" max="2" width="20.85546875" style="1" customWidth="1"/>
    <col min="3" max="3" width="29.5703125" style="1" customWidth="1"/>
    <col min="4" max="4" width="31.5703125" style="1" customWidth="1"/>
    <col min="5" max="5" width="23.85546875" style="1" customWidth="1"/>
    <col min="6" max="6" width="50.140625" style="1" customWidth="1"/>
    <col min="7" max="7" width="28.42578125" style="1" customWidth="1"/>
    <col min="8" max="8" width="28.85546875" style="1" customWidth="1"/>
    <col min="9" max="9" width="33.140625" style="1" customWidth="1"/>
    <col min="10" max="10" width="42.140625" style="1" customWidth="1"/>
    <col min="11" max="11" width="19" style="1" customWidth="1"/>
    <col min="12" max="12" width="31.42578125" style="1" customWidth="1"/>
    <col min="13" max="13" width="31.140625" style="1" customWidth="1"/>
    <col min="14" max="14" width="34.5703125" style="1" customWidth="1"/>
    <col min="15" max="15" width="66.5703125" style="1" customWidth="1"/>
    <col min="16" max="16" width="24" style="1" customWidth="1"/>
    <col min="17" max="17" width="35" style="1" customWidth="1"/>
    <col min="18" max="18" width="31.5703125" style="1" customWidth="1"/>
    <col min="19" max="19" width="40.140625" style="1" customWidth="1"/>
    <col min="20" max="20" width="32.42578125" style="1" customWidth="1"/>
    <col min="21" max="27" width="14.85546875" style="1" customWidth="1"/>
    <col min="28" max="28" width="27.42578125" style="1" customWidth="1"/>
    <col min="29" max="30" width="14.85546875" style="1" customWidth="1"/>
    <col min="31" max="32" width="15.85546875" style="1" customWidth="1"/>
    <col min="33" max="33" width="24.85546875" style="1" customWidth="1"/>
    <col min="34" max="34" width="8.85546875" style="1" customWidth="1"/>
    <col min="35" max="16384" width="8.85546875" style="1"/>
  </cols>
  <sheetData>
    <row r="1" spans="1:33" ht="16.5" customHeight="1" x14ac:dyDescent="0.2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4">
        <f>AD1/AG1</f>
        <v>27.349461573491144</v>
      </c>
      <c r="AD1" s="4">
        <f>SUM(AD3:AD5080)</f>
        <v>1020982.7499999979</v>
      </c>
      <c r="AE1" s="4">
        <f>AF1/AG1</f>
        <v>60.056628539283707</v>
      </c>
      <c r="AF1" s="4">
        <f>SUM(AF3:AF5080)</f>
        <v>2241974</v>
      </c>
      <c r="AG1" s="5">
        <f>SUM(AG3:AG5080)</f>
        <v>37331</v>
      </c>
    </row>
    <row r="2" spans="1:33" ht="65.650000000000006" customHeight="1" x14ac:dyDescent="0.25">
      <c r="A2" s="6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6" t="s">
        <v>5</v>
      </c>
      <c r="G2" s="7" t="s">
        <v>6</v>
      </c>
      <c r="H2" s="7" t="s">
        <v>7</v>
      </c>
      <c r="I2" s="7" t="s">
        <v>8</v>
      </c>
      <c r="J2" s="7" t="s">
        <v>9</v>
      </c>
      <c r="K2" s="7" t="s">
        <v>10</v>
      </c>
      <c r="L2" s="7" t="s">
        <v>11</v>
      </c>
      <c r="M2" s="7" t="s">
        <v>12</v>
      </c>
      <c r="N2" s="7" t="s">
        <v>13</v>
      </c>
      <c r="O2" s="7" t="s">
        <v>14</v>
      </c>
      <c r="P2" s="7" t="s">
        <v>15</v>
      </c>
      <c r="Q2" s="7" t="s">
        <v>16</v>
      </c>
      <c r="R2" s="7" t="s">
        <v>17</v>
      </c>
      <c r="S2" s="7" t="s">
        <v>18</v>
      </c>
      <c r="T2" s="7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9" t="s">
        <v>28</v>
      </c>
      <c r="AD2" s="9" t="s">
        <v>29</v>
      </c>
      <c r="AE2" s="9" t="s">
        <v>30</v>
      </c>
      <c r="AF2" s="9" t="s">
        <v>31</v>
      </c>
      <c r="AG2" s="10" t="s">
        <v>32</v>
      </c>
    </row>
    <row r="3" spans="1:33" ht="15" customHeight="1" x14ac:dyDescent="0.2">
      <c r="A3" s="11" t="str">
        <f t="shared" ref="A3:A4707" si="0">HYPERLINK("https://assets.vans.eu/images/VN0A38HBPQZ-HERO/1","VN0A38HBPQZ1")</f>
        <v>VN0A38HBPQZ1</v>
      </c>
      <c r="B3" s="12" t="s">
        <v>33</v>
      </c>
      <c r="C3" s="12" t="s">
        <v>34</v>
      </c>
      <c r="D3" s="12" t="s">
        <v>35</v>
      </c>
      <c r="E3" s="12" t="s">
        <v>36</v>
      </c>
      <c r="F3" s="13">
        <v>35</v>
      </c>
      <c r="G3" s="12" t="s">
        <v>37</v>
      </c>
      <c r="H3" s="12" t="s">
        <v>38</v>
      </c>
      <c r="I3" s="12" t="s">
        <v>39</v>
      </c>
      <c r="J3" s="12" t="s">
        <v>40</v>
      </c>
      <c r="K3" s="12" t="s">
        <v>41</v>
      </c>
      <c r="L3" s="12" t="s">
        <v>42</v>
      </c>
      <c r="M3" s="12" t="s">
        <v>43</v>
      </c>
      <c r="N3" s="12" t="s">
        <v>44</v>
      </c>
      <c r="O3" s="12" t="s">
        <v>45</v>
      </c>
      <c r="P3" s="12" t="s">
        <v>46</v>
      </c>
      <c r="Q3" s="12" t="s">
        <v>47</v>
      </c>
      <c r="R3" s="12" t="s">
        <v>48</v>
      </c>
      <c r="S3" s="13">
        <v>191475425013</v>
      </c>
      <c r="T3" s="12" t="s">
        <v>49</v>
      </c>
      <c r="U3" s="13">
        <v>34.5</v>
      </c>
      <c r="V3" s="12" t="s">
        <v>50</v>
      </c>
      <c r="W3" s="12" t="s">
        <v>51</v>
      </c>
      <c r="X3" s="12" t="s">
        <v>52</v>
      </c>
      <c r="Y3" s="12" t="s">
        <v>53</v>
      </c>
      <c r="Z3" s="12" t="s">
        <v>54</v>
      </c>
      <c r="AA3" s="14"/>
      <c r="AB3" s="12" t="s">
        <v>55</v>
      </c>
      <c r="AC3" s="15">
        <v>27.3</v>
      </c>
      <c r="AD3" s="15">
        <f>AC3*AG3</f>
        <v>42615.3</v>
      </c>
      <c r="AE3" s="15">
        <v>60</v>
      </c>
      <c r="AF3" s="15">
        <f>AE3*AG3</f>
        <v>93660</v>
      </c>
      <c r="AG3" s="16">
        <v>1561</v>
      </c>
    </row>
    <row r="4" spans="1:33" ht="15" customHeight="1" x14ac:dyDescent="0.2">
      <c r="A4" s="11" t="str">
        <f>HYPERLINK("https://assets.vans.eu/images/VN0A7Y47Y28-HERO/1","VN0A7Y47Y281")</f>
        <v>VN0A7Y47Y281</v>
      </c>
      <c r="B4" s="12" t="s">
        <v>56</v>
      </c>
      <c r="C4" s="12" t="s">
        <v>57</v>
      </c>
      <c r="D4" s="12" t="s">
        <v>58</v>
      </c>
      <c r="E4" s="12" t="s">
        <v>59</v>
      </c>
      <c r="F4" s="12" t="s">
        <v>60</v>
      </c>
      <c r="G4" s="14"/>
      <c r="H4" s="12" t="s">
        <v>61</v>
      </c>
      <c r="I4" s="12" t="s">
        <v>62</v>
      </c>
      <c r="J4" s="12" t="s">
        <v>63</v>
      </c>
      <c r="K4" s="12" t="s">
        <v>64</v>
      </c>
      <c r="L4" s="14"/>
      <c r="M4" s="12" t="s">
        <v>43</v>
      </c>
      <c r="N4" s="12" t="s">
        <v>44</v>
      </c>
      <c r="O4" s="12" t="s">
        <v>65</v>
      </c>
      <c r="P4" s="12" t="s">
        <v>66</v>
      </c>
      <c r="Q4" s="12" t="s">
        <v>67</v>
      </c>
      <c r="R4" s="12" t="s">
        <v>68</v>
      </c>
      <c r="S4" s="13">
        <v>196244424174</v>
      </c>
      <c r="T4" s="12" t="s">
        <v>69</v>
      </c>
      <c r="U4" s="12" t="s">
        <v>60</v>
      </c>
      <c r="V4" s="12" t="s">
        <v>70</v>
      </c>
      <c r="W4" s="12" t="s">
        <v>51</v>
      </c>
      <c r="X4" s="13">
        <v>0</v>
      </c>
      <c r="Y4" s="12" t="s">
        <v>71</v>
      </c>
      <c r="Z4" s="12" t="s">
        <v>72</v>
      </c>
      <c r="AA4" s="12" t="s">
        <v>73</v>
      </c>
      <c r="AB4" s="13">
        <v>0</v>
      </c>
      <c r="AC4" s="15">
        <v>10</v>
      </c>
      <c r="AD4" s="15">
        <f>AC4*AG4</f>
        <v>13560</v>
      </c>
      <c r="AE4" s="15">
        <v>22</v>
      </c>
      <c r="AF4" s="15">
        <f>AE4*AG4</f>
        <v>29832</v>
      </c>
      <c r="AG4" s="16">
        <v>1356</v>
      </c>
    </row>
    <row r="5" spans="1:33" ht="15" customHeight="1" x14ac:dyDescent="0.2">
      <c r="A5" s="11" t="str">
        <f>HYPERLINK("https://assets.vans.eu/images/VN000JT2BLK-HERO/1","VN000JT2BLK1")</f>
        <v>VN000JT2BLK1</v>
      </c>
      <c r="B5" s="12" t="s">
        <v>74</v>
      </c>
      <c r="C5" s="12" t="s">
        <v>75</v>
      </c>
      <c r="D5" s="12" t="s">
        <v>76</v>
      </c>
      <c r="E5" s="12" t="s">
        <v>77</v>
      </c>
      <c r="F5" s="12" t="s">
        <v>78</v>
      </c>
      <c r="G5" s="14"/>
      <c r="H5" s="12" t="s">
        <v>79</v>
      </c>
      <c r="I5" s="12" t="s">
        <v>80</v>
      </c>
      <c r="J5" s="12" t="s">
        <v>81</v>
      </c>
      <c r="K5" s="12" t="s">
        <v>82</v>
      </c>
      <c r="L5" s="12" t="s">
        <v>83</v>
      </c>
      <c r="M5" s="12" t="s">
        <v>43</v>
      </c>
      <c r="N5" s="12" t="s">
        <v>84</v>
      </c>
      <c r="O5" s="12" t="s">
        <v>85</v>
      </c>
      <c r="P5" s="12" t="s">
        <v>86</v>
      </c>
      <c r="Q5" s="12" t="s">
        <v>87</v>
      </c>
      <c r="R5" s="12" t="s">
        <v>88</v>
      </c>
      <c r="S5" s="13">
        <v>197064452392</v>
      </c>
      <c r="T5" s="12" t="s">
        <v>89</v>
      </c>
      <c r="U5" s="12" t="s">
        <v>78</v>
      </c>
      <c r="V5" s="12" t="s">
        <v>90</v>
      </c>
      <c r="W5" s="12" t="s">
        <v>51</v>
      </c>
      <c r="X5" s="13">
        <v>0</v>
      </c>
      <c r="Y5" s="12" t="s">
        <v>91</v>
      </c>
      <c r="Z5" s="12" t="s">
        <v>92</v>
      </c>
      <c r="AA5" s="12" t="s">
        <v>93</v>
      </c>
      <c r="AB5" s="12" t="s">
        <v>94</v>
      </c>
      <c r="AC5" s="15">
        <v>3.65</v>
      </c>
      <c r="AD5" s="15">
        <f>AC5*AG5</f>
        <v>3076.95</v>
      </c>
      <c r="AE5" s="15">
        <v>8</v>
      </c>
      <c r="AF5" s="15">
        <f>AE5*AG5</f>
        <v>6744</v>
      </c>
      <c r="AG5" s="16">
        <v>843</v>
      </c>
    </row>
    <row r="6" spans="1:33" ht="15" customHeight="1" x14ac:dyDescent="0.2">
      <c r="A6" s="11" t="str">
        <f>HYPERLINK("https://assets.vans.eu/images/VN000UFHC8B-HERO/1","VN000UFHC8B1")</f>
        <v>VN000UFHC8B1</v>
      </c>
      <c r="B6" s="12" t="s">
        <v>95</v>
      </c>
      <c r="C6" s="12" t="s">
        <v>96</v>
      </c>
      <c r="D6" s="12" t="s">
        <v>97</v>
      </c>
      <c r="E6" s="12" t="s">
        <v>98</v>
      </c>
      <c r="F6" s="12" t="s">
        <v>78</v>
      </c>
      <c r="G6" s="14"/>
      <c r="H6" s="12" t="s">
        <v>79</v>
      </c>
      <c r="I6" s="12" t="s">
        <v>80</v>
      </c>
      <c r="J6" s="12" t="s">
        <v>99</v>
      </c>
      <c r="K6" s="12" t="s">
        <v>100</v>
      </c>
      <c r="L6" s="14"/>
      <c r="M6" s="12" t="s">
        <v>43</v>
      </c>
      <c r="N6" s="12" t="s">
        <v>101</v>
      </c>
      <c r="O6" s="12" t="s">
        <v>102</v>
      </c>
      <c r="P6" s="12" t="s">
        <v>86</v>
      </c>
      <c r="Q6" s="12" t="s">
        <v>103</v>
      </c>
      <c r="R6" s="12" t="s">
        <v>104</v>
      </c>
      <c r="S6" s="13">
        <v>196573750739</v>
      </c>
      <c r="T6" s="12" t="s">
        <v>105</v>
      </c>
      <c r="U6" s="12" t="s">
        <v>78</v>
      </c>
      <c r="V6" s="12" t="s">
        <v>106</v>
      </c>
      <c r="W6" s="12" t="s">
        <v>107</v>
      </c>
      <c r="X6" s="13">
        <v>0</v>
      </c>
      <c r="Y6" s="12" t="s">
        <v>91</v>
      </c>
      <c r="Z6" s="12" t="s">
        <v>108</v>
      </c>
      <c r="AA6" s="13">
        <v>0</v>
      </c>
      <c r="AB6" s="13">
        <v>0</v>
      </c>
      <c r="AC6" s="15">
        <v>6.85</v>
      </c>
      <c r="AD6" s="15">
        <f>AC6*AG6</f>
        <v>4747.05</v>
      </c>
      <c r="AE6" s="15">
        <v>15</v>
      </c>
      <c r="AF6" s="15">
        <f>AE6*AG6</f>
        <v>10395</v>
      </c>
      <c r="AG6" s="16">
        <v>693</v>
      </c>
    </row>
    <row r="7" spans="1:33" ht="15" customHeight="1" x14ac:dyDescent="0.2">
      <c r="A7" s="11" t="str">
        <f t="shared" ref="A7:A235" si="1">HYPERLINK("https://assets.vans.eu/images/VN000E9XIVG-HERO/1","VN000E9XIVG1")</f>
        <v>VN000E9XIVG1</v>
      </c>
      <c r="B7" s="12" t="s">
        <v>109</v>
      </c>
      <c r="C7" s="12" t="s">
        <v>110</v>
      </c>
      <c r="D7" s="12" t="s">
        <v>111</v>
      </c>
      <c r="E7" s="12" t="s">
        <v>112</v>
      </c>
      <c r="F7" s="13">
        <v>100</v>
      </c>
      <c r="G7" s="14"/>
      <c r="H7" s="12" t="s">
        <v>38</v>
      </c>
      <c r="I7" s="12" t="s">
        <v>113</v>
      </c>
      <c r="J7" s="12" t="s">
        <v>114</v>
      </c>
      <c r="K7" s="12" t="s">
        <v>82</v>
      </c>
      <c r="L7" s="12" t="s">
        <v>115</v>
      </c>
      <c r="M7" s="12" t="s">
        <v>43</v>
      </c>
      <c r="N7" s="12" t="s">
        <v>44</v>
      </c>
      <c r="O7" s="12" t="s">
        <v>116</v>
      </c>
      <c r="P7" s="12" t="s">
        <v>46</v>
      </c>
      <c r="Q7" s="12" t="s">
        <v>47</v>
      </c>
      <c r="R7" s="12" t="s">
        <v>117</v>
      </c>
      <c r="S7" s="13">
        <v>197804948727</v>
      </c>
      <c r="T7" s="12" t="s">
        <v>105</v>
      </c>
      <c r="U7" s="13">
        <v>43</v>
      </c>
      <c r="V7" s="12" t="s">
        <v>50</v>
      </c>
      <c r="W7" s="12" t="s">
        <v>118</v>
      </c>
      <c r="X7" s="12" t="s">
        <v>119</v>
      </c>
      <c r="Y7" s="12" t="s">
        <v>53</v>
      </c>
      <c r="Z7" s="12" t="s">
        <v>120</v>
      </c>
      <c r="AA7" s="12" t="s">
        <v>73</v>
      </c>
      <c r="AB7" s="12" t="s">
        <v>94</v>
      </c>
      <c r="AC7" s="15">
        <v>43.2</v>
      </c>
      <c r="AD7" s="15">
        <f>AC7*AG7</f>
        <v>12052.800000000001</v>
      </c>
      <c r="AE7" s="15">
        <v>95</v>
      </c>
      <c r="AF7" s="15">
        <f>AE7*AG7</f>
        <v>26505</v>
      </c>
      <c r="AG7" s="16">
        <v>279</v>
      </c>
    </row>
    <row r="8" spans="1:33" ht="15" customHeight="1" x14ac:dyDescent="0.2">
      <c r="A8" s="11" t="str">
        <f>HYPERLINK("https://assets.vans.eu/images/VN000Q1KBFM-HERO/1","VN000Q1KBFM1")</f>
        <v>VN000Q1KBFM1</v>
      </c>
      <c r="B8" s="12" t="s">
        <v>121</v>
      </c>
      <c r="C8" s="12" t="s">
        <v>122</v>
      </c>
      <c r="D8" s="12" t="s">
        <v>123</v>
      </c>
      <c r="E8" s="12" t="s">
        <v>124</v>
      </c>
      <c r="F8" s="12" t="s">
        <v>78</v>
      </c>
      <c r="G8" s="14"/>
      <c r="H8" s="12" t="s">
        <v>79</v>
      </c>
      <c r="I8" s="12" t="s">
        <v>125</v>
      </c>
      <c r="J8" s="12" t="s">
        <v>126</v>
      </c>
      <c r="K8" s="12" t="s">
        <v>41</v>
      </c>
      <c r="L8" s="14"/>
      <c r="M8" s="12" t="s">
        <v>43</v>
      </c>
      <c r="N8" s="12" t="s">
        <v>84</v>
      </c>
      <c r="O8" s="12" t="s">
        <v>127</v>
      </c>
      <c r="P8" s="12" t="s">
        <v>86</v>
      </c>
      <c r="Q8" s="12" t="s">
        <v>128</v>
      </c>
      <c r="R8" s="12" t="s">
        <v>129</v>
      </c>
      <c r="S8" s="13">
        <v>197804373703</v>
      </c>
      <c r="T8" s="12" t="s">
        <v>130</v>
      </c>
      <c r="U8" s="12" t="s">
        <v>78</v>
      </c>
      <c r="V8" s="12" t="s">
        <v>131</v>
      </c>
      <c r="W8" s="12" t="s">
        <v>51</v>
      </c>
      <c r="X8" s="14"/>
      <c r="Y8" s="14"/>
      <c r="Z8" s="14"/>
      <c r="AA8" s="14"/>
      <c r="AB8" s="14"/>
      <c r="AC8" s="15">
        <v>10.95</v>
      </c>
      <c r="AD8" s="15">
        <f>AC8*AG8</f>
        <v>2956.5</v>
      </c>
      <c r="AE8" s="15">
        <v>24</v>
      </c>
      <c r="AF8" s="15">
        <f>AE8*AG8</f>
        <v>6480</v>
      </c>
      <c r="AG8" s="16">
        <v>270</v>
      </c>
    </row>
    <row r="9" spans="1:33" ht="15" customHeight="1" x14ac:dyDescent="0.2">
      <c r="A9" s="11" t="str">
        <f t="shared" si="1"/>
        <v>VN000E9XIVG1</v>
      </c>
      <c r="B9" s="12" t="s">
        <v>132</v>
      </c>
      <c r="C9" s="12" t="s">
        <v>110</v>
      </c>
      <c r="D9" s="12" t="s">
        <v>111</v>
      </c>
      <c r="E9" s="12" t="s">
        <v>133</v>
      </c>
      <c r="F9" s="13">
        <v>90</v>
      </c>
      <c r="G9" s="14"/>
      <c r="H9" s="12" t="s">
        <v>38</v>
      </c>
      <c r="I9" s="12" t="s">
        <v>113</v>
      </c>
      <c r="J9" s="12" t="s">
        <v>114</v>
      </c>
      <c r="K9" s="12" t="s">
        <v>82</v>
      </c>
      <c r="L9" s="12" t="s">
        <v>115</v>
      </c>
      <c r="M9" s="12" t="s">
        <v>43</v>
      </c>
      <c r="N9" s="12" t="s">
        <v>44</v>
      </c>
      <c r="O9" s="12" t="s">
        <v>134</v>
      </c>
      <c r="P9" s="12" t="s">
        <v>46</v>
      </c>
      <c r="Q9" s="12" t="s">
        <v>47</v>
      </c>
      <c r="R9" s="12" t="s">
        <v>117</v>
      </c>
      <c r="S9" s="13">
        <v>197804948666</v>
      </c>
      <c r="T9" s="12" t="s">
        <v>105</v>
      </c>
      <c r="U9" s="13">
        <v>42</v>
      </c>
      <c r="V9" s="12" t="s">
        <v>50</v>
      </c>
      <c r="W9" s="12" t="s">
        <v>118</v>
      </c>
      <c r="X9" s="12" t="s">
        <v>119</v>
      </c>
      <c r="Y9" s="12" t="s">
        <v>53</v>
      </c>
      <c r="Z9" s="12" t="s">
        <v>120</v>
      </c>
      <c r="AA9" s="12" t="s">
        <v>73</v>
      </c>
      <c r="AB9" s="12" t="s">
        <v>94</v>
      </c>
      <c r="AC9" s="15">
        <v>43.2</v>
      </c>
      <c r="AD9" s="15">
        <f>AC9*AG9</f>
        <v>11491.2</v>
      </c>
      <c r="AE9" s="15">
        <v>95</v>
      </c>
      <c r="AF9" s="15">
        <f>AE9*AG9</f>
        <v>25270</v>
      </c>
      <c r="AG9" s="16">
        <v>266</v>
      </c>
    </row>
    <row r="10" spans="1:33" ht="15" customHeight="1" x14ac:dyDescent="0.2">
      <c r="A10" s="11" t="str">
        <f t="shared" ref="A10:A12" si="2">HYPERLINK("https://assets.vans.eu/images/VN000R32BFM-HERO/1","VN000R32BFM1")</f>
        <v>VN000R32BFM1</v>
      </c>
      <c r="B10" s="12" t="s">
        <v>135</v>
      </c>
      <c r="C10" s="12" t="s">
        <v>136</v>
      </c>
      <c r="D10" s="12" t="s">
        <v>123</v>
      </c>
      <c r="E10" s="12" t="s">
        <v>137</v>
      </c>
      <c r="F10" s="12" t="s">
        <v>138</v>
      </c>
      <c r="G10" s="14"/>
      <c r="H10" s="12" t="s">
        <v>79</v>
      </c>
      <c r="I10" s="12" t="s">
        <v>125</v>
      </c>
      <c r="J10" s="12" t="s">
        <v>139</v>
      </c>
      <c r="K10" s="12" t="s">
        <v>41</v>
      </c>
      <c r="L10" s="14"/>
      <c r="M10" s="12" t="s">
        <v>43</v>
      </c>
      <c r="N10" s="12" t="s">
        <v>84</v>
      </c>
      <c r="O10" s="12" t="s">
        <v>140</v>
      </c>
      <c r="P10" s="12" t="s">
        <v>86</v>
      </c>
      <c r="Q10" s="12" t="s">
        <v>141</v>
      </c>
      <c r="R10" s="12" t="s">
        <v>142</v>
      </c>
      <c r="S10" s="13">
        <v>197804375608</v>
      </c>
      <c r="T10" s="12" t="s">
        <v>143</v>
      </c>
      <c r="U10" s="12" t="s">
        <v>138</v>
      </c>
      <c r="V10" s="12" t="s">
        <v>144</v>
      </c>
      <c r="W10" s="12" t="s">
        <v>51</v>
      </c>
      <c r="X10" s="14"/>
      <c r="Y10" s="14"/>
      <c r="Z10" s="14"/>
      <c r="AA10" s="14"/>
      <c r="AB10" s="14"/>
      <c r="AC10" s="15">
        <v>7.3</v>
      </c>
      <c r="AD10" s="15">
        <f>AC10*AG10</f>
        <v>1846.8999999999999</v>
      </c>
      <c r="AE10" s="15">
        <v>16</v>
      </c>
      <c r="AF10" s="15">
        <f>AE10*AG10</f>
        <v>4048</v>
      </c>
      <c r="AG10" s="16">
        <v>253</v>
      </c>
    </row>
    <row r="11" spans="1:33" ht="15" customHeight="1" x14ac:dyDescent="0.2">
      <c r="A11" s="11" t="str">
        <f t="shared" ref="A11:A146" si="3">HYPERLINK("https://assets.vans.eu/images/VN000Q92EMW-HERO/1","VN000Q92EMW1")</f>
        <v>VN000Q92EMW1</v>
      </c>
      <c r="B11" s="12" t="s">
        <v>145</v>
      </c>
      <c r="C11" s="12" t="s">
        <v>146</v>
      </c>
      <c r="D11" s="12" t="s">
        <v>147</v>
      </c>
      <c r="E11" s="12" t="s">
        <v>148</v>
      </c>
      <c r="F11" s="12" t="s">
        <v>138</v>
      </c>
      <c r="G11" s="14"/>
      <c r="H11" s="12" t="s">
        <v>79</v>
      </c>
      <c r="I11" s="12" t="s">
        <v>125</v>
      </c>
      <c r="J11" s="12" t="s">
        <v>139</v>
      </c>
      <c r="K11" s="12" t="s">
        <v>41</v>
      </c>
      <c r="L11" s="14"/>
      <c r="M11" s="12" t="s">
        <v>43</v>
      </c>
      <c r="N11" s="12" t="s">
        <v>84</v>
      </c>
      <c r="O11" s="12" t="s">
        <v>149</v>
      </c>
      <c r="P11" s="12" t="s">
        <v>86</v>
      </c>
      <c r="Q11" s="12" t="s">
        <v>141</v>
      </c>
      <c r="R11" s="12" t="s">
        <v>142</v>
      </c>
      <c r="S11" s="13">
        <v>197804374106</v>
      </c>
      <c r="T11" s="12" t="s">
        <v>143</v>
      </c>
      <c r="U11" s="12" t="s">
        <v>138</v>
      </c>
      <c r="V11" s="12" t="s">
        <v>150</v>
      </c>
      <c r="W11" s="12" t="s">
        <v>118</v>
      </c>
      <c r="X11" s="14"/>
      <c r="Y11" s="14"/>
      <c r="Z11" s="14"/>
      <c r="AA11" s="14"/>
      <c r="AB11" s="14"/>
      <c r="AC11" s="15">
        <v>6.4</v>
      </c>
      <c r="AD11" s="15">
        <f>AC11*AG11</f>
        <v>1580.8000000000002</v>
      </c>
      <c r="AE11" s="15">
        <v>14</v>
      </c>
      <c r="AF11" s="15">
        <f>AE11*AG11</f>
        <v>3458</v>
      </c>
      <c r="AG11" s="16">
        <v>247</v>
      </c>
    </row>
    <row r="12" spans="1:33" ht="15" customHeight="1" x14ac:dyDescent="0.2">
      <c r="A12" s="11" t="str">
        <f t="shared" si="2"/>
        <v>VN000R32BFM1</v>
      </c>
      <c r="B12" s="12" t="s">
        <v>151</v>
      </c>
      <c r="C12" s="12" t="s">
        <v>136</v>
      </c>
      <c r="D12" s="12" t="s">
        <v>123</v>
      </c>
      <c r="E12" s="12" t="s">
        <v>152</v>
      </c>
      <c r="F12" s="12" t="s">
        <v>153</v>
      </c>
      <c r="G12" s="14"/>
      <c r="H12" s="12" t="s">
        <v>79</v>
      </c>
      <c r="I12" s="12" t="s">
        <v>125</v>
      </c>
      <c r="J12" s="12" t="s">
        <v>139</v>
      </c>
      <c r="K12" s="12" t="s">
        <v>41</v>
      </c>
      <c r="L12" s="14"/>
      <c r="M12" s="12" t="s">
        <v>43</v>
      </c>
      <c r="N12" s="12" t="s">
        <v>84</v>
      </c>
      <c r="O12" s="12" t="s">
        <v>154</v>
      </c>
      <c r="P12" s="12" t="s">
        <v>86</v>
      </c>
      <c r="Q12" s="12" t="s">
        <v>141</v>
      </c>
      <c r="R12" s="12" t="s">
        <v>142</v>
      </c>
      <c r="S12" s="13">
        <v>197804375387</v>
      </c>
      <c r="T12" s="12" t="s">
        <v>143</v>
      </c>
      <c r="U12" s="12" t="s">
        <v>153</v>
      </c>
      <c r="V12" s="12" t="s">
        <v>144</v>
      </c>
      <c r="W12" s="12" t="s">
        <v>51</v>
      </c>
      <c r="X12" s="14"/>
      <c r="Y12" s="14"/>
      <c r="Z12" s="14"/>
      <c r="AA12" s="14"/>
      <c r="AB12" s="14"/>
      <c r="AC12" s="15">
        <v>7.3</v>
      </c>
      <c r="AD12" s="15">
        <f>AC12*AG12</f>
        <v>1715.5</v>
      </c>
      <c r="AE12" s="15">
        <v>16</v>
      </c>
      <c r="AF12" s="15">
        <f>AE12*AG12</f>
        <v>3760</v>
      </c>
      <c r="AG12" s="16">
        <v>235</v>
      </c>
    </row>
    <row r="13" spans="1:33" ht="15" customHeight="1" x14ac:dyDescent="0.2">
      <c r="A13" s="11" t="str">
        <f t="shared" ref="A13:A79" si="4">HYPERLINK("https://assets.vans.eu/images/VN0A38G1PHN-HERO/1","VN0A38G1PHN1")</f>
        <v>VN0A38G1PHN1</v>
      </c>
      <c r="B13" s="12" t="s">
        <v>155</v>
      </c>
      <c r="C13" s="12" t="s">
        <v>34</v>
      </c>
      <c r="D13" s="12" t="s">
        <v>156</v>
      </c>
      <c r="E13" s="12" t="s">
        <v>157</v>
      </c>
      <c r="F13" s="13">
        <v>35</v>
      </c>
      <c r="G13" s="12" t="s">
        <v>158</v>
      </c>
      <c r="H13" s="12" t="s">
        <v>38</v>
      </c>
      <c r="I13" s="12" t="s">
        <v>159</v>
      </c>
      <c r="J13" s="12" t="s">
        <v>160</v>
      </c>
      <c r="K13" s="12" t="s">
        <v>82</v>
      </c>
      <c r="L13" s="14"/>
      <c r="M13" s="12" t="s">
        <v>43</v>
      </c>
      <c r="N13" s="12" t="s">
        <v>161</v>
      </c>
      <c r="O13" s="12" t="s">
        <v>162</v>
      </c>
      <c r="P13" s="12" t="s">
        <v>46</v>
      </c>
      <c r="Q13" s="12" t="s">
        <v>47</v>
      </c>
      <c r="R13" s="12" t="s">
        <v>163</v>
      </c>
      <c r="S13" s="13">
        <v>191163544965</v>
      </c>
      <c r="T13" s="12" t="s">
        <v>164</v>
      </c>
      <c r="U13" s="13">
        <v>34.5</v>
      </c>
      <c r="V13" s="12" t="s">
        <v>50</v>
      </c>
      <c r="W13" s="12" t="s">
        <v>51</v>
      </c>
      <c r="X13" s="14"/>
      <c r="Y13" s="12" t="s">
        <v>91</v>
      </c>
      <c r="Z13" s="12" t="s">
        <v>165</v>
      </c>
      <c r="AA13" s="14"/>
      <c r="AB13" s="14"/>
      <c r="AC13" s="15">
        <v>38.65</v>
      </c>
      <c r="AD13" s="15">
        <f>AC13*AG13</f>
        <v>8657.6</v>
      </c>
      <c r="AE13" s="15">
        <v>85</v>
      </c>
      <c r="AF13" s="15">
        <f>AE13*AG13</f>
        <v>19040</v>
      </c>
      <c r="AG13" s="16">
        <v>224</v>
      </c>
    </row>
    <row r="14" spans="1:33" ht="15" customHeight="1" x14ac:dyDescent="0.2">
      <c r="A14" s="11" t="str">
        <f t="shared" ref="A14:A186" si="5">HYPERLINK("https://assets.vans.eu/images/VN000R10WHT-HERO/1","VN000R10WHT1")</f>
        <v>VN000R10WHT1</v>
      </c>
      <c r="B14" s="12" t="s">
        <v>166</v>
      </c>
      <c r="C14" s="12" t="s">
        <v>167</v>
      </c>
      <c r="D14" s="12" t="s">
        <v>168</v>
      </c>
      <c r="E14" s="12" t="s">
        <v>169</v>
      </c>
      <c r="F14" s="12" t="s">
        <v>170</v>
      </c>
      <c r="G14" s="14"/>
      <c r="H14" s="12" t="s">
        <v>79</v>
      </c>
      <c r="I14" s="12" t="s">
        <v>80</v>
      </c>
      <c r="J14" s="12" t="s">
        <v>171</v>
      </c>
      <c r="K14" s="12" t="s">
        <v>82</v>
      </c>
      <c r="L14" s="14"/>
      <c r="M14" s="12" t="s">
        <v>43</v>
      </c>
      <c r="N14" s="12" t="s">
        <v>84</v>
      </c>
      <c r="O14" s="12" t="s">
        <v>172</v>
      </c>
      <c r="P14" s="12" t="s">
        <v>86</v>
      </c>
      <c r="Q14" s="12" t="s">
        <v>141</v>
      </c>
      <c r="R14" s="12" t="s">
        <v>173</v>
      </c>
      <c r="S14" s="13">
        <v>197804395750</v>
      </c>
      <c r="T14" s="12" t="s">
        <v>143</v>
      </c>
      <c r="U14" s="12" t="s">
        <v>170</v>
      </c>
      <c r="V14" s="12" t="s">
        <v>174</v>
      </c>
      <c r="W14" s="12" t="s">
        <v>175</v>
      </c>
      <c r="X14" s="14"/>
      <c r="Y14" s="14"/>
      <c r="Z14" s="14"/>
      <c r="AA14" s="14"/>
      <c r="AB14" s="14"/>
      <c r="AC14" s="15">
        <v>7.3</v>
      </c>
      <c r="AD14" s="15">
        <f>AC14*AG14</f>
        <v>1576.8</v>
      </c>
      <c r="AE14" s="15">
        <v>16</v>
      </c>
      <c r="AF14" s="15">
        <f>AE14*AG14</f>
        <v>3456</v>
      </c>
      <c r="AG14" s="16">
        <v>216</v>
      </c>
    </row>
    <row r="15" spans="1:33" ht="15" customHeight="1" x14ac:dyDescent="0.2">
      <c r="A15" s="11" t="str">
        <f t="shared" ref="A15:A55" si="6">HYPERLINK("https://assets.vans.eu/images/VN000QB8BLK-HERO/1","VN000QB8BLK1")</f>
        <v>VN000QB8BLK1</v>
      </c>
      <c r="B15" s="12" t="s">
        <v>176</v>
      </c>
      <c r="C15" s="12" t="s">
        <v>177</v>
      </c>
      <c r="D15" s="12" t="s">
        <v>76</v>
      </c>
      <c r="E15" s="12" t="s">
        <v>178</v>
      </c>
      <c r="F15" s="12" t="s">
        <v>179</v>
      </c>
      <c r="G15" s="14"/>
      <c r="H15" s="12" t="s">
        <v>79</v>
      </c>
      <c r="I15" s="12" t="s">
        <v>80</v>
      </c>
      <c r="J15" s="12" t="s">
        <v>171</v>
      </c>
      <c r="K15" s="12" t="s">
        <v>82</v>
      </c>
      <c r="L15" s="14"/>
      <c r="M15" s="12" t="s">
        <v>43</v>
      </c>
      <c r="N15" s="12" t="s">
        <v>84</v>
      </c>
      <c r="O15" s="12" t="s">
        <v>180</v>
      </c>
      <c r="P15" s="12" t="s">
        <v>86</v>
      </c>
      <c r="Q15" s="12" t="s">
        <v>141</v>
      </c>
      <c r="R15" s="12" t="s">
        <v>173</v>
      </c>
      <c r="S15" s="13">
        <v>197804394074</v>
      </c>
      <c r="T15" s="12" t="s">
        <v>143</v>
      </c>
      <c r="U15" s="12" t="s">
        <v>179</v>
      </c>
      <c r="V15" s="12" t="s">
        <v>181</v>
      </c>
      <c r="W15" s="12" t="s">
        <v>51</v>
      </c>
      <c r="X15" s="14"/>
      <c r="Y15" s="14"/>
      <c r="Z15" s="14"/>
      <c r="AA15" s="14"/>
      <c r="AB15" s="14"/>
      <c r="AC15" s="15">
        <v>7.3</v>
      </c>
      <c r="AD15" s="15">
        <f>AC15*AG15</f>
        <v>1467.3</v>
      </c>
      <c r="AE15" s="15">
        <v>16</v>
      </c>
      <c r="AF15" s="15">
        <f>AE15*AG15</f>
        <v>3216</v>
      </c>
      <c r="AG15" s="16">
        <v>201</v>
      </c>
    </row>
    <row r="16" spans="1:33" ht="15" customHeight="1" x14ac:dyDescent="0.2">
      <c r="A16" s="11" t="str">
        <f>HYPERLINK("https://assets.vans.eu/images/VN000UFHBYP-HERO/1","VN000UFHBYP1")</f>
        <v>VN000UFHBYP1</v>
      </c>
      <c r="B16" s="12" t="s">
        <v>182</v>
      </c>
      <c r="C16" s="12" t="s">
        <v>96</v>
      </c>
      <c r="D16" s="12" t="s">
        <v>183</v>
      </c>
      <c r="E16" s="12" t="s">
        <v>184</v>
      </c>
      <c r="F16" s="12" t="s">
        <v>78</v>
      </c>
      <c r="G16" s="14"/>
      <c r="H16" s="12" t="s">
        <v>79</v>
      </c>
      <c r="I16" s="12" t="s">
        <v>80</v>
      </c>
      <c r="J16" s="12" t="s">
        <v>99</v>
      </c>
      <c r="K16" s="12" t="s">
        <v>100</v>
      </c>
      <c r="L16" s="14"/>
      <c r="M16" s="12" t="s">
        <v>43</v>
      </c>
      <c r="N16" s="12" t="s">
        <v>101</v>
      </c>
      <c r="O16" s="12" t="s">
        <v>185</v>
      </c>
      <c r="P16" s="12" t="s">
        <v>86</v>
      </c>
      <c r="Q16" s="12" t="s">
        <v>103</v>
      </c>
      <c r="R16" s="12" t="s">
        <v>104</v>
      </c>
      <c r="S16" s="13">
        <v>196573750753</v>
      </c>
      <c r="T16" s="12" t="s">
        <v>105</v>
      </c>
      <c r="U16" s="12" t="s">
        <v>78</v>
      </c>
      <c r="V16" s="12" t="s">
        <v>106</v>
      </c>
      <c r="W16" s="12" t="s">
        <v>186</v>
      </c>
      <c r="X16" s="13">
        <v>0</v>
      </c>
      <c r="Y16" s="12" t="s">
        <v>91</v>
      </c>
      <c r="Z16" s="12" t="s">
        <v>108</v>
      </c>
      <c r="AA16" s="13">
        <v>0</v>
      </c>
      <c r="AB16" s="13">
        <v>0</v>
      </c>
      <c r="AC16" s="15">
        <v>6.85</v>
      </c>
      <c r="AD16" s="15">
        <f>AC16*AG16</f>
        <v>1370</v>
      </c>
      <c r="AE16" s="15">
        <v>15</v>
      </c>
      <c r="AF16" s="15">
        <f>AE16*AG16</f>
        <v>3000</v>
      </c>
      <c r="AG16" s="16">
        <v>200</v>
      </c>
    </row>
    <row r="17" spans="1:33" ht="15" customHeight="1" x14ac:dyDescent="0.2">
      <c r="A17" s="11" t="str">
        <f>HYPERLINK("https://assets.vans.eu/images/VN000QCFEN6-HERO/1","VN000QCFEN61")</f>
        <v>VN000QCFEN61</v>
      </c>
      <c r="B17" s="12" t="s">
        <v>187</v>
      </c>
      <c r="C17" s="12" t="s">
        <v>188</v>
      </c>
      <c r="D17" s="12" t="s">
        <v>189</v>
      </c>
      <c r="E17" s="12" t="s">
        <v>190</v>
      </c>
      <c r="F17" s="12" t="s">
        <v>78</v>
      </c>
      <c r="G17" s="14"/>
      <c r="H17" s="12" t="s">
        <v>79</v>
      </c>
      <c r="I17" s="12" t="s">
        <v>80</v>
      </c>
      <c r="J17" s="12" t="s">
        <v>191</v>
      </c>
      <c r="K17" s="12" t="s">
        <v>82</v>
      </c>
      <c r="L17" s="14"/>
      <c r="M17" s="12" t="s">
        <v>43</v>
      </c>
      <c r="N17" s="12" t="s">
        <v>84</v>
      </c>
      <c r="O17" s="12" t="s">
        <v>192</v>
      </c>
      <c r="P17" s="12" t="s">
        <v>86</v>
      </c>
      <c r="Q17" s="12" t="s">
        <v>193</v>
      </c>
      <c r="R17" s="12" t="s">
        <v>194</v>
      </c>
      <c r="S17" s="13">
        <v>197804375363</v>
      </c>
      <c r="T17" s="12" t="s">
        <v>164</v>
      </c>
      <c r="U17" s="12" t="s">
        <v>78</v>
      </c>
      <c r="V17" s="12" t="s">
        <v>195</v>
      </c>
      <c r="W17" s="12" t="s">
        <v>118</v>
      </c>
      <c r="X17" s="14"/>
      <c r="Y17" s="14"/>
      <c r="Z17" s="14"/>
      <c r="AA17" s="14"/>
      <c r="AB17" s="14"/>
      <c r="AC17" s="15">
        <v>21.85</v>
      </c>
      <c r="AD17" s="15">
        <f>AC17*AG17</f>
        <v>4151.5</v>
      </c>
      <c r="AE17" s="15">
        <v>48</v>
      </c>
      <c r="AF17" s="15">
        <f>AE17*AG17</f>
        <v>9120</v>
      </c>
      <c r="AG17" s="16">
        <v>190</v>
      </c>
    </row>
    <row r="18" spans="1:33" ht="15" customHeight="1" x14ac:dyDescent="0.2">
      <c r="A18" s="11" t="str">
        <f>HYPERLINK("https://assets.vans.eu/images/VN000Y5XBLK-HERO/1","VN000Y5XBLK1")</f>
        <v>VN000Y5XBLK1</v>
      </c>
      <c r="B18" s="12" t="s">
        <v>196</v>
      </c>
      <c r="C18" s="12" t="s">
        <v>197</v>
      </c>
      <c r="D18" s="12" t="s">
        <v>76</v>
      </c>
      <c r="E18" s="12" t="s">
        <v>198</v>
      </c>
      <c r="F18" s="12" t="s">
        <v>78</v>
      </c>
      <c r="G18" s="14"/>
      <c r="H18" s="12" t="s">
        <v>79</v>
      </c>
      <c r="I18" s="12" t="s">
        <v>80</v>
      </c>
      <c r="J18" s="12" t="s">
        <v>81</v>
      </c>
      <c r="K18" s="12" t="s">
        <v>199</v>
      </c>
      <c r="L18" s="14"/>
      <c r="M18" s="12" t="s">
        <v>43</v>
      </c>
      <c r="N18" s="12" t="s">
        <v>84</v>
      </c>
      <c r="O18" s="12" t="s">
        <v>200</v>
      </c>
      <c r="P18" s="12" t="s">
        <v>86</v>
      </c>
      <c r="Q18" s="12" t="s">
        <v>87</v>
      </c>
      <c r="R18" s="12" t="s">
        <v>88</v>
      </c>
      <c r="S18" s="13">
        <v>888366462706</v>
      </c>
      <c r="T18" s="12" t="s">
        <v>89</v>
      </c>
      <c r="U18" s="12" t="s">
        <v>78</v>
      </c>
      <c r="V18" s="12" t="s">
        <v>201</v>
      </c>
      <c r="W18" s="12" t="s">
        <v>51</v>
      </c>
      <c r="X18" s="13">
        <v>0</v>
      </c>
      <c r="Y18" s="12" t="s">
        <v>71</v>
      </c>
      <c r="Z18" s="12" t="s">
        <v>108</v>
      </c>
      <c r="AA18" s="13">
        <v>0</v>
      </c>
      <c r="AB18" s="13">
        <v>0</v>
      </c>
      <c r="AC18" s="15">
        <v>3.65</v>
      </c>
      <c r="AD18" s="15">
        <f>AC18*AG18</f>
        <v>689.85</v>
      </c>
      <c r="AE18" s="15">
        <v>8</v>
      </c>
      <c r="AF18" s="15">
        <f>AE18*AG18</f>
        <v>1512</v>
      </c>
      <c r="AG18" s="16">
        <v>189</v>
      </c>
    </row>
    <row r="19" spans="1:33" ht="15" customHeight="1" x14ac:dyDescent="0.2">
      <c r="A19" s="11" t="str">
        <f t="shared" ref="A19:A259" si="7">HYPERLINK("https://assets.vans.eu/images/VN000ECUB5P-HERO/1","VN000ECUB5P1")</f>
        <v>VN000ECUB5P1</v>
      </c>
      <c r="B19" s="12" t="s">
        <v>202</v>
      </c>
      <c r="C19" s="12" t="s">
        <v>34</v>
      </c>
      <c r="D19" s="12" t="s">
        <v>203</v>
      </c>
      <c r="E19" s="12" t="s">
        <v>204</v>
      </c>
      <c r="F19" s="13">
        <v>60</v>
      </c>
      <c r="G19" s="14"/>
      <c r="H19" s="12" t="s">
        <v>38</v>
      </c>
      <c r="I19" s="12" t="s">
        <v>205</v>
      </c>
      <c r="J19" s="12" t="s">
        <v>206</v>
      </c>
      <c r="K19" s="12" t="s">
        <v>207</v>
      </c>
      <c r="L19" s="12" t="s">
        <v>42</v>
      </c>
      <c r="M19" s="12" t="s">
        <v>43</v>
      </c>
      <c r="N19" s="12" t="s">
        <v>84</v>
      </c>
      <c r="O19" s="12" t="s">
        <v>208</v>
      </c>
      <c r="P19" s="12" t="s">
        <v>46</v>
      </c>
      <c r="Q19" s="12" t="s">
        <v>47</v>
      </c>
      <c r="R19" s="12" t="s">
        <v>48</v>
      </c>
      <c r="S19" s="13">
        <v>198270303683</v>
      </c>
      <c r="T19" s="12" t="s">
        <v>49</v>
      </c>
      <c r="U19" s="13">
        <v>38</v>
      </c>
      <c r="V19" s="12" t="s">
        <v>209</v>
      </c>
      <c r="W19" s="12" t="s">
        <v>51</v>
      </c>
      <c r="X19" s="14"/>
      <c r="Y19" s="14"/>
      <c r="Z19" s="14"/>
      <c r="AA19" s="14"/>
      <c r="AB19" s="14"/>
      <c r="AC19" s="15">
        <v>36.4</v>
      </c>
      <c r="AD19" s="15">
        <f>AC19*AG19</f>
        <v>5896.8</v>
      </c>
      <c r="AE19" s="15">
        <v>80</v>
      </c>
      <c r="AF19" s="15">
        <f>AE19*AG19</f>
        <v>12960</v>
      </c>
      <c r="AG19" s="16">
        <v>162</v>
      </c>
    </row>
    <row r="20" spans="1:33" ht="15" customHeight="1" x14ac:dyDescent="0.2">
      <c r="A20" s="11" t="str">
        <f>HYPERLINK("https://assets.vans.eu/images/VN000Y5WBLK-HERO/1","VN000Y5WBLK1")</f>
        <v>VN000Y5WBLK1</v>
      </c>
      <c r="B20" s="12" t="s">
        <v>210</v>
      </c>
      <c r="C20" s="12" t="s">
        <v>211</v>
      </c>
      <c r="D20" s="12" t="s">
        <v>76</v>
      </c>
      <c r="E20" s="12" t="s">
        <v>212</v>
      </c>
      <c r="F20" s="12" t="s">
        <v>78</v>
      </c>
      <c r="G20" s="14"/>
      <c r="H20" s="12" t="s">
        <v>79</v>
      </c>
      <c r="I20" s="12" t="s">
        <v>80</v>
      </c>
      <c r="J20" s="12" t="s">
        <v>81</v>
      </c>
      <c r="K20" s="12" t="s">
        <v>199</v>
      </c>
      <c r="L20" s="14"/>
      <c r="M20" s="12" t="s">
        <v>43</v>
      </c>
      <c r="N20" s="12" t="s">
        <v>84</v>
      </c>
      <c r="O20" s="12" t="s">
        <v>213</v>
      </c>
      <c r="P20" s="12" t="s">
        <v>86</v>
      </c>
      <c r="Q20" s="12" t="s">
        <v>87</v>
      </c>
      <c r="R20" s="12" t="s">
        <v>88</v>
      </c>
      <c r="S20" s="13">
        <v>888366462522</v>
      </c>
      <c r="T20" s="12" t="s">
        <v>89</v>
      </c>
      <c r="U20" s="12" t="s">
        <v>78</v>
      </c>
      <c r="V20" s="12" t="s">
        <v>201</v>
      </c>
      <c r="W20" s="12" t="s">
        <v>51</v>
      </c>
      <c r="X20" s="13">
        <v>0</v>
      </c>
      <c r="Y20" s="12" t="s">
        <v>71</v>
      </c>
      <c r="Z20" s="12" t="s">
        <v>108</v>
      </c>
      <c r="AA20" s="13">
        <v>0</v>
      </c>
      <c r="AB20" s="13">
        <v>0</v>
      </c>
      <c r="AC20" s="15">
        <v>3.65</v>
      </c>
      <c r="AD20" s="15">
        <f>AC20*AG20</f>
        <v>576.69999999999993</v>
      </c>
      <c r="AE20" s="15">
        <v>8</v>
      </c>
      <c r="AF20" s="15">
        <f>AE20*AG20</f>
        <v>1264</v>
      </c>
      <c r="AG20" s="16">
        <v>158</v>
      </c>
    </row>
    <row r="21" spans="1:33" ht="15" customHeight="1" x14ac:dyDescent="0.2">
      <c r="A21" s="11" t="str">
        <f>HYPERLINK("https://assets.vans.eu/images/VN000XZYWHT-HERO/1","VN000XZYWHT1")</f>
        <v>VN000XZYWHT1</v>
      </c>
      <c r="B21" s="12" t="s">
        <v>214</v>
      </c>
      <c r="C21" s="12" t="s">
        <v>215</v>
      </c>
      <c r="D21" s="12" t="s">
        <v>168</v>
      </c>
      <c r="E21" s="12" t="s">
        <v>216</v>
      </c>
      <c r="F21" s="12" t="s">
        <v>78</v>
      </c>
      <c r="G21" s="14"/>
      <c r="H21" s="12" t="s">
        <v>79</v>
      </c>
      <c r="I21" s="12" t="s">
        <v>80</v>
      </c>
      <c r="J21" s="12" t="s">
        <v>81</v>
      </c>
      <c r="K21" s="12" t="s">
        <v>199</v>
      </c>
      <c r="L21" s="14"/>
      <c r="M21" s="12" t="s">
        <v>43</v>
      </c>
      <c r="N21" s="12" t="s">
        <v>84</v>
      </c>
      <c r="O21" s="12" t="s">
        <v>217</v>
      </c>
      <c r="P21" s="12" t="s">
        <v>86</v>
      </c>
      <c r="Q21" s="12" t="s">
        <v>87</v>
      </c>
      <c r="R21" s="12" t="s">
        <v>88</v>
      </c>
      <c r="S21" s="13">
        <v>888366462447</v>
      </c>
      <c r="T21" s="12" t="s">
        <v>89</v>
      </c>
      <c r="U21" s="12" t="s">
        <v>78</v>
      </c>
      <c r="V21" s="12" t="s">
        <v>201</v>
      </c>
      <c r="W21" s="12" t="s">
        <v>175</v>
      </c>
      <c r="X21" s="13">
        <v>0</v>
      </c>
      <c r="Y21" s="12" t="s">
        <v>71</v>
      </c>
      <c r="Z21" s="12" t="s">
        <v>108</v>
      </c>
      <c r="AA21" s="13">
        <v>0</v>
      </c>
      <c r="AB21" s="13">
        <v>0</v>
      </c>
      <c r="AC21" s="15">
        <v>3.65</v>
      </c>
      <c r="AD21" s="15">
        <f>AC21*AG21</f>
        <v>525.6</v>
      </c>
      <c r="AE21" s="15">
        <v>8</v>
      </c>
      <c r="AF21" s="15">
        <f>AE21*AG21</f>
        <v>1152</v>
      </c>
      <c r="AG21" s="16">
        <v>144</v>
      </c>
    </row>
    <row r="22" spans="1:33" ht="15" customHeight="1" x14ac:dyDescent="0.2">
      <c r="A22" s="11" t="str">
        <f>HYPERLINK("https://assets.vans.eu/images/VN000Y5WWHT-HERO/1","VN000Y5WWHT1")</f>
        <v>VN000Y5WWHT1</v>
      </c>
      <c r="B22" s="12" t="s">
        <v>218</v>
      </c>
      <c r="C22" s="12" t="s">
        <v>211</v>
      </c>
      <c r="D22" s="12" t="s">
        <v>168</v>
      </c>
      <c r="E22" s="12" t="s">
        <v>219</v>
      </c>
      <c r="F22" s="12" t="s">
        <v>78</v>
      </c>
      <c r="G22" s="14"/>
      <c r="H22" s="12" t="s">
        <v>79</v>
      </c>
      <c r="I22" s="12" t="s">
        <v>80</v>
      </c>
      <c r="J22" s="12" t="s">
        <v>81</v>
      </c>
      <c r="K22" s="12" t="s">
        <v>199</v>
      </c>
      <c r="L22" s="14"/>
      <c r="M22" s="12" t="s">
        <v>43</v>
      </c>
      <c r="N22" s="12" t="s">
        <v>84</v>
      </c>
      <c r="O22" s="12" t="s">
        <v>220</v>
      </c>
      <c r="P22" s="12" t="s">
        <v>86</v>
      </c>
      <c r="Q22" s="12" t="s">
        <v>87</v>
      </c>
      <c r="R22" s="12" t="s">
        <v>88</v>
      </c>
      <c r="S22" s="13">
        <v>888366462560</v>
      </c>
      <c r="T22" s="12" t="s">
        <v>89</v>
      </c>
      <c r="U22" s="12" t="s">
        <v>78</v>
      </c>
      <c r="V22" s="12" t="s">
        <v>201</v>
      </c>
      <c r="W22" s="12" t="s">
        <v>175</v>
      </c>
      <c r="X22" s="13">
        <v>0</v>
      </c>
      <c r="Y22" s="12" t="s">
        <v>71</v>
      </c>
      <c r="Z22" s="12" t="s">
        <v>108</v>
      </c>
      <c r="AA22" s="13">
        <v>0</v>
      </c>
      <c r="AB22" s="13">
        <v>0</v>
      </c>
      <c r="AC22" s="15">
        <v>3.65</v>
      </c>
      <c r="AD22" s="15">
        <f>AC22*AG22</f>
        <v>525.6</v>
      </c>
      <c r="AE22" s="15">
        <v>8</v>
      </c>
      <c r="AF22" s="15">
        <f>AE22*AG22</f>
        <v>1152</v>
      </c>
      <c r="AG22" s="16">
        <v>144</v>
      </c>
    </row>
    <row r="23" spans="1:33" ht="15" customHeight="1" x14ac:dyDescent="0.2">
      <c r="A23" s="11" t="str">
        <f>HYPERLINK("https://assets.vans.eu/images/VN0007BHDAJ-HERO/1","VN0007BHDAJ1")</f>
        <v>VN0007BHDAJ1</v>
      </c>
      <c r="B23" s="12" t="s">
        <v>221</v>
      </c>
      <c r="C23" s="12" t="s">
        <v>222</v>
      </c>
      <c r="D23" s="12" t="s">
        <v>223</v>
      </c>
      <c r="E23" s="12" t="s">
        <v>224</v>
      </c>
      <c r="F23" s="13">
        <v>16</v>
      </c>
      <c r="G23" s="14"/>
      <c r="H23" s="12" t="s">
        <v>79</v>
      </c>
      <c r="I23" s="12" t="s">
        <v>125</v>
      </c>
      <c r="J23" s="12" t="s">
        <v>139</v>
      </c>
      <c r="K23" s="12" t="s">
        <v>41</v>
      </c>
      <c r="L23" s="14"/>
      <c r="M23" s="12" t="s">
        <v>43</v>
      </c>
      <c r="N23" s="12" t="s">
        <v>161</v>
      </c>
      <c r="O23" s="12" t="s">
        <v>225</v>
      </c>
      <c r="P23" s="12" t="s">
        <v>86</v>
      </c>
      <c r="Q23" s="12" t="s">
        <v>141</v>
      </c>
      <c r="R23" s="12" t="s">
        <v>142</v>
      </c>
      <c r="S23" s="13">
        <v>197065837402</v>
      </c>
      <c r="T23" s="12" t="s">
        <v>143</v>
      </c>
      <c r="U23" s="13">
        <v>16</v>
      </c>
      <c r="V23" s="12" t="s">
        <v>226</v>
      </c>
      <c r="W23" s="12" t="s">
        <v>51</v>
      </c>
      <c r="X23" s="13">
        <v>0</v>
      </c>
      <c r="Y23" s="12" t="s">
        <v>91</v>
      </c>
      <c r="Z23" s="12" t="s">
        <v>108</v>
      </c>
      <c r="AA23" s="13">
        <v>0</v>
      </c>
      <c r="AB23" s="13">
        <v>0</v>
      </c>
      <c r="AC23" s="15">
        <v>7.3</v>
      </c>
      <c r="AD23" s="15">
        <f>AC23*AG23</f>
        <v>1043.8999999999999</v>
      </c>
      <c r="AE23" s="15">
        <v>16</v>
      </c>
      <c r="AF23" s="15">
        <f>AE23*AG23</f>
        <v>2288</v>
      </c>
      <c r="AG23" s="16">
        <v>143</v>
      </c>
    </row>
    <row r="24" spans="1:33" ht="15" customHeight="1" x14ac:dyDescent="0.2">
      <c r="A24" s="11" t="str">
        <f t="shared" ref="A24:A3661" si="8">HYPERLINK("https://assets.vans.eu/images/VN0A5FJXBLK-HERO/1","VN0A5FJXBLK1")</f>
        <v>VN0A5FJXBLK1</v>
      </c>
      <c r="B24" s="12" t="s">
        <v>227</v>
      </c>
      <c r="C24" s="12" t="s">
        <v>228</v>
      </c>
      <c r="D24" s="12" t="s">
        <v>76</v>
      </c>
      <c r="E24" s="12" t="s">
        <v>229</v>
      </c>
      <c r="F24" s="13">
        <v>28</v>
      </c>
      <c r="G24" s="14"/>
      <c r="H24" s="12" t="s">
        <v>61</v>
      </c>
      <c r="I24" s="12" t="s">
        <v>230</v>
      </c>
      <c r="J24" s="12" t="s">
        <v>231</v>
      </c>
      <c r="K24" s="12" t="s">
        <v>199</v>
      </c>
      <c r="L24" s="14"/>
      <c r="M24" s="12" t="s">
        <v>43</v>
      </c>
      <c r="N24" s="12" t="s">
        <v>44</v>
      </c>
      <c r="O24" s="12" t="s">
        <v>232</v>
      </c>
      <c r="P24" s="12" t="s">
        <v>66</v>
      </c>
      <c r="Q24" s="12" t="s">
        <v>233</v>
      </c>
      <c r="R24" s="12" t="s">
        <v>234</v>
      </c>
      <c r="S24" s="13">
        <v>195437420078</v>
      </c>
      <c r="T24" s="12" t="s">
        <v>235</v>
      </c>
      <c r="U24" s="13">
        <v>28</v>
      </c>
      <c r="V24" s="12" t="s">
        <v>236</v>
      </c>
      <c r="W24" s="12" t="s">
        <v>51</v>
      </c>
      <c r="X24" s="13">
        <v>0</v>
      </c>
      <c r="Y24" s="12" t="s">
        <v>91</v>
      </c>
      <c r="Z24" s="12" t="s">
        <v>108</v>
      </c>
      <c r="AA24" s="13">
        <v>0</v>
      </c>
      <c r="AB24" s="13">
        <v>0</v>
      </c>
      <c r="AC24" s="15">
        <v>27.3</v>
      </c>
      <c r="AD24" s="15">
        <f>AC24*AG24</f>
        <v>3794.7000000000003</v>
      </c>
      <c r="AE24" s="15">
        <v>60</v>
      </c>
      <c r="AF24" s="15">
        <f>AE24*AG24</f>
        <v>8340</v>
      </c>
      <c r="AG24" s="16">
        <v>139</v>
      </c>
    </row>
    <row r="25" spans="1:33" ht="15" customHeight="1" x14ac:dyDescent="0.2">
      <c r="A25" s="11" t="str">
        <f t="shared" ref="A25:A143" si="9">HYPERLINK("https://assets.vans.eu/images/VN000D3YFS8-HERO/1","VN000D3YFS81")</f>
        <v>VN000D3YFS81</v>
      </c>
      <c r="B25" s="12" t="s">
        <v>237</v>
      </c>
      <c r="C25" s="12" t="s">
        <v>238</v>
      </c>
      <c r="D25" s="12" t="s">
        <v>239</v>
      </c>
      <c r="E25" s="12" t="s">
        <v>240</v>
      </c>
      <c r="F25" s="13">
        <v>85</v>
      </c>
      <c r="G25" s="12" t="s">
        <v>241</v>
      </c>
      <c r="H25" s="12" t="s">
        <v>38</v>
      </c>
      <c r="I25" s="12" t="s">
        <v>242</v>
      </c>
      <c r="J25" s="12" t="s">
        <v>243</v>
      </c>
      <c r="K25" s="12" t="s">
        <v>244</v>
      </c>
      <c r="L25" s="12" t="s">
        <v>42</v>
      </c>
      <c r="M25" s="12" t="s">
        <v>43</v>
      </c>
      <c r="N25" s="12" t="s">
        <v>44</v>
      </c>
      <c r="O25" s="12" t="s">
        <v>245</v>
      </c>
      <c r="P25" s="12" t="s">
        <v>46</v>
      </c>
      <c r="Q25" s="12" t="s">
        <v>47</v>
      </c>
      <c r="R25" s="12" t="s">
        <v>48</v>
      </c>
      <c r="S25" s="13">
        <v>197065183301</v>
      </c>
      <c r="T25" s="12" t="s">
        <v>49</v>
      </c>
      <c r="U25" s="13">
        <v>25</v>
      </c>
      <c r="V25" s="12" t="s">
        <v>50</v>
      </c>
      <c r="W25" s="12" t="s">
        <v>175</v>
      </c>
      <c r="X25" s="12" t="s">
        <v>119</v>
      </c>
      <c r="Y25" s="12" t="s">
        <v>53</v>
      </c>
      <c r="Z25" s="12" t="s">
        <v>246</v>
      </c>
      <c r="AA25" s="12" t="s">
        <v>73</v>
      </c>
      <c r="AB25" s="12" t="s">
        <v>94</v>
      </c>
      <c r="AC25" s="15">
        <v>20.5</v>
      </c>
      <c r="AD25" s="15">
        <f>AC25*AG25</f>
        <v>2747</v>
      </c>
      <c r="AE25" s="15">
        <v>45</v>
      </c>
      <c r="AF25" s="15">
        <f>AE25*AG25</f>
        <v>6030</v>
      </c>
      <c r="AG25" s="16">
        <v>134</v>
      </c>
    </row>
    <row r="26" spans="1:33" ht="15" customHeight="1" x14ac:dyDescent="0.2">
      <c r="A26" s="11" t="str">
        <f t="shared" si="4"/>
        <v>VN0A38G1PHN1</v>
      </c>
      <c r="B26" s="12" t="s">
        <v>247</v>
      </c>
      <c r="C26" s="12" t="s">
        <v>34</v>
      </c>
      <c r="D26" s="12" t="s">
        <v>156</v>
      </c>
      <c r="E26" s="12" t="s">
        <v>248</v>
      </c>
      <c r="F26" s="13">
        <v>40</v>
      </c>
      <c r="G26" s="12" t="s">
        <v>158</v>
      </c>
      <c r="H26" s="12" t="s">
        <v>38</v>
      </c>
      <c r="I26" s="12" t="s">
        <v>159</v>
      </c>
      <c r="J26" s="12" t="s">
        <v>160</v>
      </c>
      <c r="K26" s="12" t="s">
        <v>82</v>
      </c>
      <c r="L26" s="14"/>
      <c r="M26" s="12" t="s">
        <v>43</v>
      </c>
      <c r="N26" s="12" t="s">
        <v>161</v>
      </c>
      <c r="O26" s="12" t="s">
        <v>249</v>
      </c>
      <c r="P26" s="12" t="s">
        <v>46</v>
      </c>
      <c r="Q26" s="12" t="s">
        <v>47</v>
      </c>
      <c r="R26" s="12" t="s">
        <v>163</v>
      </c>
      <c r="S26" s="13">
        <v>191163544989</v>
      </c>
      <c r="T26" s="12" t="s">
        <v>164</v>
      </c>
      <c r="U26" s="13">
        <v>35</v>
      </c>
      <c r="V26" s="12" t="s">
        <v>50</v>
      </c>
      <c r="W26" s="12" t="s">
        <v>51</v>
      </c>
      <c r="X26" s="14"/>
      <c r="Y26" s="12" t="s">
        <v>91</v>
      </c>
      <c r="Z26" s="12" t="s">
        <v>165</v>
      </c>
      <c r="AA26" s="14"/>
      <c r="AB26" s="14"/>
      <c r="AC26" s="15">
        <v>38.65</v>
      </c>
      <c r="AD26" s="15">
        <f>AC26*AG26</f>
        <v>5179.0999999999995</v>
      </c>
      <c r="AE26" s="15">
        <v>85</v>
      </c>
      <c r="AF26" s="15">
        <f>AE26*AG26</f>
        <v>11390</v>
      </c>
      <c r="AG26" s="16">
        <v>134</v>
      </c>
    </row>
    <row r="27" spans="1:33" ht="15" customHeight="1" x14ac:dyDescent="0.2">
      <c r="A27" s="11" t="str">
        <f t="shared" ref="A27:A121" si="10">HYPERLINK("https://assets.vans.eu/images/VN000D8NBKA-HERO/1","VN000D8NBKA1")</f>
        <v>VN000D8NBKA1</v>
      </c>
      <c r="B27" s="12" t="s">
        <v>250</v>
      </c>
      <c r="C27" s="12" t="s">
        <v>251</v>
      </c>
      <c r="D27" s="12" t="s">
        <v>252</v>
      </c>
      <c r="E27" s="12" t="s">
        <v>253</v>
      </c>
      <c r="F27" s="13">
        <v>100</v>
      </c>
      <c r="G27" s="12" t="s">
        <v>254</v>
      </c>
      <c r="H27" s="12" t="s">
        <v>38</v>
      </c>
      <c r="I27" s="12" t="s">
        <v>159</v>
      </c>
      <c r="J27" s="12" t="s">
        <v>255</v>
      </c>
      <c r="K27" s="12" t="s">
        <v>82</v>
      </c>
      <c r="L27" s="14"/>
      <c r="M27" s="12" t="s">
        <v>43</v>
      </c>
      <c r="N27" s="12" t="s">
        <v>84</v>
      </c>
      <c r="O27" s="12" t="s">
        <v>256</v>
      </c>
      <c r="P27" s="12" t="s">
        <v>46</v>
      </c>
      <c r="Q27" s="12" t="s">
        <v>47</v>
      </c>
      <c r="R27" s="12" t="s">
        <v>163</v>
      </c>
      <c r="S27" s="13">
        <v>197804463930</v>
      </c>
      <c r="T27" s="12" t="s">
        <v>49</v>
      </c>
      <c r="U27" s="13">
        <v>43</v>
      </c>
      <c r="V27" s="12" t="s">
        <v>50</v>
      </c>
      <c r="W27" s="12" t="s">
        <v>51</v>
      </c>
      <c r="X27" s="14"/>
      <c r="Y27" s="14"/>
      <c r="Z27" s="14"/>
      <c r="AA27" s="14"/>
      <c r="AB27" s="14"/>
      <c r="AC27" s="15">
        <v>45.5</v>
      </c>
      <c r="AD27" s="15">
        <f>AC27*AG27</f>
        <v>6051.5</v>
      </c>
      <c r="AE27" s="15">
        <v>100</v>
      </c>
      <c r="AF27" s="15">
        <f>AE27*AG27</f>
        <v>13300</v>
      </c>
      <c r="AG27" s="16">
        <v>133</v>
      </c>
    </row>
    <row r="28" spans="1:33" ht="15" customHeight="1" x14ac:dyDescent="0.2">
      <c r="A28" s="11" t="str">
        <f>HYPERLINK("https://assets.vans.eu/images/VN000D75BOP-HERO/1","VN000D75BOP1")</f>
        <v>VN000D75BOP1</v>
      </c>
      <c r="B28" s="12" t="s">
        <v>257</v>
      </c>
      <c r="C28" s="12" t="s">
        <v>110</v>
      </c>
      <c r="D28" s="12" t="s">
        <v>258</v>
      </c>
      <c r="E28" s="12" t="s">
        <v>259</v>
      </c>
      <c r="F28" s="13">
        <v>95</v>
      </c>
      <c r="G28" s="14"/>
      <c r="H28" s="12" t="s">
        <v>38</v>
      </c>
      <c r="I28" s="12" t="s">
        <v>113</v>
      </c>
      <c r="J28" s="12" t="s">
        <v>114</v>
      </c>
      <c r="K28" s="12" t="s">
        <v>82</v>
      </c>
      <c r="L28" s="12" t="s">
        <v>260</v>
      </c>
      <c r="M28" s="12" t="s">
        <v>43</v>
      </c>
      <c r="N28" s="12" t="s">
        <v>44</v>
      </c>
      <c r="O28" s="12" t="s">
        <v>261</v>
      </c>
      <c r="P28" s="12" t="s">
        <v>46</v>
      </c>
      <c r="Q28" s="12" t="s">
        <v>47</v>
      </c>
      <c r="R28" s="12" t="s">
        <v>117</v>
      </c>
      <c r="S28" s="13">
        <v>197803506270</v>
      </c>
      <c r="T28" s="12" t="s">
        <v>105</v>
      </c>
      <c r="U28" s="13">
        <v>42.5</v>
      </c>
      <c r="V28" s="12" t="s">
        <v>50</v>
      </c>
      <c r="W28" s="12" t="s">
        <v>262</v>
      </c>
      <c r="X28" s="14"/>
      <c r="Y28" s="12" t="s">
        <v>53</v>
      </c>
      <c r="Z28" s="12" t="s">
        <v>263</v>
      </c>
      <c r="AA28" s="14"/>
      <c r="AB28" s="12" t="s">
        <v>264</v>
      </c>
      <c r="AC28" s="15">
        <v>43.2</v>
      </c>
      <c r="AD28" s="15">
        <f>AC28*AG28</f>
        <v>5659.2000000000007</v>
      </c>
      <c r="AE28" s="15">
        <v>95</v>
      </c>
      <c r="AF28" s="15">
        <f>AE28*AG28</f>
        <v>12445</v>
      </c>
      <c r="AG28" s="16">
        <v>131</v>
      </c>
    </row>
    <row r="29" spans="1:33" ht="15" customHeight="1" x14ac:dyDescent="0.2">
      <c r="A29" s="11" t="str">
        <f t="shared" ref="A29:A59" si="11">HYPERLINK("https://assets.vans.eu/images/VN000XUJB9P-HERO/1","VN000XUJB9P1")</f>
        <v>VN000XUJB9P1</v>
      </c>
      <c r="B29" s="12" t="s">
        <v>265</v>
      </c>
      <c r="C29" s="12" t="s">
        <v>266</v>
      </c>
      <c r="D29" s="12" t="s">
        <v>267</v>
      </c>
      <c r="E29" s="12" t="s">
        <v>268</v>
      </c>
      <c r="F29" s="13">
        <v>80</v>
      </c>
      <c r="G29" s="12" t="s">
        <v>269</v>
      </c>
      <c r="H29" s="12" t="s">
        <v>38</v>
      </c>
      <c r="I29" s="12" t="s">
        <v>113</v>
      </c>
      <c r="J29" s="12" t="s">
        <v>114</v>
      </c>
      <c r="K29" s="12" t="s">
        <v>82</v>
      </c>
      <c r="L29" s="12" t="s">
        <v>115</v>
      </c>
      <c r="M29" s="12" t="s">
        <v>43</v>
      </c>
      <c r="N29" s="12" t="s">
        <v>84</v>
      </c>
      <c r="O29" s="12" t="s">
        <v>270</v>
      </c>
      <c r="P29" s="12" t="s">
        <v>46</v>
      </c>
      <c r="Q29" s="12" t="s">
        <v>47</v>
      </c>
      <c r="R29" s="12" t="s">
        <v>117</v>
      </c>
      <c r="S29" s="13">
        <v>198266185668</v>
      </c>
      <c r="T29" s="12" t="s">
        <v>49</v>
      </c>
      <c r="U29" s="13">
        <v>40.5</v>
      </c>
      <c r="V29" s="12" t="s">
        <v>50</v>
      </c>
      <c r="W29" s="12" t="s">
        <v>51</v>
      </c>
      <c r="X29" s="14"/>
      <c r="Y29" s="14"/>
      <c r="Z29" s="14"/>
      <c r="AA29" s="14"/>
      <c r="AB29" s="14"/>
      <c r="AC29" s="15">
        <v>45.5</v>
      </c>
      <c r="AD29" s="15">
        <f>AC29*AG29</f>
        <v>5824</v>
      </c>
      <c r="AE29" s="15">
        <v>100</v>
      </c>
      <c r="AF29" s="15">
        <f>AE29*AG29</f>
        <v>12800</v>
      </c>
      <c r="AG29" s="16">
        <v>128</v>
      </c>
    </row>
    <row r="30" spans="1:33" ht="15" customHeight="1" x14ac:dyDescent="0.2">
      <c r="A30" s="11" t="str">
        <f t="shared" ref="A30:A269" si="12">HYPERLINK("https://assets.vans.eu/images/VN0A5HF8BLK-HERO/1","VN0A5HF8BLK1")</f>
        <v>VN0A5HF8BLK1</v>
      </c>
      <c r="B30" s="12" t="s">
        <v>271</v>
      </c>
      <c r="C30" s="12" t="s">
        <v>272</v>
      </c>
      <c r="D30" s="12" t="s">
        <v>76</v>
      </c>
      <c r="E30" s="12" t="s">
        <v>273</v>
      </c>
      <c r="F30" s="13">
        <v>50</v>
      </c>
      <c r="G30" s="14"/>
      <c r="H30" s="12" t="s">
        <v>38</v>
      </c>
      <c r="I30" s="12" t="s">
        <v>159</v>
      </c>
      <c r="J30" s="12" t="s">
        <v>255</v>
      </c>
      <c r="K30" s="12" t="s">
        <v>82</v>
      </c>
      <c r="L30" s="14"/>
      <c r="M30" s="12" t="s">
        <v>43</v>
      </c>
      <c r="N30" s="12" t="s">
        <v>274</v>
      </c>
      <c r="O30" s="12" t="s">
        <v>275</v>
      </c>
      <c r="P30" s="12" t="s">
        <v>46</v>
      </c>
      <c r="Q30" s="12" t="s">
        <v>276</v>
      </c>
      <c r="R30" s="12" t="s">
        <v>277</v>
      </c>
      <c r="S30" s="13">
        <v>194901731610</v>
      </c>
      <c r="T30" s="12" t="s">
        <v>143</v>
      </c>
      <c r="U30" s="13">
        <v>36.5</v>
      </c>
      <c r="V30" s="12" t="s">
        <v>278</v>
      </c>
      <c r="W30" s="12" t="s">
        <v>51</v>
      </c>
      <c r="X30" s="14"/>
      <c r="Y30" s="12" t="s">
        <v>91</v>
      </c>
      <c r="Z30" s="12" t="s">
        <v>165</v>
      </c>
      <c r="AA30" s="14"/>
      <c r="AB30" s="14"/>
      <c r="AC30" s="15">
        <v>27.3</v>
      </c>
      <c r="AD30" s="15">
        <f>AC30*AG30</f>
        <v>3467.1</v>
      </c>
      <c r="AE30" s="15">
        <v>60</v>
      </c>
      <c r="AF30" s="15">
        <f>AE30*AG30</f>
        <v>7620</v>
      </c>
      <c r="AG30" s="16">
        <v>127</v>
      </c>
    </row>
    <row r="31" spans="1:33" ht="15" customHeight="1" x14ac:dyDescent="0.2">
      <c r="A31" s="11" t="str">
        <f t="shared" ref="A31:A74" si="13">HYPERLINK("https://assets.vans.eu/images/VN000R32ENA-HERO/1","VN000R32ENA1")</f>
        <v>VN000R32ENA1</v>
      </c>
      <c r="B31" s="12" t="s">
        <v>279</v>
      </c>
      <c r="C31" s="12" t="s">
        <v>136</v>
      </c>
      <c r="D31" s="12" t="s">
        <v>280</v>
      </c>
      <c r="E31" s="12" t="s">
        <v>281</v>
      </c>
      <c r="F31" s="12" t="s">
        <v>138</v>
      </c>
      <c r="G31" s="14"/>
      <c r="H31" s="12" t="s">
        <v>79</v>
      </c>
      <c r="I31" s="12" t="s">
        <v>125</v>
      </c>
      <c r="J31" s="12" t="s">
        <v>139</v>
      </c>
      <c r="K31" s="12" t="s">
        <v>41</v>
      </c>
      <c r="L31" s="14"/>
      <c r="M31" s="12" t="s">
        <v>43</v>
      </c>
      <c r="N31" s="12" t="s">
        <v>84</v>
      </c>
      <c r="O31" s="12" t="s">
        <v>282</v>
      </c>
      <c r="P31" s="12" t="s">
        <v>86</v>
      </c>
      <c r="Q31" s="12" t="s">
        <v>141</v>
      </c>
      <c r="R31" s="12" t="s">
        <v>142</v>
      </c>
      <c r="S31" s="13">
        <v>197804375547</v>
      </c>
      <c r="T31" s="12" t="s">
        <v>143</v>
      </c>
      <c r="U31" s="12" t="s">
        <v>138</v>
      </c>
      <c r="V31" s="12" t="s">
        <v>283</v>
      </c>
      <c r="W31" s="12" t="s">
        <v>284</v>
      </c>
      <c r="X31" s="14"/>
      <c r="Y31" s="14"/>
      <c r="Z31" s="14"/>
      <c r="AA31" s="14"/>
      <c r="AB31" s="14"/>
      <c r="AC31" s="15">
        <v>7.3</v>
      </c>
      <c r="AD31" s="15">
        <f>AC31*AG31</f>
        <v>883.3</v>
      </c>
      <c r="AE31" s="15">
        <v>16</v>
      </c>
      <c r="AF31" s="15">
        <f>AE31*AG31</f>
        <v>1936</v>
      </c>
      <c r="AG31" s="16">
        <v>121</v>
      </c>
    </row>
    <row r="32" spans="1:33" ht="15" customHeight="1" x14ac:dyDescent="0.2">
      <c r="A32" s="11" t="str">
        <f>HYPERLINK("https://assets.vans.eu/images/VN000RW9BLK-HERO/1","VN000RW9BLK1")</f>
        <v>VN000RW9BLK1</v>
      </c>
      <c r="B32" s="12" t="s">
        <v>285</v>
      </c>
      <c r="C32" s="12" t="s">
        <v>286</v>
      </c>
      <c r="D32" s="12" t="s">
        <v>76</v>
      </c>
      <c r="E32" s="12" t="s">
        <v>287</v>
      </c>
      <c r="F32" s="12" t="s">
        <v>288</v>
      </c>
      <c r="G32" s="14"/>
      <c r="H32" s="12" t="s">
        <v>61</v>
      </c>
      <c r="I32" s="12" t="s">
        <v>289</v>
      </c>
      <c r="J32" s="12" t="s">
        <v>290</v>
      </c>
      <c r="K32" s="12" t="s">
        <v>100</v>
      </c>
      <c r="L32" s="14"/>
      <c r="M32" s="12" t="s">
        <v>43</v>
      </c>
      <c r="N32" s="12" t="s">
        <v>44</v>
      </c>
      <c r="O32" s="12" t="s">
        <v>291</v>
      </c>
      <c r="P32" s="12" t="s">
        <v>66</v>
      </c>
      <c r="Q32" s="12" t="s">
        <v>233</v>
      </c>
      <c r="R32" s="12" t="s">
        <v>292</v>
      </c>
      <c r="S32" s="13">
        <v>197804834693</v>
      </c>
      <c r="T32" s="12" t="s">
        <v>143</v>
      </c>
      <c r="U32" s="12" t="s">
        <v>288</v>
      </c>
      <c r="V32" s="12" t="s">
        <v>293</v>
      </c>
      <c r="W32" s="12" t="s">
        <v>51</v>
      </c>
      <c r="X32" s="13">
        <v>0</v>
      </c>
      <c r="Y32" s="12" t="s">
        <v>91</v>
      </c>
      <c r="Z32" s="12" t="s">
        <v>108</v>
      </c>
      <c r="AA32" s="13">
        <v>0</v>
      </c>
      <c r="AB32" s="13">
        <v>0</v>
      </c>
      <c r="AC32" s="15">
        <v>19.100000000000001</v>
      </c>
      <c r="AD32" s="15">
        <f>AC32*AG32</f>
        <v>2292</v>
      </c>
      <c r="AE32" s="15">
        <v>42</v>
      </c>
      <c r="AF32" s="15">
        <f>AE32*AG32</f>
        <v>5040</v>
      </c>
      <c r="AG32" s="16">
        <v>120</v>
      </c>
    </row>
    <row r="33" spans="1:33" ht="15" customHeight="1" x14ac:dyDescent="0.2">
      <c r="A33" s="11" t="str">
        <f t="shared" ref="A33:A68" si="14">HYPERLINK("https://assets.vans.eu/images/VN000R32EN7-HERO/1","VN000R32EN71")</f>
        <v>VN000R32EN71</v>
      </c>
      <c r="B33" s="12" t="s">
        <v>294</v>
      </c>
      <c r="C33" s="12" t="s">
        <v>136</v>
      </c>
      <c r="D33" s="12" t="s">
        <v>295</v>
      </c>
      <c r="E33" s="12" t="s">
        <v>296</v>
      </c>
      <c r="F33" s="12" t="s">
        <v>138</v>
      </c>
      <c r="G33" s="14"/>
      <c r="H33" s="12" t="s">
        <v>79</v>
      </c>
      <c r="I33" s="12" t="s">
        <v>125</v>
      </c>
      <c r="J33" s="12" t="s">
        <v>139</v>
      </c>
      <c r="K33" s="12" t="s">
        <v>41</v>
      </c>
      <c r="L33" s="14"/>
      <c r="M33" s="12" t="s">
        <v>43</v>
      </c>
      <c r="N33" s="12" t="s">
        <v>84</v>
      </c>
      <c r="O33" s="12" t="s">
        <v>297</v>
      </c>
      <c r="P33" s="12" t="s">
        <v>86</v>
      </c>
      <c r="Q33" s="12" t="s">
        <v>141</v>
      </c>
      <c r="R33" s="12" t="s">
        <v>142</v>
      </c>
      <c r="S33" s="13">
        <v>197804375578</v>
      </c>
      <c r="T33" s="12" t="s">
        <v>143</v>
      </c>
      <c r="U33" s="12" t="s">
        <v>138</v>
      </c>
      <c r="V33" s="12" t="s">
        <v>298</v>
      </c>
      <c r="W33" s="12" t="s">
        <v>299</v>
      </c>
      <c r="X33" s="14"/>
      <c r="Y33" s="14"/>
      <c r="Z33" s="14"/>
      <c r="AA33" s="14"/>
      <c r="AB33" s="14"/>
      <c r="AC33" s="15">
        <v>7.3</v>
      </c>
      <c r="AD33" s="15">
        <f>AC33*AG33</f>
        <v>832.19999999999993</v>
      </c>
      <c r="AE33" s="15">
        <v>16</v>
      </c>
      <c r="AF33" s="15">
        <f>AE33*AG33</f>
        <v>1824</v>
      </c>
      <c r="AG33" s="16">
        <v>114</v>
      </c>
    </row>
    <row r="34" spans="1:33" ht="15" customHeight="1" x14ac:dyDescent="0.2">
      <c r="A34" s="11" t="str">
        <f t="shared" si="1"/>
        <v>VN000E9XIVG1</v>
      </c>
      <c r="B34" s="12" t="s">
        <v>300</v>
      </c>
      <c r="C34" s="12" t="s">
        <v>110</v>
      </c>
      <c r="D34" s="12" t="s">
        <v>111</v>
      </c>
      <c r="E34" s="12" t="s">
        <v>301</v>
      </c>
      <c r="F34" s="13">
        <v>115</v>
      </c>
      <c r="G34" s="14"/>
      <c r="H34" s="12" t="s">
        <v>38</v>
      </c>
      <c r="I34" s="12" t="s">
        <v>113</v>
      </c>
      <c r="J34" s="12" t="s">
        <v>114</v>
      </c>
      <c r="K34" s="12" t="s">
        <v>82</v>
      </c>
      <c r="L34" s="12" t="s">
        <v>115</v>
      </c>
      <c r="M34" s="12" t="s">
        <v>43</v>
      </c>
      <c r="N34" s="12" t="s">
        <v>44</v>
      </c>
      <c r="O34" s="12" t="s">
        <v>302</v>
      </c>
      <c r="P34" s="12" t="s">
        <v>46</v>
      </c>
      <c r="Q34" s="12" t="s">
        <v>47</v>
      </c>
      <c r="R34" s="12" t="s">
        <v>117</v>
      </c>
      <c r="S34" s="13">
        <v>197804948789</v>
      </c>
      <c r="T34" s="12" t="s">
        <v>105</v>
      </c>
      <c r="U34" s="13">
        <v>45</v>
      </c>
      <c r="V34" s="12" t="s">
        <v>50</v>
      </c>
      <c r="W34" s="12" t="s">
        <v>118</v>
      </c>
      <c r="X34" s="12" t="s">
        <v>119</v>
      </c>
      <c r="Y34" s="12" t="s">
        <v>53</v>
      </c>
      <c r="Z34" s="12" t="s">
        <v>120</v>
      </c>
      <c r="AA34" s="12" t="s">
        <v>73</v>
      </c>
      <c r="AB34" s="12" t="s">
        <v>94</v>
      </c>
      <c r="AC34" s="15">
        <v>43.2</v>
      </c>
      <c r="AD34" s="15">
        <f>AC34*AG34</f>
        <v>4838.4000000000005</v>
      </c>
      <c r="AE34" s="15">
        <v>95</v>
      </c>
      <c r="AF34" s="15">
        <f>AE34*AG34</f>
        <v>10640</v>
      </c>
      <c r="AG34" s="16">
        <v>112</v>
      </c>
    </row>
    <row r="35" spans="1:33" ht="15" customHeight="1" x14ac:dyDescent="0.2">
      <c r="A35" s="11" t="str">
        <f t="shared" ref="A35:A170" si="15">HYPERLINK("https://assets.vans.eu/images/VN000QBGWHT-HERO/1","VN000QBGWHT1")</f>
        <v>VN000QBGWHT1</v>
      </c>
      <c r="B35" s="12" t="s">
        <v>303</v>
      </c>
      <c r="C35" s="12" t="s">
        <v>304</v>
      </c>
      <c r="D35" s="12" t="s">
        <v>168</v>
      </c>
      <c r="E35" s="12" t="s">
        <v>305</v>
      </c>
      <c r="F35" s="12" t="s">
        <v>179</v>
      </c>
      <c r="G35" s="14"/>
      <c r="H35" s="12" t="s">
        <v>79</v>
      </c>
      <c r="I35" s="12" t="s">
        <v>80</v>
      </c>
      <c r="J35" s="12" t="s">
        <v>171</v>
      </c>
      <c r="K35" s="12" t="s">
        <v>82</v>
      </c>
      <c r="L35" s="14"/>
      <c r="M35" s="12" t="s">
        <v>43</v>
      </c>
      <c r="N35" s="12" t="s">
        <v>84</v>
      </c>
      <c r="O35" s="12" t="s">
        <v>306</v>
      </c>
      <c r="P35" s="12" t="s">
        <v>86</v>
      </c>
      <c r="Q35" s="12" t="s">
        <v>141</v>
      </c>
      <c r="R35" s="12" t="s">
        <v>173</v>
      </c>
      <c r="S35" s="13">
        <v>197804394807</v>
      </c>
      <c r="T35" s="12" t="s">
        <v>143</v>
      </c>
      <c r="U35" s="12" t="s">
        <v>179</v>
      </c>
      <c r="V35" s="12" t="s">
        <v>307</v>
      </c>
      <c r="W35" s="12" t="s">
        <v>175</v>
      </c>
      <c r="X35" s="14"/>
      <c r="Y35" s="14"/>
      <c r="Z35" s="14"/>
      <c r="AA35" s="14"/>
      <c r="AB35" s="14"/>
      <c r="AC35" s="15">
        <v>7.3</v>
      </c>
      <c r="AD35" s="15">
        <f>AC35*AG35</f>
        <v>810.3</v>
      </c>
      <c r="AE35" s="15">
        <v>16</v>
      </c>
      <c r="AF35" s="15">
        <f>AE35*AG35</f>
        <v>1776</v>
      </c>
      <c r="AG35" s="16">
        <v>111</v>
      </c>
    </row>
    <row r="36" spans="1:33" ht="15" customHeight="1" x14ac:dyDescent="0.2">
      <c r="A36" s="11" t="str">
        <f t="shared" ref="A36:A53" si="16">HYPERLINK("https://assets.vans.eu/images/VN000V68Y61-HERO/1","VN000V68Y611")</f>
        <v>VN000V68Y611</v>
      </c>
      <c r="B36" s="12" t="s">
        <v>308</v>
      </c>
      <c r="C36" s="12" t="s">
        <v>309</v>
      </c>
      <c r="D36" s="12" t="s">
        <v>310</v>
      </c>
      <c r="E36" s="12" t="s">
        <v>311</v>
      </c>
      <c r="F36" s="13">
        <v>60</v>
      </c>
      <c r="G36" s="14"/>
      <c r="H36" s="12" t="s">
        <v>38</v>
      </c>
      <c r="I36" s="12" t="s">
        <v>205</v>
      </c>
      <c r="J36" s="12" t="s">
        <v>206</v>
      </c>
      <c r="K36" s="12" t="s">
        <v>207</v>
      </c>
      <c r="L36" s="12" t="s">
        <v>42</v>
      </c>
      <c r="M36" s="12" t="s">
        <v>43</v>
      </c>
      <c r="N36" s="12" t="s">
        <v>84</v>
      </c>
      <c r="O36" s="12" t="s">
        <v>312</v>
      </c>
      <c r="P36" s="12" t="s">
        <v>46</v>
      </c>
      <c r="Q36" s="12" t="s">
        <v>47</v>
      </c>
      <c r="R36" s="12" t="s">
        <v>313</v>
      </c>
      <c r="S36" s="13">
        <v>198270303720</v>
      </c>
      <c r="T36" s="12" t="s">
        <v>49</v>
      </c>
      <c r="U36" s="13">
        <v>38</v>
      </c>
      <c r="V36" s="12" t="s">
        <v>209</v>
      </c>
      <c r="W36" s="12" t="s">
        <v>51</v>
      </c>
      <c r="X36" s="14"/>
      <c r="Y36" s="14"/>
      <c r="Z36" s="14"/>
      <c r="AA36" s="14"/>
      <c r="AB36" s="14"/>
      <c r="AC36" s="15">
        <v>38.65</v>
      </c>
      <c r="AD36" s="15">
        <f>AC36*AG36</f>
        <v>4290.1499999999996</v>
      </c>
      <c r="AE36" s="15">
        <v>85</v>
      </c>
      <c r="AF36" s="15">
        <f>AE36*AG36</f>
        <v>9435</v>
      </c>
      <c r="AG36" s="16">
        <v>111</v>
      </c>
    </row>
    <row r="37" spans="1:33" ht="15" customHeight="1" x14ac:dyDescent="0.2">
      <c r="A37" s="11" t="str">
        <f t="shared" ref="A37:A38" si="17">HYPERLINK("https://assets.vans.eu/images/VN000Q94BLK-HERO/1","VN000Q94BLK1")</f>
        <v>VN000Q94BLK1</v>
      </c>
      <c r="B37" s="12" t="s">
        <v>314</v>
      </c>
      <c r="C37" s="12" t="s">
        <v>315</v>
      </c>
      <c r="D37" s="12" t="s">
        <v>76</v>
      </c>
      <c r="E37" s="12" t="s">
        <v>316</v>
      </c>
      <c r="F37" s="12" t="s">
        <v>153</v>
      </c>
      <c r="G37" s="14"/>
      <c r="H37" s="12" t="s">
        <v>79</v>
      </c>
      <c r="I37" s="12" t="s">
        <v>125</v>
      </c>
      <c r="J37" s="12" t="s">
        <v>139</v>
      </c>
      <c r="K37" s="12" t="s">
        <v>41</v>
      </c>
      <c r="L37" s="14"/>
      <c r="M37" s="12" t="s">
        <v>43</v>
      </c>
      <c r="N37" s="12" t="s">
        <v>84</v>
      </c>
      <c r="O37" s="12" t="s">
        <v>317</v>
      </c>
      <c r="P37" s="12" t="s">
        <v>86</v>
      </c>
      <c r="Q37" s="12" t="s">
        <v>141</v>
      </c>
      <c r="R37" s="12" t="s">
        <v>142</v>
      </c>
      <c r="S37" s="13">
        <v>197804374113</v>
      </c>
      <c r="T37" s="12" t="s">
        <v>143</v>
      </c>
      <c r="U37" s="12" t="s">
        <v>153</v>
      </c>
      <c r="V37" s="12" t="s">
        <v>318</v>
      </c>
      <c r="W37" s="12" t="s">
        <v>51</v>
      </c>
      <c r="X37" s="14"/>
      <c r="Y37" s="14"/>
      <c r="Z37" s="14"/>
      <c r="AA37" s="14"/>
      <c r="AB37" s="14"/>
      <c r="AC37" s="15">
        <v>6.4</v>
      </c>
      <c r="AD37" s="15">
        <f>AC37*AG37</f>
        <v>691.2</v>
      </c>
      <c r="AE37" s="15">
        <v>14</v>
      </c>
      <c r="AF37" s="15">
        <f>AE37*AG37</f>
        <v>1512</v>
      </c>
      <c r="AG37" s="16">
        <v>108</v>
      </c>
    </row>
    <row r="38" spans="1:33" ht="15" customHeight="1" x14ac:dyDescent="0.2">
      <c r="A38" s="11" t="str">
        <f t="shared" si="17"/>
        <v>VN000Q94BLK1</v>
      </c>
      <c r="B38" s="12" t="s">
        <v>319</v>
      </c>
      <c r="C38" s="12" t="s">
        <v>315</v>
      </c>
      <c r="D38" s="12" t="s">
        <v>76</v>
      </c>
      <c r="E38" s="12" t="s">
        <v>320</v>
      </c>
      <c r="F38" s="12" t="s">
        <v>138</v>
      </c>
      <c r="G38" s="14"/>
      <c r="H38" s="12" t="s">
        <v>79</v>
      </c>
      <c r="I38" s="12" t="s">
        <v>125</v>
      </c>
      <c r="J38" s="12" t="s">
        <v>139</v>
      </c>
      <c r="K38" s="12" t="s">
        <v>41</v>
      </c>
      <c r="L38" s="14"/>
      <c r="M38" s="12" t="s">
        <v>43</v>
      </c>
      <c r="N38" s="12" t="s">
        <v>84</v>
      </c>
      <c r="O38" s="12" t="s">
        <v>321</v>
      </c>
      <c r="P38" s="12" t="s">
        <v>86</v>
      </c>
      <c r="Q38" s="12" t="s">
        <v>141</v>
      </c>
      <c r="R38" s="12" t="s">
        <v>142</v>
      </c>
      <c r="S38" s="13">
        <v>197804374120</v>
      </c>
      <c r="T38" s="12" t="s">
        <v>143</v>
      </c>
      <c r="U38" s="12" t="s">
        <v>138</v>
      </c>
      <c r="V38" s="12" t="s">
        <v>318</v>
      </c>
      <c r="W38" s="12" t="s">
        <v>51</v>
      </c>
      <c r="X38" s="14"/>
      <c r="Y38" s="14"/>
      <c r="Z38" s="14"/>
      <c r="AA38" s="14"/>
      <c r="AB38" s="14"/>
      <c r="AC38" s="15">
        <v>6.4</v>
      </c>
      <c r="AD38" s="15">
        <f>AC38*AG38</f>
        <v>665.6</v>
      </c>
      <c r="AE38" s="15">
        <v>14</v>
      </c>
      <c r="AF38" s="15">
        <f>AE38*AG38</f>
        <v>1456</v>
      </c>
      <c r="AG38" s="16">
        <v>104</v>
      </c>
    </row>
    <row r="39" spans="1:33" ht="15" customHeight="1" x14ac:dyDescent="0.2">
      <c r="A39" s="11" t="str">
        <f t="shared" si="7"/>
        <v>VN000ECUB5P1</v>
      </c>
      <c r="B39" s="12" t="s">
        <v>322</v>
      </c>
      <c r="C39" s="12" t="s">
        <v>34</v>
      </c>
      <c r="D39" s="12" t="s">
        <v>203</v>
      </c>
      <c r="E39" s="12" t="s">
        <v>323</v>
      </c>
      <c r="F39" s="13">
        <v>55</v>
      </c>
      <c r="G39" s="14"/>
      <c r="H39" s="12" t="s">
        <v>38</v>
      </c>
      <c r="I39" s="12" t="s">
        <v>205</v>
      </c>
      <c r="J39" s="12" t="s">
        <v>206</v>
      </c>
      <c r="K39" s="12" t="s">
        <v>207</v>
      </c>
      <c r="L39" s="12" t="s">
        <v>42</v>
      </c>
      <c r="M39" s="12" t="s">
        <v>43</v>
      </c>
      <c r="N39" s="12" t="s">
        <v>84</v>
      </c>
      <c r="O39" s="12" t="s">
        <v>324</v>
      </c>
      <c r="P39" s="12" t="s">
        <v>46</v>
      </c>
      <c r="Q39" s="12" t="s">
        <v>47</v>
      </c>
      <c r="R39" s="12" t="s">
        <v>48</v>
      </c>
      <c r="S39" s="13">
        <v>198270303638</v>
      </c>
      <c r="T39" s="12" t="s">
        <v>49</v>
      </c>
      <c r="U39" s="13">
        <v>37</v>
      </c>
      <c r="V39" s="12" t="s">
        <v>209</v>
      </c>
      <c r="W39" s="12" t="s">
        <v>51</v>
      </c>
      <c r="X39" s="14"/>
      <c r="Y39" s="14"/>
      <c r="Z39" s="14"/>
      <c r="AA39" s="14"/>
      <c r="AB39" s="14"/>
      <c r="AC39" s="15">
        <v>36.4</v>
      </c>
      <c r="AD39" s="15">
        <f>AC39*AG39</f>
        <v>3785.6</v>
      </c>
      <c r="AE39" s="15">
        <v>80</v>
      </c>
      <c r="AF39" s="15">
        <f>AE39*AG39</f>
        <v>8320</v>
      </c>
      <c r="AG39" s="16">
        <v>104</v>
      </c>
    </row>
    <row r="40" spans="1:33" ht="15" customHeight="1" x14ac:dyDescent="0.2">
      <c r="A40" s="11" t="str">
        <f t="shared" si="16"/>
        <v>VN000V68Y611</v>
      </c>
      <c r="B40" s="12" t="s">
        <v>325</v>
      </c>
      <c r="C40" s="12" t="s">
        <v>309</v>
      </c>
      <c r="D40" s="12" t="s">
        <v>310</v>
      </c>
      <c r="E40" s="12" t="s">
        <v>326</v>
      </c>
      <c r="F40" s="13">
        <v>55</v>
      </c>
      <c r="G40" s="14"/>
      <c r="H40" s="12" t="s">
        <v>38</v>
      </c>
      <c r="I40" s="12" t="s">
        <v>205</v>
      </c>
      <c r="J40" s="12" t="s">
        <v>206</v>
      </c>
      <c r="K40" s="12" t="s">
        <v>207</v>
      </c>
      <c r="L40" s="12" t="s">
        <v>42</v>
      </c>
      <c r="M40" s="12" t="s">
        <v>43</v>
      </c>
      <c r="N40" s="12" t="s">
        <v>84</v>
      </c>
      <c r="O40" s="12" t="s">
        <v>327</v>
      </c>
      <c r="P40" s="12" t="s">
        <v>46</v>
      </c>
      <c r="Q40" s="12" t="s">
        <v>47</v>
      </c>
      <c r="R40" s="12" t="s">
        <v>313</v>
      </c>
      <c r="S40" s="13">
        <v>198270303591</v>
      </c>
      <c r="T40" s="12" t="s">
        <v>49</v>
      </c>
      <c r="U40" s="13">
        <v>37</v>
      </c>
      <c r="V40" s="12" t="s">
        <v>209</v>
      </c>
      <c r="W40" s="12" t="s">
        <v>51</v>
      </c>
      <c r="X40" s="14"/>
      <c r="Y40" s="14"/>
      <c r="Z40" s="14"/>
      <c r="AA40" s="14"/>
      <c r="AB40" s="14"/>
      <c r="AC40" s="15">
        <v>38.65</v>
      </c>
      <c r="AD40" s="15">
        <f>AC40*AG40</f>
        <v>3980.95</v>
      </c>
      <c r="AE40" s="15">
        <v>85</v>
      </c>
      <c r="AF40" s="15">
        <f>AE40*AG40</f>
        <v>8755</v>
      </c>
      <c r="AG40" s="16">
        <v>103</v>
      </c>
    </row>
    <row r="41" spans="1:33" ht="15" customHeight="1" x14ac:dyDescent="0.2">
      <c r="A41" s="11" t="str">
        <f t="shared" si="16"/>
        <v>VN000V68Y611</v>
      </c>
      <c r="B41" s="12" t="s">
        <v>328</v>
      </c>
      <c r="C41" s="12" t="s">
        <v>309</v>
      </c>
      <c r="D41" s="12" t="s">
        <v>310</v>
      </c>
      <c r="E41" s="12" t="s">
        <v>329</v>
      </c>
      <c r="F41" s="13">
        <v>40</v>
      </c>
      <c r="G41" s="14"/>
      <c r="H41" s="12" t="s">
        <v>38</v>
      </c>
      <c r="I41" s="12" t="s">
        <v>205</v>
      </c>
      <c r="J41" s="12" t="s">
        <v>206</v>
      </c>
      <c r="K41" s="12" t="s">
        <v>207</v>
      </c>
      <c r="L41" s="12" t="s">
        <v>42</v>
      </c>
      <c r="M41" s="12" t="s">
        <v>43</v>
      </c>
      <c r="N41" s="12" t="s">
        <v>84</v>
      </c>
      <c r="O41" s="12" t="s">
        <v>330</v>
      </c>
      <c r="P41" s="12" t="s">
        <v>46</v>
      </c>
      <c r="Q41" s="12" t="s">
        <v>47</v>
      </c>
      <c r="R41" s="12" t="s">
        <v>313</v>
      </c>
      <c r="S41" s="13">
        <v>198270303515</v>
      </c>
      <c r="T41" s="12" t="s">
        <v>49</v>
      </c>
      <c r="U41" s="13">
        <v>35</v>
      </c>
      <c r="V41" s="12" t="s">
        <v>209</v>
      </c>
      <c r="W41" s="12" t="s">
        <v>51</v>
      </c>
      <c r="X41" s="14"/>
      <c r="Y41" s="14"/>
      <c r="Z41" s="14"/>
      <c r="AA41" s="14"/>
      <c r="AB41" s="14"/>
      <c r="AC41" s="15">
        <v>38.65</v>
      </c>
      <c r="AD41" s="15">
        <f>AC41*AG41</f>
        <v>3942.2999999999997</v>
      </c>
      <c r="AE41" s="15">
        <v>85</v>
      </c>
      <c r="AF41" s="15">
        <f>AE41*AG41</f>
        <v>8670</v>
      </c>
      <c r="AG41" s="16">
        <v>102</v>
      </c>
    </row>
    <row r="42" spans="1:33" ht="15" customHeight="1" x14ac:dyDescent="0.2">
      <c r="A42" s="11" t="str">
        <f t="shared" ref="A42:A1591" si="18">HYPERLINK("https://assets.vans.eu/images/VN000QBM7UG-HERO/1","VN000QBM7UG1")</f>
        <v>VN000QBM7UG1</v>
      </c>
      <c r="B42" s="12" t="s">
        <v>331</v>
      </c>
      <c r="C42" s="12" t="s">
        <v>332</v>
      </c>
      <c r="D42" s="12" t="s">
        <v>333</v>
      </c>
      <c r="E42" s="12" t="s">
        <v>334</v>
      </c>
      <c r="F42" s="12" t="s">
        <v>179</v>
      </c>
      <c r="G42" s="14"/>
      <c r="H42" s="12" t="s">
        <v>79</v>
      </c>
      <c r="I42" s="12" t="s">
        <v>80</v>
      </c>
      <c r="J42" s="12" t="s">
        <v>171</v>
      </c>
      <c r="K42" s="12" t="s">
        <v>82</v>
      </c>
      <c r="L42" s="14"/>
      <c r="M42" s="12" t="s">
        <v>43</v>
      </c>
      <c r="N42" s="12" t="s">
        <v>84</v>
      </c>
      <c r="O42" s="12" t="s">
        <v>335</v>
      </c>
      <c r="P42" s="12" t="s">
        <v>86</v>
      </c>
      <c r="Q42" s="12" t="s">
        <v>141</v>
      </c>
      <c r="R42" s="12" t="s">
        <v>173</v>
      </c>
      <c r="S42" s="13">
        <v>197804394760</v>
      </c>
      <c r="T42" s="12" t="s">
        <v>143</v>
      </c>
      <c r="U42" s="12" t="s">
        <v>179</v>
      </c>
      <c r="V42" s="12" t="s">
        <v>336</v>
      </c>
      <c r="W42" s="12" t="s">
        <v>186</v>
      </c>
      <c r="X42" s="14"/>
      <c r="Y42" s="14"/>
      <c r="Z42" s="14"/>
      <c r="AA42" s="14"/>
      <c r="AB42" s="14"/>
      <c r="AC42" s="15">
        <v>8.1999999999999993</v>
      </c>
      <c r="AD42" s="15">
        <f>AC42*AG42</f>
        <v>811.8</v>
      </c>
      <c r="AE42" s="15">
        <v>18</v>
      </c>
      <c r="AF42" s="15">
        <f>AE42*AG42</f>
        <v>1782</v>
      </c>
      <c r="AG42" s="16">
        <v>99</v>
      </c>
    </row>
    <row r="43" spans="1:33" ht="15" customHeight="1" x14ac:dyDescent="0.2">
      <c r="A43" s="11" t="str">
        <f t="shared" ref="A43:A48" si="19">HYPERLINK("https://assets.vans.eu/images/VN0A5FCCB9M-HERO/1","VN0A5FCCB9M1")</f>
        <v>VN0A5FCCB9M1</v>
      </c>
      <c r="B43" s="12" t="s">
        <v>337</v>
      </c>
      <c r="C43" s="12" t="s">
        <v>338</v>
      </c>
      <c r="D43" s="12" t="s">
        <v>339</v>
      </c>
      <c r="E43" s="12" t="s">
        <v>340</v>
      </c>
      <c r="F43" s="13">
        <v>35</v>
      </c>
      <c r="G43" s="14"/>
      <c r="H43" s="12" t="s">
        <v>38</v>
      </c>
      <c r="I43" s="12" t="s">
        <v>159</v>
      </c>
      <c r="J43" s="12" t="s">
        <v>341</v>
      </c>
      <c r="K43" s="12" t="s">
        <v>199</v>
      </c>
      <c r="L43" s="14"/>
      <c r="M43" s="12" t="s">
        <v>43</v>
      </c>
      <c r="N43" s="12" t="s">
        <v>84</v>
      </c>
      <c r="O43" s="12" t="s">
        <v>342</v>
      </c>
      <c r="P43" s="12" t="s">
        <v>46</v>
      </c>
      <c r="Q43" s="12" t="s">
        <v>47</v>
      </c>
      <c r="R43" s="12" t="s">
        <v>343</v>
      </c>
      <c r="S43" s="13">
        <v>194905567253</v>
      </c>
      <c r="T43" s="12" t="s">
        <v>49</v>
      </c>
      <c r="U43" s="13">
        <v>34.5</v>
      </c>
      <c r="V43" s="12" t="s">
        <v>50</v>
      </c>
      <c r="W43" s="12" t="s">
        <v>51</v>
      </c>
      <c r="X43" s="14"/>
      <c r="Y43" s="12" t="s">
        <v>91</v>
      </c>
      <c r="Z43" s="12" t="s">
        <v>344</v>
      </c>
      <c r="AA43" s="14"/>
      <c r="AB43" s="14"/>
      <c r="AC43" s="15">
        <v>43.2</v>
      </c>
      <c r="AD43" s="15">
        <f>AC43*AG43</f>
        <v>4276.8</v>
      </c>
      <c r="AE43" s="15">
        <v>95</v>
      </c>
      <c r="AF43" s="15">
        <f>AE43*AG43</f>
        <v>9405</v>
      </c>
      <c r="AG43" s="16">
        <v>99</v>
      </c>
    </row>
    <row r="44" spans="1:33" ht="15" customHeight="1" x14ac:dyDescent="0.2">
      <c r="A44" s="11" t="str">
        <f>HYPERLINK("https://assets.vans.eu/images/VN0A5GPLQID-HERO/1","VN0A5GPLQID1")</f>
        <v>VN0A5GPLQID1</v>
      </c>
      <c r="B44" s="12" t="s">
        <v>345</v>
      </c>
      <c r="C44" s="12" t="s">
        <v>346</v>
      </c>
      <c r="D44" s="12" t="s">
        <v>347</v>
      </c>
      <c r="E44" s="12" t="s">
        <v>348</v>
      </c>
      <c r="F44" s="12" t="s">
        <v>78</v>
      </c>
      <c r="G44" s="14"/>
      <c r="H44" s="12" t="s">
        <v>79</v>
      </c>
      <c r="I44" s="12" t="s">
        <v>80</v>
      </c>
      <c r="J44" s="12" t="s">
        <v>349</v>
      </c>
      <c r="K44" s="12" t="s">
        <v>100</v>
      </c>
      <c r="L44" s="12" t="s">
        <v>350</v>
      </c>
      <c r="M44" s="12" t="s">
        <v>43</v>
      </c>
      <c r="N44" s="12" t="s">
        <v>161</v>
      </c>
      <c r="O44" s="12" t="s">
        <v>351</v>
      </c>
      <c r="P44" s="12" t="s">
        <v>86</v>
      </c>
      <c r="Q44" s="12" t="s">
        <v>128</v>
      </c>
      <c r="R44" s="12" t="s">
        <v>352</v>
      </c>
      <c r="S44" s="13">
        <v>197065267261</v>
      </c>
      <c r="T44" s="12" t="s">
        <v>164</v>
      </c>
      <c r="U44" s="12" t="s">
        <v>78</v>
      </c>
      <c r="V44" s="12" t="s">
        <v>353</v>
      </c>
      <c r="W44" s="12" t="s">
        <v>299</v>
      </c>
      <c r="X44" s="13">
        <v>0</v>
      </c>
      <c r="Y44" s="12" t="s">
        <v>71</v>
      </c>
      <c r="Z44" s="12" t="s">
        <v>92</v>
      </c>
      <c r="AA44" s="12" t="s">
        <v>354</v>
      </c>
      <c r="AB44" s="12" t="s">
        <v>355</v>
      </c>
      <c r="AC44" s="15">
        <v>11.85</v>
      </c>
      <c r="AD44" s="15">
        <f>AC44*AG44</f>
        <v>1161.3</v>
      </c>
      <c r="AE44" s="15">
        <v>26</v>
      </c>
      <c r="AF44" s="15">
        <f>AE44*AG44</f>
        <v>2548</v>
      </c>
      <c r="AG44" s="16">
        <v>98</v>
      </c>
    </row>
    <row r="45" spans="1:33" ht="15" customHeight="1" x14ac:dyDescent="0.2">
      <c r="A45" s="11" t="str">
        <f t="shared" ref="A45:A188" si="20">HYPERLINK("https://assets.vans.eu/images/VN000HZBYEH-HERO/1","VN000HZBYEH1")</f>
        <v>VN000HZBYEH1</v>
      </c>
      <c r="B45" s="12" t="s">
        <v>356</v>
      </c>
      <c r="C45" s="12" t="s">
        <v>357</v>
      </c>
      <c r="D45" s="12" t="s">
        <v>358</v>
      </c>
      <c r="E45" s="12" t="s">
        <v>359</v>
      </c>
      <c r="F45" s="13">
        <v>29</v>
      </c>
      <c r="G45" s="14"/>
      <c r="H45" s="12" t="s">
        <v>61</v>
      </c>
      <c r="I45" s="12" t="s">
        <v>230</v>
      </c>
      <c r="J45" s="12" t="s">
        <v>231</v>
      </c>
      <c r="K45" s="12" t="s">
        <v>199</v>
      </c>
      <c r="L45" s="14"/>
      <c r="M45" s="12" t="s">
        <v>43</v>
      </c>
      <c r="N45" s="12" t="s">
        <v>84</v>
      </c>
      <c r="O45" s="12" t="s">
        <v>360</v>
      </c>
      <c r="P45" s="12" t="s">
        <v>66</v>
      </c>
      <c r="Q45" s="12" t="s">
        <v>233</v>
      </c>
      <c r="R45" s="12" t="s">
        <v>361</v>
      </c>
      <c r="S45" s="13">
        <v>197065838911</v>
      </c>
      <c r="T45" s="12" t="s">
        <v>235</v>
      </c>
      <c r="U45" s="13">
        <v>29</v>
      </c>
      <c r="V45" s="12" t="s">
        <v>362</v>
      </c>
      <c r="W45" s="12" t="s">
        <v>186</v>
      </c>
      <c r="X45" s="13">
        <v>0</v>
      </c>
      <c r="Y45" s="12" t="s">
        <v>91</v>
      </c>
      <c r="Z45" s="12" t="s">
        <v>108</v>
      </c>
      <c r="AA45" s="13">
        <v>0</v>
      </c>
      <c r="AB45" s="13">
        <v>0</v>
      </c>
      <c r="AC45" s="15">
        <v>34.1</v>
      </c>
      <c r="AD45" s="15">
        <f>AC45*AG45</f>
        <v>3341.8</v>
      </c>
      <c r="AE45" s="15">
        <v>75</v>
      </c>
      <c r="AF45" s="15">
        <f>AE45*AG45</f>
        <v>7350</v>
      </c>
      <c r="AG45" s="16">
        <v>98</v>
      </c>
    </row>
    <row r="46" spans="1:33" ht="15" customHeight="1" x14ac:dyDescent="0.2">
      <c r="A46" s="11" t="str">
        <f t="shared" ref="A46:A1298" si="21">HYPERLINK("https://assets.vans.eu/images/VN000QBPWHT-HERO/1","VN000QBPWHT1")</f>
        <v>VN000QBPWHT1</v>
      </c>
      <c r="B46" s="12" t="s">
        <v>363</v>
      </c>
      <c r="C46" s="12" t="s">
        <v>364</v>
      </c>
      <c r="D46" s="12" t="s">
        <v>168</v>
      </c>
      <c r="E46" s="12" t="s">
        <v>365</v>
      </c>
      <c r="F46" s="12" t="s">
        <v>179</v>
      </c>
      <c r="G46" s="14"/>
      <c r="H46" s="12" t="s">
        <v>79</v>
      </c>
      <c r="I46" s="12" t="s">
        <v>80</v>
      </c>
      <c r="J46" s="12" t="s">
        <v>171</v>
      </c>
      <c r="K46" s="12" t="s">
        <v>82</v>
      </c>
      <c r="L46" s="14"/>
      <c r="M46" s="12" t="s">
        <v>43</v>
      </c>
      <c r="N46" s="12" t="s">
        <v>84</v>
      </c>
      <c r="O46" s="12" t="s">
        <v>366</v>
      </c>
      <c r="P46" s="12" t="s">
        <v>86</v>
      </c>
      <c r="Q46" s="12" t="s">
        <v>141</v>
      </c>
      <c r="R46" s="12" t="s">
        <v>173</v>
      </c>
      <c r="S46" s="13">
        <v>197804394975</v>
      </c>
      <c r="T46" s="12" t="s">
        <v>143</v>
      </c>
      <c r="U46" s="12" t="s">
        <v>179</v>
      </c>
      <c r="V46" s="12" t="s">
        <v>367</v>
      </c>
      <c r="W46" s="12" t="s">
        <v>175</v>
      </c>
      <c r="X46" s="14"/>
      <c r="Y46" s="14"/>
      <c r="Z46" s="14"/>
      <c r="AA46" s="14"/>
      <c r="AB46" s="14"/>
      <c r="AC46" s="15">
        <v>7.3</v>
      </c>
      <c r="AD46" s="15">
        <f>AC46*AG46</f>
        <v>708.1</v>
      </c>
      <c r="AE46" s="15">
        <v>16</v>
      </c>
      <c r="AF46" s="15">
        <f>AE46*AG46</f>
        <v>1552</v>
      </c>
      <c r="AG46" s="16">
        <v>97</v>
      </c>
    </row>
    <row r="47" spans="1:33" ht="15" customHeight="1" x14ac:dyDescent="0.2">
      <c r="A47" s="11" t="str">
        <f t="shared" ref="A47:A109" si="22">HYPERLINK("https://assets.vans.eu/images/VN000KI5186-HERO/1","VN000KI51861")</f>
        <v>VN000KI51861</v>
      </c>
      <c r="B47" s="12" t="s">
        <v>368</v>
      </c>
      <c r="C47" s="12" t="s">
        <v>369</v>
      </c>
      <c r="D47" s="12" t="s">
        <v>370</v>
      </c>
      <c r="E47" s="12" t="s">
        <v>371</v>
      </c>
      <c r="F47" s="13">
        <v>40</v>
      </c>
      <c r="G47" s="12" t="s">
        <v>372</v>
      </c>
      <c r="H47" s="12" t="s">
        <v>38</v>
      </c>
      <c r="I47" s="12" t="s">
        <v>39</v>
      </c>
      <c r="J47" s="12" t="s">
        <v>40</v>
      </c>
      <c r="K47" s="12" t="s">
        <v>373</v>
      </c>
      <c r="L47" s="14"/>
      <c r="M47" s="12" t="s">
        <v>43</v>
      </c>
      <c r="N47" s="12" t="s">
        <v>84</v>
      </c>
      <c r="O47" s="12" t="s">
        <v>374</v>
      </c>
      <c r="P47" s="12" t="s">
        <v>46</v>
      </c>
      <c r="Q47" s="12" t="s">
        <v>47</v>
      </c>
      <c r="R47" s="12" t="s">
        <v>48</v>
      </c>
      <c r="S47" s="13">
        <v>766182060453</v>
      </c>
      <c r="T47" s="12" t="s">
        <v>105</v>
      </c>
      <c r="U47" s="13">
        <v>35</v>
      </c>
      <c r="V47" s="12" t="s">
        <v>375</v>
      </c>
      <c r="W47" s="12" t="s">
        <v>51</v>
      </c>
      <c r="X47" s="14"/>
      <c r="Y47" s="12" t="s">
        <v>71</v>
      </c>
      <c r="Z47" s="12" t="s">
        <v>376</v>
      </c>
      <c r="AA47" s="14"/>
      <c r="AB47" s="14"/>
      <c r="AC47" s="15">
        <v>19.05</v>
      </c>
      <c r="AD47" s="15">
        <f>AC47*AG47</f>
        <v>1847.8500000000001</v>
      </c>
      <c r="AE47" s="15">
        <v>40</v>
      </c>
      <c r="AF47" s="15">
        <f>AE47*AG47</f>
        <v>3880</v>
      </c>
      <c r="AG47" s="16">
        <v>97</v>
      </c>
    </row>
    <row r="48" spans="1:33" ht="15" customHeight="1" x14ac:dyDescent="0.2">
      <c r="A48" s="11" t="str">
        <f t="shared" si="19"/>
        <v>VN0A5FCCB9M1</v>
      </c>
      <c r="B48" s="12" t="s">
        <v>377</v>
      </c>
      <c r="C48" s="12" t="s">
        <v>338</v>
      </c>
      <c r="D48" s="12" t="s">
        <v>339</v>
      </c>
      <c r="E48" s="12" t="s">
        <v>378</v>
      </c>
      <c r="F48" s="13">
        <v>40</v>
      </c>
      <c r="G48" s="14"/>
      <c r="H48" s="12" t="s">
        <v>38</v>
      </c>
      <c r="I48" s="12" t="s">
        <v>159</v>
      </c>
      <c r="J48" s="12" t="s">
        <v>341</v>
      </c>
      <c r="K48" s="12" t="s">
        <v>199</v>
      </c>
      <c r="L48" s="14"/>
      <c r="M48" s="12" t="s">
        <v>43</v>
      </c>
      <c r="N48" s="12" t="s">
        <v>84</v>
      </c>
      <c r="O48" s="12" t="s">
        <v>379</v>
      </c>
      <c r="P48" s="12" t="s">
        <v>46</v>
      </c>
      <c r="Q48" s="12" t="s">
        <v>47</v>
      </c>
      <c r="R48" s="12" t="s">
        <v>343</v>
      </c>
      <c r="S48" s="13">
        <v>194905567413</v>
      </c>
      <c r="T48" s="12" t="s">
        <v>49</v>
      </c>
      <c r="U48" s="13">
        <v>35</v>
      </c>
      <c r="V48" s="12" t="s">
        <v>50</v>
      </c>
      <c r="W48" s="12" t="s">
        <v>51</v>
      </c>
      <c r="X48" s="14"/>
      <c r="Y48" s="12" t="s">
        <v>91</v>
      </c>
      <c r="Z48" s="12" t="s">
        <v>344</v>
      </c>
      <c r="AA48" s="14"/>
      <c r="AB48" s="14"/>
      <c r="AC48" s="15">
        <v>43.2</v>
      </c>
      <c r="AD48" s="15">
        <f>AC48*AG48</f>
        <v>4104</v>
      </c>
      <c r="AE48" s="15">
        <v>95</v>
      </c>
      <c r="AF48" s="15">
        <f>AE48*AG48</f>
        <v>9025</v>
      </c>
      <c r="AG48" s="16">
        <v>95</v>
      </c>
    </row>
    <row r="49" spans="1:33" ht="15" customHeight="1" x14ac:dyDescent="0.2">
      <c r="A49" s="11" t="str">
        <f t="shared" ref="A49:A104" si="23">HYPERLINK("https://assets.vans.eu/images/VN000QBGBLK-HERO/1","VN000QBGBLK1")</f>
        <v>VN000QBGBLK1</v>
      </c>
      <c r="B49" s="12" t="s">
        <v>380</v>
      </c>
      <c r="C49" s="12" t="s">
        <v>304</v>
      </c>
      <c r="D49" s="12" t="s">
        <v>76</v>
      </c>
      <c r="E49" s="12" t="s">
        <v>381</v>
      </c>
      <c r="F49" s="12" t="s">
        <v>179</v>
      </c>
      <c r="G49" s="14"/>
      <c r="H49" s="12" t="s">
        <v>79</v>
      </c>
      <c r="I49" s="12" t="s">
        <v>80</v>
      </c>
      <c r="J49" s="12" t="s">
        <v>171</v>
      </c>
      <c r="K49" s="12" t="s">
        <v>82</v>
      </c>
      <c r="L49" s="14"/>
      <c r="M49" s="12" t="s">
        <v>43</v>
      </c>
      <c r="N49" s="12" t="s">
        <v>84</v>
      </c>
      <c r="O49" s="12" t="s">
        <v>382</v>
      </c>
      <c r="P49" s="12" t="s">
        <v>86</v>
      </c>
      <c r="Q49" s="12" t="s">
        <v>141</v>
      </c>
      <c r="R49" s="12" t="s">
        <v>173</v>
      </c>
      <c r="S49" s="13">
        <v>197804394708</v>
      </c>
      <c r="T49" s="12" t="s">
        <v>143</v>
      </c>
      <c r="U49" s="12" t="s">
        <v>179</v>
      </c>
      <c r="V49" s="12" t="s">
        <v>307</v>
      </c>
      <c r="W49" s="12" t="s">
        <v>51</v>
      </c>
      <c r="X49" s="14"/>
      <c r="Y49" s="14"/>
      <c r="Z49" s="14"/>
      <c r="AA49" s="14"/>
      <c r="AB49" s="14"/>
      <c r="AC49" s="15">
        <v>7.3</v>
      </c>
      <c r="AD49" s="15">
        <f>AC49*AG49</f>
        <v>678.9</v>
      </c>
      <c r="AE49" s="15">
        <v>16</v>
      </c>
      <c r="AF49" s="15">
        <f>AE49*AG49</f>
        <v>1488</v>
      </c>
      <c r="AG49" s="16">
        <v>93</v>
      </c>
    </row>
    <row r="50" spans="1:33" ht="15" customHeight="1" x14ac:dyDescent="0.2">
      <c r="A50" s="11" t="str">
        <f t="shared" ref="A50:A133" si="24">HYPERLINK("https://assets.vans.eu/images/VN000V68B5P-HERO/1","VN000V68B5P1")</f>
        <v>VN000V68B5P1</v>
      </c>
      <c r="B50" s="12" t="s">
        <v>383</v>
      </c>
      <c r="C50" s="12" t="s">
        <v>309</v>
      </c>
      <c r="D50" s="12" t="s">
        <v>203</v>
      </c>
      <c r="E50" s="12" t="s">
        <v>384</v>
      </c>
      <c r="F50" s="13">
        <v>60</v>
      </c>
      <c r="G50" s="14"/>
      <c r="H50" s="12" t="s">
        <v>38</v>
      </c>
      <c r="I50" s="12" t="s">
        <v>205</v>
      </c>
      <c r="J50" s="12" t="s">
        <v>206</v>
      </c>
      <c r="K50" s="12" t="s">
        <v>207</v>
      </c>
      <c r="L50" s="12" t="s">
        <v>42</v>
      </c>
      <c r="M50" s="12" t="s">
        <v>43</v>
      </c>
      <c r="N50" s="12" t="s">
        <v>84</v>
      </c>
      <c r="O50" s="12" t="s">
        <v>385</v>
      </c>
      <c r="P50" s="12" t="s">
        <v>46</v>
      </c>
      <c r="Q50" s="12" t="s">
        <v>47</v>
      </c>
      <c r="R50" s="12" t="s">
        <v>313</v>
      </c>
      <c r="S50" s="13">
        <v>198270303836</v>
      </c>
      <c r="T50" s="12" t="s">
        <v>49</v>
      </c>
      <c r="U50" s="13">
        <v>38</v>
      </c>
      <c r="V50" s="12" t="s">
        <v>209</v>
      </c>
      <c r="W50" s="12" t="s">
        <v>51</v>
      </c>
      <c r="X50" s="14"/>
      <c r="Y50" s="14"/>
      <c r="Z50" s="14"/>
      <c r="AA50" s="14"/>
      <c r="AB50" s="14"/>
      <c r="AC50" s="15">
        <v>38.65</v>
      </c>
      <c r="AD50" s="15">
        <f>AC50*AG50</f>
        <v>3555.7999999999997</v>
      </c>
      <c r="AE50" s="15">
        <v>85</v>
      </c>
      <c r="AF50" s="15">
        <f>AE50*AG50</f>
        <v>7820</v>
      </c>
      <c r="AG50" s="16">
        <v>92</v>
      </c>
    </row>
    <row r="51" spans="1:33" ht="15" customHeight="1" x14ac:dyDescent="0.2">
      <c r="A51" s="11" t="str">
        <f>HYPERLINK("https://assets.vans.eu/images/VN000J4Y7WM-HERO/1","VN000J4Y7WM1")</f>
        <v>VN000J4Y7WM1</v>
      </c>
      <c r="B51" s="12" t="s">
        <v>386</v>
      </c>
      <c r="C51" s="12" t="s">
        <v>387</v>
      </c>
      <c r="D51" s="12" t="s">
        <v>388</v>
      </c>
      <c r="E51" s="12" t="s">
        <v>389</v>
      </c>
      <c r="F51" s="12" t="s">
        <v>78</v>
      </c>
      <c r="G51" s="14"/>
      <c r="H51" s="12" t="s">
        <v>79</v>
      </c>
      <c r="I51" s="12" t="s">
        <v>125</v>
      </c>
      <c r="J51" s="12" t="s">
        <v>126</v>
      </c>
      <c r="K51" s="12" t="s">
        <v>41</v>
      </c>
      <c r="L51" s="14"/>
      <c r="M51" s="12" t="s">
        <v>43</v>
      </c>
      <c r="N51" s="12" t="s">
        <v>84</v>
      </c>
      <c r="O51" s="12" t="s">
        <v>390</v>
      </c>
      <c r="P51" s="12" t="s">
        <v>86</v>
      </c>
      <c r="Q51" s="12" t="s">
        <v>128</v>
      </c>
      <c r="R51" s="12" t="s">
        <v>129</v>
      </c>
      <c r="S51" s="13">
        <v>197065462772</v>
      </c>
      <c r="T51" s="12" t="s">
        <v>130</v>
      </c>
      <c r="U51" s="12" t="s">
        <v>78</v>
      </c>
      <c r="V51" s="12" t="s">
        <v>391</v>
      </c>
      <c r="W51" s="12" t="s">
        <v>284</v>
      </c>
      <c r="X51" s="13">
        <v>0</v>
      </c>
      <c r="Y51" s="12" t="s">
        <v>91</v>
      </c>
      <c r="Z51" s="12" t="s">
        <v>108</v>
      </c>
      <c r="AA51" s="13">
        <v>0</v>
      </c>
      <c r="AB51" s="13">
        <v>0</v>
      </c>
      <c r="AC51" s="15">
        <v>10.95</v>
      </c>
      <c r="AD51" s="15">
        <f>AC51*AG51</f>
        <v>996.44999999999993</v>
      </c>
      <c r="AE51" s="15">
        <v>24</v>
      </c>
      <c r="AF51" s="15">
        <f>AE51*AG51</f>
        <v>2184</v>
      </c>
      <c r="AG51" s="16">
        <v>91</v>
      </c>
    </row>
    <row r="52" spans="1:33" ht="15" customHeight="1" x14ac:dyDescent="0.2">
      <c r="A52" s="11" t="str">
        <f t="shared" si="20"/>
        <v>VN000HZBYEH1</v>
      </c>
      <c r="B52" s="12" t="s">
        <v>392</v>
      </c>
      <c r="C52" s="12" t="s">
        <v>357</v>
      </c>
      <c r="D52" s="12" t="s">
        <v>358</v>
      </c>
      <c r="E52" s="12" t="s">
        <v>393</v>
      </c>
      <c r="F52" s="13">
        <v>28</v>
      </c>
      <c r="G52" s="14"/>
      <c r="H52" s="12" t="s">
        <v>61</v>
      </c>
      <c r="I52" s="12" t="s">
        <v>230</v>
      </c>
      <c r="J52" s="12" t="s">
        <v>231</v>
      </c>
      <c r="K52" s="12" t="s">
        <v>199</v>
      </c>
      <c r="L52" s="14"/>
      <c r="M52" s="12" t="s">
        <v>43</v>
      </c>
      <c r="N52" s="12" t="s">
        <v>84</v>
      </c>
      <c r="O52" s="12" t="s">
        <v>394</v>
      </c>
      <c r="P52" s="12" t="s">
        <v>66</v>
      </c>
      <c r="Q52" s="12" t="s">
        <v>233</v>
      </c>
      <c r="R52" s="12" t="s">
        <v>361</v>
      </c>
      <c r="S52" s="13">
        <v>197065838836</v>
      </c>
      <c r="T52" s="12" t="s">
        <v>235</v>
      </c>
      <c r="U52" s="13">
        <v>28</v>
      </c>
      <c r="V52" s="12" t="s">
        <v>362</v>
      </c>
      <c r="W52" s="12" t="s">
        <v>186</v>
      </c>
      <c r="X52" s="13">
        <v>0</v>
      </c>
      <c r="Y52" s="12" t="s">
        <v>91</v>
      </c>
      <c r="Z52" s="12" t="s">
        <v>108</v>
      </c>
      <c r="AA52" s="13">
        <v>0</v>
      </c>
      <c r="AB52" s="13">
        <v>0</v>
      </c>
      <c r="AC52" s="15">
        <v>34.1</v>
      </c>
      <c r="AD52" s="15">
        <f>AC52*AG52</f>
        <v>3103.1</v>
      </c>
      <c r="AE52" s="15">
        <v>75</v>
      </c>
      <c r="AF52" s="15">
        <f>AE52*AG52</f>
        <v>6825</v>
      </c>
      <c r="AG52" s="16">
        <v>91</v>
      </c>
    </row>
    <row r="53" spans="1:33" ht="15" customHeight="1" x14ac:dyDescent="0.2">
      <c r="A53" s="11" t="str">
        <f t="shared" si="16"/>
        <v>VN000V68Y611</v>
      </c>
      <c r="B53" s="12" t="s">
        <v>395</v>
      </c>
      <c r="C53" s="12" t="s">
        <v>309</v>
      </c>
      <c r="D53" s="12" t="s">
        <v>310</v>
      </c>
      <c r="E53" s="12" t="s">
        <v>396</v>
      </c>
      <c r="F53" s="13">
        <v>45</v>
      </c>
      <c r="G53" s="14"/>
      <c r="H53" s="12" t="s">
        <v>38</v>
      </c>
      <c r="I53" s="12" t="s">
        <v>205</v>
      </c>
      <c r="J53" s="12" t="s">
        <v>206</v>
      </c>
      <c r="K53" s="12" t="s">
        <v>207</v>
      </c>
      <c r="L53" s="12" t="s">
        <v>42</v>
      </c>
      <c r="M53" s="12" t="s">
        <v>43</v>
      </c>
      <c r="N53" s="12" t="s">
        <v>84</v>
      </c>
      <c r="O53" s="12" t="s">
        <v>397</v>
      </c>
      <c r="P53" s="12" t="s">
        <v>46</v>
      </c>
      <c r="Q53" s="12" t="s">
        <v>47</v>
      </c>
      <c r="R53" s="12" t="s">
        <v>313</v>
      </c>
      <c r="S53" s="13">
        <v>198270303546</v>
      </c>
      <c r="T53" s="12" t="s">
        <v>49</v>
      </c>
      <c r="U53" s="13">
        <v>36</v>
      </c>
      <c r="V53" s="12" t="s">
        <v>209</v>
      </c>
      <c r="W53" s="12" t="s">
        <v>51</v>
      </c>
      <c r="X53" s="14"/>
      <c r="Y53" s="14"/>
      <c r="Z53" s="14"/>
      <c r="AA53" s="14"/>
      <c r="AB53" s="14"/>
      <c r="AC53" s="15">
        <v>38.65</v>
      </c>
      <c r="AD53" s="15">
        <f>AC53*AG53</f>
        <v>3439.85</v>
      </c>
      <c r="AE53" s="15">
        <v>85</v>
      </c>
      <c r="AF53" s="15">
        <f>AE53*AG53</f>
        <v>7565</v>
      </c>
      <c r="AG53" s="16">
        <v>89</v>
      </c>
    </row>
    <row r="54" spans="1:33" ht="15" customHeight="1" x14ac:dyDescent="0.2">
      <c r="A54" s="11" t="str">
        <f t="shared" si="6"/>
        <v>VN000QB8BLK1</v>
      </c>
      <c r="B54" s="12" t="s">
        <v>398</v>
      </c>
      <c r="C54" s="12" t="s">
        <v>177</v>
      </c>
      <c r="D54" s="12" t="s">
        <v>76</v>
      </c>
      <c r="E54" s="12" t="s">
        <v>399</v>
      </c>
      <c r="F54" s="12" t="s">
        <v>170</v>
      </c>
      <c r="G54" s="14"/>
      <c r="H54" s="12" t="s">
        <v>79</v>
      </c>
      <c r="I54" s="12" t="s">
        <v>80</v>
      </c>
      <c r="J54" s="12" t="s">
        <v>171</v>
      </c>
      <c r="K54" s="12" t="s">
        <v>82</v>
      </c>
      <c r="L54" s="14"/>
      <c r="M54" s="12" t="s">
        <v>43</v>
      </c>
      <c r="N54" s="12" t="s">
        <v>84</v>
      </c>
      <c r="O54" s="12" t="s">
        <v>400</v>
      </c>
      <c r="P54" s="12" t="s">
        <v>86</v>
      </c>
      <c r="Q54" s="12" t="s">
        <v>141</v>
      </c>
      <c r="R54" s="12" t="s">
        <v>173</v>
      </c>
      <c r="S54" s="13">
        <v>197804394081</v>
      </c>
      <c r="T54" s="12" t="s">
        <v>143</v>
      </c>
      <c r="U54" s="12" t="s">
        <v>170</v>
      </c>
      <c r="V54" s="12" t="s">
        <v>181</v>
      </c>
      <c r="W54" s="12" t="s">
        <v>51</v>
      </c>
      <c r="X54" s="14"/>
      <c r="Y54" s="14"/>
      <c r="Z54" s="14"/>
      <c r="AA54" s="14"/>
      <c r="AB54" s="14"/>
      <c r="AC54" s="15">
        <v>7.3</v>
      </c>
      <c r="AD54" s="15">
        <f>AC54*AG54</f>
        <v>642.4</v>
      </c>
      <c r="AE54" s="15">
        <v>16</v>
      </c>
      <c r="AF54" s="15">
        <f>AE54*AG54</f>
        <v>1408</v>
      </c>
      <c r="AG54" s="16">
        <v>88</v>
      </c>
    </row>
    <row r="55" spans="1:33" ht="15" customHeight="1" x14ac:dyDescent="0.2">
      <c r="A55" s="11" t="str">
        <f t="shared" si="6"/>
        <v>VN000QB8BLK1</v>
      </c>
      <c r="B55" s="12" t="s">
        <v>401</v>
      </c>
      <c r="C55" s="12" t="s">
        <v>177</v>
      </c>
      <c r="D55" s="12" t="s">
        <v>76</v>
      </c>
      <c r="E55" s="12" t="s">
        <v>402</v>
      </c>
      <c r="F55" s="12" t="s">
        <v>403</v>
      </c>
      <c r="G55" s="14"/>
      <c r="H55" s="12" t="s">
        <v>79</v>
      </c>
      <c r="I55" s="12" t="s">
        <v>80</v>
      </c>
      <c r="J55" s="12" t="s">
        <v>171</v>
      </c>
      <c r="K55" s="12" t="s">
        <v>82</v>
      </c>
      <c r="L55" s="14"/>
      <c r="M55" s="12" t="s">
        <v>43</v>
      </c>
      <c r="N55" s="12" t="s">
        <v>84</v>
      </c>
      <c r="O55" s="12" t="s">
        <v>404</v>
      </c>
      <c r="P55" s="12" t="s">
        <v>86</v>
      </c>
      <c r="Q55" s="12" t="s">
        <v>141</v>
      </c>
      <c r="R55" s="12" t="s">
        <v>173</v>
      </c>
      <c r="S55" s="13">
        <v>197804394098</v>
      </c>
      <c r="T55" s="12" t="s">
        <v>143</v>
      </c>
      <c r="U55" s="12" t="s">
        <v>403</v>
      </c>
      <c r="V55" s="12" t="s">
        <v>181</v>
      </c>
      <c r="W55" s="12" t="s">
        <v>51</v>
      </c>
      <c r="X55" s="14"/>
      <c r="Y55" s="14"/>
      <c r="Z55" s="14"/>
      <c r="AA55" s="14"/>
      <c r="AB55" s="14"/>
      <c r="AC55" s="15">
        <v>7.3</v>
      </c>
      <c r="AD55" s="15">
        <f>AC55*AG55</f>
        <v>642.4</v>
      </c>
      <c r="AE55" s="15">
        <v>16</v>
      </c>
      <c r="AF55" s="15">
        <f>AE55*AG55</f>
        <v>1408</v>
      </c>
      <c r="AG55" s="16">
        <v>88</v>
      </c>
    </row>
    <row r="56" spans="1:33" ht="15" customHeight="1" x14ac:dyDescent="0.2">
      <c r="A56" s="11" t="str">
        <f>HYPERLINK("https://assets.vans.eu/images/VN000QCGWHT-HERO/1","VN000QCGWHT1")</f>
        <v>VN000QCGWHT1</v>
      </c>
      <c r="B56" s="12" t="s">
        <v>405</v>
      </c>
      <c r="C56" s="12" t="s">
        <v>406</v>
      </c>
      <c r="D56" s="12" t="s">
        <v>168</v>
      </c>
      <c r="E56" s="12" t="s">
        <v>407</v>
      </c>
      <c r="F56" s="12" t="s">
        <v>78</v>
      </c>
      <c r="G56" s="14"/>
      <c r="H56" s="12" t="s">
        <v>79</v>
      </c>
      <c r="I56" s="12" t="s">
        <v>80</v>
      </c>
      <c r="J56" s="12" t="s">
        <v>191</v>
      </c>
      <c r="K56" s="12" t="s">
        <v>82</v>
      </c>
      <c r="L56" s="14"/>
      <c r="M56" s="12" t="s">
        <v>43</v>
      </c>
      <c r="N56" s="12" t="s">
        <v>84</v>
      </c>
      <c r="O56" s="12" t="s">
        <v>408</v>
      </c>
      <c r="P56" s="12" t="s">
        <v>86</v>
      </c>
      <c r="Q56" s="12" t="s">
        <v>409</v>
      </c>
      <c r="R56" s="12" t="s">
        <v>410</v>
      </c>
      <c r="S56" s="13">
        <v>197804383467</v>
      </c>
      <c r="T56" s="12" t="s">
        <v>164</v>
      </c>
      <c r="U56" s="12" t="s">
        <v>78</v>
      </c>
      <c r="V56" s="12" t="s">
        <v>411</v>
      </c>
      <c r="W56" s="12" t="s">
        <v>175</v>
      </c>
      <c r="X56" s="14"/>
      <c r="Y56" s="14"/>
      <c r="Z56" s="14"/>
      <c r="AA56" s="14"/>
      <c r="AB56" s="14"/>
      <c r="AC56" s="15">
        <v>27.3</v>
      </c>
      <c r="AD56" s="15">
        <f>AC56*AG56</f>
        <v>2402.4</v>
      </c>
      <c r="AE56" s="15">
        <v>60</v>
      </c>
      <c r="AF56" s="15">
        <f>AE56*AG56</f>
        <v>5280</v>
      </c>
      <c r="AG56" s="16">
        <v>88</v>
      </c>
    </row>
    <row r="57" spans="1:33" ht="15" customHeight="1" x14ac:dyDescent="0.2">
      <c r="A57" s="11" t="str">
        <f t="shared" ref="A57:A1268" si="25">HYPERLINK("https://assets.vans.eu/images/VN000D75Y28-HERO/1","VN000D75Y281")</f>
        <v>VN000D75Y281</v>
      </c>
      <c r="B57" s="12" t="s">
        <v>412</v>
      </c>
      <c r="C57" s="12" t="s">
        <v>110</v>
      </c>
      <c r="D57" s="12" t="s">
        <v>58</v>
      </c>
      <c r="E57" s="12" t="s">
        <v>413</v>
      </c>
      <c r="F57" s="13">
        <v>55</v>
      </c>
      <c r="G57" s="12" t="s">
        <v>414</v>
      </c>
      <c r="H57" s="12" t="s">
        <v>38</v>
      </c>
      <c r="I57" s="12" t="s">
        <v>113</v>
      </c>
      <c r="J57" s="12" t="s">
        <v>114</v>
      </c>
      <c r="K57" s="12" t="s">
        <v>82</v>
      </c>
      <c r="L57" s="14"/>
      <c r="M57" s="12" t="s">
        <v>43</v>
      </c>
      <c r="N57" s="12" t="s">
        <v>84</v>
      </c>
      <c r="O57" s="12" t="s">
        <v>415</v>
      </c>
      <c r="P57" s="12" t="s">
        <v>46</v>
      </c>
      <c r="Q57" s="12" t="s">
        <v>47</v>
      </c>
      <c r="R57" s="12" t="s">
        <v>117</v>
      </c>
      <c r="S57" s="13">
        <v>197804665600</v>
      </c>
      <c r="T57" s="12" t="s">
        <v>49</v>
      </c>
      <c r="U57" s="13">
        <v>37</v>
      </c>
      <c r="V57" s="12" t="s">
        <v>50</v>
      </c>
      <c r="W57" s="12" t="s">
        <v>51</v>
      </c>
      <c r="X57" s="14"/>
      <c r="Y57" s="14"/>
      <c r="Z57" s="14"/>
      <c r="AA57" s="14"/>
      <c r="AB57" s="14"/>
      <c r="AC57" s="15">
        <v>45.5</v>
      </c>
      <c r="AD57" s="15">
        <f>AC57*AG57</f>
        <v>4004</v>
      </c>
      <c r="AE57" s="15">
        <v>100</v>
      </c>
      <c r="AF57" s="15">
        <f>AE57*AG57</f>
        <v>8800</v>
      </c>
      <c r="AG57" s="16">
        <v>88</v>
      </c>
    </row>
    <row r="58" spans="1:33" ht="15" customHeight="1" x14ac:dyDescent="0.2">
      <c r="A58" s="11" t="str">
        <f t="shared" ref="A58:A266" si="26">HYPERLINK("https://assets.vans.eu/images/VN000RG4BLK-HERO/1","VN000RG4BLK1")</f>
        <v>VN000RG4BLK1</v>
      </c>
      <c r="B58" s="12" t="s">
        <v>416</v>
      </c>
      <c r="C58" s="12" t="s">
        <v>417</v>
      </c>
      <c r="D58" s="12" t="s">
        <v>76</v>
      </c>
      <c r="E58" s="12" t="s">
        <v>418</v>
      </c>
      <c r="F58" s="12" t="s">
        <v>170</v>
      </c>
      <c r="G58" s="14"/>
      <c r="H58" s="12" t="s">
        <v>61</v>
      </c>
      <c r="I58" s="12" t="s">
        <v>230</v>
      </c>
      <c r="J58" s="12" t="s">
        <v>419</v>
      </c>
      <c r="K58" s="12" t="s">
        <v>199</v>
      </c>
      <c r="L58" s="12" t="s">
        <v>83</v>
      </c>
      <c r="M58" s="12" t="s">
        <v>43</v>
      </c>
      <c r="N58" s="12" t="s">
        <v>84</v>
      </c>
      <c r="O58" s="12" t="s">
        <v>420</v>
      </c>
      <c r="P58" s="12" t="s">
        <v>66</v>
      </c>
      <c r="Q58" s="12" t="s">
        <v>67</v>
      </c>
      <c r="R58" s="12" t="s">
        <v>421</v>
      </c>
      <c r="S58" s="13">
        <v>197804328215</v>
      </c>
      <c r="T58" s="12" t="s">
        <v>422</v>
      </c>
      <c r="U58" s="12" t="s">
        <v>170</v>
      </c>
      <c r="V58" s="12" t="s">
        <v>423</v>
      </c>
      <c r="W58" s="12" t="s">
        <v>51</v>
      </c>
      <c r="X58" s="14"/>
      <c r="Y58" s="14"/>
      <c r="Z58" s="14"/>
      <c r="AA58" s="14"/>
      <c r="AB58" s="14"/>
      <c r="AC58" s="15">
        <v>20.5</v>
      </c>
      <c r="AD58" s="15">
        <f>AC58*AG58</f>
        <v>1783.5</v>
      </c>
      <c r="AE58" s="15">
        <v>45</v>
      </c>
      <c r="AF58" s="15">
        <f>AE58*AG58</f>
        <v>3915</v>
      </c>
      <c r="AG58" s="16">
        <v>87</v>
      </c>
    </row>
    <row r="59" spans="1:33" ht="15" customHeight="1" x14ac:dyDescent="0.2">
      <c r="A59" s="11" t="str">
        <f t="shared" si="11"/>
        <v>VN000XUJB9P1</v>
      </c>
      <c r="B59" s="12" t="s">
        <v>424</v>
      </c>
      <c r="C59" s="12" t="s">
        <v>266</v>
      </c>
      <c r="D59" s="12" t="s">
        <v>267</v>
      </c>
      <c r="E59" s="12" t="s">
        <v>425</v>
      </c>
      <c r="F59" s="13">
        <v>70</v>
      </c>
      <c r="G59" s="12" t="s">
        <v>269</v>
      </c>
      <c r="H59" s="12" t="s">
        <v>38</v>
      </c>
      <c r="I59" s="12" t="s">
        <v>113</v>
      </c>
      <c r="J59" s="12" t="s">
        <v>114</v>
      </c>
      <c r="K59" s="12" t="s">
        <v>82</v>
      </c>
      <c r="L59" s="12" t="s">
        <v>115</v>
      </c>
      <c r="M59" s="12" t="s">
        <v>43</v>
      </c>
      <c r="N59" s="12" t="s">
        <v>84</v>
      </c>
      <c r="O59" s="12" t="s">
        <v>426</v>
      </c>
      <c r="P59" s="12" t="s">
        <v>46</v>
      </c>
      <c r="Q59" s="12" t="s">
        <v>47</v>
      </c>
      <c r="R59" s="12" t="s">
        <v>117</v>
      </c>
      <c r="S59" s="13">
        <v>198266185606</v>
      </c>
      <c r="T59" s="12" t="s">
        <v>49</v>
      </c>
      <c r="U59" s="13">
        <v>39</v>
      </c>
      <c r="V59" s="12" t="s">
        <v>50</v>
      </c>
      <c r="W59" s="12" t="s">
        <v>51</v>
      </c>
      <c r="X59" s="14"/>
      <c r="Y59" s="14"/>
      <c r="Z59" s="14"/>
      <c r="AA59" s="14"/>
      <c r="AB59" s="14"/>
      <c r="AC59" s="15">
        <v>45.5</v>
      </c>
      <c r="AD59" s="15">
        <f>AC59*AG59</f>
        <v>3913</v>
      </c>
      <c r="AE59" s="15">
        <v>100</v>
      </c>
      <c r="AF59" s="15">
        <f>AE59*AG59</f>
        <v>8600</v>
      </c>
      <c r="AG59" s="16">
        <v>86</v>
      </c>
    </row>
    <row r="60" spans="1:33" ht="15" customHeight="1" x14ac:dyDescent="0.2">
      <c r="A60" s="11" t="str">
        <f>HYPERLINK("https://assets.vans.eu/images/VN000XZYBLK-HERO/1","VN000XZYBLK1")</f>
        <v>VN000XZYBLK1</v>
      </c>
      <c r="B60" s="12" t="s">
        <v>427</v>
      </c>
      <c r="C60" s="12" t="s">
        <v>215</v>
      </c>
      <c r="D60" s="12" t="s">
        <v>76</v>
      </c>
      <c r="E60" s="12" t="s">
        <v>428</v>
      </c>
      <c r="F60" s="12" t="s">
        <v>78</v>
      </c>
      <c r="G60" s="14"/>
      <c r="H60" s="12" t="s">
        <v>79</v>
      </c>
      <c r="I60" s="12" t="s">
        <v>80</v>
      </c>
      <c r="J60" s="12" t="s">
        <v>81</v>
      </c>
      <c r="K60" s="12" t="s">
        <v>199</v>
      </c>
      <c r="L60" s="14"/>
      <c r="M60" s="12" t="s">
        <v>43</v>
      </c>
      <c r="N60" s="12" t="s">
        <v>84</v>
      </c>
      <c r="O60" s="12" t="s">
        <v>429</v>
      </c>
      <c r="P60" s="12" t="s">
        <v>86</v>
      </c>
      <c r="Q60" s="12" t="s">
        <v>87</v>
      </c>
      <c r="R60" s="12" t="s">
        <v>88</v>
      </c>
      <c r="S60" s="13">
        <v>888366462287</v>
      </c>
      <c r="T60" s="12" t="s">
        <v>89</v>
      </c>
      <c r="U60" s="12" t="s">
        <v>78</v>
      </c>
      <c r="V60" s="12" t="s">
        <v>201</v>
      </c>
      <c r="W60" s="12" t="s">
        <v>51</v>
      </c>
      <c r="X60" s="13">
        <v>0</v>
      </c>
      <c r="Y60" s="12" t="s">
        <v>71</v>
      </c>
      <c r="Z60" s="12" t="s">
        <v>108</v>
      </c>
      <c r="AA60" s="13">
        <v>0</v>
      </c>
      <c r="AB60" s="13">
        <v>0</v>
      </c>
      <c r="AC60" s="15">
        <v>3.65</v>
      </c>
      <c r="AD60" s="15">
        <f>AC60*AG60</f>
        <v>310.25</v>
      </c>
      <c r="AE60" s="15">
        <v>8</v>
      </c>
      <c r="AF60" s="15">
        <f>AE60*AG60</f>
        <v>680</v>
      </c>
      <c r="AG60" s="16">
        <v>85</v>
      </c>
    </row>
    <row r="61" spans="1:33" ht="15" customHeight="1" x14ac:dyDescent="0.2">
      <c r="A61" s="11" t="str">
        <f>HYPERLINK("https://assets.vans.eu/images/VN000RD4WHT-HERO/1","VN000RD4WHT1")</f>
        <v>VN000RD4WHT1</v>
      </c>
      <c r="B61" s="12" t="s">
        <v>430</v>
      </c>
      <c r="C61" s="12" t="s">
        <v>431</v>
      </c>
      <c r="D61" s="12" t="s">
        <v>168</v>
      </c>
      <c r="E61" s="12" t="s">
        <v>432</v>
      </c>
      <c r="F61" s="12" t="s">
        <v>170</v>
      </c>
      <c r="G61" s="14"/>
      <c r="H61" s="12" t="s">
        <v>61</v>
      </c>
      <c r="I61" s="12" t="s">
        <v>230</v>
      </c>
      <c r="J61" s="12" t="s">
        <v>419</v>
      </c>
      <c r="K61" s="12" t="s">
        <v>199</v>
      </c>
      <c r="L61" s="12" t="s">
        <v>83</v>
      </c>
      <c r="M61" s="12" t="s">
        <v>43</v>
      </c>
      <c r="N61" s="12" t="s">
        <v>84</v>
      </c>
      <c r="O61" s="12" t="s">
        <v>433</v>
      </c>
      <c r="P61" s="12" t="s">
        <v>66</v>
      </c>
      <c r="Q61" s="12" t="s">
        <v>67</v>
      </c>
      <c r="R61" s="12" t="s">
        <v>421</v>
      </c>
      <c r="S61" s="13">
        <v>197804326358</v>
      </c>
      <c r="T61" s="12" t="s">
        <v>422</v>
      </c>
      <c r="U61" s="12" t="s">
        <v>170</v>
      </c>
      <c r="V61" s="12" t="s">
        <v>423</v>
      </c>
      <c r="W61" s="12" t="s">
        <v>175</v>
      </c>
      <c r="X61" s="14"/>
      <c r="Y61" s="14"/>
      <c r="Z61" s="14"/>
      <c r="AA61" s="14"/>
      <c r="AB61" s="14"/>
      <c r="AC61" s="15">
        <v>18.2</v>
      </c>
      <c r="AD61" s="15">
        <f>AC61*AG61</f>
        <v>1492.3999999999999</v>
      </c>
      <c r="AE61" s="15">
        <v>40</v>
      </c>
      <c r="AF61" s="15">
        <f>AE61*AG61</f>
        <v>3280</v>
      </c>
      <c r="AG61" s="16">
        <v>82</v>
      </c>
    </row>
    <row r="62" spans="1:33" ht="15" customHeight="1" x14ac:dyDescent="0.2">
      <c r="A62" s="11" t="str">
        <f>HYPERLINK("https://assets.vans.eu/images/VN000XZYM74-HERO/1","VN000XZYM741")</f>
        <v>VN000XZYM741</v>
      </c>
      <c r="B62" s="12" t="s">
        <v>434</v>
      </c>
      <c r="C62" s="12" t="s">
        <v>215</v>
      </c>
      <c r="D62" s="12" t="s">
        <v>435</v>
      </c>
      <c r="E62" s="12" t="s">
        <v>436</v>
      </c>
      <c r="F62" s="12" t="s">
        <v>78</v>
      </c>
      <c r="G62" s="14"/>
      <c r="H62" s="12" t="s">
        <v>79</v>
      </c>
      <c r="I62" s="12" t="s">
        <v>80</v>
      </c>
      <c r="J62" s="12" t="s">
        <v>81</v>
      </c>
      <c r="K62" s="12" t="s">
        <v>199</v>
      </c>
      <c r="L62" s="14"/>
      <c r="M62" s="12" t="s">
        <v>43</v>
      </c>
      <c r="N62" s="12" t="s">
        <v>84</v>
      </c>
      <c r="O62" s="12" t="s">
        <v>437</v>
      </c>
      <c r="P62" s="12" t="s">
        <v>86</v>
      </c>
      <c r="Q62" s="12" t="s">
        <v>87</v>
      </c>
      <c r="R62" s="12" t="s">
        <v>88</v>
      </c>
      <c r="S62" s="13">
        <v>190287472703</v>
      </c>
      <c r="T62" s="12" t="s">
        <v>89</v>
      </c>
      <c r="U62" s="12" t="s">
        <v>78</v>
      </c>
      <c r="V62" s="12" t="s">
        <v>201</v>
      </c>
      <c r="W62" s="12" t="s">
        <v>51</v>
      </c>
      <c r="X62" s="13">
        <v>0</v>
      </c>
      <c r="Y62" s="12" t="s">
        <v>71</v>
      </c>
      <c r="Z62" s="12" t="s">
        <v>108</v>
      </c>
      <c r="AA62" s="13">
        <v>0</v>
      </c>
      <c r="AB62" s="13">
        <v>0</v>
      </c>
      <c r="AC62" s="15">
        <v>3.65</v>
      </c>
      <c r="AD62" s="15">
        <f>AC62*AG62</f>
        <v>295.64999999999998</v>
      </c>
      <c r="AE62" s="15">
        <v>8</v>
      </c>
      <c r="AF62" s="15">
        <f>AE62*AG62</f>
        <v>648</v>
      </c>
      <c r="AG62" s="16">
        <v>81</v>
      </c>
    </row>
    <row r="63" spans="1:33" ht="15" customHeight="1" x14ac:dyDescent="0.2">
      <c r="A63" s="11" t="str">
        <f>HYPERLINK("https://assets.vans.eu/images/VN000MNNBLK-HERO/1","VN000MNNBLK1")</f>
        <v>VN000MNNBLK1</v>
      </c>
      <c r="B63" s="12" t="s">
        <v>438</v>
      </c>
      <c r="C63" s="12" t="s">
        <v>439</v>
      </c>
      <c r="D63" s="12" t="s">
        <v>76</v>
      </c>
      <c r="E63" s="12" t="s">
        <v>440</v>
      </c>
      <c r="F63" s="12" t="s">
        <v>78</v>
      </c>
      <c r="G63" s="14"/>
      <c r="H63" s="12" t="s">
        <v>441</v>
      </c>
      <c r="I63" s="12" t="s">
        <v>442</v>
      </c>
      <c r="J63" s="12" t="s">
        <v>443</v>
      </c>
      <c r="K63" s="12" t="s">
        <v>82</v>
      </c>
      <c r="L63" s="14"/>
      <c r="M63" s="12" t="s">
        <v>43</v>
      </c>
      <c r="N63" s="12" t="s">
        <v>84</v>
      </c>
      <c r="O63" s="12" t="s">
        <v>444</v>
      </c>
      <c r="P63" s="12" t="s">
        <v>445</v>
      </c>
      <c r="Q63" s="12" t="s">
        <v>446</v>
      </c>
      <c r="R63" s="12" t="s">
        <v>447</v>
      </c>
      <c r="S63" s="13">
        <v>197643467939</v>
      </c>
      <c r="T63" s="12" t="s">
        <v>130</v>
      </c>
      <c r="U63" s="12" t="s">
        <v>78</v>
      </c>
      <c r="V63" s="12" t="s">
        <v>448</v>
      </c>
      <c r="W63" s="12" t="s">
        <v>51</v>
      </c>
      <c r="X63" s="13">
        <v>0</v>
      </c>
      <c r="Y63" s="12" t="s">
        <v>91</v>
      </c>
      <c r="Z63" s="12" t="s">
        <v>108</v>
      </c>
      <c r="AA63" s="13">
        <v>0</v>
      </c>
      <c r="AB63" s="13">
        <v>0</v>
      </c>
      <c r="AC63" s="15">
        <v>27.3</v>
      </c>
      <c r="AD63" s="15">
        <f>AC63*AG63</f>
        <v>2047.5</v>
      </c>
      <c r="AE63" s="15">
        <v>60</v>
      </c>
      <c r="AF63" s="15">
        <f>AE63*AG63</f>
        <v>4500</v>
      </c>
      <c r="AG63" s="16">
        <v>75</v>
      </c>
    </row>
    <row r="64" spans="1:33" ht="15" customHeight="1" x14ac:dyDescent="0.2">
      <c r="A64" s="11" t="str">
        <f>HYPERLINK("https://assets.vans.eu/images/VN000Q1GHTG-HERO/1","VN000Q1GHTG1")</f>
        <v>VN000Q1GHTG1</v>
      </c>
      <c r="B64" s="12" t="s">
        <v>449</v>
      </c>
      <c r="C64" s="12" t="s">
        <v>450</v>
      </c>
      <c r="D64" s="12" t="s">
        <v>451</v>
      </c>
      <c r="E64" s="12" t="s">
        <v>452</v>
      </c>
      <c r="F64" s="12" t="s">
        <v>78</v>
      </c>
      <c r="G64" s="14"/>
      <c r="H64" s="12" t="s">
        <v>79</v>
      </c>
      <c r="I64" s="12" t="s">
        <v>125</v>
      </c>
      <c r="J64" s="12" t="s">
        <v>126</v>
      </c>
      <c r="K64" s="12" t="s">
        <v>41</v>
      </c>
      <c r="L64" s="14"/>
      <c r="M64" s="12" t="s">
        <v>43</v>
      </c>
      <c r="N64" s="12" t="s">
        <v>84</v>
      </c>
      <c r="O64" s="12" t="s">
        <v>453</v>
      </c>
      <c r="P64" s="12" t="s">
        <v>86</v>
      </c>
      <c r="Q64" s="12" t="s">
        <v>128</v>
      </c>
      <c r="R64" s="12" t="s">
        <v>129</v>
      </c>
      <c r="S64" s="13">
        <v>197804373659</v>
      </c>
      <c r="T64" s="12" t="s">
        <v>130</v>
      </c>
      <c r="U64" s="12" t="s">
        <v>78</v>
      </c>
      <c r="V64" s="12" t="s">
        <v>454</v>
      </c>
      <c r="W64" s="12" t="s">
        <v>455</v>
      </c>
      <c r="X64" s="14"/>
      <c r="Y64" s="14"/>
      <c r="Z64" s="14"/>
      <c r="AA64" s="14"/>
      <c r="AB64" s="14"/>
      <c r="AC64" s="15">
        <v>10</v>
      </c>
      <c r="AD64" s="15">
        <f>AC64*AG64</f>
        <v>730</v>
      </c>
      <c r="AE64" s="15">
        <v>22</v>
      </c>
      <c r="AF64" s="15">
        <f>AE64*AG64</f>
        <v>1606</v>
      </c>
      <c r="AG64" s="16">
        <v>73</v>
      </c>
    </row>
    <row r="65" spans="1:33" ht="15" customHeight="1" x14ac:dyDescent="0.2">
      <c r="A65" s="11" t="str">
        <f t="shared" ref="A65:A1590" si="27">HYPERLINK("https://assets.vans.eu/images/VN000QBKYLZ-HERO/1","VN000QBKYLZ1")</f>
        <v>VN000QBKYLZ1</v>
      </c>
      <c r="B65" s="12" t="s">
        <v>456</v>
      </c>
      <c r="C65" s="12" t="s">
        <v>457</v>
      </c>
      <c r="D65" s="12" t="s">
        <v>458</v>
      </c>
      <c r="E65" s="12" t="s">
        <v>459</v>
      </c>
      <c r="F65" s="12" t="s">
        <v>179</v>
      </c>
      <c r="G65" s="14"/>
      <c r="H65" s="12" t="s">
        <v>79</v>
      </c>
      <c r="I65" s="12" t="s">
        <v>80</v>
      </c>
      <c r="J65" s="12" t="s">
        <v>171</v>
      </c>
      <c r="K65" s="12" t="s">
        <v>82</v>
      </c>
      <c r="L65" s="14"/>
      <c r="M65" s="12" t="s">
        <v>43</v>
      </c>
      <c r="N65" s="12" t="s">
        <v>84</v>
      </c>
      <c r="O65" s="12" t="s">
        <v>460</v>
      </c>
      <c r="P65" s="12" t="s">
        <v>86</v>
      </c>
      <c r="Q65" s="12" t="s">
        <v>141</v>
      </c>
      <c r="R65" s="12" t="s">
        <v>173</v>
      </c>
      <c r="S65" s="13">
        <v>197804395026</v>
      </c>
      <c r="T65" s="12" t="s">
        <v>105</v>
      </c>
      <c r="U65" s="12" t="s">
        <v>179</v>
      </c>
      <c r="V65" s="12" t="s">
        <v>461</v>
      </c>
      <c r="W65" s="12" t="s">
        <v>299</v>
      </c>
      <c r="X65" s="14"/>
      <c r="Y65" s="14"/>
      <c r="Z65" s="14"/>
      <c r="AA65" s="14"/>
      <c r="AB65" s="14"/>
      <c r="AC65" s="15">
        <v>7.3</v>
      </c>
      <c r="AD65" s="15">
        <f>AC65*AG65</f>
        <v>532.9</v>
      </c>
      <c r="AE65" s="15">
        <v>16</v>
      </c>
      <c r="AF65" s="15">
        <f>AE65*AG65</f>
        <v>1168</v>
      </c>
      <c r="AG65" s="16">
        <v>73</v>
      </c>
    </row>
    <row r="66" spans="1:33" ht="15" customHeight="1" x14ac:dyDescent="0.2">
      <c r="A66" s="11" t="str">
        <f>HYPERLINK("https://assets.vans.eu/images/VN0A5HVCJBW-HERO/1","VN0A5HVCJBW1")</f>
        <v>VN0A5HVCJBW1</v>
      </c>
      <c r="B66" s="12" t="s">
        <v>462</v>
      </c>
      <c r="C66" s="12" t="s">
        <v>463</v>
      </c>
      <c r="D66" s="12" t="s">
        <v>464</v>
      </c>
      <c r="E66" s="12" t="s">
        <v>465</v>
      </c>
      <c r="F66" s="13">
        <v>65</v>
      </c>
      <c r="G66" s="12" t="s">
        <v>466</v>
      </c>
      <c r="H66" s="12" t="s">
        <v>38</v>
      </c>
      <c r="I66" s="12" t="s">
        <v>113</v>
      </c>
      <c r="J66" s="12" t="s">
        <v>114</v>
      </c>
      <c r="K66" s="12" t="s">
        <v>100</v>
      </c>
      <c r="L66" s="14"/>
      <c r="M66" s="12" t="s">
        <v>43</v>
      </c>
      <c r="N66" s="12" t="s">
        <v>467</v>
      </c>
      <c r="O66" s="12" t="s">
        <v>468</v>
      </c>
      <c r="P66" s="12" t="s">
        <v>46</v>
      </c>
      <c r="Q66" s="12" t="s">
        <v>47</v>
      </c>
      <c r="R66" s="12" t="s">
        <v>117</v>
      </c>
      <c r="S66" s="13">
        <v>196571165993</v>
      </c>
      <c r="T66" s="12" t="s">
        <v>105</v>
      </c>
      <c r="U66" s="13">
        <v>36.5</v>
      </c>
      <c r="V66" s="12" t="s">
        <v>50</v>
      </c>
      <c r="W66" s="12" t="s">
        <v>175</v>
      </c>
      <c r="X66" s="14"/>
      <c r="Y66" s="12" t="s">
        <v>71</v>
      </c>
      <c r="Z66" s="12" t="s">
        <v>376</v>
      </c>
      <c r="AA66" s="14"/>
      <c r="AB66" s="14"/>
      <c r="AC66" s="15">
        <v>38.1</v>
      </c>
      <c r="AD66" s="15">
        <f>AC66*AG66</f>
        <v>2781.3</v>
      </c>
      <c r="AE66" s="15">
        <v>80</v>
      </c>
      <c r="AF66" s="15">
        <f>AE66*AG66</f>
        <v>5840</v>
      </c>
      <c r="AG66" s="16">
        <v>73</v>
      </c>
    </row>
    <row r="67" spans="1:33" ht="15" customHeight="1" x14ac:dyDescent="0.2">
      <c r="A67" s="11" t="str">
        <f t="shared" ref="A67:A94" si="28">HYPERLINK("https://assets.vans.eu/images/VN000Q1XBLK-HERO/1","VN000Q1XBLK1")</f>
        <v>VN000Q1XBLK1</v>
      </c>
      <c r="B67" s="12" t="s">
        <v>469</v>
      </c>
      <c r="C67" s="12" t="s">
        <v>470</v>
      </c>
      <c r="D67" s="12" t="s">
        <v>76</v>
      </c>
      <c r="E67" s="12" t="s">
        <v>471</v>
      </c>
      <c r="F67" s="13">
        <v>24</v>
      </c>
      <c r="G67" s="14"/>
      <c r="H67" s="12" t="s">
        <v>79</v>
      </c>
      <c r="I67" s="12" t="s">
        <v>472</v>
      </c>
      <c r="J67" s="12" t="s">
        <v>473</v>
      </c>
      <c r="K67" s="12" t="s">
        <v>474</v>
      </c>
      <c r="L67" s="14"/>
      <c r="M67" s="12" t="s">
        <v>43</v>
      </c>
      <c r="N67" s="12" t="s">
        <v>84</v>
      </c>
      <c r="O67" s="12" t="s">
        <v>475</v>
      </c>
      <c r="P67" s="12" t="s">
        <v>86</v>
      </c>
      <c r="Q67" s="12" t="s">
        <v>141</v>
      </c>
      <c r="R67" s="12" t="s">
        <v>142</v>
      </c>
      <c r="S67" s="13">
        <v>197804383399</v>
      </c>
      <c r="T67" s="12" t="s">
        <v>105</v>
      </c>
      <c r="U67" s="13">
        <v>24</v>
      </c>
      <c r="V67" s="12" t="s">
        <v>476</v>
      </c>
      <c r="W67" s="12" t="s">
        <v>51</v>
      </c>
      <c r="X67" s="14"/>
      <c r="Y67" s="14"/>
      <c r="Z67" s="14"/>
      <c r="AA67" s="14"/>
      <c r="AB67" s="14"/>
      <c r="AC67" s="15">
        <v>6.4</v>
      </c>
      <c r="AD67" s="15">
        <f>AC67*AG67</f>
        <v>460.8</v>
      </c>
      <c r="AE67" s="15">
        <v>14</v>
      </c>
      <c r="AF67" s="15">
        <f>AE67*AG67</f>
        <v>1008</v>
      </c>
      <c r="AG67" s="16">
        <v>72</v>
      </c>
    </row>
    <row r="68" spans="1:33" ht="15" customHeight="1" x14ac:dyDescent="0.2">
      <c r="A68" s="11" t="str">
        <f t="shared" si="14"/>
        <v>VN000R32EN71</v>
      </c>
      <c r="B68" s="12" t="s">
        <v>477</v>
      </c>
      <c r="C68" s="12" t="s">
        <v>136</v>
      </c>
      <c r="D68" s="12" t="s">
        <v>295</v>
      </c>
      <c r="E68" s="12" t="s">
        <v>478</v>
      </c>
      <c r="F68" s="12" t="s">
        <v>153</v>
      </c>
      <c r="G68" s="14"/>
      <c r="H68" s="12" t="s">
        <v>79</v>
      </c>
      <c r="I68" s="12" t="s">
        <v>125</v>
      </c>
      <c r="J68" s="12" t="s">
        <v>139</v>
      </c>
      <c r="K68" s="12" t="s">
        <v>41</v>
      </c>
      <c r="L68" s="14"/>
      <c r="M68" s="12" t="s">
        <v>43</v>
      </c>
      <c r="N68" s="12" t="s">
        <v>84</v>
      </c>
      <c r="O68" s="12" t="s">
        <v>479</v>
      </c>
      <c r="P68" s="12" t="s">
        <v>86</v>
      </c>
      <c r="Q68" s="12" t="s">
        <v>141</v>
      </c>
      <c r="R68" s="12" t="s">
        <v>142</v>
      </c>
      <c r="S68" s="13">
        <v>197804375509</v>
      </c>
      <c r="T68" s="12" t="s">
        <v>143</v>
      </c>
      <c r="U68" s="12" t="s">
        <v>153</v>
      </c>
      <c r="V68" s="12" t="s">
        <v>298</v>
      </c>
      <c r="W68" s="12" t="s">
        <v>299</v>
      </c>
      <c r="X68" s="14"/>
      <c r="Y68" s="14"/>
      <c r="Z68" s="14"/>
      <c r="AA68" s="14"/>
      <c r="AB68" s="14"/>
      <c r="AC68" s="15">
        <v>7.3</v>
      </c>
      <c r="AD68" s="15">
        <f>AC68*AG68</f>
        <v>518.29999999999995</v>
      </c>
      <c r="AE68" s="15">
        <v>16</v>
      </c>
      <c r="AF68" s="15">
        <f>AE68*AG68</f>
        <v>1136</v>
      </c>
      <c r="AG68" s="16">
        <v>71</v>
      </c>
    </row>
    <row r="69" spans="1:33" ht="15" customHeight="1" x14ac:dyDescent="0.2">
      <c r="A69" s="11" t="str">
        <f t="shared" ref="A69:A1592" si="29">HYPERLINK("https://assets.vans.eu/images/VN000QBWEN7-HERO/1","VN000QBWEN71")</f>
        <v>VN000QBWEN71</v>
      </c>
      <c r="B69" s="12" t="s">
        <v>480</v>
      </c>
      <c r="C69" s="12" t="s">
        <v>481</v>
      </c>
      <c r="D69" s="12" t="s">
        <v>295</v>
      </c>
      <c r="E69" s="12" t="s">
        <v>482</v>
      </c>
      <c r="F69" s="12" t="s">
        <v>60</v>
      </c>
      <c r="G69" s="14"/>
      <c r="H69" s="12" t="s">
        <v>79</v>
      </c>
      <c r="I69" s="12" t="s">
        <v>80</v>
      </c>
      <c r="J69" s="12" t="s">
        <v>171</v>
      </c>
      <c r="K69" s="12" t="s">
        <v>82</v>
      </c>
      <c r="L69" s="14"/>
      <c r="M69" s="12" t="s">
        <v>43</v>
      </c>
      <c r="N69" s="12" t="s">
        <v>84</v>
      </c>
      <c r="O69" s="12" t="s">
        <v>483</v>
      </c>
      <c r="P69" s="12" t="s">
        <v>86</v>
      </c>
      <c r="Q69" s="12" t="s">
        <v>141</v>
      </c>
      <c r="R69" s="12" t="s">
        <v>173</v>
      </c>
      <c r="S69" s="13">
        <v>197804583928</v>
      </c>
      <c r="T69" s="12" t="s">
        <v>143</v>
      </c>
      <c r="U69" s="12" t="s">
        <v>60</v>
      </c>
      <c r="V69" s="12" t="s">
        <v>484</v>
      </c>
      <c r="W69" s="12" t="s">
        <v>299</v>
      </c>
      <c r="X69" s="14"/>
      <c r="Y69" s="14"/>
      <c r="Z69" s="14"/>
      <c r="AA69" s="14"/>
      <c r="AB69" s="14"/>
      <c r="AC69" s="15">
        <v>9.1</v>
      </c>
      <c r="AD69" s="15">
        <f>AC69*AG69</f>
        <v>637</v>
      </c>
      <c r="AE69" s="15">
        <v>20</v>
      </c>
      <c r="AF69" s="15">
        <f>AE69*AG69</f>
        <v>1400</v>
      </c>
      <c r="AG69" s="16">
        <v>70</v>
      </c>
    </row>
    <row r="70" spans="1:33" ht="15" customHeight="1" x14ac:dyDescent="0.2">
      <c r="A70" s="11" t="str">
        <f t="shared" si="10"/>
        <v>VN000D8NBKA1</v>
      </c>
      <c r="B70" s="12" t="s">
        <v>485</v>
      </c>
      <c r="C70" s="12" t="s">
        <v>251</v>
      </c>
      <c r="D70" s="12" t="s">
        <v>252</v>
      </c>
      <c r="E70" s="12" t="s">
        <v>486</v>
      </c>
      <c r="F70" s="13">
        <v>80</v>
      </c>
      <c r="G70" s="12" t="s">
        <v>254</v>
      </c>
      <c r="H70" s="12" t="s">
        <v>38</v>
      </c>
      <c r="I70" s="12" t="s">
        <v>159</v>
      </c>
      <c r="J70" s="12" t="s">
        <v>255</v>
      </c>
      <c r="K70" s="12" t="s">
        <v>82</v>
      </c>
      <c r="L70" s="14"/>
      <c r="M70" s="12" t="s">
        <v>43</v>
      </c>
      <c r="N70" s="12" t="s">
        <v>84</v>
      </c>
      <c r="O70" s="12" t="s">
        <v>487</v>
      </c>
      <c r="P70" s="12" t="s">
        <v>46</v>
      </c>
      <c r="Q70" s="12" t="s">
        <v>47</v>
      </c>
      <c r="R70" s="12" t="s">
        <v>163</v>
      </c>
      <c r="S70" s="13">
        <v>197804463602</v>
      </c>
      <c r="T70" s="12" t="s">
        <v>49</v>
      </c>
      <c r="U70" s="13">
        <v>40.5</v>
      </c>
      <c r="V70" s="12" t="s">
        <v>50</v>
      </c>
      <c r="W70" s="12" t="s">
        <v>51</v>
      </c>
      <c r="X70" s="14"/>
      <c r="Y70" s="14"/>
      <c r="Z70" s="14"/>
      <c r="AA70" s="14"/>
      <c r="AB70" s="14"/>
      <c r="AC70" s="15">
        <v>45.5</v>
      </c>
      <c r="AD70" s="15">
        <f>AC70*AG70</f>
        <v>3185</v>
      </c>
      <c r="AE70" s="15">
        <v>100</v>
      </c>
      <c r="AF70" s="15">
        <f>AE70*AG70</f>
        <v>7000</v>
      </c>
      <c r="AG70" s="16">
        <v>70</v>
      </c>
    </row>
    <row r="71" spans="1:33" ht="15" customHeight="1" x14ac:dyDescent="0.2">
      <c r="A71" s="11" t="str">
        <f t="shared" ref="A71:A148" si="30">HYPERLINK("https://assets.vans.eu/images/VN000QCEBLK-HERO/1","VN000QCEBLK1")</f>
        <v>VN000QCEBLK1</v>
      </c>
      <c r="B71" s="12" t="s">
        <v>488</v>
      </c>
      <c r="C71" s="12" t="s">
        <v>489</v>
      </c>
      <c r="D71" s="12" t="s">
        <v>76</v>
      </c>
      <c r="E71" s="12" t="s">
        <v>490</v>
      </c>
      <c r="F71" s="12" t="s">
        <v>491</v>
      </c>
      <c r="G71" s="14"/>
      <c r="H71" s="12" t="s">
        <v>79</v>
      </c>
      <c r="I71" s="12" t="s">
        <v>80</v>
      </c>
      <c r="J71" s="12" t="s">
        <v>191</v>
      </c>
      <c r="K71" s="12" t="s">
        <v>82</v>
      </c>
      <c r="L71" s="14"/>
      <c r="M71" s="12" t="s">
        <v>43</v>
      </c>
      <c r="N71" s="12" t="s">
        <v>84</v>
      </c>
      <c r="O71" s="12" t="s">
        <v>492</v>
      </c>
      <c r="P71" s="12" t="s">
        <v>86</v>
      </c>
      <c r="Q71" s="12" t="s">
        <v>193</v>
      </c>
      <c r="R71" s="12" t="s">
        <v>194</v>
      </c>
      <c r="S71" s="13">
        <v>197804610532</v>
      </c>
      <c r="T71" s="12" t="s">
        <v>164</v>
      </c>
      <c r="U71" s="12" t="s">
        <v>491</v>
      </c>
      <c r="V71" s="12" t="s">
        <v>493</v>
      </c>
      <c r="W71" s="12" t="s">
        <v>51</v>
      </c>
      <c r="X71" s="14"/>
      <c r="Y71" s="14"/>
      <c r="Z71" s="14"/>
      <c r="AA71" s="14"/>
      <c r="AB71" s="14"/>
      <c r="AC71" s="15">
        <v>21.85</v>
      </c>
      <c r="AD71" s="15">
        <f>AC71*AG71</f>
        <v>1507.65</v>
      </c>
      <c r="AE71" s="15">
        <v>48</v>
      </c>
      <c r="AF71" s="15">
        <f>AE71*AG71</f>
        <v>3312</v>
      </c>
      <c r="AG71" s="16">
        <v>69</v>
      </c>
    </row>
    <row r="72" spans="1:33" ht="15" customHeight="1" x14ac:dyDescent="0.2">
      <c r="A72" s="11" t="str">
        <f t="shared" ref="A72:A189" si="31">HYPERLINK("https://assets.vans.eu/images/VN000M4CBR1-HERO/1","VN000M4CBR11")</f>
        <v>VN000M4CBR11</v>
      </c>
      <c r="B72" s="12" t="s">
        <v>494</v>
      </c>
      <c r="C72" s="12" t="s">
        <v>495</v>
      </c>
      <c r="D72" s="12" t="s">
        <v>496</v>
      </c>
      <c r="E72" s="12" t="s">
        <v>497</v>
      </c>
      <c r="F72" s="12" t="s">
        <v>403</v>
      </c>
      <c r="G72" s="14"/>
      <c r="H72" s="12" t="s">
        <v>61</v>
      </c>
      <c r="I72" s="12" t="s">
        <v>230</v>
      </c>
      <c r="J72" s="12" t="s">
        <v>419</v>
      </c>
      <c r="K72" s="12" t="s">
        <v>199</v>
      </c>
      <c r="L72" s="14"/>
      <c r="M72" s="12" t="s">
        <v>43</v>
      </c>
      <c r="N72" s="12" t="s">
        <v>44</v>
      </c>
      <c r="O72" s="12" t="s">
        <v>498</v>
      </c>
      <c r="P72" s="12" t="s">
        <v>66</v>
      </c>
      <c r="Q72" s="12" t="s">
        <v>67</v>
      </c>
      <c r="R72" s="12" t="s">
        <v>421</v>
      </c>
      <c r="S72" s="13">
        <v>197643414599</v>
      </c>
      <c r="T72" s="12" t="s">
        <v>499</v>
      </c>
      <c r="U72" s="12" t="s">
        <v>403</v>
      </c>
      <c r="V72" s="12" t="s">
        <v>70</v>
      </c>
      <c r="W72" s="12" t="s">
        <v>118</v>
      </c>
      <c r="X72" s="12" t="s">
        <v>500</v>
      </c>
      <c r="Y72" s="12" t="s">
        <v>91</v>
      </c>
      <c r="Z72" s="12" t="s">
        <v>108</v>
      </c>
      <c r="AA72" s="13">
        <v>0</v>
      </c>
      <c r="AB72" s="13">
        <v>0</v>
      </c>
      <c r="AC72" s="15">
        <v>17.3</v>
      </c>
      <c r="AD72" s="15">
        <f>AC72*AG72</f>
        <v>1193.7</v>
      </c>
      <c r="AE72" s="15">
        <v>38</v>
      </c>
      <c r="AF72" s="15">
        <f>AE72*AG72</f>
        <v>2622</v>
      </c>
      <c r="AG72" s="16">
        <v>69</v>
      </c>
    </row>
    <row r="73" spans="1:33" ht="15" customHeight="1" x14ac:dyDescent="0.2">
      <c r="A73" s="11" t="str">
        <f t="shared" ref="A73:A1279" si="32">HYPERLINK("https://assets.vans.eu/images/VN000EA7HFV-HERO/1","VN000EA7HFV1")</f>
        <v>VN000EA7HFV1</v>
      </c>
      <c r="B73" s="12" t="s">
        <v>501</v>
      </c>
      <c r="C73" s="12" t="s">
        <v>502</v>
      </c>
      <c r="D73" s="12" t="s">
        <v>503</v>
      </c>
      <c r="E73" s="12" t="s">
        <v>504</v>
      </c>
      <c r="F73" s="13">
        <v>130</v>
      </c>
      <c r="G73" s="14"/>
      <c r="H73" s="12" t="s">
        <v>38</v>
      </c>
      <c r="I73" s="12" t="s">
        <v>159</v>
      </c>
      <c r="J73" s="12" t="s">
        <v>255</v>
      </c>
      <c r="K73" s="12" t="s">
        <v>82</v>
      </c>
      <c r="L73" s="12" t="s">
        <v>115</v>
      </c>
      <c r="M73" s="12" t="s">
        <v>43</v>
      </c>
      <c r="N73" s="12" t="s">
        <v>84</v>
      </c>
      <c r="O73" s="12" t="s">
        <v>505</v>
      </c>
      <c r="P73" s="12" t="s">
        <v>46</v>
      </c>
      <c r="Q73" s="12" t="s">
        <v>47</v>
      </c>
      <c r="R73" s="12" t="s">
        <v>163</v>
      </c>
      <c r="S73" s="13">
        <v>197805771256</v>
      </c>
      <c r="T73" s="12" t="s">
        <v>164</v>
      </c>
      <c r="U73" s="13">
        <v>47</v>
      </c>
      <c r="V73" s="12" t="s">
        <v>50</v>
      </c>
      <c r="W73" s="12" t="s">
        <v>175</v>
      </c>
      <c r="X73" s="14"/>
      <c r="Y73" s="14"/>
      <c r="Z73" s="14"/>
      <c r="AA73" s="14"/>
      <c r="AB73" s="14"/>
      <c r="AC73" s="15">
        <v>38.65</v>
      </c>
      <c r="AD73" s="15">
        <f>AC73*AG73</f>
        <v>2666.85</v>
      </c>
      <c r="AE73" s="15">
        <v>85</v>
      </c>
      <c r="AF73" s="15">
        <f>AE73*AG73</f>
        <v>5865</v>
      </c>
      <c r="AG73" s="16">
        <v>69</v>
      </c>
    </row>
    <row r="74" spans="1:33" ht="15" customHeight="1" x14ac:dyDescent="0.2">
      <c r="A74" s="11" t="str">
        <f t="shared" si="13"/>
        <v>VN000R32ENA1</v>
      </c>
      <c r="B74" s="12" t="s">
        <v>506</v>
      </c>
      <c r="C74" s="12" t="s">
        <v>136</v>
      </c>
      <c r="D74" s="12" t="s">
        <v>280</v>
      </c>
      <c r="E74" s="12" t="s">
        <v>507</v>
      </c>
      <c r="F74" s="12" t="s">
        <v>153</v>
      </c>
      <c r="G74" s="14"/>
      <c r="H74" s="12" t="s">
        <v>79</v>
      </c>
      <c r="I74" s="12" t="s">
        <v>125</v>
      </c>
      <c r="J74" s="12" t="s">
        <v>139</v>
      </c>
      <c r="K74" s="12" t="s">
        <v>41</v>
      </c>
      <c r="L74" s="14"/>
      <c r="M74" s="12" t="s">
        <v>43</v>
      </c>
      <c r="N74" s="12" t="s">
        <v>84</v>
      </c>
      <c r="O74" s="12" t="s">
        <v>508</v>
      </c>
      <c r="P74" s="12" t="s">
        <v>86</v>
      </c>
      <c r="Q74" s="12" t="s">
        <v>141</v>
      </c>
      <c r="R74" s="12" t="s">
        <v>142</v>
      </c>
      <c r="S74" s="13">
        <v>197804375493</v>
      </c>
      <c r="T74" s="12" t="s">
        <v>143</v>
      </c>
      <c r="U74" s="12" t="s">
        <v>153</v>
      </c>
      <c r="V74" s="12" t="s">
        <v>283</v>
      </c>
      <c r="W74" s="12" t="s">
        <v>284</v>
      </c>
      <c r="X74" s="14"/>
      <c r="Y74" s="14"/>
      <c r="Z74" s="14"/>
      <c r="AA74" s="14"/>
      <c r="AB74" s="14"/>
      <c r="AC74" s="15">
        <v>7.3</v>
      </c>
      <c r="AD74" s="15">
        <f>AC74*AG74</f>
        <v>496.4</v>
      </c>
      <c r="AE74" s="15">
        <v>16</v>
      </c>
      <c r="AF74" s="15">
        <f>AE74*AG74</f>
        <v>1088</v>
      </c>
      <c r="AG74" s="16">
        <v>68</v>
      </c>
    </row>
    <row r="75" spans="1:33" ht="15" customHeight="1" x14ac:dyDescent="0.2">
      <c r="A75" s="11" t="str">
        <f>HYPERLINK("https://assets.vans.eu/images/VN0A5FJXDZ9-HERO/1","VN0A5FJXDZ91")</f>
        <v>VN0A5FJXDZ91</v>
      </c>
      <c r="B75" s="12" t="s">
        <v>509</v>
      </c>
      <c r="C75" s="12" t="s">
        <v>228</v>
      </c>
      <c r="D75" s="12" t="s">
        <v>510</v>
      </c>
      <c r="E75" s="12" t="s">
        <v>511</v>
      </c>
      <c r="F75" s="13">
        <v>28</v>
      </c>
      <c r="G75" s="14"/>
      <c r="H75" s="12" t="s">
        <v>61</v>
      </c>
      <c r="I75" s="12" t="s">
        <v>230</v>
      </c>
      <c r="J75" s="12" t="s">
        <v>231</v>
      </c>
      <c r="K75" s="12" t="s">
        <v>199</v>
      </c>
      <c r="L75" s="14"/>
      <c r="M75" s="12" t="s">
        <v>43</v>
      </c>
      <c r="N75" s="12" t="s">
        <v>44</v>
      </c>
      <c r="O75" s="12" t="s">
        <v>512</v>
      </c>
      <c r="P75" s="12" t="s">
        <v>66</v>
      </c>
      <c r="Q75" s="12" t="s">
        <v>233</v>
      </c>
      <c r="R75" s="12" t="s">
        <v>234</v>
      </c>
      <c r="S75" s="13">
        <v>195437420375</v>
      </c>
      <c r="T75" s="12" t="s">
        <v>235</v>
      </c>
      <c r="U75" s="13">
        <v>28</v>
      </c>
      <c r="V75" s="12" t="s">
        <v>236</v>
      </c>
      <c r="W75" s="12" t="s">
        <v>186</v>
      </c>
      <c r="X75" s="13">
        <v>0</v>
      </c>
      <c r="Y75" s="12" t="s">
        <v>91</v>
      </c>
      <c r="Z75" s="12" t="s">
        <v>108</v>
      </c>
      <c r="AA75" s="13">
        <v>0</v>
      </c>
      <c r="AB75" s="13">
        <v>0</v>
      </c>
      <c r="AC75" s="15">
        <v>27.3</v>
      </c>
      <c r="AD75" s="15">
        <f>AC75*AG75</f>
        <v>1856.4</v>
      </c>
      <c r="AE75" s="15">
        <v>60</v>
      </c>
      <c r="AF75" s="15">
        <f>AE75*AG75</f>
        <v>4080</v>
      </c>
      <c r="AG75" s="16">
        <v>68</v>
      </c>
    </row>
    <row r="76" spans="1:33" ht="15" customHeight="1" x14ac:dyDescent="0.2">
      <c r="A76" s="11" t="str">
        <f>HYPERLINK("https://assets.vans.eu/images/VN000EZ5WHT-HERO/1","VN000EZ5WHT1")</f>
        <v>VN000EZ5WHT1</v>
      </c>
      <c r="B76" s="12" t="s">
        <v>513</v>
      </c>
      <c r="C76" s="12" t="s">
        <v>514</v>
      </c>
      <c r="D76" s="12" t="s">
        <v>168</v>
      </c>
      <c r="E76" s="12" t="s">
        <v>515</v>
      </c>
      <c r="F76" s="13">
        <v>101</v>
      </c>
      <c r="G76" s="14"/>
      <c r="H76" s="12" t="s">
        <v>79</v>
      </c>
      <c r="I76" s="12" t="s">
        <v>125</v>
      </c>
      <c r="J76" s="12" t="s">
        <v>139</v>
      </c>
      <c r="K76" s="12" t="s">
        <v>64</v>
      </c>
      <c r="L76" s="14"/>
      <c r="M76" s="12" t="s">
        <v>43</v>
      </c>
      <c r="N76" s="12" t="s">
        <v>44</v>
      </c>
      <c r="O76" s="12" t="s">
        <v>516</v>
      </c>
      <c r="P76" s="12" t="s">
        <v>86</v>
      </c>
      <c r="Q76" s="12" t="s">
        <v>141</v>
      </c>
      <c r="R76" s="12" t="s">
        <v>142</v>
      </c>
      <c r="S76" s="13">
        <v>196574906944</v>
      </c>
      <c r="T76" s="12" t="s">
        <v>69</v>
      </c>
      <c r="U76" s="12" t="s">
        <v>517</v>
      </c>
      <c r="V76" s="12" t="s">
        <v>518</v>
      </c>
      <c r="W76" s="12" t="s">
        <v>175</v>
      </c>
      <c r="X76" s="13">
        <v>0</v>
      </c>
      <c r="Y76" s="12" t="s">
        <v>91</v>
      </c>
      <c r="Z76" s="12" t="s">
        <v>108</v>
      </c>
      <c r="AA76" s="13">
        <v>0</v>
      </c>
      <c r="AB76" s="13">
        <v>0</v>
      </c>
      <c r="AC76" s="15">
        <v>6.4</v>
      </c>
      <c r="AD76" s="15">
        <f>AC76*AG76</f>
        <v>428.8</v>
      </c>
      <c r="AE76" s="15">
        <v>14</v>
      </c>
      <c r="AF76" s="15">
        <f>AE76*AG76</f>
        <v>938</v>
      </c>
      <c r="AG76" s="16">
        <v>67</v>
      </c>
    </row>
    <row r="77" spans="1:33" ht="15" customHeight="1" x14ac:dyDescent="0.2">
      <c r="A77" s="11" t="str">
        <f>HYPERLINK("https://assets.vans.eu/images/VN000K9YBHH-HERO/1","VN000K9YBHH1")</f>
        <v>VN000K9YBHH1</v>
      </c>
      <c r="B77" s="12" t="s">
        <v>519</v>
      </c>
      <c r="C77" s="12" t="s">
        <v>520</v>
      </c>
      <c r="D77" s="12" t="s">
        <v>521</v>
      </c>
      <c r="E77" s="12" t="s">
        <v>522</v>
      </c>
      <c r="F77" s="12" t="s">
        <v>78</v>
      </c>
      <c r="G77" s="14"/>
      <c r="H77" s="12" t="s">
        <v>79</v>
      </c>
      <c r="I77" s="12" t="s">
        <v>80</v>
      </c>
      <c r="J77" s="12" t="s">
        <v>349</v>
      </c>
      <c r="K77" s="12" t="s">
        <v>199</v>
      </c>
      <c r="L77" s="14"/>
      <c r="M77" s="12" t="s">
        <v>43</v>
      </c>
      <c r="N77" s="12" t="s">
        <v>161</v>
      </c>
      <c r="O77" s="12" t="s">
        <v>523</v>
      </c>
      <c r="P77" s="12" t="s">
        <v>86</v>
      </c>
      <c r="Q77" s="12" t="s">
        <v>128</v>
      </c>
      <c r="R77" s="12" t="s">
        <v>352</v>
      </c>
      <c r="S77" s="13">
        <v>757969172599</v>
      </c>
      <c r="T77" s="12" t="s">
        <v>130</v>
      </c>
      <c r="U77" s="12" t="s">
        <v>78</v>
      </c>
      <c r="V77" s="12" t="s">
        <v>524</v>
      </c>
      <c r="W77" s="12" t="s">
        <v>455</v>
      </c>
      <c r="X77" s="13">
        <v>0</v>
      </c>
      <c r="Y77" s="12" t="s">
        <v>91</v>
      </c>
      <c r="Z77" s="12" t="s">
        <v>108</v>
      </c>
      <c r="AA77" s="13">
        <v>0</v>
      </c>
      <c r="AB77" s="13">
        <v>0</v>
      </c>
      <c r="AC77" s="15">
        <v>11.85</v>
      </c>
      <c r="AD77" s="15">
        <f>AC77*AG77</f>
        <v>793.94999999999993</v>
      </c>
      <c r="AE77" s="15">
        <v>26</v>
      </c>
      <c r="AF77" s="15">
        <f>AE77*AG77</f>
        <v>1742</v>
      </c>
      <c r="AG77" s="16">
        <v>67</v>
      </c>
    </row>
    <row r="78" spans="1:33" ht="15" customHeight="1" x14ac:dyDescent="0.2">
      <c r="A78" s="11" t="str">
        <f t="shared" ref="A78:A132" si="33">HYPERLINK("https://assets.vans.eu/images/VN000D1JPRP-HERO/1","VN000D1JPRP1")</f>
        <v>VN000D1JPRP1</v>
      </c>
      <c r="B78" s="12" t="s">
        <v>525</v>
      </c>
      <c r="C78" s="12" t="s">
        <v>251</v>
      </c>
      <c r="D78" s="12" t="s">
        <v>526</v>
      </c>
      <c r="E78" s="12" t="s">
        <v>527</v>
      </c>
      <c r="F78" s="13">
        <v>40</v>
      </c>
      <c r="G78" s="12" t="s">
        <v>528</v>
      </c>
      <c r="H78" s="12" t="s">
        <v>38</v>
      </c>
      <c r="I78" s="12" t="s">
        <v>113</v>
      </c>
      <c r="J78" s="12" t="s">
        <v>529</v>
      </c>
      <c r="K78" s="12" t="s">
        <v>82</v>
      </c>
      <c r="L78" s="14"/>
      <c r="M78" s="12" t="s">
        <v>43</v>
      </c>
      <c r="N78" s="12" t="s">
        <v>161</v>
      </c>
      <c r="O78" s="12" t="s">
        <v>530</v>
      </c>
      <c r="P78" s="12" t="s">
        <v>46</v>
      </c>
      <c r="Q78" s="12" t="s">
        <v>47</v>
      </c>
      <c r="R78" s="12" t="s">
        <v>117</v>
      </c>
      <c r="S78" s="13">
        <v>197065606794</v>
      </c>
      <c r="T78" s="12" t="s">
        <v>49</v>
      </c>
      <c r="U78" s="13">
        <v>35</v>
      </c>
      <c r="V78" s="12" t="s">
        <v>50</v>
      </c>
      <c r="W78" s="12" t="s">
        <v>107</v>
      </c>
      <c r="X78" s="14"/>
      <c r="Y78" s="12" t="s">
        <v>91</v>
      </c>
      <c r="Z78" s="12" t="s">
        <v>165</v>
      </c>
      <c r="AA78" s="14"/>
      <c r="AB78" s="14"/>
      <c r="AC78" s="15">
        <v>45.5</v>
      </c>
      <c r="AD78" s="15">
        <f>AC78*AG78</f>
        <v>3048.5</v>
      </c>
      <c r="AE78" s="15">
        <v>100</v>
      </c>
      <c r="AF78" s="15">
        <f>AE78*AG78</f>
        <v>6700</v>
      </c>
      <c r="AG78" s="16">
        <v>67</v>
      </c>
    </row>
    <row r="79" spans="1:33" ht="15" customHeight="1" x14ac:dyDescent="0.2">
      <c r="A79" s="11" t="str">
        <f t="shared" si="4"/>
        <v>VN0A38G1PHN1</v>
      </c>
      <c r="B79" s="12" t="s">
        <v>531</v>
      </c>
      <c r="C79" s="12" t="s">
        <v>34</v>
      </c>
      <c r="D79" s="12" t="s">
        <v>156</v>
      </c>
      <c r="E79" s="12" t="s">
        <v>532</v>
      </c>
      <c r="F79" s="13">
        <v>50</v>
      </c>
      <c r="G79" s="12" t="s">
        <v>158</v>
      </c>
      <c r="H79" s="12" t="s">
        <v>38</v>
      </c>
      <c r="I79" s="12" t="s">
        <v>159</v>
      </c>
      <c r="J79" s="12" t="s">
        <v>160</v>
      </c>
      <c r="K79" s="12" t="s">
        <v>82</v>
      </c>
      <c r="L79" s="14"/>
      <c r="M79" s="12" t="s">
        <v>43</v>
      </c>
      <c r="N79" s="12" t="s">
        <v>161</v>
      </c>
      <c r="O79" s="12" t="s">
        <v>533</v>
      </c>
      <c r="P79" s="12" t="s">
        <v>46</v>
      </c>
      <c r="Q79" s="12" t="s">
        <v>47</v>
      </c>
      <c r="R79" s="12" t="s">
        <v>163</v>
      </c>
      <c r="S79" s="13">
        <v>191163545030</v>
      </c>
      <c r="T79" s="12" t="s">
        <v>164</v>
      </c>
      <c r="U79" s="13">
        <v>36.5</v>
      </c>
      <c r="V79" s="12" t="s">
        <v>50</v>
      </c>
      <c r="W79" s="12" t="s">
        <v>51</v>
      </c>
      <c r="X79" s="14"/>
      <c r="Y79" s="12" t="s">
        <v>91</v>
      </c>
      <c r="Z79" s="12" t="s">
        <v>165</v>
      </c>
      <c r="AA79" s="14"/>
      <c r="AB79" s="14"/>
      <c r="AC79" s="15">
        <v>38.65</v>
      </c>
      <c r="AD79" s="15">
        <f>AC79*AG79</f>
        <v>2589.5499999999997</v>
      </c>
      <c r="AE79" s="15">
        <v>85</v>
      </c>
      <c r="AF79" s="15">
        <f>AE79*AG79</f>
        <v>5695</v>
      </c>
      <c r="AG79" s="16">
        <v>67</v>
      </c>
    </row>
    <row r="80" spans="1:33" ht="15" customHeight="1" x14ac:dyDescent="0.2">
      <c r="A80" s="11" t="str">
        <f>HYPERLINK("https://assets.vans.eu/images/VN0001TTWHT-HERO/1","VN0001TTWHT1")</f>
        <v>VN0001TTWHT1</v>
      </c>
      <c r="B80" s="12" t="s">
        <v>534</v>
      </c>
      <c r="C80" s="12" t="s">
        <v>535</v>
      </c>
      <c r="D80" s="12" t="s">
        <v>168</v>
      </c>
      <c r="E80" s="12" t="s">
        <v>536</v>
      </c>
      <c r="F80" s="12" t="s">
        <v>78</v>
      </c>
      <c r="G80" s="14"/>
      <c r="H80" s="12" t="s">
        <v>79</v>
      </c>
      <c r="I80" s="12" t="s">
        <v>80</v>
      </c>
      <c r="J80" s="12" t="s">
        <v>81</v>
      </c>
      <c r="K80" s="12" t="s">
        <v>199</v>
      </c>
      <c r="L80" s="14"/>
      <c r="M80" s="12" t="s">
        <v>43</v>
      </c>
      <c r="N80" s="12" t="s">
        <v>84</v>
      </c>
      <c r="O80" s="12" t="s">
        <v>537</v>
      </c>
      <c r="P80" s="12" t="s">
        <v>86</v>
      </c>
      <c r="Q80" s="12" t="s">
        <v>87</v>
      </c>
      <c r="R80" s="12" t="s">
        <v>88</v>
      </c>
      <c r="S80" s="13">
        <v>888655197333</v>
      </c>
      <c r="T80" s="12" t="s">
        <v>89</v>
      </c>
      <c r="U80" s="12" t="s">
        <v>78</v>
      </c>
      <c r="V80" s="12" t="s">
        <v>201</v>
      </c>
      <c r="W80" s="12" t="s">
        <v>175</v>
      </c>
      <c r="X80" s="13">
        <v>0</v>
      </c>
      <c r="Y80" s="12" t="s">
        <v>71</v>
      </c>
      <c r="Z80" s="12" t="s">
        <v>108</v>
      </c>
      <c r="AA80" s="13">
        <v>0</v>
      </c>
      <c r="AB80" s="13">
        <v>0</v>
      </c>
      <c r="AC80" s="15">
        <v>3.65</v>
      </c>
      <c r="AD80" s="15">
        <f>AC80*AG80</f>
        <v>237.25</v>
      </c>
      <c r="AE80" s="15">
        <v>8</v>
      </c>
      <c r="AF80" s="15">
        <f>AE80*AG80</f>
        <v>520</v>
      </c>
      <c r="AG80" s="16">
        <v>65</v>
      </c>
    </row>
    <row r="81" spans="1:33" ht="15" customHeight="1" x14ac:dyDescent="0.2">
      <c r="A81" s="11" t="str">
        <f>HYPERLINK("https://assets.vans.eu/images/VN000Y5XHU0-HERO/1","VN000Y5XHU01")</f>
        <v>VN000Y5XHU01</v>
      </c>
      <c r="B81" s="12" t="s">
        <v>538</v>
      </c>
      <c r="C81" s="12" t="s">
        <v>197</v>
      </c>
      <c r="D81" s="12" t="s">
        <v>539</v>
      </c>
      <c r="E81" s="12" t="s">
        <v>540</v>
      </c>
      <c r="F81" s="12" t="s">
        <v>78</v>
      </c>
      <c r="G81" s="14"/>
      <c r="H81" s="12" t="s">
        <v>79</v>
      </c>
      <c r="I81" s="12" t="s">
        <v>80</v>
      </c>
      <c r="J81" s="12" t="s">
        <v>81</v>
      </c>
      <c r="K81" s="12" t="s">
        <v>199</v>
      </c>
      <c r="L81" s="14"/>
      <c r="M81" s="12" t="s">
        <v>43</v>
      </c>
      <c r="N81" s="12" t="s">
        <v>84</v>
      </c>
      <c r="O81" s="12" t="s">
        <v>541</v>
      </c>
      <c r="P81" s="12" t="s">
        <v>86</v>
      </c>
      <c r="Q81" s="12" t="s">
        <v>87</v>
      </c>
      <c r="R81" s="12" t="s">
        <v>88</v>
      </c>
      <c r="S81" s="13">
        <v>191164170743</v>
      </c>
      <c r="T81" s="12" t="s">
        <v>89</v>
      </c>
      <c r="U81" s="12" t="s">
        <v>78</v>
      </c>
      <c r="V81" s="12" t="s">
        <v>201</v>
      </c>
      <c r="W81" s="12" t="s">
        <v>51</v>
      </c>
      <c r="X81" s="13">
        <v>0</v>
      </c>
      <c r="Y81" s="12" t="s">
        <v>71</v>
      </c>
      <c r="Z81" s="12" t="s">
        <v>108</v>
      </c>
      <c r="AA81" s="13">
        <v>0</v>
      </c>
      <c r="AB81" s="13">
        <v>0</v>
      </c>
      <c r="AC81" s="15">
        <v>3.65</v>
      </c>
      <c r="AD81" s="15">
        <f>AC81*AG81</f>
        <v>237.25</v>
      </c>
      <c r="AE81" s="15">
        <v>8</v>
      </c>
      <c r="AF81" s="15">
        <f>AE81*AG81</f>
        <v>520</v>
      </c>
      <c r="AG81" s="16">
        <v>65</v>
      </c>
    </row>
    <row r="82" spans="1:33" ht="15" customHeight="1" x14ac:dyDescent="0.2">
      <c r="A82" s="11" t="str">
        <f>HYPERLINK("https://assets.vans.eu/images/VN000EZ5BLK-HERO/1","VN000EZ5BLK1")</f>
        <v>VN000EZ5BLK1</v>
      </c>
      <c r="B82" s="12" t="s">
        <v>542</v>
      </c>
      <c r="C82" s="12" t="s">
        <v>514</v>
      </c>
      <c r="D82" s="12" t="s">
        <v>76</v>
      </c>
      <c r="E82" s="12" t="s">
        <v>543</v>
      </c>
      <c r="F82" s="13">
        <v>101</v>
      </c>
      <c r="G82" s="14"/>
      <c r="H82" s="12" t="s">
        <v>79</v>
      </c>
      <c r="I82" s="12" t="s">
        <v>125</v>
      </c>
      <c r="J82" s="12" t="s">
        <v>139</v>
      </c>
      <c r="K82" s="12" t="s">
        <v>64</v>
      </c>
      <c r="L82" s="14"/>
      <c r="M82" s="12" t="s">
        <v>43</v>
      </c>
      <c r="N82" s="12" t="s">
        <v>44</v>
      </c>
      <c r="O82" s="12" t="s">
        <v>544</v>
      </c>
      <c r="P82" s="12" t="s">
        <v>86</v>
      </c>
      <c r="Q82" s="12" t="s">
        <v>141</v>
      </c>
      <c r="R82" s="12" t="s">
        <v>142</v>
      </c>
      <c r="S82" s="13">
        <v>196574906845</v>
      </c>
      <c r="T82" s="12" t="s">
        <v>69</v>
      </c>
      <c r="U82" s="12" t="s">
        <v>517</v>
      </c>
      <c r="V82" s="12" t="s">
        <v>518</v>
      </c>
      <c r="W82" s="12" t="s">
        <v>51</v>
      </c>
      <c r="X82" s="13">
        <v>0</v>
      </c>
      <c r="Y82" s="12" t="s">
        <v>91</v>
      </c>
      <c r="Z82" s="12" t="s">
        <v>108</v>
      </c>
      <c r="AA82" s="13">
        <v>0</v>
      </c>
      <c r="AB82" s="13">
        <v>0</v>
      </c>
      <c r="AC82" s="15">
        <v>6.4</v>
      </c>
      <c r="AD82" s="15">
        <f>AC82*AG82</f>
        <v>409.6</v>
      </c>
      <c r="AE82" s="15">
        <v>14</v>
      </c>
      <c r="AF82" s="15">
        <f>AE82*AG82</f>
        <v>896</v>
      </c>
      <c r="AG82" s="16">
        <v>64</v>
      </c>
    </row>
    <row r="83" spans="1:33" ht="15" customHeight="1" x14ac:dyDescent="0.2">
      <c r="A83" s="11" t="str">
        <f>HYPERLINK("https://assets.vans.eu/images/VN000Y5XWHT-HERO/1","VN000Y5XWHT1")</f>
        <v>VN000Y5XWHT1</v>
      </c>
      <c r="B83" s="12" t="s">
        <v>545</v>
      </c>
      <c r="C83" s="12" t="s">
        <v>197</v>
      </c>
      <c r="D83" s="12" t="s">
        <v>168</v>
      </c>
      <c r="E83" s="12" t="s">
        <v>546</v>
      </c>
      <c r="F83" s="12" t="s">
        <v>78</v>
      </c>
      <c r="G83" s="14"/>
      <c r="H83" s="12" t="s">
        <v>79</v>
      </c>
      <c r="I83" s="12" t="s">
        <v>80</v>
      </c>
      <c r="J83" s="12" t="s">
        <v>81</v>
      </c>
      <c r="K83" s="12" t="s">
        <v>199</v>
      </c>
      <c r="L83" s="14"/>
      <c r="M83" s="12" t="s">
        <v>43</v>
      </c>
      <c r="N83" s="12" t="s">
        <v>84</v>
      </c>
      <c r="O83" s="12" t="s">
        <v>547</v>
      </c>
      <c r="P83" s="12" t="s">
        <v>86</v>
      </c>
      <c r="Q83" s="12" t="s">
        <v>87</v>
      </c>
      <c r="R83" s="12" t="s">
        <v>88</v>
      </c>
      <c r="S83" s="13">
        <v>888366462744</v>
      </c>
      <c r="T83" s="12" t="s">
        <v>89</v>
      </c>
      <c r="U83" s="12" t="s">
        <v>78</v>
      </c>
      <c r="V83" s="12" t="s">
        <v>201</v>
      </c>
      <c r="W83" s="12" t="s">
        <v>175</v>
      </c>
      <c r="X83" s="13">
        <v>0</v>
      </c>
      <c r="Y83" s="12" t="s">
        <v>71</v>
      </c>
      <c r="Z83" s="12" t="s">
        <v>108</v>
      </c>
      <c r="AA83" s="13">
        <v>0</v>
      </c>
      <c r="AB83" s="13">
        <v>0</v>
      </c>
      <c r="AC83" s="15">
        <v>3.65</v>
      </c>
      <c r="AD83" s="15">
        <f>AC83*AG83</f>
        <v>233.6</v>
      </c>
      <c r="AE83" s="15">
        <v>8</v>
      </c>
      <c r="AF83" s="15">
        <f>AE83*AG83</f>
        <v>512</v>
      </c>
      <c r="AG83" s="16">
        <v>64</v>
      </c>
    </row>
    <row r="84" spans="1:33" ht="15" customHeight="1" x14ac:dyDescent="0.2">
      <c r="A84" s="11" t="str">
        <f t="shared" ref="A84:A268" si="34">HYPERLINK("https://assets.vans.eu/images/VN000D26EWR-HERO/1","VN000D26EWR1")</f>
        <v>VN000D26EWR1</v>
      </c>
      <c r="B84" s="12" t="s">
        <v>548</v>
      </c>
      <c r="C84" s="12" t="s">
        <v>251</v>
      </c>
      <c r="D84" s="12" t="s">
        <v>549</v>
      </c>
      <c r="E84" s="12" t="s">
        <v>550</v>
      </c>
      <c r="F84" s="13">
        <v>120</v>
      </c>
      <c r="G84" s="12" t="s">
        <v>551</v>
      </c>
      <c r="H84" s="12" t="s">
        <v>38</v>
      </c>
      <c r="I84" s="12" t="s">
        <v>159</v>
      </c>
      <c r="J84" s="12" t="s">
        <v>255</v>
      </c>
      <c r="K84" s="12" t="s">
        <v>82</v>
      </c>
      <c r="L84" s="14"/>
      <c r="M84" s="12" t="s">
        <v>43</v>
      </c>
      <c r="N84" s="12" t="s">
        <v>84</v>
      </c>
      <c r="O84" s="12" t="s">
        <v>552</v>
      </c>
      <c r="P84" s="12" t="s">
        <v>46</v>
      </c>
      <c r="Q84" s="12" t="s">
        <v>47</v>
      </c>
      <c r="R84" s="12" t="s">
        <v>163</v>
      </c>
      <c r="S84" s="13">
        <v>197804445073</v>
      </c>
      <c r="T84" s="12" t="s">
        <v>49</v>
      </c>
      <c r="U84" s="13">
        <v>46</v>
      </c>
      <c r="V84" s="12" t="s">
        <v>50</v>
      </c>
      <c r="W84" s="12" t="s">
        <v>455</v>
      </c>
      <c r="X84" s="14"/>
      <c r="Y84" s="14"/>
      <c r="Z84" s="14"/>
      <c r="AA84" s="14"/>
      <c r="AB84" s="14"/>
      <c r="AC84" s="15">
        <v>45.5</v>
      </c>
      <c r="AD84" s="15">
        <f>AC84*AG84</f>
        <v>2912</v>
      </c>
      <c r="AE84" s="15">
        <v>100</v>
      </c>
      <c r="AF84" s="15">
        <f>AE84*AG84</f>
        <v>6400</v>
      </c>
      <c r="AG84" s="16">
        <v>64</v>
      </c>
    </row>
    <row r="85" spans="1:33" ht="15" customHeight="1" x14ac:dyDescent="0.2">
      <c r="A85" s="11" t="str">
        <f t="shared" ref="A85:A307" si="35">HYPERLINK("https://assets.vans.eu/images/VN0008KUBML-HERO/1","VN0008KUBML1")</f>
        <v>VN0008KUBML1</v>
      </c>
      <c r="B85" s="12" t="s">
        <v>553</v>
      </c>
      <c r="C85" s="12" t="s">
        <v>554</v>
      </c>
      <c r="D85" s="12" t="s">
        <v>555</v>
      </c>
      <c r="E85" s="12" t="s">
        <v>556</v>
      </c>
      <c r="F85" s="12" t="s">
        <v>170</v>
      </c>
      <c r="G85" s="14"/>
      <c r="H85" s="12" t="s">
        <v>61</v>
      </c>
      <c r="I85" s="12" t="s">
        <v>230</v>
      </c>
      <c r="J85" s="12" t="s">
        <v>557</v>
      </c>
      <c r="K85" s="12" t="s">
        <v>199</v>
      </c>
      <c r="L85" s="14"/>
      <c r="M85" s="12" t="s">
        <v>43</v>
      </c>
      <c r="N85" s="12" t="s">
        <v>44</v>
      </c>
      <c r="O85" s="12" t="s">
        <v>558</v>
      </c>
      <c r="P85" s="12" t="s">
        <v>66</v>
      </c>
      <c r="Q85" s="12" t="s">
        <v>559</v>
      </c>
      <c r="R85" s="12" t="s">
        <v>560</v>
      </c>
      <c r="S85" s="13">
        <v>197643553526</v>
      </c>
      <c r="T85" s="12" t="s">
        <v>49</v>
      </c>
      <c r="U85" s="12" t="s">
        <v>170</v>
      </c>
      <c r="V85" s="12" t="s">
        <v>561</v>
      </c>
      <c r="W85" s="12" t="s">
        <v>51</v>
      </c>
      <c r="X85" s="13">
        <v>0</v>
      </c>
      <c r="Y85" s="12" t="s">
        <v>53</v>
      </c>
      <c r="Z85" s="12" t="s">
        <v>108</v>
      </c>
      <c r="AA85" s="13">
        <v>0</v>
      </c>
      <c r="AB85" s="13">
        <v>0</v>
      </c>
      <c r="AC85" s="15">
        <v>25</v>
      </c>
      <c r="AD85" s="15">
        <f>AC85*AG85</f>
        <v>1575</v>
      </c>
      <c r="AE85" s="15">
        <v>55</v>
      </c>
      <c r="AF85" s="15">
        <f>AE85*AG85</f>
        <v>3465</v>
      </c>
      <c r="AG85" s="16">
        <v>63</v>
      </c>
    </row>
    <row r="86" spans="1:33" ht="15" customHeight="1" x14ac:dyDescent="0.2">
      <c r="A86" s="11" t="str">
        <f t="shared" si="20"/>
        <v>VN000HZBYEH1</v>
      </c>
      <c r="B86" s="12" t="s">
        <v>562</v>
      </c>
      <c r="C86" s="12" t="s">
        <v>357</v>
      </c>
      <c r="D86" s="12" t="s">
        <v>358</v>
      </c>
      <c r="E86" s="12" t="s">
        <v>563</v>
      </c>
      <c r="F86" s="13">
        <v>31</v>
      </c>
      <c r="G86" s="14"/>
      <c r="H86" s="12" t="s">
        <v>61</v>
      </c>
      <c r="I86" s="12" t="s">
        <v>230</v>
      </c>
      <c r="J86" s="12" t="s">
        <v>231</v>
      </c>
      <c r="K86" s="12" t="s">
        <v>199</v>
      </c>
      <c r="L86" s="14"/>
      <c r="M86" s="12" t="s">
        <v>43</v>
      </c>
      <c r="N86" s="12" t="s">
        <v>84</v>
      </c>
      <c r="O86" s="12" t="s">
        <v>564</v>
      </c>
      <c r="P86" s="12" t="s">
        <v>66</v>
      </c>
      <c r="Q86" s="12" t="s">
        <v>233</v>
      </c>
      <c r="R86" s="12" t="s">
        <v>361</v>
      </c>
      <c r="S86" s="13">
        <v>197065839826</v>
      </c>
      <c r="T86" s="12" t="s">
        <v>235</v>
      </c>
      <c r="U86" s="13">
        <v>31</v>
      </c>
      <c r="V86" s="12" t="s">
        <v>362</v>
      </c>
      <c r="W86" s="12" t="s">
        <v>186</v>
      </c>
      <c r="X86" s="13">
        <v>0</v>
      </c>
      <c r="Y86" s="12" t="s">
        <v>91</v>
      </c>
      <c r="Z86" s="12" t="s">
        <v>108</v>
      </c>
      <c r="AA86" s="13">
        <v>0</v>
      </c>
      <c r="AB86" s="13">
        <v>0</v>
      </c>
      <c r="AC86" s="15">
        <v>34.1</v>
      </c>
      <c r="AD86" s="15">
        <f>AC86*AG86</f>
        <v>2148.3000000000002</v>
      </c>
      <c r="AE86" s="15">
        <v>75</v>
      </c>
      <c r="AF86" s="15">
        <f>AE86*AG86</f>
        <v>4725</v>
      </c>
      <c r="AG86" s="16">
        <v>63</v>
      </c>
    </row>
    <row r="87" spans="1:33" ht="15" customHeight="1" x14ac:dyDescent="0.2">
      <c r="A87" s="11" t="str">
        <f>HYPERLINK("https://assets.vans.eu/images/VN000R99BLK-HERO/1","VN000R99BLK1")</f>
        <v>VN000R99BLK1</v>
      </c>
      <c r="B87" s="12" t="s">
        <v>565</v>
      </c>
      <c r="C87" s="12" t="s">
        <v>566</v>
      </c>
      <c r="D87" s="12" t="s">
        <v>76</v>
      </c>
      <c r="E87" s="12" t="s">
        <v>567</v>
      </c>
      <c r="F87" s="12" t="s">
        <v>78</v>
      </c>
      <c r="G87" s="14"/>
      <c r="H87" s="12" t="s">
        <v>79</v>
      </c>
      <c r="I87" s="12" t="s">
        <v>80</v>
      </c>
      <c r="J87" s="12" t="s">
        <v>191</v>
      </c>
      <c r="K87" s="12" t="s">
        <v>82</v>
      </c>
      <c r="L87" s="12" t="s">
        <v>83</v>
      </c>
      <c r="M87" s="12" t="s">
        <v>43</v>
      </c>
      <c r="N87" s="12" t="s">
        <v>84</v>
      </c>
      <c r="O87" s="12" t="s">
        <v>568</v>
      </c>
      <c r="P87" s="12" t="s">
        <v>86</v>
      </c>
      <c r="Q87" s="12" t="s">
        <v>409</v>
      </c>
      <c r="R87" s="12" t="s">
        <v>410</v>
      </c>
      <c r="S87" s="13">
        <v>197804371112</v>
      </c>
      <c r="T87" s="12" t="s">
        <v>569</v>
      </c>
      <c r="U87" s="12" t="s">
        <v>78</v>
      </c>
      <c r="V87" s="12" t="s">
        <v>570</v>
      </c>
      <c r="W87" s="12" t="s">
        <v>51</v>
      </c>
      <c r="X87" s="14"/>
      <c r="Y87" s="14"/>
      <c r="Z87" s="14"/>
      <c r="AA87" s="14"/>
      <c r="AB87" s="14"/>
      <c r="AC87" s="15">
        <v>40.950000000000003</v>
      </c>
      <c r="AD87" s="15">
        <f>AC87*AG87</f>
        <v>2497.9500000000003</v>
      </c>
      <c r="AE87" s="15">
        <v>90</v>
      </c>
      <c r="AF87" s="15">
        <f>AE87*AG87</f>
        <v>5490</v>
      </c>
      <c r="AG87" s="16">
        <v>61</v>
      </c>
    </row>
    <row r="88" spans="1:33" ht="15" customHeight="1" x14ac:dyDescent="0.2">
      <c r="A88" s="11" t="str">
        <f>HYPERLINK("https://assets.vans.eu/images/VN000IVFENA-HERO/1","VN000IVFENA1")</f>
        <v>VN000IVFENA1</v>
      </c>
      <c r="B88" s="12" t="s">
        <v>571</v>
      </c>
      <c r="C88" s="12" t="s">
        <v>572</v>
      </c>
      <c r="D88" s="12" t="s">
        <v>280</v>
      </c>
      <c r="E88" s="12" t="s">
        <v>573</v>
      </c>
      <c r="F88" s="12" t="s">
        <v>179</v>
      </c>
      <c r="G88" s="14"/>
      <c r="H88" s="12" t="s">
        <v>61</v>
      </c>
      <c r="I88" s="12" t="s">
        <v>62</v>
      </c>
      <c r="J88" s="12" t="s">
        <v>63</v>
      </c>
      <c r="K88" s="12" t="s">
        <v>64</v>
      </c>
      <c r="L88" s="14"/>
      <c r="M88" s="12" t="s">
        <v>43</v>
      </c>
      <c r="N88" s="12" t="s">
        <v>84</v>
      </c>
      <c r="O88" s="12" t="s">
        <v>574</v>
      </c>
      <c r="P88" s="12" t="s">
        <v>66</v>
      </c>
      <c r="Q88" s="12" t="s">
        <v>67</v>
      </c>
      <c r="R88" s="12" t="s">
        <v>68</v>
      </c>
      <c r="S88" s="13">
        <v>197804655687</v>
      </c>
      <c r="T88" s="12" t="s">
        <v>422</v>
      </c>
      <c r="U88" s="12" t="s">
        <v>179</v>
      </c>
      <c r="V88" s="12" t="s">
        <v>70</v>
      </c>
      <c r="W88" s="12" t="s">
        <v>284</v>
      </c>
      <c r="X88" s="14"/>
      <c r="Y88" s="14"/>
      <c r="Z88" s="14"/>
      <c r="AA88" s="14"/>
      <c r="AB88" s="14"/>
      <c r="AC88" s="15">
        <v>11.4</v>
      </c>
      <c r="AD88" s="15">
        <f>AC88*AG88</f>
        <v>695.4</v>
      </c>
      <c r="AE88" s="15">
        <v>25</v>
      </c>
      <c r="AF88" s="15">
        <f>AE88*AG88</f>
        <v>1525</v>
      </c>
      <c r="AG88" s="16">
        <v>61</v>
      </c>
    </row>
    <row r="89" spans="1:33" ht="15" customHeight="1" x14ac:dyDescent="0.2">
      <c r="A89" s="11" t="str">
        <f>HYPERLINK("https://assets.vans.eu/images/VN000E9XTUP-HERO/1","VN000E9XTUP1")</f>
        <v>VN000E9XTUP1</v>
      </c>
      <c r="B89" s="12" t="s">
        <v>575</v>
      </c>
      <c r="C89" s="12" t="s">
        <v>110</v>
      </c>
      <c r="D89" s="12" t="s">
        <v>576</v>
      </c>
      <c r="E89" s="12" t="s">
        <v>577</v>
      </c>
      <c r="F89" s="13">
        <v>70</v>
      </c>
      <c r="G89" s="12" t="s">
        <v>578</v>
      </c>
      <c r="H89" s="12" t="s">
        <v>38</v>
      </c>
      <c r="I89" s="12" t="s">
        <v>113</v>
      </c>
      <c r="J89" s="12" t="s">
        <v>114</v>
      </c>
      <c r="K89" s="12" t="s">
        <v>82</v>
      </c>
      <c r="L89" s="12" t="s">
        <v>115</v>
      </c>
      <c r="M89" s="12" t="s">
        <v>43</v>
      </c>
      <c r="N89" s="12" t="s">
        <v>84</v>
      </c>
      <c r="O89" s="12" t="s">
        <v>579</v>
      </c>
      <c r="P89" s="12" t="s">
        <v>46</v>
      </c>
      <c r="Q89" s="12" t="s">
        <v>47</v>
      </c>
      <c r="R89" s="12" t="s">
        <v>117</v>
      </c>
      <c r="S89" s="13">
        <v>197805903930</v>
      </c>
      <c r="T89" s="12" t="s">
        <v>49</v>
      </c>
      <c r="U89" s="13">
        <v>39</v>
      </c>
      <c r="V89" s="12" t="s">
        <v>50</v>
      </c>
      <c r="W89" s="12" t="s">
        <v>580</v>
      </c>
      <c r="X89" s="14"/>
      <c r="Y89" s="14"/>
      <c r="Z89" s="14"/>
      <c r="AA89" s="14"/>
      <c r="AB89" s="14"/>
      <c r="AC89" s="15">
        <v>45.5</v>
      </c>
      <c r="AD89" s="15">
        <f>AC89*AG89</f>
        <v>2730</v>
      </c>
      <c r="AE89" s="15">
        <v>100</v>
      </c>
      <c r="AF89" s="15">
        <f>AE89*AG89</f>
        <v>6000</v>
      </c>
      <c r="AG89" s="16">
        <v>60</v>
      </c>
    </row>
    <row r="90" spans="1:33" ht="15" customHeight="1" x14ac:dyDescent="0.2">
      <c r="A90" s="11" t="str">
        <f t="shared" si="12"/>
        <v>VN0A5HF8BLK1</v>
      </c>
      <c r="B90" s="12" t="s">
        <v>581</v>
      </c>
      <c r="C90" s="12" t="s">
        <v>272</v>
      </c>
      <c r="D90" s="12" t="s">
        <v>76</v>
      </c>
      <c r="E90" s="12" t="s">
        <v>582</v>
      </c>
      <c r="F90" s="13">
        <v>40</v>
      </c>
      <c r="G90" s="14"/>
      <c r="H90" s="12" t="s">
        <v>38</v>
      </c>
      <c r="I90" s="12" t="s">
        <v>159</v>
      </c>
      <c r="J90" s="12" t="s">
        <v>255</v>
      </c>
      <c r="K90" s="12" t="s">
        <v>82</v>
      </c>
      <c r="L90" s="14"/>
      <c r="M90" s="12" t="s">
        <v>43</v>
      </c>
      <c r="N90" s="12" t="s">
        <v>274</v>
      </c>
      <c r="O90" s="12" t="s">
        <v>583</v>
      </c>
      <c r="P90" s="12" t="s">
        <v>46</v>
      </c>
      <c r="Q90" s="12" t="s">
        <v>276</v>
      </c>
      <c r="R90" s="12" t="s">
        <v>277</v>
      </c>
      <c r="S90" s="13">
        <v>194901731528</v>
      </c>
      <c r="T90" s="12" t="s">
        <v>143</v>
      </c>
      <c r="U90" s="13">
        <v>35</v>
      </c>
      <c r="V90" s="12" t="s">
        <v>278</v>
      </c>
      <c r="W90" s="12" t="s">
        <v>51</v>
      </c>
      <c r="X90" s="14"/>
      <c r="Y90" s="12" t="s">
        <v>91</v>
      </c>
      <c r="Z90" s="12" t="s">
        <v>165</v>
      </c>
      <c r="AA90" s="14"/>
      <c r="AB90" s="14"/>
      <c r="AC90" s="15">
        <v>27.3</v>
      </c>
      <c r="AD90" s="15">
        <f>AC90*AG90</f>
        <v>1610.7</v>
      </c>
      <c r="AE90" s="15">
        <v>60</v>
      </c>
      <c r="AF90" s="15">
        <f>AE90*AG90</f>
        <v>3540</v>
      </c>
      <c r="AG90" s="16">
        <v>59</v>
      </c>
    </row>
    <row r="91" spans="1:33" ht="15" customHeight="1" x14ac:dyDescent="0.2">
      <c r="A91" s="11" t="str">
        <f t="shared" ref="A91:A108" si="36">HYPERLINK("https://assets.vans.eu/images/VN000Q1TBLK-HERO/1","VN000Q1TBLK1")</f>
        <v>VN000Q1TBLK1</v>
      </c>
      <c r="B91" s="12" t="s">
        <v>584</v>
      </c>
      <c r="C91" s="12" t="s">
        <v>585</v>
      </c>
      <c r="D91" s="12" t="s">
        <v>76</v>
      </c>
      <c r="E91" s="12" t="s">
        <v>586</v>
      </c>
      <c r="F91" s="12" t="s">
        <v>153</v>
      </c>
      <c r="G91" s="14"/>
      <c r="H91" s="12" t="s">
        <v>79</v>
      </c>
      <c r="I91" s="12" t="s">
        <v>125</v>
      </c>
      <c r="J91" s="12" t="s">
        <v>139</v>
      </c>
      <c r="K91" s="12" t="s">
        <v>41</v>
      </c>
      <c r="L91" s="14"/>
      <c r="M91" s="12" t="s">
        <v>43</v>
      </c>
      <c r="N91" s="12" t="s">
        <v>84</v>
      </c>
      <c r="O91" s="12" t="s">
        <v>587</v>
      </c>
      <c r="P91" s="12" t="s">
        <v>86</v>
      </c>
      <c r="Q91" s="12" t="s">
        <v>141</v>
      </c>
      <c r="R91" s="12" t="s">
        <v>142</v>
      </c>
      <c r="S91" s="13">
        <v>197804373963</v>
      </c>
      <c r="T91" s="12" t="s">
        <v>143</v>
      </c>
      <c r="U91" s="12" t="s">
        <v>153</v>
      </c>
      <c r="V91" s="12" t="s">
        <v>588</v>
      </c>
      <c r="W91" s="12" t="s">
        <v>51</v>
      </c>
      <c r="X91" s="14"/>
      <c r="Y91" s="14"/>
      <c r="Z91" s="14"/>
      <c r="AA91" s="14"/>
      <c r="AB91" s="14"/>
      <c r="AC91" s="15">
        <v>6.4</v>
      </c>
      <c r="AD91" s="15">
        <f>AC91*AG91</f>
        <v>371.20000000000005</v>
      </c>
      <c r="AE91" s="15">
        <v>14</v>
      </c>
      <c r="AF91" s="15">
        <f>AE91*AG91</f>
        <v>812</v>
      </c>
      <c r="AG91" s="16">
        <v>58</v>
      </c>
    </row>
    <row r="92" spans="1:33" ht="15" customHeight="1" x14ac:dyDescent="0.2">
      <c r="A92" s="11" t="str">
        <f>HYPERLINK("https://assets.vans.eu/images/VN000QB4BRD-HERO/1","VN000QB4BRD1")</f>
        <v>VN000QB4BRD1</v>
      </c>
      <c r="B92" s="12" t="s">
        <v>589</v>
      </c>
      <c r="C92" s="12" t="s">
        <v>450</v>
      </c>
      <c r="D92" s="12" t="s">
        <v>590</v>
      </c>
      <c r="E92" s="12" t="s">
        <v>591</v>
      </c>
      <c r="F92" s="12" t="s">
        <v>78</v>
      </c>
      <c r="G92" s="14"/>
      <c r="H92" s="12" t="s">
        <v>79</v>
      </c>
      <c r="I92" s="12" t="s">
        <v>80</v>
      </c>
      <c r="J92" s="12" t="s">
        <v>349</v>
      </c>
      <c r="K92" s="12" t="s">
        <v>82</v>
      </c>
      <c r="L92" s="14"/>
      <c r="M92" s="12" t="s">
        <v>43</v>
      </c>
      <c r="N92" s="12" t="s">
        <v>84</v>
      </c>
      <c r="O92" s="12" t="s">
        <v>592</v>
      </c>
      <c r="P92" s="12" t="s">
        <v>86</v>
      </c>
      <c r="Q92" s="12" t="s">
        <v>128</v>
      </c>
      <c r="R92" s="12" t="s">
        <v>352</v>
      </c>
      <c r="S92" s="13">
        <v>197804375196</v>
      </c>
      <c r="T92" s="12" t="s">
        <v>130</v>
      </c>
      <c r="U92" s="12" t="s">
        <v>78</v>
      </c>
      <c r="V92" s="12" t="s">
        <v>593</v>
      </c>
      <c r="W92" s="12" t="s">
        <v>262</v>
      </c>
      <c r="X92" s="14"/>
      <c r="Y92" s="14"/>
      <c r="Z92" s="14"/>
      <c r="AA92" s="14"/>
      <c r="AB92" s="14"/>
      <c r="AC92" s="15">
        <v>11.85</v>
      </c>
      <c r="AD92" s="15">
        <f>AC92*AG92</f>
        <v>687.3</v>
      </c>
      <c r="AE92" s="15">
        <v>26</v>
      </c>
      <c r="AF92" s="15">
        <f>AE92*AG92</f>
        <v>1508</v>
      </c>
      <c r="AG92" s="16">
        <v>58</v>
      </c>
    </row>
    <row r="93" spans="1:33" ht="15" customHeight="1" x14ac:dyDescent="0.2">
      <c r="A93" s="11" t="str">
        <f>HYPERLINK("https://assets.vans.eu/images/VN000Y5XRNC-HERO/1","VN000Y5XRNC1")</f>
        <v>VN000Y5XRNC1</v>
      </c>
      <c r="B93" s="12" t="s">
        <v>594</v>
      </c>
      <c r="C93" s="12" t="s">
        <v>197</v>
      </c>
      <c r="D93" s="12" t="s">
        <v>595</v>
      </c>
      <c r="E93" s="12" t="s">
        <v>596</v>
      </c>
      <c r="F93" s="12" t="s">
        <v>78</v>
      </c>
      <c r="G93" s="14"/>
      <c r="H93" s="12" t="s">
        <v>79</v>
      </c>
      <c r="I93" s="12" t="s">
        <v>80</v>
      </c>
      <c r="J93" s="12" t="s">
        <v>81</v>
      </c>
      <c r="K93" s="12" t="s">
        <v>199</v>
      </c>
      <c r="L93" s="14"/>
      <c r="M93" s="12" t="s">
        <v>43</v>
      </c>
      <c r="N93" s="12" t="s">
        <v>84</v>
      </c>
      <c r="O93" s="12" t="s">
        <v>597</v>
      </c>
      <c r="P93" s="12" t="s">
        <v>86</v>
      </c>
      <c r="Q93" s="12" t="s">
        <v>87</v>
      </c>
      <c r="R93" s="12" t="s">
        <v>88</v>
      </c>
      <c r="S93" s="13">
        <v>193391112961</v>
      </c>
      <c r="T93" s="12" t="s">
        <v>89</v>
      </c>
      <c r="U93" s="12" t="s">
        <v>78</v>
      </c>
      <c r="V93" s="12" t="s">
        <v>90</v>
      </c>
      <c r="W93" s="12" t="s">
        <v>598</v>
      </c>
      <c r="X93" s="13">
        <v>0</v>
      </c>
      <c r="Y93" s="12" t="s">
        <v>71</v>
      </c>
      <c r="Z93" s="12" t="s">
        <v>108</v>
      </c>
      <c r="AA93" s="13">
        <v>0</v>
      </c>
      <c r="AB93" s="13">
        <v>0</v>
      </c>
      <c r="AC93" s="15">
        <v>3.65</v>
      </c>
      <c r="AD93" s="15">
        <f>AC93*AG93</f>
        <v>211.7</v>
      </c>
      <c r="AE93" s="15">
        <v>8</v>
      </c>
      <c r="AF93" s="15">
        <f>AE93*AG93</f>
        <v>464</v>
      </c>
      <c r="AG93" s="16">
        <v>58</v>
      </c>
    </row>
    <row r="94" spans="1:33" ht="15" customHeight="1" x14ac:dyDescent="0.2">
      <c r="A94" s="11" t="str">
        <f t="shared" si="28"/>
        <v>VN000Q1XBLK1</v>
      </c>
      <c r="B94" s="12" t="s">
        <v>599</v>
      </c>
      <c r="C94" s="12" t="s">
        <v>470</v>
      </c>
      <c r="D94" s="12" t="s">
        <v>76</v>
      </c>
      <c r="E94" s="12" t="s">
        <v>600</v>
      </c>
      <c r="F94" s="13">
        <v>122</v>
      </c>
      <c r="G94" s="14"/>
      <c r="H94" s="12" t="s">
        <v>79</v>
      </c>
      <c r="I94" s="12" t="s">
        <v>472</v>
      </c>
      <c r="J94" s="12" t="s">
        <v>473</v>
      </c>
      <c r="K94" s="12" t="s">
        <v>474</v>
      </c>
      <c r="L94" s="14"/>
      <c r="M94" s="12" t="s">
        <v>43</v>
      </c>
      <c r="N94" s="12" t="s">
        <v>84</v>
      </c>
      <c r="O94" s="12" t="s">
        <v>601</v>
      </c>
      <c r="P94" s="12" t="s">
        <v>86</v>
      </c>
      <c r="Q94" s="12" t="s">
        <v>141</v>
      </c>
      <c r="R94" s="12" t="s">
        <v>142</v>
      </c>
      <c r="S94" s="13">
        <v>197804383719</v>
      </c>
      <c r="T94" s="12" t="s">
        <v>105</v>
      </c>
      <c r="U94" s="12" t="s">
        <v>602</v>
      </c>
      <c r="V94" s="12" t="s">
        <v>476</v>
      </c>
      <c r="W94" s="12" t="s">
        <v>51</v>
      </c>
      <c r="X94" s="14"/>
      <c r="Y94" s="14"/>
      <c r="Z94" s="14"/>
      <c r="AA94" s="14"/>
      <c r="AB94" s="14"/>
      <c r="AC94" s="15">
        <v>6.4</v>
      </c>
      <c r="AD94" s="15">
        <f>AC94*AG94</f>
        <v>364.8</v>
      </c>
      <c r="AE94" s="15">
        <v>14</v>
      </c>
      <c r="AF94" s="15">
        <f>AE94*AG94</f>
        <v>798</v>
      </c>
      <c r="AG94" s="16">
        <v>57</v>
      </c>
    </row>
    <row r="95" spans="1:33" ht="15" customHeight="1" x14ac:dyDescent="0.2">
      <c r="A95" s="11" t="str">
        <f t="shared" si="20"/>
        <v>VN000HZBYEH1</v>
      </c>
      <c r="B95" s="12" t="s">
        <v>603</v>
      </c>
      <c r="C95" s="12" t="s">
        <v>357</v>
      </c>
      <c r="D95" s="12" t="s">
        <v>358</v>
      </c>
      <c r="E95" s="12" t="s">
        <v>604</v>
      </c>
      <c r="F95" s="13">
        <v>30</v>
      </c>
      <c r="G95" s="14"/>
      <c r="H95" s="12" t="s">
        <v>61</v>
      </c>
      <c r="I95" s="12" t="s">
        <v>230</v>
      </c>
      <c r="J95" s="12" t="s">
        <v>231</v>
      </c>
      <c r="K95" s="12" t="s">
        <v>199</v>
      </c>
      <c r="L95" s="14"/>
      <c r="M95" s="12" t="s">
        <v>43</v>
      </c>
      <c r="N95" s="12" t="s">
        <v>84</v>
      </c>
      <c r="O95" s="12" t="s">
        <v>605</v>
      </c>
      <c r="P95" s="12" t="s">
        <v>66</v>
      </c>
      <c r="Q95" s="12" t="s">
        <v>233</v>
      </c>
      <c r="R95" s="12" t="s">
        <v>361</v>
      </c>
      <c r="S95" s="13">
        <v>197065839314</v>
      </c>
      <c r="T95" s="12" t="s">
        <v>235</v>
      </c>
      <c r="U95" s="13">
        <v>30</v>
      </c>
      <c r="V95" s="12" t="s">
        <v>362</v>
      </c>
      <c r="W95" s="12" t="s">
        <v>186</v>
      </c>
      <c r="X95" s="13">
        <v>0</v>
      </c>
      <c r="Y95" s="12" t="s">
        <v>91</v>
      </c>
      <c r="Z95" s="12" t="s">
        <v>108</v>
      </c>
      <c r="AA95" s="13">
        <v>0</v>
      </c>
      <c r="AB95" s="13">
        <v>0</v>
      </c>
      <c r="AC95" s="15">
        <v>34.1</v>
      </c>
      <c r="AD95" s="15">
        <f>AC95*AG95</f>
        <v>1943.7</v>
      </c>
      <c r="AE95" s="15">
        <v>75</v>
      </c>
      <c r="AF95" s="15">
        <f>AE95*AG95</f>
        <v>4275</v>
      </c>
      <c r="AG95" s="16">
        <v>57</v>
      </c>
    </row>
    <row r="96" spans="1:33" ht="15" customHeight="1" x14ac:dyDescent="0.2">
      <c r="A96" s="11" t="str">
        <f>HYPERLINK("https://assets.vans.eu/images/VN0A45NMGL4-HERO/1","VN0A45NMGL41")</f>
        <v>VN0A45NMGL41</v>
      </c>
      <c r="B96" s="12" t="s">
        <v>606</v>
      </c>
      <c r="C96" s="12" t="s">
        <v>607</v>
      </c>
      <c r="D96" s="12" t="s">
        <v>608</v>
      </c>
      <c r="E96" s="12" t="s">
        <v>609</v>
      </c>
      <c r="F96" s="13">
        <v>75</v>
      </c>
      <c r="G96" s="14"/>
      <c r="H96" s="12" t="s">
        <v>38</v>
      </c>
      <c r="I96" s="12" t="s">
        <v>113</v>
      </c>
      <c r="J96" s="12" t="s">
        <v>529</v>
      </c>
      <c r="K96" s="12" t="s">
        <v>100</v>
      </c>
      <c r="L96" s="14"/>
      <c r="M96" s="12" t="s">
        <v>43</v>
      </c>
      <c r="N96" s="12" t="s">
        <v>84</v>
      </c>
      <c r="O96" s="12" t="s">
        <v>610</v>
      </c>
      <c r="P96" s="12" t="s">
        <v>46</v>
      </c>
      <c r="Q96" s="12" t="s">
        <v>47</v>
      </c>
      <c r="R96" s="12" t="s">
        <v>117</v>
      </c>
      <c r="S96" s="13">
        <v>195436605506</v>
      </c>
      <c r="T96" s="12" t="s">
        <v>105</v>
      </c>
      <c r="U96" s="13">
        <v>38</v>
      </c>
      <c r="V96" s="12" t="s">
        <v>50</v>
      </c>
      <c r="W96" s="12" t="s">
        <v>51</v>
      </c>
      <c r="X96" s="14"/>
      <c r="Y96" s="12" t="s">
        <v>71</v>
      </c>
      <c r="Z96" s="12" t="s">
        <v>376</v>
      </c>
      <c r="AA96" s="14"/>
      <c r="AB96" s="14"/>
      <c r="AC96" s="15">
        <v>26.2</v>
      </c>
      <c r="AD96" s="15">
        <f>AC96*AG96</f>
        <v>1467.2</v>
      </c>
      <c r="AE96" s="15">
        <v>55</v>
      </c>
      <c r="AF96" s="15">
        <f>AE96*AG96</f>
        <v>3080</v>
      </c>
      <c r="AG96" s="16">
        <v>56</v>
      </c>
    </row>
    <row r="97" spans="1:33" ht="15" customHeight="1" x14ac:dyDescent="0.2">
      <c r="A97" s="11" t="str">
        <f>HYPERLINK("https://assets.vans.eu/images/VN000JK5BLK-HERO/1","VN000JK5BLK1")</f>
        <v>VN000JK5BLK1</v>
      </c>
      <c r="B97" s="12" t="s">
        <v>611</v>
      </c>
      <c r="C97" s="12" t="s">
        <v>612</v>
      </c>
      <c r="D97" s="12" t="s">
        <v>76</v>
      </c>
      <c r="E97" s="12" t="s">
        <v>613</v>
      </c>
      <c r="F97" s="12" t="s">
        <v>403</v>
      </c>
      <c r="G97" s="14"/>
      <c r="H97" s="12" t="s">
        <v>61</v>
      </c>
      <c r="I97" s="12" t="s">
        <v>230</v>
      </c>
      <c r="J97" s="12" t="s">
        <v>419</v>
      </c>
      <c r="K97" s="12" t="s">
        <v>199</v>
      </c>
      <c r="L97" s="12" t="s">
        <v>350</v>
      </c>
      <c r="M97" s="12" t="s">
        <v>43</v>
      </c>
      <c r="N97" s="12" t="s">
        <v>44</v>
      </c>
      <c r="O97" s="12" t="s">
        <v>614</v>
      </c>
      <c r="P97" s="12" t="s">
        <v>66</v>
      </c>
      <c r="Q97" s="12" t="s">
        <v>67</v>
      </c>
      <c r="R97" s="12" t="s">
        <v>421</v>
      </c>
      <c r="S97" s="13">
        <v>197063693178</v>
      </c>
      <c r="T97" s="12" t="s">
        <v>422</v>
      </c>
      <c r="U97" s="12" t="s">
        <v>403</v>
      </c>
      <c r="V97" s="12" t="s">
        <v>70</v>
      </c>
      <c r="W97" s="12" t="s">
        <v>51</v>
      </c>
      <c r="X97" s="13">
        <v>0</v>
      </c>
      <c r="Y97" s="12" t="s">
        <v>53</v>
      </c>
      <c r="Z97" s="12" t="s">
        <v>92</v>
      </c>
      <c r="AA97" s="12" t="s">
        <v>615</v>
      </c>
      <c r="AB97" s="12" t="s">
        <v>616</v>
      </c>
      <c r="AC97" s="15">
        <v>19.100000000000001</v>
      </c>
      <c r="AD97" s="15">
        <f>AC97*AG97</f>
        <v>1012.3000000000001</v>
      </c>
      <c r="AE97" s="15">
        <v>42</v>
      </c>
      <c r="AF97" s="15">
        <f>AE97*AG97</f>
        <v>2226</v>
      </c>
      <c r="AG97" s="16">
        <v>53</v>
      </c>
    </row>
    <row r="98" spans="1:33" ht="15" customHeight="1" x14ac:dyDescent="0.2">
      <c r="A98" s="11" t="str">
        <f t="shared" ref="A98:A105" si="37">HYPERLINK("https://assets.vans.eu/images/VN000RATE30-HERO/1","VN000RATE301")</f>
        <v>VN000RATE301</v>
      </c>
      <c r="B98" s="12" t="s">
        <v>617</v>
      </c>
      <c r="C98" s="12" t="s">
        <v>618</v>
      </c>
      <c r="D98" s="12" t="s">
        <v>619</v>
      </c>
      <c r="E98" s="12" t="s">
        <v>620</v>
      </c>
      <c r="F98" s="12" t="s">
        <v>621</v>
      </c>
      <c r="G98" s="14"/>
      <c r="H98" s="12" t="s">
        <v>61</v>
      </c>
      <c r="I98" s="12" t="s">
        <v>230</v>
      </c>
      <c r="J98" s="12" t="s">
        <v>419</v>
      </c>
      <c r="K98" s="12" t="s">
        <v>199</v>
      </c>
      <c r="L98" s="12" t="s">
        <v>115</v>
      </c>
      <c r="M98" s="12" t="s">
        <v>43</v>
      </c>
      <c r="N98" s="12" t="s">
        <v>44</v>
      </c>
      <c r="O98" s="12" t="s">
        <v>622</v>
      </c>
      <c r="P98" s="12" t="s">
        <v>66</v>
      </c>
      <c r="Q98" s="12" t="s">
        <v>67</v>
      </c>
      <c r="R98" s="12" t="s">
        <v>623</v>
      </c>
      <c r="S98" s="13">
        <v>197804884087</v>
      </c>
      <c r="T98" s="12" t="s">
        <v>69</v>
      </c>
      <c r="U98" s="12" t="s">
        <v>621</v>
      </c>
      <c r="V98" s="12" t="s">
        <v>624</v>
      </c>
      <c r="W98" s="12" t="s">
        <v>625</v>
      </c>
      <c r="X98" s="13">
        <v>0</v>
      </c>
      <c r="Y98" s="12" t="s">
        <v>91</v>
      </c>
      <c r="Z98" s="12" t="s">
        <v>92</v>
      </c>
      <c r="AA98" s="12" t="s">
        <v>626</v>
      </c>
      <c r="AB98" s="12" t="s">
        <v>94</v>
      </c>
      <c r="AC98" s="15">
        <v>34.1</v>
      </c>
      <c r="AD98" s="15">
        <f>AC98*AG98</f>
        <v>1773.2</v>
      </c>
      <c r="AE98" s="15">
        <v>75</v>
      </c>
      <c r="AF98" s="15">
        <f>AE98*AG98</f>
        <v>3900</v>
      </c>
      <c r="AG98" s="16">
        <v>52</v>
      </c>
    </row>
    <row r="99" spans="1:33" ht="15" customHeight="1" x14ac:dyDescent="0.2">
      <c r="A99" s="11" t="str">
        <f>HYPERLINK("https://assets.vans.eu/images/VN000D220VW-HERO/1","VN000D220VW1")</f>
        <v>VN000D220VW1</v>
      </c>
      <c r="B99" s="12" t="s">
        <v>627</v>
      </c>
      <c r="C99" s="12" t="s">
        <v>110</v>
      </c>
      <c r="D99" s="12" t="s">
        <v>628</v>
      </c>
      <c r="E99" s="12" t="s">
        <v>629</v>
      </c>
      <c r="F99" s="13">
        <v>40</v>
      </c>
      <c r="G99" s="12" t="s">
        <v>630</v>
      </c>
      <c r="H99" s="12" t="s">
        <v>38</v>
      </c>
      <c r="I99" s="12" t="s">
        <v>159</v>
      </c>
      <c r="J99" s="12" t="s">
        <v>160</v>
      </c>
      <c r="K99" s="12" t="s">
        <v>82</v>
      </c>
      <c r="L99" s="14"/>
      <c r="M99" s="12" t="s">
        <v>43</v>
      </c>
      <c r="N99" s="12" t="s">
        <v>161</v>
      </c>
      <c r="O99" s="12" t="s">
        <v>631</v>
      </c>
      <c r="P99" s="12" t="s">
        <v>46</v>
      </c>
      <c r="Q99" s="12" t="s">
        <v>47</v>
      </c>
      <c r="R99" s="12" t="s">
        <v>163</v>
      </c>
      <c r="S99" s="13">
        <v>197065608538</v>
      </c>
      <c r="T99" s="12" t="s">
        <v>49</v>
      </c>
      <c r="U99" s="13">
        <v>35</v>
      </c>
      <c r="V99" s="12" t="s">
        <v>50</v>
      </c>
      <c r="W99" s="12" t="s">
        <v>175</v>
      </c>
      <c r="X99" s="14"/>
      <c r="Y99" s="12" t="s">
        <v>91</v>
      </c>
      <c r="Z99" s="12" t="s">
        <v>165</v>
      </c>
      <c r="AA99" s="14"/>
      <c r="AB99" s="14"/>
      <c r="AC99" s="15">
        <v>43.2</v>
      </c>
      <c r="AD99" s="15">
        <f>AC99*AG99</f>
        <v>2246.4</v>
      </c>
      <c r="AE99" s="15">
        <v>95</v>
      </c>
      <c r="AF99" s="15">
        <f>AE99*AG99</f>
        <v>4940</v>
      </c>
      <c r="AG99" s="16">
        <v>52</v>
      </c>
    </row>
    <row r="100" spans="1:33" ht="15" customHeight="1" x14ac:dyDescent="0.2">
      <c r="A100" s="11" t="str">
        <f t="shared" si="9"/>
        <v>VN000D3YFS81</v>
      </c>
      <c r="B100" s="12" t="s">
        <v>632</v>
      </c>
      <c r="C100" s="12" t="s">
        <v>238</v>
      </c>
      <c r="D100" s="12" t="s">
        <v>239</v>
      </c>
      <c r="E100" s="12" t="s">
        <v>633</v>
      </c>
      <c r="F100" s="13">
        <v>50</v>
      </c>
      <c r="G100" s="12" t="s">
        <v>241</v>
      </c>
      <c r="H100" s="12" t="s">
        <v>38</v>
      </c>
      <c r="I100" s="12" t="s">
        <v>242</v>
      </c>
      <c r="J100" s="12" t="s">
        <v>243</v>
      </c>
      <c r="K100" s="12" t="s">
        <v>244</v>
      </c>
      <c r="L100" s="12" t="s">
        <v>42</v>
      </c>
      <c r="M100" s="12" t="s">
        <v>43</v>
      </c>
      <c r="N100" s="12" t="s">
        <v>44</v>
      </c>
      <c r="O100" s="12" t="s">
        <v>634</v>
      </c>
      <c r="P100" s="12" t="s">
        <v>46</v>
      </c>
      <c r="Q100" s="12" t="s">
        <v>47</v>
      </c>
      <c r="R100" s="12" t="s">
        <v>48</v>
      </c>
      <c r="S100" s="13">
        <v>197065182496</v>
      </c>
      <c r="T100" s="12" t="s">
        <v>49</v>
      </c>
      <c r="U100" s="13">
        <v>21</v>
      </c>
      <c r="V100" s="12" t="s">
        <v>50</v>
      </c>
      <c r="W100" s="12" t="s">
        <v>175</v>
      </c>
      <c r="X100" s="12" t="s">
        <v>119</v>
      </c>
      <c r="Y100" s="12" t="s">
        <v>53</v>
      </c>
      <c r="Z100" s="12" t="s">
        <v>246</v>
      </c>
      <c r="AA100" s="12" t="s">
        <v>73</v>
      </c>
      <c r="AB100" s="12" t="s">
        <v>94</v>
      </c>
      <c r="AC100" s="15">
        <v>20.5</v>
      </c>
      <c r="AD100" s="15">
        <f>AC100*AG100</f>
        <v>1066</v>
      </c>
      <c r="AE100" s="15">
        <v>45</v>
      </c>
      <c r="AF100" s="15">
        <f>AE100*AG100</f>
        <v>2340</v>
      </c>
      <c r="AG100" s="16">
        <v>52</v>
      </c>
    </row>
    <row r="101" spans="1:33" ht="15" customHeight="1" x14ac:dyDescent="0.2">
      <c r="A101" s="11" t="str">
        <f>HYPERLINK("https://assets.vans.eu/images/VN000RD61O7-HERO/1","VN000RD61O71")</f>
        <v>VN000RD61O71</v>
      </c>
      <c r="B101" s="12" t="s">
        <v>635</v>
      </c>
      <c r="C101" s="12" t="s">
        <v>636</v>
      </c>
      <c r="D101" s="12" t="s">
        <v>637</v>
      </c>
      <c r="E101" s="12" t="s">
        <v>638</v>
      </c>
      <c r="F101" s="12" t="s">
        <v>170</v>
      </c>
      <c r="G101" s="14"/>
      <c r="H101" s="12" t="s">
        <v>61</v>
      </c>
      <c r="I101" s="12" t="s">
        <v>230</v>
      </c>
      <c r="J101" s="12" t="s">
        <v>419</v>
      </c>
      <c r="K101" s="12" t="s">
        <v>199</v>
      </c>
      <c r="L101" s="12" t="s">
        <v>83</v>
      </c>
      <c r="M101" s="12" t="s">
        <v>43</v>
      </c>
      <c r="N101" s="12" t="s">
        <v>84</v>
      </c>
      <c r="O101" s="12" t="s">
        <v>639</v>
      </c>
      <c r="P101" s="12" t="s">
        <v>66</v>
      </c>
      <c r="Q101" s="12" t="s">
        <v>67</v>
      </c>
      <c r="R101" s="12" t="s">
        <v>421</v>
      </c>
      <c r="S101" s="13">
        <v>197804326471</v>
      </c>
      <c r="T101" s="12" t="s">
        <v>69</v>
      </c>
      <c r="U101" s="12" t="s">
        <v>170</v>
      </c>
      <c r="V101" s="12" t="s">
        <v>423</v>
      </c>
      <c r="W101" s="12" t="s">
        <v>455</v>
      </c>
      <c r="X101" s="14"/>
      <c r="Y101" s="14"/>
      <c r="Z101" s="14"/>
      <c r="AA101" s="14"/>
      <c r="AB101" s="14"/>
      <c r="AC101" s="15">
        <v>20.5</v>
      </c>
      <c r="AD101" s="15">
        <f>AC101*AG101</f>
        <v>1045.5</v>
      </c>
      <c r="AE101" s="15">
        <v>45</v>
      </c>
      <c r="AF101" s="15">
        <f>AE101*AG101</f>
        <v>2295</v>
      </c>
      <c r="AG101" s="16">
        <v>51</v>
      </c>
    </row>
    <row r="102" spans="1:33" ht="15" customHeight="1" x14ac:dyDescent="0.2">
      <c r="A102" s="11" t="str">
        <f t="shared" ref="A102:A333" si="38">HYPERLINK("https://assets.vans.eu/images/VN000CTG7VF-HERO/1","VN000CTG7VF1")</f>
        <v>VN000CTG7VF1</v>
      </c>
      <c r="B102" s="12" t="s">
        <v>640</v>
      </c>
      <c r="C102" s="12" t="s">
        <v>238</v>
      </c>
      <c r="D102" s="12" t="s">
        <v>641</v>
      </c>
      <c r="E102" s="12" t="s">
        <v>642</v>
      </c>
      <c r="F102" s="13">
        <v>60</v>
      </c>
      <c r="G102" s="12" t="s">
        <v>643</v>
      </c>
      <c r="H102" s="12" t="s">
        <v>38</v>
      </c>
      <c r="I102" s="12" t="s">
        <v>242</v>
      </c>
      <c r="J102" s="12" t="s">
        <v>243</v>
      </c>
      <c r="K102" s="12" t="s">
        <v>244</v>
      </c>
      <c r="L102" s="14"/>
      <c r="M102" s="12" t="s">
        <v>43</v>
      </c>
      <c r="N102" s="12" t="s">
        <v>84</v>
      </c>
      <c r="O102" s="12" t="s">
        <v>644</v>
      </c>
      <c r="P102" s="12" t="s">
        <v>46</v>
      </c>
      <c r="Q102" s="12" t="s">
        <v>47</v>
      </c>
      <c r="R102" s="12" t="s">
        <v>48</v>
      </c>
      <c r="S102" s="13">
        <v>197804511921</v>
      </c>
      <c r="T102" s="12" t="s">
        <v>49</v>
      </c>
      <c r="U102" s="13">
        <v>22</v>
      </c>
      <c r="V102" s="12" t="s">
        <v>278</v>
      </c>
      <c r="W102" s="12" t="s">
        <v>455</v>
      </c>
      <c r="X102" s="14"/>
      <c r="Y102" s="14"/>
      <c r="Z102" s="14"/>
      <c r="AA102" s="14"/>
      <c r="AB102" s="14"/>
      <c r="AC102" s="15">
        <v>25</v>
      </c>
      <c r="AD102" s="15">
        <f>AC102*AG102</f>
        <v>1275</v>
      </c>
      <c r="AE102" s="15">
        <v>55</v>
      </c>
      <c r="AF102" s="15">
        <f>AE102*AG102</f>
        <v>2805</v>
      </c>
      <c r="AG102" s="16">
        <v>51</v>
      </c>
    </row>
    <row r="103" spans="1:33" ht="15" customHeight="1" x14ac:dyDescent="0.2">
      <c r="A103" s="11" t="str">
        <f>HYPERLINK("https://assets.vans.eu/images/VN000KRSJ0Z-HERO/1","VN000KRSJ0Z1")</f>
        <v>VN000KRSJ0Z1</v>
      </c>
      <c r="B103" s="12" t="s">
        <v>645</v>
      </c>
      <c r="C103" s="12" t="s">
        <v>646</v>
      </c>
      <c r="D103" s="12" t="s">
        <v>647</v>
      </c>
      <c r="E103" s="12" t="s">
        <v>648</v>
      </c>
      <c r="F103" s="12" t="s">
        <v>78</v>
      </c>
      <c r="G103" s="14"/>
      <c r="H103" s="12" t="s">
        <v>79</v>
      </c>
      <c r="I103" s="12" t="s">
        <v>125</v>
      </c>
      <c r="J103" s="12" t="s">
        <v>126</v>
      </c>
      <c r="K103" s="12" t="s">
        <v>41</v>
      </c>
      <c r="L103" s="14"/>
      <c r="M103" s="12" t="s">
        <v>43</v>
      </c>
      <c r="N103" s="12" t="s">
        <v>44</v>
      </c>
      <c r="O103" s="12" t="s">
        <v>649</v>
      </c>
      <c r="P103" s="12" t="s">
        <v>86</v>
      </c>
      <c r="Q103" s="12" t="s">
        <v>128</v>
      </c>
      <c r="R103" s="12" t="s">
        <v>129</v>
      </c>
      <c r="S103" s="13">
        <v>197643348641</v>
      </c>
      <c r="T103" s="12" t="s">
        <v>143</v>
      </c>
      <c r="U103" s="12" t="s">
        <v>78</v>
      </c>
      <c r="V103" s="12" t="s">
        <v>650</v>
      </c>
      <c r="W103" s="12" t="s">
        <v>51</v>
      </c>
      <c r="X103" s="12" t="s">
        <v>651</v>
      </c>
      <c r="Y103" s="12" t="s">
        <v>71</v>
      </c>
      <c r="Z103" s="12" t="s">
        <v>652</v>
      </c>
      <c r="AA103" s="13">
        <v>0</v>
      </c>
      <c r="AB103" s="13">
        <v>0</v>
      </c>
      <c r="AC103" s="15">
        <v>10.95</v>
      </c>
      <c r="AD103" s="15">
        <f>AC103*AG103</f>
        <v>547.5</v>
      </c>
      <c r="AE103" s="15">
        <v>24</v>
      </c>
      <c r="AF103" s="15">
        <f>AE103*AG103</f>
        <v>1200</v>
      </c>
      <c r="AG103" s="16">
        <v>50</v>
      </c>
    </row>
    <row r="104" spans="1:33" ht="15" customHeight="1" x14ac:dyDescent="0.2">
      <c r="A104" s="11" t="str">
        <f t="shared" si="23"/>
        <v>VN000QBGBLK1</v>
      </c>
      <c r="B104" s="12" t="s">
        <v>653</v>
      </c>
      <c r="C104" s="12" t="s">
        <v>304</v>
      </c>
      <c r="D104" s="12" t="s">
        <v>76</v>
      </c>
      <c r="E104" s="12" t="s">
        <v>654</v>
      </c>
      <c r="F104" s="12" t="s">
        <v>403</v>
      </c>
      <c r="G104" s="14"/>
      <c r="H104" s="12" t="s">
        <v>79</v>
      </c>
      <c r="I104" s="12" t="s">
        <v>80</v>
      </c>
      <c r="J104" s="12" t="s">
        <v>171</v>
      </c>
      <c r="K104" s="12" t="s">
        <v>82</v>
      </c>
      <c r="L104" s="14"/>
      <c r="M104" s="12" t="s">
        <v>43</v>
      </c>
      <c r="N104" s="12" t="s">
        <v>84</v>
      </c>
      <c r="O104" s="12" t="s">
        <v>655</v>
      </c>
      <c r="P104" s="12" t="s">
        <v>86</v>
      </c>
      <c r="Q104" s="12" t="s">
        <v>141</v>
      </c>
      <c r="R104" s="12" t="s">
        <v>173</v>
      </c>
      <c r="S104" s="13">
        <v>197804394722</v>
      </c>
      <c r="T104" s="12" t="s">
        <v>143</v>
      </c>
      <c r="U104" s="12" t="s">
        <v>403</v>
      </c>
      <c r="V104" s="12" t="s">
        <v>307</v>
      </c>
      <c r="W104" s="12" t="s">
        <v>51</v>
      </c>
      <c r="X104" s="14"/>
      <c r="Y104" s="14"/>
      <c r="Z104" s="14"/>
      <c r="AA104" s="14"/>
      <c r="AB104" s="14"/>
      <c r="AC104" s="15">
        <v>7.3</v>
      </c>
      <c r="AD104" s="15">
        <f>AC104*AG104</f>
        <v>365</v>
      </c>
      <c r="AE104" s="15">
        <v>16</v>
      </c>
      <c r="AF104" s="15">
        <f>AE104*AG104</f>
        <v>800</v>
      </c>
      <c r="AG104" s="16">
        <v>50</v>
      </c>
    </row>
    <row r="105" spans="1:33" ht="15" customHeight="1" x14ac:dyDescent="0.2">
      <c r="A105" s="11" t="str">
        <f t="shared" si="37"/>
        <v>VN000RATE301</v>
      </c>
      <c r="B105" s="12" t="s">
        <v>656</v>
      </c>
      <c r="C105" s="12" t="s">
        <v>618</v>
      </c>
      <c r="D105" s="12" t="s">
        <v>619</v>
      </c>
      <c r="E105" s="12" t="s">
        <v>657</v>
      </c>
      <c r="F105" s="12" t="s">
        <v>153</v>
      </c>
      <c r="G105" s="14"/>
      <c r="H105" s="12" t="s">
        <v>61</v>
      </c>
      <c r="I105" s="12" t="s">
        <v>230</v>
      </c>
      <c r="J105" s="12" t="s">
        <v>419</v>
      </c>
      <c r="K105" s="12" t="s">
        <v>199</v>
      </c>
      <c r="L105" s="12" t="s">
        <v>115</v>
      </c>
      <c r="M105" s="12" t="s">
        <v>43</v>
      </c>
      <c r="N105" s="12" t="s">
        <v>44</v>
      </c>
      <c r="O105" s="12" t="s">
        <v>658</v>
      </c>
      <c r="P105" s="12" t="s">
        <v>66</v>
      </c>
      <c r="Q105" s="12" t="s">
        <v>67</v>
      </c>
      <c r="R105" s="12" t="s">
        <v>623</v>
      </c>
      <c r="S105" s="13">
        <v>197804884049</v>
      </c>
      <c r="T105" s="12" t="s">
        <v>69</v>
      </c>
      <c r="U105" s="12" t="s">
        <v>153</v>
      </c>
      <c r="V105" s="12" t="s">
        <v>624</v>
      </c>
      <c r="W105" s="12" t="s">
        <v>625</v>
      </c>
      <c r="X105" s="13">
        <v>0</v>
      </c>
      <c r="Y105" s="12" t="s">
        <v>91</v>
      </c>
      <c r="Z105" s="12" t="s">
        <v>92</v>
      </c>
      <c r="AA105" s="12" t="s">
        <v>626</v>
      </c>
      <c r="AB105" s="12" t="s">
        <v>94</v>
      </c>
      <c r="AC105" s="15">
        <v>34.1</v>
      </c>
      <c r="AD105" s="15">
        <f>AC105*AG105</f>
        <v>1705</v>
      </c>
      <c r="AE105" s="15">
        <v>75</v>
      </c>
      <c r="AF105" s="15">
        <f>AE105*AG105</f>
        <v>3750</v>
      </c>
      <c r="AG105" s="16">
        <v>50</v>
      </c>
    </row>
    <row r="106" spans="1:33" ht="15" customHeight="1" x14ac:dyDescent="0.2">
      <c r="A106" s="11" t="str">
        <f>HYPERLINK("https://assets.vans.eu/images/VN0A5JHJTBN-HERO/1","VN0A5JHJTBN1")</f>
        <v>VN0A5JHJTBN1</v>
      </c>
      <c r="B106" s="12" t="s">
        <v>659</v>
      </c>
      <c r="C106" s="12" t="s">
        <v>660</v>
      </c>
      <c r="D106" s="12" t="s">
        <v>661</v>
      </c>
      <c r="E106" s="12" t="s">
        <v>662</v>
      </c>
      <c r="F106" s="13">
        <v>23</v>
      </c>
      <c r="G106" s="14"/>
      <c r="H106" s="12" t="s">
        <v>61</v>
      </c>
      <c r="I106" s="12" t="s">
        <v>289</v>
      </c>
      <c r="J106" s="12" t="s">
        <v>290</v>
      </c>
      <c r="K106" s="12" t="s">
        <v>100</v>
      </c>
      <c r="L106" s="12" t="s">
        <v>350</v>
      </c>
      <c r="M106" s="12" t="s">
        <v>43</v>
      </c>
      <c r="N106" s="12" t="s">
        <v>44</v>
      </c>
      <c r="O106" s="12" t="s">
        <v>663</v>
      </c>
      <c r="P106" s="12" t="s">
        <v>66</v>
      </c>
      <c r="Q106" s="12" t="s">
        <v>233</v>
      </c>
      <c r="R106" s="12" t="s">
        <v>664</v>
      </c>
      <c r="S106" s="13">
        <v>196571464577</v>
      </c>
      <c r="T106" s="12" t="s">
        <v>235</v>
      </c>
      <c r="U106" s="13">
        <v>23</v>
      </c>
      <c r="V106" s="12" t="s">
        <v>665</v>
      </c>
      <c r="W106" s="12" t="s">
        <v>186</v>
      </c>
      <c r="X106" s="13">
        <v>0</v>
      </c>
      <c r="Y106" s="12" t="s">
        <v>91</v>
      </c>
      <c r="Z106" s="12" t="s">
        <v>108</v>
      </c>
      <c r="AA106" s="13">
        <v>0</v>
      </c>
      <c r="AB106" s="13">
        <v>0</v>
      </c>
      <c r="AC106" s="15">
        <v>30.95</v>
      </c>
      <c r="AD106" s="15">
        <f>AC106*AG106</f>
        <v>1547.5</v>
      </c>
      <c r="AE106" s="15">
        <v>68</v>
      </c>
      <c r="AF106" s="15">
        <f>AE106*AG106</f>
        <v>3400</v>
      </c>
      <c r="AG106" s="16">
        <v>50</v>
      </c>
    </row>
    <row r="107" spans="1:33" ht="15" customHeight="1" x14ac:dyDescent="0.2">
      <c r="A107" s="11" t="str">
        <f>HYPERLINK("https://assets.vans.eu/images/VN000MNCD3X-HERO/1","VN000MNCD3X1")</f>
        <v>VN000MNCD3X1</v>
      </c>
      <c r="B107" s="12" t="s">
        <v>666</v>
      </c>
      <c r="C107" s="12" t="s">
        <v>667</v>
      </c>
      <c r="D107" s="12" t="s">
        <v>668</v>
      </c>
      <c r="E107" s="12" t="s">
        <v>669</v>
      </c>
      <c r="F107" s="12" t="s">
        <v>78</v>
      </c>
      <c r="G107" s="14"/>
      <c r="H107" s="12" t="s">
        <v>79</v>
      </c>
      <c r="I107" s="12" t="s">
        <v>125</v>
      </c>
      <c r="J107" s="12" t="s">
        <v>126</v>
      </c>
      <c r="K107" s="12" t="s">
        <v>41</v>
      </c>
      <c r="L107" s="14"/>
      <c r="M107" s="12" t="s">
        <v>43</v>
      </c>
      <c r="N107" s="12" t="s">
        <v>44</v>
      </c>
      <c r="O107" s="12" t="s">
        <v>670</v>
      </c>
      <c r="P107" s="12" t="s">
        <v>86</v>
      </c>
      <c r="Q107" s="12" t="s">
        <v>128</v>
      </c>
      <c r="R107" s="12" t="s">
        <v>129</v>
      </c>
      <c r="S107" s="13">
        <v>197643467311</v>
      </c>
      <c r="T107" s="12" t="s">
        <v>49</v>
      </c>
      <c r="U107" s="12" t="s">
        <v>78</v>
      </c>
      <c r="V107" s="12" t="s">
        <v>671</v>
      </c>
      <c r="W107" s="12" t="s">
        <v>299</v>
      </c>
      <c r="X107" s="13">
        <v>0</v>
      </c>
      <c r="Y107" s="12" t="s">
        <v>91</v>
      </c>
      <c r="Z107" s="12" t="s">
        <v>108</v>
      </c>
      <c r="AA107" s="13">
        <v>0</v>
      </c>
      <c r="AB107" s="13">
        <v>0</v>
      </c>
      <c r="AC107" s="15">
        <v>12.75</v>
      </c>
      <c r="AD107" s="15">
        <f>AC107*AG107</f>
        <v>624.75</v>
      </c>
      <c r="AE107" s="15">
        <v>28</v>
      </c>
      <c r="AF107" s="15">
        <f>AE107*AG107</f>
        <v>1372</v>
      </c>
      <c r="AG107" s="16">
        <v>49</v>
      </c>
    </row>
    <row r="108" spans="1:33" ht="15" customHeight="1" x14ac:dyDescent="0.2">
      <c r="A108" s="11" t="str">
        <f t="shared" si="36"/>
        <v>VN000Q1TBLK1</v>
      </c>
      <c r="B108" s="12" t="s">
        <v>672</v>
      </c>
      <c r="C108" s="12" t="s">
        <v>585</v>
      </c>
      <c r="D108" s="12" t="s">
        <v>76</v>
      </c>
      <c r="E108" s="12" t="s">
        <v>673</v>
      </c>
      <c r="F108" s="12" t="s">
        <v>138</v>
      </c>
      <c r="G108" s="14"/>
      <c r="H108" s="12" t="s">
        <v>79</v>
      </c>
      <c r="I108" s="12" t="s">
        <v>125</v>
      </c>
      <c r="J108" s="12" t="s">
        <v>139</v>
      </c>
      <c r="K108" s="12" t="s">
        <v>41</v>
      </c>
      <c r="L108" s="14"/>
      <c r="M108" s="12" t="s">
        <v>43</v>
      </c>
      <c r="N108" s="12" t="s">
        <v>84</v>
      </c>
      <c r="O108" s="12" t="s">
        <v>674</v>
      </c>
      <c r="P108" s="12" t="s">
        <v>86</v>
      </c>
      <c r="Q108" s="12" t="s">
        <v>141</v>
      </c>
      <c r="R108" s="12" t="s">
        <v>142</v>
      </c>
      <c r="S108" s="13">
        <v>197804374014</v>
      </c>
      <c r="T108" s="12" t="s">
        <v>143</v>
      </c>
      <c r="U108" s="12" t="s">
        <v>138</v>
      </c>
      <c r="V108" s="12" t="s">
        <v>588</v>
      </c>
      <c r="W108" s="12" t="s">
        <v>51</v>
      </c>
      <c r="X108" s="14"/>
      <c r="Y108" s="14"/>
      <c r="Z108" s="14"/>
      <c r="AA108" s="14"/>
      <c r="AB108" s="14"/>
      <c r="AC108" s="15">
        <v>6.4</v>
      </c>
      <c r="AD108" s="15">
        <f>AC108*AG108</f>
        <v>313.60000000000002</v>
      </c>
      <c r="AE108" s="15">
        <v>14</v>
      </c>
      <c r="AF108" s="15">
        <f>AE108*AG108</f>
        <v>686</v>
      </c>
      <c r="AG108" s="16">
        <v>49</v>
      </c>
    </row>
    <row r="109" spans="1:33" ht="15" customHeight="1" x14ac:dyDescent="0.2">
      <c r="A109" s="11" t="str">
        <f t="shared" si="22"/>
        <v>VN000KI51861</v>
      </c>
      <c r="B109" s="12" t="s">
        <v>675</v>
      </c>
      <c r="C109" s="12" t="s">
        <v>369</v>
      </c>
      <c r="D109" s="12" t="s">
        <v>370</v>
      </c>
      <c r="E109" s="12" t="s">
        <v>676</v>
      </c>
      <c r="F109" s="13">
        <v>70</v>
      </c>
      <c r="G109" s="12" t="s">
        <v>372</v>
      </c>
      <c r="H109" s="12" t="s">
        <v>38</v>
      </c>
      <c r="I109" s="12" t="s">
        <v>39</v>
      </c>
      <c r="J109" s="12" t="s">
        <v>40</v>
      </c>
      <c r="K109" s="12" t="s">
        <v>373</v>
      </c>
      <c r="L109" s="14"/>
      <c r="M109" s="12" t="s">
        <v>43</v>
      </c>
      <c r="N109" s="12" t="s">
        <v>84</v>
      </c>
      <c r="O109" s="12" t="s">
        <v>677</v>
      </c>
      <c r="P109" s="12" t="s">
        <v>46</v>
      </c>
      <c r="Q109" s="12" t="s">
        <v>47</v>
      </c>
      <c r="R109" s="12" t="s">
        <v>48</v>
      </c>
      <c r="S109" s="13">
        <v>766182061580</v>
      </c>
      <c r="T109" s="12" t="s">
        <v>105</v>
      </c>
      <c r="U109" s="13">
        <v>39</v>
      </c>
      <c r="V109" s="12" t="s">
        <v>375</v>
      </c>
      <c r="W109" s="12" t="s">
        <v>51</v>
      </c>
      <c r="X109" s="14"/>
      <c r="Y109" s="12" t="s">
        <v>71</v>
      </c>
      <c r="Z109" s="12" t="s">
        <v>376</v>
      </c>
      <c r="AA109" s="14"/>
      <c r="AB109" s="14"/>
      <c r="AC109" s="15">
        <v>19.05</v>
      </c>
      <c r="AD109" s="15">
        <f>AC109*AG109</f>
        <v>933.45</v>
      </c>
      <c r="AE109" s="15">
        <v>40</v>
      </c>
      <c r="AF109" s="15">
        <f>AE109*AG109</f>
        <v>1960</v>
      </c>
      <c r="AG109" s="16">
        <v>49</v>
      </c>
    </row>
    <row r="110" spans="1:33" ht="15" customHeight="1" x14ac:dyDescent="0.2">
      <c r="A110" s="11" t="str">
        <f t="shared" ref="A110:A262" si="39">HYPERLINK("https://assets.vans.eu/images/VN000M6ZZBF-HERO/1","VN000M6ZZBF1")</f>
        <v>VN000M6ZZBF1</v>
      </c>
      <c r="B110" s="12" t="s">
        <v>678</v>
      </c>
      <c r="C110" s="12" t="s">
        <v>679</v>
      </c>
      <c r="D110" s="12" t="s">
        <v>680</v>
      </c>
      <c r="E110" s="12" t="s">
        <v>681</v>
      </c>
      <c r="F110" s="12" t="s">
        <v>403</v>
      </c>
      <c r="G110" s="14"/>
      <c r="H110" s="12" t="s">
        <v>61</v>
      </c>
      <c r="I110" s="12" t="s">
        <v>289</v>
      </c>
      <c r="J110" s="12" t="s">
        <v>290</v>
      </c>
      <c r="K110" s="12" t="s">
        <v>100</v>
      </c>
      <c r="L110" s="14"/>
      <c r="M110" s="12" t="s">
        <v>43</v>
      </c>
      <c r="N110" s="12" t="s">
        <v>44</v>
      </c>
      <c r="O110" s="12" t="s">
        <v>682</v>
      </c>
      <c r="P110" s="12" t="s">
        <v>66</v>
      </c>
      <c r="Q110" s="12" t="s">
        <v>233</v>
      </c>
      <c r="R110" s="12" t="s">
        <v>664</v>
      </c>
      <c r="S110" s="13">
        <v>197643360797</v>
      </c>
      <c r="T110" s="12" t="s">
        <v>235</v>
      </c>
      <c r="U110" s="12" t="s">
        <v>403</v>
      </c>
      <c r="V110" s="12" t="s">
        <v>683</v>
      </c>
      <c r="W110" s="12" t="s">
        <v>118</v>
      </c>
      <c r="X110" s="13">
        <v>0</v>
      </c>
      <c r="Y110" s="12" t="s">
        <v>91</v>
      </c>
      <c r="Z110" s="12" t="s">
        <v>108</v>
      </c>
      <c r="AA110" s="13">
        <v>0</v>
      </c>
      <c r="AB110" s="13">
        <v>0</v>
      </c>
      <c r="AC110" s="15">
        <v>38.65</v>
      </c>
      <c r="AD110" s="15">
        <f>AC110*AG110</f>
        <v>1855.1999999999998</v>
      </c>
      <c r="AE110" s="15">
        <v>85</v>
      </c>
      <c r="AF110" s="15">
        <f>AE110*AG110</f>
        <v>4080</v>
      </c>
      <c r="AG110" s="16">
        <v>48</v>
      </c>
    </row>
    <row r="111" spans="1:33" ht="15" customHeight="1" x14ac:dyDescent="0.2">
      <c r="A111" s="11" t="str">
        <f t="shared" ref="A111:A131" si="40">HYPERLINK("https://assets.vans.eu/images/VN000M8EBL2-HERO/1","VN000M8EBL21")</f>
        <v>VN000M8EBL21</v>
      </c>
      <c r="B111" s="12" t="s">
        <v>684</v>
      </c>
      <c r="C111" s="12" t="s">
        <v>685</v>
      </c>
      <c r="D111" s="12" t="s">
        <v>686</v>
      </c>
      <c r="E111" s="12" t="s">
        <v>687</v>
      </c>
      <c r="F111" s="13">
        <v>32</v>
      </c>
      <c r="G111" s="14"/>
      <c r="H111" s="12" t="s">
        <v>61</v>
      </c>
      <c r="I111" s="12" t="s">
        <v>230</v>
      </c>
      <c r="J111" s="12" t="s">
        <v>557</v>
      </c>
      <c r="K111" s="12" t="s">
        <v>199</v>
      </c>
      <c r="L111" s="14"/>
      <c r="M111" s="12" t="s">
        <v>43</v>
      </c>
      <c r="N111" s="12" t="s">
        <v>44</v>
      </c>
      <c r="O111" s="12" t="s">
        <v>688</v>
      </c>
      <c r="P111" s="12" t="s">
        <v>66</v>
      </c>
      <c r="Q111" s="12" t="s">
        <v>559</v>
      </c>
      <c r="R111" s="12" t="s">
        <v>560</v>
      </c>
      <c r="S111" s="13">
        <v>197643538523</v>
      </c>
      <c r="T111" s="12" t="s">
        <v>49</v>
      </c>
      <c r="U111" s="13">
        <v>32</v>
      </c>
      <c r="V111" s="12" t="s">
        <v>689</v>
      </c>
      <c r="W111" s="12" t="s">
        <v>186</v>
      </c>
      <c r="X111" s="13">
        <v>0</v>
      </c>
      <c r="Y111" s="12" t="s">
        <v>53</v>
      </c>
      <c r="Z111" s="12" t="s">
        <v>108</v>
      </c>
      <c r="AA111" s="13">
        <v>0</v>
      </c>
      <c r="AB111" s="13">
        <v>0</v>
      </c>
      <c r="AC111" s="15">
        <v>29.55</v>
      </c>
      <c r="AD111" s="15">
        <f>AC111*AG111</f>
        <v>1418.4</v>
      </c>
      <c r="AE111" s="15">
        <v>65</v>
      </c>
      <c r="AF111" s="15">
        <f>AE111*AG111</f>
        <v>3120</v>
      </c>
      <c r="AG111" s="16">
        <v>48</v>
      </c>
    </row>
    <row r="112" spans="1:33" ht="15" customHeight="1" x14ac:dyDescent="0.2">
      <c r="A112" s="11" t="str">
        <f t="shared" ref="A112:A152" si="41">HYPERLINK("https://assets.vans.eu/images/VN000CS02W0-HERO/1","VN000CS02W01")</f>
        <v>VN000CS02W01</v>
      </c>
      <c r="B112" s="12" t="s">
        <v>690</v>
      </c>
      <c r="C112" s="12" t="s">
        <v>110</v>
      </c>
      <c r="D112" s="12" t="s">
        <v>691</v>
      </c>
      <c r="E112" s="12" t="s">
        <v>692</v>
      </c>
      <c r="F112" s="13">
        <v>45</v>
      </c>
      <c r="G112" s="14"/>
      <c r="H112" s="12" t="s">
        <v>38</v>
      </c>
      <c r="I112" s="12" t="s">
        <v>113</v>
      </c>
      <c r="J112" s="12" t="s">
        <v>114</v>
      </c>
      <c r="K112" s="12" t="s">
        <v>82</v>
      </c>
      <c r="L112" s="12" t="s">
        <v>42</v>
      </c>
      <c r="M112" s="12" t="s">
        <v>43</v>
      </c>
      <c r="N112" s="12" t="s">
        <v>44</v>
      </c>
      <c r="O112" s="12" t="s">
        <v>693</v>
      </c>
      <c r="P112" s="12" t="s">
        <v>46</v>
      </c>
      <c r="Q112" s="12" t="s">
        <v>47</v>
      </c>
      <c r="R112" s="12" t="s">
        <v>117</v>
      </c>
      <c r="S112" s="13">
        <v>197642425442</v>
      </c>
      <c r="T112" s="12" t="s">
        <v>105</v>
      </c>
      <c r="U112" s="13">
        <v>36</v>
      </c>
      <c r="V112" s="12" t="s">
        <v>50</v>
      </c>
      <c r="W112" s="12" t="s">
        <v>299</v>
      </c>
      <c r="X112" s="12" t="s">
        <v>119</v>
      </c>
      <c r="Y112" s="12" t="s">
        <v>53</v>
      </c>
      <c r="Z112" s="12" t="s">
        <v>246</v>
      </c>
      <c r="AA112" s="12" t="s">
        <v>73</v>
      </c>
      <c r="AB112" s="12" t="s">
        <v>94</v>
      </c>
      <c r="AC112" s="15">
        <v>43.2</v>
      </c>
      <c r="AD112" s="15">
        <f>AC112*AG112</f>
        <v>2073.6000000000004</v>
      </c>
      <c r="AE112" s="15">
        <v>95</v>
      </c>
      <c r="AF112" s="15">
        <f>AE112*AG112</f>
        <v>4560</v>
      </c>
      <c r="AG112" s="16">
        <v>48</v>
      </c>
    </row>
    <row r="113" spans="1:33" ht="15" customHeight="1" x14ac:dyDescent="0.2">
      <c r="A113" s="11" t="str">
        <f t="shared" ref="A113:A2846" si="42">HYPERLINK("https://assets.vans.eu/images/VN0A5HZK9BY-HERO/1","VN0A5HZK9BY1")</f>
        <v>VN0A5HZK9BY1</v>
      </c>
      <c r="B113" s="12" t="s">
        <v>694</v>
      </c>
      <c r="C113" s="12" t="s">
        <v>695</v>
      </c>
      <c r="D113" s="12" t="s">
        <v>696</v>
      </c>
      <c r="E113" s="12" t="s">
        <v>697</v>
      </c>
      <c r="F113" s="13">
        <v>80</v>
      </c>
      <c r="G113" s="14"/>
      <c r="H113" s="12" t="s">
        <v>38</v>
      </c>
      <c r="I113" s="12" t="s">
        <v>159</v>
      </c>
      <c r="J113" s="12" t="s">
        <v>160</v>
      </c>
      <c r="K113" s="12" t="s">
        <v>199</v>
      </c>
      <c r="L113" s="12" t="s">
        <v>350</v>
      </c>
      <c r="M113" s="12" t="s">
        <v>43</v>
      </c>
      <c r="N113" s="12" t="s">
        <v>84</v>
      </c>
      <c r="O113" s="12" t="s">
        <v>698</v>
      </c>
      <c r="P113" s="12" t="s">
        <v>46</v>
      </c>
      <c r="Q113" s="12" t="s">
        <v>47</v>
      </c>
      <c r="R113" s="12" t="s">
        <v>343</v>
      </c>
      <c r="S113" s="13">
        <v>195437379789</v>
      </c>
      <c r="T113" s="12" t="s">
        <v>49</v>
      </c>
      <c r="U113" s="13">
        <v>40.5</v>
      </c>
      <c r="V113" s="12" t="s">
        <v>50</v>
      </c>
      <c r="W113" s="12" t="s">
        <v>51</v>
      </c>
      <c r="X113" s="14"/>
      <c r="Y113" s="12" t="s">
        <v>71</v>
      </c>
      <c r="Z113" s="12" t="s">
        <v>376</v>
      </c>
      <c r="AA113" s="14"/>
      <c r="AB113" s="14"/>
      <c r="AC113" s="15">
        <v>45.25</v>
      </c>
      <c r="AD113" s="15">
        <f>AC113*AG113</f>
        <v>2172</v>
      </c>
      <c r="AE113" s="15">
        <v>95</v>
      </c>
      <c r="AF113" s="15">
        <f>AE113*AG113</f>
        <v>4560</v>
      </c>
      <c r="AG113" s="16">
        <v>48</v>
      </c>
    </row>
    <row r="114" spans="1:33" ht="15" customHeight="1" x14ac:dyDescent="0.2">
      <c r="A114" s="11" t="str">
        <f t="shared" ref="A114:A349" si="43">HYPERLINK("https://assets.vans.eu/images/VN000HZBBLK-HERO/1","VN000HZBBLK1")</f>
        <v>VN000HZBBLK1</v>
      </c>
      <c r="B114" s="12" t="s">
        <v>699</v>
      </c>
      <c r="C114" s="12" t="s">
        <v>357</v>
      </c>
      <c r="D114" s="12" t="s">
        <v>76</v>
      </c>
      <c r="E114" s="12" t="s">
        <v>700</v>
      </c>
      <c r="F114" s="13">
        <v>28</v>
      </c>
      <c r="G114" s="14"/>
      <c r="H114" s="12" t="s">
        <v>61</v>
      </c>
      <c r="I114" s="12" t="s">
        <v>230</v>
      </c>
      <c r="J114" s="12" t="s">
        <v>231</v>
      </c>
      <c r="K114" s="12" t="s">
        <v>199</v>
      </c>
      <c r="L114" s="14"/>
      <c r="M114" s="12" t="s">
        <v>43</v>
      </c>
      <c r="N114" s="12" t="s">
        <v>84</v>
      </c>
      <c r="O114" s="12" t="s">
        <v>701</v>
      </c>
      <c r="P114" s="12" t="s">
        <v>66</v>
      </c>
      <c r="Q114" s="12" t="s">
        <v>233</v>
      </c>
      <c r="R114" s="12" t="s">
        <v>361</v>
      </c>
      <c r="S114" s="13">
        <v>197065838577</v>
      </c>
      <c r="T114" s="12" t="s">
        <v>235</v>
      </c>
      <c r="U114" s="13">
        <v>28</v>
      </c>
      <c r="V114" s="12" t="s">
        <v>362</v>
      </c>
      <c r="W114" s="12" t="s">
        <v>51</v>
      </c>
      <c r="X114" s="13">
        <v>0</v>
      </c>
      <c r="Y114" s="12" t="s">
        <v>91</v>
      </c>
      <c r="Z114" s="12" t="s">
        <v>108</v>
      </c>
      <c r="AA114" s="13">
        <v>0</v>
      </c>
      <c r="AB114" s="13">
        <v>0</v>
      </c>
      <c r="AC114" s="15">
        <v>34.1</v>
      </c>
      <c r="AD114" s="15">
        <f>AC114*AG114</f>
        <v>1602.7</v>
      </c>
      <c r="AE114" s="15">
        <v>75</v>
      </c>
      <c r="AF114" s="15">
        <f>AE114*AG114</f>
        <v>3525</v>
      </c>
      <c r="AG114" s="16">
        <v>47</v>
      </c>
    </row>
    <row r="115" spans="1:33" ht="15" customHeight="1" x14ac:dyDescent="0.2">
      <c r="A115" s="11" t="str">
        <f t="shared" ref="A115:A1032" si="44">HYPERLINK("https://assets.vans.eu/images/VN000Q35EMP-HERO/1","VN000Q35EMP1")</f>
        <v>VN000Q35EMP1</v>
      </c>
      <c r="B115" s="12" t="s">
        <v>702</v>
      </c>
      <c r="C115" s="12" t="s">
        <v>703</v>
      </c>
      <c r="D115" s="12" t="s">
        <v>704</v>
      </c>
      <c r="E115" s="12" t="s">
        <v>705</v>
      </c>
      <c r="F115" s="12" t="s">
        <v>403</v>
      </c>
      <c r="G115" s="14"/>
      <c r="H115" s="12" t="s">
        <v>61</v>
      </c>
      <c r="I115" s="12" t="s">
        <v>289</v>
      </c>
      <c r="J115" s="12" t="s">
        <v>706</v>
      </c>
      <c r="K115" s="12" t="s">
        <v>100</v>
      </c>
      <c r="L115" s="14"/>
      <c r="M115" s="12" t="s">
        <v>43</v>
      </c>
      <c r="N115" s="12" t="s">
        <v>84</v>
      </c>
      <c r="O115" s="12" t="s">
        <v>707</v>
      </c>
      <c r="P115" s="12" t="s">
        <v>66</v>
      </c>
      <c r="Q115" s="12" t="s">
        <v>67</v>
      </c>
      <c r="R115" s="12" t="s">
        <v>708</v>
      </c>
      <c r="S115" s="13">
        <v>197804686933</v>
      </c>
      <c r="T115" s="12" t="s">
        <v>709</v>
      </c>
      <c r="U115" s="12" t="s">
        <v>403</v>
      </c>
      <c r="V115" s="12" t="s">
        <v>710</v>
      </c>
      <c r="W115" s="12" t="s">
        <v>186</v>
      </c>
      <c r="X115" s="14"/>
      <c r="Y115" s="14"/>
      <c r="Z115" s="14"/>
      <c r="AA115" s="14"/>
      <c r="AB115" s="14"/>
      <c r="AC115" s="15">
        <v>34.1</v>
      </c>
      <c r="AD115" s="15">
        <f>AC115*AG115</f>
        <v>1602.7</v>
      </c>
      <c r="AE115" s="15">
        <v>75</v>
      </c>
      <c r="AF115" s="15">
        <f>AE115*AG115</f>
        <v>3525</v>
      </c>
      <c r="AG115" s="16">
        <v>47</v>
      </c>
    </row>
    <row r="116" spans="1:33" ht="15" customHeight="1" x14ac:dyDescent="0.2">
      <c r="A116" s="11" t="str">
        <f>HYPERLINK("https://assets.vans.eu/images/VN000LC0PA9-HERO/1","VN000LC0PA91")</f>
        <v>VN000LC0PA91</v>
      </c>
      <c r="B116" s="12" t="s">
        <v>711</v>
      </c>
      <c r="C116" s="12" t="s">
        <v>712</v>
      </c>
      <c r="D116" s="12" t="s">
        <v>713</v>
      </c>
      <c r="E116" s="12" t="s">
        <v>714</v>
      </c>
      <c r="F116" s="12" t="s">
        <v>78</v>
      </c>
      <c r="G116" s="14"/>
      <c r="H116" s="12" t="s">
        <v>79</v>
      </c>
      <c r="I116" s="12" t="s">
        <v>80</v>
      </c>
      <c r="J116" s="12" t="s">
        <v>99</v>
      </c>
      <c r="K116" s="12" t="s">
        <v>199</v>
      </c>
      <c r="L116" s="14"/>
      <c r="M116" s="12" t="s">
        <v>43</v>
      </c>
      <c r="N116" s="12" t="s">
        <v>84</v>
      </c>
      <c r="O116" s="12" t="s">
        <v>715</v>
      </c>
      <c r="P116" s="12" t="s">
        <v>86</v>
      </c>
      <c r="Q116" s="12" t="s">
        <v>716</v>
      </c>
      <c r="R116" s="12" t="s">
        <v>717</v>
      </c>
      <c r="S116" s="13">
        <v>191928004987</v>
      </c>
      <c r="T116" s="12" t="s">
        <v>143</v>
      </c>
      <c r="U116" s="12" t="s">
        <v>78</v>
      </c>
      <c r="V116" s="12" t="s">
        <v>718</v>
      </c>
      <c r="W116" s="12" t="s">
        <v>186</v>
      </c>
      <c r="X116" s="13">
        <v>0</v>
      </c>
      <c r="Y116" s="12" t="s">
        <v>71</v>
      </c>
      <c r="Z116" s="12" t="s">
        <v>108</v>
      </c>
      <c r="AA116" s="13">
        <v>0</v>
      </c>
      <c r="AB116" s="13">
        <v>0</v>
      </c>
      <c r="AC116" s="15">
        <v>8.1999999999999993</v>
      </c>
      <c r="AD116" s="15">
        <f>AC116*AG116</f>
        <v>377.2</v>
      </c>
      <c r="AE116" s="15">
        <v>18</v>
      </c>
      <c r="AF116" s="15">
        <f>AE116*AG116</f>
        <v>828</v>
      </c>
      <c r="AG116" s="16">
        <v>46</v>
      </c>
    </row>
    <row r="117" spans="1:33" ht="15" customHeight="1" x14ac:dyDescent="0.2">
      <c r="A117" s="11" t="str">
        <f t="shared" si="40"/>
        <v>VN000M8EBL21</v>
      </c>
      <c r="B117" s="12" t="s">
        <v>719</v>
      </c>
      <c r="C117" s="12" t="s">
        <v>685</v>
      </c>
      <c r="D117" s="12" t="s">
        <v>686</v>
      </c>
      <c r="E117" s="12" t="s">
        <v>720</v>
      </c>
      <c r="F117" s="13">
        <v>31</v>
      </c>
      <c r="G117" s="14"/>
      <c r="H117" s="12" t="s">
        <v>61</v>
      </c>
      <c r="I117" s="12" t="s">
        <v>230</v>
      </c>
      <c r="J117" s="12" t="s">
        <v>557</v>
      </c>
      <c r="K117" s="12" t="s">
        <v>199</v>
      </c>
      <c r="L117" s="14"/>
      <c r="M117" s="12" t="s">
        <v>43</v>
      </c>
      <c r="N117" s="12" t="s">
        <v>44</v>
      </c>
      <c r="O117" s="12" t="s">
        <v>721</v>
      </c>
      <c r="P117" s="12" t="s">
        <v>66</v>
      </c>
      <c r="Q117" s="12" t="s">
        <v>559</v>
      </c>
      <c r="R117" s="12" t="s">
        <v>560</v>
      </c>
      <c r="S117" s="13">
        <v>197643538356</v>
      </c>
      <c r="T117" s="12" t="s">
        <v>49</v>
      </c>
      <c r="U117" s="13">
        <v>31</v>
      </c>
      <c r="V117" s="12" t="s">
        <v>689</v>
      </c>
      <c r="W117" s="12" t="s">
        <v>186</v>
      </c>
      <c r="X117" s="13">
        <v>0</v>
      </c>
      <c r="Y117" s="12" t="s">
        <v>53</v>
      </c>
      <c r="Z117" s="12" t="s">
        <v>108</v>
      </c>
      <c r="AA117" s="13">
        <v>0</v>
      </c>
      <c r="AB117" s="13">
        <v>0</v>
      </c>
      <c r="AC117" s="15">
        <v>29.55</v>
      </c>
      <c r="AD117" s="15">
        <f>AC117*AG117</f>
        <v>1359.3</v>
      </c>
      <c r="AE117" s="15">
        <v>65</v>
      </c>
      <c r="AF117" s="15">
        <f>AE117*AG117</f>
        <v>2990</v>
      </c>
      <c r="AG117" s="16">
        <v>46</v>
      </c>
    </row>
    <row r="118" spans="1:33" ht="15" customHeight="1" x14ac:dyDescent="0.2">
      <c r="A118" s="11" t="str">
        <f>HYPERLINK("https://assets.vans.eu/images/VN000RW9UUI-HERO/1","VN000RW9UUI1")</f>
        <v>VN000RW9UUI1</v>
      </c>
      <c r="B118" s="12" t="s">
        <v>722</v>
      </c>
      <c r="C118" s="12" t="s">
        <v>286</v>
      </c>
      <c r="D118" s="12" t="s">
        <v>723</v>
      </c>
      <c r="E118" s="12" t="s">
        <v>724</v>
      </c>
      <c r="F118" s="12" t="s">
        <v>288</v>
      </c>
      <c r="G118" s="14"/>
      <c r="H118" s="12" t="s">
        <v>61</v>
      </c>
      <c r="I118" s="12" t="s">
        <v>289</v>
      </c>
      <c r="J118" s="12" t="s">
        <v>290</v>
      </c>
      <c r="K118" s="12" t="s">
        <v>100</v>
      </c>
      <c r="L118" s="14"/>
      <c r="M118" s="12" t="s">
        <v>43</v>
      </c>
      <c r="N118" s="12" t="s">
        <v>44</v>
      </c>
      <c r="O118" s="12" t="s">
        <v>725</v>
      </c>
      <c r="P118" s="12" t="s">
        <v>66</v>
      </c>
      <c r="Q118" s="12" t="s">
        <v>233</v>
      </c>
      <c r="R118" s="12" t="s">
        <v>292</v>
      </c>
      <c r="S118" s="13">
        <v>197804834730</v>
      </c>
      <c r="T118" s="12" t="s">
        <v>143</v>
      </c>
      <c r="U118" s="12" t="s">
        <v>288</v>
      </c>
      <c r="V118" s="12" t="s">
        <v>293</v>
      </c>
      <c r="W118" s="12" t="s">
        <v>107</v>
      </c>
      <c r="X118" s="13">
        <v>0</v>
      </c>
      <c r="Y118" s="12" t="s">
        <v>91</v>
      </c>
      <c r="Z118" s="12" t="s">
        <v>108</v>
      </c>
      <c r="AA118" s="13">
        <v>0</v>
      </c>
      <c r="AB118" s="13">
        <v>0</v>
      </c>
      <c r="AC118" s="15">
        <v>19.100000000000001</v>
      </c>
      <c r="AD118" s="15">
        <f>AC118*AG118</f>
        <v>878.6</v>
      </c>
      <c r="AE118" s="15">
        <v>42</v>
      </c>
      <c r="AF118" s="15">
        <f>AE118*AG118</f>
        <v>1932</v>
      </c>
      <c r="AG118" s="16">
        <v>46</v>
      </c>
    </row>
    <row r="119" spans="1:33" ht="15" customHeight="1" x14ac:dyDescent="0.2">
      <c r="A119" s="11" t="str">
        <f t="shared" ref="A119:A1427" si="45">HYPERLINK("https://assets.vans.eu/images/VN000SN1BLK-HERO/1","VN000SN1BLK1")</f>
        <v>VN000SN1BLK1</v>
      </c>
      <c r="B119" s="12" t="s">
        <v>726</v>
      </c>
      <c r="C119" s="12" t="s">
        <v>727</v>
      </c>
      <c r="D119" s="12" t="s">
        <v>76</v>
      </c>
      <c r="E119" s="12" t="s">
        <v>728</v>
      </c>
      <c r="F119" s="12" t="s">
        <v>403</v>
      </c>
      <c r="G119" s="14"/>
      <c r="H119" s="12" t="s">
        <v>61</v>
      </c>
      <c r="I119" s="12" t="s">
        <v>62</v>
      </c>
      <c r="J119" s="12" t="s">
        <v>63</v>
      </c>
      <c r="K119" s="12" t="s">
        <v>64</v>
      </c>
      <c r="L119" s="14"/>
      <c r="M119" s="12" t="s">
        <v>43</v>
      </c>
      <c r="N119" s="12" t="s">
        <v>84</v>
      </c>
      <c r="O119" s="12" t="s">
        <v>729</v>
      </c>
      <c r="P119" s="12" t="s">
        <v>66</v>
      </c>
      <c r="Q119" s="12" t="s">
        <v>67</v>
      </c>
      <c r="R119" s="12" t="s">
        <v>730</v>
      </c>
      <c r="S119" s="13">
        <v>197805981792</v>
      </c>
      <c r="T119" s="12" t="s">
        <v>709</v>
      </c>
      <c r="U119" s="12" t="s">
        <v>403</v>
      </c>
      <c r="V119" s="12" t="s">
        <v>731</v>
      </c>
      <c r="W119" s="12" t="s">
        <v>51</v>
      </c>
      <c r="X119" s="14"/>
      <c r="Y119" s="14"/>
      <c r="Z119" s="14"/>
      <c r="AA119" s="14"/>
      <c r="AB119" s="14"/>
      <c r="AC119" s="15">
        <v>27.3</v>
      </c>
      <c r="AD119" s="15">
        <f>AC119*AG119</f>
        <v>1255.8</v>
      </c>
      <c r="AE119" s="15">
        <v>60</v>
      </c>
      <c r="AF119" s="15">
        <f>AE119*AG119</f>
        <v>2760</v>
      </c>
      <c r="AG119" s="16">
        <v>46</v>
      </c>
    </row>
    <row r="120" spans="1:33" ht="15" customHeight="1" x14ac:dyDescent="0.2">
      <c r="A120" s="11" t="str">
        <f t="shared" si="9"/>
        <v>VN000D3YFS81</v>
      </c>
      <c r="B120" s="12" t="s">
        <v>732</v>
      </c>
      <c r="C120" s="12" t="s">
        <v>238</v>
      </c>
      <c r="D120" s="12" t="s">
        <v>239</v>
      </c>
      <c r="E120" s="12" t="s">
        <v>733</v>
      </c>
      <c r="F120" s="13">
        <v>45</v>
      </c>
      <c r="G120" s="12" t="s">
        <v>241</v>
      </c>
      <c r="H120" s="12" t="s">
        <v>38</v>
      </c>
      <c r="I120" s="12" t="s">
        <v>242</v>
      </c>
      <c r="J120" s="12" t="s">
        <v>243</v>
      </c>
      <c r="K120" s="12" t="s">
        <v>244</v>
      </c>
      <c r="L120" s="12" t="s">
        <v>42</v>
      </c>
      <c r="M120" s="12" t="s">
        <v>43</v>
      </c>
      <c r="N120" s="12" t="s">
        <v>44</v>
      </c>
      <c r="O120" s="12" t="s">
        <v>734</v>
      </c>
      <c r="P120" s="12" t="s">
        <v>46</v>
      </c>
      <c r="Q120" s="12" t="s">
        <v>47</v>
      </c>
      <c r="R120" s="12" t="s">
        <v>48</v>
      </c>
      <c r="S120" s="13">
        <v>197065182410</v>
      </c>
      <c r="T120" s="12" t="s">
        <v>49</v>
      </c>
      <c r="U120" s="13">
        <v>20</v>
      </c>
      <c r="V120" s="12" t="s">
        <v>50</v>
      </c>
      <c r="W120" s="12" t="s">
        <v>175</v>
      </c>
      <c r="X120" s="12" t="s">
        <v>119</v>
      </c>
      <c r="Y120" s="12" t="s">
        <v>53</v>
      </c>
      <c r="Z120" s="12" t="s">
        <v>246</v>
      </c>
      <c r="AA120" s="12" t="s">
        <v>73</v>
      </c>
      <c r="AB120" s="12" t="s">
        <v>94</v>
      </c>
      <c r="AC120" s="15">
        <v>20.5</v>
      </c>
      <c r="AD120" s="15">
        <f>AC120*AG120</f>
        <v>943</v>
      </c>
      <c r="AE120" s="15">
        <v>45</v>
      </c>
      <c r="AF120" s="15">
        <f>AE120*AG120</f>
        <v>2070</v>
      </c>
      <c r="AG120" s="16">
        <v>46</v>
      </c>
    </row>
    <row r="121" spans="1:33" ht="15" customHeight="1" x14ac:dyDescent="0.2">
      <c r="A121" s="11" t="str">
        <f t="shared" si="10"/>
        <v>VN000D8NBKA1</v>
      </c>
      <c r="B121" s="12" t="s">
        <v>735</v>
      </c>
      <c r="C121" s="12" t="s">
        <v>251</v>
      </c>
      <c r="D121" s="12" t="s">
        <v>252</v>
      </c>
      <c r="E121" s="12" t="s">
        <v>736</v>
      </c>
      <c r="F121" s="13">
        <v>110</v>
      </c>
      <c r="G121" s="12" t="s">
        <v>254</v>
      </c>
      <c r="H121" s="12" t="s">
        <v>38</v>
      </c>
      <c r="I121" s="12" t="s">
        <v>159</v>
      </c>
      <c r="J121" s="12" t="s">
        <v>255</v>
      </c>
      <c r="K121" s="12" t="s">
        <v>82</v>
      </c>
      <c r="L121" s="14"/>
      <c r="M121" s="12" t="s">
        <v>43</v>
      </c>
      <c r="N121" s="12" t="s">
        <v>84</v>
      </c>
      <c r="O121" s="12" t="s">
        <v>737</v>
      </c>
      <c r="P121" s="12" t="s">
        <v>46</v>
      </c>
      <c r="Q121" s="12" t="s">
        <v>47</v>
      </c>
      <c r="R121" s="12" t="s">
        <v>163</v>
      </c>
      <c r="S121" s="13">
        <v>197804464098</v>
      </c>
      <c r="T121" s="12" t="s">
        <v>49</v>
      </c>
      <c r="U121" s="13">
        <v>44.5</v>
      </c>
      <c r="V121" s="12" t="s">
        <v>50</v>
      </c>
      <c r="W121" s="12" t="s">
        <v>51</v>
      </c>
      <c r="X121" s="14"/>
      <c r="Y121" s="14"/>
      <c r="Z121" s="14"/>
      <c r="AA121" s="14"/>
      <c r="AB121" s="14"/>
      <c r="AC121" s="15">
        <v>45.5</v>
      </c>
      <c r="AD121" s="15">
        <f>AC121*AG121</f>
        <v>2093</v>
      </c>
      <c r="AE121" s="15">
        <v>100</v>
      </c>
      <c r="AF121" s="15">
        <f>AE121*AG121</f>
        <v>4600</v>
      </c>
      <c r="AG121" s="16">
        <v>46</v>
      </c>
    </row>
    <row r="122" spans="1:33" ht="15" customHeight="1" x14ac:dyDescent="0.2">
      <c r="A122" s="11" t="str">
        <f t="shared" ref="A122:A291" si="46">HYPERLINK("https://assets.vans.eu/images/VN000KXMY7U-HERO/1","VN000KXMY7U1")</f>
        <v>VN000KXMY7U1</v>
      </c>
      <c r="B122" s="12" t="s">
        <v>738</v>
      </c>
      <c r="C122" s="12" t="s">
        <v>739</v>
      </c>
      <c r="D122" s="12" t="s">
        <v>740</v>
      </c>
      <c r="E122" s="12" t="s">
        <v>741</v>
      </c>
      <c r="F122" s="13">
        <v>27</v>
      </c>
      <c r="G122" s="14"/>
      <c r="H122" s="12" t="s">
        <v>61</v>
      </c>
      <c r="I122" s="12" t="s">
        <v>230</v>
      </c>
      <c r="J122" s="12" t="s">
        <v>231</v>
      </c>
      <c r="K122" s="12" t="s">
        <v>199</v>
      </c>
      <c r="L122" s="14"/>
      <c r="M122" s="12" t="s">
        <v>43</v>
      </c>
      <c r="N122" s="12" t="s">
        <v>84</v>
      </c>
      <c r="O122" s="12" t="s">
        <v>742</v>
      </c>
      <c r="P122" s="12" t="s">
        <v>66</v>
      </c>
      <c r="Q122" s="12" t="s">
        <v>233</v>
      </c>
      <c r="R122" s="12" t="s">
        <v>361</v>
      </c>
      <c r="S122" s="13">
        <v>197643404309</v>
      </c>
      <c r="T122" s="12" t="s">
        <v>235</v>
      </c>
      <c r="U122" s="13">
        <v>27</v>
      </c>
      <c r="V122" s="12" t="s">
        <v>665</v>
      </c>
      <c r="W122" s="12" t="s">
        <v>455</v>
      </c>
      <c r="X122" s="13">
        <v>0</v>
      </c>
      <c r="Y122" s="12" t="s">
        <v>91</v>
      </c>
      <c r="Z122" s="12" t="s">
        <v>108</v>
      </c>
      <c r="AA122" s="13">
        <v>0</v>
      </c>
      <c r="AB122" s="13">
        <v>0</v>
      </c>
      <c r="AC122" s="15">
        <v>34.1</v>
      </c>
      <c r="AD122" s="15">
        <f>AC122*AG122</f>
        <v>1500.4</v>
      </c>
      <c r="AE122" s="15">
        <v>75</v>
      </c>
      <c r="AF122" s="15">
        <f>AE122*AG122</f>
        <v>3300</v>
      </c>
      <c r="AG122" s="16">
        <v>44</v>
      </c>
    </row>
    <row r="123" spans="1:33" ht="15" customHeight="1" x14ac:dyDescent="0.2">
      <c r="A123" s="11" t="str">
        <f>HYPERLINK("https://assets.vans.eu/images/VN000CV4O3N-HERO/1","VN000CV4O3N1")</f>
        <v>VN000CV4O3N1</v>
      </c>
      <c r="B123" s="12" t="s">
        <v>743</v>
      </c>
      <c r="C123" s="12" t="s">
        <v>607</v>
      </c>
      <c r="D123" s="12" t="s">
        <v>744</v>
      </c>
      <c r="E123" s="12" t="s">
        <v>745</v>
      </c>
      <c r="F123" s="13">
        <v>85</v>
      </c>
      <c r="G123" s="12" t="s">
        <v>372</v>
      </c>
      <c r="H123" s="12" t="s">
        <v>38</v>
      </c>
      <c r="I123" s="12" t="s">
        <v>113</v>
      </c>
      <c r="J123" s="12" t="s">
        <v>529</v>
      </c>
      <c r="K123" s="12" t="s">
        <v>100</v>
      </c>
      <c r="L123" s="14"/>
      <c r="M123" s="12" t="s">
        <v>43</v>
      </c>
      <c r="N123" s="12" t="s">
        <v>84</v>
      </c>
      <c r="O123" s="12" t="s">
        <v>746</v>
      </c>
      <c r="P123" s="12" t="s">
        <v>46</v>
      </c>
      <c r="Q123" s="12" t="s">
        <v>47</v>
      </c>
      <c r="R123" s="12" t="s">
        <v>117</v>
      </c>
      <c r="S123" s="13">
        <v>197643162384</v>
      </c>
      <c r="T123" s="12" t="s">
        <v>49</v>
      </c>
      <c r="U123" s="13">
        <v>39</v>
      </c>
      <c r="V123" s="12" t="s">
        <v>375</v>
      </c>
      <c r="W123" s="12" t="s">
        <v>299</v>
      </c>
      <c r="X123" s="14"/>
      <c r="Y123" s="12" t="s">
        <v>71</v>
      </c>
      <c r="Z123" s="12" t="s">
        <v>376</v>
      </c>
      <c r="AA123" s="14"/>
      <c r="AB123" s="14"/>
      <c r="AC123" s="15">
        <v>26.2</v>
      </c>
      <c r="AD123" s="15">
        <f>AC123*AG123</f>
        <v>1152.8</v>
      </c>
      <c r="AE123" s="15">
        <v>55</v>
      </c>
      <c r="AF123" s="15">
        <f>AE123*AG123</f>
        <v>2420</v>
      </c>
      <c r="AG123" s="16">
        <v>44</v>
      </c>
    </row>
    <row r="124" spans="1:33" ht="15" customHeight="1" x14ac:dyDescent="0.2">
      <c r="A124" s="11" t="str">
        <f t="shared" si="9"/>
        <v>VN000D3YFS81</v>
      </c>
      <c r="B124" s="12" t="s">
        <v>747</v>
      </c>
      <c r="C124" s="12" t="s">
        <v>238</v>
      </c>
      <c r="D124" s="12" t="s">
        <v>239</v>
      </c>
      <c r="E124" s="12" t="s">
        <v>748</v>
      </c>
      <c r="F124" s="13">
        <v>60</v>
      </c>
      <c r="G124" s="12" t="s">
        <v>241</v>
      </c>
      <c r="H124" s="12" t="s">
        <v>38</v>
      </c>
      <c r="I124" s="12" t="s">
        <v>242</v>
      </c>
      <c r="J124" s="12" t="s">
        <v>243</v>
      </c>
      <c r="K124" s="12" t="s">
        <v>244</v>
      </c>
      <c r="L124" s="12" t="s">
        <v>42</v>
      </c>
      <c r="M124" s="12" t="s">
        <v>43</v>
      </c>
      <c r="N124" s="12" t="s">
        <v>44</v>
      </c>
      <c r="O124" s="12" t="s">
        <v>749</v>
      </c>
      <c r="P124" s="12" t="s">
        <v>46</v>
      </c>
      <c r="Q124" s="12" t="s">
        <v>47</v>
      </c>
      <c r="R124" s="12" t="s">
        <v>48</v>
      </c>
      <c r="S124" s="13">
        <v>197065182854</v>
      </c>
      <c r="T124" s="12" t="s">
        <v>49</v>
      </c>
      <c r="U124" s="13">
        <v>22</v>
      </c>
      <c r="V124" s="12" t="s">
        <v>50</v>
      </c>
      <c r="W124" s="12" t="s">
        <v>175</v>
      </c>
      <c r="X124" s="12" t="s">
        <v>119</v>
      </c>
      <c r="Y124" s="12" t="s">
        <v>53</v>
      </c>
      <c r="Z124" s="12" t="s">
        <v>246</v>
      </c>
      <c r="AA124" s="12" t="s">
        <v>73</v>
      </c>
      <c r="AB124" s="12" t="s">
        <v>94</v>
      </c>
      <c r="AC124" s="15">
        <v>20.5</v>
      </c>
      <c r="AD124" s="15">
        <f>AC124*AG124</f>
        <v>902</v>
      </c>
      <c r="AE124" s="15">
        <v>45</v>
      </c>
      <c r="AF124" s="15">
        <f>AE124*AG124</f>
        <v>1980</v>
      </c>
      <c r="AG124" s="16">
        <v>44</v>
      </c>
    </row>
    <row r="125" spans="1:33" ht="15" customHeight="1" x14ac:dyDescent="0.2">
      <c r="A125" s="11" t="str">
        <f t="shared" si="9"/>
        <v>VN000D3YFS81</v>
      </c>
      <c r="B125" s="12" t="s">
        <v>750</v>
      </c>
      <c r="C125" s="12" t="s">
        <v>238</v>
      </c>
      <c r="D125" s="12" t="s">
        <v>239</v>
      </c>
      <c r="E125" s="12" t="s">
        <v>751</v>
      </c>
      <c r="F125" s="13">
        <v>70</v>
      </c>
      <c r="G125" s="12" t="s">
        <v>241</v>
      </c>
      <c r="H125" s="12" t="s">
        <v>38</v>
      </c>
      <c r="I125" s="12" t="s">
        <v>242</v>
      </c>
      <c r="J125" s="12" t="s">
        <v>243</v>
      </c>
      <c r="K125" s="12" t="s">
        <v>244</v>
      </c>
      <c r="L125" s="12" t="s">
        <v>42</v>
      </c>
      <c r="M125" s="12" t="s">
        <v>43</v>
      </c>
      <c r="N125" s="12" t="s">
        <v>44</v>
      </c>
      <c r="O125" s="12" t="s">
        <v>752</v>
      </c>
      <c r="P125" s="12" t="s">
        <v>46</v>
      </c>
      <c r="Q125" s="12" t="s">
        <v>47</v>
      </c>
      <c r="R125" s="12" t="s">
        <v>48</v>
      </c>
      <c r="S125" s="13">
        <v>197065182960</v>
      </c>
      <c r="T125" s="12" t="s">
        <v>49</v>
      </c>
      <c r="U125" s="13">
        <v>23.5</v>
      </c>
      <c r="V125" s="12" t="s">
        <v>50</v>
      </c>
      <c r="W125" s="12" t="s">
        <v>175</v>
      </c>
      <c r="X125" s="12" t="s">
        <v>119</v>
      </c>
      <c r="Y125" s="12" t="s">
        <v>53</v>
      </c>
      <c r="Z125" s="12" t="s">
        <v>246</v>
      </c>
      <c r="AA125" s="12" t="s">
        <v>73</v>
      </c>
      <c r="AB125" s="12" t="s">
        <v>94</v>
      </c>
      <c r="AC125" s="15">
        <v>20.5</v>
      </c>
      <c r="AD125" s="15">
        <f>AC125*AG125</f>
        <v>902</v>
      </c>
      <c r="AE125" s="15">
        <v>45</v>
      </c>
      <c r="AF125" s="15">
        <f>AE125*AG125</f>
        <v>1980</v>
      </c>
      <c r="AG125" s="16">
        <v>44</v>
      </c>
    </row>
    <row r="126" spans="1:33" ht="15" customHeight="1" x14ac:dyDescent="0.2">
      <c r="A126" s="11" t="str">
        <f>HYPERLINK("https://assets.vans.eu/images/VN000JTRCIC-HERO/1","VN000JTRCIC1")</f>
        <v>VN000JTRCIC1</v>
      </c>
      <c r="B126" s="12" t="s">
        <v>753</v>
      </c>
      <c r="C126" s="12" t="s">
        <v>754</v>
      </c>
      <c r="D126" s="12" t="s">
        <v>755</v>
      </c>
      <c r="E126" s="12" t="s">
        <v>756</v>
      </c>
      <c r="F126" s="12" t="s">
        <v>78</v>
      </c>
      <c r="G126" s="14"/>
      <c r="H126" s="12" t="s">
        <v>79</v>
      </c>
      <c r="I126" s="12" t="s">
        <v>80</v>
      </c>
      <c r="J126" s="12" t="s">
        <v>349</v>
      </c>
      <c r="K126" s="12" t="s">
        <v>82</v>
      </c>
      <c r="L126" s="14"/>
      <c r="M126" s="12" t="s">
        <v>43</v>
      </c>
      <c r="N126" s="12" t="s">
        <v>161</v>
      </c>
      <c r="O126" s="12" t="s">
        <v>757</v>
      </c>
      <c r="P126" s="12" t="s">
        <v>86</v>
      </c>
      <c r="Q126" s="12" t="s">
        <v>128</v>
      </c>
      <c r="R126" s="12" t="s">
        <v>352</v>
      </c>
      <c r="S126" s="13">
        <v>197065469016</v>
      </c>
      <c r="T126" s="12" t="s">
        <v>130</v>
      </c>
      <c r="U126" s="12" t="s">
        <v>78</v>
      </c>
      <c r="V126" s="12" t="s">
        <v>391</v>
      </c>
      <c r="W126" s="12" t="s">
        <v>118</v>
      </c>
      <c r="X126" s="13">
        <v>0</v>
      </c>
      <c r="Y126" s="12" t="s">
        <v>91</v>
      </c>
      <c r="Z126" s="12" t="s">
        <v>108</v>
      </c>
      <c r="AA126" s="13">
        <v>0</v>
      </c>
      <c r="AB126" s="13">
        <v>0</v>
      </c>
      <c r="AC126" s="15">
        <v>12.75</v>
      </c>
      <c r="AD126" s="15">
        <f>AC126*AG126</f>
        <v>548.25</v>
      </c>
      <c r="AE126" s="15">
        <v>28</v>
      </c>
      <c r="AF126" s="15">
        <f>AE126*AG126</f>
        <v>1204</v>
      </c>
      <c r="AG126" s="16">
        <v>43</v>
      </c>
    </row>
    <row r="127" spans="1:33" ht="15" customHeight="1" x14ac:dyDescent="0.2">
      <c r="A127" s="11" t="str">
        <f t="shared" ref="A127:A139" si="47">HYPERLINK("https://assets.vans.eu/images/VN000P7ECDX-HERO/1","VN000P7ECDX1")</f>
        <v>VN000P7ECDX1</v>
      </c>
      <c r="B127" s="12" t="s">
        <v>758</v>
      </c>
      <c r="C127" s="12" t="s">
        <v>759</v>
      </c>
      <c r="D127" s="12" t="s">
        <v>760</v>
      </c>
      <c r="E127" s="12" t="s">
        <v>761</v>
      </c>
      <c r="F127" s="12" t="s">
        <v>170</v>
      </c>
      <c r="G127" s="14"/>
      <c r="H127" s="12" t="s">
        <v>61</v>
      </c>
      <c r="I127" s="12" t="s">
        <v>230</v>
      </c>
      <c r="J127" s="12" t="s">
        <v>762</v>
      </c>
      <c r="K127" s="12" t="s">
        <v>199</v>
      </c>
      <c r="L127" s="14"/>
      <c r="M127" s="12" t="s">
        <v>43</v>
      </c>
      <c r="N127" s="12" t="s">
        <v>84</v>
      </c>
      <c r="O127" s="12" t="s">
        <v>763</v>
      </c>
      <c r="P127" s="12" t="s">
        <v>66</v>
      </c>
      <c r="Q127" s="12" t="s">
        <v>764</v>
      </c>
      <c r="R127" s="12" t="s">
        <v>765</v>
      </c>
      <c r="S127" s="13">
        <v>197804383764</v>
      </c>
      <c r="T127" s="12" t="s">
        <v>235</v>
      </c>
      <c r="U127" s="12" t="s">
        <v>170</v>
      </c>
      <c r="V127" s="12" t="s">
        <v>665</v>
      </c>
      <c r="W127" s="12" t="s">
        <v>284</v>
      </c>
      <c r="X127" s="14"/>
      <c r="Y127" s="14"/>
      <c r="Z127" s="14"/>
      <c r="AA127" s="14"/>
      <c r="AB127" s="14"/>
      <c r="AC127" s="15">
        <v>59.1</v>
      </c>
      <c r="AD127" s="15">
        <f>AC127*AG127</f>
        <v>2541.3000000000002</v>
      </c>
      <c r="AE127" s="15">
        <v>130</v>
      </c>
      <c r="AF127" s="15">
        <f>AE127*AG127</f>
        <v>5590</v>
      </c>
      <c r="AG127" s="16">
        <v>43</v>
      </c>
    </row>
    <row r="128" spans="1:33" ht="15" customHeight="1" x14ac:dyDescent="0.2">
      <c r="A128" s="11" t="str">
        <f>HYPERLINK("https://assets.vans.eu/images/VN000H4WEMJ-HERO/1","VN000H4WEMJ1")</f>
        <v>VN000H4WEMJ1</v>
      </c>
      <c r="B128" s="12" t="s">
        <v>766</v>
      </c>
      <c r="C128" s="12" t="s">
        <v>767</v>
      </c>
      <c r="D128" s="12" t="s">
        <v>768</v>
      </c>
      <c r="E128" s="12" t="s">
        <v>769</v>
      </c>
      <c r="F128" s="12" t="s">
        <v>78</v>
      </c>
      <c r="G128" s="14"/>
      <c r="H128" s="12" t="s">
        <v>441</v>
      </c>
      <c r="I128" s="12" t="s">
        <v>442</v>
      </c>
      <c r="J128" s="12" t="s">
        <v>443</v>
      </c>
      <c r="K128" s="12" t="s">
        <v>82</v>
      </c>
      <c r="L128" s="14"/>
      <c r="M128" s="12" t="s">
        <v>43</v>
      </c>
      <c r="N128" s="12" t="s">
        <v>84</v>
      </c>
      <c r="O128" s="12" t="s">
        <v>770</v>
      </c>
      <c r="P128" s="12" t="s">
        <v>445</v>
      </c>
      <c r="Q128" s="12" t="s">
        <v>446</v>
      </c>
      <c r="R128" s="12" t="s">
        <v>447</v>
      </c>
      <c r="S128" s="13">
        <v>197804384198</v>
      </c>
      <c r="T128" s="12" t="s">
        <v>130</v>
      </c>
      <c r="U128" s="12" t="s">
        <v>78</v>
      </c>
      <c r="V128" s="12" t="s">
        <v>771</v>
      </c>
      <c r="W128" s="12" t="s">
        <v>625</v>
      </c>
      <c r="X128" s="14"/>
      <c r="Y128" s="14"/>
      <c r="Z128" s="14"/>
      <c r="AA128" s="14"/>
      <c r="AB128" s="14"/>
      <c r="AC128" s="15">
        <v>21.85</v>
      </c>
      <c r="AD128" s="15">
        <f>AC128*AG128</f>
        <v>939.55000000000007</v>
      </c>
      <c r="AE128" s="15">
        <v>48</v>
      </c>
      <c r="AF128" s="15">
        <f>AE128*AG128</f>
        <v>2064</v>
      </c>
      <c r="AG128" s="16">
        <v>43</v>
      </c>
    </row>
    <row r="129" spans="1:33" ht="15" customHeight="1" x14ac:dyDescent="0.2">
      <c r="A129" s="11" t="str">
        <f t="shared" ref="A129:A1828" si="48">HYPERLINK("https://assets.vans.eu/images/VN000CRVEN7-HERO/1","VN000CRVEN71")</f>
        <v>VN000CRVEN71</v>
      </c>
      <c r="B129" s="12" t="s">
        <v>772</v>
      </c>
      <c r="C129" s="12" t="s">
        <v>773</v>
      </c>
      <c r="D129" s="12" t="s">
        <v>295</v>
      </c>
      <c r="E129" s="12" t="s">
        <v>774</v>
      </c>
      <c r="F129" s="13">
        <v>30</v>
      </c>
      <c r="G129" s="12" t="s">
        <v>775</v>
      </c>
      <c r="H129" s="12" t="s">
        <v>38</v>
      </c>
      <c r="I129" s="12" t="s">
        <v>776</v>
      </c>
      <c r="J129" s="12" t="s">
        <v>777</v>
      </c>
      <c r="K129" s="12" t="s">
        <v>778</v>
      </c>
      <c r="L129" s="14"/>
      <c r="M129" s="12" t="s">
        <v>43</v>
      </c>
      <c r="N129" s="12" t="s">
        <v>84</v>
      </c>
      <c r="O129" s="12" t="s">
        <v>779</v>
      </c>
      <c r="P129" s="12" t="s">
        <v>46</v>
      </c>
      <c r="Q129" s="12" t="s">
        <v>47</v>
      </c>
      <c r="R129" s="12" t="s">
        <v>780</v>
      </c>
      <c r="S129" s="13">
        <v>197804509706</v>
      </c>
      <c r="T129" s="12" t="s">
        <v>49</v>
      </c>
      <c r="U129" s="13">
        <v>18</v>
      </c>
      <c r="V129" s="12" t="s">
        <v>278</v>
      </c>
      <c r="W129" s="12" t="s">
        <v>299</v>
      </c>
      <c r="X129" s="14"/>
      <c r="Y129" s="14"/>
      <c r="Z129" s="14"/>
      <c r="AA129" s="14"/>
      <c r="AB129" s="14"/>
      <c r="AC129" s="15">
        <v>15.95</v>
      </c>
      <c r="AD129" s="15">
        <f>AC129*AG129</f>
        <v>685.85</v>
      </c>
      <c r="AE129" s="15">
        <v>35</v>
      </c>
      <c r="AF129" s="15">
        <f>AE129*AG129</f>
        <v>1505</v>
      </c>
      <c r="AG129" s="16">
        <v>43</v>
      </c>
    </row>
    <row r="130" spans="1:33" ht="15" customHeight="1" x14ac:dyDescent="0.2">
      <c r="A130" s="11" t="str">
        <f>HYPERLINK("https://assets.vans.eu/images/VN000P2A1NU-HERO/1","VN000P2A1NU1")</f>
        <v>VN000P2A1NU1</v>
      </c>
      <c r="B130" s="12" t="s">
        <v>781</v>
      </c>
      <c r="C130" s="12" t="s">
        <v>782</v>
      </c>
      <c r="D130" s="12" t="s">
        <v>783</v>
      </c>
      <c r="E130" s="12" t="s">
        <v>784</v>
      </c>
      <c r="F130" s="12" t="s">
        <v>78</v>
      </c>
      <c r="G130" s="14"/>
      <c r="H130" s="12" t="s">
        <v>79</v>
      </c>
      <c r="I130" s="12" t="s">
        <v>80</v>
      </c>
      <c r="J130" s="12" t="s">
        <v>349</v>
      </c>
      <c r="K130" s="12" t="s">
        <v>82</v>
      </c>
      <c r="L130" s="14"/>
      <c r="M130" s="12" t="s">
        <v>43</v>
      </c>
      <c r="N130" s="12" t="s">
        <v>44</v>
      </c>
      <c r="O130" s="12" t="s">
        <v>785</v>
      </c>
      <c r="P130" s="12" t="s">
        <v>86</v>
      </c>
      <c r="Q130" s="12" t="s">
        <v>128</v>
      </c>
      <c r="R130" s="12" t="s">
        <v>352</v>
      </c>
      <c r="S130" s="13">
        <v>197643541219</v>
      </c>
      <c r="T130" s="12" t="s">
        <v>235</v>
      </c>
      <c r="U130" s="12" t="s">
        <v>78</v>
      </c>
      <c r="V130" s="12" t="s">
        <v>786</v>
      </c>
      <c r="W130" s="12" t="s">
        <v>186</v>
      </c>
      <c r="X130" s="13">
        <v>0</v>
      </c>
      <c r="Y130" s="12" t="s">
        <v>91</v>
      </c>
      <c r="Z130" s="12" t="s">
        <v>108</v>
      </c>
      <c r="AA130" s="13">
        <v>0</v>
      </c>
      <c r="AB130" s="13">
        <v>0</v>
      </c>
      <c r="AC130" s="15">
        <v>16.399999999999999</v>
      </c>
      <c r="AD130" s="15">
        <f>AC130*AG130</f>
        <v>688.8</v>
      </c>
      <c r="AE130" s="15">
        <v>36</v>
      </c>
      <c r="AF130" s="15">
        <f>AE130*AG130</f>
        <v>1512</v>
      </c>
      <c r="AG130" s="16">
        <v>42</v>
      </c>
    </row>
    <row r="131" spans="1:33" ht="15" customHeight="1" x14ac:dyDescent="0.2">
      <c r="A131" s="11" t="str">
        <f t="shared" si="40"/>
        <v>VN000M8EBL21</v>
      </c>
      <c r="B131" s="12" t="s">
        <v>787</v>
      </c>
      <c r="C131" s="12" t="s">
        <v>685</v>
      </c>
      <c r="D131" s="12" t="s">
        <v>686</v>
      </c>
      <c r="E131" s="12" t="s">
        <v>788</v>
      </c>
      <c r="F131" s="13">
        <v>30</v>
      </c>
      <c r="G131" s="14"/>
      <c r="H131" s="12" t="s">
        <v>61</v>
      </c>
      <c r="I131" s="12" t="s">
        <v>230</v>
      </c>
      <c r="J131" s="12" t="s">
        <v>557</v>
      </c>
      <c r="K131" s="12" t="s">
        <v>199</v>
      </c>
      <c r="L131" s="14"/>
      <c r="M131" s="12" t="s">
        <v>43</v>
      </c>
      <c r="N131" s="12" t="s">
        <v>44</v>
      </c>
      <c r="O131" s="12" t="s">
        <v>789</v>
      </c>
      <c r="P131" s="12" t="s">
        <v>66</v>
      </c>
      <c r="Q131" s="12" t="s">
        <v>559</v>
      </c>
      <c r="R131" s="12" t="s">
        <v>560</v>
      </c>
      <c r="S131" s="13">
        <v>197643538295</v>
      </c>
      <c r="T131" s="12" t="s">
        <v>49</v>
      </c>
      <c r="U131" s="13">
        <v>30</v>
      </c>
      <c r="V131" s="12" t="s">
        <v>689</v>
      </c>
      <c r="W131" s="12" t="s">
        <v>186</v>
      </c>
      <c r="X131" s="13">
        <v>0</v>
      </c>
      <c r="Y131" s="12" t="s">
        <v>53</v>
      </c>
      <c r="Z131" s="12" t="s">
        <v>108</v>
      </c>
      <c r="AA131" s="13">
        <v>0</v>
      </c>
      <c r="AB131" s="13">
        <v>0</v>
      </c>
      <c r="AC131" s="15">
        <v>29.55</v>
      </c>
      <c r="AD131" s="15">
        <f>AC131*AG131</f>
        <v>1241.1000000000001</v>
      </c>
      <c r="AE131" s="15">
        <v>65</v>
      </c>
      <c r="AF131" s="15">
        <f>AE131*AG131</f>
        <v>2730</v>
      </c>
      <c r="AG131" s="16">
        <v>42</v>
      </c>
    </row>
    <row r="132" spans="1:33" ht="15" customHeight="1" x14ac:dyDescent="0.2">
      <c r="A132" s="11" t="str">
        <f t="shared" si="33"/>
        <v>VN000D1JPRP1</v>
      </c>
      <c r="B132" s="12" t="s">
        <v>790</v>
      </c>
      <c r="C132" s="12" t="s">
        <v>251</v>
      </c>
      <c r="D132" s="12" t="s">
        <v>526</v>
      </c>
      <c r="E132" s="12" t="s">
        <v>791</v>
      </c>
      <c r="F132" s="13">
        <v>45</v>
      </c>
      <c r="G132" s="12" t="s">
        <v>528</v>
      </c>
      <c r="H132" s="12" t="s">
        <v>38</v>
      </c>
      <c r="I132" s="12" t="s">
        <v>113</v>
      </c>
      <c r="J132" s="12" t="s">
        <v>529</v>
      </c>
      <c r="K132" s="12" t="s">
        <v>82</v>
      </c>
      <c r="L132" s="14"/>
      <c r="M132" s="12" t="s">
        <v>43</v>
      </c>
      <c r="N132" s="12" t="s">
        <v>161</v>
      </c>
      <c r="O132" s="12" t="s">
        <v>792</v>
      </c>
      <c r="P132" s="12" t="s">
        <v>46</v>
      </c>
      <c r="Q132" s="12" t="s">
        <v>47</v>
      </c>
      <c r="R132" s="12" t="s">
        <v>117</v>
      </c>
      <c r="S132" s="13">
        <v>197065606886</v>
      </c>
      <c r="T132" s="12" t="s">
        <v>49</v>
      </c>
      <c r="U132" s="13">
        <v>36</v>
      </c>
      <c r="V132" s="12" t="s">
        <v>50</v>
      </c>
      <c r="W132" s="12" t="s">
        <v>107</v>
      </c>
      <c r="X132" s="14"/>
      <c r="Y132" s="12" t="s">
        <v>91</v>
      </c>
      <c r="Z132" s="12" t="s">
        <v>165</v>
      </c>
      <c r="AA132" s="14"/>
      <c r="AB132" s="14"/>
      <c r="AC132" s="15">
        <v>45.5</v>
      </c>
      <c r="AD132" s="15">
        <f>AC132*AG132</f>
        <v>1911</v>
      </c>
      <c r="AE132" s="15">
        <v>100</v>
      </c>
      <c r="AF132" s="15">
        <f>AE132*AG132</f>
        <v>4200</v>
      </c>
      <c r="AG132" s="16">
        <v>42</v>
      </c>
    </row>
    <row r="133" spans="1:33" ht="15" customHeight="1" x14ac:dyDescent="0.2">
      <c r="A133" s="11" t="str">
        <f t="shared" si="24"/>
        <v>VN000V68B5P1</v>
      </c>
      <c r="B133" s="12" t="s">
        <v>793</v>
      </c>
      <c r="C133" s="12" t="s">
        <v>309</v>
      </c>
      <c r="D133" s="12" t="s">
        <v>203</v>
      </c>
      <c r="E133" s="12" t="s">
        <v>794</v>
      </c>
      <c r="F133" s="13">
        <v>55</v>
      </c>
      <c r="G133" s="14"/>
      <c r="H133" s="12" t="s">
        <v>38</v>
      </c>
      <c r="I133" s="12" t="s">
        <v>205</v>
      </c>
      <c r="J133" s="12" t="s">
        <v>206</v>
      </c>
      <c r="K133" s="12" t="s">
        <v>207</v>
      </c>
      <c r="L133" s="12" t="s">
        <v>42</v>
      </c>
      <c r="M133" s="12" t="s">
        <v>43</v>
      </c>
      <c r="N133" s="12" t="s">
        <v>84</v>
      </c>
      <c r="O133" s="12" t="s">
        <v>795</v>
      </c>
      <c r="P133" s="12" t="s">
        <v>46</v>
      </c>
      <c r="Q133" s="12" t="s">
        <v>47</v>
      </c>
      <c r="R133" s="12" t="s">
        <v>313</v>
      </c>
      <c r="S133" s="13">
        <v>198270303676</v>
      </c>
      <c r="T133" s="12" t="s">
        <v>49</v>
      </c>
      <c r="U133" s="13">
        <v>37</v>
      </c>
      <c r="V133" s="12" t="s">
        <v>209</v>
      </c>
      <c r="W133" s="12" t="s">
        <v>51</v>
      </c>
      <c r="X133" s="14"/>
      <c r="Y133" s="14"/>
      <c r="Z133" s="14"/>
      <c r="AA133" s="14"/>
      <c r="AB133" s="14"/>
      <c r="AC133" s="15">
        <v>38.65</v>
      </c>
      <c r="AD133" s="15">
        <f>AC133*AG133</f>
        <v>1623.3</v>
      </c>
      <c r="AE133" s="15">
        <v>85</v>
      </c>
      <c r="AF133" s="15">
        <f>AE133*AG133</f>
        <v>3570</v>
      </c>
      <c r="AG133" s="16">
        <v>42</v>
      </c>
    </row>
    <row r="134" spans="1:33" ht="15" customHeight="1" x14ac:dyDescent="0.2">
      <c r="A134" s="11" t="str">
        <f>HYPERLINK("https://assets.vans.eu/images/VN000GMNWHT-HERO/1","VN000GMNWHT1")</f>
        <v>VN000GMNWHT1</v>
      </c>
      <c r="B134" s="12" t="s">
        <v>796</v>
      </c>
      <c r="C134" s="12" t="s">
        <v>797</v>
      </c>
      <c r="D134" s="12" t="s">
        <v>168</v>
      </c>
      <c r="E134" s="12" t="s">
        <v>798</v>
      </c>
      <c r="F134" s="13">
        <v>651</v>
      </c>
      <c r="G134" s="14"/>
      <c r="H134" s="12" t="s">
        <v>79</v>
      </c>
      <c r="I134" s="12" t="s">
        <v>80</v>
      </c>
      <c r="J134" s="12" t="s">
        <v>171</v>
      </c>
      <c r="K134" s="12" t="s">
        <v>100</v>
      </c>
      <c r="L134" s="14"/>
      <c r="M134" s="12" t="s">
        <v>43</v>
      </c>
      <c r="N134" s="12" t="s">
        <v>161</v>
      </c>
      <c r="O134" s="12" t="s">
        <v>799</v>
      </c>
      <c r="P134" s="12" t="s">
        <v>86</v>
      </c>
      <c r="Q134" s="12" t="s">
        <v>141</v>
      </c>
      <c r="R134" s="12" t="s">
        <v>173</v>
      </c>
      <c r="S134" s="13">
        <v>197063495420</v>
      </c>
      <c r="T134" s="12" t="s">
        <v>143</v>
      </c>
      <c r="U134" s="12" t="s">
        <v>800</v>
      </c>
      <c r="V134" s="12" t="s">
        <v>801</v>
      </c>
      <c r="W134" s="12" t="s">
        <v>175</v>
      </c>
      <c r="X134" s="13">
        <v>0</v>
      </c>
      <c r="Y134" s="12" t="s">
        <v>91</v>
      </c>
      <c r="Z134" s="12" t="s">
        <v>108</v>
      </c>
      <c r="AA134" s="13">
        <v>0</v>
      </c>
      <c r="AB134" s="13">
        <v>0</v>
      </c>
      <c r="AC134" s="15">
        <v>7.3</v>
      </c>
      <c r="AD134" s="15">
        <f>AC134*AG134</f>
        <v>299.3</v>
      </c>
      <c r="AE134" s="15">
        <v>16</v>
      </c>
      <c r="AF134" s="15">
        <f>AE134*AG134</f>
        <v>656</v>
      </c>
      <c r="AG134" s="16">
        <v>41</v>
      </c>
    </row>
    <row r="135" spans="1:33" ht="15" customHeight="1" x14ac:dyDescent="0.2">
      <c r="A135" s="11" t="str">
        <f>HYPERLINK("https://assets.vans.eu/images/VN000Q1REMW-HERO/1","VN000Q1REMW1")</f>
        <v>VN000Q1REMW1</v>
      </c>
      <c r="B135" s="12" t="s">
        <v>802</v>
      </c>
      <c r="C135" s="12" t="s">
        <v>481</v>
      </c>
      <c r="D135" s="12" t="s">
        <v>147</v>
      </c>
      <c r="E135" s="12" t="s">
        <v>803</v>
      </c>
      <c r="F135" s="12" t="s">
        <v>138</v>
      </c>
      <c r="G135" s="14"/>
      <c r="H135" s="12" t="s">
        <v>79</v>
      </c>
      <c r="I135" s="12" t="s">
        <v>125</v>
      </c>
      <c r="J135" s="12" t="s">
        <v>139</v>
      </c>
      <c r="K135" s="12" t="s">
        <v>41</v>
      </c>
      <c r="L135" s="14"/>
      <c r="M135" s="12" t="s">
        <v>43</v>
      </c>
      <c r="N135" s="12" t="s">
        <v>84</v>
      </c>
      <c r="O135" s="12" t="s">
        <v>804</v>
      </c>
      <c r="P135" s="12" t="s">
        <v>86</v>
      </c>
      <c r="Q135" s="12" t="s">
        <v>141</v>
      </c>
      <c r="R135" s="12" t="s">
        <v>142</v>
      </c>
      <c r="S135" s="13">
        <v>197804373918</v>
      </c>
      <c r="T135" s="12" t="s">
        <v>143</v>
      </c>
      <c r="U135" s="12" t="s">
        <v>138</v>
      </c>
      <c r="V135" s="12" t="s">
        <v>484</v>
      </c>
      <c r="W135" s="12" t="s">
        <v>118</v>
      </c>
      <c r="X135" s="14"/>
      <c r="Y135" s="14"/>
      <c r="Z135" s="14"/>
      <c r="AA135" s="14"/>
      <c r="AB135" s="14"/>
      <c r="AC135" s="15">
        <v>8.1999999999999993</v>
      </c>
      <c r="AD135" s="15">
        <f>AC135*AG135</f>
        <v>336.2</v>
      </c>
      <c r="AE135" s="15">
        <v>18</v>
      </c>
      <c r="AF135" s="15">
        <f>AE135*AG135</f>
        <v>738</v>
      </c>
      <c r="AG135" s="16">
        <v>41</v>
      </c>
    </row>
    <row r="136" spans="1:33" ht="15" customHeight="1" x14ac:dyDescent="0.2">
      <c r="A136" s="11" t="str">
        <f t="shared" ref="A136:A509" si="49">HYPERLINK("https://assets.vans.eu/images/VN000QB9EMP-HERO/1","VN000QB9EMP1")</f>
        <v>VN000QB9EMP1</v>
      </c>
      <c r="B136" s="12" t="s">
        <v>805</v>
      </c>
      <c r="C136" s="12" t="s">
        <v>806</v>
      </c>
      <c r="D136" s="12" t="s">
        <v>704</v>
      </c>
      <c r="E136" s="12" t="s">
        <v>807</v>
      </c>
      <c r="F136" s="12" t="s">
        <v>403</v>
      </c>
      <c r="G136" s="14"/>
      <c r="H136" s="12" t="s">
        <v>79</v>
      </c>
      <c r="I136" s="12" t="s">
        <v>80</v>
      </c>
      <c r="J136" s="12" t="s">
        <v>171</v>
      </c>
      <c r="K136" s="12" t="s">
        <v>82</v>
      </c>
      <c r="L136" s="14"/>
      <c r="M136" s="12" t="s">
        <v>43</v>
      </c>
      <c r="N136" s="12" t="s">
        <v>84</v>
      </c>
      <c r="O136" s="12" t="s">
        <v>808</v>
      </c>
      <c r="P136" s="12" t="s">
        <v>86</v>
      </c>
      <c r="Q136" s="12" t="s">
        <v>141</v>
      </c>
      <c r="R136" s="12" t="s">
        <v>173</v>
      </c>
      <c r="S136" s="13">
        <v>197804394166</v>
      </c>
      <c r="T136" s="12" t="s">
        <v>105</v>
      </c>
      <c r="U136" s="12" t="s">
        <v>403</v>
      </c>
      <c r="V136" s="12" t="s">
        <v>181</v>
      </c>
      <c r="W136" s="12" t="s">
        <v>186</v>
      </c>
      <c r="X136" s="14"/>
      <c r="Y136" s="14"/>
      <c r="Z136" s="14"/>
      <c r="AA136" s="14"/>
      <c r="AB136" s="14"/>
      <c r="AC136" s="15">
        <v>7.3</v>
      </c>
      <c r="AD136" s="15">
        <f>AC136*AG136</f>
        <v>299.3</v>
      </c>
      <c r="AE136" s="15">
        <v>16</v>
      </c>
      <c r="AF136" s="15">
        <f>AE136*AG136</f>
        <v>656</v>
      </c>
      <c r="AG136" s="16">
        <v>41</v>
      </c>
    </row>
    <row r="137" spans="1:33" ht="15" customHeight="1" x14ac:dyDescent="0.2">
      <c r="A137" s="11" t="str">
        <f t="shared" si="20"/>
        <v>VN000HZBYEH1</v>
      </c>
      <c r="B137" s="12" t="s">
        <v>809</v>
      </c>
      <c r="C137" s="12" t="s">
        <v>357</v>
      </c>
      <c r="D137" s="12" t="s">
        <v>358</v>
      </c>
      <c r="E137" s="12" t="s">
        <v>810</v>
      </c>
      <c r="F137" s="13">
        <v>27</v>
      </c>
      <c r="G137" s="14"/>
      <c r="H137" s="12" t="s">
        <v>61</v>
      </c>
      <c r="I137" s="12" t="s">
        <v>230</v>
      </c>
      <c r="J137" s="12" t="s">
        <v>231</v>
      </c>
      <c r="K137" s="12" t="s">
        <v>199</v>
      </c>
      <c r="L137" s="14"/>
      <c r="M137" s="12" t="s">
        <v>43</v>
      </c>
      <c r="N137" s="12" t="s">
        <v>84</v>
      </c>
      <c r="O137" s="12" t="s">
        <v>811</v>
      </c>
      <c r="P137" s="12" t="s">
        <v>66</v>
      </c>
      <c r="Q137" s="12" t="s">
        <v>233</v>
      </c>
      <c r="R137" s="12" t="s">
        <v>361</v>
      </c>
      <c r="S137" s="13">
        <v>197065838638</v>
      </c>
      <c r="T137" s="12" t="s">
        <v>235</v>
      </c>
      <c r="U137" s="13">
        <v>27</v>
      </c>
      <c r="V137" s="12" t="s">
        <v>362</v>
      </c>
      <c r="W137" s="12" t="s">
        <v>186</v>
      </c>
      <c r="X137" s="13">
        <v>0</v>
      </c>
      <c r="Y137" s="12" t="s">
        <v>91</v>
      </c>
      <c r="Z137" s="12" t="s">
        <v>108</v>
      </c>
      <c r="AA137" s="13">
        <v>0</v>
      </c>
      <c r="AB137" s="13">
        <v>0</v>
      </c>
      <c r="AC137" s="15">
        <v>34.1</v>
      </c>
      <c r="AD137" s="15">
        <f>AC137*AG137</f>
        <v>1398.1000000000001</v>
      </c>
      <c r="AE137" s="15">
        <v>75</v>
      </c>
      <c r="AF137" s="15">
        <f>AE137*AG137</f>
        <v>3075</v>
      </c>
      <c r="AG137" s="16">
        <v>41</v>
      </c>
    </row>
    <row r="138" spans="1:33" ht="15" customHeight="1" x14ac:dyDescent="0.2">
      <c r="A138" s="11" t="str">
        <f t="shared" ref="A138:A328" si="50">HYPERLINK("https://assets.vans.eu/images/VN000M3GJDU-HERO/1","VN000M3GJDU1")</f>
        <v>VN000M3GJDU1</v>
      </c>
      <c r="B138" s="12" t="s">
        <v>812</v>
      </c>
      <c r="C138" s="12" t="s">
        <v>813</v>
      </c>
      <c r="D138" s="12" t="s">
        <v>814</v>
      </c>
      <c r="E138" s="12" t="s">
        <v>815</v>
      </c>
      <c r="F138" s="12" t="s">
        <v>170</v>
      </c>
      <c r="G138" s="14"/>
      <c r="H138" s="12" t="s">
        <v>61</v>
      </c>
      <c r="I138" s="12" t="s">
        <v>230</v>
      </c>
      <c r="J138" s="12" t="s">
        <v>557</v>
      </c>
      <c r="K138" s="12" t="s">
        <v>199</v>
      </c>
      <c r="L138" s="14"/>
      <c r="M138" s="12" t="s">
        <v>43</v>
      </c>
      <c r="N138" s="12" t="s">
        <v>44</v>
      </c>
      <c r="O138" s="12" t="s">
        <v>816</v>
      </c>
      <c r="P138" s="12" t="s">
        <v>66</v>
      </c>
      <c r="Q138" s="12" t="s">
        <v>559</v>
      </c>
      <c r="R138" s="12" t="s">
        <v>560</v>
      </c>
      <c r="S138" s="13">
        <v>197643537946</v>
      </c>
      <c r="T138" s="12" t="s">
        <v>49</v>
      </c>
      <c r="U138" s="12" t="s">
        <v>170</v>
      </c>
      <c r="V138" s="12" t="s">
        <v>90</v>
      </c>
      <c r="W138" s="12" t="s">
        <v>284</v>
      </c>
      <c r="X138" s="13">
        <v>0</v>
      </c>
      <c r="Y138" s="12" t="s">
        <v>53</v>
      </c>
      <c r="Z138" s="12" t="s">
        <v>108</v>
      </c>
      <c r="AA138" s="13">
        <v>0</v>
      </c>
      <c r="AB138" s="13">
        <v>0</v>
      </c>
      <c r="AC138" s="15">
        <v>27.3</v>
      </c>
      <c r="AD138" s="15">
        <f>AC138*AG138</f>
        <v>1119.3</v>
      </c>
      <c r="AE138" s="15">
        <v>60</v>
      </c>
      <c r="AF138" s="15">
        <f>AE138*AG138</f>
        <v>2460</v>
      </c>
      <c r="AG138" s="16">
        <v>41</v>
      </c>
    </row>
    <row r="139" spans="1:33" ht="15" customHeight="1" x14ac:dyDescent="0.2">
      <c r="A139" s="11" t="str">
        <f t="shared" si="47"/>
        <v>VN000P7ECDX1</v>
      </c>
      <c r="B139" s="12" t="s">
        <v>817</v>
      </c>
      <c r="C139" s="12" t="s">
        <v>759</v>
      </c>
      <c r="D139" s="12" t="s">
        <v>760</v>
      </c>
      <c r="E139" s="12" t="s">
        <v>818</v>
      </c>
      <c r="F139" s="12" t="s">
        <v>179</v>
      </c>
      <c r="G139" s="14"/>
      <c r="H139" s="12" t="s">
        <v>61</v>
      </c>
      <c r="I139" s="12" t="s">
        <v>230</v>
      </c>
      <c r="J139" s="12" t="s">
        <v>762</v>
      </c>
      <c r="K139" s="12" t="s">
        <v>199</v>
      </c>
      <c r="L139" s="14"/>
      <c r="M139" s="12" t="s">
        <v>43</v>
      </c>
      <c r="N139" s="12" t="s">
        <v>84</v>
      </c>
      <c r="O139" s="12" t="s">
        <v>819</v>
      </c>
      <c r="P139" s="12" t="s">
        <v>66</v>
      </c>
      <c r="Q139" s="12" t="s">
        <v>764</v>
      </c>
      <c r="R139" s="12" t="s">
        <v>765</v>
      </c>
      <c r="S139" s="13">
        <v>197804383573</v>
      </c>
      <c r="T139" s="12" t="s">
        <v>235</v>
      </c>
      <c r="U139" s="12" t="s">
        <v>179</v>
      </c>
      <c r="V139" s="12" t="s">
        <v>665</v>
      </c>
      <c r="W139" s="12" t="s">
        <v>284</v>
      </c>
      <c r="X139" s="14"/>
      <c r="Y139" s="14"/>
      <c r="Z139" s="14"/>
      <c r="AA139" s="14"/>
      <c r="AB139" s="14"/>
      <c r="AC139" s="15">
        <v>59.1</v>
      </c>
      <c r="AD139" s="15">
        <f>AC139*AG139</f>
        <v>2423.1</v>
      </c>
      <c r="AE139" s="15">
        <v>130</v>
      </c>
      <c r="AF139" s="15">
        <f>AE139*AG139</f>
        <v>5330</v>
      </c>
      <c r="AG139" s="16">
        <v>41</v>
      </c>
    </row>
    <row r="140" spans="1:33" ht="15" customHeight="1" x14ac:dyDescent="0.2">
      <c r="A140" s="11" t="str">
        <f>HYPERLINK("https://assets.vans.eu/images/VN000JTRDBC-HERO/1","VN000JTRDBC1")</f>
        <v>VN000JTRDBC1</v>
      </c>
      <c r="B140" s="12" t="s">
        <v>820</v>
      </c>
      <c r="C140" s="12" t="s">
        <v>754</v>
      </c>
      <c r="D140" s="12" t="s">
        <v>821</v>
      </c>
      <c r="E140" s="12" t="s">
        <v>822</v>
      </c>
      <c r="F140" s="12" t="s">
        <v>78</v>
      </c>
      <c r="G140" s="14"/>
      <c r="H140" s="12" t="s">
        <v>79</v>
      </c>
      <c r="I140" s="12" t="s">
        <v>80</v>
      </c>
      <c r="J140" s="12" t="s">
        <v>349</v>
      </c>
      <c r="K140" s="12" t="s">
        <v>82</v>
      </c>
      <c r="L140" s="14"/>
      <c r="M140" s="12" t="s">
        <v>43</v>
      </c>
      <c r="N140" s="12" t="s">
        <v>161</v>
      </c>
      <c r="O140" s="12" t="s">
        <v>823</v>
      </c>
      <c r="P140" s="12" t="s">
        <v>86</v>
      </c>
      <c r="Q140" s="12" t="s">
        <v>128</v>
      </c>
      <c r="R140" s="12" t="s">
        <v>352</v>
      </c>
      <c r="S140" s="13">
        <v>197065469030</v>
      </c>
      <c r="T140" s="12" t="s">
        <v>130</v>
      </c>
      <c r="U140" s="12" t="s">
        <v>78</v>
      </c>
      <c r="V140" s="12" t="s">
        <v>391</v>
      </c>
      <c r="W140" s="12" t="s">
        <v>118</v>
      </c>
      <c r="X140" s="13">
        <v>0</v>
      </c>
      <c r="Y140" s="12" t="s">
        <v>91</v>
      </c>
      <c r="Z140" s="12" t="s">
        <v>108</v>
      </c>
      <c r="AA140" s="13">
        <v>0</v>
      </c>
      <c r="AB140" s="13">
        <v>0</v>
      </c>
      <c r="AC140" s="15">
        <v>12.75</v>
      </c>
      <c r="AD140" s="15">
        <f>AC140*AG140</f>
        <v>510</v>
      </c>
      <c r="AE140" s="15">
        <v>28</v>
      </c>
      <c r="AF140" s="15">
        <f>AE140*AG140</f>
        <v>1120</v>
      </c>
      <c r="AG140" s="16">
        <v>40</v>
      </c>
    </row>
    <row r="141" spans="1:33" ht="15" customHeight="1" x14ac:dyDescent="0.2">
      <c r="A141" s="11" t="str">
        <f t="shared" si="20"/>
        <v>VN000HZBYEH1</v>
      </c>
      <c r="B141" s="12" t="s">
        <v>824</v>
      </c>
      <c r="C141" s="12" t="s">
        <v>357</v>
      </c>
      <c r="D141" s="12" t="s">
        <v>358</v>
      </c>
      <c r="E141" s="12" t="s">
        <v>825</v>
      </c>
      <c r="F141" s="13">
        <v>32</v>
      </c>
      <c r="G141" s="14"/>
      <c r="H141" s="12" t="s">
        <v>61</v>
      </c>
      <c r="I141" s="12" t="s">
        <v>230</v>
      </c>
      <c r="J141" s="12" t="s">
        <v>231</v>
      </c>
      <c r="K141" s="12" t="s">
        <v>199</v>
      </c>
      <c r="L141" s="14"/>
      <c r="M141" s="12" t="s">
        <v>43</v>
      </c>
      <c r="N141" s="12" t="s">
        <v>84</v>
      </c>
      <c r="O141" s="12" t="s">
        <v>826</v>
      </c>
      <c r="P141" s="12" t="s">
        <v>66</v>
      </c>
      <c r="Q141" s="12" t="s">
        <v>233</v>
      </c>
      <c r="R141" s="12" t="s">
        <v>361</v>
      </c>
      <c r="S141" s="13">
        <v>197065840105</v>
      </c>
      <c r="T141" s="12" t="s">
        <v>235</v>
      </c>
      <c r="U141" s="13">
        <v>32</v>
      </c>
      <c r="V141" s="12" t="s">
        <v>362</v>
      </c>
      <c r="W141" s="12" t="s">
        <v>186</v>
      </c>
      <c r="X141" s="13">
        <v>0</v>
      </c>
      <c r="Y141" s="12" t="s">
        <v>91</v>
      </c>
      <c r="Z141" s="12" t="s">
        <v>108</v>
      </c>
      <c r="AA141" s="13">
        <v>0</v>
      </c>
      <c r="AB141" s="13">
        <v>0</v>
      </c>
      <c r="AC141" s="15">
        <v>34.1</v>
      </c>
      <c r="AD141" s="15">
        <f>AC141*AG141</f>
        <v>1364</v>
      </c>
      <c r="AE141" s="15">
        <v>75</v>
      </c>
      <c r="AF141" s="15">
        <f>AE141*AG141</f>
        <v>3000</v>
      </c>
      <c r="AG141" s="16">
        <v>40</v>
      </c>
    </row>
    <row r="142" spans="1:33" ht="15" customHeight="1" x14ac:dyDescent="0.2">
      <c r="A142" s="11" t="str">
        <f t="shared" ref="A142:A384" si="51">HYPERLINK("https://assets.vans.eu/images/VN000CS5PIB-HERO/1","VN000CS5PIB1")</f>
        <v>VN000CS5PIB1</v>
      </c>
      <c r="B142" s="12" t="s">
        <v>827</v>
      </c>
      <c r="C142" s="12" t="s">
        <v>828</v>
      </c>
      <c r="D142" s="12" t="s">
        <v>829</v>
      </c>
      <c r="E142" s="12" t="s">
        <v>830</v>
      </c>
      <c r="F142" s="13">
        <v>30</v>
      </c>
      <c r="G142" s="12" t="s">
        <v>831</v>
      </c>
      <c r="H142" s="12" t="s">
        <v>38</v>
      </c>
      <c r="I142" s="12" t="s">
        <v>776</v>
      </c>
      <c r="J142" s="12" t="s">
        <v>777</v>
      </c>
      <c r="K142" s="12" t="s">
        <v>778</v>
      </c>
      <c r="L142" s="14"/>
      <c r="M142" s="12" t="s">
        <v>43</v>
      </c>
      <c r="N142" s="12" t="s">
        <v>84</v>
      </c>
      <c r="O142" s="12" t="s">
        <v>832</v>
      </c>
      <c r="P142" s="12" t="s">
        <v>46</v>
      </c>
      <c r="Q142" s="12" t="s">
        <v>47</v>
      </c>
      <c r="R142" s="12" t="s">
        <v>48</v>
      </c>
      <c r="S142" s="13">
        <v>197804510061</v>
      </c>
      <c r="T142" s="12" t="s">
        <v>49</v>
      </c>
      <c r="U142" s="13">
        <v>18</v>
      </c>
      <c r="V142" s="12" t="s">
        <v>50</v>
      </c>
      <c r="W142" s="12" t="s">
        <v>299</v>
      </c>
      <c r="X142" s="14"/>
      <c r="Y142" s="14"/>
      <c r="Z142" s="14"/>
      <c r="AA142" s="14"/>
      <c r="AB142" s="14"/>
      <c r="AC142" s="15">
        <v>15.95</v>
      </c>
      <c r="AD142" s="15">
        <f>AC142*AG142</f>
        <v>638</v>
      </c>
      <c r="AE142" s="15">
        <v>35</v>
      </c>
      <c r="AF142" s="15">
        <f>AE142*AG142</f>
        <v>1400</v>
      </c>
      <c r="AG142" s="16">
        <v>40</v>
      </c>
    </row>
    <row r="143" spans="1:33" ht="15" customHeight="1" x14ac:dyDescent="0.2">
      <c r="A143" s="11" t="str">
        <f t="shared" si="9"/>
        <v>VN000D3YFS81</v>
      </c>
      <c r="B143" s="12" t="s">
        <v>833</v>
      </c>
      <c r="C143" s="12" t="s">
        <v>238</v>
      </c>
      <c r="D143" s="12" t="s">
        <v>239</v>
      </c>
      <c r="E143" s="12" t="s">
        <v>834</v>
      </c>
      <c r="F143" s="13">
        <v>75</v>
      </c>
      <c r="G143" s="12" t="s">
        <v>241</v>
      </c>
      <c r="H143" s="12" t="s">
        <v>38</v>
      </c>
      <c r="I143" s="12" t="s">
        <v>242</v>
      </c>
      <c r="J143" s="12" t="s">
        <v>243</v>
      </c>
      <c r="K143" s="12" t="s">
        <v>244</v>
      </c>
      <c r="L143" s="12" t="s">
        <v>42</v>
      </c>
      <c r="M143" s="12" t="s">
        <v>43</v>
      </c>
      <c r="N143" s="12" t="s">
        <v>44</v>
      </c>
      <c r="O143" s="12" t="s">
        <v>835</v>
      </c>
      <c r="P143" s="12" t="s">
        <v>46</v>
      </c>
      <c r="Q143" s="12" t="s">
        <v>47</v>
      </c>
      <c r="R143" s="12" t="s">
        <v>48</v>
      </c>
      <c r="S143" s="13">
        <v>197065183127</v>
      </c>
      <c r="T143" s="12" t="s">
        <v>49</v>
      </c>
      <c r="U143" s="13">
        <v>24</v>
      </c>
      <c r="V143" s="12" t="s">
        <v>50</v>
      </c>
      <c r="W143" s="12" t="s">
        <v>175</v>
      </c>
      <c r="X143" s="12" t="s">
        <v>119</v>
      </c>
      <c r="Y143" s="12" t="s">
        <v>53</v>
      </c>
      <c r="Z143" s="12" t="s">
        <v>246</v>
      </c>
      <c r="AA143" s="12" t="s">
        <v>73</v>
      </c>
      <c r="AB143" s="12" t="s">
        <v>94</v>
      </c>
      <c r="AC143" s="15">
        <v>20.5</v>
      </c>
      <c r="AD143" s="15">
        <f>AC143*AG143</f>
        <v>820</v>
      </c>
      <c r="AE143" s="15">
        <v>45</v>
      </c>
      <c r="AF143" s="15">
        <f>AE143*AG143</f>
        <v>1800</v>
      </c>
      <c r="AG143" s="16">
        <v>40</v>
      </c>
    </row>
    <row r="144" spans="1:33" ht="15" customHeight="1" x14ac:dyDescent="0.2">
      <c r="A144" s="11" t="str">
        <f>HYPERLINK("https://assets.vans.eu/images/VN000GMYCLH-HERO/1","VN000GMYCLH1")</f>
        <v>VN000GMYCLH1</v>
      </c>
      <c r="B144" s="12" t="s">
        <v>836</v>
      </c>
      <c r="C144" s="12" t="s">
        <v>837</v>
      </c>
      <c r="D144" s="12" t="s">
        <v>838</v>
      </c>
      <c r="E144" s="12" t="s">
        <v>839</v>
      </c>
      <c r="F144" s="12" t="s">
        <v>78</v>
      </c>
      <c r="G144" s="14"/>
      <c r="H144" s="12" t="s">
        <v>79</v>
      </c>
      <c r="I144" s="12" t="s">
        <v>80</v>
      </c>
      <c r="J144" s="12" t="s">
        <v>99</v>
      </c>
      <c r="K144" s="12" t="s">
        <v>82</v>
      </c>
      <c r="L144" s="14"/>
      <c r="M144" s="12" t="s">
        <v>43</v>
      </c>
      <c r="N144" s="12" t="s">
        <v>44</v>
      </c>
      <c r="O144" s="12" t="s">
        <v>840</v>
      </c>
      <c r="P144" s="12" t="s">
        <v>86</v>
      </c>
      <c r="Q144" s="12" t="s">
        <v>716</v>
      </c>
      <c r="R144" s="12" t="s">
        <v>717</v>
      </c>
      <c r="S144" s="13">
        <v>197643554233</v>
      </c>
      <c r="T144" s="12" t="s">
        <v>143</v>
      </c>
      <c r="U144" s="12" t="s">
        <v>78</v>
      </c>
      <c r="V144" s="12" t="s">
        <v>841</v>
      </c>
      <c r="W144" s="12" t="s">
        <v>118</v>
      </c>
      <c r="X144" s="13">
        <v>0</v>
      </c>
      <c r="Y144" s="12" t="s">
        <v>91</v>
      </c>
      <c r="Z144" s="12" t="s">
        <v>108</v>
      </c>
      <c r="AA144" s="13">
        <v>0</v>
      </c>
      <c r="AB144" s="13">
        <v>0</v>
      </c>
      <c r="AC144" s="15">
        <v>8.1999999999999993</v>
      </c>
      <c r="AD144" s="15">
        <f>AC144*AG144</f>
        <v>319.79999999999995</v>
      </c>
      <c r="AE144" s="15">
        <v>18</v>
      </c>
      <c r="AF144" s="15">
        <f>AE144*AG144</f>
        <v>702</v>
      </c>
      <c r="AG144" s="16">
        <v>39</v>
      </c>
    </row>
    <row r="145" spans="1:33" ht="15" customHeight="1" x14ac:dyDescent="0.2">
      <c r="A145" s="11" t="str">
        <f t="shared" ref="A145:A163" si="52">HYPERLINK("https://assets.vans.eu/images/VN000Q1TWHT-HERO/1","VN000Q1TWHT1")</f>
        <v>VN000Q1TWHT1</v>
      </c>
      <c r="B145" s="12" t="s">
        <v>842</v>
      </c>
      <c r="C145" s="12" t="s">
        <v>585</v>
      </c>
      <c r="D145" s="12" t="s">
        <v>168</v>
      </c>
      <c r="E145" s="12" t="s">
        <v>843</v>
      </c>
      <c r="F145" s="12" t="s">
        <v>153</v>
      </c>
      <c r="G145" s="14"/>
      <c r="H145" s="12" t="s">
        <v>79</v>
      </c>
      <c r="I145" s="12" t="s">
        <v>125</v>
      </c>
      <c r="J145" s="12" t="s">
        <v>139</v>
      </c>
      <c r="K145" s="12" t="s">
        <v>41</v>
      </c>
      <c r="L145" s="14"/>
      <c r="M145" s="12" t="s">
        <v>43</v>
      </c>
      <c r="N145" s="12" t="s">
        <v>84</v>
      </c>
      <c r="O145" s="12" t="s">
        <v>844</v>
      </c>
      <c r="P145" s="12" t="s">
        <v>86</v>
      </c>
      <c r="Q145" s="12" t="s">
        <v>141</v>
      </c>
      <c r="R145" s="12" t="s">
        <v>142</v>
      </c>
      <c r="S145" s="13">
        <v>197804373949</v>
      </c>
      <c r="T145" s="12" t="s">
        <v>143</v>
      </c>
      <c r="U145" s="12" t="s">
        <v>153</v>
      </c>
      <c r="V145" s="12" t="s">
        <v>588</v>
      </c>
      <c r="W145" s="12" t="s">
        <v>175</v>
      </c>
      <c r="X145" s="14"/>
      <c r="Y145" s="14"/>
      <c r="Z145" s="14"/>
      <c r="AA145" s="14"/>
      <c r="AB145" s="14"/>
      <c r="AC145" s="15">
        <v>6.4</v>
      </c>
      <c r="AD145" s="15">
        <f>AC145*AG145</f>
        <v>249.60000000000002</v>
      </c>
      <c r="AE145" s="15">
        <v>14</v>
      </c>
      <c r="AF145" s="15">
        <f>AE145*AG145</f>
        <v>546</v>
      </c>
      <c r="AG145" s="16">
        <v>39</v>
      </c>
    </row>
    <row r="146" spans="1:33" ht="15" customHeight="1" x14ac:dyDescent="0.2">
      <c r="A146" s="11" t="str">
        <f t="shared" si="3"/>
        <v>VN000Q92EMW1</v>
      </c>
      <c r="B146" s="12" t="s">
        <v>845</v>
      </c>
      <c r="C146" s="12" t="s">
        <v>146</v>
      </c>
      <c r="D146" s="12" t="s">
        <v>147</v>
      </c>
      <c r="E146" s="12" t="s">
        <v>846</v>
      </c>
      <c r="F146" s="12" t="s">
        <v>153</v>
      </c>
      <c r="G146" s="14"/>
      <c r="H146" s="12" t="s">
        <v>79</v>
      </c>
      <c r="I146" s="12" t="s">
        <v>125</v>
      </c>
      <c r="J146" s="12" t="s">
        <v>139</v>
      </c>
      <c r="K146" s="12" t="s">
        <v>41</v>
      </c>
      <c r="L146" s="14"/>
      <c r="M146" s="12" t="s">
        <v>43</v>
      </c>
      <c r="N146" s="12" t="s">
        <v>84</v>
      </c>
      <c r="O146" s="12" t="s">
        <v>847</v>
      </c>
      <c r="P146" s="12" t="s">
        <v>86</v>
      </c>
      <c r="Q146" s="12" t="s">
        <v>141</v>
      </c>
      <c r="R146" s="12" t="s">
        <v>142</v>
      </c>
      <c r="S146" s="13">
        <v>197804373871</v>
      </c>
      <c r="T146" s="12" t="s">
        <v>143</v>
      </c>
      <c r="U146" s="12" t="s">
        <v>153</v>
      </c>
      <c r="V146" s="12" t="s">
        <v>150</v>
      </c>
      <c r="W146" s="12" t="s">
        <v>118</v>
      </c>
      <c r="X146" s="14"/>
      <c r="Y146" s="14"/>
      <c r="Z146" s="14"/>
      <c r="AA146" s="14"/>
      <c r="AB146" s="14"/>
      <c r="AC146" s="15">
        <v>6.4</v>
      </c>
      <c r="AD146" s="15">
        <f>AC146*AG146</f>
        <v>249.60000000000002</v>
      </c>
      <c r="AE146" s="15">
        <v>14</v>
      </c>
      <c r="AF146" s="15">
        <f>AE146*AG146</f>
        <v>546</v>
      </c>
      <c r="AG146" s="16">
        <v>39</v>
      </c>
    </row>
    <row r="147" spans="1:33" ht="15" customHeight="1" x14ac:dyDescent="0.2">
      <c r="A147" s="11" t="str">
        <f t="shared" si="43"/>
        <v>VN000HZBBLK1</v>
      </c>
      <c r="B147" s="12" t="s">
        <v>848</v>
      </c>
      <c r="C147" s="12" t="s">
        <v>357</v>
      </c>
      <c r="D147" s="12" t="s">
        <v>76</v>
      </c>
      <c r="E147" s="12" t="s">
        <v>849</v>
      </c>
      <c r="F147" s="13">
        <v>29</v>
      </c>
      <c r="G147" s="14"/>
      <c r="H147" s="12" t="s">
        <v>61</v>
      </c>
      <c r="I147" s="12" t="s">
        <v>230</v>
      </c>
      <c r="J147" s="12" t="s">
        <v>231</v>
      </c>
      <c r="K147" s="12" t="s">
        <v>199</v>
      </c>
      <c r="L147" s="14"/>
      <c r="M147" s="12" t="s">
        <v>43</v>
      </c>
      <c r="N147" s="12" t="s">
        <v>84</v>
      </c>
      <c r="O147" s="12" t="s">
        <v>850</v>
      </c>
      <c r="P147" s="12" t="s">
        <v>66</v>
      </c>
      <c r="Q147" s="12" t="s">
        <v>233</v>
      </c>
      <c r="R147" s="12" t="s">
        <v>361</v>
      </c>
      <c r="S147" s="13">
        <v>197065838737</v>
      </c>
      <c r="T147" s="12" t="s">
        <v>235</v>
      </c>
      <c r="U147" s="13">
        <v>29</v>
      </c>
      <c r="V147" s="12" t="s">
        <v>362</v>
      </c>
      <c r="W147" s="12" t="s">
        <v>51</v>
      </c>
      <c r="X147" s="13">
        <v>0</v>
      </c>
      <c r="Y147" s="12" t="s">
        <v>91</v>
      </c>
      <c r="Z147" s="12" t="s">
        <v>108</v>
      </c>
      <c r="AA147" s="13">
        <v>0</v>
      </c>
      <c r="AB147" s="13">
        <v>0</v>
      </c>
      <c r="AC147" s="15">
        <v>34.1</v>
      </c>
      <c r="AD147" s="15">
        <f>AC147*AG147</f>
        <v>1329.9</v>
      </c>
      <c r="AE147" s="15">
        <v>75</v>
      </c>
      <c r="AF147" s="15">
        <f>AE147*AG147</f>
        <v>2925</v>
      </c>
      <c r="AG147" s="16">
        <v>39</v>
      </c>
    </row>
    <row r="148" spans="1:33" ht="15" customHeight="1" x14ac:dyDescent="0.2">
      <c r="A148" s="11" t="str">
        <f t="shared" si="30"/>
        <v>VN000QCEBLK1</v>
      </c>
      <c r="B148" s="12" t="s">
        <v>851</v>
      </c>
      <c r="C148" s="12" t="s">
        <v>489</v>
      </c>
      <c r="D148" s="12" t="s">
        <v>76</v>
      </c>
      <c r="E148" s="12" t="s">
        <v>852</v>
      </c>
      <c r="F148" s="12" t="s">
        <v>853</v>
      </c>
      <c r="G148" s="14"/>
      <c r="H148" s="12" t="s">
        <v>79</v>
      </c>
      <c r="I148" s="12" t="s">
        <v>80</v>
      </c>
      <c r="J148" s="12" t="s">
        <v>191</v>
      </c>
      <c r="K148" s="12" t="s">
        <v>82</v>
      </c>
      <c r="L148" s="14"/>
      <c r="M148" s="12" t="s">
        <v>43</v>
      </c>
      <c r="N148" s="12" t="s">
        <v>84</v>
      </c>
      <c r="O148" s="12" t="s">
        <v>854</v>
      </c>
      <c r="P148" s="12" t="s">
        <v>86</v>
      </c>
      <c r="Q148" s="12" t="s">
        <v>193</v>
      </c>
      <c r="R148" s="12" t="s">
        <v>194</v>
      </c>
      <c r="S148" s="13">
        <v>197804610501</v>
      </c>
      <c r="T148" s="12" t="s">
        <v>164</v>
      </c>
      <c r="U148" s="12" t="s">
        <v>853</v>
      </c>
      <c r="V148" s="12" t="s">
        <v>493</v>
      </c>
      <c r="W148" s="12" t="s">
        <v>51</v>
      </c>
      <c r="X148" s="14"/>
      <c r="Y148" s="14"/>
      <c r="Z148" s="14"/>
      <c r="AA148" s="14"/>
      <c r="AB148" s="14"/>
      <c r="AC148" s="15">
        <v>21.85</v>
      </c>
      <c r="AD148" s="15">
        <f>AC148*AG148</f>
        <v>830.30000000000007</v>
      </c>
      <c r="AE148" s="15">
        <v>48</v>
      </c>
      <c r="AF148" s="15">
        <f>AE148*AG148</f>
        <v>1824</v>
      </c>
      <c r="AG148" s="16">
        <v>38</v>
      </c>
    </row>
    <row r="149" spans="1:33" ht="15" customHeight="1" x14ac:dyDescent="0.2">
      <c r="A149" s="11" t="str">
        <f t="shared" ref="A149:A1705" si="53">HYPERLINK("https://assets.vans.eu/images/VN000P8A02F-HERO/1","VN000P8A02F1")</f>
        <v>VN000P8A02F1</v>
      </c>
      <c r="B149" s="12" t="s">
        <v>855</v>
      </c>
      <c r="C149" s="12" t="s">
        <v>856</v>
      </c>
      <c r="D149" s="12" t="s">
        <v>857</v>
      </c>
      <c r="E149" s="12" t="s">
        <v>858</v>
      </c>
      <c r="F149" s="12" t="s">
        <v>170</v>
      </c>
      <c r="G149" s="14"/>
      <c r="H149" s="12" t="s">
        <v>61</v>
      </c>
      <c r="I149" s="12" t="s">
        <v>230</v>
      </c>
      <c r="J149" s="12" t="s">
        <v>419</v>
      </c>
      <c r="K149" s="12" t="s">
        <v>199</v>
      </c>
      <c r="L149" s="14"/>
      <c r="M149" s="12" t="s">
        <v>43</v>
      </c>
      <c r="N149" s="12" t="s">
        <v>84</v>
      </c>
      <c r="O149" s="12" t="s">
        <v>859</v>
      </c>
      <c r="P149" s="12" t="s">
        <v>66</v>
      </c>
      <c r="Q149" s="12" t="s">
        <v>67</v>
      </c>
      <c r="R149" s="12" t="s">
        <v>623</v>
      </c>
      <c r="S149" s="13">
        <v>197804351992</v>
      </c>
      <c r="T149" s="12" t="s">
        <v>49</v>
      </c>
      <c r="U149" s="12" t="s">
        <v>170</v>
      </c>
      <c r="V149" s="12" t="s">
        <v>860</v>
      </c>
      <c r="W149" s="12" t="s">
        <v>455</v>
      </c>
      <c r="X149" s="14"/>
      <c r="Y149" s="14"/>
      <c r="Z149" s="14"/>
      <c r="AA149" s="14"/>
      <c r="AB149" s="14"/>
      <c r="AC149" s="15">
        <v>40.950000000000003</v>
      </c>
      <c r="AD149" s="15">
        <f>AC149*AG149</f>
        <v>1556.1000000000001</v>
      </c>
      <c r="AE149" s="15">
        <v>90</v>
      </c>
      <c r="AF149" s="15">
        <f>AE149*AG149</f>
        <v>3420</v>
      </c>
      <c r="AG149" s="16">
        <v>38</v>
      </c>
    </row>
    <row r="150" spans="1:33" ht="15" customHeight="1" x14ac:dyDescent="0.2">
      <c r="A150" s="11" t="str">
        <f t="shared" ref="A150:A1805" si="54">HYPERLINK("https://assets.vans.eu/images/VN00104UEMS-HERO/1","VN00104UEMS1")</f>
        <v>VN00104UEMS1</v>
      </c>
      <c r="B150" s="12" t="s">
        <v>861</v>
      </c>
      <c r="C150" s="12" t="s">
        <v>862</v>
      </c>
      <c r="D150" s="12" t="s">
        <v>863</v>
      </c>
      <c r="E150" s="12" t="s">
        <v>864</v>
      </c>
      <c r="F150" s="12" t="s">
        <v>170</v>
      </c>
      <c r="G150" s="14"/>
      <c r="H150" s="12" t="s">
        <v>61</v>
      </c>
      <c r="I150" s="12" t="s">
        <v>230</v>
      </c>
      <c r="J150" s="12" t="s">
        <v>419</v>
      </c>
      <c r="K150" s="12" t="s">
        <v>199</v>
      </c>
      <c r="L150" s="12" t="s">
        <v>115</v>
      </c>
      <c r="M150" s="12" t="s">
        <v>43</v>
      </c>
      <c r="N150" s="12" t="s">
        <v>84</v>
      </c>
      <c r="O150" s="12" t="s">
        <v>865</v>
      </c>
      <c r="P150" s="12" t="s">
        <v>66</v>
      </c>
      <c r="Q150" s="12" t="s">
        <v>67</v>
      </c>
      <c r="R150" s="12" t="s">
        <v>421</v>
      </c>
      <c r="S150" s="13">
        <v>198268437567</v>
      </c>
      <c r="T150" s="12" t="s">
        <v>69</v>
      </c>
      <c r="U150" s="12" t="s">
        <v>170</v>
      </c>
      <c r="V150" s="12" t="s">
        <v>70</v>
      </c>
      <c r="W150" s="12" t="s">
        <v>107</v>
      </c>
      <c r="X150" s="14"/>
      <c r="Y150" s="14"/>
      <c r="Z150" s="14"/>
      <c r="AA150" s="14"/>
      <c r="AB150" s="14"/>
      <c r="AC150" s="15">
        <v>18.2</v>
      </c>
      <c r="AD150" s="15">
        <f>AC150*AG150</f>
        <v>691.6</v>
      </c>
      <c r="AE150" s="15">
        <v>40</v>
      </c>
      <c r="AF150" s="15">
        <f>AE150*AG150</f>
        <v>1520</v>
      </c>
      <c r="AG150" s="16">
        <v>38</v>
      </c>
    </row>
    <row r="151" spans="1:33" ht="15" customHeight="1" x14ac:dyDescent="0.2">
      <c r="A151" s="11" t="str">
        <f>HYPERLINK("https://assets.vans.eu/images/VN00069GNOA-HERO/1","VN00069GNOA1")</f>
        <v>VN00069GNOA1</v>
      </c>
      <c r="B151" s="12" t="s">
        <v>866</v>
      </c>
      <c r="C151" s="12" t="s">
        <v>867</v>
      </c>
      <c r="D151" s="12" t="s">
        <v>868</v>
      </c>
      <c r="E151" s="12" t="s">
        <v>869</v>
      </c>
      <c r="F151" s="12" t="s">
        <v>78</v>
      </c>
      <c r="G151" s="14"/>
      <c r="H151" s="12" t="s">
        <v>441</v>
      </c>
      <c r="I151" s="12" t="s">
        <v>870</v>
      </c>
      <c r="J151" s="12" t="s">
        <v>871</v>
      </c>
      <c r="K151" s="12" t="s">
        <v>199</v>
      </c>
      <c r="L151" s="12" t="s">
        <v>872</v>
      </c>
      <c r="M151" s="12" t="s">
        <v>43</v>
      </c>
      <c r="N151" s="12" t="s">
        <v>84</v>
      </c>
      <c r="O151" s="12" t="s">
        <v>873</v>
      </c>
      <c r="P151" s="12" t="s">
        <v>445</v>
      </c>
      <c r="Q151" s="12" t="s">
        <v>874</v>
      </c>
      <c r="R151" s="12" t="s">
        <v>875</v>
      </c>
      <c r="S151" s="13">
        <v>196244287151</v>
      </c>
      <c r="T151" s="12" t="s">
        <v>876</v>
      </c>
      <c r="U151" s="12" t="s">
        <v>78</v>
      </c>
      <c r="V151" s="12" t="s">
        <v>877</v>
      </c>
      <c r="W151" s="12" t="s">
        <v>878</v>
      </c>
      <c r="X151" s="14"/>
      <c r="Y151" s="14"/>
      <c r="Z151" s="14"/>
      <c r="AA151" s="14"/>
      <c r="AB151" s="13">
        <v>0</v>
      </c>
      <c r="AC151" s="15">
        <v>18.2</v>
      </c>
      <c r="AD151" s="15">
        <f>AC151*AG151</f>
        <v>691.6</v>
      </c>
      <c r="AE151" s="15">
        <v>40</v>
      </c>
      <c r="AF151" s="15">
        <f>AE151*AG151</f>
        <v>1520</v>
      </c>
      <c r="AG151" s="16">
        <v>38</v>
      </c>
    </row>
    <row r="152" spans="1:33" ht="15" customHeight="1" x14ac:dyDescent="0.2">
      <c r="A152" s="11" t="str">
        <f t="shared" si="41"/>
        <v>VN000CS02W01</v>
      </c>
      <c r="B152" s="12" t="s">
        <v>879</v>
      </c>
      <c r="C152" s="12" t="s">
        <v>110</v>
      </c>
      <c r="D152" s="12" t="s">
        <v>691</v>
      </c>
      <c r="E152" s="12" t="s">
        <v>880</v>
      </c>
      <c r="F152" s="13">
        <v>60</v>
      </c>
      <c r="G152" s="14"/>
      <c r="H152" s="12" t="s">
        <v>38</v>
      </c>
      <c r="I152" s="12" t="s">
        <v>113</v>
      </c>
      <c r="J152" s="12" t="s">
        <v>114</v>
      </c>
      <c r="K152" s="12" t="s">
        <v>82</v>
      </c>
      <c r="L152" s="12" t="s">
        <v>42</v>
      </c>
      <c r="M152" s="12" t="s">
        <v>43</v>
      </c>
      <c r="N152" s="12" t="s">
        <v>44</v>
      </c>
      <c r="O152" s="12" t="s">
        <v>881</v>
      </c>
      <c r="P152" s="12" t="s">
        <v>46</v>
      </c>
      <c r="Q152" s="12" t="s">
        <v>47</v>
      </c>
      <c r="R152" s="12" t="s">
        <v>117</v>
      </c>
      <c r="S152" s="13">
        <v>197642426005</v>
      </c>
      <c r="T152" s="12" t="s">
        <v>105</v>
      </c>
      <c r="U152" s="13">
        <v>38</v>
      </c>
      <c r="V152" s="12" t="s">
        <v>50</v>
      </c>
      <c r="W152" s="12" t="s">
        <v>299</v>
      </c>
      <c r="X152" s="12" t="s">
        <v>119</v>
      </c>
      <c r="Y152" s="12" t="s">
        <v>53</v>
      </c>
      <c r="Z152" s="12" t="s">
        <v>246</v>
      </c>
      <c r="AA152" s="12" t="s">
        <v>73</v>
      </c>
      <c r="AB152" s="12" t="s">
        <v>94</v>
      </c>
      <c r="AC152" s="15">
        <v>43.2</v>
      </c>
      <c r="AD152" s="15">
        <f>AC152*AG152</f>
        <v>1641.6000000000001</v>
      </c>
      <c r="AE152" s="15">
        <v>95</v>
      </c>
      <c r="AF152" s="15">
        <f>AE152*AG152</f>
        <v>3610</v>
      </c>
      <c r="AG152" s="16">
        <v>38</v>
      </c>
    </row>
    <row r="153" spans="1:33" ht="15" customHeight="1" x14ac:dyDescent="0.2">
      <c r="A153" s="11" t="str">
        <f>HYPERLINK("https://assets.vans.eu/images/VN0A5JM21CI-HERO/1","VN0A5JM21CI1")</f>
        <v>VN0A5JM21CI1</v>
      </c>
      <c r="B153" s="12" t="s">
        <v>882</v>
      </c>
      <c r="C153" s="12" t="s">
        <v>883</v>
      </c>
      <c r="D153" s="12" t="s">
        <v>884</v>
      </c>
      <c r="E153" s="12" t="s">
        <v>885</v>
      </c>
      <c r="F153" s="13">
        <v>75</v>
      </c>
      <c r="G153" s="12" t="s">
        <v>886</v>
      </c>
      <c r="H153" s="12" t="s">
        <v>38</v>
      </c>
      <c r="I153" s="12" t="s">
        <v>159</v>
      </c>
      <c r="J153" s="12" t="s">
        <v>255</v>
      </c>
      <c r="K153" s="12" t="s">
        <v>199</v>
      </c>
      <c r="L153" s="12" t="s">
        <v>350</v>
      </c>
      <c r="M153" s="12" t="s">
        <v>43</v>
      </c>
      <c r="N153" s="12" t="s">
        <v>84</v>
      </c>
      <c r="O153" s="12" t="s">
        <v>887</v>
      </c>
      <c r="P153" s="12" t="s">
        <v>46</v>
      </c>
      <c r="Q153" s="12" t="s">
        <v>47</v>
      </c>
      <c r="R153" s="12" t="s">
        <v>163</v>
      </c>
      <c r="S153" s="13">
        <v>196573403734</v>
      </c>
      <c r="T153" s="12" t="s">
        <v>49</v>
      </c>
      <c r="U153" s="13">
        <v>40</v>
      </c>
      <c r="V153" s="12" t="s">
        <v>50</v>
      </c>
      <c r="W153" s="12" t="s">
        <v>51</v>
      </c>
      <c r="X153" s="14"/>
      <c r="Y153" s="12" t="s">
        <v>71</v>
      </c>
      <c r="Z153" s="12" t="s">
        <v>92</v>
      </c>
      <c r="AA153" s="12" t="s">
        <v>354</v>
      </c>
      <c r="AB153" s="12" t="s">
        <v>888</v>
      </c>
      <c r="AC153" s="15">
        <v>38.1</v>
      </c>
      <c r="AD153" s="15">
        <f>AC153*AG153</f>
        <v>1447.8</v>
      </c>
      <c r="AE153" s="15">
        <v>80</v>
      </c>
      <c r="AF153" s="15">
        <f>AE153*AG153</f>
        <v>3040</v>
      </c>
      <c r="AG153" s="16">
        <v>38</v>
      </c>
    </row>
    <row r="154" spans="1:33" ht="15" customHeight="1" x14ac:dyDescent="0.2">
      <c r="A154" s="11" t="str">
        <f>HYPERLINK("https://assets.vans.eu/images/VN000GMYC9L-HERO/1","VN000GMYC9L1")</f>
        <v>VN000GMYC9L1</v>
      </c>
      <c r="B154" s="12" t="s">
        <v>889</v>
      </c>
      <c r="C154" s="12" t="s">
        <v>837</v>
      </c>
      <c r="D154" s="12" t="s">
        <v>890</v>
      </c>
      <c r="E154" s="12" t="s">
        <v>891</v>
      </c>
      <c r="F154" s="12" t="s">
        <v>78</v>
      </c>
      <c r="G154" s="14"/>
      <c r="H154" s="12" t="s">
        <v>79</v>
      </c>
      <c r="I154" s="12" t="s">
        <v>80</v>
      </c>
      <c r="J154" s="12" t="s">
        <v>99</v>
      </c>
      <c r="K154" s="12" t="s">
        <v>82</v>
      </c>
      <c r="L154" s="14"/>
      <c r="M154" s="12" t="s">
        <v>43</v>
      </c>
      <c r="N154" s="12" t="s">
        <v>44</v>
      </c>
      <c r="O154" s="12" t="s">
        <v>892</v>
      </c>
      <c r="P154" s="12" t="s">
        <v>86</v>
      </c>
      <c r="Q154" s="12" t="s">
        <v>716</v>
      </c>
      <c r="R154" s="12" t="s">
        <v>717</v>
      </c>
      <c r="S154" s="13">
        <v>197643554202</v>
      </c>
      <c r="T154" s="12" t="s">
        <v>143</v>
      </c>
      <c r="U154" s="12" t="s">
        <v>78</v>
      </c>
      <c r="V154" s="12" t="s">
        <v>841</v>
      </c>
      <c r="W154" s="12" t="s">
        <v>262</v>
      </c>
      <c r="X154" s="13">
        <v>0</v>
      </c>
      <c r="Y154" s="12" t="s">
        <v>91</v>
      </c>
      <c r="Z154" s="12" t="s">
        <v>108</v>
      </c>
      <c r="AA154" s="13">
        <v>0</v>
      </c>
      <c r="AB154" s="13">
        <v>0</v>
      </c>
      <c r="AC154" s="15">
        <v>8.1999999999999993</v>
      </c>
      <c r="AD154" s="15">
        <f>AC154*AG154</f>
        <v>303.39999999999998</v>
      </c>
      <c r="AE154" s="15">
        <v>18</v>
      </c>
      <c r="AF154" s="15">
        <f>AE154*AG154</f>
        <v>666</v>
      </c>
      <c r="AG154" s="16">
        <v>37</v>
      </c>
    </row>
    <row r="155" spans="1:33" ht="15" customHeight="1" x14ac:dyDescent="0.2">
      <c r="A155" s="11" t="str">
        <f>HYPERLINK("https://assets.vans.eu/images/VN000ND7FS8-HERO/1","VN000ND7FS81")</f>
        <v>VN000ND7FS81</v>
      </c>
      <c r="B155" s="12" t="s">
        <v>893</v>
      </c>
      <c r="C155" s="12" t="s">
        <v>894</v>
      </c>
      <c r="D155" s="12" t="s">
        <v>239</v>
      </c>
      <c r="E155" s="12" t="s">
        <v>895</v>
      </c>
      <c r="F155" s="12" t="s">
        <v>78</v>
      </c>
      <c r="G155" s="14"/>
      <c r="H155" s="12" t="s">
        <v>79</v>
      </c>
      <c r="I155" s="12" t="s">
        <v>80</v>
      </c>
      <c r="J155" s="12" t="s">
        <v>99</v>
      </c>
      <c r="K155" s="12" t="s">
        <v>82</v>
      </c>
      <c r="L155" s="14"/>
      <c r="M155" s="12" t="s">
        <v>43</v>
      </c>
      <c r="N155" s="12" t="s">
        <v>44</v>
      </c>
      <c r="O155" s="12" t="s">
        <v>896</v>
      </c>
      <c r="P155" s="12" t="s">
        <v>86</v>
      </c>
      <c r="Q155" s="12" t="s">
        <v>716</v>
      </c>
      <c r="R155" s="12" t="s">
        <v>717</v>
      </c>
      <c r="S155" s="13">
        <v>197643467878</v>
      </c>
      <c r="T155" s="12" t="s">
        <v>143</v>
      </c>
      <c r="U155" s="12" t="s">
        <v>78</v>
      </c>
      <c r="V155" s="12" t="s">
        <v>718</v>
      </c>
      <c r="W155" s="12" t="s">
        <v>175</v>
      </c>
      <c r="X155" s="13">
        <v>0</v>
      </c>
      <c r="Y155" s="12" t="s">
        <v>91</v>
      </c>
      <c r="Z155" s="12" t="s">
        <v>108</v>
      </c>
      <c r="AA155" s="13">
        <v>0</v>
      </c>
      <c r="AB155" s="13">
        <v>0</v>
      </c>
      <c r="AC155" s="15">
        <v>12.75</v>
      </c>
      <c r="AD155" s="15">
        <f>AC155*AG155</f>
        <v>471.75</v>
      </c>
      <c r="AE155" s="15">
        <v>28</v>
      </c>
      <c r="AF155" s="15">
        <f>AE155*AG155</f>
        <v>1036</v>
      </c>
      <c r="AG155" s="16">
        <v>37</v>
      </c>
    </row>
    <row r="156" spans="1:33" ht="15" customHeight="1" x14ac:dyDescent="0.2">
      <c r="A156" s="11" t="str">
        <f t="shared" ref="A156:A406" si="55">HYPERLINK("https://assets.vans.eu/images/VN000HUP7WM-HERO/1","VN000HUP7WM1")</f>
        <v>VN000HUP7WM1</v>
      </c>
      <c r="B156" s="12" t="s">
        <v>897</v>
      </c>
      <c r="C156" s="12" t="s">
        <v>898</v>
      </c>
      <c r="D156" s="12" t="s">
        <v>388</v>
      </c>
      <c r="E156" s="12" t="s">
        <v>899</v>
      </c>
      <c r="F156" s="12" t="s">
        <v>153</v>
      </c>
      <c r="G156" s="14"/>
      <c r="H156" s="12" t="s">
        <v>61</v>
      </c>
      <c r="I156" s="12" t="s">
        <v>289</v>
      </c>
      <c r="J156" s="12" t="s">
        <v>900</v>
      </c>
      <c r="K156" s="12" t="s">
        <v>100</v>
      </c>
      <c r="L156" s="14"/>
      <c r="M156" s="12" t="s">
        <v>43</v>
      </c>
      <c r="N156" s="12" t="s">
        <v>161</v>
      </c>
      <c r="O156" s="12" t="s">
        <v>901</v>
      </c>
      <c r="P156" s="12" t="s">
        <v>66</v>
      </c>
      <c r="Q156" s="12" t="s">
        <v>233</v>
      </c>
      <c r="R156" s="12" t="s">
        <v>902</v>
      </c>
      <c r="S156" s="13">
        <v>197065462468</v>
      </c>
      <c r="T156" s="12" t="s">
        <v>235</v>
      </c>
      <c r="U156" s="12" t="s">
        <v>153</v>
      </c>
      <c r="V156" s="12" t="s">
        <v>903</v>
      </c>
      <c r="W156" s="12" t="s">
        <v>284</v>
      </c>
      <c r="X156" s="13">
        <v>0</v>
      </c>
      <c r="Y156" s="12" t="s">
        <v>53</v>
      </c>
      <c r="Z156" s="12" t="s">
        <v>108</v>
      </c>
      <c r="AA156" s="13">
        <v>0</v>
      </c>
      <c r="AB156" s="13">
        <v>0</v>
      </c>
      <c r="AC156" s="15">
        <v>36.4</v>
      </c>
      <c r="AD156" s="15">
        <f>AC156*AG156</f>
        <v>1346.8</v>
      </c>
      <c r="AE156" s="15">
        <v>80</v>
      </c>
      <c r="AF156" s="15">
        <f>AE156*AG156</f>
        <v>2960</v>
      </c>
      <c r="AG156" s="16">
        <v>37</v>
      </c>
    </row>
    <row r="157" spans="1:33" ht="15" customHeight="1" x14ac:dyDescent="0.2">
      <c r="A157" s="11" t="str">
        <f t="shared" si="43"/>
        <v>VN000HZBBLK1</v>
      </c>
      <c r="B157" s="12" t="s">
        <v>904</v>
      </c>
      <c r="C157" s="12" t="s">
        <v>357</v>
      </c>
      <c r="D157" s="12" t="s">
        <v>76</v>
      </c>
      <c r="E157" s="12" t="s">
        <v>905</v>
      </c>
      <c r="F157" s="13">
        <v>27</v>
      </c>
      <c r="G157" s="14"/>
      <c r="H157" s="12" t="s">
        <v>61</v>
      </c>
      <c r="I157" s="12" t="s">
        <v>230</v>
      </c>
      <c r="J157" s="12" t="s">
        <v>231</v>
      </c>
      <c r="K157" s="12" t="s">
        <v>199</v>
      </c>
      <c r="L157" s="14"/>
      <c r="M157" s="12" t="s">
        <v>43</v>
      </c>
      <c r="N157" s="12" t="s">
        <v>84</v>
      </c>
      <c r="O157" s="12" t="s">
        <v>906</v>
      </c>
      <c r="P157" s="12" t="s">
        <v>66</v>
      </c>
      <c r="Q157" s="12" t="s">
        <v>233</v>
      </c>
      <c r="R157" s="12" t="s">
        <v>361</v>
      </c>
      <c r="S157" s="13">
        <v>197065838508</v>
      </c>
      <c r="T157" s="12" t="s">
        <v>235</v>
      </c>
      <c r="U157" s="13">
        <v>27</v>
      </c>
      <c r="V157" s="12" t="s">
        <v>362</v>
      </c>
      <c r="W157" s="12" t="s">
        <v>51</v>
      </c>
      <c r="X157" s="13">
        <v>0</v>
      </c>
      <c r="Y157" s="12" t="s">
        <v>91</v>
      </c>
      <c r="Z157" s="12" t="s">
        <v>108</v>
      </c>
      <c r="AA157" s="13">
        <v>0</v>
      </c>
      <c r="AB157" s="13">
        <v>0</v>
      </c>
      <c r="AC157" s="15">
        <v>34.1</v>
      </c>
      <c r="AD157" s="15">
        <f>AC157*AG157</f>
        <v>1261.7</v>
      </c>
      <c r="AE157" s="15">
        <v>75</v>
      </c>
      <c r="AF157" s="15">
        <f>AE157*AG157</f>
        <v>2775</v>
      </c>
      <c r="AG157" s="16">
        <v>37</v>
      </c>
    </row>
    <row r="158" spans="1:33" ht="15" customHeight="1" x14ac:dyDescent="0.2">
      <c r="A158" s="11" t="str">
        <f>HYPERLINK("https://assets.vans.eu/images/VN000P5DBLK-HERO/1","VN000P5DBLK1")</f>
        <v>VN000P5DBLK1</v>
      </c>
      <c r="B158" s="12" t="s">
        <v>907</v>
      </c>
      <c r="C158" s="12" t="s">
        <v>908</v>
      </c>
      <c r="D158" s="12" t="s">
        <v>76</v>
      </c>
      <c r="E158" s="12" t="s">
        <v>909</v>
      </c>
      <c r="F158" s="12" t="s">
        <v>170</v>
      </c>
      <c r="G158" s="14"/>
      <c r="H158" s="12" t="s">
        <v>61</v>
      </c>
      <c r="I158" s="12" t="s">
        <v>230</v>
      </c>
      <c r="J158" s="12" t="s">
        <v>419</v>
      </c>
      <c r="K158" s="12" t="s">
        <v>199</v>
      </c>
      <c r="L158" s="14"/>
      <c r="M158" s="12" t="s">
        <v>43</v>
      </c>
      <c r="N158" s="12" t="s">
        <v>44</v>
      </c>
      <c r="O158" s="12" t="s">
        <v>910</v>
      </c>
      <c r="P158" s="12" t="s">
        <v>66</v>
      </c>
      <c r="Q158" s="12" t="s">
        <v>67</v>
      </c>
      <c r="R158" s="12" t="s">
        <v>623</v>
      </c>
      <c r="S158" s="13">
        <v>197643541561</v>
      </c>
      <c r="T158" s="12" t="s">
        <v>49</v>
      </c>
      <c r="U158" s="12" t="s">
        <v>170</v>
      </c>
      <c r="V158" s="12" t="s">
        <v>860</v>
      </c>
      <c r="W158" s="12" t="s">
        <v>51</v>
      </c>
      <c r="X158" s="13">
        <v>0</v>
      </c>
      <c r="Y158" s="12" t="s">
        <v>53</v>
      </c>
      <c r="Z158" s="12" t="s">
        <v>108</v>
      </c>
      <c r="AA158" s="13">
        <v>0</v>
      </c>
      <c r="AB158" s="13">
        <v>0</v>
      </c>
      <c r="AC158" s="15">
        <v>34.1</v>
      </c>
      <c r="AD158" s="15">
        <f>AC158*AG158</f>
        <v>1261.7</v>
      </c>
      <c r="AE158" s="15">
        <v>75</v>
      </c>
      <c r="AF158" s="15">
        <f>AE158*AG158</f>
        <v>2775</v>
      </c>
      <c r="AG158" s="16">
        <v>37</v>
      </c>
    </row>
    <row r="159" spans="1:33" ht="15" customHeight="1" x14ac:dyDescent="0.2">
      <c r="A159" s="11" t="str">
        <f t="shared" ref="A159:A1162" si="56">HYPERLINK("https://assets.vans.eu/images/VN000PBRWHT-HERO/1","VN000PBRWHT1")</f>
        <v>VN000PBRWHT1</v>
      </c>
      <c r="B159" s="12" t="s">
        <v>911</v>
      </c>
      <c r="C159" s="12" t="s">
        <v>912</v>
      </c>
      <c r="D159" s="12" t="s">
        <v>168</v>
      </c>
      <c r="E159" s="12" t="s">
        <v>913</v>
      </c>
      <c r="F159" s="12" t="s">
        <v>170</v>
      </c>
      <c r="G159" s="14"/>
      <c r="H159" s="12" t="s">
        <v>61</v>
      </c>
      <c r="I159" s="12" t="s">
        <v>230</v>
      </c>
      <c r="J159" s="12" t="s">
        <v>419</v>
      </c>
      <c r="K159" s="12" t="s">
        <v>199</v>
      </c>
      <c r="L159" s="14"/>
      <c r="M159" s="12" t="s">
        <v>43</v>
      </c>
      <c r="N159" s="12" t="s">
        <v>84</v>
      </c>
      <c r="O159" s="12" t="s">
        <v>914</v>
      </c>
      <c r="P159" s="12" t="s">
        <v>66</v>
      </c>
      <c r="Q159" s="12" t="s">
        <v>67</v>
      </c>
      <c r="R159" s="12" t="s">
        <v>421</v>
      </c>
      <c r="S159" s="13">
        <v>197804354573</v>
      </c>
      <c r="T159" s="12" t="s">
        <v>915</v>
      </c>
      <c r="U159" s="12" t="s">
        <v>170</v>
      </c>
      <c r="V159" s="12" t="s">
        <v>916</v>
      </c>
      <c r="W159" s="12" t="s">
        <v>175</v>
      </c>
      <c r="X159" s="14"/>
      <c r="Y159" s="14"/>
      <c r="Z159" s="14"/>
      <c r="AA159" s="14"/>
      <c r="AB159" s="14"/>
      <c r="AC159" s="15">
        <v>15.95</v>
      </c>
      <c r="AD159" s="15">
        <f>AC159*AG159</f>
        <v>590.15</v>
      </c>
      <c r="AE159" s="15">
        <v>35</v>
      </c>
      <c r="AF159" s="15">
        <f>AE159*AG159</f>
        <v>1295</v>
      </c>
      <c r="AG159" s="16">
        <v>37</v>
      </c>
    </row>
    <row r="160" spans="1:33" ht="15" customHeight="1" x14ac:dyDescent="0.2">
      <c r="A160" s="11" t="str">
        <f>HYPERLINK("https://assets.vans.eu/images/VN000CQ6CJK-HERO/1","VN000CQ6CJK1")</f>
        <v>VN000CQ6CJK1</v>
      </c>
      <c r="B160" s="12" t="s">
        <v>917</v>
      </c>
      <c r="C160" s="12" t="s">
        <v>918</v>
      </c>
      <c r="D160" s="12" t="s">
        <v>919</v>
      </c>
      <c r="E160" s="12" t="s">
        <v>920</v>
      </c>
      <c r="F160" s="13">
        <v>85</v>
      </c>
      <c r="G160" s="12" t="s">
        <v>921</v>
      </c>
      <c r="H160" s="12" t="s">
        <v>38</v>
      </c>
      <c r="I160" s="12" t="s">
        <v>159</v>
      </c>
      <c r="J160" s="12" t="s">
        <v>160</v>
      </c>
      <c r="K160" s="12" t="s">
        <v>82</v>
      </c>
      <c r="L160" s="12" t="s">
        <v>42</v>
      </c>
      <c r="M160" s="12" t="s">
        <v>43</v>
      </c>
      <c r="N160" s="12" t="s">
        <v>44</v>
      </c>
      <c r="O160" s="12" t="s">
        <v>922</v>
      </c>
      <c r="P160" s="12" t="s">
        <v>46</v>
      </c>
      <c r="Q160" s="12" t="s">
        <v>47</v>
      </c>
      <c r="R160" s="12" t="s">
        <v>163</v>
      </c>
      <c r="S160" s="13">
        <v>197063286837</v>
      </c>
      <c r="T160" s="12" t="s">
        <v>164</v>
      </c>
      <c r="U160" s="13">
        <v>41</v>
      </c>
      <c r="V160" s="12" t="s">
        <v>209</v>
      </c>
      <c r="W160" s="12" t="s">
        <v>51</v>
      </c>
      <c r="X160" s="14"/>
      <c r="Y160" s="12" t="s">
        <v>91</v>
      </c>
      <c r="Z160" s="12" t="s">
        <v>165</v>
      </c>
      <c r="AA160" s="14"/>
      <c r="AB160" s="14"/>
      <c r="AC160" s="15">
        <v>34.1</v>
      </c>
      <c r="AD160" s="15">
        <f>AC160*AG160</f>
        <v>1261.7</v>
      </c>
      <c r="AE160" s="15">
        <v>75</v>
      </c>
      <c r="AF160" s="15">
        <f>AE160*AG160</f>
        <v>2775</v>
      </c>
      <c r="AG160" s="16">
        <v>37</v>
      </c>
    </row>
    <row r="161" spans="1:33" ht="15" customHeight="1" x14ac:dyDescent="0.2">
      <c r="A161" s="11" t="str">
        <f t="shared" ref="A161:A248" si="57">HYPERLINK("https://assets.vans.eu/images/VN000E9ZYF5-HERO/1","VN000E9ZYF51")</f>
        <v>VN000E9ZYF51</v>
      </c>
      <c r="B161" s="12" t="s">
        <v>923</v>
      </c>
      <c r="C161" s="12" t="s">
        <v>110</v>
      </c>
      <c r="D161" s="12" t="s">
        <v>924</v>
      </c>
      <c r="E161" s="12" t="s">
        <v>925</v>
      </c>
      <c r="F161" s="13">
        <v>70</v>
      </c>
      <c r="G161" s="14"/>
      <c r="H161" s="12" t="s">
        <v>38</v>
      </c>
      <c r="I161" s="12" t="s">
        <v>205</v>
      </c>
      <c r="J161" s="12" t="s">
        <v>206</v>
      </c>
      <c r="K161" s="12" t="s">
        <v>207</v>
      </c>
      <c r="L161" s="12" t="s">
        <v>260</v>
      </c>
      <c r="M161" s="12" t="s">
        <v>43</v>
      </c>
      <c r="N161" s="12" t="s">
        <v>84</v>
      </c>
      <c r="O161" s="12" t="s">
        <v>926</v>
      </c>
      <c r="P161" s="12" t="s">
        <v>46</v>
      </c>
      <c r="Q161" s="12" t="s">
        <v>47</v>
      </c>
      <c r="R161" s="12" t="s">
        <v>48</v>
      </c>
      <c r="S161" s="13">
        <v>197804867721</v>
      </c>
      <c r="T161" s="12" t="s">
        <v>105</v>
      </c>
      <c r="U161" s="13">
        <v>39</v>
      </c>
      <c r="V161" s="12" t="s">
        <v>50</v>
      </c>
      <c r="W161" s="12" t="s">
        <v>284</v>
      </c>
      <c r="X161" s="14"/>
      <c r="Y161" s="14"/>
      <c r="Z161" s="14"/>
      <c r="AA161" s="14"/>
      <c r="AB161" s="14"/>
      <c r="AC161" s="15">
        <v>34.1</v>
      </c>
      <c r="AD161" s="15">
        <f>AC161*AG161</f>
        <v>1261.7</v>
      </c>
      <c r="AE161" s="15">
        <v>75</v>
      </c>
      <c r="AF161" s="15">
        <f>AE161*AG161</f>
        <v>2775</v>
      </c>
      <c r="AG161" s="16">
        <v>37</v>
      </c>
    </row>
    <row r="162" spans="1:33" ht="15" customHeight="1" x14ac:dyDescent="0.2">
      <c r="A162" s="11" t="str">
        <f>HYPERLINK("https://assets.vans.eu/images/VN000ND652K-HERO/1","VN000ND652K1")</f>
        <v>VN000ND652K1</v>
      </c>
      <c r="B162" s="12" t="s">
        <v>927</v>
      </c>
      <c r="C162" s="12" t="s">
        <v>928</v>
      </c>
      <c r="D162" s="12" t="s">
        <v>929</v>
      </c>
      <c r="E162" s="12" t="s">
        <v>930</v>
      </c>
      <c r="F162" s="12" t="s">
        <v>78</v>
      </c>
      <c r="G162" s="14"/>
      <c r="H162" s="12" t="s">
        <v>79</v>
      </c>
      <c r="I162" s="12" t="s">
        <v>80</v>
      </c>
      <c r="J162" s="12" t="s">
        <v>99</v>
      </c>
      <c r="K162" s="12" t="s">
        <v>82</v>
      </c>
      <c r="L162" s="14"/>
      <c r="M162" s="12" t="s">
        <v>43</v>
      </c>
      <c r="N162" s="12" t="s">
        <v>44</v>
      </c>
      <c r="O162" s="12" t="s">
        <v>931</v>
      </c>
      <c r="P162" s="12" t="s">
        <v>86</v>
      </c>
      <c r="Q162" s="12" t="s">
        <v>716</v>
      </c>
      <c r="R162" s="12" t="s">
        <v>717</v>
      </c>
      <c r="S162" s="13">
        <v>197643467762</v>
      </c>
      <c r="T162" s="12" t="s">
        <v>143</v>
      </c>
      <c r="U162" s="12" t="s">
        <v>78</v>
      </c>
      <c r="V162" s="12" t="s">
        <v>932</v>
      </c>
      <c r="W162" s="12" t="s">
        <v>933</v>
      </c>
      <c r="X162" s="13">
        <v>0</v>
      </c>
      <c r="Y162" s="12" t="s">
        <v>91</v>
      </c>
      <c r="Z162" s="12" t="s">
        <v>108</v>
      </c>
      <c r="AA162" s="13">
        <v>0</v>
      </c>
      <c r="AB162" s="13">
        <v>0</v>
      </c>
      <c r="AC162" s="15">
        <v>12.75</v>
      </c>
      <c r="AD162" s="15">
        <f>AC162*AG162</f>
        <v>459</v>
      </c>
      <c r="AE162" s="15">
        <v>28</v>
      </c>
      <c r="AF162" s="15">
        <f>AE162*AG162</f>
        <v>1008</v>
      </c>
      <c r="AG162" s="16">
        <v>36</v>
      </c>
    </row>
    <row r="163" spans="1:33" ht="15" customHeight="1" x14ac:dyDescent="0.2">
      <c r="A163" s="11" t="str">
        <f t="shared" si="52"/>
        <v>VN000Q1TWHT1</v>
      </c>
      <c r="B163" s="12" t="s">
        <v>934</v>
      </c>
      <c r="C163" s="12" t="s">
        <v>585</v>
      </c>
      <c r="D163" s="12" t="s">
        <v>168</v>
      </c>
      <c r="E163" s="12" t="s">
        <v>935</v>
      </c>
      <c r="F163" s="12" t="s">
        <v>138</v>
      </c>
      <c r="G163" s="14"/>
      <c r="H163" s="12" t="s">
        <v>79</v>
      </c>
      <c r="I163" s="12" t="s">
        <v>125</v>
      </c>
      <c r="J163" s="12" t="s">
        <v>139</v>
      </c>
      <c r="K163" s="12" t="s">
        <v>41</v>
      </c>
      <c r="L163" s="14"/>
      <c r="M163" s="12" t="s">
        <v>43</v>
      </c>
      <c r="N163" s="12" t="s">
        <v>84</v>
      </c>
      <c r="O163" s="12" t="s">
        <v>936</v>
      </c>
      <c r="P163" s="12" t="s">
        <v>86</v>
      </c>
      <c r="Q163" s="12" t="s">
        <v>141</v>
      </c>
      <c r="R163" s="12" t="s">
        <v>142</v>
      </c>
      <c r="S163" s="13">
        <v>197804373970</v>
      </c>
      <c r="T163" s="12" t="s">
        <v>143</v>
      </c>
      <c r="U163" s="12" t="s">
        <v>138</v>
      </c>
      <c r="V163" s="12" t="s">
        <v>588</v>
      </c>
      <c r="W163" s="12" t="s">
        <v>175</v>
      </c>
      <c r="X163" s="14"/>
      <c r="Y163" s="14"/>
      <c r="Z163" s="14"/>
      <c r="AA163" s="14"/>
      <c r="AB163" s="14"/>
      <c r="AC163" s="15">
        <v>6.4</v>
      </c>
      <c r="AD163" s="15">
        <f>AC163*AG163</f>
        <v>230.4</v>
      </c>
      <c r="AE163" s="15">
        <v>14</v>
      </c>
      <c r="AF163" s="15">
        <f>AE163*AG163</f>
        <v>504</v>
      </c>
      <c r="AG163" s="16">
        <v>36</v>
      </c>
    </row>
    <row r="164" spans="1:33" ht="15" customHeight="1" x14ac:dyDescent="0.2">
      <c r="A164" s="11" t="str">
        <f t="shared" si="46"/>
        <v>VN000KXMY7U1</v>
      </c>
      <c r="B164" s="12" t="s">
        <v>937</v>
      </c>
      <c r="C164" s="12" t="s">
        <v>739</v>
      </c>
      <c r="D164" s="12" t="s">
        <v>740</v>
      </c>
      <c r="E164" s="12" t="s">
        <v>938</v>
      </c>
      <c r="F164" s="13">
        <v>28</v>
      </c>
      <c r="G164" s="14"/>
      <c r="H164" s="12" t="s">
        <v>61</v>
      </c>
      <c r="I164" s="12" t="s">
        <v>230</v>
      </c>
      <c r="J164" s="12" t="s">
        <v>231</v>
      </c>
      <c r="K164" s="12" t="s">
        <v>199</v>
      </c>
      <c r="L164" s="14"/>
      <c r="M164" s="12" t="s">
        <v>43</v>
      </c>
      <c r="N164" s="12" t="s">
        <v>84</v>
      </c>
      <c r="O164" s="12" t="s">
        <v>939</v>
      </c>
      <c r="P164" s="12" t="s">
        <v>66</v>
      </c>
      <c r="Q164" s="12" t="s">
        <v>233</v>
      </c>
      <c r="R164" s="12" t="s">
        <v>361</v>
      </c>
      <c r="S164" s="13">
        <v>197643404354</v>
      </c>
      <c r="T164" s="12" t="s">
        <v>235</v>
      </c>
      <c r="U164" s="13">
        <v>28</v>
      </c>
      <c r="V164" s="12" t="s">
        <v>665</v>
      </c>
      <c r="W164" s="12" t="s">
        <v>455</v>
      </c>
      <c r="X164" s="13">
        <v>0</v>
      </c>
      <c r="Y164" s="12" t="s">
        <v>91</v>
      </c>
      <c r="Z164" s="12" t="s">
        <v>108</v>
      </c>
      <c r="AA164" s="13">
        <v>0</v>
      </c>
      <c r="AB164" s="13">
        <v>0</v>
      </c>
      <c r="AC164" s="15">
        <v>34.1</v>
      </c>
      <c r="AD164" s="15">
        <f>AC164*AG164</f>
        <v>1227.6000000000001</v>
      </c>
      <c r="AE164" s="15">
        <v>75</v>
      </c>
      <c r="AF164" s="15">
        <f>AE164*AG164</f>
        <v>2700</v>
      </c>
      <c r="AG164" s="16">
        <v>36</v>
      </c>
    </row>
    <row r="165" spans="1:33" ht="15" customHeight="1" x14ac:dyDescent="0.2">
      <c r="A165" s="11" t="str">
        <f t="shared" si="38"/>
        <v>VN000CTG7VF1</v>
      </c>
      <c r="B165" s="12" t="s">
        <v>940</v>
      </c>
      <c r="C165" s="12" t="s">
        <v>238</v>
      </c>
      <c r="D165" s="12" t="s">
        <v>641</v>
      </c>
      <c r="E165" s="12" t="s">
        <v>941</v>
      </c>
      <c r="F165" s="13">
        <v>50</v>
      </c>
      <c r="G165" s="12" t="s">
        <v>643</v>
      </c>
      <c r="H165" s="12" t="s">
        <v>38</v>
      </c>
      <c r="I165" s="12" t="s">
        <v>242</v>
      </c>
      <c r="J165" s="12" t="s">
        <v>243</v>
      </c>
      <c r="K165" s="12" t="s">
        <v>244</v>
      </c>
      <c r="L165" s="14"/>
      <c r="M165" s="12" t="s">
        <v>43</v>
      </c>
      <c r="N165" s="12" t="s">
        <v>84</v>
      </c>
      <c r="O165" s="12" t="s">
        <v>942</v>
      </c>
      <c r="P165" s="12" t="s">
        <v>46</v>
      </c>
      <c r="Q165" s="12" t="s">
        <v>47</v>
      </c>
      <c r="R165" s="12" t="s">
        <v>48</v>
      </c>
      <c r="S165" s="13">
        <v>197804511600</v>
      </c>
      <c r="T165" s="12" t="s">
        <v>49</v>
      </c>
      <c r="U165" s="13">
        <v>21</v>
      </c>
      <c r="V165" s="12" t="s">
        <v>278</v>
      </c>
      <c r="W165" s="12" t="s">
        <v>455</v>
      </c>
      <c r="X165" s="14"/>
      <c r="Y165" s="14"/>
      <c r="Z165" s="14"/>
      <c r="AA165" s="14"/>
      <c r="AB165" s="14"/>
      <c r="AC165" s="15">
        <v>25</v>
      </c>
      <c r="AD165" s="15">
        <f>AC165*AG165</f>
        <v>900</v>
      </c>
      <c r="AE165" s="15">
        <v>55</v>
      </c>
      <c r="AF165" s="15">
        <f>AE165*AG165</f>
        <v>1980</v>
      </c>
      <c r="AG165" s="16">
        <v>36</v>
      </c>
    </row>
    <row r="166" spans="1:33" ht="15" customHeight="1" x14ac:dyDescent="0.2">
      <c r="A166" s="11" t="str">
        <f t="shared" ref="A166:A178" si="58">HYPERLINK("https://assets.vans.eu/images/VN000CVTWHP-HERO/1","VN000CVTWHP1")</f>
        <v>VN000CVTWHP1</v>
      </c>
      <c r="B166" s="12" t="s">
        <v>943</v>
      </c>
      <c r="C166" s="12" t="s">
        <v>944</v>
      </c>
      <c r="D166" s="12" t="s">
        <v>945</v>
      </c>
      <c r="E166" s="12" t="s">
        <v>946</v>
      </c>
      <c r="F166" s="13">
        <v>50</v>
      </c>
      <c r="G166" s="14"/>
      <c r="H166" s="12" t="s">
        <v>38</v>
      </c>
      <c r="I166" s="12" t="s">
        <v>113</v>
      </c>
      <c r="J166" s="12" t="s">
        <v>114</v>
      </c>
      <c r="K166" s="12" t="s">
        <v>82</v>
      </c>
      <c r="L166" s="14"/>
      <c r="M166" s="12" t="s">
        <v>43</v>
      </c>
      <c r="N166" s="12" t="s">
        <v>161</v>
      </c>
      <c r="O166" s="12" t="s">
        <v>947</v>
      </c>
      <c r="P166" s="12" t="s">
        <v>46</v>
      </c>
      <c r="Q166" s="12" t="s">
        <v>47</v>
      </c>
      <c r="R166" s="12" t="s">
        <v>948</v>
      </c>
      <c r="S166" s="13">
        <v>197065566555</v>
      </c>
      <c r="T166" s="12" t="s">
        <v>49</v>
      </c>
      <c r="U166" s="13">
        <v>36.5</v>
      </c>
      <c r="V166" s="12" t="s">
        <v>50</v>
      </c>
      <c r="W166" s="12" t="s">
        <v>175</v>
      </c>
      <c r="X166" s="14"/>
      <c r="Y166" s="12" t="s">
        <v>91</v>
      </c>
      <c r="Z166" s="12" t="s">
        <v>165</v>
      </c>
      <c r="AA166" s="14"/>
      <c r="AB166" s="14"/>
      <c r="AC166" s="15">
        <v>65.95</v>
      </c>
      <c r="AD166" s="15">
        <f>AC166*AG166</f>
        <v>2374.2000000000003</v>
      </c>
      <c r="AE166" s="15">
        <v>145</v>
      </c>
      <c r="AF166" s="15">
        <f>AE166*AG166</f>
        <v>5220</v>
      </c>
      <c r="AG166" s="16">
        <v>36</v>
      </c>
    </row>
    <row r="167" spans="1:33" ht="15" customHeight="1" x14ac:dyDescent="0.2">
      <c r="A167" s="11" t="str">
        <f>HYPERLINK("https://assets.vans.eu/images/VN000D7UTTN-HERO/1","VN000D7UTTN1")</f>
        <v>VN000D7UTTN1</v>
      </c>
      <c r="B167" s="12" t="s">
        <v>949</v>
      </c>
      <c r="C167" s="12" t="s">
        <v>950</v>
      </c>
      <c r="D167" s="12" t="s">
        <v>951</v>
      </c>
      <c r="E167" s="12" t="s">
        <v>952</v>
      </c>
      <c r="F167" s="13">
        <v>75</v>
      </c>
      <c r="G167" s="12" t="s">
        <v>953</v>
      </c>
      <c r="H167" s="12" t="s">
        <v>38</v>
      </c>
      <c r="I167" s="12" t="s">
        <v>113</v>
      </c>
      <c r="J167" s="12" t="s">
        <v>114</v>
      </c>
      <c r="K167" s="12" t="s">
        <v>100</v>
      </c>
      <c r="L167" s="12" t="s">
        <v>350</v>
      </c>
      <c r="M167" s="12" t="s">
        <v>43</v>
      </c>
      <c r="N167" s="12" t="s">
        <v>84</v>
      </c>
      <c r="O167" s="12" t="s">
        <v>954</v>
      </c>
      <c r="P167" s="12" t="s">
        <v>46</v>
      </c>
      <c r="Q167" s="12" t="s">
        <v>47</v>
      </c>
      <c r="R167" s="12" t="s">
        <v>117</v>
      </c>
      <c r="S167" s="13">
        <v>197643217923</v>
      </c>
      <c r="T167" s="12" t="s">
        <v>49</v>
      </c>
      <c r="U167" s="13">
        <v>38</v>
      </c>
      <c r="V167" s="12" t="s">
        <v>375</v>
      </c>
      <c r="W167" s="12" t="s">
        <v>284</v>
      </c>
      <c r="X167" s="14"/>
      <c r="Y167" s="12" t="s">
        <v>71</v>
      </c>
      <c r="Z167" s="12" t="s">
        <v>376</v>
      </c>
      <c r="AA167" s="14"/>
      <c r="AB167" s="14"/>
      <c r="AC167" s="15">
        <v>35.75</v>
      </c>
      <c r="AD167" s="15">
        <f>AC167*AG167</f>
        <v>1287</v>
      </c>
      <c r="AE167" s="15">
        <v>75</v>
      </c>
      <c r="AF167" s="15">
        <f>AE167*AG167</f>
        <v>2700</v>
      </c>
      <c r="AG167" s="16">
        <v>36</v>
      </c>
    </row>
    <row r="168" spans="1:33" ht="15" customHeight="1" x14ac:dyDescent="0.2">
      <c r="A168" s="11" t="str">
        <f t="shared" ref="A168:A697" si="59">HYPERLINK("https://assets.vans.eu/images/VN000E8JQPT-HERO/1","VN000E8JQPT1")</f>
        <v>VN000E8JQPT1</v>
      </c>
      <c r="B168" s="12" t="s">
        <v>955</v>
      </c>
      <c r="C168" s="12" t="s">
        <v>956</v>
      </c>
      <c r="D168" s="12" t="s">
        <v>957</v>
      </c>
      <c r="E168" s="12" t="s">
        <v>958</v>
      </c>
      <c r="F168" s="13">
        <v>100</v>
      </c>
      <c r="G168" s="14"/>
      <c r="H168" s="12" t="s">
        <v>38</v>
      </c>
      <c r="I168" s="12" t="s">
        <v>159</v>
      </c>
      <c r="J168" s="12" t="s">
        <v>341</v>
      </c>
      <c r="K168" s="12" t="s">
        <v>199</v>
      </c>
      <c r="L168" s="14"/>
      <c r="M168" s="12" t="s">
        <v>43</v>
      </c>
      <c r="N168" s="12" t="s">
        <v>84</v>
      </c>
      <c r="O168" s="12" t="s">
        <v>959</v>
      </c>
      <c r="P168" s="12" t="s">
        <v>46</v>
      </c>
      <c r="Q168" s="12" t="s">
        <v>47</v>
      </c>
      <c r="R168" s="12" t="s">
        <v>163</v>
      </c>
      <c r="S168" s="13">
        <v>197805952945</v>
      </c>
      <c r="T168" s="12" t="s">
        <v>49</v>
      </c>
      <c r="U168" s="13">
        <v>43</v>
      </c>
      <c r="V168" s="12" t="s">
        <v>50</v>
      </c>
      <c r="W168" s="12" t="s">
        <v>51</v>
      </c>
      <c r="X168" s="14"/>
      <c r="Y168" s="14"/>
      <c r="Z168" s="14"/>
      <c r="AA168" s="14"/>
      <c r="AB168" s="14"/>
      <c r="AC168" s="15">
        <v>45.5</v>
      </c>
      <c r="AD168" s="15">
        <f>AC168*AG168</f>
        <v>1638</v>
      </c>
      <c r="AE168" s="15">
        <v>100</v>
      </c>
      <c r="AF168" s="15">
        <f>AE168*AG168</f>
        <v>3600</v>
      </c>
      <c r="AG168" s="16">
        <v>36</v>
      </c>
    </row>
    <row r="169" spans="1:33" ht="15" customHeight="1" x14ac:dyDescent="0.2">
      <c r="A169" s="11" t="str">
        <f>HYPERLINK("https://assets.vans.eu/images/VN000QA5DDN-HERO/1","VN000QA5DDN1")</f>
        <v>VN000QA5DDN1</v>
      </c>
      <c r="B169" s="12" t="s">
        <v>960</v>
      </c>
      <c r="C169" s="12" t="s">
        <v>961</v>
      </c>
      <c r="D169" s="12" t="s">
        <v>962</v>
      </c>
      <c r="E169" s="12" t="s">
        <v>963</v>
      </c>
      <c r="F169" s="12" t="s">
        <v>78</v>
      </c>
      <c r="G169" s="14"/>
      <c r="H169" s="12" t="s">
        <v>79</v>
      </c>
      <c r="I169" s="12" t="s">
        <v>80</v>
      </c>
      <c r="J169" s="12" t="s">
        <v>349</v>
      </c>
      <c r="K169" s="12" t="s">
        <v>82</v>
      </c>
      <c r="L169" s="14"/>
      <c r="M169" s="12" t="s">
        <v>43</v>
      </c>
      <c r="N169" s="12" t="s">
        <v>84</v>
      </c>
      <c r="O169" s="12" t="s">
        <v>964</v>
      </c>
      <c r="P169" s="12" t="s">
        <v>86</v>
      </c>
      <c r="Q169" s="12" t="s">
        <v>128</v>
      </c>
      <c r="R169" s="12" t="s">
        <v>352</v>
      </c>
      <c r="S169" s="13">
        <v>197804374557</v>
      </c>
      <c r="T169" s="12" t="s">
        <v>143</v>
      </c>
      <c r="U169" s="12" t="s">
        <v>78</v>
      </c>
      <c r="V169" s="12" t="s">
        <v>965</v>
      </c>
      <c r="W169" s="12" t="s">
        <v>284</v>
      </c>
      <c r="X169" s="14"/>
      <c r="Y169" s="14"/>
      <c r="Z169" s="14"/>
      <c r="AA169" s="14"/>
      <c r="AB169" s="14"/>
      <c r="AC169" s="15">
        <v>14.55</v>
      </c>
      <c r="AD169" s="15">
        <f>AC169*AG169</f>
        <v>509.25</v>
      </c>
      <c r="AE169" s="15">
        <v>32</v>
      </c>
      <c r="AF169" s="15">
        <f>AE169*AG169</f>
        <v>1120</v>
      </c>
      <c r="AG169" s="16">
        <v>35</v>
      </c>
    </row>
    <row r="170" spans="1:33" ht="15" customHeight="1" x14ac:dyDescent="0.2">
      <c r="A170" s="11" t="str">
        <f t="shared" si="15"/>
        <v>VN000QBGWHT1</v>
      </c>
      <c r="B170" s="12" t="s">
        <v>966</v>
      </c>
      <c r="C170" s="12" t="s">
        <v>304</v>
      </c>
      <c r="D170" s="12" t="s">
        <v>168</v>
      </c>
      <c r="E170" s="12" t="s">
        <v>967</v>
      </c>
      <c r="F170" s="12" t="s">
        <v>403</v>
      </c>
      <c r="G170" s="14"/>
      <c r="H170" s="12" t="s">
        <v>79</v>
      </c>
      <c r="I170" s="12" t="s">
        <v>80</v>
      </c>
      <c r="J170" s="12" t="s">
        <v>171</v>
      </c>
      <c r="K170" s="12" t="s">
        <v>82</v>
      </c>
      <c r="L170" s="14"/>
      <c r="M170" s="12" t="s">
        <v>43</v>
      </c>
      <c r="N170" s="12" t="s">
        <v>84</v>
      </c>
      <c r="O170" s="12" t="s">
        <v>968</v>
      </c>
      <c r="P170" s="12" t="s">
        <v>86</v>
      </c>
      <c r="Q170" s="12" t="s">
        <v>141</v>
      </c>
      <c r="R170" s="12" t="s">
        <v>173</v>
      </c>
      <c r="S170" s="13">
        <v>197804394821</v>
      </c>
      <c r="T170" s="12" t="s">
        <v>143</v>
      </c>
      <c r="U170" s="12" t="s">
        <v>403</v>
      </c>
      <c r="V170" s="12" t="s">
        <v>307</v>
      </c>
      <c r="W170" s="12" t="s">
        <v>175</v>
      </c>
      <c r="X170" s="14"/>
      <c r="Y170" s="14"/>
      <c r="Z170" s="14"/>
      <c r="AA170" s="14"/>
      <c r="AB170" s="14"/>
      <c r="AC170" s="15">
        <v>7.3</v>
      </c>
      <c r="AD170" s="15">
        <f>AC170*AG170</f>
        <v>255.5</v>
      </c>
      <c r="AE170" s="15">
        <v>16</v>
      </c>
      <c r="AF170" s="15">
        <f>AE170*AG170</f>
        <v>560</v>
      </c>
      <c r="AG170" s="16">
        <v>35</v>
      </c>
    </row>
    <row r="171" spans="1:33" ht="15" customHeight="1" x14ac:dyDescent="0.2">
      <c r="A171" s="11" t="str">
        <f t="shared" ref="A171:A329" si="60">HYPERLINK("https://assets.vans.eu/images/VN000MJJCDX-HERO/1","VN000MJJCDX1")</f>
        <v>VN000MJJCDX1</v>
      </c>
      <c r="B171" s="12" t="s">
        <v>969</v>
      </c>
      <c r="C171" s="12" t="s">
        <v>970</v>
      </c>
      <c r="D171" s="12" t="s">
        <v>760</v>
      </c>
      <c r="E171" s="12" t="s">
        <v>971</v>
      </c>
      <c r="F171" s="13">
        <v>28</v>
      </c>
      <c r="G171" s="14"/>
      <c r="H171" s="12" t="s">
        <v>61</v>
      </c>
      <c r="I171" s="12" t="s">
        <v>62</v>
      </c>
      <c r="J171" s="12" t="s">
        <v>972</v>
      </c>
      <c r="K171" s="12" t="s">
        <v>64</v>
      </c>
      <c r="L171" s="14"/>
      <c r="M171" s="12" t="s">
        <v>43</v>
      </c>
      <c r="N171" s="12" t="s">
        <v>44</v>
      </c>
      <c r="O171" s="12" t="s">
        <v>973</v>
      </c>
      <c r="P171" s="12" t="s">
        <v>66</v>
      </c>
      <c r="Q171" s="12" t="s">
        <v>233</v>
      </c>
      <c r="R171" s="12" t="s">
        <v>974</v>
      </c>
      <c r="S171" s="13">
        <v>197643374787</v>
      </c>
      <c r="T171" s="12" t="s">
        <v>235</v>
      </c>
      <c r="U171" s="13">
        <v>28</v>
      </c>
      <c r="V171" s="12" t="s">
        <v>665</v>
      </c>
      <c r="W171" s="12" t="s">
        <v>284</v>
      </c>
      <c r="X171" s="13">
        <v>0</v>
      </c>
      <c r="Y171" s="12" t="s">
        <v>53</v>
      </c>
      <c r="Z171" s="12" t="s">
        <v>108</v>
      </c>
      <c r="AA171" s="13">
        <v>0</v>
      </c>
      <c r="AB171" s="13">
        <v>0</v>
      </c>
      <c r="AC171" s="15">
        <v>31.85</v>
      </c>
      <c r="AD171" s="15">
        <f>AC171*AG171</f>
        <v>1114.75</v>
      </c>
      <c r="AE171" s="15">
        <v>70</v>
      </c>
      <c r="AF171" s="15">
        <f>AE171*AG171</f>
        <v>2450</v>
      </c>
      <c r="AG171" s="16">
        <v>35</v>
      </c>
    </row>
    <row r="172" spans="1:33" ht="15" customHeight="1" x14ac:dyDescent="0.2">
      <c r="A172" s="11" t="str">
        <f t="shared" ref="A172:A313" si="61">HYPERLINK("https://assets.vans.eu/images/VN000PDREN7-HERO/1","VN000PDREN71")</f>
        <v>VN000PDREN71</v>
      </c>
      <c r="B172" s="12" t="s">
        <v>975</v>
      </c>
      <c r="C172" s="12" t="s">
        <v>976</v>
      </c>
      <c r="D172" s="12" t="s">
        <v>295</v>
      </c>
      <c r="E172" s="12" t="s">
        <v>977</v>
      </c>
      <c r="F172" s="12" t="s">
        <v>170</v>
      </c>
      <c r="G172" s="14"/>
      <c r="H172" s="12" t="s">
        <v>61</v>
      </c>
      <c r="I172" s="12" t="s">
        <v>230</v>
      </c>
      <c r="J172" s="12" t="s">
        <v>419</v>
      </c>
      <c r="K172" s="12" t="s">
        <v>199</v>
      </c>
      <c r="L172" s="14"/>
      <c r="M172" s="12" t="s">
        <v>43</v>
      </c>
      <c r="N172" s="12" t="s">
        <v>84</v>
      </c>
      <c r="O172" s="12" t="s">
        <v>978</v>
      </c>
      <c r="P172" s="12" t="s">
        <v>66</v>
      </c>
      <c r="Q172" s="12" t="s">
        <v>67</v>
      </c>
      <c r="R172" s="12" t="s">
        <v>421</v>
      </c>
      <c r="S172" s="13">
        <v>197804667000</v>
      </c>
      <c r="T172" s="12" t="s">
        <v>915</v>
      </c>
      <c r="U172" s="12" t="s">
        <v>170</v>
      </c>
      <c r="V172" s="12" t="s">
        <v>979</v>
      </c>
      <c r="W172" s="12" t="s">
        <v>299</v>
      </c>
      <c r="X172" s="14"/>
      <c r="Y172" s="14"/>
      <c r="Z172" s="14"/>
      <c r="AA172" s="14"/>
      <c r="AB172" s="14"/>
      <c r="AC172" s="15">
        <v>18.2</v>
      </c>
      <c r="AD172" s="15">
        <f>AC172*AG172</f>
        <v>637</v>
      </c>
      <c r="AE172" s="15">
        <v>40</v>
      </c>
      <c r="AF172" s="15">
        <f>AE172*AG172</f>
        <v>1400</v>
      </c>
      <c r="AG172" s="16">
        <v>35</v>
      </c>
    </row>
    <row r="173" spans="1:33" ht="15" customHeight="1" x14ac:dyDescent="0.2">
      <c r="A173" s="11" t="str">
        <f t="shared" ref="A173:A1176" si="62">HYPERLINK("https://assets.vans.eu/images/VN000PK2EN9-HERO/1","VN000PK2EN91")</f>
        <v>VN000PK2EN91</v>
      </c>
      <c r="B173" s="12" t="s">
        <v>980</v>
      </c>
      <c r="C173" s="12" t="s">
        <v>981</v>
      </c>
      <c r="D173" s="12" t="s">
        <v>982</v>
      </c>
      <c r="E173" s="12" t="s">
        <v>983</v>
      </c>
      <c r="F173" s="12" t="s">
        <v>138</v>
      </c>
      <c r="G173" s="14"/>
      <c r="H173" s="12" t="s">
        <v>61</v>
      </c>
      <c r="I173" s="12" t="s">
        <v>289</v>
      </c>
      <c r="J173" s="12" t="s">
        <v>984</v>
      </c>
      <c r="K173" s="12" t="s">
        <v>100</v>
      </c>
      <c r="L173" s="14"/>
      <c r="M173" s="12" t="s">
        <v>43</v>
      </c>
      <c r="N173" s="12" t="s">
        <v>84</v>
      </c>
      <c r="O173" s="12" t="s">
        <v>985</v>
      </c>
      <c r="P173" s="12" t="s">
        <v>66</v>
      </c>
      <c r="Q173" s="12" t="s">
        <v>764</v>
      </c>
      <c r="R173" s="12" t="s">
        <v>986</v>
      </c>
      <c r="S173" s="13">
        <v>197804361069</v>
      </c>
      <c r="T173" s="12" t="s">
        <v>235</v>
      </c>
      <c r="U173" s="12" t="s">
        <v>138</v>
      </c>
      <c r="V173" s="12" t="s">
        <v>90</v>
      </c>
      <c r="W173" s="12" t="s">
        <v>455</v>
      </c>
      <c r="X173" s="14"/>
      <c r="Y173" s="14"/>
      <c r="Z173" s="14"/>
      <c r="AA173" s="14"/>
      <c r="AB173" s="14"/>
      <c r="AC173" s="15">
        <v>61.4</v>
      </c>
      <c r="AD173" s="15">
        <f>AC173*AG173</f>
        <v>2149</v>
      </c>
      <c r="AE173" s="15">
        <v>135</v>
      </c>
      <c r="AF173" s="15">
        <f>AE173*AG173</f>
        <v>4725</v>
      </c>
      <c r="AG173" s="16">
        <v>35</v>
      </c>
    </row>
    <row r="174" spans="1:33" ht="15" customHeight="1" x14ac:dyDescent="0.2">
      <c r="A174" s="11" t="str">
        <f t="shared" ref="A174:A831" si="63">HYPERLINK("https://assets.vans.eu/images/VN0010J9WHT-HERO/1","VN0010J9WHT1")</f>
        <v>VN0010J9WHT1</v>
      </c>
      <c r="B174" s="12" t="s">
        <v>987</v>
      </c>
      <c r="C174" s="12" t="s">
        <v>988</v>
      </c>
      <c r="D174" s="12" t="s">
        <v>168</v>
      </c>
      <c r="E174" s="12" t="s">
        <v>989</v>
      </c>
      <c r="F174" s="12" t="s">
        <v>170</v>
      </c>
      <c r="G174" s="14"/>
      <c r="H174" s="12" t="s">
        <v>61</v>
      </c>
      <c r="I174" s="12" t="s">
        <v>230</v>
      </c>
      <c r="J174" s="12" t="s">
        <v>419</v>
      </c>
      <c r="K174" s="12" t="s">
        <v>199</v>
      </c>
      <c r="L174" s="12" t="s">
        <v>115</v>
      </c>
      <c r="M174" s="12" t="s">
        <v>43</v>
      </c>
      <c r="N174" s="12" t="s">
        <v>84</v>
      </c>
      <c r="O174" s="12" t="s">
        <v>990</v>
      </c>
      <c r="P174" s="12" t="s">
        <v>66</v>
      </c>
      <c r="Q174" s="12" t="s">
        <v>67</v>
      </c>
      <c r="R174" s="12" t="s">
        <v>421</v>
      </c>
      <c r="S174" s="13">
        <v>198269183791</v>
      </c>
      <c r="T174" s="12" t="s">
        <v>69</v>
      </c>
      <c r="U174" s="12" t="s">
        <v>170</v>
      </c>
      <c r="V174" s="12" t="s">
        <v>665</v>
      </c>
      <c r="W174" s="12" t="s">
        <v>175</v>
      </c>
      <c r="X174" s="14"/>
      <c r="Y174" s="14"/>
      <c r="Z174" s="14"/>
      <c r="AA174" s="14"/>
      <c r="AB174" s="14"/>
      <c r="AC174" s="15">
        <v>18.2</v>
      </c>
      <c r="AD174" s="15">
        <f>AC174*AG174</f>
        <v>637</v>
      </c>
      <c r="AE174" s="15">
        <v>40</v>
      </c>
      <c r="AF174" s="15">
        <f>AE174*AG174</f>
        <v>1400</v>
      </c>
      <c r="AG174" s="16">
        <v>35</v>
      </c>
    </row>
    <row r="175" spans="1:33" ht="15" customHeight="1" x14ac:dyDescent="0.2">
      <c r="A175" s="11" t="str">
        <f t="shared" ref="A175:A2385" si="64">HYPERLINK("https://assets.vans.eu/images/VN0A5FJX1O7-HERO/1","VN0A5FJX1O71")</f>
        <v>VN0A5FJX1O71</v>
      </c>
      <c r="B175" s="12" t="s">
        <v>991</v>
      </c>
      <c r="C175" s="12" t="s">
        <v>228</v>
      </c>
      <c r="D175" s="12" t="s">
        <v>637</v>
      </c>
      <c r="E175" s="12" t="s">
        <v>992</v>
      </c>
      <c r="F175" s="13">
        <v>28</v>
      </c>
      <c r="G175" s="14"/>
      <c r="H175" s="12" t="s">
        <v>61</v>
      </c>
      <c r="I175" s="12" t="s">
        <v>230</v>
      </c>
      <c r="J175" s="12" t="s">
        <v>231</v>
      </c>
      <c r="K175" s="12" t="s">
        <v>199</v>
      </c>
      <c r="L175" s="14"/>
      <c r="M175" s="12" t="s">
        <v>43</v>
      </c>
      <c r="N175" s="12" t="s">
        <v>44</v>
      </c>
      <c r="O175" s="12" t="s">
        <v>993</v>
      </c>
      <c r="P175" s="12" t="s">
        <v>66</v>
      </c>
      <c r="Q175" s="12" t="s">
        <v>233</v>
      </c>
      <c r="R175" s="12" t="s">
        <v>234</v>
      </c>
      <c r="S175" s="13">
        <v>196014149962</v>
      </c>
      <c r="T175" s="12" t="s">
        <v>235</v>
      </c>
      <c r="U175" s="13">
        <v>28</v>
      </c>
      <c r="V175" s="12" t="s">
        <v>994</v>
      </c>
      <c r="W175" s="12" t="s">
        <v>455</v>
      </c>
      <c r="X175" s="13">
        <v>0</v>
      </c>
      <c r="Y175" s="12" t="s">
        <v>91</v>
      </c>
      <c r="Z175" s="12" t="s">
        <v>108</v>
      </c>
      <c r="AA175" s="13">
        <v>0</v>
      </c>
      <c r="AB175" s="13">
        <v>0</v>
      </c>
      <c r="AC175" s="15">
        <v>27.3</v>
      </c>
      <c r="AD175" s="15">
        <f>AC175*AG175</f>
        <v>955.5</v>
      </c>
      <c r="AE175" s="15">
        <v>60</v>
      </c>
      <c r="AF175" s="15">
        <f>AE175*AG175</f>
        <v>2100</v>
      </c>
      <c r="AG175" s="16">
        <v>35</v>
      </c>
    </row>
    <row r="176" spans="1:33" ht="15" customHeight="1" x14ac:dyDescent="0.2">
      <c r="A176" s="11" t="str">
        <f t="shared" ref="A176:A214" si="65">HYPERLINK("https://assets.vans.eu/images/VN0A5FCBB9M-HERO/1","VN0A5FCBB9M1")</f>
        <v>VN0A5FCBB9M1</v>
      </c>
      <c r="B176" s="12" t="s">
        <v>995</v>
      </c>
      <c r="C176" s="12" t="s">
        <v>996</v>
      </c>
      <c r="D176" s="12" t="s">
        <v>339</v>
      </c>
      <c r="E176" s="12" t="s">
        <v>997</v>
      </c>
      <c r="F176" s="13">
        <v>40</v>
      </c>
      <c r="G176" s="14"/>
      <c r="H176" s="12" t="s">
        <v>38</v>
      </c>
      <c r="I176" s="12" t="s">
        <v>159</v>
      </c>
      <c r="J176" s="12" t="s">
        <v>341</v>
      </c>
      <c r="K176" s="12" t="s">
        <v>199</v>
      </c>
      <c r="L176" s="14"/>
      <c r="M176" s="12" t="s">
        <v>43</v>
      </c>
      <c r="N176" s="12" t="s">
        <v>84</v>
      </c>
      <c r="O176" s="12" t="s">
        <v>998</v>
      </c>
      <c r="P176" s="12" t="s">
        <v>46</v>
      </c>
      <c r="Q176" s="12" t="s">
        <v>47</v>
      </c>
      <c r="R176" s="12" t="s">
        <v>163</v>
      </c>
      <c r="S176" s="13">
        <v>194905588401</v>
      </c>
      <c r="T176" s="12" t="s">
        <v>49</v>
      </c>
      <c r="U176" s="13">
        <v>35</v>
      </c>
      <c r="V176" s="12" t="s">
        <v>50</v>
      </c>
      <c r="W176" s="12" t="s">
        <v>51</v>
      </c>
      <c r="X176" s="14"/>
      <c r="Y176" s="12" t="s">
        <v>91</v>
      </c>
      <c r="Z176" s="12" t="s">
        <v>344</v>
      </c>
      <c r="AA176" s="14"/>
      <c r="AB176" s="14"/>
      <c r="AC176" s="15">
        <v>38.65</v>
      </c>
      <c r="AD176" s="15">
        <f>AC176*AG176</f>
        <v>1352.75</v>
      </c>
      <c r="AE176" s="15">
        <v>85</v>
      </c>
      <c r="AF176" s="15">
        <f>AE176*AG176</f>
        <v>2975</v>
      </c>
      <c r="AG176" s="16">
        <v>35</v>
      </c>
    </row>
    <row r="177" spans="1:33" ht="15" customHeight="1" x14ac:dyDescent="0.2">
      <c r="A177" s="11" t="str">
        <f>HYPERLINK("https://assets.vans.eu/images/VN0001TTBLK-HERO/1","VN0001TTBLK1")</f>
        <v>VN0001TTBLK1</v>
      </c>
      <c r="B177" s="12" t="s">
        <v>999</v>
      </c>
      <c r="C177" s="12" t="s">
        <v>535</v>
      </c>
      <c r="D177" s="12" t="s">
        <v>76</v>
      </c>
      <c r="E177" s="12" t="s">
        <v>1000</v>
      </c>
      <c r="F177" s="12" t="s">
        <v>78</v>
      </c>
      <c r="G177" s="14"/>
      <c r="H177" s="12" t="s">
        <v>79</v>
      </c>
      <c r="I177" s="12" t="s">
        <v>80</v>
      </c>
      <c r="J177" s="12" t="s">
        <v>81</v>
      </c>
      <c r="K177" s="12" t="s">
        <v>199</v>
      </c>
      <c r="L177" s="14"/>
      <c r="M177" s="12" t="s">
        <v>43</v>
      </c>
      <c r="N177" s="12" t="s">
        <v>84</v>
      </c>
      <c r="O177" s="12" t="s">
        <v>1001</v>
      </c>
      <c r="P177" s="12" t="s">
        <v>86</v>
      </c>
      <c r="Q177" s="12" t="s">
        <v>87</v>
      </c>
      <c r="R177" s="12" t="s">
        <v>88</v>
      </c>
      <c r="S177" s="13">
        <v>888655197296</v>
      </c>
      <c r="T177" s="12" t="s">
        <v>89</v>
      </c>
      <c r="U177" s="12" t="s">
        <v>78</v>
      </c>
      <c r="V177" s="12" t="s">
        <v>201</v>
      </c>
      <c r="W177" s="12" t="s">
        <v>51</v>
      </c>
      <c r="X177" s="13">
        <v>0</v>
      </c>
      <c r="Y177" s="12" t="s">
        <v>71</v>
      </c>
      <c r="Z177" s="12" t="s">
        <v>108</v>
      </c>
      <c r="AA177" s="13">
        <v>0</v>
      </c>
      <c r="AB177" s="13">
        <v>0</v>
      </c>
      <c r="AC177" s="15">
        <v>3.65</v>
      </c>
      <c r="AD177" s="15">
        <f>AC177*AG177</f>
        <v>124.1</v>
      </c>
      <c r="AE177" s="15">
        <v>8</v>
      </c>
      <c r="AF177" s="15">
        <f>AE177*AG177</f>
        <v>272</v>
      </c>
      <c r="AG177" s="16">
        <v>34</v>
      </c>
    </row>
    <row r="178" spans="1:33" ht="15" customHeight="1" x14ac:dyDescent="0.2">
      <c r="A178" s="11" t="str">
        <f t="shared" si="58"/>
        <v>VN000CVTWHP1</v>
      </c>
      <c r="B178" s="12" t="s">
        <v>1002</v>
      </c>
      <c r="C178" s="12" t="s">
        <v>944</v>
      </c>
      <c r="D178" s="12" t="s">
        <v>945</v>
      </c>
      <c r="E178" s="12" t="s">
        <v>1003</v>
      </c>
      <c r="F178" s="13">
        <v>40</v>
      </c>
      <c r="G178" s="14"/>
      <c r="H178" s="12" t="s">
        <v>38</v>
      </c>
      <c r="I178" s="12" t="s">
        <v>113</v>
      </c>
      <c r="J178" s="12" t="s">
        <v>114</v>
      </c>
      <c r="K178" s="12" t="s">
        <v>82</v>
      </c>
      <c r="L178" s="14"/>
      <c r="M178" s="12" t="s">
        <v>43</v>
      </c>
      <c r="N178" s="12" t="s">
        <v>161</v>
      </c>
      <c r="O178" s="12" t="s">
        <v>1004</v>
      </c>
      <c r="P178" s="12" t="s">
        <v>46</v>
      </c>
      <c r="Q178" s="12" t="s">
        <v>47</v>
      </c>
      <c r="R178" s="12" t="s">
        <v>948</v>
      </c>
      <c r="S178" s="13">
        <v>197065566289</v>
      </c>
      <c r="T178" s="12" t="s">
        <v>49</v>
      </c>
      <c r="U178" s="13">
        <v>35</v>
      </c>
      <c r="V178" s="12" t="s">
        <v>50</v>
      </c>
      <c r="W178" s="12" t="s">
        <v>175</v>
      </c>
      <c r="X178" s="14"/>
      <c r="Y178" s="12" t="s">
        <v>91</v>
      </c>
      <c r="Z178" s="12" t="s">
        <v>165</v>
      </c>
      <c r="AA178" s="14"/>
      <c r="AB178" s="14"/>
      <c r="AC178" s="15">
        <v>65.95</v>
      </c>
      <c r="AD178" s="15">
        <f>AC178*AG178</f>
        <v>2242.3000000000002</v>
      </c>
      <c r="AE178" s="15">
        <v>145</v>
      </c>
      <c r="AF178" s="15">
        <f>AE178*AG178</f>
        <v>4930</v>
      </c>
      <c r="AG178" s="16">
        <v>34</v>
      </c>
    </row>
    <row r="179" spans="1:33" ht="15" customHeight="1" x14ac:dyDescent="0.2">
      <c r="A179" s="11" t="str">
        <f t="shared" ref="A179:A1258" si="66">HYPERLINK("https://assets.vans.eu/images/VN000D5VN43-HERO/1","VN000D5VN431")</f>
        <v>VN000D5VN431</v>
      </c>
      <c r="B179" s="12" t="s">
        <v>1005</v>
      </c>
      <c r="C179" s="12" t="s">
        <v>1006</v>
      </c>
      <c r="D179" s="12" t="s">
        <v>1007</v>
      </c>
      <c r="E179" s="12" t="s">
        <v>1008</v>
      </c>
      <c r="F179" s="13">
        <v>40</v>
      </c>
      <c r="G179" s="14"/>
      <c r="H179" s="12" t="s">
        <v>38</v>
      </c>
      <c r="I179" s="12" t="s">
        <v>159</v>
      </c>
      <c r="J179" s="12" t="s">
        <v>255</v>
      </c>
      <c r="K179" s="12" t="s">
        <v>82</v>
      </c>
      <c r="L179" s="14"/>
      <c r="M179" s="12" t="s">
        <v>43</v>
      </c>
      <c r="N179" s="12" t="s">
        <v>44</v>
      </c>
      <c r="O179" s="12" t="s">
        <v>1009</v>
      </c>
      <c r="P179" s="12" t="s">
        <v>46</v>
      </c>
      <c r="Q179" s="12" t="s">
        <v>47</v>
      </c>
      <c r="R179" s="12" t="s">
        <v>163</v>
      </c>
      <c r="S179" s="13">
        <v>197643280828</v>
      </c>
      <c r="T179" s="12" t="s">
        <v>49</v>
      </c>
      <c r="U179" s="13">
        <v>35</v>
      </c>
      <c r="V179" s="12" t="s">
        <v>50</v>
      </c>
      <c r="W179" s="12" t="s">
        <v>455</v>
      </c>
      <c r="X179" s="12" t="s">
        <v>1010</v>
      </c>
      <c r="Y179" s="12" t="s">
        <v>1011</v>
      </c>
      <c r="Z179" s="12" t="s">
        <v>165</v>
      </c>
      <c r="AA179" s="14"/>
      <c r="AB179" s="14"/>
      <c r="AC179" s="15">
        <v>70.5</v>
      </c>
      <c r="AD179" s="15">
        <f>AC179*AG179</f>
        <v>2397</v>
      </c>
      <c r="AE179" s="15">
        <v>155</v>
      </c>
      <c r="AF179" s="15">
        <f>AE179*AG179</f>
        <v>5270</v>
      </c>
      <c r="AG179" s="16">
        <v>34</v>
      </c>
    </row>
    <row r="180" spans="1:33" ht="15" customHeight="1" x14ac:dyDescent="0.2">
      <c r="A180" s="11" t="str">
        <f t="shared" si="57"/>
        <v>VN000E9ZYF51</v>
      </c>
      <c r="B180" s="12" t="s">
        <v>1012</v>
      </c>
      <c r="C180" s="12" t="s">
        <v>110</v>
      </c>
      <c r="D180" s="12" t="s">
        <v>924</v>
      </c>
      <c r="E180" s="12" t="s">
        <v>1013</v>
      </c>
      <c r="F180" s="13">
        <v>60</v>
      </c>
      <c r="G180" s="14"/>
      <c r="H180" s="12" t="s">
        <v>38</v>
      </c>
      <c r="I180" s="12" t="s">
        <v>205</v>
      </c>
      <c r="J180" s="12" t="s">
        <v>206</v>
      </c>
      <c r="K180" s="12" t="s">
        <v>207</v>
      </c>
      <c r="L180" s="12" t="s">
        <v>260</v>
      </c>
      <c r="M180" s="12" t="s">
        <v>43</v>
      </c>
      <c r="N180" s="12" t="s">
        <v>84</v>
      </c>
      <c r="O180" s="12" t="s">
        <v>1014</v>
      </c>
      <c r="P180" s="12" t="s">
        <v>46</v>
      </c>
      <c r="Q180" s="12" t="s">
        <v>47</v>
      </c>
      <c r="R180" s="12" t="s">
        <v>48</v>
      </c>
      <c r="S180" s="13">
        <v>197804867509</v>
      </c>
      <c r="T180" s="12" t="s">
        <v>105</v>
      </c>
      <c r="U180" s="13">
        <v>38</v>
      </c>
      <c r="V180" s="12" t="s">
        <v>50</v>
      </c>
      <c r="W180" s="12" t="s">
        <v>284</v>
      </c>
      <c r="X180" s="14"/>
      <c r="Y180" s="14"/>
      <c r="Z180" s="14"/>
      <c r="AA180" s="14"/>
      <c r="AB180" s="14"/>
      <c r="AC180" s="15">
        <v>34.1</v>
      </c>
      <c r="AD180" s="15">
        <f>AC180*AG180</f>
        <v>1159.4000000000001</v>
      </c>
      <c r="AE180" s="15">
        <v>75</v>
      </c>
      <c r="AF180" s="15">
        <f>AE180*AG180</f>
        <v>2550</v>
      </c>
      <c r="AG180" s="16">
        <v>34</v>
      </c>
    </row>
    <row r="181" spans="1:33" ht="15" customHeight="1" x14ac:dyDescent="0.2">
      <c r="A181" s="11" t="str">
        <f t="shared" ref="A181:A1096" si="67">HYPERLINK("https://assets.vans.eu/images/VN0A4U1KWHT-HERO/1","VN0A4U1KWHT1")</f>
        <v>VN0A4U1KWHT1</v>
      </c>
      <c r="B181" s="12" t="s">
        <v>1015</v>
      </c>
      <c r="C181" s="12" t="s">
        <v>1016</v>
      </c>
      <c r="D181" s="12" t="s">
        <v>168</v>
      </c>
      <c r="E181" s="12" t="s">
        <v>1017</v>
      </c>
      <c r="F181" s="13">
        <v>40</v>
      </c>
      <c r="G181" s="14"/>
      <c r="H181" s="12" t="s">
        <v>38</v>
      </c>
      <c r="I181" s="12" t="s">
        <v>159</v>
      </c>
      <c r="J181" s="12" t="s">
        <v>255</v>
      </c>
      <c r="K181" s="12" t="s">
        <v>82</v>
      </c>
      <c r="L181" s="14"/>
      <c r="M181" s="12" t="s">
        <v>43</v>
      </c>
      <c r="N181" s="12" t="s">
        <v>161</v>
      </c>
      <c r="O181" s="12" t="s">
        <v>1018</v>
      </c>
      <c r="P181" s="12" t="s">
        <v>46</v>
      </c>
      <c r="Q181" s="12" t="s">
        <v>47</v>
      </c>
      <c r="R181" s="12" t="s">
        <v>163</v>
      </c>
      <c r="S181" s="13">
        <v>194115436387</v>
      </c>
      <c r="T181" s="12" t="s">
        <v>105</v>
      </c>
      <c r="U181" s="13">
        <v>35</v>
      </c>
      <c r="V181" s="12" t="s">
        <v>278</v>
      </c>
      <c r="W181" s="12" t="s">
        <v>175</v>
      </c>
      <c r="X181" s="14"/>
      <c r="Y181" s="12" t="s">
        <v>91</v>
      </c>
      <c r="Z181" s="12" t="s">
        <v>165</v>
      </c>
      <c r="AA181" s="14"/>
      <c r="AB181" s="14"/>
      <c r="AC181" s="15">
        <v>52.3</v>
      </c>
      <c r="AD181" s="15">
        <f>AC181*AG181</f>
        <v>1778.1999999999998</v>
      </c>
      <c r="AE181" s="15">
        <v>115</v>
      </c>
      <c r="AF181" s="15">
        <f>AE181*AG181</f>
        <v>3910</v>
      </c>
      <c r="AG181" s="16">
        <v>34</v>
      </c>
    </row>
    <row r="182" spans="1:33" ht="15" customHeight="1" x14ac:dyDescent="0.2">
      <c r="A182" s="11" t="str">
        <f t="shared" ref="A182:A438" si="68">HYPERLINK("https://assets.vans.eu/images/VN000MEPJDU-HERO/1","VN000MEPJDU1")</f>
        <v>VN000MEPJDU1</v>
      </c>
      <c r="B182" s="12" t="s">
        <v>1019</v>
      </c>
      <c r="C182" s="12" t="s">
        <v>1020</v>
      </c>
      <c r="D182" s="12" t="s">
        <v>814</v>
      </c>
      <c r="E182" s="12" t="s">
        <v>1021</v>
      </c>
      <c r="F182" s="13">
        <v>12</v>
      </c>
      <c r="G182" s="14"/>
      <c r="H182" s="12" t="s">
        <v>61</v>
      </c>
      <c r="I182" s="12" t="s">
        <v>62</v>
      </c>
      <c r="J182" s="12" t="s">
        <v>972</v>
      </c>
      <c r="K182" s="12" t="s">
        <v>1022</v>
      </c>
      <c r="L182" s="14"/>
      <c r="M182" s="12" t="s">
        <v>43</v>
      </c>
      <c r="N182" s="12" t="s">
        <v>44</v>
      </c>
      <c r="O182" s="12" t="s">
        <v>1023</v>
      </c>
      <c r="P182" s="12" t="s">
        <v>66</v>
      </c>
      <c r="Q182" s="12" t="s">
        <v>233</v>
      </c>
      <c r="R182" s="12" t="s">
        <v>1024</v>
      </c>
      <c r="S182" s="13">
        <v>197643372394</v>
      </c>
      <c r="T182" s="12" t="s">
        <v>235</v>
      </c>
      <c r="U182" s="13">
        <v>12</v>
      </c>
      <c r="V182" s="12" t="s">
        <v>665</v>
      </c>
      <c r="W182" s="12" t="s">
        <v>284</v>
      </c>
      <c r="X182" s="13">
        <v>0</v>
      </c>
      <c r="Y182" s="12" t="s">
        <v>91</v>
      </c>
      <c r="Z182" s="12" t="s">
        <v>108</v>
      </c>
      <c r="AA182" s="13">
        <v>0</v>
      </c>
      <c r="AB182" s="13">
        <v>0</v>
      </c>
      <c r="AC182" s="15">
        <v>20.5</v>
      </c>
      <c r="AD182" s="15">
        <f>AC182*AG182</f>
        <v>676.5</v>
      </c>
      <c r="AE182" s="15">
        <v>45</v>
      </c>
      <c r="AF182" s="15">
        <f>AE182*AG182</f>
        <v>1485</v>
      </c>
      <c r="AG182" s="16">
        <v>33</v>
      </c>
    </row>
    <row r="183" spans="1:33" ht="15" customHeight="1" x14ac:dyDescent="0.2">
      <c r="A183" s="11" t="str">
        <f t="shared" ref="A183:A1029" si="69">HYPERLINK("https://assets.vans.eu/images/VN000PXSWHT-HERO/1","VN000PXSWHT1")</f>
        <v>VN000PXSWHT1</v>
      </c>
      <c r="B183" s="12" t="s">
        <v>1025</v>
      </c>
      <c r="C183" s="12" t="s">
        <v>976</v>
      </c>
      <c r="D183" s="12" t="s">
        <v>168</v>
      </c>
      <c r="E183" s="12" t="s">
        <v>1026</v>
      </c>
      <c r="F183" s="12" t="s">
        <v>60</v>
      </c>
      <c r="G183" s="14"/>
      <c r="H183" s="12" t="s">
        <v>61</v>
      </c>
      <c r="I183" s="12" t="s">
        <v>62</v>
      </c>
      <c r="J183" s="12" t="s">
        <v>63</v>
      </c>
      <c r="K183" s="12" t="s">
        <v>64</v>
      </c>
      <c r="L183" s="14"/>
      <c r="M183" s="12" t="s">
        <v>43</v>
      </c>
      <c r="N183" s="12" t="s">
        <v>84</v>
      </c>
      <c r="O183" s="12" t="s">
        <v>1027</v>
      </c>
      <c r="P183" s="12" t="s">
        <v>66</v>
      </c>
      <c r="Q183" s="12" t="s">
        <v>67</v>
      </c>
      <c r="R183" s="12" t="s">
        <v>68</v>
      </c>
      <c r="S183" s="13">
        <v>197804365968</v>
      </c>
      <c r="T183" s="12" t="s">
        <v>915</v>
      </c>
      <c r="U183" s="12" t="s">
        <v>60</v>
      </c>
      <c r="V183" s="12" t="s">
        <v>1028</v>
      </c>
      <c r="W183" s="12" t="s">
        <v>175</v>
      </c>
      <c r="X183" s="14"/>
      <c r="Y183" s="14"/>
      <c r="Z183" s="14"/>
      <c r="AA183" s="14"/>
      <c r="AB183" s="14"/>
      <c r="AC183" s="15">
        <v>13.65</v>
      </c>
      <c r="AD183" s="15">
        <f>AC183*AG183</f>
        <v>450.45</v>
      </c>
      <c r="AE183" s="15">
        <v>30</v>
      </c>
      <c r="AF183" s="15">
        <f>AE183*AG183</f>
        <v>990</v>
      </c>
      <c r="AG183" s="16">
        <v>33</v>
      </c>
    </row>
    <row r="184" spans="1:33" ht="15" customHeight="1" x14ac:dyDescent="0.2">
      <c r="A184" s="11" t="str">
        <f>HYPERLINK("https://assets.vans.eu/images/VN000D22BH7-HERO/1","VN000D22BH71")</f>
        <v>VN000D22BH71</v>
      </c>
      <c r="B184" s="12" t="s">
        <v>1029</v>
      </c>
      <c r="C184" s="12" t="s">
        <v>110</v>
      </c>
      <c r="D184" s="12" t="s">
        <v>1030</v>
      </c>
      <c r="E184" s="12" t="s">
        <v>1031</v>
      </c>
      <c r="F184" s="13">
        <v>40</v>
      </c>
      <c r="G184" s="12" t="s">
        <v>630</v>
      </c>
      <c r="H184" s="12" t="s">
        <v>38</v>
      </c>
      <c r="I184" s="12" t="s">
        <v>159</v>
      </c>
      <c r="J184" s="12" t="s">
        <v>160</v>
      </c>
      <c r="K184" s="12" t="s">
        <v>82</v>
      </c>
      <c r="L184" s="14"/>
      <c r="M184" s="12" t="s">
        <v>43</v>
      </c>
      <c r="N184" s="12" t="s">
        <v>161</v>
      </c>
      <c r="O184" s="12" t="s">
        <v>1032</v>
      </c>
      <c r="P184" s="12" t="s">
        <v>46</v>
      </c>
      <c r="Q184" s="12" t="s">
        <v>47</v>
      </c>
      <c r="R184" s="12" t="s">
        <v>163</v>
      </c>
      <c r="S184" s="13">
        <v>197065608910</v>
      </c>
      <c r="T184" s="12" t="s">
        <v>49</v>
      </c>
      <c r="U184" s="13">
        <v>35</v>
      </c>
      <c r="V184" s="12" t="s">
        <v>50</v>
      </c>
      <c r="W184" s="12" t="s">
        <v>455</v>
      </c>
      <c r="X184" s="14"/>
      <c r="Y184" s="12" t="s">
        <v>91</v>
      </c>
      <c r="Z184" s="12" t="s">
        <v>165</v>
      </c>
      <c r="AA184" s="14"/>
      <c r="AB184" s="14"/>
      <c r="AC184" s="15">
        <v>43.2</v>
      </c>
      <c r="AD184" s="15">
        <f>AC184*AG184</f>
        <v>1425.6000000000001</v>
      </c>
      <c r="AE184" s="15">
        <v>95</v>
      </c>
      <c r="AF184" s="15">
        <f>AE184*AG184</f>
        <v>3135</v>
      </c>
      <c r="AG184" s="16">
        <v>33</v>
      </c>
    </row>
    <row r="185" spans="1:33" ht="15" customHeight="1" x14ac:dyDescent="0.2">
      <c r="A185" s="11" t="str">
        <f t="shared" si="1"/>
        <v>VN000E9XIVG1</v>
      </c>
      <c r="B185" s="12" t="s">
        <v>1033</v>
      </c>
      <c r="C185" s="12" t="s">
        <v>110</v>
      </c>
      <c r="D185" s="12" t="s">
        <v>111</v>
      </c>
      <c r="E185" s="12" t="s">
        <v>1034</v>
      </c>
      <c r="F185" s="13">
        <v>45</v>
      </c>
      <c r="G185" s="14"/>
      <c r="H185" s="12" t="s">
        <v>38</v>
      </c>
      <c r="I185" s="12" t="s">
        <v>113</v>
      </c>
      <c r="J185" s="12" t="s">
        <v>114</v>
      </c>
      <c r="K185" s="12" t="s">
        <v>82</v>
      </c>
      <c r="L185" s="12" t="s">
        <v>115</v>
      </c>
      <c r="M185" s="12" t="s">
        <v>43</v>
      </c>
      <c r="N185" s="12" t="s">
        <v>44</v>
      </c>
      <c r="O185" s="12" t="s">
        <v>1035</v>
      </c>
      <c r="P185" s="12" t="s">
        <v>46</v>
      </c>
      <c r="Q185" s="12" t="s">
        <v>47</v>
      </c>
      <c r="R185" s="12" t="s">
        <v>117</v>
      </c>
      <c r="S185" s="13">
        <v>197804948161</v>
      </c>
      <c r="T185" s="12" t="s">
        <v>105</v>
      </c>
      <c r="U185" s="13">
        <v>36</v>
      </c>
      <c r="V185" s="12" t="s">
        <v>50</v>
      </c>
      <c r="W185" s="12" t="s">
        <v>118</v>
      </c>
      <c r="X185" s="12" t="s">
        <v>119</v>
      </c>
      <c r="Y185" s="12" t="s">
        <v>53</v>
      </c>
      <c r="Z185" s="12" t="s">
        <v>120</v>
      </c>
      <c r="AA185" s="12" t="s">
        <v>73</v>
      </c>
      <c r="AB185" s="12" t="s">
        <v>94</v>
      </c>
      <c r="AC185" s="15">
        <v>43.2</v>
      </c>
      <c r="AD185" s="15">
        <f>AC185*AG185</f>
        <v>1425.6000000000001</v>
      </c>
      <c r="AE185" s="15">
        <v>95</v>
      </c>
      <c r="AF185" s="15">
        <f>AE185*AG185</f>
        <v>3135</v>
      </c>
      <c r="AG185" s="16">
        <v>33</v>
      </c>
    </row>
    <row r="186" spans="1:33" ht="15" customHeight="1" x14ac:dyDescent="0.2">
      <c r="A186" s="11" t="str">
        <f t="shared" si="5"/>
        <v>VN000R10WHT1</v>
      </c>
      <c r="B186" s="12" t="s">
        <v>1036</v>
      </c>
      <c r="C186" s="12" t="s">
        <v>167</v>
      </c>
      <c r="D186" s="12" t="s">
        <v>168</v>
      </c>
      <c r="E186" s="12" t="s">
        <v>1037</v>
      </c>
      <c r="F186" s="12" t="s">
        <v>403</v>
      </c>
      <c r="G186" s="14"/>
      <c r="H186" s="12" t="s">
        <v>79</v>
      </c>
      <c r="I186" s="12" t="s">
        <v>80</v>
      </c>
      <c r="J186" s="12" t="s">
        <v>171</v>
      </c>
      <c r="K186" s="12" t="s">
        <v>82</v>
      </c>
      <c r="L186" s="14"/>
      <c r="M186" s="12" t="s">
        <v>43</v>
      </c>
      <c r="N186" s="12" t="s">
        <v>84</v>
      </c>
      <c r="O186" s="12" t="s">
        <v>1038</v>
      </c>
      <c r="P186" s="12" t="s">
        <v>86</v>
      </c>
      <c r="Q186" s="12" t="s">
        <v>141</v>
      </c>
      <c r="R186" s="12" t="s">
        <v>173</v>
      </c>
      <c r="S186" s="13">
        <v>197804395774</v>
      </c>
      <c r="T186" s="12" t="s">
        <v>143</v>
      </c>
      <c r="U186" s="12" t="s">
        <v>403</v>
      </c>
      <c r="V186" s="12" t="s">
        <v>174</v>
      </c>
      <c r="W186" s="12" t="s">
        <v>175</v>
      </c>
      <c r="X186" s="14"/>
      <c r="Y186" s="14"/>
      <c r="Z186" s="14"/>
      <c r="AA186" s="14"/>
      <c r="AB186" s="14"/>
      <c r="AC186" s="15">
        <v>7.3</v>
      </c>
      <c r="AD186" s="15">
        <f>AC186*AG186</f>
        <v>233.6</v>
      </c>
      <c r="AE186" s="15">
        <v>16</v>
      </c>
      <c r="AF186" s="15">
        <f>AE186*AG186</f>
        <v>512</v>
      </c>
      <c r="AG186" s="16">
        <v>32</v>
      </c>
    </row>
    <row r="187" spans="1:33" ht="15" customHeight="1" x14ac:dyDescent="0.2">
      <c r="A187" s="11" t="str">
        <f t="shared" ref="A187:A2999" si="70">HYPERLINK("https://assets.vans.eu/images/VN000HGKBLK-HERO/1","VN000HGKBLK1")</f>
        <v>VN000HGKBLK1</v>
      </c>
      <c r="B187" s="12" t="s">
        <v>1039</v>
      </c>
      <c r="C187" s="12" t="s">
        <v>1040</v>
      </c>
      <c r="D187" s="12" t="s">
        <v>76</v>
      </c>
      <c r="E187" s="12" t="s">
        <v>1041</v>
      </c>
      <c r="F187" s="13">
        <v>22</v>
      </c>
      <c r="G187" s="14"/>
      <c r="H187" s="12" t="s">
        <v>61</v>
      </c>
      <c r="I187" s="12" t="s">
        <v>289</v>
      </c>
      <c r="J187" s="12" t="s">
        <v>290</v>
      </c>
      <c r="K187" s="12" t="s">
        <v>100</v>
      </c>
      <c r="L187" s="14"/>
      <c r="M187" s="12" t="s">
        <v>43</v>
      </c>
      <c r="N187" s="12" t="s">
        <v>44</v>
      </c>
      <c r="O187" s="12" t="s">
        <v>1042</v>
      </c>
      <c r="P187" s="12" t="s">
        <v>66</v>
      </c>
      <c r="Q187" s="12" t="s">
        <v>233</v>
      </c>
      <c r="R187" s="12" t="s">
        <v>664</v>
      </c>
      <c r="S187" s="13">
        <v>197065453831</v>
      </c>
      <c r="T187" s="12" t="s">
        <v>235</v>
      </c>
      <c r="U187" s="13">
        <v>22</v>
      </c>
      <c r="V187" s="12" t="s">
        <v>1043</v>
      </c>
      <c r="W187" s="12" t="s">
        <v>51</v>
      </c>
      <c r="X187" s="13">
        <v>0</v>
      </c>
      <c r="Y187" s="12" t="s">
        <v>91</v>
      </c>
      <c r="Z187" s="12" t="s">
        <v>108</v>
      </c>
      <c r="AA187" s="13">
        <v>0</v>
      </c>
      <c r="AB187" s="13">
        <v>0</v>
      </c>
      <c r="AC187" s="15">
        <v>29.55</v>
      </c>
      <c r="AD187" s="15">
        <f>AC187*AG187</f>
        <v>945.6</v>
      </c>
      <c r="AE187" s="15">
        <v>65</v>
      </c>
      <c r="AF187" s="15">
        <f>AE187*AG187</f>
        <v>2080</v>
      </c>
      <c r="AG187" s="16">
        <v>32</v>
      </c>
    </row>
    <row r="188" spans="1:33" ht="15" customHeight="1" x14ac:dyDescent="0.2">
      <c r="A188" s="11" t="str">
        <f t="shared" si="20"/>
        <v>VN000HZBYEH1</v>
      </c>
      <c r="B188" s="12" t="s">
        <v>1044</v>
      </c>
      <c r="C188" s="12" t="s">
        <v>357</v>
      </c>
      <c r="D188" s="12" t="s">
        <v>358</v>
      </c>
      <c r="E188" s="12" t="s">
        <v>1045</v>
      </c>
      <c r="F188" s="13">
        <v>36</v>
      </c>
      <c r="G188" s="14"/>
      <c r="H188" s="12" t="s">
        <v>61</v>
      </c>
      <c r="I188" s="12" t="s">
        <v>230</v>
      </c>
      <c r="J188" s="12" t="s">
        <v>231</v>
      </c>
      <c r="K188" s="12" t="s">
        <v>199</v>
      </c>
      <c r="L188" s="14"/>
      <c r="M188" s="12" t="s">
        <v>43</v>
      </c>
      <c r="N188" s="12" t="s">
        <v>84</v>
      </c>
      <c r="O188" s="12" t="s">
        <v>1046</v>
      </c>
      <c r="P188" s="12" t="s">
        <v>66</v>
      </c>
      <c r="Q188" s="12" t="s">
        <v>233</v>
      </c>
      <c r="R188" s="12" t="s">
        <v>361</v>
      </c>
      <c r="S188" s="13">
        <v>197065841409</v>
      </c>
      <c r="T188" s="12" t="s">
        <v>235</v>
      </c>
      <c r="U188" s="13">
        <v>36</v>
      </c>
      <c r="V188" s="12" t="s">
        <v>362</v>
      </c>
      <c r="W188" s="12" t="s">
        <v>186</v>
      </c>
      <c r="X188" s="13">
        <v>0</v>
      </c>
      <c r="Y188" s="12" t="s">
        <v>91</v>
      </c>
      <c r="Z188" s="12" t="s">
        <v>108</v>
      </c>
      <c r="AA188" s="13">
        <v>0</v>
      </c>
      <c r="AB188" s="13">
        <v>0</v>
      </c>
      <c r="AC188" s="15">
        <v>34.1</v>
      </c>
      <c r="AD188" s="15">
        <f>AC188*AG188</f>
        <v>1091.2</v>
      </c>
      <c r="AE188" s="15">
        <v>75</v>
      </c>
      <c r="AF188" s="15">
        <f>AE188*AG188</f>
        <v>2400</v>
      </c>
      <c r="AG188" s="16">
        <v>32</v>
      </c>
    </row>
    <row r="189" spans="1:33" ht="15" customHeight="1" x14ac:dyDescent="0.2">
      <c r="A189" s="11" t="str">
        <f t="shared" si="31"/>
        <v>VN000M4CBR11</v>
      </c>
      <c r="B189" s="12" t="s">
        <v>1047</v>
      </c>
      <c r="C189" s="12" t="s">
        <v>495</v>
      </c>
      <c r="D189" s="12" t="s">
        <v>496</v>
      </c>
      <c r="E189" s="12" t="s">
        <v>1048</v>
      </c>
      <c r="F189" s="12" t="s">
        <v>153</v>
      </c>
      <c r="G189" s="14"/>
      <c r="H189" s="12" t="s">
        <v>61</v>
      </c>
      <c r="I189" s="12" t="s">
        <v>230</v>
      </c>
      <c r="J189" s="12" t="s">
        <v>419</v>
      </c>
      <c r="K189" s="12" t="s">
        <v>199</v>
      </c>
      <c r="L189" s="14"/>
      <c r="M189" s="12" t="s">
        <v>43</v>
      </c>
      <c r="N189" s="12" t="s">
        <v>44</v>
      </c>
      <c r="O189" s="12" t="s">
        <v>1049</v>
      </c>
      <c r="P189" s="12" t="s">
        <v>66</v>
      </c>
      <c r="Q189" s="12" t="s">
        <v>67</v>
      </c>
      <c r="R189" s="12" t="s">
        <v>421</v>
      </c>
      <c r="S189" s="13">
        <v>197643415015</v>
      </c>
      <c r="T189" s="12" t="s">
        <v>499</v>
      </c>
      <c r="U189" s="12" t="s">
        <v>153</v>
      </c>
      <c r="V189" s="12" t="s">
        <v>70</v>
      </c>
      <c r="W189" s="12" t="s">
        <v>118</v>
      </c>
      <c r="X189" s="12" t="s">
        <v>500</v>
      </c>
      <c r="Y189" s="12" t="s">
        <v>91</v>
      </c>
      <c r="Z189" s="12" t="s">
        <v>108</v>
      </c>
      <c r="AA189" s="13">
        <v>0</v>
      </c>
      <c r="AB189" s="13">
        <v>0</v>
      </c>
      <c r="AC189" s="15">
        <v>17.3</v>
      </c>
      <c r="AD189" s="15">
        <f>AC189*AG189</f>
        <v>553.6</v>
      </c>
      <c r="AE189" s="15">
        <v>38</v>
      </c>
      <c r="AF189" s="15">
        <f>AE189*AG189</f>
        <v>1216</v>
      </c>
      <c r="AG189" s="16">
        <v>32</v>
      </c>
    </row>
    <row r="190" spans="1:33" ht="15" customHeight="1" x14ac:dyDescent="0.2">
      <c r="A190" s="11" t="str">
        <f t="shared" ref="A190:A412" si="71">HYPERLINK("https://assets.vans.eu/images/VN000MBCWHT-HERO/1","VN000MBCWHT1")</f>
        <v>VN000MBCWHT1</v>
      </c>
      <c r="B190" s="12" t="s">
        <v>1050</v>
      </c>
      <c r="C190" s="12" t="s">
        <v>1051</v>
      </c>
      <c r="D190" s="12" t="s">
        <v>168</v>
      </c>
      <c r="E190" s="12" t="s">
        <v>1052</v>
      </c>
      <c r="F190" s="12" t="s">
        <v>403</v>
      </c>
      <c r="G190" s="14"/>
      <c r="H190" s="12" t="s">
        <v>61</v>
      </c>
      <c r="I190" s="12" t="s">
        <v>289</v>
      </c>
      <c r="J190" s="12" t="s">
        <v>290</v>
      </c>
      <c r="K190" s="12" t="s">
        <v>100</v>
      </c>
      <c r="L190" s="14"/>
      <c r="M190" s="12" t="s">
        <v>43</v>
      </c>
      <c r="N190" s="12" t="s">
        <v>44</v>
      </c>
      <c r="O190" s="12" t="s">
        <v>1053</v>
      </c>
      <c r="P190" s="12" t="s">
        <v>66</v>
      </c>
      <c r="Q190" s="12" t="s">
        <v>233</v>
      </c>
      <c r="R190" s="12" t="s">
        <v>1054</v>
      </c>
      <c r="S190" s="13">
        <v>197643367796</v>
      </c>
      <c r="T190" s="12" t="s">
        <v>235</v>
      </c>
      <c r="U190" s="12" t="s">
        <v>403</v>
      </c>
      <c r="V190" s="12" t="s">
        <v>1055</v>
      </c>
      <c r="W190" s="12" t="s">
        <v>175</v>
      </c>
      <c r="X190" s="13">
        <v>0</v>
      </c>
      <c r="Y190" s="12" t="s">
        <v>91</v>
      </c>
      <c r="Z190" s="12" t="s">
        <v>108</v>
      </c>
      <c r="AA190" s="13">
        <v>0</v>
      </c>
      <c r="AB190" s="13">
        <v>0</v>
      </c>
      <c r="AC190" s="15">
        <v>17.3</v>
      </c>
      <c r="AD190" s="15">
        <f>AC190*AG190</f>
        <v>553.6</v>
      </c>
      <c r="AE190" s="15">
        <v>38</v>
      </c>
      <c r="AF190" s="15">
        <f>AE190*AG190</f>
        <v>1216</v>
      </c>
      <c r="AG190" s="16">
        <v>32</v>
      </c>
    </row>
    <row r="191" spans="1:33" ht="15" customHeight="1" x14ac:dyDescent="0.2">
      <c r="A191" s="11" t="str">
        <f t="shared" ref="A191:A2361" si="72">HYPERLINK("https://assets.vans.eu/images/VN000RG44QU-HERO/1","VN000RG44QU1")</f>
        <v>VN000RG44QU1</v>
      </c>
      <c r="B191" s="12" t="s">
        <v>1056</v>
      </c>
      <c r="C191" s="12" t="s">
        <v>417</v>
      </c>
      <c r="D191" s="12" t="s">
        <v>1057</v>
      </c>
      <c r="E191" s="12" t="s">
        <v>1058</v>
      </c>
      <c r="F191" s="12" t="s">
        <v>170</v>
      </c>
      <c r="G191" s="14"/>
      <c r="H191" s="12" t="s">
        <v>61</v>
      </c>
      <c r="I191" s="12" t="s">
        <v>230</v>
      </c>
      <c r="J191" s="12" t="s">
        <v>419</v>
      </c>
      <c r="K191" s="12" t="s">
        <v>199</v>
      </c>
      <c r="L191" s="12" t="s">
        <v>83</v>
      </c>
      <c r="M191" s="12" t="s">
        <v>43</v>
      </c>
      <c r="N191" s="12" t="s">
        <v>84</v>
      </c>
      <c r="O191" s="12" t="s">
        <v>1059</v>
      </c>
      <c r="P191" s="12" t="s">
        <v>66</v>
      </c>
      <c r="Q191" s="12" t="s">
        <v>67</v>
      </c>
      <c r="R191" s="12" t="s">
        <v>421</v>
      </c>
      <c r="S191" s="13">
        <v>197804328055</v>
      </c>
      <c r="T191" s="12" t="s">
        <v>422</v>
      </c>
      <c r="U191" s="12" t="s">
        <v>170</v>
      </c>
      <c r="V191" s="12" t="s">
        <v>423</v>
      </c>
      <c r="W191" s="12" t="s">
        <v>262</v>
      </c>
      <c r="X191" s="14"/>
      <c r="Y191" s="14"/>
      <c r="Z191" s="14"/>
      <c r="AA191" s="14"/>
      <c r="AB191" s="14"/>
      <c r="AC191" s="15">
        <v>20.5</v>
      </c>
      <c r="AD191" s="15">
        <f>AC191*AG191</f>
        <v>656</v>
      </c>
      <c r="AE191" s="15">
        <v>45</v>
      </c>
      <c r="AF191" s="15">
        <f>AE191*AG191</f>
        <v>1440</v>
      </c>
      <c r="AG191" s="16">
        <v>32</v>
      </c>
    </row>
    <row r="192" spans="1:33" ht="15" customHeight="1" x14ac:dyDescent="0.2">
      <c r="A192" s="11" t="str">
        <f>HYPERLINK("https://assets.vans.eu/images/VN000SPAMTR-HERO/1","VN000SPAMTR1")</f>
        <v>VN000SPAMTR1</v>
      </c>
      <c r="B192" s="12" t="s">
        <v>1060</v>
      </c>
      <c r="C192" s="12" t="s">
        <v>1061</v>
      </c>
      <c r="D192" s="12" t="s">
        <v>1062</v>
      </c>
      <c r="E192" s="12" t="s">
        <v>1063</v>
      </c>
      <c r="F192" s="12" t="s">
        <v>170</v>
      </c>
      <c r="G192" s="14"/>
      <c r="H192" s="12" t="s">
        <v>61</v>
      </c>
      <c r="I192" s="12" t="s">
        <v>230</v>
      </c>
      <c r="J192" s="12" t="s">
        <v>419</v>
      </c>
      <c r="K192" s="12" t="s">
        <v>199</v>
      </c>
      <c r="L192" s="14"/>
      <c r="M192" s="12" t="s">
        <v>43</v>
      </c>
      <c r="N192" s="12" t="s">
        <v>84</v>
      </c>
      <c r="O192" s="12" t="s">
        <v>1064</v>
      </c>
      <c r="P192" s="12" t="s">
        <v>66</v>
      </c>
      <c r="Q192" s="12" t="s">
        <v>67</v>
      </c>
      <c r="R192" s="12" t="s">
        <v>421</v>
      </c>
      <c r="S192" s="13">
        <v>197805969295</v>
      </c>
      <c r="T192" s="12" t="s">
        <v>1065</v>
      </c>
      <c r="U192" s="12" t="s">
        <v>170</v>
      </c>
      <c r="V192" s="12" t="s">
        <v>70</v>
      </c>
      <c r="W192" s="12" t="s">
        <v>118</v>
      </c>
      <c r="X192" s="14"/>
      <c r="Y192" s="14"/>
      <c r="Z192" s="14"/>
      <c r="AA192" s="14"/>
      <c r="AB192" s="14"/>
      <c r="AC192" s="15">
        <v>12.75</v>
      </c>
      <c r="AD192" s="15">
        <f>AC192*AG192</f>
        <v>408</v>
      </c>
      <c r="AE192" s="15">
        <v>28</v>
      </c>
      <c r="AF192" s="15">
        <f>AE192*AG192</f>
        <v>896</v>
      </c>
      <c r="AG192" s="16">
        <v>32</v>
      </c>
    </row>
    <row r="193" spans="1:33" ht="15" customHeight="1" x14ac:dyDescent="0.2">
      <c r="A193" s="11" t="str">
        <f>HYPERLINK("https://assets.vans.eu/images/VN0A5HNPBLK-HERO/1","VN0A5HNPBLK1")</f>
        <v>VN0A5HNPBLK1</v>
      </c>
      <c r="B193" s="12" t="s">
        <v>1066</v>
      </c>
      <c r="C193" s="12" t="s">
        <v>1067</v>
      </c>
      <c r="D193" s="12" t="s">
        <v>76</v>
      </c>
      <c r="E193" s="12" t="s">
        <v>1068</v>
      </c>
      <c r="F193" s="12" t="s">
        <v>153</v>
      </c>
      <c r="G193" s="14"/>
      <c r="H193" s="12" t="s">
        <v>61</v>
      </c>
      <c r="I193" s="12" t="s">
        <v>289</v>
      </c>
      <c r="J193" s="12" t="s">
        <v>706</v>
      </c>
      <c r="K193" s="12" t="s">
        <v>100</v>
      </c>
      <c r="L193" s="14"/>
      <c r="M193" s="12" t="s">
        <v>43</v>
      </c>
      <c r="N193" s="12" t="s">
        <v>84</v>
      </c>
      <c r="O193" s="12" t="s">
        <v>1069</v>
      </c>
      <c r="P193" s="12" t="s">
        <v>66</v>
      </c>
      <c r="Q193" s="12" t="s">
        <v>67</v>
      </c>
      <c r="R193" s="12" t="s">
        <v>708</v>
      </c>
      <c r="S193" s="13">
        <v>195438868596</v>
      </c>
      <c r="T193" s="12" t="s">
        <v>709</v>
      </c>
      <c r="U193" s="12" t="s">
        <v>153</v>
      </c>
      <c r="V193" s="12" t="s">
        <v>1070</v>
      </c>
      <c r="W193" s="12" t="s">
        <v>51</v>
      </c>
      <c r="X193" s="13">
        <v>0</v>
      </c>
      <c r="Y193" s="12" t="s">
        <v>71</v>
      </c>
      <c r="Z193" s="12" t="s">
        <v>72</v>
      </c>
      <c r="AA193" s="12" t="s">
        <v>73</v>
      </c>
      <c r="AB193" s="13">
        <v>0</v>
      </c>
      <c r="AC193" s="15">
        <v>32.75</v>
      </c>
      <c r="AD193" s="15">
        <f>AC193*AG193</f>
        <v>1048</v>
      </c>
      <c r="AE193" s="15">
        <v>72</v>
      </c>
      <c r="AF193" s="15">
        <f>AE193*AG193</f>
        <v>2304</v>
      </c>
      <c r="AG193" s="16">
        <v>32</v>
      </c>
    </row>
    <row r="194" spans="1:33" ht="15" customHeight="1" x14ac:dyDescent="0.2">
      <c r="A194" s="11" t="str">
        <f>HYPERLINK("https://assets.vans.eu/images/VN000Q981O7-HERO/1","VN000Q981O71")</f>
        <v>VN000Q981O71</v>
      </c>
      <c r="B194" s="12" t="s">
        <v>1071</v>
      </c>
      <c r="C194" s="12" t="s">
        <v>1072</v>
      </c>
      <c r="D194" s="12" t="s">
        <v>637</v>
      </c>
      <c r="E194" s="12" t="s">
        <v>1073</v>
      </c>
      <c r="F194" s="12" t="s">
        <v>78</v>
      </c>
      <c r="G194" s="14"/>
      <c r="H194" s="12" t="s">
        <v>441</v>
      </c>
      <c r="I194" s="12" t="s">
        <v>442</v>
      </c>
      <c r="J194" s="12" t="s">
        <v>443</v>
      </c>
      <c r="K194" s="12" t="s">
        <v>82</v>
      </c>
      <c r="L194" s="14"/>
      <c r="M194" s="12" t="s">
        <v>43</v>
      </c>
      <c r="N194" s="12" t="s">
        <v>84</v>
      </c>
      <c r="O194" s="12" t="s">
        <v>1074</v>
      </c>
      <c r="P194" s="12" t="s">
        <v>445</v>
      </c>
      <c r="Q194" s="12" t="s">
        <v>446</v>
      </c>
      <c r="R194" s="12" t="s">
        <v>447</v>
      </c>
      <c r="S194" s="13">
        <v>197804374205</v>
      </c>
      <c r="T194" s="12" t="s">
        <v>130</v>
      </c>
      <c r="U194" s="12" t="s">
        <v>78</v>
      </c>
      <c r="V194" s="12" t="s">
        <v>1075</v>
      </c>
      <c r="W194" s="12" t="s">
        <v>455</v>
      </c>
      <c r="X194" s="14"/>
      <c r="Y194" s="14"/>
      <c r="Z194" s="14"/>
      <c r="AA194" s="14"/>
      <c r="AB194" s="14"/>
      <c r="AC194" s="15">
        <v>34.1</v>
      </c>
      <c r="AD194" s="15">
        <f>AC194*AG194</f>
        <v>1091.2</v>
      </c>
      <c r="AE194" s="15">
        <v>75</v>
      </c>
      <c r="AF194" s="15">
        <f>AE194*AG194</f>
        <v>2400</v>
      </c>
      <c r="AG194" s="16">
        <v>32</v>
      </c>
    </row>
    <row r="195" spans="1:33" ht="15" customHeight="1" x14ac:dyDescent="0.2">
      <c r="A195" s="11" t="str">
        <f>HYPERLINK("https://assets.vans.eu/images/VN000QA1BRD-HERO/1","VN000QA1BRD1")</f>
        <v>VN000QA1BRD1</v>
      </c>
      <c r="B195" s="12" t="s">
        <v>1076</v>
      </c>
      <c r="C195" s="12" t="s">
        <v>1077</v>
      </c>
      <c r="D195" s="12" t="s">
        <v>590</v>
      </c>
      <c r="E195" s="12" t="s">
        <v>1078</v>
      </c>
      <c r="F195" s="12" t="s">
        <v>78</v>
      </c>
      <c r="G195" s="14"/>
      <c r="H195" s="12" t="s">
        <v>79</v>
      </c>
      <c r="I195" s="12" t="s">
        <v>80</v>
      </c>
      <c r="J195" s="12" t="s">
        <v>349</v>
      </c>
      <c r="K195" s="12" t="s">
        <v>82</v>
      </c>
      <c r="L195" s="14"/>
      <c r="M195" s="12" t="s">
        <v>43</v>
      </c>
      <c r="N195" s="12" t="s">
        <v>84</v>
      </c>
      <c r="O195" s="12" t="s">
        <v>1079</v>
      </c>
      <c r="P195" s="12" t="s">
        <v>86</v>
      </c>
      <c r="Q195" s="12" t="s">
        <v>128</v>
      </c>
      <c r="R195" s="12" t="s">
        <v>352</v>
      </c>
      <c r="S195" s="13">
        <v>197804374458</v>
      </c>
      <c r="T195" s="12" t="s">
        <v>235</v>
      </c>
      <c r="U195" s="12" t="s">
        <v>78</v>
      </c>
      <c r="V195" s="12" t="s">
        <v>1080</v>
      </c>
      <c r="W195" s="12" t="s">
        <v>262</v>
      </c>
      <c r="X195" s="14"/>
      <c r="Y195" s="14"/>
      <c r="Z195" s="14"/>
      <c r="AA195" s="14"/>
      <c r="AB195" s="14"/>
      <c r="AC195" s="15">
        <v>14.55</v>
      </c>
      <c r="AD195" s="15">
        <f>AC195*AG195</f>
        <v>451.05</v>
      </c>
      <c r="AE195" s="15">
        <v>32</v>
      </c>
      <c r="AF195" s="15">
        <f>AE195*AG195</f>
        <v>992</v>
      </c>
      <c r="AG195" s="16">
        <v>31</v>
      </c>
    </row>
    <row r="196" spans="1:33" ht="15" customHeight="1" x14ac:dyDescent="0.2">
      <c r="A196" s="11" t="str">
        <f>HYPERLINK("https://assets.vans.eu/images/VN000QB42N1-HERO/1","VN000QB42N11")</f>
        <v>VN000QB42N11</v>
      </c>
      <c r="B196" s="12" t="s">
        <v>1081</v>
      </c>
      <c r="C196" s="12" t="s">
        <v>450</v>
      </c>
      <c r="D196" s="12" t="s">
        <v>1082</v>
      </c>
      <c r="E196" s="12" t="s">
        <v>1083</v>
      </c>
      <c r="F196" s="12" t="s">
        <v>78</v>
      </c>
      <c r="G196" s="14"/>
      <c r="H196" s="12" t="s">
        <v>79</v>
      </c>
      <c r="I196" s="12" t="s">
        <v>80</v>
      </c>
      <c r="J196" s="12" t="s">
        <v>349</v>
      </c>
      <c r="K196" s="12" t="s">
        <v>82</v>
      </c>
      <c r="L196" s="14"/>
      <c r="M196" s="12" t="s">
        <v>43</v>
      </c>
      <c r="N196" s="12" t="s">
        <v>84</v>
      </c>
      <c r="O196" s="12" t="s">
        <v>1084</v>
      </c>
      <c r="P196" s="12" t="s">
        <v>86</v>
      </c>
      <c r="Q196" s="12" t="s">
        <v>128</v>
      </c>
      <c r="R196" s="12" t="s">
        <v>352</v>
      </c>
      <c r="S196" s="13">
        <v>197804375325</v>
      </c>
      <c r="T196" s="12" t="s">
        <v>130</v>
      </c>
      <c r="U196" s="12" t="s">
        <v>78</v>
      </c>
      <c r="V196" s="12" t="s">
        <v>593</v>
      </c>
      <c r="W196" s="12" t="s">
        <v>580</v>
      </c>
      <c r="X196" s="14"/>
      <c r="Y196" s="14"/>
      <c r="Z196" s="14"/>
      <c r="AA196" s="14"/>
      <c r="AB196" s="14"/>
      <c r="AC196" s="15">
        <v>11.85</v>
      </c>
      <c r="AD196" s="15">
        <f>AC196*AG196</f>
        <v>367.34999999999997</v>
      </c>
      <c r="AE196" s="15">
        <v>26</v>
      </c>
      <c r="AF196" s="15">
        <f>AE196*AG196</f>
        <v>806</v>
      </c>
      <c r="AG196" s="16">
        <v>31</v>
      </c>
    </row>
    <row r="197" spans="1:33" ht="15" customHeight="1" x14ac:dyDescent="0.2">
      <c r="A197" s="11" t="str">
        <f t="shared" si="50"/>
        <v>VN000M3GJDU1</v>
      </c>
      <c r="B197" s="12" t="s">
        <v>1085</v>
      </c>
      <c r="C197" s="12" t="s">
        <v>813</v>
      </c>
      <c r="D197" s="12" t="s">
        <v>814</v>
      </c>
      <c r="E197" s="12" t="s">
        <v>1086</v>
      </c>
      <c r="F197" s="12" t="s">
        <v>179</v>
      </c>
      <c r="G197" s="14"/>
      <c r="H197" s="12" t="s">
        <v>61</v>
      </c>
      <c r="I197" s="12" t="s">
        <v>230</v>
      </c>
      <c r="J197" s="12" t="s">
        <v>557</v>
      </c>
      <c r="K197" s="12" t="s">
        <v>199</v>
      </c>
      <c r="L197" s="14"/>
      <c r="M197" s="12" t="s">
        <v>43</v>
      </c>
      <c r="N197" s="12" t="s">
        <v>44</v>
      </c>
      <c r="O197" s="12" t="s">
        <v>1087</v>
      </c>
      <c r="P197" s="12" t="s">
        <v>66</v>
      </c>
      <c r="Q197" s="12" t="s">
        <v>559</v>
      </c>
      <c r="R197" s="12" t="s">
        <v>560</v>
      </c>
      <c r="S197" s="13">
        <v>197643537915</v>
      </c>
      <c r="T197" s="12" t="s">
        <v>49</v>
      </c>
      <c r="U197" s="12" t="s">
        <v>179</v>
      </c>
      <c r="V197" s="12" t="s">
        <v>90</v>
      </c>
      <c r="W197" s="12" t="s">
        <v>284</v>
      </c>
      <c r="X197" s="13">
        <v>0</v>
      </c>
      <c r="Y197" s="12" t="s">
        <v>53</v>
      </c>
      <c r="Z197" s="12" t="s">
        <v>108</v>
      </c>
      <c r="AA197" s="13">
        <v>0</v>
      </c>
      <c r="AB197" s="13">
        <v>0</v>
      </c>
      <c r="AC197" s="15">
        <v>27.3</v>
      </c>
      <c r="AD197" s="15">
        <f>AC197*AG197</f>
        <v>846.30000000000007</v>
      </c>
      <c r="AE197" s="15">
        <v>60</v>
      </c>
      <c r="AF197" s="15">
        <f>AE197*AG197</f>
        <v>1860</v>
      </c>
      <c r="AG197" s="16">
        <v>31</v>
      </c>
    </row>
    <row r="198" spans="1:33" ht="15" customHeight="1" x14ac:dyDescent="0.2">
      <c r="A198" s="11" t="str">
        <f t="shared" ref="A198:A667" si="73">HYPERLINK("https://assets.vans.eu/images/VN000PXG02F-HERO/1","VN000PXG02F1")</f>
        <v>VN000PXG02F1</v>
      </c>
      <c r="B198" s="12" t="s">
        <v>1088</v>
      </c>
      <c r="C198" s="12" t="s">
        <v>1089</v>
      </c>
      <c r="D198" s="12" t="s">
        <v>857</v>
      </c>
      <c r="E198" s="12" t="s">
        <v>1090</v>
      </c>
      <c r="F198" s="12" t="s">
        <v>179</v>
      </c>
      <c r="G198" s="14"/>
      <c r="H198" s="12" t="s">
        <v>61</v>
      </c>
      <c r="I198" s="12" t="s">
        <v>62</v>
      </c>
      <c r="J198" s="12" t="s">
        <v>63</v>
      </c>
      <c r="K198" s="12" t="s">
        <v>64</v>
      </c>
      <c r="L198" s="14"/>
      <c r="M198" s="12" t="s">
        <v>43</v>
      </c>
      <c r="N198" s="12" t="s">
        <v>84</v>
      </c>
      <c r="O198" s="12" t="s">
        <v>1091</v>
      </c>
      <c r="P198" s="12" t="s">
        <v>66</v>
      </c>
      <c r="Q198" s="12" t="s">
        <v>67</v>
      </c>
      <c r="R198" s="12" t="s">
        <v>730</v>
      </c>
      <c r="S198" s="13">
        <v>197804365432</v>
      </c>
      <c r="T198" s="12" t="s">
        <v>709</v>
      </c>
      <c r="U198" s="12" t="s">
        <v>179</v>
      </c>
      <c r="V198" s="12" t="s">
        <v>1092</v>
      </c>
      <c r="W198" s="12" t="s">
        <v>455</v>
      </c>
      <c r="X198" s="14"/>
      <c r="Y198" s="14"/>
      <c r="Z198" s="14"/>
      <c r="AA198" s="14"/>
      <c r="AB198" s="14"/>
      <c r="AC198" s="15">
        <v>25</v>
      </c>
      <c r="AD198" s="15">
        <f>AC198*AG198</f>
        <v>775</v>
      </c>
      <c r="AE198" s="15">
        <v>55</v>
      </c>
      <c r="AF198" s="15">
        <f>AE198*AG198</f>
        <v>1705</v>
      </c>
      <c r="AG198" s="16">
        <v>31</v>
      </c>
    </row>
    <row r="199" spans="1:33" ht="15" customHeight="1" x14ac:dyDescent="0.2">
      <c r="A199" s="11" t="str">
        <f t="shared" ref="A199:A267" si="74">HYPERLINK("https://assets.vans.eu/images/VN0A5LMECR2-HERO/1","VN0A5LMECR21")</f>
        <v>VN0A5LMECR21</v>
      </c>
      <c r="B199" s="12" t="s">
        <v>1093</v>
      </c>
      <c r="C199" s="12" t="s">
        <v>1094</v>
      </c>
      <c r="D199" s="12" t="s">
        <v>1095</v>
      </c>
      <c r="E199" s="12" t="s">
        <v>1096</v>
      </c>
      <c r="F199" s="12" t="s">
        <v>403</v>
      </c>
      <c r="G199" s="14"/>
      <c r="H199" s="12" t="s">
        <v>61</v>
      </c>
      <c r="I199" s="12" t="s">
        <v>289</v>
      </c>
      <c r="J199" s="12" t="s">
        <v>900</v>
      </c>
      <c r="K199" s="12" t="s">
        <v>100</v>
      </c>
      <c r="L199" s="12" t="s">
        <v>83</v>
      </c>
      <c r="M199" s="12" t="s">
        <v>43</v>
      </c>
      <c r="N199" s="12" t="s">
        <v>274</v>
      </c>
      <c r="O199" s="12" t="s">
        <v>1097</v>
      </c>
      <c r="P199" s="12" t="s">
        <v>66</v>
      </c>
      <c r="Q199" s="12" t="s">
        <v>233</v>
      </c>
      <c r="R199" s="12" t="s">
        <v>902</v>
      </c>
      <c r="S199" s="13">
        <v>197064538409</v>
      </c>
      <c r="T199" s="12" t="s">
        <v>49</v>
      </c>
      <c r="U199" s="12" t="s">
        <v>403</v>
      </c>
      <c r="V199" s="12" t="s">
        <v>1098</v>
      </c>
      <c r="W199" s="12" t="s">
        <v>107</v>
      </c>
      <c r="X199" s="13">
        <v>0</v>
      </c>
      <c r="Y199" s="12" t="s">
        <v>91</v>
      </c>
      <c r="Z199" s="12" t="s">
        <v>108</v>
      </c>
      <c r="AA199" s="13">
        <v>0</v>
      </c>
      <c r="AB199" s="12" t="s">
        <v>616</v>
      </c>
      <c r="AC199" s="15">
        <v>20.5</v>
      </c>
      <c r="AD199" s="15">
        <f>AC199*AG199</f>
        <v>635.5</v>
      </c>
      <c r="AE199" s="15">
        <v>45</v>
      </c>
      <c r="AF199" s="15">
        <f>AE199*AG199</f>
        <v>1395</v>
      </c>
      <c r="AG199" s="16">
        <v>31</v>
      </c>
    </row>
    <row r="200" spans="1:33" ht="15" customHeight="1" x14ac:dyDescent="0.2">
      <c r="A200" s="11" t="str">
        <f>HYPERLINK("https://assets.vans.eu/images/VN000H4WBLK-HERO/1","VN000H4WBLK1")</f>
        <v>VN000H4WBLK1</v>
      </c>
      <c r="B200" s="12" t="s">
        <v>1099</v>
      </c>
      <c r="C200" s="12" t="s">
        <v>767</v>
      </c>
      <c r="D200" s="12" t="s">
        <v>76</v>
      </c>
      <c r="E200" s="12" t="s">
        <v>1100</v>
      </c>
      <c r="F200" s="12" t="s">
        <v>78</v>
      </c>
      <c r="G200" s="14"/>
      <c r="H200" s="12" t="s">
        <v>441</v>
      </c>
      <c r="I200" s="12" t="s">
        <v>442</v>
      </c>
      <c r="J200" s="12" t="s">
        <v>443</v>
      </c>
      <c r="K200" s="12" t="s">
        <v>82</v>
      </c>
      <c r="L200" s="14"/>
      <c r="M200" s="12" t="s">
        <v>43</v>
      </c>
      <c r="N200" s="12" t="s">
        <v>84</v>
      </c>
      <c r="O200" s="12" t="s">
        <v>1101</v>
      </c>
      <c r="P200" s="12" t="s">
        <v>445</v>
      </c>
      <c r="Q200" s="12" t="s">
        <v>446</v>
      </c>
      <c r="R200" s="12" t="s">
        <v>447</v>
      </c>
      <c r="S200" s="13">
        <v>197063464068</v>
      </c>
      <c r="T200" s="12" t="s">
        <v>130</v>
      </c>
      <c r="U200" s="12" t="s">
        <v>78</v>
      </c>
      <c r="V200" s="12" t="s">
        <v>771</v>
      </c>
      <c r="W200" s="12" t="s">
        <v>51</v>
      </c>
      <c r="X200" s="13">
        <v>0</v>
      </c>
      <c r="Y200" s="12" t="s">
        <v>91</v>
      </c>
      <c r="Z200" s="12" t="s">
        <v>108</v>
      </c>
      <c r="AA200" s="13">
        <v>0</v>
      </c>
      <c r="AB200" s="13">
        <v>0</v>
      </c>
      <c r="AC200" s="15">
        <v>21.85</v>
      </c>
      <c r="AD200" s="15">
        <f>AC200*AG200</f>
        <v>677.35</v>
      </c>
      <c r="AE200" s="15">
        <v>48</v>
      </c>
      <c r="AF200" s="15">
        <f>AE200*AG200</f>
        <v>1488</v>
      </c>
      <c r="AG200" s="16">
        <v>31</v>
      </c>
    </row>
    <row r="201" spans="1:33" ht="15" customHeight="1" x14ac:dyDescent="0.2">
      <c r="A201" s="11" t="str">
        <f t="shared" ref="A201:A298" si="75">HYPERLINK("https://assets.vans.eu/images/VN000BCECCZ-HERO/1","VN000BCECCZ1")</f>
        <v>VN000BCECCZ1</v>
      </c>
      <c r="B201" s="12" t="s">
        <v>1102</v>
      </c>
      <c r="C201" s="12" t="s">
        <v>1103</v>
      </c>
      <c r="D201" s="12" t="s">
        <v>1104</v>
      </c>
      <c r="E201" s="12" t="s">
        <v>1105</v>
      </c>
      <c r="F201" s="13">
        <v>110</v>
      </c>
      <c r="G201" s="14"/>
      <c r="H201" s="12" t="s">
        <v>38</v>
      </c>
      <c r="I201" s="12" t="s">
        <v>159</v>
      </c>
      <c r="J201" s="12" t="s">
        <v>255</v>
      </c>
      <c r="K201" s="12" t="s">
        <v>82</v>
      </c>
      <c r="L201" s="14"/>
      <c r="M201" s="12" t="s">
        <v>43</v>
      </c>
      <c r="N201" s="12" t="s">
        <v>84</v>
      </c>
      <c r="O201" s="12" t="s">
        <v>1106</v>
      </c>
      <c r="P201" s="12" t="s">
        <v>46</v>
      </c>
      <c r="Q201" s="12" t="s">
        <v>47</v>
      </c>
      <c r="R201" s="12" t="s">
        <v>163</v>
      </c>
      <c r="S201" s="13">
        <v>197804620845</v>
      </c>
      <c r="T201" s="12" t="s">
        <v>49</v>
      </c>
      <c r="U201" s="13">
        <v>44.5</v>
      </c>
      <c r="V201" s="12" t="s">
        <v>50</v>
      </c>
      <c r="W201" s="12" t="s">
        <v>175</v>
      </c>
      <c r="X201" s="14"/>
      <c r="Y201" s="14"/>
      <c r="Z201" s="14"/>
      <c r="AA201" s="14"/>
      <c r="AB201" s="14"/>
      <c r="AC201" s="15">
        <v>59.1</v>
      </c>
      <c r="AD201" s="15">
        <f>AC201*AG201</f>
        <v>1832.1000000000001</v>
      </c>
      <c r="AE201" s="15">
        <v>130</v>
      </c>
      <c r="AF201" s="15">
        <f>AE201*AG201</f>
        <v>4030</v>
      </c>
      <c r="AG201" s="16">
        <v>31</v>
      </c>
    </row>
    <row r="202" spans="1:33" ht="15" customHeight="1" x14ac:dyDescent="0.2">
      <c r="A202" s="11" t="str">
        <f t="shared" ref="A202:A401" si="76">HYPERLINK("https://assets.vans.eu/images/VN000D0HKCZ-HERO/1","VN000D0HKCZ1")</f>
        <v>VN000D0HKCZ1</v>
      </c>
      <c r="B202" s="12" t="s">
        <v>1107</v>
      </c>
      <c r="C202" s="12" t="s">
        <v>1108</v>
      </c>
      <c r="D202" s="12" t="s">
        <v>1109</v>
      </c>
      <c r="E202" s="12" t="s">
        <v>1110</v>
      </c>
      <c r="F202" s="13">
        <v>15</v>
      </c>
      <c r="G202" s="12" t="s">
        <v>1111</v>
      </c>
      <c r="H202" s="12" t="s">
        <v>38</v>
      </c>
      <c r="I202" s="12" t="s">
        <v>39</v>
      </c>
      <c r="J202" s="12" t="s">
        <v>40</v>
      </c>
      <c r="K202" s="12" t="s">
        <v>41</v>
      </c>
      <c r="L202" s="14"/>
      <c r="M202" s="12" t="s">
        <v>43</v>
      </c>
      <c r="N202" s="12" t="s">
        <v>84</v>
      </c>
      <c r="O202" s="12" t="s">
        <v>1112</v>
      </c>
      <c r="P202" s="12" t="s">
        <v>46</v>
      </c>
      <c r="Q202" s="12" t="s">
        <v>47</v>
      </c>
      <c r="R202" s="12" t="s">
        <v>780</v>
      </c>
      <c r="S202" s="13">
        <v>197804435548</v>
      </c>
      <c r="T202" s="12" t="s">
        <v>105</v>
      </c>
      <c r="U202" s="13">
        <v>32</v>
      </c>
      <c r="V202" s="12" t="s">
        <v>50</v>
      </c>
      <c r="W202" s="12" t="s">
        <v>118</v>
      </c>
      <c r="X202" s="14"/>
      <c r="Y202" s="14"/>
      <c r="Z202" s="14"/>
      <c r="AA202" s="14"/>
      <c r="AB202" s="14"/>
      <c r="AC202" s="15">
        <v>34.1</v>
      </c>
      <c r="AD202" s="15">
        <f>AC202*AG202</f>
        <v>1057.1000000000001</v>
      </c>
      <c r="AE202" s="15">
        <v>75</v>
      </c>
      <c r="AF202" s="15">
        <f>AE202*AG202</f>
        <v>2325</v>
      </c>
      <c r="AG202" s="16">
        <v>31</v>
      </c>
    </row>
    <row r="203" spans="1:33" ht="15" customHeight="1" x14ac:dyDescent="0.2">
      <c r="A203" s="11" t="str">
        <f t="shared" ref="A203:A499" si="77">HYPERLINK("https://assets.vans.eu/images/VN000D61BOC-HERO/1","VN000D61BOC1")</f>
        <v>VN000D61BOC1</v>
      </c>
      <c r="B203" s="12" t="s">
        <v>1113</v>
      </c>
      <c r="C203" s="12" t="s">
        <v>1114</v>
      </c>
      <c r="D203" s="12" t="s">
        <v>1115</v>
      </c>
      <c r="E203" s="12" t="s">
        <v>1116</v>
      </c>
      <c r="F203" s="13">
        <v>50</v>
      </c>
      <c r="G203" s="14"/>
      <c r="H203" s="12" t="s">
        <v>38</v>
      </c>
      <c r="I203" s="12" t="s">
        <v>113</v>
      </c>
      <c r="J203" s="12" t="s">
        <v>529</v>
      </c>
      <c r="K203" s="12" t="s">
        <v>82</v>
      </c>
      <c r="L203" s="14"/>
      <c r="M203" s="12" t="s">
        <v>43</v>
      </c>
      <c r="N203" s="12" t="s">
        <v>44</v>
      </c>
      <c r="O203" s="12" t="s">
        <v>1117</v>
      </c>
      <c r="P203" s="12" t="s">
        <v>46</v>
      </c>
      <c r="Q203" s="12" t="s">
        <v>47</v>
      </c>
      <c r="R203" s="12" t="s">
        <v>117</v>
      </c>
      <c r="S203" s="13">
        <v>197643284567</v>
      </c>
      <c r="T203" s="12" t="s">
        <v>49</v>
      </c>
      <c r="U203" s="13">
        <v>36.5</v>
      </c>
      <c r="V203" s="12" t="s">
        <v>50</v>
      </c>
      <c r="W203" s="12" t="s">
        <v>118</v>
      </c>
      <c r="X203" s="14"/>
      <c r="Y203" s="12" t="s">
        <v>91</v>
      </c>
      <c r="Z203" s="12" t="s">
        <v>165</v>
      </c>
      <c r="AA203" s="14"/>
      <c r="AB203" s="14"/>
      <c r="AC203" s="15">
        <v>54.55</v>
      </c>
      <c r="AD203" s="15">
        <f>AC203*AG203</f>
        <v>1691.05</v>
      </c>
      <c r="AE203" s="15">
        <v>120</v>
      </c>
      <c r="AF203" s="15">
        <f>AE203*AG203</f>
        <v>3720</v>
      </c>
      <c r="AG203" s="16">
        <v>31</v>
      </c>
    </row>
    <row r="204" spans="1:33" ht="15" customHeight="1" x14ac:dyDescent="0.2">
      <c r="A204" s="11" t="str">
        <f t="shared" ref="A204:A427" si="78">HYPERLINK("https://assets.vans.eu/images/VN000E9YBGP-HERO/1","VN000E9YBGP1")</f>
        <v>VN000E9YBGP1</v>
      </c>
      <c r="B204" s="12" t="s">
        <v>1118</v>
      </c>
      <c r="C204" s="12" t="s">
        <v>34</v>
      </c>
      <c r="D204" s="12" t="s">
        <v>1119</v>
      </c>
      <c r="E204" s="12" t="s">
        <v>1120</v>
      </c>
      <c r="F204" s="13">
        <v>60</v>
      </c>
      <c r="G204" s="14"/>
      <c r="H204" s="12" t="s">
        <v>38</v>
      </c>
      <c r="I204" s="12" t="s">
        <v>205</v>
      </c>
      <c r="J204" s="12" t="s">
        <v>206</v>
      </c>
      <c r="K204" s="12" t="s">
        <v>207</v>
      </c>
      <c r="L204" s="12" t="s">
        <v>260</v>
      </c>
      <c r="M204" s="12" t="s">
        <v>43</v>
      </c>
      <c r="N204" s="12" t="s">
        <v>84</v>
      </c>
      <c r="O204" s="12" t="s">
        <v>1121</v>
      </c>
      <c r="P204" s="12" t="s">
        <v>46</v>
      </c>
      <c r="Q204" s="12" t="s">
        <v>47</v>
      </c>
      <c r="R204" s="12" t="s">
        <v>48</v>
      </c>
      <c r="S204" s="13">
        <v>197804872657</v>
      </c>
      <c r="T204" s="12" t="s">
        <v>164</v>
      </c>
      <c r="U204" s="13">
        <v>38</v>
      </c>
      <c r="V204" s="12" t="s">
        <v>50</v>
      </c>
      <c r="W204" s="12" t="s">
        <v>284</v>
      </c>
      <c r="X204" s="14"/>
      <c r="Y204" s="14"/>
      <c r="Z204" s="14"/>
      <c r="AA204" s="14"/>
      <c r="AB204" s="14"/>
      <c r="AC204" s="15">
        <v>29.55</v>
      </c>
      <c r="AD204" s="15">
        <f>AC204*AG204</f>
        <v>916.05000000000007</v>
      </c>
      <c r="AE204" s="15">
        <v>65</v>
      </c>
      <c r="AF204" s="15">
        <f>AE204*AG204</f>
        <v>2015</v>
      </c>
      <c r="AG204" s="16">
        <v>31</v>
      </c>
    </row>
    <row r="205" spans="1:33" ht="15" customHeight="1" x14ac:dyDescent="0.2">
      <c r="A205" s="11" t="str">
        <f>HYPERLINK("https://assets.vans.eu/images/VN000QA7BLK-HERO/1","VN000QA7BLK1")</f>
        <v>VN000QA7BLK1</v>
      </c>
      <c r="B205" s="12" t="s">
        <v>1122</v>
      </c>
      <c r="C205" s="12" t="s">
        <v>1123</v>
      </c>
      <c r="D205" s="12" t="s">
        <v>76</v>
      </c>
      <c r="E205" s="12" t="s">
        <v>1124</v>
      </c>
      <c r="F205" s="12" t="s">
        <v>78</v>
      </c>
      <c r="G205" s="14"/>
      <c r="H205" s="12" t="s">
        <v>79</v>
      </c>
      <c r="I205" s="12" t="s">
        <v>80</v>
      </c>
      <c r="J205" s="12" t="s">
        <v>349</v>
      </c>
      <c r="K205" s="12" t="s">
        <v>82</v>
      </c>
      <c r="L205" s="14"/>
      <c r="M205" s="12" t="s">
        <v>43</v>
      </c>
      <c r="N205" s="12" t="s">
        <v>84</v>
      </c>
      <c r="O205" s="12" t="s">
        <v>1125</v>
      </c>
      <c r="P205" s="12" t="s">
        <v>86</v>
      </c>
      <c r="Q205" s="12" t="s">
        <v>128</v>
      </c>
      <c r="R205" s="12" t="s">
        <v>352</v>
      </c>
      <c r="S205" s="13">
        <v>197804374663</v>
      </c>
      <c r="T205" s="12" t="s">
        <v>235</v>
      </c>
      <c r="U205" s="12" t="s">
        <v>78</v>
      </c>
      <c r="V205" s="12" t="s">
        <v>1126</v>
      </c>
      <c r="W205" s="12" t="s">
        <v>51</v>
      </c>
      <c r="X205" s="14"/>
      <c r="Y205" s="14"/>
      <c r="Z205" s="14"/>
      <c r="AA205" s="14"/>
      <c r="AB205" s="14"/>
      <c r="AC205" s="15">
        <v>19.100000000000001</v>
      </c>
      <c r="AD205" s="15">
        <f>AC205*AG205</f>
        <v>573</v>
      </c>
      <c r="AE205" s="15">
        <v>42</v>
      </c>
      <c r="AF205" s="15">
        <f>AE205*AG205</f>
        <v>1260</v>
      </c>
      <c r="AG205" s="16">
        <v>30</v>
      </c>
    </row>
    <row r="206" spans="1:33" ht="15" customHeight="1" x14ac:dyDescent="0.2">
      <c r="A206" s="11" t="str">
        <f>HYPERLINK("https://assets.vans.eu/images/VN0A5KK9ZJY-HERO/1","VN0A5KK9ZJY1")</f>
        <v>VN0A5KK9ZJY1</v>
      </c>
      <c r="B206" s="12" t="s">
        <v>1127</v>
      </c>
      <c r="C206" s="12" t="s">
        <v>1128</v>
      </c>
      <c r="D206" s="12" t="s">
        <v>1129</v>
      </c>
      <c r="E206" s="12" t="s">
        <v>1130</v>
      </c>
      <c r="F206" s="12" t="s">
        <v>78</v>
      </c>
      <c r="G206" s="14"/>
      <c r="H206" s="12" t="s">
        <v>79</v>
      </c>
      <c r="I206" s="12" t="s">
        <v>472</v>
      </c>
      <c r="J206" s="12" t="s">
        <v>473</v>
      </c>
      <c r="K206" s="12" t="s">
        <v>474</v>
      </c>
      <c r="L206" s="14"/>
      <c r="M206" s="12" t="s">
        <v>43</v>
      </c>
      <c r="N206" s="12" t="s">
        <v>161</v>
      </c>
      <c r="O206" s="12" t="s">
        <v>1131</v>
      </c>
      <c r="P206" s="12" t="s">
        <v>86</v>
      </c>
      <c r="Q206" s="12" t="s">
        <v>141</v>
      </c>
      <c r="R206" s="12" t="s">
        <v>142</v>
      </c>
      <c r="S206" s="13">
        <v>197065715458</v>
      </c>
      <c r="T206" s="12" t="s">
        <v>143</v>
      </c>
      <c r="U206" s="12" t="s">
        <v>78</v>
      </c>
      <c r="V206" s="12" t="s">
        <v>1132</v>
      </c>
      <c r="W206" s="12" t="s">
        <v>299</v>
      </c>
      <c r="X206" s="13">
        <v>0</v>
      </c>
      <c r="Y206" s="12" t="s">
        <v>91</v>
      </c>
      <c r="Z206" s="12" t="s">
        <v>108</v>
      </c>
      <c r="AA206" s="13">
        <v>0</v>
      </c>
      <c r="AB206" s="13">
        <v>0</v>
      </c>
      <c r="AC206" s="15">
        <v>5.5</v>
      </c>
      <c r="AD206" s="15">
        <f>AC206*AG206</f>
        <v>165</v>
      </c>
      <c r="AE206" s="15">
        <v>12</v>
      </c>
      <c r="AF206" s="15">
        <f>AE206*AG206</f>
        <v>360</v>
      </c>
      <c r="AG206" s="16">
        <v>30</v>
      </c>
    </row>
    <row r="207" spans="1:33" ht="15" customHeight="1" x14ac:dyDescent="0.2">
      <c r="A207" s="11" t="str">
        <f t="shared" si="46"/>
        <v>VN000KXMY7U1</v>
      </c>
      <c r="B207" s="12" t="s">
        <v>1133</v>
      </c>
      <c r="C207" s="12" t="s">
        <v>739</v>
      </c>
      <c r="D207" s="12" t="s">
        <v>740</v>
      </c>
      <c r="E207" s="12" t="s">
        <v>1134</v>
      </c>
      <c r="F207" s="13">
        <v>29</v>
      </c>
      <c r="G207" s="14"/>
      <c r="H207" s="12" t="s">
        <v>61</v>
      </c>
      <c r="I207" s="12" t="s">
        <v>230</v>
      </c>
      <c r="J207" s="12" t="s">
        <v>231</v>
      </c>
      <c r="K207" s="12" t="s">
        <v>199</v>
      </c>
      <c r="L207" s="14"/>
      <c r="M207" s="12" t="s">
        <v>43</v>
      </c>
      <c r="N207" s="12" t="s">
        <v>84</v>
      </c>
      <c r="O207" s="12" t="s">
        <v>1135</v>
      </c>
      <c r="P207" s="12" t="s">
        <v>66</v>
      </c>
      <c r="Q207" s="12" t="s">
        <v>233</v>
      </c>
      <c r="R207" s="12" t="s">
        <v>361</v>
      </c>
      <c r="S207" s="13">
        <v>197643404392</v>
      </c>
      <c r="T207" s="12" t="s">
        <v>235</v>
      </c>
      <c r="U207" s="13">
        <v>29</v>
      </c>
      <c r="V207" s="12" t="s">
        <v>665</v>
      </c>
      <c r="W207" s="12" t="s">
        <v>455</v>
      </c>
      <c r="X207" s="13">
        <v>0</v>
      </c>
      <c r="Y207" s="12" t="s">
        <v>91</v>
      </c>
      <c r="Z207" s="12" t="s">
        <v>108</v>
      </c>
      <c r="AA207" s="13">
        <v>0</v>
      </c>
      <c r="AB207" s="13">
        <v>0</v>
      </c>
      <c r="AC207" s="15">
        <v>34.1</v>
      </c>
      <c r="AD207" s="15">
        <f>AC207*AG207</f>
        <v>1023</v>
      </c>
      <c r="AE207" s="15">
        <v>75</v>
      </c>
      <c r="AF207" s="15">
        <f>AE207*AG207</f>
        <v>2250</v>
      </c>
      <c r="AG207" s="16">
        <v>30</v>
      </c>
    </row>
    <row r="208" spans="1:33" ht="15" customHeight="1" x14ac:dyDescent="0.2">
      <c r="A208" s="11" t="str">
        <f t="shared" ref="A208:A896" si="79">HYPERLINK("https://assets.vans.eu/images/VN000PF7YB2-HERO/1","VN000PF7YB21")</f>
        <v>VN000PF7YB21</v>
      </c>
      <c r="B208" s="12" t="s">
        <v>1136</v>
      </c>
      <c r="C208" s="12" t="s">
        <v>1137</v>
      </c>
      <c r="D208" s="12" t="s">
        <v>1138</v>
      </c>
      <c r="E208" s="12" t="s">
        <v>1139</v>
      </c>
      <c r="F208" s="12" t="s">
        <v>403</v>
      </c>
      <c r="G208" s="14"/>
      <c r="H208" s="12" t="s">
        <v>61</v>
      </c>
      <c r="I208" s="12" t="s">
        <v>230</v>
      </c>
      <c r="J208" s="12" t="s">
        <v>419</v>
      </c>
      <c r="K208" s="12" t="s">
        <v>199</v>
      </c>
      <c r="L208" s="14"/>
      <c r="M208" s="12" t="s">
        <v>43</v>
      </c>
      <c r="N208" s="12" t="s">
        <v>84</v>
      </c>
      <c r="O208" s="12" t="s">
        <v>1140</v>
      </c>
      <c r="P208" s="12" t="s">
        <v>66</v>
      </c>
      <c r="Q208" s="12" t="s">
        <v>67</v>
      </c>
      <c r="R208" s="12" t="s">
        <v>421</v>
      </c>
      <c r="S208" s="13">
        <v>197804358335</v>
      </c>
      <c r="T208" s="12" t="s">
        <v>49</v>
      </c>
      <c r="U208" s="12" t="s">
        <v>403</v>
      </c>
      <c r="V208" s="12" t="s">
        <v>665</v>
      </c>
      <c r="W208" s="12" t="s">
        <v>175</v>
      </c>
      <c r="X208" s="14"/>
      <c r="Y208" s="14"/>
      <c r="Z208" s="14"/>
      <c r="AA208" s="14"/>
      <c r="AB208" s="14"/>
      <c r="AC208" s="15">
        <v>20.5</v>
      </c>
      <c r="AD208" s="15">
        <f>AC208*AG208</f>
        <v>615</v>
      </c>
      <c r="AE208" s="15">
        <v>45</v>
      </c>
      <c r="AF208" s="15">
        <f>AE208*AG208</f>
        <v>1350</v>
      </c>
      <c r="AG208" s="16">
        <v>30</v>
      </c>
    </row>
    <row r="209" spans="1:33" ht="15" customHeight="1" x14ac:dyDescent="0.2">
      <c r="A209" s="11" t="str">
        <f t="shared" ref="A209:A3578" si="80">HYPERLINK("https://assets.vans.eu/images/VN000RCEFCT-HERO/1","VN000RCEFCT1")</f>
        <v>VN000RCEFCT1</v>
      </c>
      <c r="B209" s="12" t="s">
        <v>1141</v>
      </c>
      <c r="C209" s="12" t="s">
        <v>1142</v>
      </c>
      <c r="D209" s="12" t="s">
        <v>1143</v>
      </c>
      <c r="E209" s="12" t="s">
        <v>1144</v>
      </c>
      <c r="F209" s="12" t="s">
        <v>170</v>
      </c>
      <c r="G209" s="14"/>
      <c r="H209" s="12" t="s">
        <v>61</v>
      </c>
      <c r="I209" s="12" t="s">
        <v>289</v>
      </c>
      <c r="J209" s="12" t="s">
        <v>706</v>
      </c>
      <c r="K209" s="12" t="s">
        <v>100</v>
      </c>
      <c r="L209" s="12" t="s">
        <v>83</v>
      </c>
      <c r="M209" s="12" t="s">
        <v>43</v>
      </c>
      <c r="N209" s="12" t="s">
        <v>84</v>
      </c>
      <c r="O209" s="12" t="s">
        <v>1145</v>
      </c>
      <c r="P209" s="12" t="s">
        <v>66</v>
      </c>
      <c r="Q209" s="12" t="s">
        <v>67</v>
      </c>
      <c r="R209" s="12" t="s">
        <v>1146</v>
      </c>
      <c r="S209" s="13">
        <v>197804297986</v>
      </c>
      <c r="T209" s="12" t="s">
        <v>69</v>
      </c>
      <c r="U209" s="12" t="s">
        <v>170</v>
      </c>
      <c r="V209" s="12" t="s">
        <v>423</v>
      </c>
      <c r="W209" s="12" t="s">
        <v>175</v>
      </c>
      <c r="X209" s="14"/>
      <c r="Y209" s="14"/>
      <c r="Z209" s="14"/>
      <c r="AA209" s="14"/>
      <c r="AB209" s="14"/>
      <c r="AC209" s="15">
        <v>15.95</v>
      </c>
      <c r="AD209" s="15">
        <f>AC209*AG209</f>
        <v>478.5</v>
      </c>
      <c r="AE209" s="15">
        <v>35</v>
      </c>
      <c r="AF209" s="15">
        <f>AE209*AG209</f>
        <v>1050</v>
      </c>
      <c r="AG209" s="16">
        <v>30</v>
      </c>
    </row>
    <row r="210" spans="1:33" ht="15" customHeight="1" x14ac:dyDescent="0.2">
      <c r="A210" s="11" t="str">
        <f t="shared" ref="A210:A233" si="81">HYPERLINK("https://assets.vans.eu/images/VN000D0H11E-HERO/1","VN000D0H11E1")</f>
        <v>VN000D0H11E1</v>
      </c>
      <c r="B210" s="12" t="s">
        <v>1147</v>
      </c>
      <c r="C210" s="12" t="s">
        <v>1108</v>
      </c>
      <c r="D210" s="12" t="s">
        <v>1148</v>
      </c>
      <c r="E210" s="12" t="s">
        <v>1149</v>
      </c>
      <c r="F210" s="13">
        <v>10</v>
      </c>
      <c r="G210" s="12" t="s">
        <v>1111</v>
      </c>
      <c r="H210" s="12" t="s">
        <v>38</v>
      </c>
      <c r="I210" s="12" t="s">
        <v>39</v>
      </c>
      <c r="J210" s="12" t="s">
        <v>40</v>
      </c>
      <c r="K210" s="12" t="s">
        <v>41</v>
      </c>
      <c r="L210" s="14"/>
      <c r="M210" s="12" t="s">
        <v>43</v>
      </c>
      <c r="N210" s="12" t="s">
        <v>84</v>
      </c>
      <c r="O210" s="12" t="s">
        <v>1150</v>
      </c>
      <c r="P210" s="12" t="s">
        <v>46</v>
      </c>
      <c r="Q210" s="12" t="s">
        <v>47</v>
      </c>
      <c r="R210" s="12" t="s">
        <v>780</v>
      </c>
      <c r="S210" s="13">
        <v>197804435197</v>
      </c>
      <c r="T210" s="12" t="s">
        <v>105</v>
      </c>
      <c r="U210" s="13">
        <v>31.5</v>
      </c>
      <c r="V210" s="12" t="s">
        <v>50</v>
      </c>
      <c r="W210" s="12" t="s">
        <v>107</v>
      </c>
      <c r="X210" s="14"/>
      <c r="Y210" s="14"/>
      <c r="Z210" s="14"/>
      <c r="AA210" s="14"/>
      <c r="AB210" s="14"/>
      <c r="AC210" s="15">
        <v>34.1</v>
      </c>
      <c r="AD210" s="15">
        <f>AC210*AG210</f>
        <v>1023</v>
      </c>
      <c r="AE210" s="15">
        <v>75</v>
      </c>
      <c r="AF210" s="15">
        <f>AE210*AG210</f>
        <v>2250</v>
      </c>
      <c r="AG210" s="16">
        <v>30</v>
      </c>
    </row>
    <row r="211" spans="1:33" ht="15" customHeight="1" x14ac:dyDescent="0.2">
      <c r="A211" s="11" t="str">
        <f t="shared" si="76"/>
        <v>VN000D0HKCZ1</v>
      </c>
      <c r="B211" s="12" t="s">
        <v>1151</v>
      </c>
      <c r="C211" s="12" t="s">
        <v>1108</v>
      </c>
      <c r="D211" s="12" t="s">
        <v>1109</v>
      </c>
      <c r="E211" s="12" t="s">
        <v>1152</v>
      </c>
      <c r="F211" s="13">
        <v>105</v>
      </c>
      <c r="G211" s="12" t="s">
        <v>1111</v>
      </c>
      <c r="H211" s="12" t="s">
        <v>38</v>
      </c>
      <c r="I211" s="12" t="s">
        <v>39</v>
      </c>
      <c r="J211" s="12" t="s">
        <v>40</v>
      </c>
      <c r="K211" s="12" t="s">
        <v>41</v>
      </c>
      <c r="L211" s="14"/>
      <c r="M211" s="12" t="s">
        <v>43</v>
      </c>
      <c r="N211" s="12" t="s">
        <v>84</v>
      </c>
      <c r="O211" s="12" t="s">
        <v>1153</v>
      </c>
      <c r="P211" s="12" t="s">
        <v>46</v>
      </c>
      <c r="Q211" s="12" t="s">
        <v>47</v>
      </c>
      <c r="R211" s="12" t="s">
        <v>780</v>
      </c>
      <c r="S211" s="13">
        <v>197804436101</v>
      </c>
      <c r="T211" s="12" t="s">
        <v>105</v>
      </c>
      <c r="U211" s="13">
        <v>27</v>
      </c>
      <c r="V211" s="12" t="s">
        <v>50</v>
      </c>
      <c r="W211" s="12" t="s">
        <v>118</v>
      </c>
      <c r="X211" s="14"/>
      <c r="Y211" s="14"/>
      <c r="Z211" s="14"/>
      <c r="AA211" s="14"/>
      <c r="AB211" s="14"/>
      <c r="AC211" s="15">
        <v>34.1</v>
      </c>
      <c r="AD211" s="15">
        <f>AC211*AG211</f>
        <v>1023</v>
      </c>
      <c r="AE211" s="15">
        <v>75</v>
      </c>
      <c r="AF211" s="15">
        <f>AE211*AG211</f>
        <v>2250</v>
      </c>
      <c r="AG211" s="16">
        <v>30</v>
      </c>
    </row>
    <row r="212" spans="1:33" ht="15" customHeight="1" x14ac:dyDescent="0.2">
      <c r="A212" s="11" t="str">
        <f t="shared" ref="A212:A424" si="82">HYPERLINK("https://assets.vans.eu/images/VN000D2VEMY-HERO/1","VN000D2VEMY1")</f>
        <v>VN000D2VEMY1</v>
      </c>
      <c r="B212" s="12" t="s">
        <v>1154</v>
      </c>
      <c r="C212" s="12" t="s">
        <v>34</v>
      </c>
      <c r="D212" s="12" t="s">
        <v>1155</v>
      </c>
      <c r="E212" s="12" t="s">
        <v>1156</v>
      </c>
      <c r="F212" s="13">
        <v>60</v>
      </c>
      <c r="G212" s="14"/>
      <c r="H212" s="12" t="s">
        <v>38</v>
      </c>
      <c r="I212" s="12" t="s">
        <v>205</v>
      </c>
      <c r="J212" s="12" t="s">
        <v>206</v>
      </c>
      <c r="K212" s="12" t="s">
        <v>207</v>
      </c>
      <c r="L212" s="14"/>
      <c r="M212" s="12" t="s">
        <v>43</v>
      </c>
      <c r="N212" s="12" t="s">
        <v>84</v>
      </c>
      <c r="O212" s="12" t="s">
        <v>1157</v>
      </c>
      <c r="P212" s="12" t="s">
        <v>46</v>
      </c>
      <c r="Q212" s="12" t="s">
        <v>47</v>
      </c>
      <c r="R212" s="12" t="s">
        <v>48</v>
      </c>
      <c r="S212" s="13">
        <v>197804527533</v>
      </c>
      <c r="T212" s="12" t="s">
        <v>164</v>
      </c>
      <c r="U212" s="13">
        <v>38</v>
      </c>
      <c r="V212" s="12" t="s">
        <v>50</v>
      </c>
      <c r="W212" s="12" t="s">
        <v>107</v>
      </c>
      <c r="X212" s="14"/>
      <c r="Y212" s="14"/>
      <c r="Z212" s="14"/>
      <c r="AA212" s="14"/>
      <c r="AB212" s="14"/>
      <c r="AC212" s="15">
        <v>29.55</v>
      </c>
      <c r="AD212" s="15">
        <f>AC212*AG212</f>
        <v>886.5</v>
      </c>
      <c r="AE212" s="15">
        <v>65</v>
      </c>
      <c r="AF212" s="15">
        <f>AE212*AG212</f>
        <v>1950</v>
      </c>
      <c r="AG212" s="16">
        <v>30</v>
      </c>
    </row>
    <row r="213" spans="1:33" ht="15" customHeight="1" x14ac:dyDescent="0.2">
      <c r="A213" s="11" t="str">
        <f t="shared" si="78"/>
        <v>VN000E9YBGP1</v>
      </c>
      <c r="B213" s="12" t="s">
        <v>1158</v>
      </c>
      <c r="C213" s="12" t="s">
        <v>34</v>
      </c>
      <c r="D213" s="12" t="s">
        <v>1119</v>
      </c>
      <c r="E213" s="12" t="s">
        <v>1159</v>
      </c>
      <c r="F213" s="13">
        <v>55</v>
      </c>
      <c r="G213" s="14"/>
      <c r="H213" s="12" t="s">
        <v>38</v>
      </c>
      <c r="I213" s="12" t="s">
        <v>205</v>
      </c>
      <c r="J213" s="12" t="s">
        <v>206</v>
      </c>
      <c r="K213" s="12" t="s">
        <v>207</v>
      </c>
      <c r="L213" s="12" t="s">
        <v>260</v>
      </c>
      <c r="M213" s="12" t="s">
        <v>43</v>
      </c>
      <c r="N213" s="12" t="s">
        <v>84</v>
      </c>
      <c r="O213" s="12" t="s">
        <v>1160</v>
      </c>
      <c r="P213" s="12" t="s">
        <v>46</v>
      </c>
      <c r="Q213" s="12" t="s">
        <v>47</v>
      </c>
      <c r="R213" s="12" t="s">
        <v>48</v>
      </c>
      <c r="S213" s="13">
        <v>197804872619</v>
      </c>
      <c r="T213" s="12" t="s">
        <v>164</v>
      </c>
      <c r="U213" s="13">
        <v>37</v>
      </c>
      <c r="V213" s="12" t="s">
        <v>50</v>
      </c>
      <c r="W213" s="12" t="s">
        <v>284</v>
      </c>
      <c r="X213" s="14"/>
      <c r="Y213" s="14"/>
      <c r="Z213" s="14"/>
      <c r="AA213" s="14"/>
      <c r="AB213" s="14"/>
      <c r="AC213" s="15">
        <v>29.55</v>
      </c>
      <c r="AD213" s="15">
        <f>AC213*AG213</f>
        <v>886.5</v>
      </c>
      <c r="AE213" s="15">
        <v>65</v>
      </c>
      <c r="AF213" s="15">
        <f>AE213*AG213</f>
        <v>1950</v>
      </c>
      <c r="AG213" s="16">
        <v>30</v>
      </c>
    </row>
    <row r="214" spans="1:33" ht="15" customHeight="1" x14ac:dyDescent="0.2">
      <c r="A214" s="11" t="str">
        <f t="shared" si="65"/>
        <v>VN0A5FCBB9M1</v>
      </c>
      <c r="B214" s="12" t="s">
        <v>1161</v>
      </c>
      <c r="C214" s="12" t="s">
        <v>996</v>
      </c>
      <c r="D214" s="12" t="s">
        <v>339</v>
      </c>
      <c r="E214" s="12" t="s">
        <v>1162</v>
      </c>
      <c r="F214" s="13">
        <v>35</v>
      </c>
      <c r="G214" s="14"/>
      <c r="H214" s="12" t="s">
        <v>38</v>
      </c>
      <c r="I214" s="12" t="s">
        <v>159</v>
      </c>
      <c r="J214" s="12" t="s">
        <v>341</v>
      </c>
      <c r="K214" s="12" t="s">
        <v>199</v>
      </c>
      <c r="L214" s="14"/>
      <c r="M214" s="12" t="s">
        <v>43</v>
      </c>
      <c r="N214" s="12" t="s">
        <v>84</v>
      </c>
      <c r="O214" s="12" t="s">
        <v>1163</v>
      </c>
      <c r="P214" s="12" t="s">
        <v>46</v>
      </c>
      <c r="Q214" s="12" t="s">
        <v>47</v>
      </c>
      <c r="R214" s="12" t="s">
        <v>163</v>
      </c>
      <c r="S214" s="13">
        <v>194905588302</v>
      </c>
      <c r="T214" s="12" t="s">
        <v>49</v>
      </c>
      <c r="U214" s="13">
        <v>34.5</v>
      </c>
      <c r="V214" s="12" t="s">
        <v>50</v>
      </c>
      <c r="W214" s="12" t="s">
        <v>51</v>
      </c>
      <c r="X214" s="14"/>
      <c r="Y214" s="12" t="s">
        <v>91</v>
      </c>
      <c r="Z214" s="12" t="s">
        <v>344</v>
      </c>
      <c r="AA214" s="14"/>
      <c r="AB214" s="14"/>
      <c r="AC214" s="15">
        <v>38.65</v>
      </c>
      <c r="AD214" s="15">
        <f>AC214*AG214</f>
        <v>1159.5</v>
      </c>
      <c r="AE214" s="15">
        <v>85</v>
      </c>
      <c r="AF214" s="15">
        <f>AE214*AG214</f>
        <v>2550</v>
      </c>
      <c r="AG214" s="16">
        <v>30</v>
      </c>
    </row>
    <row r="215" spans="1:33" ht="15" customHeight="1" x14ac:dyDescent="0.2">
      <c r="A215" s="11" t="str">
        <f>HYPERLINK("https://assets.vans.eu/images/VN000HTDBLK-HERO/1","VN000HTDBLK1")</f>
        <v>VN000HTDBLK1</v>
      </c>
      <c r="B215" s="12" t="s">
        <v>1164</v>
      </c>
      <c r="C215" s="12" t="s">
        <v>1165</v>
      </c>
      <c r="D215" s="12" t="s">
        <v>76</v>
      </c>
      <c r="E215" s="12" t="s">
        <v>1166</v>
      </c>
      <c r="F215" s="13">
        <v>651</v>
      </c>
      <c r="G215" s="14"/>
      <c r="H215" s="12" t="s">
        <v>79</v>
      </c>
      <c r="I215" s="12" t="s">
        <v>80</v>
      </c>
      <c r="J215" s="12" t="s">
        <v>171</v>
      </c>
      <c r="K215" s="12" t="s">
        <v>100</v>
      </c>
      <c r="L215" s="14"/>
      <c r="M215" s="12" t="s">
        <v>43</v>
      </c>
      <c r="N215" s="12" t="s">
        <v>44</v>
      </c>
      <c r="O215" s="12" t="s">
        <v>1167</v>
      </c>
      <c r="P215" s="12" t="s">
        <v>86</v>
      </c>
      <c r="Q215" s="12" t="s">
        <v>141</v>
      </c>
      <c r="R215" s="12" t="s">
        <v>173</v>
      </c>
      <c r="S215" s="13">
        <v>197643555162</v>
      </c>
      <c r="T215" s="12" t="s">
        <v>143</v>
      </c>
      <c r="U215" s="12" t="s">
        <v>800</v>
      </c>
      <c r="V215" s="12" t="s">
        <v>1168</v>
      </c>
      <c r="W215" s="12" t="s">
        <v>51</v>
      </c>
      <c r="X215" s="13">
        <v>0</v>
      </c>
      <c r="Y215" s="12" t="s">
        <v>91</v>
      </c>
      <c r="Z215" s="12" t="s">
        <v>108</v>
      </c>
      <c r="AA215" s="13">
        <v>0</v>
      </c>
      <c r="AB215" s="13">
        <v>0</v>
      </c>
      <c r="AC215" s="15">
        <v>9.1</v>
      </c>
      <c r="AD215" s="15">
        <f>AC215*AG215</f>
        <v>263.89999999999998</v>
      </c>
      <c r="AE215" s="15">
        <v>20</v>
      </c>
      <c r="AF215" s="15">
        <f>AE215*AG215</f>
        <v>580</v>
      </c>
      <c r="AG215" s="16">
        <v>29</v>
      </c>
    </row>
    <row r="216" spans="1:33" ht="15" customHeight="1" x14ac:dyDescent="0.2">
      <c r="A216" s="11" t="str">
        <f>HYPERLINK("https://assets.vans.eu/images/VN000QAD7WM-HERO/1","VN000QAD7WM1")</f>
        <v>VN000QAD7WM1</v>
      </c>
      <c r="B216" s="12" t="s">
        <v>1169</v>
      </c>
      <c r="C216" s="12" t="s">
        <v>1170</v>
      </c>
      <c r="D216" s="12" t="s">
        <v>388</v>
      </c>
      <c r="E216" s="12" t="s">
        <v>1171</v>
      </c>
      <c r="F216" s="12" t="s">
        <v>78</v>
      </c>
      <c r="G216" s="14"/>
      <c r="H216" s="12" t="s">
        <v>79</v>
      </c>
      <c r="I216" s="12" t="s">
        <v>80</v>
      </c>
      <c r="J216" s="12" t="s">
        <v>349</v>
      </c>
      <c r="K216" s="12" t="s">
        <v>82</v>
      </c>
      <c r="L216" s="14"/>
      <c r="M216" s="12" t="s">
        <v>43</v>
      </c>
      <c r="N216" s="12" t="s">
        <v>84</v>
      </c>
      <c r="O216" s="12" t="s">
        <v>1172</v>
      </c>
      <c r="P216" s="12" t="s">
        <v>86</v>
      </c>
      <c r="Q216" s="12" t="s">
        <v>128</v>
      </c>
      <c r="R216" s="12" t="s">
        <v>352</v>
      </c>
      <c r="S216" s="13">
        <v>197804374809</v>
      </c>
      <c r="T216" s="12" t="s">
        <v>235</v>
      </c>
      <c r="U216" s="12" t="s">
        <v>78</v>
      </c>
      <c r="V216" s="12" t="s">
        <v>1173</v>
      </c>
      <c r="W216" s="12" t="s">
        <v>284</v>
      </c>
      <c r="X216" s="14"/>
      <c r="Y216" s="14"/>
      <c r="Z216" s="14"/>
      <c r="AA216" s="14"/>
      <c r="AB216" s="14"/>
      <c r="AC216" s="15">
        <v>14.55</v>
      </c>
      <c r="AD216" s="15">
        <f>AC216*AG216</f>
        <v>421.95000000000005</v>
      </c>
      <c r="AE216" s="15">
        <v>32</v>
      </c>
      <c r="AF216" s="15">
        <f>AE216*AG216</f>
        <v>928</v>
      </c>
      <c r="AG216" s="16">
        <v>29</v>
      </c>
    </row>
    <row r="217" spans="1:33" ht="15" customHeight="1" x14ac:dyDescent="0.2">
      <c r="A217" s="11" t="str">
        <f>HYPERLINK("https://assets.vans.eu/images/VN0A4TQBBWU-HERO/1","VN0A4TQBBWU1")</f>
        <v>VN0A4TQBBWU1</v>
      </c>
      <c r="B217" s="12" t="s">
        <v>1174</v>
      </c>
      <c r="C217" s="12" t="s">
        <v>1175</v>
      </c>
      <c r="D217" s="12" t="s">
        <v>1176</v>
      </c>
      <c r="E217" s="12" t="s">
        <v>1177</v>
      </c>
      <c r="F217" s="12" t="s">
        <v>853</v>
      </c>
      <c r="G217" s="14"/>
      <c r="H217" s="12" t="s">
        <v>79</v>
      </c>
      <c r="I217" s="12" t="s">
        <v>80</v>
      </c>
      <c r="J217" s="12" t="s">
        <v>349</v>
      </c>
      <c r="K217" s="12" t="s">
        <v>199</v>
      </c>
      <c r="L217" s="14"/>
      <c r="M217" s="12" t="s">
        <v>43</v>
      </c>
      <c r="N217" s="12" t="s">
        <v>467</v>
      </c>
      <c r="O217" s="12" t="s">
        <v>1178</v>
      </c>
      <c r="P217" s="12" t="s">
        <v>86</v>
      </c>
      <c r="Q217" s="12" t="s">
        <v>128</v>
      </c>
      <c r="R217" s="12" t="s">
        <v>352</v>
      </c>
      <c r="S217" s="13">
        <v>196571467028</v>
      </c>
      <c r="T217" s="12" t="s">
        <v>235</v>
      </c>
      <c r="U217" s="12" t="s">
        <v>853</v>
      </c>
      <c r="V217" s="12" t="s">
        <v>1179</v>
      </c>
      <c r="W217" s="12" t="s">
        <v>625</v>
      </c>
      <c r="X217" s="13">
        <v>0</v>
      </c>
      <c r="Y217" s="12" t="s">
        <v>91</v>
      </c>
      <c r="Z217" s="12" t="s">
        <v>1180</v>
      </c>
      <c r="AA217" s="13">
        <v>0</v>
      </c>
      <c r="AB217" s="13">
        <v>0</v>
      </c>
      <c r="AC217" s="15">
        <v>20.5</v>
      </c>
      <c r="AD217" s="15">
        <f>AC217*AG217</f>
        <v>594.5</v>
      </c>
      <c r="AE217" s="15">
        <v>45</v>
      </c>
      <c r="AF217" s="15">
        <f>AE217*AG217</f>
        <v>1305</v>
      </c>
      <c r="AG217" s="16">
        <v>29</v>
      </c>
    </row>
    <row r="218" spans="1:33" ht="15" customHeight="1" x14ac:dyDescent="0.2">
      <c r="A218" s="11" t="str">
        <f t="shared" ref="A218:A306" si="83">HYPERLINK("https://assets.vans.eu/images/VN0A7YTTBM5-HERO/1","VN0A7YTTBM51")</f>
        <v>VN0A7YTTBM51</v>
      </c>
      <c r="B218" s="12" t="s">
        <v>1181</v>
      </c>
      <c r="C218" s="12" t="s">
        <v>1182</v>
      </c>
      <c r="D218" s="12" t="s">
        <v>1183</v>
      </c>
      <c r="E218" s="12" t="s">
        <v>1184</v>
      </c>
      <c r="F218" s="12" t="s">
        <v>853</v>
      </c>
      <c r="G218" s="14"/>
      <c r="H218" s="12" t="s">
        <v>79</v>
      </c>
      <c r="I218" s="12" t="s">
        <v>80</v>
      </c>
      <c r="J218" s="12" t="s">
        <v>349</v>
      </c>
      <c r="K218" s="12" t="s">
        <v>100</v>
      </c>
      <c r="L218" s="14"/>
      <c r="M218" s="12" t="s">
        <v>43</v>
      </c>
      <c r="N218" s="12" t="s">
        <v>467</v>
      </c>
      <c r="O218" s="12" t="s">
        <v>1185</v>
      </c>
      <c r="P218" s="12" t="s">
        <v>86</v>
      </c>
      <c r="Q218" s="12" t="s">
        <v>128</v>
      </c>
      <c r="R218" s="12" t="s">
        <v>352</v>
      </c>
      <c r="S218" s="13">
        <v>196571454929</v>
      </c>
      <c r="T218" s="12" t="s">
        <v>235</v>
      </c>
      <c r="U218" s="12" t="s">
        <v>853</v>
      </c>
      <c r="V218" s="12" t="s">
        <v>1186</v>
      </c>
      <c r="W218" s="12" t="s">
        <v>933</v>
      </c>
      <c r="X218" s="13">
        <v>0</v>
      </c>
      <c r="Y218" s="12" t="s">
        <v>91</v>
      </c>
      <c r="Z218" s="12" t="s">
        <v>108</v>
      </c>
      <c r="AA218" s="13">
        <v>0</v>
      </c>
      <c r="AB218" s="13">
        <v>0</v>
      </c>
      <c r="AC218" s="15">
        <v>20.5</v>
      </c>
      <c r="AD218" s="15">
        <f>AC218*AG218</f>
        <v>594.5</v>
      </c>
      <c r="AE218" s="15">
        <v>45</v>
      </c>
      <c r="AF218" s="15">
        <f>AE218*AG218</f>
        <v>1305</v>
      </c>
      <c r="AG218" s="16">
        <v>29</v>
      </c>
    </row>
    <row r="219" spans="1:33" ht="15" customHeight="1" x14ac:dyDescent="0.2">
      <c r="A219" s="11" t="str">
        <f t="shared" ref="A219:A308" si="84">HYPERLINK("https://assets.vans.eu/images/VN000G75BL2-HERO/1","VN000G75BL21")</f>
        <v>VN000G75BL21</v>
      </c>
      <c r="B219" s="12" t="s">
        <v>1187</v>
      </c>
      <c r="C219" s="12" t="s">
        <v>1188</v>
      </c>
      <c r="D219" s="12" t="s">
        <v>686</v>
      </c>
      <c r="E219" s="12" t="s">
        <v>1189</v>
      </c>
      <c r="F219" s="12" t="s">
        <v>60</v>
      </c>
      <c r="G219" s="14"/>
      <c r="H219" s="12" t="s">
        <v>61</v>
      </c>
      <c r="I219" s="12" t="s">
        <v>230</v>
      </c>
      <c r="J219" s="12" t="s">
        <v>557</v>
      </c>
      <c r="K219" s="12" t="s">
        <v>199</v>
      </c>
      <c r="L219" s="14"/>
      <c r="M219" s="12" t="s">
        <v>43</v>
      </c>
      <c r="N219" s="12" t="s">
        <v>44</v>
      </c>
      <c r="O219" s="12" t="s">
        <v>1190</v>
      </c>
      <c r="P219" s="12" t="s">
        <v>66</v>
      </c>
      <c r="Q219" s="12" t="s">
        <v>559</v>
      </c>
      <c r="R219" s="12" t="s">
        <v>560</v>
      </c>
      <c r="S219" s="13">
        <v>197643554264</v>
      </c>
      <c r="T219" s="12" t="s">
        <v>49</v>
      </c>
      <c r="U219" s="12" t="s">
        <v>60</v>
      </c>
      <c r="V219" s="12" t="s">
        <v>1191</v>
      </c>
      <c r="W219" s="12" t="s">
        <v>186</v>
      </c>
      <c r="X219" s="12" t="s">
        <v>500</v>
      </c>
      <c r="Y219" s="12" t="s">
        <v>91</v>
      </c>
      <c r="Z219" s="12" t="s">
        <v>108</v>
      </c>
      <c r="AA219" s="13">
        <v>0</v>
      </c>
      <c r="AB219" s="13">
        <v>0</v>
      </c>
      <c r="AC219" s="15">
        <v>25</v>
      </c>
      <c r="AD219" s="15">
        <f>AC219*AG219</f>
        <v>725</v>
      </c>
      <c r="AE219" s="15">
        <v>55</v>
      </c>
      <c r="AF219" s="15">
        <f>AE219*AG219</f>
        <v>1595</v>
      </c>
      <c r="AG219" s="16">
        <v>29</v>
      </c>
    </row>
    <row r="220" spans="1:33" ht="15" customHeight="1" x14ac:dyDescent="0.2">
      <c r="A220" s="11" t="str">
        <f t="shared" si="50"/>
        <v>VN000M3GJDU1</v>
      </c>
      <c r="B220" s="12" t="s">
        <v>1192</v>
      </c>
      <c r="C220" s="12" t="s">
        <v>813</v>
      </c>
      <c r="D220" s="12" t="s">
        <v>814</v>
      </c>
      <c r="E220" s="12" t="s">
        <v>1193</v>
      </c>
      <c r="F220" s="12" t="s">
        <v>403</v>
      </c>
      <c r="G220" s="14"/>
      <c r="H220" s="12" t="s">
        <v>61</v>
      </c>
      <c r="I220" s="12" t="s">
        <v>230</v>
      </c>
      <c r="J220" s="12" t="s">
        <v>557</v>
      </c>
      <c r="K220" s="12" t="s">
        <v>199</v>
      </c>
      <c r="L220" s="14"/>
      <c r="M220" s="12" t="s">
        <v>43</v>
      </c>
      <c r="N220" s="12" t="s">
        <v>44</v>
      </c>
      <c r="O220" s="12" t="s">
        <v>1194</v>
      </c>
      <c r="P220" s="12" t="s">
        <v>66</v>
      </c>
      <c r="Q220" s="12" t="s">
        <v>559</v>
      </c>
      <c r="R220" s="12" t="s">
        <v>560</v>
      </c>
      <c r="S220" s="13">
        <v>197643538004</v>
      </c>
      <c r="T220" s="12" t="s">
        <v>49</v>
      </c>
      <c r="U220" s="12" t="s">
        <v>403</v>
      </c>
      <c r="V220" s="12" t="s">
        <v>90</v>
      </c>
      <c r="W220" s="12" t="s">
        <v>284</v>
      </c>
      <c r="X220" s="13">
        <v>0</v>
      </c>
      <c r="Y220" s="12" t="s">
        <v>53</v>
      </c>
      <c r="Z220" s="12" t="s">
        <v>108</v>
      </c>
      <c r="AA220" s="13">
        <v>0</v>
      </c>
      <c r="AB220" s="13">
        <v>0</v>
      </c>
      <c r="AC220" s="15">
        <v>27.3</v>
      </c>
      <c r="AD220" s="15">
        <f>AC220*AG220</f>
        <v>791.7</v>
      </c>
      <c r="AE220" s="15">
        <v>60</v>
      </c>
      <c r="AF220" s="15">
        <f>AE220*AG220</f>
        <v>1740</v>
      </c>
      <c r="AG220" s="16">
        <v>29</v>
      </c>
    </row>
    <row r="221" spans="1:33" ht="15" customHeight="1" x14ac:dyDescent="0.2">
      <c r="A221" s="11" t="str">
        <f t="shared" ref="A221:A356" si="85">HYPERLINK("https://assets.vans.eu/images/VN000R3UU20-HERO/1","VN000R3UU201")</f>
        <v>VN000R3UU201</v>
      </c>
      <c r="B221" s="12" t="s">
        <v>1195</v>
      </c>
      <c r="C221" s="12" t="s">
        <v>1196</v>
      </c>
      <c r="D221" s="12" t="s">
        <v>1197</v>
      </c>
      <c r="E221" s="12" t="s">
        <v>1198</v>
      </c>
      <c r="F221" s="12" t="s">
        <v>153</v>
      </c>
      <c r="G221" s="14"/>
      <c r="H221" s="12" t="s">
        <v>61</v>
      </c>
      <c r="I221" s="12" t="s">
        <v>289</v>
      </c>
      <c r="J221" s="12" t="s">
        <v>706</v>
      </c>
      <c r="K221" s="12" t="s">
        <v>100</v>
      </c>
      <c r="L221" s="14"/>
      <c r="M221" s="12" t="s">
        <v>43</v>
      </c>
      <c r="N221" s="12" t="s">
        <v>84</v>
      </c>
      <c r="O221" s="12" t="s">
        <v>1199</v>
      </c>
      <c r="P221" s="12" t="s">
        <v>66</v>
      </c>
      <c r="Q221" s="12" t="s">
        <v>67</v>
      </c>
      <c r="R221" s="12" t="s">
        <v>1200</v>
      </c>
      <c r="S221" s="13">
        <v>197804585397</v>
      </c>
      <c r="T221" s="12" t="s">
        <v>49</v>
      </c>
      <c r="U221" s="12" t="s">
        <v>153</v>
      </c>
      <c r="V221" s="12" t="s">
        <v>1201</v>
      </c>
      <c r="W221" s="12" t="s">
        <v>175</v>
      </c>
      <c r="X221" s="14"/>
      <c r="Y221" s="14"/>
      <c r="Z221" s="14"/>
      <c r="AA221" s="14"/>
      <c r="AB221" s="14"/>
      <c r="AC221" s="15">
        <v>20.5</v>
      </c>
      <c r="AD221" s="15">
        <f>AC221*AG221</f>
        <v>594.5</v>
      </c>
      <c r="AE221" s="15">
        <v>45</v>
      </c>
      <c r="AF221" s="15">
        <f>AE221*AG221</f>
        <v>1305</v>
      </c>
      <c r="AG221" s="16">
        <v>29</v>
      </c>
    </row>
    <row r="222" spans="1:33" ht="15" customHeight="1" x14ac:dyDescent="0.2">
      <c r="A222" s="11" t="str">
        <f t="shared" ref="A222:A673" si="86">HYPERLINK("https://assets.vans.eu/images/VN000XCUWHT-HERO/1","VN000XCUWHT1")</f>
        <v>VN000XCUWHT1</v>
      </c>
      <c r="B222" s="12" t="s">
        <v>1202</v>
      </c>
      <c r="C222" s="12" t="s">
        <v>1203</v>
      </c>
      <c r="D222" s="12" t="s">
        <v>168</v>
      </c>
      <c r="E222" s="12" t="s">
        <v>1204</v>
      </c>
      <c r="F222" s="12" t="s">
        <v>179</v>
      </c>
      <c r="G222" s="14"/>
      <c r="H222" s="12" t="s">
        <v>61</v>
      </c>
      <c r="I222" s="12" t="s">
        <v>230</v>
      </c>
      <c r="J222" s="12" t="s">
        <v>419</v>
      </c>
      <c r="K222" s="12" t="s">
        <v>199</v>
      </c>
      <c r="L222" s="12" t="s">
        <v>115</v>
      </c>
      <c r="M222" s="12" t="s">
        <v>43</v>
      </c>
      <c r="N222" s="12" t="s">
        <v>84</v>
      </c>
      <c r="O222" s="12" t="s">
        <v>1205</v>
      </c>
      <c r="P222" s="12" t="s">
        <v>66</v>
      </c>
      <c r="Q222" s="12" t="s">
        <v>67</v>
      </c>
      <c r="R222" s="12" t="s">
        <v>421</v>
      </c>
      <c r="S222" s="13">
        <v>198268244769</v>
      </c>
      <c r="T222" s="12" t="s">
        <v>422</v>
      </c>
      <c r="U222" s="12" t="s">
        <v>179</v>
      </c>
      <c r="V222" s="12" t="s">
        <v>423</v>
      </c>
      <c r="W222" s="12" t="s">
        <v>175</v>
      </c>
      <c r="X222" s="14"/>
      <c r="Y222" s="14"/>
      <c r="Z222" s="14"/>
      <c r="AA222" s="14"/>
      <c r="AB222" s="14"/>
      <c r="AC222" s="15">
        <v>20.5</v>
      </c>
      <c r="AD222" s="15">
        <f>AC222*AG222</f>
        <v>594.5</v>
      </c>
      <c r="AE222" s="15">
        <v>45</v>
      </c>
      <c r="AF222" s="15">
        <f>AE222*AG222</f>
        <v>1305</v>
      </c>
      <c r="AG222" s="16">
        <v>29</v>
      </c>
    </row>
    <row r="223" spans="1:33" ht="15" customHeight="1" x14ac:dyDescent="0.2">
      <c r="A223" s="11" t="str">
        <f t="shared" ref="A223:A505" si="87">HYPERLINK("https://assets.vans.eu/images/VN000EFBYY6-HERO/1","VN000EFBYY61")</f>
        <v>VN000EFBYY61</v>
      </c>
      <c r="B223" s="12" t="s">
        <v>1206</v>
      </c>
      <c r="C223" s="12" t="s">
        <v>1207</v>
      </c>
      <c r="D223" s="12" t="s">
        <v>1208</v>
      </c>
      <c r="E223" s="12" t="s">
        <v>1209</v>
      </c>
      <c r="F223" s="13">
        <v>60</v>
      </c>
      <c r="G223" s="14"/>
      <c r="H223" s="12" t="s">
        <v>38</v>
      </c>
      <c r="I223" s="12" t="s">
        <v>242</v>
      </c>
      <c r="J223" s="12" t="s">
        <v>243</v>
      </c>
      <c r="K223" s="12" t="s">
        <v>244</v>
      </c>
      <c r="L223" s="12" t="s">
        <v>260</v>
      </c>
      <c r="M223" s="12" t="s">
        <v>43</v>
      </c>
      <c r="N223" s="12" t="s">
        <v>84</v>
      </c>
      <c r="O223" s="12" t="s">
        <v>1210</v>
      </c>
      <c r="P223" s="12" t="s">
        <v>46</v>
      </c>
      <c r="Q223" s="12" t="s">
        <v>47</v>
      </c>
      <c r="R223" s="12" t="s">
        <v>48</v>
      </c>
      <c r="S223" s="13">
        <v>198266184074</v>
      </c>
      <c r="T223" s="12" t="s">
        <v>49</v>
      </c>
      <c r="U223" s="13">
        <v>22</v>
      </c>
      <c r="V223" s="12" t="s">
        <v>50</v>
      </c>
      <c r="W223" s="12" t="s">
        <v>51</v>
      </c>
      <c r="X223" s="14"/>
      <c r="Y223" s="14"/>
      <c r="Z223" s="14"/>
      <c r="AA223" s="14"/>
      <c r="AB223" s="14"/>
      <c r="AC223" s="15">
        <v>27.3</v>
      </c>
      <c r="AD223" s="15">
        <f>AC223*AG223</f>
        <v>791.7</v>
      </c>
      <c r="AE223" s="15">
        <v>60</v>
      </c>
      <c r="AF223" s="15">
        <f>AE223*AG223</f>
        <v>1740</v>
      </c>
      <c r="AG223" s="16">
        <v>29</v>
      </c>
    </row>
    <row r="224" spans="1:33" ht="15" customHeight="1" x14ac:dyDescent="0.2">
      <c r="A224" s="11" t="str">
        <f>HYPERLINK("https://assets.vans.eu/images/VN000J58LKZ-HERO/1","VN000J58LKZ1")</f>
        <v>VN000J58LKZ1</v>
      </c>
      <c r="B224" s="12" t="s">
        <v>1211</v>
      </c>
      <c r="C224" s="12" t="s">
        <v>1212</v>
      </c>
      <c r="D224" s="12" t="s">
        <v>1213</v>
      </c>
      <c r="E224" s="12" t="s">
        <v>1214</v>
      </c>
      <c r="F224" s="13">
        <v>101</v>
      </c>
      <c r="G224" s="14"/>
      <c r="H224" s="12" t="s">
        <v>79</v>
      </c>
      <c r="I224" s="12" t="s">
        <v>125</v>
      </c>
      <c r="J224" s="12" t="s">
        <v>139</v>
      </c>
      <c r="K224" s="12" t="s">
        <v>41</v>
      </c>
      <c r="L224" s="14"/>
      <c r="M224" s="12" t="s">
        <v>43</v>
      </c>
      <c r="N224" s="12" t="s">
        <v>161</v>
      </c>
      <c r="O224" s="12" t="s">
        <v>1215</v>
      </c>
      <c r="P224" s="12" t="s">
        <v>86</v>
      </c>
      <c r="Q224" s="12" t="s">
        <v>141</v>
      </c>
      <c r="R224" s="12" t="s">
        <v>142</v>
      </c>
      <c r="S224" s="13">
        <v>197065713348</v>
      </c>
      <c r="T224" s="12" t="s">
        <v>143</v>
      </c>
      <c r="U224" s="13">
        <v>101</v>
      </c>
      <c r="V224" s="12" t="s">
        <v>1216</v>
      </c>
      <c r="W224" s="12" t="s">
        <v>284</v>
      </c>
      <c r="X224" s="13">
        <v>0</v>
      </c>
      <c r="Y224" s="12" t="s">
        <v>91</v>
      </c>
      <c r="Z224" s="12" t="s">
        <v>108</v>
      </c>
      <c r="AA224" s="13">
        <v>0</v>
      </c>
      <c r="AB224" s="13">
        <v>0</v>
      </c>
      <c r="AC224" s="15">
        <v>6.4</v>
      </c>
      <c r="AD224" s="15">
        <f>AC224*AG224</f>
        <v>179.20000000000002</v>
      </c>
      <c r="AE224" s="15">
        <v>14</v>
      </c>
      <c r="AF224" s="15">
        <f>AE224*AG224</f>
        <v>392</v>
      </c>
      <c r="AG224" s="16">
        <v>28</v>
      </c>
    </row>
    <row r="225" spans="1:33" ht="15" customHeight="1" x14ac:dyDescent="0.2">
      <c r="A225" s="11" t="str">
        <f>HYPERLINK("https://assets.vans.eu/images/VN000QA27UG-HERO/1","VN000QA27UG1")</f>
        <v>VN000QA27UG1</v>
      </c>
      <c r="B225" s="12" t="s">
        <v>1217</v>
      </c>
      <c r="C225" s="12" t="s">
        <v>1218</v>
      </c>
      <c r="D225" s="12" t="s">
        <v>333</v>
      </c>
      <c r="E225" s="12" t="s">
        <v>1219</v>
      </c>
      <c r="F225" s="12" t="s">
        <v>78</v>
      </c>
      <c r="G225" s="14"/>
      <c r="H225" s="12" t="s">
        <v>79</v>
      </c>
      <c r="I225" s="12" t="s">
        <v>80</v>
      </c>
      <c r="J225" s="12" t="s">
        <v>349</v>
      </c>
      <c r="K225" s="12" t="s">
        <v>82</v>
      </c>
      <c r="L225" s="14"/>
      <c r="M225" s="12" t="s">
        <v>43</v>
      </c>
      <c r="N225" s="12" t="s">
        <v>84</v>
      </c>
      <c r="O225" s="12" t="s">
        <v>1220</v>
      </c>
      <c r="P225" s="12" t="s">
        <v>86</v>
      </c>
      <c r="Q225" s="12" t="s">
        <v>128</v>
      </c>
      <c r="R225" s="12" t="s">
        <v>352</v>
      </c>
      <c r="S225" s="13">
        <v>197804374489</v>
      </c>
      <c r="T225" s="12" t="s">
        <v>143</v>
      </c>
      <c r="U225" s="12" t="s">
        <v>78</v>
      </c>
      <c r="V225" s="12" t="s">
        <v>1221</v>
      </c>
      <c r="W225" s="12" t="s">
        <v>186</v>
      </c>
      <c r="X225" s="14"/>
      <c r="Y225" s="14"/>
      <c r="Z225" s="14"/>
      <c r="AA225" s="14"/>
      <c r="AB225" s="14"/>
      <c r="AC225" s="15">
        <v>16.399999999999999</v>
      </c>
      <c r="AD225" s="15">
        <f>AC225*AG225</f>
        <v>459.19999999999993</v>
      </c>
      <c r="AE225" s="15">
        <v>36</v>
      </c>
      <c r="AF225" s="15">
        <f>AE225*AG225</f>
        <v>1008</v>
      </c>
      <c r="AG225" s="16">
        <v>28</v>
      </c>
    </row>
    <row r="226" spans="1:33" ht="15" customHeight="1" x14ac:dyDescent="0.2">
      <c r="A226" s="11" t="str">
        <f>HYPERLINK("https://assets.vans.eu/images/VN000QA7EN9-HERO/1","VN000QA7EN91")</f>
        <v>VN000QA7EN91</v>
      </c>
      <c r="B226" s="12" t="s">
        <v>1222</v>
      </c>
      <c r="C226" s="12" t="s">
        <v>1123</v>
      </c>
      <c r="D226" s="12" t="s">
        <v>982</v>
      </c>
      <c r="E226" s="12" t="s">
        <v>1223</v>
      </c>
      <c r="F226" s="12" t="s">
        <v>78</v>
      </c>
      <c r="G226" s="14"/>
      <c r="H226" s="12" t="s">
        <v>79</v>
      </c>
      <c r="I226" s="12" t="s">
        <v>80</v>
      </c>
      <c r="J226" s="12" t="s">
        <v>349</v>
      </c>
      <c r="K226" s="12" t="s">
        <v>82</v>
      </c>
      <c r="L226" s="14"/>
      <c r="M226" s="12" t="s">
        <v>43</v>
      </c>
      <c r="N226" s="12" t="s">
        <v>84</v>
      </c>
      <c r="O226" s="12" t="s">
        <v>1224</v>
      </c>
      <c r="P226" s="12" t="s">
        <v>86</v>
      </c>
      <c r="Q226" s="12" t="s">
        <v>128</v>
      </c>
      <c r="R226" s="12" t="s">
        <v>352</v>
      </c>
      <c r="S226" s="13">
        <v>197804374588</v>
      </c>
      <c r="T226" s="12" t="s">
        <v>235</v>
      </c>
      <c r="U226" s="12" t="s">
        <v>78</v>
      </c>
      <c r="V226" s="12" t="s">
        <v>1126</v>
      </c>
      <c r="W226" s="12" t="s">
        <v>455</v>
      </c>
      <c r="X226" s="14"/>
      <c r="Y226" s="14"/>
      <c r="Z226" s="14"/>
      <c r="AA226" s="14"/>
      <c r="AB226" s="14"/>
      <c r="AC226" s="15">
        <v>19.100000000000001</v>
      </c>
      <c r="AD226" s="15">
        <f>AC226*AG226</f>
        <v>534.80000000000007</v>
      </c>
      <c r="AE226" s="15">
        <v>42</v>
      </c>
      <c r="AF226" s="15">
        <f>AE226*AG226</f>
        <v>1176</v>
      </c>
      <c r="AG226" s="16">
        <v>28</v>
      </c>
    </row>
    <row r="227" spans="1:33" ht="15" customHeight="1" x14ac:dyDescent="0.2">
      <c r="A227" s="11" t="str">
        <f>HYPERLINK("https://assets.vans.eu/images/VN000XZYE11-HERO/1","VN000XZYE111")</f>
        <v>VN000XZYE111</v>
      </c>
      <c r="B227" s="12" t="s">
        <v>1225</v>
      </c>
      <c r="C227" s="12" t="s">
        <v>215</v>
      </c>
      <c r="D227" s="12" t="s">
        <v>1226</v>
      </c>
      <c r="E227" s="12" t="s">
        <v>1227</v>
      </c>
      <c r="F227" s="12" t="s">
        <v>78</v>
      </c>
      <c r="G227" s="14"/>
      <c r="H227" s="12" t="s">
        <v>79</v>
      </c>
      <c r="I227" s="12" t="s">
        <v>80</v>
      </c>
      <c r="J227" s="12" t="s">
        <v>81</v>
      </c>
      <c r="K227" s="12" t="s">
        <v>199</v>
      </c>
      <c r="L227" s="14"/>
      <c r="M227" s="12" t="s">
        <v>43</v>
      </c>
      <c r="N227" s="12" t="s">
        <v>44</v>
      </c>
      <c r="O227" s="12" t="s">
        <v>1228</v>
      </c>
      <c r="P227" s="12" t="s">
        <v>86</v>
      </c>
      <c r="Q227" s="12" t="s">
        <v>87</v>
      </c>
      <c r="R227" s="12" t="s">
        <v>88</v>
      </c>
      <c r="S227" s="13">
        <v>888366280539</v>
      </c>
      <c r="T227" s="12" t="s">
        <v>89</v>
      </c>
      <c r="U227" s="12" t="s">
        <v>78</v>
      </c>
      <c r="V227" s="12" t="s">
        <v>201</v>
      </c>
      <c r="W227" s="12" t="s">
        <v>51</v>
      </c>
      <c r="X227" s="13">
        <v>0</v>
      </c>
      <c r="Y227" s="12" t="s">
        <v>71</v>
      </c>
      <c r="Z227" s="12" t="s">
        <v>108</v>
      </c>
      <c r="AA227" s="13">
        <v>0</v>
      </c>
      <c r="AB227" s="13">
        <v>0</v>
      </c>
      <c r="AC227" s="15">
        <v>3.65</v>
      </c>
      <c r="AD227" s="15">
        <f>AC227*AG227</f>
        <v>102.2</v>
      </c>
      <c r="AE227" s="15">
        <v>8</v>
      </c>
      <c r="AF227" s="15">
        <f>AE227*AG227</f>
        <v>224</v>
      </c>
      <c r="AG227" s="16">
        <v>28</v>
      </c>
    </row>
    <row r="228" spans="1:33" ht="15" customHeight="1" x14ac:dyDescent="0.2">
      <c r="A228" s="11" t="str">
        <f t="shared" ref="A228:A348" si="88">HYPERLINK("https://assets.vans.eu/images/VN000HJV7D6-HERO/1","VN000HJV7D61")</f>
        <v>VN000HJV7D61</v>
      </c>
      <c r="B228" s="12" t="s">
        <v>1229</v>
      </c>
      <c r="C228" s="12" t="s">
        <v>1230</v>
      </c>
      <c r="D228" s="12" t="s">
        <v>1231</v>
      </c>
      <c r="E228" s="12" t="s">
        <v>1232</v>
      </c>
      <c r="F228" s="12" t="s">
        <v>60</v>
      </c>
      <c r="G228" s="14"/>
      <c r="H228" s="12" t="s">
        <v>61</v>
      </c>
      <c r="I228" s="12" t="s">
        <v>289</v>
      </c>
      <c r="J228" s="12" t="s">
        <v>984</v>
      </c>
      <c r="K228" s="12" t="s">
        <v>100</v>
      </c>
      <c r="L228" s="14"/>
      <c r="M228" s="12" t="s">
        <v>43</v>
      </c>
      <c r="N228" s="12" t="s">
        <v>84</v>
      </c>
      <c r="O228" s="12" t="s">
        <v>1233</v>
      </c>
      <c r="P228" s="12" t="s">
        <v>66</v>
      </c>
      <c r="Q228" s="12" t="s">
        <v>764</v>
      </c>
      <c r="R228" s="12" t="s">
        <v>986</v>
      </c>
      <c r="S228" s="13">
        <v>197804384952</v>
      </c>
      <c r="T228" s="12" t="s">
        <v>235</v>
      </c>
      <c r="U228" s="12" t="s">
        <v>60</v>
      </c>
      <c r="V228" s="12" t="s">
        <v>90</v>
      </c>
      <c r="W228" s="12" t="s">
        <v>186</v>
      </c>
      <c r="X228" s="14"/>
      <c r="Y228" s="14"/>
      <c r="Z228" s="14"/>
      <c r="AA228" s="14"/>
      <c r="AB228" s="14"/>
      <c r="AC228" s="15">
        <v>61.4</v>
      </c>
      <c r="AD228" s="15">
        <f>AC228*AG228</f>
        <v>1719.2</v>
      </c>
      <c r="AE228" s="15">
        <v>135</v>
      </c>
      <c r="AF228" s="15">
        <f>AE228*AG228</f>
        <v>3780</v>
      </c>
      <c r="AG228" s="16">
        <v>28</v>
      </c>
    </row>
    <row r="229" spans="1:33" ht="15" customHeight="1" x14ac:dyDescent="0.2">
      <c r="A229" s="11" t="str">
        <f t="shared" si="43"/>
        <v>VN000HZBBLK1</v>
      </c>
      <c r="B229" s="12" t="s">
        <v>1234</v>
      </c>
      <c r="C229" s="12" t="s">
        <v>357</v>
      </c>
      <c r="D229" s="12" t="s">
        <v>76</v>
      </c>
      <c r="E229" s="12" t="s">
        <v>1235</v>
      </c>
      <c r="F229" s="13">
        <v>30</v>
      </c>
      <c r="G229" s="14"/>
      <c r="H229" s="12" t="s">
        <v>61</v>
      </c>
      <c r="I229" s="12" t="s">
        <v>230</v>
      </c>
      <c r="J229" s="12" t="s">
        <v>231</v>
      </c>
      <c r="K229" s="12" t="s">
        <v>199</v>
      </c>
      <c r="L229" s="14"/>
      <c r="M229" s="12" t="s">
        <v>43</v>
      </c>
      <c r="N229" s="12" t="s">
        <v>84</v>
      </c>
      <c r="O229" s="12" t="s">
        <v>1236</v>
      </c>
      <c r="P229" s="12" t="s">
        <v>66</v>
      </c>
      <c r="Q229" s="12" t="s">
        <v>233</v>
      </c>
      <c r="R229" s="12" t="s">
        <v>361</v>
      </c>
      <c r="S229" s="13">
        <v>197065839024</v>
      </c>
      <c r="T229" s="12" t="s">
        <v>235</v>
      </c>
      <c r="U229" s="13">
        <v>30</v>
      </c>
      <c r="V229" s="12" t="s">
        <v>362</v>
      </c>
      <c r="W229" s="12" t="s">
        <v>51</v>
      </c>
      <c r="X229" s="13">
        <v>0</v>
      </c>
      <c r="Y229" s="12" t="s">
        <v>91</v>
      </c>
      <c r="Z229" s="12" t="s">
        <v>108</v>
      </c>
      <c r="AA229" s="13">
        <v>0</v>
      </c>
      <c r="AB229" s="13">
        <v>0</v>
      </c>
      <c r="AC229" s="15">
        <v>34.1</v>
      </c>
      <c r="AD229" s="15">
        <f>AC229*AG229</f>
        <v>954.80000000000007</v>
      </c>
      <c r="AE229" s="15">
        <v>75</v>
      </c>
      <c r="AF229" s="15">
        <f>AE229*AG229</f>
        <v>2100</v>
      </c>
      <c r="AG229" s="16">
        <v>28</v>
      </c>
    </row>
    <row r="230" spans="1:33" ht="15" customHeight="1" x14ac:dyDescent="0.2">
      <c r="A230" s="11" t="str">
        <f t="shared" ref="A230:A1044" si="89">HYPERLINK("https://assets.vans.eu/images/VN000RD71O7-HERO/1","VN000RD71O71")</f>
        <v>VN000RD71O71</v>
      </c>
      <c r="B230" s="12" t="s">
        <v>1237</v>
      </c>
      <c r="C230" s="12" t="s">
        <v>1238</v>
      </c>
      <c r="D230" s="12" t="s">
        <v>637</v>
      </c>
      <c r="E230" s="12" t="s">
        <v>1239</v>
      </c>
      <c r="F230" s="12" t="s">
        <v>403</v>
      </c>
      <c r="G230" s="14"/>
      <c r="H230" s="12" t="s">
        <v>61</v>
      </c>
      <c r="I230" s="12" t="s">
        <v>230</v>
      </c>
      <c r="J230" s="12" t="s">
        <v>419</v>
      </c>
      <c r="K230" s="12" t="s">
        <v>199</v>
      </c>
      <c r="L230" s="12" t="s">
        <v>83</v>
      </c>
      <c r="M230" s="12" t="s">
        <v>43</v>
      </c>
      <c r="N230" s="12" t="s">
        <v>84</v>
      </c>
      <c r="O230" s="12" t="s">
        <v>1240</v>
      </c>
      <c r="P230" s="12" t="s">
        <v>66</v>
      </c>
      <c r="Q230" s="12" t="s">
        <v>67</v>
      </c>
      <c r="R230" s="12" t="s">
        <v>623</v>
      </c>
      <c r="S230" s="13">
        <v>197804326716</v>
      </c>
      <c r="T230" s="12" t="s">
        <v>69</v>
      </c>
      <c r="U230" s="12" t="s">
        <v>403</v>
      </c>
      <c r="V230" s="12" t="s">
        <v>70</v>
      </c>
      <c r="W230" s="12" t="s">
        <v>455</v>
      </c>
      <c r="X230" s="14"/>
      <c r="Y230" s="14"/>
      <c r="Z230" s="14"/>
      <c r="AA230" s="14"/>
      <c r="AB230" s="14"/>
      <c r="AC230" s="15">
        <v>45.5</v>
      </c>
      <c r="AD230" s="15">
        <f>AC230*AG230</f>
        <v>1274</v>
      </c>
      <c r="AE230" s="15">
        <v>100</v>
      </c>
      <c r="AF230" s="15">
        <f>AE230*AG230</f>
        <v>2800</v>
      </c>
      <c r="AG230" s="16">
        <v>28</v>
      </c>
    </row>
    <row r="231" spans="1:33" ht="15" customHeight="1" x14ac:dyDescent="0.2">
      <c r="A231" s="11" t="str">
        <f t="shared" ref="A231:A241" si="90">HYPERLINK("https://assets.vans.eu/images/VN0A7Y3X6OG-HERO/1","VN0A7Y3X6OG1")</f>
        <v>VN0A7Y3X6OG1</v>
      </c>
      <c r="B231" s="12" t="s">
        <v>1241</v>
      </c>
      <c r="C231" s="12" t="s">
        <v>1242</v>
      </c>
      <c r="D231" s="12" t="s">
        <v>1243</v>
      </c>
      <c r="E231" s="12" t="s">
        <v>1244</v>
      </c>
      <c r="F231" s="12" t="s">
        <v>403</v>
      </c>
      <c r="G231" s="14"/>
      <c r="H231" s="12" t="s">
        <v>61</v>
      </c>
      <c r="I231" s="12" t="s">
        <v>230</v>
      </c>
      <c r="J231" s="12" t="s">
        <v>419</v>
      </c>
      <c r="K231" s="12" t="s">
        <v>199</v>
      </c>
      <c r="L231" s="14"/>
      <c r="M231" s="12" t="s">
        <v>43</v>
      </c>
      <c r="N231" s="12" t="s">
        <v>84</v>
      </c>
      <c r="O231" s="12" t="s">
        <v>1245</v>
      </c>
      <c r="P231" s="12" t="s">
        <v>66</v>
      </c>
      <c r="Q231" s="12" t="s">
        <v>67</v>
      </c>
      <c r="R231" s="12" t="s">
        <v>623</v>
      </c>
      <c r="S231" s="13">
        <v>197805982126</v>
      </c>
      <c r="T231" s="12" t="s">
        <v>709</v>
      </c>
      <c r="U231" s="12" t="s">
        <v>403</v>
      </c>
      <c r="V231" s="12" t="s">
        <v>1246</v>
      </c>
      <c r="W231" s="12" t="s">
        <v>455</v>
      </c>
      <c r="X231" s="14"/>
      <c r="Y231" s="14"/>
      <c r="Z231" s="14"/>
      <c r="AA231" s="14"/>
      <c r="AB231" s="14"/>
      <c r="AC231" s="15">
        <v>32.75</v>
      </c>
      <c r="AD231" s="15">
        <f>AC231*AG231</f>
        <v>917</v>
      </c>
      <c r="AE231" s="15">
        <v>72</v>
      </c>
      <c r="AF231" s="15">
        <f>AE231*AG231</f>
        <v>2016</v>
      </c>
      <c r="AG231" s="16">
        <v>28</v>
      </c>
    </row>
    <row r="232" spans="1:33" ht="15" customHeight="1" x14ac:dyDescent="0.2">
      <c r="A232" s="11" t="str">
        <f t="shared" ref="A232:A456" si="91">HYPERLINK("https://assets.vans.eu/images/VN000CWE887-HERO/1","VN000CWE8871")</f>
        <v>VN000CWE8871</v>
      </c>
      <c r="B232" s="12" t="s">
        <v>1247</v>
      </c>
      <c r="C232" s="12" t="s">
        <v>1248</v>
      </c>
      <c r="D232" s="12" t="s">
        <v>1249</v>
      </c>
      <c r="E232" s="12" t="s">
        <v>1250</v>
      </c>
      <c r="F232" s="13">
        <v>40</v>
      </c>
      <c r="G232" s="12" t="s">
        <v>1251</v>
      </c>
      <c r="H232" s="12" t="s">
        <v>38</v>
      </c>
      <c r="I232" s="12" t="s">
        <v>113</v>
      </c>
      <c r="J232" s="12" t="s">
        <v>529</v>
      </c>
      <c r="K232" s="12" t="s">
        <v>82</v>
      </c>
      <c r="L232" s="14"/>
      <c r="M232" s="12" t="s">
        <v>43</v>
      </c>
      <c r="N232" s="12" t="s">
        <v>44</v>
      </c>
      <c r="O232" s="12" t="s">
        <v>1252</v>
      </c>
      <c r="P232" s="12" t="s">
        <v>46</v>
      </c>
      <c r="Q232" s="12" t="s">
        <v>47</v>
      </c>
      <c r="R232" s="12" t="s">
        <v>117</v>
      </c>
      <c r="S232" s="13">
        <v>197643248941</v>
      </c>
      <c r="T232" s="12" t="s">
        <v>49</v>
      </c>
      <c r="U232" s="13">
        <v>35</v>
      </c>
      <c r="V232" s="12" t="s">
        <v>50</v>
      </c>
      <c r="W232" s="12" t="s">
        <v>284</v>
      </c>
      <c r="X232" s="14"/>
      <c r="Y232" s="12" t="s">
        <v>91</v>
      </c>
      <c r="Z232" s="12" t="s">
        <v>165</v>
      </c>
      <c r="AA232" s="14"/>
      <c r="AB232" s="14"/>
      <c r="AC232" s="15">
        <v>59.1</v>
      </c>
      <c r="AD232" s="15">
        <f>AC232*AG232</f>
        <v>1654.8</v>
      </c>
      <c r="AE232" s="15">
        <v>130</v>
      </c>
      <c r="AF232" s="15">
        <f>AE232*AG232</f>
        <v>3640</v>
      </c>
      <c r="AG232" s="16">
        <v>28</v>
      </c>
    </row>
    <row r="233" spans="1:33" ht="15" customHeight="1" x14ac:dyDescent="0.2">
      <c r="A233" s="11" t="str">
        <f t="shared" si="81"/>
        <v>VN000D0H11E1</v>
      </c>
      <c r="B233" s="12" t="s">
        <v>1253</v>
      </c>
      <c r="C233" s="12" t="s">
        <v>1108</v>
      </c>
      <c r="D233" s="12" t="s">
        <v>1148</v>
      </c>
      <c r="E233" s="12" t="s">
        <v>1254</v>
      </c>
      <c r="F233" s="13">
        <v>120</v>
      </c>
      <c r="G233" s="12" t="s">
        <v>1111</v>
      </c>
      <c r="H233" s="12" t="s">
        <v>38</v>
      </c>
      <c r="I233" s="12" t="s">
        <v>39</v>
      </c>
      <c r="J233" s="12" t="s">
        <v>40</v>
      </c>
      <c r="K233" s="12" t="s">
        <v>41</v>
      </c>
      <c r="L233" s="14"/>
      <c r="M233" s="12" t="s">
        <v>43</v>
      </c>
      <c r="N233" s="12" t="s">
        <v>84</v>
      </c>
      <c r="O233" s="12" t="s">
        <v>1255</v>
      </c>
      <c r="P233" s="12" t="s">
        <v>46</v>
      </c>
      <c r="Q233" s="12" t="s">
        <v>47</v>
      </c>
      <c r="R233" s="12" t="s">
        <v>780</v>
      </c>
      <c r="S233" s="13">
        <v>197804436408</v>
      </c>
      <c r="T233" s="12" t="s">
        <v>105</v>
      </c>
      <c r="U233" s="13">
        <v>29</v>
      </c>
      <c r="V233" s="12" t="s">
        <v>50</v>
      </c>
      <c r="W233" s="12" t="s">
        <v>107</v>
      </c>
      <c r="X233" s="14"/>
      <c r="Y233" s="14"/>
      <c r="Z233" s="14"/>
      <c r="AA233" s="14"/>
      <c r="AB233" s="14"/>
      <c r="AC233" s="15">
        <v>34.1</v>
      </c>
      <c r="AD233" s="15">
        <f>AC233*AG233</f>
        <v>954.80000000000007</v>
      </c>
      <c r="AE233" s="15">
        <v>75</v>
      </c>
      <c r="AF233" s="15">
        <f>AE233*AG233</f>
        <v>2100</v>
      </c>
      <c r="AG233" s="16">
        <v>28</v>
      </c>
    </row>
    <row r="234" spans="1:33" ht="15" customHeight="1" x14ac:dyDescent="0.2">
      <c r="A234" s="11" t="str">
        <f t="shared" ref="A234:A387" si="92">HYPERLINK("https://assets.vans.eu/images/VN000D4SCFL-HERO/1","VN000D4SCFL1")</f>
        <v>VN000D4SCFL1</v>
      </c>
      <c r="B234" s="12" t="s">
        <v>1256</v>
      </c>
      <c r="C234" s="12" t="s">
        <v>1257</v>
      </c>
      <c r="D234" s="12" t="s">
        <v>1258</v>
      </c>
      <c r="E234" s="12" t="s">
        <v>1259</v>
      </c>
      <c r="F234" s="13">
        <v>60</v>
      </c>
      <c r="G234" s="14"/>
      <c r="H234" s="12" t="s">
        <v>38</v>
      </c>
      <c r="I234" s="12" t="s">
        <v>242</v>
      </c>
      <c r="J234" s="12" t="s">
        <v>243</v>
      </c>
      <c r="K234" s="12" t="s">
        <v>244</v>
      </c>
      <c r="L234" s="14"/>
      <c r="M234" s="12" t="s">
        <v>43</v>
      </c>
      <c r="N234" s="12" t="s">
        <v>84</v>
      </c>
      <c r="O234" s="12" t="s">
        <v>1260</v>
      </c>
      <c r="P234" s="12" t="s">
        <v>46</v>
      </c>
      <c r="Q234" s="12" t="s">
        <v>47</v>
      </c>
      <c r="R234" s="12" t="s">
        <v>48</v>
      </c>
      <c r="S234" s="13">
        <v>197804531073</v>
      </c>
      <c r="T234" s="12" t="s">
        <v>105</v>
      </c>
      <c r="U234" s="13">
        <v>22</v>
      </c>
      <c r="V234" s="12" t="s">
        <v>50</v>
      </c>
      <c r="W234" s="12" t="s">
        <v>284</v>
      </c>
      <c r="X234" s="14"/>
      <c r="Y234" s="14"/>
      <c r="Z234" s="14"/>
      <c r="AA234" s="14"/>
      <c r="AB234" s="14"/>
      <c r="AC234" s="15">
        <v>22.75</v>
      </c>
      <c r="AD234" s="15">
        <f>AC234*AG234</f>
        <v>637</v>
      </c>
      <c r="AE234" s="15">
        <v>50</v>
      </c>
      <c r="AF234" s="15">
        <f>AE234*AG234</f>
        <v>1400</v>
      </c>
      <c r="AG234" s="16">
        <v>28</v>
      </c>
    </row>
    <row r="235" spans="1:33" ht="15" customHeight="1" x14ac:dyDescent="0.2">
      <c r="A235" s="11" t="str">
        <f t="shared" si="1"/>
        <v>VN000E9XIVG1</v>
      </c>
      <c r="B235" s="12" t="s">
        <v>1261</v>
      </c>
      <c r="C235" s="12" t="s">
        <v>110</v>
      </c>
      <c r="D235" s="12" t="s">
        <v>111</v>
      </c>
      <c r="E235" s="12" t="s">
        <v>1262</v>
      </c>
      <c r="F235" s="13">
        <v>60</v>
      </c>
      <c r="G235" s="14"/>
      <c r="H235" s="12" t="s">
        <v>38</v>
      </c>
      <c r="I235" s="12" t="s">
        <v>113</v>
      </c>
      <c r="J235" s="12" t="s">
        <v>114</v>
      </c>
      <c r="K235" s="12" t="s">
        <v>82</v>
      </c>
      <c r="L235" s="12" t="s">
        <v>115</v>
      </c>
      <c r="M235" s="12" t="s">
        <v>43</v>
      </c>
      <c r="N235" s="12" t="s">
        <v>44</v>
      </c>
      <c r="O235" s="12" t="s">
        <v>1263</v>
      </c>
      <c r="P235" s="12" t="s">
        <v>46</v>
      </c>
      <c r="Q235" s="12" t="s">
        <v>47</v>
      </c>
      <c r="R235" s="12" t="s">
        <v>117</v>
      </c>
      <c r="S235" s="13">
        <v>197804948284</v>
      </c>
      <c r="T235" s="12" t="s">
        <v>105</v>
      </c>
      <c r="U235" s="13">
        <v>38</v>
      </c>
      <c r="V235" s="12" t="s">
        <v>50</v>
      </c>
      <c r="W235" s="12" t="s">
        <v>118</v>
      </c>
      <c r="X235" s="12" t="s">
        <v>119</v>
      </c>
      <c r="Y235" s="12" t="s">
        <v>53</v>
      </c>
      <c r="Z235" s="12" t="s">
        <v>120</v>
      </c>
      <c r="AA235" s="12" t="s">
        <v>73</v>
      </c>
      <c r="AB235" s="12" t="s">
        <v>94</v>
      </c>
      <c r="AC235" s="15">
        <v>43.2</v>
      </c>
      <c r="AD235" s="15">
        <f>AC235*AG235</f>
        <v>1209.6000000000001</v>
      </c>
      <c r="AE235" s="15">
        <v>95</v>
      </c>
      <c r="AF235" s="15">
        <f>AE235*AG235</f>
        <v>2660</v>
      </c>
      <c r="AG235" s="16">
        <v>28</v>
      </c>
    </row>
    <row r="236" spans="1:33" ht="15" customHeight="1" x14ac:dyDescent="0.2">
      <c r="A236" s="11" t="str">
        <f>HYPERLINK("https://assets.vans.eu/images/VN000HTHBLK-HERO/1","VN000HTHBLK1")</f>
        <v>VN000HTHBLK1</v>
      </c>
      <c r="B236" s="12" t="s">
        <v>1264</v>
      </c>
      <c r="C236" s="12" t="s">
        <v>1265</v>
      </c>
      <c r="D236" s="12" t="s">
        <v>76</v>
      </c>
      <c r="E236" s="12" t="s">
        <v>1266</v>
      </c>
      <c r="F236" s="13">
        <v>651</v>
      </c>
      <c r="G236" s="14"/>
      <c r="H236" s="12" t="s">
        <v>79</v>
      </c>
      <c r="I236" s="12" t="s">
        <v>80</v>
      </c>
      <c r="J236" s="12" t="s">
        <v>171</v>
      </c>
      <c r="K236" s="12" t="s">
        <v>100</v>
      </c>
      <c r="L236" s="14"/>
      <c r="M236" s="12" t="s">
        <v>43</v>
      </c>
      <c r="N236" s="12" t="s">
        <v>161</v>
      </c>
      <c r="O236" s="12" t="s">
        <v>1267</v>
      </c>
      <c r="P236" s="12" t="s">
        <v>86</v>
      </c>
      <c r="Q236" s="12" t="s">
        <v>141</v>
      </c>
      <c r="R236" s="12" t="s">
        <v>173</v>
      </c>
      <c r="S236" s="13">
        <v>197065490799</v>
      </c>
      <c r="T236" s="12" t="s">
        <v>143</v>
      </c>
      <c r="U236" s="12" t="s">
        <v>800</v>
      </c>
      <c r="V236" s="12" t="s">
        <v>1268</v>
      </c>
      <c r="W236" s="12" t="s">
        <v>51</v>
      </c>
      <c r="X236" s="13">
        <v>0</v>
      </c>
      <c r="Y236" s="12" t="s">
        <v>91</v>
      </c>
      <c r="Z236" s="12" t="s">
        <v>108</v>
      </c>
      <c r="AA236" s="13">
        <v>0</v>
      </c>
      <c r="AB236" s="13">
        <v>0</v>
      </c>
      <c r="AC236" s="15">
        <v>7.3</v>
      </c>
      <c r="AD236" s="15">
        <f>AC236*AG236</f>
        <v>197.1</v>
      </c>
      <c r="AE236" s="15">
        <v>16</v>
      </c>
      <c r="AF236" s="15">
        <f>AE236*AG236</f>
        <v>432</v>
      </c>
      <c r="AG236" s="16">
        <v>27</v>
      </c>
    </row>
    <row r="237" spans="1:33" ht="15" customHeight="1" x14ac:dyDescent="0.2">
      <c r="A237" s="11" t="str">
        <f t="shared" ref="A237:A2017" si="93">HYPERLINK("https://assets.vans.eu/images/VN000Q94EN7-HERO/1","VN000Q94EN71")</f>
        <v>VN000Q94EN71</v>
      </c>
      <c r="B237" s="12" t="s">
        <v>1269</v>
      </c>
      <c r="C237" s="12" t="s">
        <v>315</v>
      </c>
      <c r="D237" s="12" t="s">
        <v>295</v>
      </c>
      <c r="E237" s="12" t="s">
        <v>1270</v>
      </c>
      <c r="F237" s="12" t="s">
        <v>138</v>
      </c>
      <c r="G237" s="14"/>
      <c r="H237" s="12" t="s">
        <v>79</v>
      </c>
      <c r="I237" s="12" t="s">
        <v>125</v>
      </c>
      <c r="J237" s="12" t="s">
        <v>139</v>
      </c>
      <c r="K237" s="12" t="s">
        <v>41</v>
      </c>
      <c r="L237" s="14"/>
      <c r="M237" s="12" t="s">
        <v>43</v>
      </c>
      <c r="N237" s="12" t="s">
        <v>84</v>
      </c>
      <c r="O237" s="12" t="s">
        <v>1271</v>
      </c>
      <c r="P237" s="12" t="s">
        <v>86</v>
      </c>
      <c r="Q237" s="12" t="s">
        <v>141</v>
      </c>
      <c r="R237" s="12" t="s">
        <v>142</v>
      </c>
      <c r="S237" s="13">
        <v>197804374144</v>
      </c>
      <c r="T237" s="12" t="s">
        <v>143</v>
      </c>
      <c r="U237" s="12" t="s">
        <v>138</v>
      </c>
      <c r="V237" s="12" t="s">
        <v>318</v>
      </c>
      <c r="W237" s="12" t="s">
        <v>299</v>
      </c>
      <c r="X237" s="14"/>
      <c r="Y237" s="14"/>
      <c r="Z237" s="14"/>
      <c r="AA237" s="14"/>
      <c r="AB237" s="14"/>
      <c r="AC237" s="15">
        <v>6.4</v>
      </c>
      <c r="AD237" s="15">
        <f>AC237*AG237</f>
        <v>172.8</v>
      </c>
      <c r="AE237" s="15">
        <v>14</v>
      </c>
      <c r="AF237" s="15">
        <f>AE237*AG237</f>
        <v>378</v>
      </c>
      <c r="AG237" s="16">
        <v>27</v>
      </c>
    </row>
    <row r="238" spans="1:33" ht="15" customHeight="1" x14ac:dyDescent="0.2">
      <c r="A238" s="11" t="str">
        <f>HYPERLINK("https://assets.vans.eu/images/VN000QCFY28-HERO/1","VN000QCFY281")</f>
        <v>VN000QCFY281</v>
      </c>
      <c r="B238" s="12" t="s">
        <v>1272</v>
      </c>
      <c r="C238" s="12" t="s">
        <v>188</v>
      </c>
      <c r="D238" s="12" t="s">
        <v>58</v>
      </c>
      <c r="E238" s="12" t="s">
        <v>1273</v>
      </c>
      <c r="F238" s="12" t="s">
        <v>78</v>
      </c>
      <c r="G238" s="14"/>
      <c r="H238" s="12" t="s">
        <v>79</v>
      </c>
      <c r="I238" s="12" t="s">
        <v>80</v>
      </c>
      <c r="J238" s="12" t="s">
        <v>191</v>
      </c>
      <c r="K238" s="12" t="s">
        <v>82</v>
      </c>
      <c r="L238" s="14"/>
      <c r="M238" s="12" t="s">
        <v>43</v>
      </c>
      <c r="N238" s="12" t="s">
        <v>84</v>
      </c>
      <c r="O238" s="12" t="s">
        <v>1274</v>
      </c>
      <c r="P238" s="12" t="s">
        <v>86</v>
      </c>
      <c r="Q238" s="12" t="s">
        <v>193</v>
      </c>
      <c r="R238" s="12" t="s">
        <v>194</v>
      </c>
      <c r="S238" s="13">
        <v>197804375455</v>
      </c>
      <c r="T238" s="12" t="s">
        <v>164</v>
      </c>
      <c r="U238" s="12" t="s">
        <v>78</v>
      </c>
      <c r="V238" s="12" t="s">
        <v>1275</v>
      </c>
      <c r="W238" s="12" t="s">
        <v>51</v>
      </c>
      <c r="X238" s="14"/>
      <c r="Y238" s="14"/>
      <c r="Z238" s="14"/>
      <c r="AA238" s="14"/>
      <c r="AB238" s="14"/>
      <c r="AC238" s="15">
        <v>21.85</v>
      </c>
      <c r="AD238" s="15">
        <f>AC238*AG238</f>
        <v>589.95000000000005</v>
      </c>
      <c r="AE238" s="15">
        <v>48</v>
      </c>
      <c r="AF238" s="15">
        <f>AE238*AG238</f>
        <v>1296</v>
      </c>
      <c r="AG238" s="16">
        <v>27</v>
      </c>
    </row>
    <row r="239" spans="1:33" ht="15" customHeight="1" x14ac:dyDescent="0.2">
      <c r="A239" s="11" t="str">
        <f t="shared" ref="A239:A347" si="94">HYPERLINK("https://assets.vans.eu/images/VN000G75D6Z-HERO/1","VN000G75D6Z1")</f>
        <v>VN000G75D6Z1</v>
      </c>
      <c r="B239" s="12" t="s">
        <v>1276</v>
      </c>
      <c r="C239" s="12" t="s">
        <v>1188</v>
      </c>
      <c r="D239" s="12" t="s">
        <v>1277</v>
      </c>
      <c r="E239" s="12" t="s">
        <v>1278</v>
      </c>
      <c r="F239" s="12" t="s">
        <v>403</v>
      </c>
      <c r="G239" s="14"/>
      <c r="H239" s="12" t="s">
        <v>61</v>
      </c>
      <c r="I239" s="12" t="s">
        <v>230</v>
      </c>
      <c r="J239" s="12" t="s">
        <v>557</v>
      </c>
      <c r="K239" s="12" t="s">
        <v>199</v>
      </c>
      <c r="L239" s="14"/>
      <c r="M239" s="12" t="s">
        <v>43</v>
      </c>
      <c r="N239" s="12" t="s">
        <v>44</v>
      </c>
      <c r="O239" s="12" t="s">
        <v>1279</v>
      </c>
      <c r="P239" s="12" t="s">
        <v>66</v>
      </c>
      <c r="Q239" s="12" t="s">
        <v>559</v>
      </c>
      <c r="R239" s="12" t="s">
        <v>560</v>
      </c>
      <c r="S239" s="13">
        <v>197643554530</v>
      </c>
      <c r="T239" s="12" t="s">
        <v>49</v>
      </c>
      <c r="U239" s="12" t="s">
        <v>403</v>
      </c>
      <c r="V239" s="12" t="s">
        <v>1191</v>
      </c>
      <c r="W239" s="12" t="s">
        <v>299</v>
      </c>
      <c r="X239" s="12" t="s">
        <v>500</v>
      </c>
      <c r="Y239" s="12" t="s">
        <v>91</v>
      </c>
      <c r="Z239" s="12" t="s">
        <v>108</v>
      </c>
      <c r="AA239" s="13">
        <v>0</v>
      </c>
      <c r="AB239" s="13">
        <v>0</v>
      </c>
      <c r="AC239" s="15">
        <v>25</v>
      </c>
      <c r="AD239" s="15">
        <f>AC239*AG239</f>
        <v>675</v>
      </c>
      <c r="AE239" s="15">
        <v>55</v>
      </c>
      <c r="AF239" s="15">
        <f>AE239*AG239</f>
        <v>1485</v>
      </c>
      <c r="AG239" s="16">
        <v>27</v>
      </c>
    </row>
    <row r="240" spans="1:33" ht="15" customHeight="1" x14ac:dyDescent="0.2">
      <c r="A240" s="11" t="str">
        <f t="shared" ref="A240:A899" si="95">HYPERLINK("https://assets.vans.eu/images/VN000PHDEMF-HERO/1","VN000PHDEMF1")</f>
        <v>VN000PHDEMF1</v>
      </c>
      <c r="B240" s="12" t="s">
        <v>1280</v>
      </c>
      <c r="C240" s="12" t="s">
        <v>1281</v>
      </c>
      <c r="D240" s="12" t="s">
        <v>1282</v>
      </c>
      <c r="E240" s="12" t="s">
        <v>1283</v>
      </c>
      <c r="F240" s="13">
        <v>32</v>
      </c>
      <c r="G240" s="14"/>
      <c r="H240" s="12" t="s">
        <v>61</v>
      </c>
      <c r="I240" s="12" t="s">
        <v>230</v>
      </c>
      <c r="J240" s="12" t="s">
        <v>231</v>
      </c>
      <c r="K240" s="12" t="s">
        <v>199</v>
      </c>
      <c r="L240" s="14"/>
      <c r="M240" s="12" t="s">
        <v>43</v>
      </c>
      <c r="N240" s="12" t="s">
        <v>84</v>
      </c>
      <c r="O240" s="12" t="s">
        <v>1284</v>
      </c>
      <c r="P240" s="12" t="s">
        <v>66</v>
      </c>
      <c r="Q240" s="12" t="s">
        <v>233</v>
      </c>
      <c r="R240" s="12" t="s">
        <v>361</v>
      </c>
      <c r="S240" s="13">
        <v>197804579815</v>
      </c>
      <c r="T240" s="12" t="s">
        <v>235</v>
      </c>
      <c r="U240" s="13">
        <v>32</v>
      </c>
      <c r="V240" s="12" t="s">
        <v>665</v>
      </c>
      <c r="W240" s="12" t="s">
        <v>118</v>
      </c>
      <c r="X240" s="14"/>
      <c r="Y240" s="14"/>
      <c r="Z240" s="14"/>
      <c r="AA240" s="14"/>
      <c r="AB240" s="14"/>
      <c r="AC240" s="15">
        <v>40.950000000000003</v>
      </c>
      <c r="AD240" s="15">
        <f>AC240*AG240</f>
        <v>1105.6500000000001</v>
      </c>
      <c r="AE240" s="15">
        <v>90</v>
      </c>
      <c r="AF240" s="15">
        <f>AE240*AG240</f>
        <v>2430</v>
      </c>
      <c r="AG240" s="16">
        <v>27</v>
      </c>
    </row>
    <row r="241" spans="1:33" ht="15" customHeight="1" x14ac:dyDescent="0.2">
      <c r="A241" s="11" t="str">
        <f t="shared" si="90"/>
        <v>VN0A7Y3X6OG1</v>
      </c>
      <c r="B241" s="12" t="s">
        <v>1285</v>
      </c>
      <c r="C241" s="12" t="s">
        <v>1242</v>
      </c>
      <c r="D241" s="12" t="s">
        <v>1243</v>
      </c>
      <c r="E241" s="12" t="s">
        <v>1286</v>
      </c>
      <c r="F241" s="12" t="s">
        <v>179</v>
      </c>
      <c r="G241" s="14"/>
      <c r="H241" s="12" t="s">
        <v>61</v>
      </c>
      <c r="I241" s="12" t="s">
        <v>230</v>
      </c>
      <c r="J241" s="12" t="s">
        <v>419</v>
      </c>
      <c r="K241" s="12" t="s">
        <v>199</v>
      </c>
      <c r="L241" s="14"/>
      <c r="M241" s="12" t="s">
        <v>43</v>
      </c>
      <c r="N241" s="12" t="s">
        <v>84</v>
      </c>
      <c r="O241" s="12" t="s">
        <v>1287</v>
      </c>
      <c r="P241" s="12" t="s">
        <v>66</v>
      </c>
      <c r="Q241" s="12" t="s">
        <v>67</v>
      </c>
      <c r="R241" s="12" t="s">
        <v>623</v>
      </c>
      <c r="S241" s="13">
        <v>197805981877</v>
      </c>
      <c r="T241" s="12" t="s">
        <v>709</v>
      </c>
      <c r="U241" s="12" t="s">
        <v>179</v>
      </c>
      <c r="V241" s="12" t="s">
        <v>1246</v>
      </c>
      <c r="W241" s="12" t="s">
        <v>455</v>
      </c>
      <c r="X241" s="14"/>
      <c r="Y241" s="14"/>
      <c r="Z241" s="14"/>
      <c r="AA241" s="14"/>
      <c r="AB241" s="14"/>
      <c r="AC241" s="15">
        <v>32.75</v>
      </c>
      <c r="AD241" s="15">
        <f>AC241*AG241</f>
        <v>884.25</v>
      </c>
      <c r="AE241" s="15">
        <v>72</v>
      </c>
      <c r="AF241" s="15">
        <f>AE241*AG241</f>
        <v>1944</v>
      </c>
      <c r="AG241" s="16">
        <v>27</v>
      </c>
    </row>
    <row r="242" spans="1:33" ht="15" customHeight="1" x14ac:dyDescent="0.2">
      <c r="A242" s="11" t="str">
        <f>HYPERLINK("https://assets.vans.eu/images/VN000Q9DBLK-HERO/1","VN000Q9DBLK1")</f>
        <v>VN000Q9DBLK1</v>
      </c>
      <c r="B242" s="12" t="s">
        <v>1288</v>
      </c>
      <c r="C242" s="12" t="s">
        <v>1289</v>
      </c>
      <c r="D242" s="12" t="s">
        <v>76</v>
      </c>
      <c r="E242" s="12" t="s">
        <v>1290</v>
      </c>
      <c r="F242" s="12" t="s">
        <v>78</v>
      </c>
      <c r="G242" s="14"/>
      <c r="H242" s="12" t="s">
        <v>441</v>
      </c>
      <c r="I242" s="12" t="s">
        <v>442</v>
      </c>
      <c r="J242" s="12" t="s">
        <v>1291</v>
      </c>
      <c r="K242" s="12" t="s">
        <v>82</v>
      </c>
      <c r="L242" s="14"/>
      <c r="M242" s="12" t="s">
        <v>43</v>
      </c>
      <c r="N242" s="12" t="s">
        <v>84</v>
      </c>
      <c r="O242" s="12" t="s">
        <v>1292</v>
      </c>
      <c r="P242" s="12" t="s">
        <v>445</v>
      </c>
      <c r="Q242" s="12" t="s">
        <v>446</v>
      </c>
      <c r="R242" s="12" t="s">
        <v>1293</v>
      </c>
      <c r="S242" s="13">
        <v>197804374304</v>
      </c>
      <c r="T242" s="12" t="s">
        <v>130</v>
      </c>
      <c r="U242" s="12" t="s">
        <v>78</v>
      </c>
      <c r="V242" s="12" t="s">
        <v>1294</v>
      </c>
      <c r="W242" s="12" t="s">
        <v>51</v>
      </c>
      <c r="X242" s="14"/>
      <c r="Y242" s="14"/>
      <c r="Z242" s="14"/>
      <c r="AA242" s="14"/>
      <c r="AB242" s="14"/>
      <c r="AC242" s="15">
        <v>25</v>
      </c>
      <c r="AD242" s="15">
        <f>AC242*AG242</f>
        <v>675</v>
      </c>
      <c r="AE242" s="15">
        <v>55</v>
      </c>
      <c r="AF242" s="15">
        <f>AE242*AG242</f>
        <v>1485</v>
      </c>
      <c r="AG242" s="16">
        <v>27</v>
      </c>
    </row>
    <row r="243" spans="1:33" ht="15" customHeight="1" x14ac:dyDescent="0.2">
      <c r="A243" s="11" t="str">
        <f t="shared" ref="A243:A379" si="96">HYPERLINK("https://assets.vans.eu/images/VN0007P9CL2-HERO/1","VN0007P9CL21")</f>
        <v>VN0007P9CL21</v>
      </c>
      <c r="B243" s="12" t="s">
        <v>1295</v>
      </c>
      <c r="C243" s="12" t="s">
        <v>883</v>
      </c>
      <c r="D243" s="12" t="s">
        <v>1296</v>
      </c>
      <c r="E243" s="12" t="s">
        <v>1297</v>
      </c>
      <c r="F243" s="13">
        <v>60</v>
      </c>
      <c r="G243" s="12" t="s">
        <v>886</v>
      </c>
      <c r="H243" s="12" t="s">
        <v>38</v>
      </c>
      <c r="I243" s="12" t="s">
        <v>113</v>
      </c>
      <c r="J243" s="12" t="s">
        <v>529</v>
      </c>
      <c r="K243" s="12" t="s">
        <v>100</v>
      </c>
      <c r="L243" s="12" t="s">
        <v>350</v>
      </c>
      <c r="M243" s="12" t="s">
        <v>43</v>
      </c>
      <c r="N243" s="12" t="s">
        <v>84</v>
      </c>
      <c r="O243" s="12" t="s">
        <v>1298</v>
      </c>
      <c r="P243" s="12" t="s">
        <v>46</v>
      </c>
      <c r="Q243" s="12" t="s">
        <v>47</v>
      </c>
      <c r="R243" s="12" t="s">
        <v>117</v>
      </c>
      <c r="S243" s="13">
        <v>197063416401</v>
      </c>
      <c r="T243" s="12" t="s">
        <v>49</v>
      </c>
      <c r="U243" s="13">
        <v>36</v>
      </c>
      <c r="V243" s="12" t="s">
        <v>50</v>
      </c>
      <c r="W243" s="12" t="s">
        <v>299</v>
      </c>
      <c r="X243" s="14"/>
      <c r="Y243" s="12" t="s">
        <v>71</v>
      </c>
      <c r="Z243" s="12" t="s">
        <v>376</v>
      </c>
      <c r="AA243" s="14"/>
      <c r="AB243" s="14"/>
      <c r="AC243" s="15">
        <v>40.5</v>
      </c>
      <c r="AD243" s="15">
        <f>AC243*AG243</f>
        <v>1093.5</v>
      </c>
      <c r="AE243" s="15">
        <v>85</v>
      </c>
      <c r="AF243" s="15">
        <f>AE243*AG243</f>
        <v>2295</v>
      </c>
      <c r="AG243" s="16">
        <v>27</v>
      </c>
    </row>
    <row r="244" spans="1:33" ht="15" customHeight="1" x14ac:dyDescent="0.2">
      <c r="A244" s="11" t="str">
        <f t="shared" ref="A244:A836" si="97">HYPERLINK("https://assets.vans.eu/images/VN000CTGYJ7-HERO/1","VN000CTGYJ71")</f>
        <v>VN000CTGYJ71</v>
      </c>
      <c r="B244" s="12" t="s">
        <v>1299</v>
      </c>
      <c r="C244" s="12" t="s">
        <v>238</v>
      </c>
      <c r="D244" s="12" t="s">
        <v>1300</v>
      </c>
      <c r="E244" s="12" t="s">
        <v>1301</v>
      </c>
      <c r="F244" s="13">
        <v>60</v>
      </c>
      <c r="G244" s="12" t="s">
        <v>1302</v>
      </c>
      <c r="H244" s="12" t="s">
        <v>38</v>
      </c>
      <c r="I244" s="12" t="s">
        <v>242</v>
      </c>
      <c r="J244" s="12" t="s">
        <v>243</v>
      </c>
      <c r="K244" s="12" t="s">
        <v>244</v>
      </c>
      <c r="L244" s="14"/>
      <c r="M244" s="12" t="s">
        <v>43</v>
      </c>
      <c r="N244" s="12" t="s">
        <v>84</v>
      </c>
      <c r="O244" s="12" t="s">
        <v>1303</v>
      </c>
      <c r="P244" s="12" t="s">
        <v>46</v>
      </c>
      <c r="Q244" s="12" t="s">
        <v>47</v>
      </c>
      <c r="R244" s="12" t="s">
        <v>48</v>
      </c>
      <c r="S244" s="13">
        <v>197804514205</v>
      </c>
      <c r="T244" s="12" t="s">
        <v>164</v>
      </c>
      <c r="U244" s="13">
        <v>22</v>
      </c>
      <c r="V244" s="12" t="s">
        <v>50</v>
      </c>
      <c r="W244" s="12" t="s">
        <v>51</v>
      </c>
      <c r="X244" s="14"/>
      <c r="Y244" s="14"/>
      <c r="Z244" s="14"/>
      <c r="AA244" s="14"/>
      <c r="AB244" s="14"/>
      <c r="AC244" s="15">
        <v>22.75</v>
      </c>
      <c r="AD244" s="15">
        <f>AC244*AG244</f>
        <v>614.25</v>
      </c>
      <c r="AE244" s="15">
        <v>50</v>
      </c>
      <c r="AF244" s="15">
        <f>AE244*AG244</f>
        <v>1350</v>
      </c>
      <c r="AG244" s="16">
        <v>27</v>
      </c>
    </row>
    <row r="245" spans="1:33" ht="15" customHeight="1" x14ac:dyDescent="0.2">
      <c r="A245" s="11" t="str">
        <f>HYPERLINK("https://assets.vans.eu/images/VN000CWE4QU-HERO/1","VN000CWE4QU1")</f>
        <v>VN000CWE4QU1</v>
      </c>
      <c r="B245" s="12" t="s">
        <v>1304</v>
      </c>
      <c r="C245" s="12" t="s">
        <v>1248</v>
      </c>
      <c r="D245" s="12" t="s">
        <v>1057</v>
      </c>
      <c r="E245" s="12" t="s">
        <v>1305</v>
      </c>
      <c r="F245" s="13">
        <v>40</v>
      </c>
      <c r="G245" s="12" t="s">
        <v>1306</v>
      </c>
      <c r="H245" s="12" t="s">
        <v>38</v>
      </c>
      <c r="I245" s="12" t="s">
        <v>113</v>
      </c>
      <c r="J245" s="12" t="s">
        <v>529</v>
      </c>
      <c r="K245" s="12" t="s">
        <v>82</v>
      </c>
      <c r="L245" s="14"/>
      <c r="M245" s="12" t="s">
        <v>43</v>
      </c>
      <c r="N245" s="12" t="s">
        <v>44</v>
      </c>
      <c r="O245" s="12" t="s">
        <v>1307</v>
      </c>
      <c r="P245" s="12" t="s">
        <v>46</v>
      </c>
      <c r="Q245" s="12" t="s">
        <v>47</v>
      </c>
      <c r="R245" s="12" t="s">
        <v>117</v>
      </c>
      <c r="S245" s="13">
        <v>197643248859</v>
      </c>
      <c r="T245" s="12" t="s">
        <v>105</v>
      </c>
      <c r="U245" s="13">
        <v>35</v>
      </c>
      <c r="V245" s="12" t="s">
        <v>50</v>
      </c>
      <c r="W245" s="12" t="s">
        <v>262</v>
      </c>
      <c r="X245" s="14"/>
      <c r="Y245" s="12" t="s">
        <v>91</v>
      </c>
      <c r="Z245" s="12" t="s">
        <v>165</v>
      </c>
      <c r="AA245" s="14"/>
      <c r="AB245" s="14"/>
      <c r="AC245" s="15">
        <v>59.1</v>
      </c>
      <c r="AD245" s="15">
        <f>AC245*AG245</f>
        <v>1595.7</v>
      </c>
      <c r="AE245" s="15">
        <v>130</v>
      </c>
      <c r="AF245" s="15">
        <f>AE245*AG245</f>
        <v>3510</v>
      </c>
      <c r="AG245" s="16">
        <v>27</v>
      </c>
    </row>
    <row r="246" spans="1:33" ht="15" customHeight="1" x14ac:dyDescent="0.2">
      <c r="A246" s="11" t="str">
        <f t="shared" ref="A246:A457" si="98">HYPERLINK("https://assets.vans.eu/images/VN000CYAYLZ-HERO/1","VN000CYAYLZ1")</f>
        <v>VN000CYAYLZ1</v>
      </c>
      <c r="B246" s="12" t="s">
        <v>1308</v>
      </c>
      <c r="C246" s="12" t="s">
        <v>238</v>
      </c>
      <c r="D246" s="12" t="s">
        <v>458</v>
      </c>
      <c r="E246" s="12" t="s">
        <v>1309</v>
      </c>
      <c r="F246" s="13">
        <v>25</v>
      </c>
      <c r="G246" s="12" t="s">
        <v>775</v>
      </c>
      <c r="H246" s="12" t="s">
        <v>38</v>
      </c>
      <c r="I246" s="12" t="s">
        <v>39</v>
      </c>
      <c r="J246" s="12" t="s">
        <v>40</v>
      </c>
      <c r="K246" s="12" t="s">
        <v>41</v>
      </c>
      <c r="L246" s="14"/>
      <c r="M246" s="12" t="s">
        <v>43</v>
      </c>
      <c r="N246" s="12" t="s">
        <v>84</v>
      </c>
      <c r="O246" s="12" t="s">
        <v>1310</v>
      </c>
      <c r="P246" s="12" t="s">
        <v>46</v>
      </c>
      <c r="Q246" s="12" t="s">
        <v>47</v>
      </c>
      <c r="R246" s="12" t="s">
        <v>48</v>
      </c>
      <c r="S246" s="13">
        <v>197804516209</v>
      </c>
      <c r="T246" s="12" t="s">
        <v>105</v>
      </c>
      <c r="U246" s="13">
        <v>33</v>
      </c>
      <c r="V246" s="12" t="s">
        <v>278</v>
      </c>
      <c r="W246" s="12" t="s">
        <v>299</v>
      </c>
      <c r="X246" s="14"/>
      <c r="Y246" s="14"/>
      <c r="Z246" s="14"/>
      <c r="AA246" s="14"/>
      <c r="AB246" s="14"/>
      <c r="AC246" s="15">
        <v>29.55</v>
      </c>
      <c r="AD246" s="15">
        <f>AC246*AG246</f>
        <v>797.85</v>
      </c>
      <c r="AE246" s="15">
        <v>65</v>
      </c>
      <c r="AF246" s="15">
        <f>AE246*AG246</f>
        <v>1755</v>
      </c>
      <c r="AG246" s="16">
        <v>27</v>
      </c>
    </row>
    <row r="247" spans="1:33" ht="15" customHeight="1" x14ac:dyDescent="0.2">
      <c r="A247" s="11" t="str">
        <f t="shared" ref="A247:A335" si="99">HYPERLINK("https://assets.vans.eu/images/VN000D1JY23-HERO/1","VN000D1JY231")</f>
        <v>VN000D1JY231</v>
      </c>
      <c r="B247" s="12" t="s">
        <v>1311</v>
      </c>
      <c r="C247" s="12" t="s">
        <v>251</v>
      </c>
      <c r="D247" s="12" t="s">
        <v>1312</v>
      </c>
      <c r="E247" s="12" t="s">
        <v>1313</v>
      </c>
      <c r="F247" s="13">
        <v>65</v>
      </c>
      <c r="G247" s="14"/>
      <c r="H247" s="12" t="s">
        <v>38</v>
      </c>
      <c r="I247" s="12" t="s">
        <v>159</v>
      </c>
      <c r="J247" s="12" t="s">
        <v>255</v>
      </c>
      <c r="K247" s="12" t="s">
        <v>82</v>
      </c>
      <c r="L247" s="12" t="s">
        <v>260</v>
      </c>
      <c r="M247" s="12" t="s">
        <v>43</v>
      </c>
      <c r="N247" s="12" t="s">
        <v>84</v>
      </c>
      <c r="O247" s="12" t="s">
        <v>1314</v>
      </c>
      <c r="P247" s="12" t="s">
        <v>46</v>
      </c>
      <c r="Q247" s="12" t="s">
        <v>47</v>
      </c>
      <c r="R247" s="12" t="s">
        <v>163</v>
      </c>
      <c r="S247" s="13">
        <v>197804612710</v>
      </c>
      <c r="T247" s="12" t="s">
        <v>49</v>
      </c>
      <c r="U247" s="13">
        <v>38.5</v>
      </c>
      <c r="V247" s="12" t="s">
        <v>50</v>
      </c>
      <c r="W247" s="12" t="s">
        <v>51</v>
      </c>
      <c r="X247" s="14"/>
      <c r="Y247" s="14"/>
      <c r="Z247" s="14"/>
      <c r="AA247" s="14"/>
      <c r="AB247" s="14"/>
      <c r="AC247" s="15">
        <v>47.75</v>
      </c>
      <c r="AD247" s="15">
        <f>AC247*AG247</f>
        <v>1289.25</v>
      </c>
      <c r="AE247" s="15">
        <v>105</v>
      </c>
      <c r="AF247" s="15">
        <f>AE247*AG247</f>
        <v>2835</v>
      </c>
      <c r="AG247" s="16">
        <v>27</v>
      </c>
    </row>
    <row r="248" spans="1:33" ht="15" customHeight="1" x14ac:dyDescent="0.2">
      <c r="A248" s="11" t="str">
        <f t="shared" si="57"/>
        <v>VN000E9ZYF51</v>
      </c>
      <c r="B248" s="12" t="s">
        <v>1315</v>
      </c>
      <c r="C248" s="12" t="s">
        <v>110</v>
      </c>
      <c r="D248" s="12" t="s">
        <v>924</v>
      </c>
      <c r="E248" s="12" t="s">
        <v>1316</v>
      </c>
      <c r="F248" s="13">
        <v>65</v>
      </c>
      <c r="G248" s="14"/>
      <c r="H248" s="12" t="s">
        <v>38</v>
      </c>
      <c r="I248" s="12" t="s">
        <v>205</v>
      </c>
      <c r="J248" s="12" t="s">
        <v>206</v>
      </c>
      <c r="K248" s="12" t="s">
        <v>207</v>
      </c>
      <c r="L248" s="12" t="s">
        <v>260</v>
      </c>
      <c r="M248" s="12" t="s">
        <v>43</v>
      </c>
      <c r="N248" s="12" t="s">
        <v>84</v>
      </c>
      <c r="O248" s="12" t="s">
        <v>1317</v>
      </c>
      <c r="P248" s="12" t="s">
        <v>46</v>
      </c>
      <c r="Q248" s="12" t="s">
        <v>47</v>
      </c>
      <c r="R248" s="12" t="s">
        <v>48</v>
      </c>
      <c r="S248" s="13">
        <v>197804867561</v>
      </c>
      <c r="T248" s="12" t="s">
        <v>105</v>
      </c>
      <c r="U248" s="13">
        <v>38.5</v>
      </c>
      <c r="V248" s="12" t="s">
        <v>50</v>
      </c>
      <c r="W248" s="12" t="s">
        <v>284</v>
      </c>
      <c r="X248" s="14"/>
      <c r="Y248" s="14"/>
      <c r="Z248" s="14"/>
      <c r="AA248" s="14"/>
      <c r="AB248" s="14"/>
      <c r="AC248" s="15">
        <v>34.1</v>
      </c>
      <c r="AD248" s="15">
        <f>AC248*AG248</f>
        <v>920.7</v>
      </c>
      <c r="AE248" s="15">
        <v>75</v>
      </c>
      <c r="AF248" s="15">
        <f>AE248*AG248</f>
        <v>2025</v>
      </c>
      <c r="AG248" s="16">
        <v>27</v>
      </c>
    </row>
    <row r="249" spans="1:33" ht="15" customHeight="1" x14ac:dyDescent="0.2">
      <c r="A249" s="11" t="str">
        <f t="shared" ref="A249:A1297" si="100">HYPERLINK("https://assets.vans.eu/images/VN000QB8EMU-HERO/1","VN000QB8EMU1")</f>
        <v>VN000QB8EMU1</v>
      </c>
      <c r="B249" s="12" t="s">
        <v>1318</v>
      </c>
      <c r="C249" s="12" t="s">
        <v>177</v>
      </c>
      <c r="D249" s="12" t="s">
        <v>1319</v>
      </c>
      <c r="E249" s="12" t="s">
        <v>1320</v>
      </c>
      <c r="F249" s="12" t="s">
        <v>170</v>
      </c>
      <c r="G249" s="14"/>
      <c r="H249" s="12" t="s">
        <v>79</v>
      </c>
      <c r="I249" s="12" t="s">
        <v>80</v>
      </c>
      <c r="J249" s="12" t="s">
        <v>171</v>
      </c>
      <c r="K249" s="12" t="s">
        <v>82</v>
      </c>
      <c r="L249" s="14"/>
      <c r="M249" s="12" t="s">
        <v>43</v>
      </c>
      <c r="N249" s="12" t="s">
        <v>84</v>
      </c>
      <c r="O249" s="12" t="s">
        <v>1321</v>
      </c>
      <c r="P249" s="12" t="s">
        <v>86</v>
      </c>
      <c r="Q249" s="12" t="s">
        <v>141</v>
      </c>
      <c r="R249" s="12" t="s">
        <v>173</v>
      </c>
      <c r="S249" s="13">
        <v>197804393985</v>
      </c>
      <c r="T249" s="12" t="s">
        <v>105</v>
      </c>
      <c r="U249" s="12" t="s">
        <v>170</v>
      </c>
      <c r="V249" s="12" t="s">
        <v>181</v>
      </c>
      <c r="W249" s="12" t="s">
        <v>118</v>
      </c>
      <c r="X249" s="14"/>
      <c r="Y249" s="14"/>
      <c r="Z249" s="14"/>
      <c r="AA249" s="14"/>
      <c r="AB249" s="14"/>
      <c r="AC249" s="15">
        <v>7.3</v>
      </c>
      <c r="AD249" s="15">
        <f>AC249*AG249</f>
        <v>189.79999999999998</v>
      </c>
      <c r="AE249" s="15">
        <v>16</v>
      </c>
      <c r="AF249" s="15">
        <f>AE249*AG249</f>
        <v>416</v>
      </c>
      <c r="AG249" s="16">
        <v>26</v>
      </c>
    </row>
    <row r="250" spans="1:33" ht="15" customHeight="1" x14ac:dyDescent="0.2">
      <c r="A250" s="11" t="str">
        <f>HYPERLINK("https://assets.vans.eu/images/VN0A7PQZEN7-HERO/1","VN0A7PQZEN71")</f>
        <v>VN0A7PQZEN71</v>
      </c>
      <c r="B250" s="12" t="s">
        <v>1322</v>
      </c>
      <c r="C250" s="12" t="s">
        <v>1323</v>
      </c>
      <c r="D250" s="12" t="s">
        <v>295</v>
      </c>
      <c r="E250" s="12" t="s">
        <v>1324</v>
      </c>
      <c r="F250" s="12" t="s">
        <v>78</v>
      </c>
      <c r="G250" s="14"/>
      <c r="H250" s="12" t="s">
        <v>79</v>
      </c>
      <c r="I250" s="12" t="s">
        <v>80</v>
      </c>
      <c r="J250" s="12" t="s">
        <v>99</v>
      </c>
      <c r="K250" s="12" t="s">
        <v>82</v>
      </c>
      <c r="L250" s="14"/>
      <c r="M250" s="12" t="s">
        <v>43</v>
      </c>
      <c r="N250" s="12" t="s">
        <v>84</v>
      </c>
      <c r="O250" s="12" t="s">
        <v>1325</v>
      </c>
      <c r="P250" s="12" t="s">
        <v>86</v>
      </c>
      <c r="Q250" s="12" t="s">
        <v>716</v>
      </c>
      <c r="R250" s="12" t="s">
        <v>717</v>
      </c>
      <c r="S250" s="13">
        <v>197804389247</v>
      </c>
      <c r="T250" s="12" t="s">
        <v>143</v>
      </c>
      <c r="U250" s="12" t="s">
        <v>78</v>
      </c>
      <c r="V250" s="12" t="s">
        <v>718</v>
      </c>
      <c r="W250" s="12" t="s">
        <v>299</v>
      </c>
      <c r="X250" s="14"/>
      <c r="Y250" s="14"/>
      <c r="Z250" s="14"/>
      <c r="AA250" s="14"/>
      <c r="AB250" s="14"/>
      <c r="AC250" s="15">
        <v>12.75</v>
      </c>
      <c r="AD250" s="15">
        <f>AC250*AG250</f>
        <v>331.5</v>
      </c>
      <c r="AE250" s="15">
        <v>28</v>
      </c>
      <c r="AF250" s="15">
        <f>AE250*AG250</f>
        <v>728</v>
      </c>
      <c r="AG250" s="16">
        <v>26</v>
      </c>
    </row>
    <row r="251" spans="1:33" ht="15" customHeight="1" x14ac:dyDescent="0.2">
      <c r="A251" s="11" t="str">
        <f t="shared" si="94"/>
        <v>VN000G75D6Z1</v>
      </c>
      <c r="B251" s="12" t="s">
        <v>1326</v>
      </c>
      <c r="C251" s="12" t="s">
        <v>1188</v>
      </c>
      <c r="D251" s="12" t="s">
        <v>1277</v>
      </c>
      <c r="E251" s="12" t="s">
        <v>1327</v>
      </c>
      <c r="F251" s="12" t="s">
        <v>170</v>
      </c>
      <c r="G251" s="14"/>
      <c r="H251" s="12" t="s">
        <v>61</v>
      </c>
      <c r="I251" s="12" t="s">
        <v>230</v>
      </c>
      <c r="J251" s="12" t="s">
        <v>557</v>
      </c>
      <c r="K251" s="12" t="s">
        <v>199</v>
      </c>
      <c r="L251" s="14"/>
      <c r="M251" s="12" t="s">
        <v>43</v>
      </c>
      <c r="N251" s="12" t="s">
        <v>44</v>
      </c>
      <c r="O251" s="12" t="s">
        <v>1328</v>
      </c>
      <c r="P251" s="12" t="s">
        <v>66</v>
      </c>
      <c r="Q251" s="12" t="s">
        <v>559</v>
      </c>
      <c r="R251" s="12" t="s">
        <v>560</v>
      </c>
      <c r="S251" s="13">
        <v>197643554424</v>
      </c>
      <c r="T251" s="12" t="s">
        <v>49</v>
      </c>
      <c r="U251" s="12" t="s">
        <v>170</v>
      </c>
      <c r="V251" s="12" t="s">
        <v>1191</v>
      </c>
      <c r="W251" s="12" t="s">
        <v>299</v>
      </c>
      <c r="X251" s="12" t="s">
        <v>500</v>
      </c>
      <c r="Y251" s="12" t="s">
        <v>91</v>
      </c>
      <c r="Z251" s="12" t="s">
        <v>108</v>
      </c>
      <c r="AA251" s="13">
        <v>0</v>
      </c>
      <c r="AB251" s="13">
        <v>0</v>
      </c>
      <c r="AC251" s="15">
        <v>25</v>
      </c>
      <c r="AD251" s="15">
        <f>AC251*AG251</f>
        <v>650</v>
      </c>
      <c r="AE251" s="15">
        <v>55</v>
      </c>
      <c r="AF251" s="15">
        <f>AE251*AG251</f>
        <v>1430</v>
      </c>
      <c r="AG251" s="16">
        <v>26</v>
      </c>
    </row>
    <row r="252" spans="1:33" ht="15" customHeight="1" x14ac:dyDescent="0.2">
      <c r="A252" s="11" t="str">
        <f t="shared" si="94"/>
        <v>VN000G75D6Z1</v>
      </c>
      <c r="B252" s="12" t="s">
        <v>1329</v>
      </c>
      <c r="C252" s="12" t="s">
        <v>1188</v>
      </c>
      <c r="D252" s="12" t="s">
        <v>1277</v>
      </c>
      <c r="E252" s="12" t="s">
        <v>1330</v>
      </c>
      <c r="F252" s="12" t="s">
        <v>60</v>
      </c>
      <c r="G252" s="14"/>
      <c r="H252" s="12" t="s">
        <v>61</v>
      </c>
      <c r="I252" s="12" t="s">
        <v>230</v>
      </c>
      <c r="J252" s="12" t="s">
        <v>557</v>
      </c>
      <c r="K252" s="12" t="s">
        <v>199</v>
      </c>
      <c r="L252" s="14"/>
      <c r="M252" s="12" t="s">
        <v>43</v>
      </c>
      <c r="N252" s="12" t="s">
        <v>44</v>
      </c>
      <c r="O252" s="12" t="s">
        <v>1331</v>
      </c>
      <c r="P252" s="12" t="s">
        <v>66</v>
      </c>
      <c r="Q252" s="12" t="s">
        <v>559</v>
      </c>
      <c r="R252" s="12" t="s">
        <v>560</v>
      </c>
      <c r="S252" s="13">
        <v>197643554615</v>
      </c>
      <c r="T252" s="12" t="s">
        <v>49</v>
      </c>
      <c r="U252" s="12" t="s">
        <v>60</v>
      </c>
      <c r="V252" s="12" t="s">
        <v>1191</v>
      </c>
      <c r="W252" s="12" t="s">
        <v>299</v>
      </c>
      <c r="X252" s="12" t="s">
        <v>500</v>
      </c>
      <c r="Y252" s="12" t="s">
        <v>91</v>
      </c>
      <c r="Z252" s="12" t="s">
        <v>108</v>
      </c>
      <c r="AA252" s="13">
        <v>0</v>
      </c>
      <c r="AB252" s="13">
        <v>0</v>
      </c>
      <c r="AC252" s="15">
        <v>25</v>
      </c>
      <c r="AD252" s="15">
        <f>AC252*AG252</f>
        <v>650</v>
      </c>
      <c r="AE252" s="15">
        <v>55</v>
      </c>
      <c r="AF252" s="15">
        <f>AE252*AG252</f>
        <v>1430</v>
      </c>
      <c r="AG252" s="16">
        <v>26</v>
      </c>
    </row>
    <row r="253" spans="1:33" ht="15" customHeight="1" x14ac:dyDescent="0.2">
      <c r="A253" s="11" t="str">
        <f>HYPERLINK("https://assets.vans.eu/images/VN000K3NBLK-HERO/1","VN000K3NBLK1")</f>
        <v>VN000K3NBLK1</v>
      </c>
      <c r="B253" s="12" t="s">
        <v>1332</v>
      </c>
      <c r="C253" s="12" t="s">
        <v>1333</v>
      </c>
      <c r="D253" s="12" t="s">
        <v>76</v>
      </c>
      <c r="E253" s="12" t="s">
        <v>1334</v>
      </c>
      <c r="F253" s="12" t="s">
        <v>138</v>
      </c>
      <c r="G253" s="14"/>
      <c r="H253" s="12" t="s">
        <v>61</v>
      </c>
      <c r="I253" s="12" t="s">
        <v>289</v>
      </c>
      <c r="J253" s="12" t="s">
        <v>290</v>
      </c>
      <c r="K253" s="12" t="s">
        <v>100</v>
      </c>
      <c r="L253" s="14"/>
      <c r="M253" s="12" t="s">
        <v>43</v>
      </c>
      <c r="N253" s="12" t="s">
        <v>44</v>
      </c>
      <c r="O253" s="12" t="s">
        <v>1335</v>
      </c>
      <c r="P253" s="12" t="s">
        <v>66</v>
      </c>
      <c r="Q253" s="12" t="s">
        <v>233</v>
      </c>
      <c r="R253" s="12" t="s">
        <v>664</v>
      </c>
      <c r="S253" s="13">
        <v>197065472795</v>
      </c>
      <c r="T253" s="12" t="s">
        <v>49</v>
      </c>
      <c r="U253" s="12" t="s">
        <v>138</v>
      </c>
      <c r="V253" s="12" t="s">
        <v>1336</v>
      </c>
      <c r="W253" s="12" t="s">
        <v>51</v>
      </c>
      <c r="X253" s="13">
        <v>0</v>
      </c>
      <c r="Y253" s="12" t="s">
        <v>91</v>
      </c>
      <c r="Z253" s="12" t="s">
        <v>108</v>
      </c>
      <c r="AA253" s="13">
        <v>0</v>
      </c>
      <c r="AB253" s="13">
        <v>0</v>
      </c>
      <c r="AC253" s="15">
        <v>22.75</v>
      </c>
      <c r="AD253" s="15">
        <f>AC253*AG253</f>
        <v>591.5</v>
      </c>
      <c r="AE253" s="15">
        <v>50</v>
      </c>
      <c r="AF253" s="15">
        <f>AE253*AG253</f>
        <v>1300</v>
      </c>
      <c r="AG253" s="16">
        <v>26</v>
      </c>
    </row>
    <row r="254" spans="1:33" ht="15" customHeight="1" x14ac:dyDescent="0.2">
      <c r="A254" s="11" t="str">
        <f t="shared" ref="A254:A483" si="101">HYPERLINK("https://assets.vans.eu/images/VN000MFWUUI-HERO/1","VN000MFWUUI1")</f>
        <v>VN000MFWUUI1</v>
      </c>
      <c r="B254" s="12" t="s">
        <v>1337</v>
      </c>
      <c r="C254" s="12" t="s">
        <v>1338</v>
      </c>
      <c r="D254" s="12" t="s">
        <v>723</v>
      </c>
      <c r="E254" s="12" t="s">
        <v>1339</v>
      </c>
      <c r="F254" s="13">
        <v>5</v>
      </c>
      <c r="G254" s="14"/>
      <c r="H254" s="12" t="s">
        <v>61</v>
      </c>
      <c r="I254" s="12" t="s">
        <v>1340</v>
      </c>
      <c r="J254" s="12" t="s">
        <v>1341</v>
      </c>
      <c r="K254" s="12" t="s">
        <v>1022</v>
      </c>
      <c r="L254" s="14"/>
      <c r="M254" s="12" t="s">
        <v>43</v>
      </c>
      <c r="N254" s="12" t="s">
        <v>44</v>
      </c>
      <c r="O254" s="12" t="s">
        <v>1342</v>
      </c>
      <c r="P254" s="12" t="s">
        <v>66</v>
      </c>
      <c r="Q254" s="12" t="s">
        <v>67</v>
      </c>
      <c r="R254" s="12" t="s">
        <v>730</v>
      </c>
      <c r="S254" s="13">
        <v>197643373087</v>
      </c>
      <c r="T254" s="12" t="s">
        <v>49</v>
      </c>
      <c r="U254" s="13">
        <v>5</v>
      </c>
      <c r="V254" s="12" t="s">
        <v>1343</v>
      </c>
      <c r="W254" s="12" t="s">
        <v>107</v>
      </c>
      <c r="X254" s="13">
        <v>0</v>
      </c>
      <c r="Y254" s="12" t="s">
        <v>91</v>
      </c>
      <c r="Z254" s="12" t="s">
        <v>108</v>
      </c>
      <c r="AA254" s="13">
        <v>0</v>
      </c>
      <c r="AB254" s="13">
        <v>0</v>
      </c>
      <c r="AC254" s="15">
        <v>26.4</v>
      </c>
      <c r="AD254" s="15">
        <f>AC254*AG254</f>
        <v>686.4</v>
      </c>
      <c r="AE254" s="15">
        <v>58</v>
      </c>
      <c r="AF254" s="15">
        <f>AE254*AG254</f>
        <v>1508</v>
      </c>
      <c r="AG254" s="16">
        <v>26</v>
      </c>
    </row>
    <row r="255" spans="1:33" ht="15" customHeight="1" x14ac:dyDescent="0.2">
      <c r="A255" s="11" t="str">
        <f t="shared" ref="A255:A1757" si="102">HYPERLINK("https://assets.vans.eu/images/VN000PX3EN6-HERO/1","VN000PX3EN61")</f>
        <v>VN000PX3EN61</v>
      </c>
      <c r="B255" s="12" t="s">
        <v>1344</v>
      </c>
      <c r="C255" s="12" t="s">
        <v>1345</v>
      </c>
      <c r="D255" s="12" t="s">
        <v>189</v>
      </c>
      <c r="E255" s="12" t="s">
        <v>1346</v>
      </c>
      <c r="F255" s="12" t="s">
        <v>179</v>
      </c>
      <c r="G255" s="14"/>
      <c r="H255" s="12" t="s">
        <v>61</v>
      </c>
      <c r="I255" s="12" t="s">
        <v>62</v>
      </c>
      <c r="J255" s="12" t="s">
        <v>63</v>
      </c>
      <c r="K255" s="12" t="s">
        <v>64</v>
      </c>
      <c r="L255" s="14"/>
      <c r="M255" s="12" t="s">
        <v>43</v>
      </c>
      <c r="N255" s="12" t="s">
        <v>84</v>
      </c>
      <c r="O255" s="12" t="s">
        <v>1347</v>
      </c>
      <c r="P255" s="12" t="s">
        <v>66</v>
      </c>
      <c r="Q255" s="12" t="s">
        <v>67</v>
      </c>
      <c r="R255" s="12" t="s">
        <v>730</v>
      </c>
      <c r="S255" s="13">
        <v>197804365067</v>
      </c>
      <c r="T255" s="12" t="s">
        <v>49</v>
      </c>
      <c r="U255" s="12" t="s">
        <v>179</v>
      </c>
      <c r="V255" s="12" t="s">
        <v>710</v>
      </c>
      <c r="W255" s="12" t="s">
        <v>118</v>
      </c>
      <c r="X255" s="14"/>
      <c r="Y255" s="14"/>
      <c r="Z255" s="14"/>
      <c r="AA255" s="14"/>
      <c r="AB255" s="14"/>
      <c r="AC255" s="15">
        <v>31.85</v>
      </c>
      <c r="AD255" s="15">
        <f>AC255*AG255</f>
        <v>828.1</v>
      </c>
      <c r="AE255" s="15">
        <v>70</v>
      </c>
      <c r="AF255" s="15">
        <f>AE255*AG255</f>
        <v>1820</v>
      </c>
      <c r="AG255" s="16">
        <v>26</v>
      </c>
    </row>
    <row r="256" spans="1:33" ht="15" customHeight="1" x14ac:dyDescent="0.2">
      <c r="A256" s="11" t="str">
        <f t="shared" si="76"/>
        <v>VN000D0HKCZ1</v>
      </c>
      <c r="B256" s="12" t="s">
        <v>1348</v>
      </c>
      <c r="C256" s="12" t="s">
        <v>1108</v>
      </c>
      <c r="D256" s="12" t="s">
        <v>1109</v>
      </c>
      <c r="E256" s="12" t="s">
        <v>1349</v>
      </c>
      <c r="F256" s="13">
        <v>120</v>
      </c>
      <c r="G256" s="12" t="s">
        <v>1111</v>
      </c>
      <c r="H256" s="12" t="s">
        <v>38</v>
      </c>
      <c r="I256" s="12" t="s">
        <v>39</v>
      </c>
      <c r="J256" s="12" t="s">
        <v>40</v>
      </c>
      <c r="K256" s="12" t="s">
        <v>41</v>
      </c>
      <c r="L256" s="14"/>
      <c r="M256" s="12" t="s">
        <v>43</v>
      </c>
      <c r="N256" s="12" t="s">
        <v>84</v>
      </c>
      <c r="O256" s="12" t="s">
        <v>1350</v>
      </c>
      <c r="P256" s="12" t="s">
        <v>46</v>
      </c>
      <c r="Q256" s="12" t="s">
        <v>47</v>
      </c>
      <c r="R256" s="12" t="s">
        <v>780</v>
      </c>
      <c r="S256" s="13">
        <v>197804436613</v>
      </c>
      <c r="T256" s="12" t="s">
        <v>105</v>
      </c>
      <c r="U256" s="13">
        <v>29</v>
      </c>
      <c r="V256" s="12" t="s">
        <v>50</v>
      </c>
      <c r="W256" s="12" t="s">
        <v>118</v>
      </c>
      <c r="X256" s="14"/>
      <c r="Y256" s="14"/>
      <c r="Z256" s="14"/>
      <c r="AA256" s="14"/>
      <c r="AB256" s="14"/>
      <c r="AC256" s="15">
        <v>34.1</v>
      </c>
      <c r="AD256" s="15">
        <f>AC256*AG256</f>
        <v>886.6</v>
      </c>
      <c r="AE256" s="15">
        <v>75</v>
      </c>
      <c r="AF256" s="15">
        <f>AE256*AG256</f>
        <v>1950</v>
      </c>
      <c r="AG256" s="16">
        <v>26</v>
      </c>
    </row>
    <row r="257" spans="1:33" ht="15" customHeight="1" x14ac:dyDescent="0.2">
      <c r="A257" s="11" t="str">
        <f t="shared" si="99"/>
        <v>VN000D1JY231</v>
      </c>
      <c r="B257" s="12" t="s">
        <v>1351</v>
      </c>
      <c r="C257" s="12" t="s">
        <v>251</v>
      </c>
      <c r="D257" s="12" t="s">
        <v>1312</v>
      </c>
      <c r="E257" s="12" t="s">
        <v>1352</v>
      </c>
      <c r="F257" s="13">
        <v>80</v>
      </c>
      <c r="G257" s="14"/>
      <c r="H257" s="12" t="s">
        <v>38</v>
      </c>
      <c r="I257" s="12" t="s">
        <v>159</v>
      </c>
      <c r="J257" s="12" t="s">
        <v>255</v>
      </c>
      <c r="K257" s="12" t="s">
        <v>82</v>
      </c>
      <c r="L257" s="12" t="s">
        <v>260</v>
      </c>
      <c r="M257" s="12" t="s">
        <v>43</v>
      </c>
      <c r="N257" s="12" t="s">
        <v>84</v>
      </c>
      <c r="O257" s="12" t="s">
        <v>1353</v>
      </c>
      <c r="P257" s="12" t="s">
        <v>46</v>
      </c>
      <c r="Q257" s="12" t="s">
        <v>47</v>
      </c>
      <c r="R257" s="12" t="s">
        <v>163</v>
      </c>
      <c r="S257" s="13">
        <v>197804612994</v>
      </c>
      <c r="T257" s="12" t="s">
        <v>49</v>
      </c>
      <c r="U257" s="13">
        <v>40.5</v>
      </c>
      <c r="V257" s="12" t="s">
        <v>50</v>
      </c>
      <c r="W257" s="12" t="s">
        <v>51</v>
      </c>
      <c r="X257" s="14"/>
      <c r="Y257" s="14"/>
      <c r="Z257" s="14"/>
      <c r="AA257" s="14"/>
      <c r="AB257" s="14"/>
      <c r="AC257" s="15">
        <v>47.75</v>
      </c>
      <c r="AD257" s="15">
        <f>AC257*AG257</f>
        <v>1241.5</v>
      </c>
      <c r="AE257" s="15">
        <v>105</v>
      </c>
      <c r="AF257" s="15">
        <f>AE257*AG257</f>
        <v>2730</v>
      </c>
      <c r="AG257" s="16">
        <v>26</v>
      </c>
    </row>
    <row r="258" spans="1:33" ht="15" customHeight="1" x14ac:dyDescent="0.2">
      <c r="A258" s="11" t="str">
        <f>HYPERLINK("https://assets.vans.eu/images/VN000E9F5TU-HERO/1","VN000E9F5TU1")</f>
        <v>VN000E9F5TU1</v>
      </c>
      <c r="B258" s="12" t="s">
        <v>1354</v>
      </c>
      <c r="C258" s="12" t="s">
        <v>1355</v>
      </c>
      <c r="D258" s="12" t="s">
        <v>1356</v>
      </c>
      <c r="E258" s="12" t="s">
        <v>1357</v>
      </c>
      <c r="F258" s="13">
        <v>60</v>
      </c>
      <c r="G258" s="12" t="s">
        <v>1358</v>
      </c>
      <c r="H258" s="12" t="s">
        <v>38</v>
      </c>
      <c r="I258" s="12" t="s">
        <v>39</v>
      </c>
      <c r="J258" s="12" t="s">
        <v>40</v>
      </c>
      <c r="K258" s="12" t="s">
        <v>41</v>
      </c>
      <c r="L258" s="14"/>
      <c r="M258" s="12" t="s">
        <v>43</v>
      </c>
      <c r="N258" s="12" t="s">
        <v>84</v>
      </c>
      <c r="O258" s="12" t="s">
        <v>1359</v>
      </c>
      <c r="P258" s="12" t="s">
        <v>46</v>
      </c>
      <c r="Q258" s="12" t="s">
        <v>47</v>
      </c>
      <c r="R258" s="12" t="s">
        <v>48</v>
      </c>
      <c r="S258" s="13">
        <v>197805978181</v>
      </c>
      <c r="T258" s="12" t="s">
        <v>49</v>
      </c>
      <c r="U258" s="13">
        <v>38</v>
      </c>
      <c r="V258" s="12" t="s">
        <v>50</v>
      </c>
      <c r="W258" s="12" t="s">
        <v>284</v>
      </c>
      <c r="X258" s="14"/>
      <c r="Y258" s="14"/>
      <c r="Z258" s="14"/>
      <c r="AA258" s="14"/>
      <c r="AB258" s="14"/>
      <c r="AC258" s="15">
        <v>23.85</v>
      </c>
      <c r="AD258" s="15">
        <f>AC258*AG258</f>
        <v>620.1</v>
      </c>
      <c r="AE258" s="15">
        <v>50</v>
      </c>
      <c r="AF258" s="15">
        <f>AE258*AG258</f>
        <v>1300</v>
      </c>
      <c r="AG258" s="16">
        <v>26</v>
      </c>
    </row>
    <row r="259" spans="1:33" ht="15" customHeight="1" x14ac:dyDescent="0.2">
      <c r="A259" s="11" t="str">
        <f t="shared" si="7"/>
        <v>VN000ECUB5P1</v>
      </c>
      <c r="B259" s="12" t="s">
        <v>1360</v>
      </c>
      <c r="C259" s="12" t="s">
        <v>34</v>
      </c>
      <c r="D259" s="12" t="s">
        <v>203</v>
      </c>
      <c r="E259" s="12" t="s">
        <v>1361</v>
      </c>
      <c r="F259" s="13">
        <v>65</v>
      </c>
      <c r="G259" s="14"/>
      <c r="H259" s="12" t="s">
        <v>38</v>
      </c>
      <c r="I259" s="12" t="s">
        <v>205</v>
      </c>
      <c r="J259" s="12" t="s">
        <v>206</v>
      </c>
      <c r="K259" s="12" t="s">
        <v>207</v>
      </c>
      <c r="L259" s="12" t="s">
        <v>42</v>
      </c>
      <c r="M259" s="12" t="s">
        <v>43</v>
      </c>
      <c r="N259" s="12" t="s">
        <v>84</v>
      </c>
      <c r="O259" s="12" t="s">
        <v>1362</v>
      </c>
      <c r="P259" s="12" t="s">
        <v>46</v>
      </c>
      <c r="Q259" s="12" t="s">
        <v>47</v>
      </c>
      <c r="R259" s="12" t="s">
        <v>48</v>
      </c>
      <c r="S259" s="13">
        <v>198270303829</v>
      </c>
      <c r="T259" s="12" t="s">
        <v>49</v>
      </c>
      <c r="U259" s="13">
        <v>38.5</v>
      </c>
      <c r="V259" s="12" t="s">
        <v>209</v>
      </c>
      <c r="W259" s="12" t="s">
        <v>51</v>
      </c>
      <c r="X259" s="14"/>
      <c r="Y259" s="14"/>
      <c r="Z259" s="14"/>
      <c r="AA259" s="14"/>
      <c r="AB259" s="14"/>
      <c r="AC259" s="15">
        <v>36.4</v>
      </c>
      <c r="AD259" s="15">
        <f>AC259*AG259</f>
        <v>946.4</v>
      </c>
      <c r="AE259" s="15">
        <v>80</v>
      </c>
      <c r="AF259" s="15">
        <f>AE259*AG259</f>
        <v>2080</v>
      </c>
      <c r="AG259" s="16">
        <v>26</v>
      </c>
    </row>
    <row r="260" spans="1:33" ht="15" customHeight="1" x14ac:dyDescent="0.2">
      <c r="A260" s="11" t="str">
        <f>HYPERLINK("https://assets.vans.eu/images/VN000Q1RHTG-HERO/1","VN000Q1RHTG1")</f>
        <v>VN000Q1RHTG1</v>
      </c>
      <c r="B260" s="12" t="s">
        <v>1363</v>
      </c>
      <c r="C260" s="12" t="s">
        <v>481</v>
      </c>
      <c r="D260" s="12" t="s">
        <v>451</v>
      </c>
      <c r="E260" s="12" t="s">
        <v>1364</v>
      </c>
      <c r="F260" s="12" t="s">
        <v>138</v>
      </c>
      <c r="G260" s="14"/>
      <c r="H260" s="12" t="s">
        <v>79</v>
      </c>
      <c r="I260" s="12" t="s">
        <v>125</v>
      </c>
      <c r="J260" s="12" t="s">
        <v>139</v>
      </c>
      <c r="K260" s="12" t="s">
        <v>41</v>
      </c>
      <c r="L260" s="14"/>
      <c r="M260" s="12" t="s">
        <v>43</v>
      </c>
      <c r="N260" s="12" t="s">
        <v>84</v>
      </c>
      <c r="O260" s="12" t="s">
        <v>1365</v>
      </c>
      <c r="P260" s="12" t="s">
        <v>86</v>
      </c>
      <c r="Q260" s="12" t="s">
        <v>141</v>
      </c>
      <c r="R260" s="12" t="s">
        <v>142</v>
      </c>
      <c r="S260" s="13">
        <v>197804373956</v>
      </c>
      <c r="T260" s="12" t="s">
        <v>143</v>
      </c>
      <c r="U260" s="12" t="s">
        <v>138</v>
      </c>
      <c r="V260" s="12" t="s">
        <v>1366</v>
      </c>
      <c r="W260" s="12" t="s">
        <v>455</v>
      </c>
      <c r="X260" s="14"/>
      <c r="Y260" s="14"/>
      <c r="Z260" s="14"/>
      <c r="AA260" s="14"/>
      <c r="AB260" s="14"/>
      <c r="AC260" s="15">
        <v>8.1999999999999993</v>
      </c>
      <c r="AD260" s="15">
        <f>AC260*AG260</f>
        <v>204.99999999999997</v>
      </c>
      <c r="AE260" s="15">
        <v>18</v>
      </c>
      <c r="AF260" s="15">
        <f>AE260*AG260</f>
        <v>450</v>
      </c>
      <c r="AG260" s="16">
        <v>25</v>
      </c>
    </row>
    <row r="261" spans="1:33" ht="15" customHeight="1" x14ac:dyDescent="0.2">
      <c r="A261" s="11" t="str">
        <f t="shared" si="94"/>
        <v>VN000G75D6Z1</v>
      </c>
      <c r="B261" s="12" t="s">
        <v>1367</v>
      </c>
      <c r="C261" s="12" t="s">
        <v>1188</v>
      </c>
      <c r="D261" s="12" t="s">
        <v>1277</v>
      </c>
      <c r="E261" s="12" t="s">
        <v>1368</v>
      </c>
      <c r="F261" s="12" t="s">
        <v>179</v>
      </c>
      <c r="G261" s="14"/>
      <c r="H261" s="12" t="s">
        <v>61</v>
      </c>
      <c r="I261" s="12" t="s">
        <v>230</v>
      </c>
      <c r="J261" s="12" t="s">
        <v>557</v>
      </c>
      <c r="K261" s="12" t="s">
        <v>199</v>
      </c>
      <c r="L261" s="14"/>
      <c r="M261" s="12" t="s">
        <v>43</v>
      </c>
      <c r="N261" s="12" t="s">
        <v>44</v>
      </c>
      <c r="O261" s="12" t="s">
        <v>1369</v>
      </c>
      <c r="P261" s="12" t="s">
        <v>66</v>
      </c>
      <c r="Q261" s="12" t="s">
        <v>559</v>
      </c>
      <c r="R261" s="12" t="s">
        <v>560</v>
      </c>
      <c r="S261" s="13">
        <v>197643554240</v>
      </c>
      <c r="T261" s="12" t="s">
        <v>49</v>
      </c>
      <c r="U261" s="12" t="s">
        <v>179</v>
      </c>
      <c r="V261" s="12" t="s">
        <v>1191</v>
      </c>
      <c r="W261" s="12" t="s">
        <v>299</v>
      </c>
      <c r="X261" s="12" t="s">
        <v>500</v>
      </c>
      <c r="Y261" s="12" t="s">
        <v>91</v>
      </c>
      <c r="Z261" s="12" t="s">
        <v>108</v>
      </c>
      <c r="AA261" s="13">
        <v>0</v>
      </c>
      <c r="AB261" s="13">
        <v>0</v>
      </c>
      <c r="AC261" s="15">
        <v>25</v>
      </c>
      <c r="AD261" s="15">
        <f>AC261*AG261</f>
        <v>625</v>
      </c>
      <c r="AE261" s="15">
        <v>55</v>
      </c>
      <c r="AF261" s="15">
        <f>AE261*AG261</f>
        <v>1375</v>
      </c>
      <c r="AG261" s="16">
        <v>25</v>
      </c>
    </row>
    <row r="262" spans="1:33" ht="15" customHeight="1" x14ac:dyDescent="0.2">
      <c r="A262" s="11" t="str">
        <f t="shared" si="39"/>
        <v>VN000M6ZZBF1</v>
      </c>
      <c r="B262" s="12" t="s">
        <v>1370</v>
      </c>
      <c r="C262" s="12" t="s">
        <v>679</v>
      </c>
      <c r="D262" s="12" t="s">
        <v>680</v>
      </c>
      <c r="E262" s="12" t="s">
        <v>1371</v>
      </c>
      <c r="F262" s="12" t="s">
        <v>153</v>
      </c>
      <c r="G262" s="14"/>
      <c r="H262" s="12" t="s">
        <v>61</v>
      </c>
      <c r="I262" s="12" t="s">
        <v>289</v>
      </c>
      <c r="J262" s="12" t="s">
        <v>290</v>
      </c>
      <c r="K262" s="12" t="s">
        <v>100</v>
      </c>
      <c r="L262" s="14"/>
      <c r="M262" s="12" t="s">
        <v>43</v>
      </c>
      <c r="N262" s="12" t="s">
        <v>44</v>
      </c>
      <c r="O262" s="12" t="s">
        <v>1372</v>
      </c>
      <c r="P262" s="12" t="s">
        <v>66</v>
      </c>
      <c r="Q262" s="12" t="s">
        <v>233</v>
      </c>
      <c r="R262" s="12" t="s">
        <v>664</v>
      </c>
      <c r="S262" s="13">
        <v>197643361190</v>
      </c>
      <c r="T262" s="12" t="s">
        <v>235</v>
      </c>
      <c r="U262" s="12" t="s">
        <v>153</v>
      </c>
      <c r="V262" s="12" t="s">
        <v>683</v>
      </c>
      <c r="W262" s="12" t="s">
        <v>118</v>
      </c>
      <c r="X262" s="13">
        <v>0</v>
      </c>
      <c r="Y262" s="12" t="s">
        <v>91</v>
      </c>
      <c r="Z262" s="12" t="s">
        <v>108</v>
      </c>
      <c r="AA262" s="13">
        <v>0</v>
      </c>
      <c r="AB262" s="13">
        <v>0</v>
      </c>
      <c r="AC262" s="15">
        <v>38.65</v>
      </c>
      <c r="AD262" s="15">
        <f>AC262*AG262</f>
        <v>966.25</v>
      </c>
      <c r="AE262" s="15">
        <v>85</v>
      </c>
      <c r="AF262" s="15">
        <f>AE262*AG262</f>
        <v>2125</v>
      </c>
      <c r="AG262" s="16">
        <v>25</v>
      </c>
    </row>
    <row r="263" spans="1:33" ht="15" customHeight="1" x14ac:dyDescent="0.2">
      <c r="A263" s="11" t="str">
        <f t="shared" ref="A263:A519" si="103">HYPERLINK("https://assets.vans.eu/images/VN000MN07WM-HERO/1","VN000MN07WM1")</f>
        <v>VN000MN07WM1</v>
      </c>
      <c r="B263" s="12" t="s">
        <v>1373</v>
      </c>
      <c r="C263" s="12" t="s">
        <v>1374</v>
      </c>
      <c r="D263" s="12" t="s">
        <v>388</v>
      </c>
      <c r="E263" s="12" t="s">
        <v>1375</v>
      </c>
      <c r="F263" s="13">
        <v>7</v>
      </c>
      <c r="G263" s="14"/>
      <c r="H263" s="12" t="s">
        <v>61</v>
      </c>
      <c r="I263" s="12" t="s">
        <v>1340</v>
      </c>
      <c r="J263" s="12" t="s">
        <v>1376</v>
      </c>
      <c r="K263" s="12" t="s">
        <v>64</v>
      </c>
      <c r="L263" s="14"/>
      <c r="M263" s="12" t="s">
        <v>43</v>
      </c>
      <c r="N263" s="12" t="s">
        <v>44</v>
      </c>
      <c r="O263" s="12" t="s">
        <v>1377</v>
      </c>
      <c r="P263" s="12" t="s">
        <v>66</v>
      </c>
      <c r="Q263" s="12" t="s">
        <v>233</v>
      </c>
      <c r="R263" s="12" t="s">
        <v>974</v>
      </c>
      <c r="S263" s="13">
        <v>197803421979</v>
      </c>
      <c r="T263" s="12" t="s">
        <v>69</v>
      </c>
      <c r="U263" s="13">
        <v>7</v>
      </c>
      <c r="V263" s="12" t="s">
        <v>1378</v>
      </c>
      <c r="W263" s="12" t="s">
        <v>284</v>
      </c>
      <c r="X263" s="13">
        <v>0</v>
      </c>
      <c r="Y263" s="12" t="s">
        <v>91</v>
      </c>
      <c r="Z263" s="12" t="s">
        <v>108</v>
      </c>
      <c r="AA263" s="13">
        <v>0</v>
      </c>
      <c r="AB263" s="13">
        <v>0</v>
      </c>
      <c r="AC263" s="15">
        <v>25</v>
      </c>
      <c r="AD263" s="15">
        <f>AC263*AG263</f>
        <v>625</v>
      </c>
      <c r="AE263" s="15">
        <v>55</v>
      </c>
      <c r="AF263" s="15">
        <f>AE263*AG263</f>
        <v>1375</v>
      </c>
      <c r="AG263" s="16">
        <v>25</v>
      </c>
    </row>
    <row r="264" spans="1:33" ht="15" customHeight="1" x14ac:dyDescent="0.2">
      <c r="A264" s="11" t="str">
        <f t="shared" ref="A264:A3374" si="104">HYPERLINK("https://assets.vans.eu/images/VN000PDRBLK-HERO/1","VN000PDRBLK1")</f>
        <v>VN000PDRBLK1</v>
      </c>
      <c r="B264" s="12" t="s">
        <v>1379</v>
      </c>
      <c r="C264" s="12" t="s">
        <v>976</v>
      </c>
      <c r="D264" s="12" t="s">
        <v>76</v>
      </c>
      <c r="E264" s="12" t="s">
        <v>1380</v>
      </c>
      <c r="F264" s="12" t="s">
        <v>170</v>
      </c>
      <c r="G264" s="14"/>
      <c r="H264" s="12" t="s">
        <v>61</v>
      </c>
      <c r="I264" s="12" t="s">
        <v>230</v>
      </c>
      <c r="J264" s="12" t="s">
        <v>419</v>
      </c>
      <c r="K264" s="12" t="s">
        <v>199</v>
      </c>
      <c r="L264" s="14"/>
      <c r="M264" s="12" t="s">
        <v>43</v>
      </c>
      <c r="N264" s="12" t="s">
        <v>84</v>
      </c>
      <c r="O264" s="12" t="s">
        <v>1381</v>
      </c>
      <c r="P264" s="12" t="s">
        <v>66</v>
      </c>
      <c r="Q264" s="12" t="s">
        <v>67</v>
      </c>
      <c r="R264" s="12" t="s">
        <v>421</v>
      </c>
      <c r="S264" s="13">
        <v>197804356621</v>
      </c>
      <c r="T264" s="12" t="s">
        <v>915</v>
      </c>
      <c r="U264" s="12" t="s">
        <v>170</v>
      </c>
      <c r="V264" s="12" t="s">
        <v>979</v>
      </c>
      <c r="W264" s="12" t="s">
        <v>51</v>
      </c>
      <c r="X264" s="14"/>
      <c r="Y264" s="14"/>
      <c r="Z264" s="14"/>
      <c r="AA264" s="14"/>
      <c r="AB264" s="14"/>
      <c r="AC264" s="15">
        <v>18.2</v>
      </c>
      <c r="AD264" s="15">
        <f>AC264*AG264</f>
        <v>455</v>
      </c>
      <c r="AE264" s="15">
        <v>40</v>
      </c>
      <c r="AF264" s="15">
        <f>AE264*AG264</f>
        <v>1000</v>
      </c>
      <c r="AG264" s="16">
        <v>25</v>
      </c>
    </row>
    <row r="265" spans="1:33" ht="15" customHeight="1" x14ac:dyDescent="0.2">
      <c r="A265" s="11" t="str">
        <f t="shared" ref="A265:A2360" si="105">HYPERLINK("https://assets.vans.eu/images/VN000RG2BLK-HERO/1","VN000RG2BLK1")</f>
        <v>VN000RG2BLK1</v>
      </c>
      <c r="B265" s="12" t="s">
        <v>1382</v>
      </c>
      <c r="C265" s="12" t="s">
        <v>1383</v>
      </c>
      <c r="D265" s="12" t="s">
        <v>76</v>
      </c>
      <c r="E265" s="12" t="s">
        <v>1384</v>
      </c>
      <c r="F265" s="12" t="s">
        <v>403</v>
      </c>
      <c r="G265" s="14"/>
      <c r="H265" s="12" t="s">
        <v>61</v>
      </c>
      <c r="I265" s="12" t="s">
        <v>230</v>
      </c>
      <c r="J265" s="12" t="s">
        <v>419</v>
      </c>
      <c r="K265" s="12" t="s">
        <v>199</v>
      </c>
      <c r="L265" s="12" t="s">
        <v>83</v>
      </c>
      <c r="M265" s="12" t="s">
        <v>43</v>
      </c>
      <c r="N265" s="12" t="s">
        <v>84</v>
      </c>
      <c r="O265" s="12" t="s">
        <v>1385</v>
      </c>
      <c r="P265" s="12" t="s">
        <v>66</v>
      </c>
      <c r="Q265" s="12" t="s">
        <v>67</v>
      </c>
      <c r="R265" s="12" t="s">
        <v>623</v>
      </c>
      <c r="S265" s="13">
        <v>197804328017</v>
      </c>
      <c r="T265" s="12" t="s">
        <v>69</v>
      </c>
      <c r="U265" s="12" t="s">
        <v>403</v>
      </c>
      <c r="V265" s="12" t="s">
        <v>1386</v>
      </c>
      <c r="W265" s="12" t="s">
        <v>51</v>
      </c>
      <c r="X265" s="14"/>
      <c r="Y265" s="14"/>
      <c r="Z265" s="14"/>
      <c r="AA265" s="14"/>
      <c r="AB265" s="14"/>
      <c r="AC265" s="15">
        <v>45.5</v>
      </c>
      <c r="AD265" s="15">
        <f>AC265*AG265</f>
        <v>1137.5</v>
      </c>
      <c r="AE265" s="15">
        <v>100</v>
      </c>
      <c r="AF265" s="15">
        <f>AE265*AG265</f>
        <v>2500</v>
      </c>
      <c r="AG265" s="16">
        <v>25</v>
      </c>
    </row>
    <row r="266" spans="1:33" ht="15" customHeight="1" x14ac:dyDescent="0.2">
      <c r="A266" s="11" t="str">
        <f t="shared" si="26"/>
        <v>VN000RG4BLK1</v>
      </c>
      <c r="B266" s="12" t="s">
        <v>1387</v>
      </c>
      <c r="C266" s="12" t="s">
        <v>417</v>
      </c>
      <c r="D266" s="12" t="s">
        <v>76</v>
      </c>
      <c r="E266" s="12" t="s">
        <v>1388</v>
      </c>
      <c r="F266" s="12" t="s">
        <v>179</v>
      </c>
      <c r="G266" s="14"/>
      <c r="H266" s="12" t="s">
        <v>61</v>
      </c>
      <c r="I266" s="12" t="s">
        <v>230</v>
      </c>
      <c r="J266" s="12" t="s">
        <v>419</v>
      </c>
      <c r="K266" s="12" t="s">
        <v>199</v>
      </c>
      <c r="L266" s="12" t="s">
        <v>83</v>
      </c>
      <c r="M266" s="12" t="s">
        <v>43</v>
      </c>
      <c r="N266" s="12" t="s">
        <v>84</v>
      </c>
      <c r="O266" s="12" t="s">
        <v>1389</v>
      </c>
      <c r="P266" s="12" t="s">
        <v>66</v>
      </c>
      <c r="Q266" s="12" t="s">
        <v>67</v>
      </c>
      <c r="R266" s="12" t="s">
        <v>421</v>
      </c>
      <c r="S266" s="13">
        <v>197804328024</v>
      </c>
      <c r="T266" s="12" t="s">
        <v>422</v>
      </c>
      <c r="U266" s="12" t="s">
        <v>179</v>
      </c>
      <c r="V266" s="12" t="s">
        <v>423</v>
      </c>
      <c r="W266" s="12" t="s">
        <v>51</v>
      </c>
      <c r="X266" s="14"/>
      <c r="Y266" s="14"/>
      <c r="Z266" s="14"/>
      <c r="AA266" s="14"/>
      <c r="AB266" s="14"/>
      <c r="AC266" s="15">
        <v>20.5</v>
      </c>
      <c r="AD266" s="15">
        <f>AC266*AG266</f>
        <v>512.5</v>
      </c>
      <c r="AE266" s="15">
        <v>45</v>
      </c>
      <c r="AF266" s="15">
        <f>AE266*AG266</f>
        <v>1125</v>
      </c>
      <c r="AG266" s="16">
        <v>25</v>
      </c>
    </row>
    <row r="267" spans="1:33" ht="15" customHeight="1" x14ac:dyDescent="0.2">
      <c r="A267" s="11" t="str">
        <f t="shared" si="74"/>
        <v>VN0A5LMECR21</v>
      </c>
      <c r="B267" s="12" t="s">
        <v>1390</v>
      </c>
      <c r="C267" s="12" t="s">
        <v>1094</v>
      </c>
      <c r="D267" s="12" t="s">
        <v>1095</v>
      </c>
      <c r="E267" s="12" t="s">
        <v>1391</v>
      </c>
      <c r="F267" s="12" t="s">
        <v>170</v>
      </c>
      <c r="G267" s="14"/>
      <c r="H267" s="12" t="s">
        <v>61</v>
      </c>
      <c r="I267" s="12" t="s">
        <v>289</v>
      </c>
      <c r="J267" s="12" t="s">
        <v>900</v>
      </c>
      <c r="K267" s="12" t="s">
        <v>100</v>
      </c>
      <c r="L267" s="12" t="s">
        <v>83</v>
      </c>
      <c r="M267" s="12" t="s">
        <v>43</v>
      </c>
      <c r="N267" s="12" t="s">
        <v>274</v>
      </c>
      <c r="O267" s="12" t="s">
        <v>1392</v>
      </c>
      <c r="P267" s="12" t="s">
        <v>66</v>
      </c>
      <c r="Q267" s="12" t="s">
        <v>233</v>
      </c>
      <c r="R267" s="12" t="s">
        <v>902</v>
      </c>
      <c r="S267" s="13">
        <v>197064538294</v>
      </c>
      <c r="T267" s="12" t="s">
        <v>49</v>
      </c>
      <c r="U267" s="12" t="s">
        <v>170</v>
      </c>
      <c r="V267" s="12" t="s">
        <v>1098</v>
      </c>
      <c r="W267" s="12" t="s">
        <v>107</v>
      </c>
      <c r="X267" s="13">
        <v>0</v>
      </c>
      <c r="Y267" s="12" t="s">
        <v>91</v>
      </c>
      <c r="Z267" s="12" t="s">
        <v>108</v>
      </c>
      <c r="AA267" s="13">
        <v>0</v>
      </c>
      <c r="AB267" s="12" t="s">
        <v>616</v>
      </c>
      <c r="AC267" s="15">
        <v>20.5</v>
      </c>
      <c r="AD267" s="15">
        <f>AC267*AG267</f>
        <v>512.5</v>
      </c>
      <c r="AE267" s="15">
        <v>45</v>
      </c>
      <c r="AF267" s="15">
        <f>AE267*AG267</f>
        <v>1125</v>
      </c>
      <c r="AG267" s="16">
        <v>25</v>
      </c>
    </row>
    <row r="268" spans="1:33" ht="15" customHeight="1" x14ac:dyDescent="0.2">
      <c r="A268" s="11" t="str">
        <f t="shared" si="34"/>
        <v>VN000D26EWR1</v>
      </c>
      <c r="B268" s="12" t="s">
        <v>1393</v>
      </c>
      <c r="C268" s="12" t="s">
        <v>251</v>
      </c>
      <c r="D268" s="12" t="s">
        <v>549</v>
      </c>
      <c r="E268" s="12" t="s">
        <v>1394</v>
      </c>
      <c r="F268" s="13">
        <v>110</v>
      </c>
      <c r="G268" s="12" t="s">
        <v>551</v>
      </c>
      <c r="H268" s="12" t="s">
        <v>38</v>
      </c>
      <c r="I268" s="12" t="s">
        <v>159</v>
      </c>
      <c r="J268" s="12" t="s">
        <v>255</v>
      </c>
      <c r="K268" s="12" t="s">
        <v>82</v>
      </c>
      <c r="L268" s="14"/>
      <c r="M268" s="12" t="s">
        <v>43</v>
      </c>
      <c r="N268" s="12" t="s">
        <v>84</v>
      </c>
      <c r="O268" s="12" t="s">
        <v>1395</v>
      </c>
      <c r="P268" s="12" t="s">
        <v>46</v>
      </c>
      <c r="Q268" s="12" t="s">
        <v>47</v>
      </c>
      <c r="R268" s="12" t="s">
        <v>163</v>
      </c>
      <c r="S268" s="13">
        <v>197804445004</v>
      </c>
      <c r="T268" s="12" t="s">
        <v>49</v>
      </c>
      <c r="U268" s="13">
        <v>44.5</v>
      </c>
      <c r="V268" s="12" t="s">
        <v>50</v>
      </c>
      <c r="W268" s="12" t="s">
        <v>455</v>
      </c>
      <c r="X268" s="14"/>
      <c r="Y268" s="14"/>
      <c r="Z268" s="14"/>
      <c r="AA268" s="14"/>
      <c r="AB268" s="14"/>
      <c r="AC268" s="15">
        <v>45.5</v>
      </c>
      <c r="AD268" s="15">
        <f>AC268*AG268</f>
        <v>1137.5</v>
      </c>
      <c r="AE268" s="15">
        <v>100</v>
      </c>
      <c r="AF268" s="15">
        <f>AE268*AG268</f>
        <v>2500</v>
      </c>
      <c r="AG268" s="16">
        <v>25</v>
      </c>
    </row>
    <row r="269" spans="1:33" ht="15" customHeight="1" x14ac:dyDescent="0.2">
      <c r="A269" s="11" t="str">
        <f t="shared" si="12"/>
        <v>VN0A5HF8BLK1</v>
      </c>
      <c r="B269" s="12" t="s">
        <v>1396</v>
      </c>
      <c r="C269" s="12" t="s">
        <v>272</v>
      </c>
      <c r="D269" s="12" t="s">
        <v>76</v>
      </c>
      <c r="E269" s="12" t="s">
        <v>1397</v>
      </c>
      <c r="F269" s="13">
        <v>70</v>
      </c>
      <c r="G269" s="14"/>
      <c r="H269" s="12" t="s">
        <v>38</v>
      </c>
      <c r="I269" s="12" t="s">
        <v>159</v>
      </c>
      <c r="J269" s="12" t="s">
        <v>255</v>
      </c>
      <c r="K269" s="12" t="s">
        <v>82</v>
      </c>
      <c r="L269" s="14"/>
      <c r="M269" s="12" t="s">
        <v>43</v>
      </c>
      <c r="N269" s="12" t="s">
        <v>274</v>
      </c>
      <c r="O269" s="12" t="s">
        <v>1398</v>
      </c>
      <c r="P269" s="12" t="s">
        <v>46</v>
      </c>
      <c r="Q269" s="12" t="s">
        <v>276</v>
      </c>
      <c r="R269" s="12" t="s">
        <v>277</v>
      </c>
      <c r="S269" s="13">
        <v>194901731757</v>
      </c>
      <c r="T269" s="12" t="s">
        <v>143</v>
      </c>
      <c r="U269" s="13">
        <v>39</v>
      </c>
      <c r="V269" s="12" t="s">
        <v>278</v>
      </c>
      <c r="W269" s="12" t="s">
        <v>51</v>
      </c>
      <c r="X269" s="14"/>
      <c r="Y269" s="12" t="s">
        <v>91</v>
      </c>
      <c r="Z269" s="12" t="s">
        <v>165</v>
      </c>
      <c r="AA269" s="14"/>
      <c r="AB269" s="14"/>
      <c r="AC269" s="15">
        <v>27.3</v>
      </c>
      <c r="AD269" s="15">
        <f>AC269*AG269</f>
        <v>682.5</v>
      </c>
      <c r="AE269" s="15">
        <v>60</v>
      </c>
      <c r="AF269" s="15">
        <f>AE269*AG269</f>
        <v>1500</v>
      </c>
      <c r="AG269" s="16">
        <v>25</v>
      </c>
    </row>
    <row r="270" spans="1:33" ht="15" customHeight="1" x14ac:dyDescent="0.2">
      <c r="A270" s="11" t="str">
        <f>HYPERLINK("https://assets.vans.eu/images/VN000BHXBLK-HERO/1","VN000BHXBLK1")</f>
        <v>VN000BHXBLK1</v>
      </c>
      <c r="B270" s="12" t="s">
        <v>1399</v>
      </c>
      <c r="C270" s="12" t="s">
        <v>481</v>
      </c>
      <c r="D270" s="12" t="s">
        <v>76</v>
      </c>
      <c r="E270" s="12" t="s">
        <v>1400</v>
      </c>
      <c r="F270" s="13">
        <v>951</v>
      </c>
      <c r="G270" s="14"/>
      <c r="H270" s="12" t="s">
        <v>79</v>
      </c>
      <c r="I270" s="12" t="s">
        <v>80</v>
      </c>
      <c r="J270" s="12" t="s">
        <v>171</v>
      </c>
      <c r="K270" s="12" t="s">
        <v>199</v>
      </c>
      <c r="L270" s="14"/>
      <c r="M270" s="12" t="s">
        <v>43</v>
      </c>
      <c r="N270" s="12" t="s">
        <v>44</v>
      </c>
      <c r="O270" s="12" t="s">
        <v>1401</v>
      </c>
      <c r="P270" s="12" t="s">
        <v>86</v>
      </c>
      <c r="Q270" s="12" t="s">
        <v>141</v>
      </c>
      <c r="R270" s="12" t="s">
        <v>173</v>
      </c>
      <c r="S270" s="13">
        <v>196572832375</v>
      </c>
      <c r="T270" s="12" t="s">
        <v>69</v>
      </c>
      <c r="U270" s="12" t="s">
        <v>1402</v>
      </c>
      <c r="V270" s="12" t="s">
        <v>1403</v>
      </c>
      <c r="W270" s="12" t="s">
        <v>51</v>
      </c>
      <c r="X270" s="13">
        <v>0</v>
      </c>
      <c r="Y270" s="12" t="s">
        <v>91</v>
      </c>
      <c r="Z270" s="12" t="s">
        <v>108</v>
      </c>
      <c r="AA270" s="13">
        <v>0</v>
      </c>
      <c r="AB270" s="13">
        <v>0</v>
      </c>
      <c r="AC270" s="15">
        <v>9.1</v>
      </c>
      <c r="AD270" s="15">
        <f>AC270*AG270</f>
        <v>218.39999999999998</v>
      </c>
      <c r="AE270" s="15">
        <v>20</v>
      </c>
      <c r="AF270" s="15">
        <f>AE270*AG270</f>
        <v>480</v>
      </c>
      <c r="AG270" s="16">
        <v>24</v>
      </c>
    </row>
    <row r="271" spans="1:33" ht="15" customHeight="1" x14ac:dyDescent="0.2">
      <c r="A271" s="11" t="str">
        <f t="shared" ref="A271:A2890" si="106">HYPERLINK("https://assets.vans.eu/images/VN000PKT1NU-HERO/1","VN000PKT1NU1")</f>
        <v>VN000PKT1NU1</v>
      </c>
      <c r="B271" s="12" t="s">
        <v>1404</v>
      </c>
      <c r="C271" s="12" t="s">
        <v>1405</v>
      </c>
      <c r="D271" s="12" t="s">
        <v>783</v>
      </c>
      <c r="E271" s="12" t="s">
        <v>1406</v>
      </c>
      <c r="F271" s="12" t="s">
        <v>170</v>
      </c>
      <c r="G271" s="14"/>
      <c r="H271" s="12" t="s">
        <v>79</v>
      </c>
      <c r="I271" s="12" t="s">
        <v>80</v>
      </c>
      <c r="J271" s="12" t="s">
        <v>171</v>
      </c>
      <c r="K271" s="12" t="s">
        <v>82</v>
      </c>
      <c r="L271" s="14"/>
      <c r="M271" s="12" t="s">
        <v>43</v>
      </c>
      <c r="N271" s="12" t="s">
        <v>84</v>
      </c>
      <c r="O271" s="12" t="s">
        <v>1407</v>
      </c>
      <c r="P271" s="12" t="s">
        <v>86</v>
      </c>
      <c r="Q271" s="12" t="s">
        <v>141</v>
      </c>
      <c r="R271" s="12" t="s">
        <v>173</v>
      </c>
      <c r="S271" s="13">
        <v>197804392735</v>
      </c>
      <c r="T271" s="12" t="s">
        <v>143</v>
      </c>
      <c r="U271" s="12" t="s">
        <v>170</v>
      </c>
      <c r="V271" s="12" t="s">
        <v>1408</v>
      </c>
      <c r="W271" s="12" t="s">
        <v>186</v>
      </c>
      <c r="X271" s="14"/>
      <c r="Y271" s="14"/>
      <c r="Z271" s="14"/>
      <c r="AA271" s="14"/>
      <c r="AB271" s="14"/>
      <c r="AC271" s="15">
        <v>9.1</v>
      </c>
      <c r="AD271" s="15">
        <f>AC271*AG271</f>
        <v>218.39999999999998</v>
      </c>
      <c r="AE271" s="15">
        <v>20</v>
      </c>
      <c r="AF271" s="15">
        <f>AE271*AG271</f>
        <v>480</v>
      </c>
      <c r="AG271" s="16">
        <v>24</v>
      </c>
    </row>
    <row r="272" spans="1:33" ht="15" customHeight="1" x14ac:dyDescent="0.2">
      <c r="A272" s="11" t="str">
        <f t="shared" si="88"/>
        <v>VN000HJV7D61</v>
      </c>
      <c r="B272" s="12" t="s">
        <v>1409</v>
      </c>
      <c r="C272" s="12" t="s">
        <v>1230</v>
      </c>
      <c r="D272" s="12" t="s">
        <v>1231</v>
      </c>
      <c r="E272" s="12" t="s">
        <v>1410</v>
      </c>
      <c r="F272" s="12" t="s">
        <v>179</v>
      </c>
      <c r="G272" s="14"/>
      <c r="H272" s="12" t="s">
        <v>61</v>
      </c>
      <c r="I272" s="12" t="s">
        <v>289</v>
      </c>
      <c r="J272" s="12" t="s">
        <v>984</v>
      </c>
      <c r="K272" s="12" t="s">
        <v>100</v>
      </c>
      <c r="L272" s="14"/>
      <c r="M272" s="12" t="s">
        <v>43</v>
      </c>
      <c r="N272" s="12" t="s">
        <v>84</v>
      </c>
      <c r="O272" s="12" t="s">
        <v>1411</v>
      </c>
      <c r="P272" s="12" t="s">
        <v>66</v>
      </c>
      <c r="Q272" s="12" t="s">
        <v>764</v>
      </c>
      <c r="R272" s="12" t="s">
        <v>986</v>
      </c>
      <c r="S272" s="13">
        <v>197804384891</v>
      </c>
      <c r="T272" s="12" t="s">
        <v>235</v>
      </c>
      <c r="U272" s="12" t="s">
        <v>179</v>
      </c>
      <c r="V272" s="12" t="s">
        <v>90</v>
      </c>
      <c r="W272" s="12" t="s">
        <v>186</v>
      </c>
      <c r="X272" s="14"/>
      <c r="Y272" s="14"/>
      <c r="Z272" s="14"/>
      <c r="AA272" s="14"/>
      <c r="AB272" s="14"/>
      <c r="AC272" s="15">
        <v>61.4</v>
      </c>
      <c r="AD272" s="15">
        <f>AC272*AG272</f>
        <v>1473.6</v>
      </c>
      <c r="AE272" s="15">
        <v>135</v>
      </c>
      <c r="AF272" s="15">
        <f>AE272*AG272</f>
        <v>3240</v>
      </c>
      <c r="AG272" s="16">
        <v>24</v>
      </c>
    </row>
    <row r="273" spans="1:33" ht="15" customHeight="1" x14ac:dyDescent="0.2">
      <c r="A273" s="11" t="str">
        <f t="shared" ref="A273:A547" si="107">HYPERLINK("https://assets.vans.eu/images/VN000HZABLK-HERO/1","VN000HZABLK1")</f>
        <v>VN000HZABLK1</v>
      </c>
      <c r="B273" s="12" t="s">
        <v>1412</v>
      </c>
      <c r="C273" s="12" t="s">
        <v>1413</v>
      </c>
      <c r="D273" s="12" t="s">
        <v>76</v>
      </c>
      <c r="E273" s="12" t="s">
        <v>1414</v>
      </c>
      <c r="F273" s="13">
        <v>30</v>
      </c>
      <c r="G273" s="14"/>
      <c r="H273" s="12" t="s">
        <v>61</v>
      </c>
      <c r="I273" s="12" t="s">
        <v>230</v>
      </c>
      <c r="J273" s="12" t="s">
        <v>231</v>
      </c>
      <c r="K273" s="12" t="s">
        <v>199</v>
      </c>
      <c r="L273" s="14"/>
      <c r="M273" s="12" t="s">
        <v>43</v>
      </c>
      <c r="N273" s="12" t="s">
        <v>84</v>
      </c>
      <c r="O273" s="12" t="s">
        <v>1415</v>
      </c>
      <c r="P273" s="12" t="s">
        <v>66</v>
      </c>
      <c r="Q273" s="12" t="s">
        <v>233</v>
      </c>
      <c r="R273" s="12" t="s">
        <v>361</v>
      </c>
      <c r="S273" s="13">
        <v>197065838744</v>
      </c>
      <c r="T273" s="12" t="s">
        <v>235</v>
      </c>
      <c r="U273" s="13">
        <v>30</v>
      </c>
      <c r="V273" s="12" t="s">
        <v>1416</v>
      </c>
      <c r="W273" s="12" t="s">
        <v>51</v>
      </c>
      <c r="X273" s="13">
        <v>0</v>
      </c>
      <c r="Y273" s="12" t="s">
        <v>91</v>
      </c>
      <c r="Z273" s="12" t="s">
        <v>108</v>
      </c>
      <c r="AA273" s="13">
        <v>0</v>
      </c>
      <c r="AB273" s="13">
        <v>0</v>
      </c>
      <c r="AC273" s="15">
        <v>34.1</v>
      </c>
      <c r="AD273" s="15">
        <f>AC273*AG273</f>
        <v>818.40000000000009</v>
      </c>
      <c r="AE273" s="15">
        <v>75</v>
      </c>
      <c r="AF273" s="15">
        <f>AE273*AG273</f>
        <v>1800</v>
      </c>
      <c r="AG273" s="16">
        <v>24</v>
      </c>
    </row>
    <row r="274" spans="1:33" ht="15" customHeight="1" x14ac:dyDescent="0.2">
      <c r="A274" s="11" t="str">
        <f t="shared" ref="A274:A1350" si="108">HYPERLINK("https://assets.vans.eu/images/VN000NTSD6Z-HERO/1","VN000NTSD6Z1")</f>
        <v>VN000NTSD6Z1</v>
      </c>
      <c r="B274" s="12" t="s">
        <v>1417</v>
      </c>
      <c r="C274" s="12" t="s">
        <v>1418</v>
      </c>
      <c r="D274" s="12" t="s">
        <v>1277</v>
      </c>
      <c r="E274" s="12" t="s">
        <v>1419</v>
      </c>
      <c r="F274" s="12" t="s">
        <v>170</v>
      </c>
      <c r="G274" s="14"/>
      <c r="H274" s="12" t="s">
        <v>61</v>
      </c>
      <c r="I274" s="12" t="s">
        <v>230</v>
      </c>
      <c r="J274" s="12" t="s">
        <v>419</v>
      </c>
      <c r="K274" s="12" t="s">
        <v>199</v>
      </c>
      <c r="L274" s="12" t="s">
        <v>83</v>
      </c>
      <c r="M274" s="12" t="s">
        <v>43</v>
      </c>
      <c r="N274" s="12" t="s">
        <v>44</v>
      </c>
      <c r="O274" s="12" t="s">
        <v>1420</v>
      </c>
      <c r="P274" s="12" t="s">
        <v>66</v>
      </c>
      <c r="Q274" s="12" t="s">
        <v>67</v>
      </c>
      <c r="R274" s="12" t="s">
        <v>421</v>
      </c>
      <c r="S274" s="13">
        <v>197803402213</v>
      </c>
      <c r="T274" s="12" t="s">
        <v>69</v>
      </c>
      <c r="U274" s="12" t="s">
        <v>170</v>
      </c>
      <c r="V274" s="12" t="s">
        <v>423</v>
      </c>
      <c r="W274" s="12" t="s">
        <v>299</v>
      </c>
      <c r="X274" s="13">
        <v>0</v>
      </c>
      <c r="Y274" s="12" t="s">
        <v>53</v>
      </c>
      <c r="Z274" s="12" t="s">
        <v>108</v>
      </c>
      <c r="AA274" s="13">
        <v>0</v>
      </c>
      <c r="AB274" s="12" t="s">
        <v>616</v>
      </c>
      <c r="AC274" s="15">
        <v>22.75</v>
      </c>
      <c r="AD274" s="15">
        <f>AC274*AG274</f>
        <v>546</v>
      </c>
      <c r="AE274" s="15">
        <v>50</v>
      </c>
      <c r="AF274" s="15">
        <f>AE274*AG274</f>
        <v>1200</v>
      </c>
      <c r="AG274" s="16">
        <v>24</v>
      </c>
    </row>
    <row r="275" spans="1:33" ht="15" customHeight="1" x14ac:dyDescent="0.2">
      <c r="A275" s="11" t="str">
        <f t="shared" ref="A275:A382" si="109">HYPERLINK("https://assets.vans.eu/images/VN000CQ0O33-HERO/1","VN000CQ0O331")</f>
        <v>VN000CQ0O331</v>
      </c>
      <c r="B275" s="12" t="s">
        <v>1421</v>
      </c>
      <c r="C275" s="12" t="s">
        <v>1422</v>
      </c>
      <c r="D275" s="12" t="s">
        <v>1423</v>
      </c>
      <c r="E275" s="12" t="s">
        <v>1424</v>
      </c>
      <c r="F275" s="13">
        <v>60</v>
      </c>
      <c r="G275" s="12" t="s">
        <v>1425</v>
      </c>
      <c r="H275" s="12" t="s">
        <v>38</v>
      </c>
      <c r="I275" s="12" t="s">
        <v>242</v>
      </c>
      <c r="J275" s="12" t="s">
        <v>243</v>
      </c>
      <c r="K275" s="12" t="s">
        <v>244</v>
      </c>
      <c r="L275" s="14"/>
      <c r="M275" s="12" t="s">
        <v>43</v>
      </c>
      <c r="N275" s="12" t="s">
        <v>84</v>
      </c>
      <c r="O275" s="12" t="s">
        <v>1426</v>
      </c>
      <c r="P275" s="12" t="s">
        <v>46</v>
      </c>
      <c r="Q275" s="12" t="s">
        <v>47</v>
      </c>
      <c r="R275" s="12" t="s">
        <v>313</v>
      </c>
      <c r="S275" s="13">
        <v>197804508075</v>
      </c>
      <c r="T275" s="12" t="s">
        <v>49</v>
      </c>
      <c r="U275" s="13">
        <v>22</v>
      </c>
      <c r="V275" s="12" t="s">
        <v>50</v>
      </c>
      <c r="W275" s="12" t="s">
        <v>284</v>
      </c>
      <c r="X275" s="14"/>
      <c r="Y275" s="14"/>
      <c r="Z275" s="14"/>
      <c r="AA275" s="14"/>
      <c r="AB275" s="14"/>
      <c r="AC275" s="15">
        <v>25</v>
      </c>
      <c r="AD275" s="15">
        <f>AC275*AG275</f>
        <v>600</v>
      </c>
      <c r="AE275" s="15">
        <v>55</v>
      </c>
      <c r="AF275" s="15">
        <f>AE275*AG275</f>
        <v>1320</v>
      </c>
      <c r="AG275" s="16">
        <v>24</v>
      </c>
    </row>
    <row r="276" spans="1:33" ht="15" customHeight="1" x14ac:dyDescent="0.2">
      <c r="A276" s="11" t="str">
        <f>HYPERLINK("https://assets.vans.eu/images/VN000CS5RV2-HERO/1","VN000CS5RV21")</f>
        <v>VN000CS5RV21</v>
      </c>
      <c r="B276" s="12" t="s">
        <v>1427</v>
      </c>
      <c r="C276" s="12" t="s">
        <v>828</v>
      </c>
      <c r="D276" s="12" t="s">
        <v>1428</v>
      </c>
      <c r="E276" s="12" t="s">
        <v>1429</v>
      </c>
      <c r="F276" s="13">
        <v>40</v>
      </c>
      <c r="G276" s="14"/>
      <c r="H276" s="12" t="s">
        <v>38</v>
      </c>
      <c r="I276" s="12" t="s">
        <v>776</v>
      </c>
      <c r="J276" s="12" t="s">
        <v>777</v>
      </c>
      <c r="K276" s="12" t="s">
        <v>778</v>
      </c>
      <c r="L276" s="14"/>
      <c r="M276" s="12" t="s">
        <v>43</v>
      </c>
      <c r="N276" s="12" t="s">
        <v>84</v>
      </c>
      <c r="O276" s="12" t="s">
        <v>1430</v>
      </c>
      <c r="P276" s="12" t="s">
        <v>46</v>
      </c>
      <c r="Q276" s="12" t="s">
        <v>47</v>
      </c>
      <c r="R276" s="12" t="s">
        <v>48</v>
      </c>
      <c r="S276" s="13">
        <v>197804510337</v>
      </c>
      <c r="T276" s="12" t="s">
        <v>164</v>
      </c>
      <c r="U276" s="13">
        <v>19</v>
      </c>
      <c r="V276" s="12" t="s">
        <v>50</v>
      </c>
      <c r="W276" s="12" t="s">
        <v>51</v>
      </c>
      <c r="X276" s="14"/>
      <c r="Y276" s="14"/>
      <c r="Z276" s="14"/>
      <c r="AA276" s="14"/>
      <c r="AB276" s="14"/>
      <c r="AC276" s="15">
        <v>15.95</v>
      </c>
      <c r="AD276" s="15">
        <f>AC276*AG276</f>
        <v>382.79999999999995</v>
      </c>
      <c r="AE276" s="15">
        <v>35</v>
      </c>
      <c r="AF276" s="15">
        <f>AE276*AG276</f>
        <v>840</v>
      </c>
      <c r="AG276" s="16">
        <v>24</v>
      </c>
    </row>
    <row r="277" spans="1:33" ht="15" customHeight="1" x14ac:dyDescent="0.2">
      <c r="A277" s="11" t="str">
        <f>HYPERLINK("https://assets.vans.eu/images/VN000CWEBFA-HERO/1","VN000CWEBFA1")</f>
        <v>VN000CWEBFA1</v>
      </c>
      <c r="B277" s="12" t="s">
        <v>1431</v>
      </c>
      <c r="C277" s="12" t="s">
        <v>1248</v>
      </c>
      <c r="D277" s="12" t="s">
        <v>1432</v>
      </c>
      <c r="E277" s="12" t="s">
        <v>1433</v>
      </c>
      <c r="F277" s="13">
        <v>40</v>
      </c>
      <c r="G277" s="12" t="s">
        <v>1251</v>
      </c>
      <c r="H277" s="12" t="s">
        <v>38</v>
      </c>
      <c r="I277" s="12" t="s">
        <v>113</v>
      </c>
      <c r="J277" s="12" t="s">
        <v>529</v>
      </c>
      <c r="K277" s="12" t="s">
        <v>82</v>
      </c>
      <c r="L277" s="14"/>
      <c r="M277" s="12" t="s">
        <v>43</v>
      </c>
      <c r="N277" s="12" t="s">
        <v>44</v>
      </c>
      <c r="O277" s="12" t="s">
        <v>1434</v>
      </c>
      <c r="P277" s="12" t="s">
        <v>46</v>
      </c>
      <c r="Q277" s="12" t="s">
        <v>47</v>
      </c>
      <c r="R277" s="12" t="s">
        <v>117</v>
      </c>
      <c r="S277" s="13">
        <v>197643249719</v>
      </c>
      <c r="T277" s="12" t="s">
        <v>49</v>
      </c>
      <c r="U277" s="13">
        <v>35</v>
      </c>
      <c r="V277" s="12" t="s">
        <v>50</v>
      </c>
      <c r="W277" s="12" t="s">
        <v>186</v>
      </c>
      <c r="X277" s="14"/>
      <c r="Y277" s="12" t="s">
        <v>91</v>
      </c>
      <c r="Z277" s="12" t="s">
        <v>165</v>
      </c>
      <c r="AA277" s="14"/>
      <c r="AB277" s="14"/>
      <c r="AC277" s="15">
        <v>59.1</v>
      </c>
      <c r="AD277" s="15">
        <f>AC277*AG277</f>
        <v>1418.4</v>
      </c>
      <c r="AE277" s="15">
        <v>130</v>
      </c>
      <c r="AF277" s="15">
        <f>AE277*AG277</f>
        <v>3120</v>
      </c>
      <c r="AG277" s="16">
        <v>24</v>
      </c>
    </row>
    <row r="278" spans="1:33" ht="15" customHeight="1" x14ac:dyDescent="0.2">
      <c r="A278" s="11" t="str">
        <f>HYPERLINK("https://assets.vans.eu/images/VN000CWEYX2-HERO/1","VN000CWEYX21")</f>
        <v>VN000CWEYX21</v>
      </c>
      <c r="B278" s="12" t="s">
        <v>1435</v>
      </c>
      <c r="C278" s="12" t="s">
        <v>1248</v>
      </c>
      <c r="D278" s="12" t="s">
        <v>1436</v>
      </c>
      <c r="E278" s="12" t="s">
        <v>1437</v>
      </c>
      <c r="F278" s="13">
        <v>40</v>
      </c>
      <c r="G278" s="14"/>
      <c r="H278" s="12" t="s">
        <v>38</v>
      </c>
      <c r="I278" s="12" t="s">
        <v>113</v>
      </c>
      <c r="J278" s="12" t="s">
        <v>529</v>
      </c>
      <c r="K278" s="12" t="s">
        <v>82</v>
      </c>
      <c r="L278" s="14"/>
      <c r="M278" s="12" t="s">
        <v>43</v>
      </c>
      <c r="N278" s="12" t="s">
        <v>44</v>
      </c>
      <c r="O278" s="12" t="s">
        <v>1438</v>
      </c>
      <c r="P278" s="12" t="s">
        <v>46</v>
      </c>
      <c r="Q278" s="12" t="s">
        <v>47</v>
      </c>
      <c r="R278" s="12" t="s">
        <v>117</v>
      </c>
      <c r="S278" s="13">
        <v>197643251798</v>
      </c>
      <c r="T278" s="12" t="s">
        <v>105</v>
      </c>
      <c r="U278" s="13">
        <v>35</v>
      </c>
      <c r="V278" s="12" t="s">
        <v>50</v>
      </c>
      <c r="W278" s="12" t="s">
        <v>51</v>
      </c>
      <c r="X278" s="14"/>
      <c r="Y278" s="12" t="s">
        <v>91</v>
      </c>
      <c r="Z278" s="12" t="s">
        <v>165</v>
      </c>
      <c r="AA278" s="14"/>
      <c r="AB278" s="14"/>
      <c r="AC278" s="15">
        <v>59.1</v>
      </c>
      <c r="AD278" s="15">
        <f>AC278*AG278</f>
        <v>1418.4</v>
      </c>
      <c r="AE278" s="15">
        <v>130</v>
      </c>
      <c r="AF278" s="15">
        <f>AE278*AG278</f>
        <v>3120</v>
      </c>
      <c r="AG278" s="16">
        <v>24</v>
      </c>
    </row>
    <row r="279" spans="1:33" ht="15" customHeight="1" x14ac:dyDescent="0.2">
      <c r="A279" s="11" t="str">
        <f t="shared" si="98"/>
        <v>VN000CYAYLZ1</v>
      </c>
      <c r="B279" s="12" t="s">
        <v>1439</v>
      </c>
      <c r="C279" s="12" t="s">
        <v>238</v>
      </c>
      <c r="D279" s="12" t="s">
        <v>458</v>
      </c>
      <c r="E279" s="12" t="s">
        <v>1440</v>
      </c>
      <c r="F279" s="13">
        <v>15</v>
      </c>
      <c r="G279" s="12" t="s">
        <v>775</v>
      </c>
      <c r="H279" s="12" t="s">
        <v>38</v>
      </c>
      <c r="I279" s="12" t="s">
        <v>39</v>
      </c>
      <c r="J279" s="12" t="s">
        <v>40</v>
      </c>
      <c r="K279" s="12" t="s">
        <v>41</v>
      </c>
      <c r="L279" s="14"/>
      <c r="M279" s="12" t="s">
        <v>43</v>
      </c>
      <c r="N279" s="12" t="s">
        <v>84</v>
      </c>
      <c r="O279" s="12" t="s">
        <v>1441</v>
      </c>
      <c r="P279" s="12" t="s">
        <v>46</v>
      </c>
      <c r="Q279" s="12" t="s">
        <v>47</v>
      </c>
      <c r="R279" s="12" t="s">
        <v>48</v>
      </c>
      <c r="S279" s="13">
        <v>197804516025</v>
      </c>
      <c r="T279" s="12" t="s">
        <v>105</v>
      </c>
      <c r="U279" s="13">
        <v>32</v>
      </c>
      <c r="V279" s="12" t="s">
        <v>278</v>
      </c>
      <c r="W279" s="12" t="s">
        <v>299</v>
      </c>
      <c r="X279" s="14"/>
      <c r="Y279" s="14"/>
      <c r="Z279" s="14"/>
      <c r="AA279" s="14"/>
      <c r="AB279" s="14"/>
      <c r="AC279" s="15">
        <v>29.55</v>
      </c>
      <c r="AD279" s="15">
        <f>AC279*AG279</f>
        <v>709.2</v>
      </c>
      <c r="AE279" s="15">
        <v>65</v>
      </c>
      <c r="AF279" s="15">
        <f>AE279*AG279</f>
        <v>1560</v>
      </c>
      <c r="AG279" s="16">
        <v>24</v>
      </c>
    </row>
    <row r="280" spans="1:33" ht="15" customHeight="1" x14ac:dyDescent="0.2">
      <c r="A280" s="11" t="str">
        <f t="shared" si="99"/>
        <v>VN000D1JY231</v>
      </c>
      <c r="B280" s="12" t="s">
        <v>1442</v>
      </c>
      <c r="C280" s="12" t="s">
        <v>251</v>
      </c>
      <c r="D280" s="12" t="s">
        <v>1312</v>
      </c>
      <c r="E280" s="12" t="s">
        <v>1443</v>
      </c>
      <c r="F280" s="13">
        <v>60</v>
      </c>
      <c r="G280" s="14"/>
      <c r="H280" s="12" t="s">
        <v>38</v>
      </c>
      <c r="I280" s="12" t="s">
        <v>159</v>
      </c>
      <c r="J280" s="12" t="s">
        <v>255</v>
      </c>
      <c r="K280" s="12" t="s">
        <v>82</v>
      </c>
      <c r="L280" s="12" t="s">
        <v>260</v>
      </c>
      <c r="M280" s="12" t="s">
        <v>43</v>
      </c>
      <c r="N280" s="12" t="s">
        <v>84</v>
      </c>
      <c r="O280" s="12" t="s">
        <v>1444</v>
      </c>
      <c r="P280" s="12" t="s">
        <v>46</v>
      </c>
      <c r="Q280" s="12" t="s">
        <v>47</v>
      </c>
      <c r="R280" s="12" t="s">
        <v>163</v>
      </c>
      <c r="S280" s="13">
        <v>197804612543</v>
      </c>
      <c r="T280" s="12" t="s">
        <v>49</v>
      </c>
      <c r="U280" s="13">
        <v>38</v>
      </c>
      <c r="V280" s="12" t="s">
        <v>50</v>
      </c>
      <c r="W280" s="12" t="s">
        <v>51</v>
      </c>
      <c r="X280" s="14"/>
      <c r="Y280" s="14"/>
      <c r="Z280" s="14"/>
      <c r="AA280" s="14"/>
      <c r="AB280" s="14"/>
      <c r="AC280" s="15">
        <v>47.75</v>
      </c>
      <c r="AD280" s="15">
        <f>AC280*AG280</f>
        <v>1146</v>
      </c>
      <c r="AE280" s="15">
        <v>105</v>
      </c>
      <c r="AF280" s="15">
        <f>AE280*AG280</f>
        <v>2520</v>
      </c>
      <c r="AG280" s="16">
        <v>24</v>
      </c>
    </row>
    <row r="281" spans="1:33" ht="15" customHeight="1" x14ac:dyDescent="0.2">
      <c r="A281" s="11" t="str">
        <f t="shared" ref="A281:A862" si="110">HYPERLINK("https://assets.vans.eu/images/VN000ED891K-HERO/1","VN000ED891K1")</f>
        <v>VN000ED891K1</v>
      </c>
      <c r="B281" s="12" t="s">
        <v>1445</v>
      </c>
      <c r="C281" s="12" t="s">
        <v>1446</v>
      </c>
      <c r="D281" s="12" t="s">
        <v>1447</v>
      </c>
      <c r="E281" s="12" t="s">
        <v>1448</v>
      </c>
      <c r="F281" s="13">
        <v>110</v>
      </c>
      <c r="G281" s="14"/>
      <c r="H281" s="12" t="s">
        <v>38</v>
      </c>
      <c r="I281" s="12" t="s">
        <v>113</v>
      </c>
      <c r="J281" s="12" t="s">
        <v>114</v>
      </c>
      <c r="K281" s="12" t="s">
        <v>82</v>
      </c>
      <c r="L281" s="12" t="s">
        <v>115</v>
      </c>
      <c r="M281" s="12" t="s">
        <v>43</v>
      </c>
      <c r="N281" s="12" t="s">
        <v>84</v>
      </c>
      <c r="O281" s="12" t="s">
        <v>1449</v>
      </c>
      <c r="P281" s="12" t="s">
        <v>46</v>
      </c>
      <c r="Q281" s="12" t="s">
        <v>47</v>
      </c>
      <c r="R281" s="12" t="s">
        <v>948</v>
      </c>
      <c r="S281" s="13">
        <v>197805786021</v>
      </c>
      <c r="T281" s="12" t="s">
        <v>49</v>
      </c>
      <c r="U281" s="13">
        <v>44.5</v>
      </c>
      <c r="V281" s="12" t="s">
        <v>209</v>
      </c>
      <c r="W281" s="12" t="s">
        <v>51</v>
      </c>
      <c r="X281" s="14"/>
      <c r="Y281" s="14"/>
      <c r="Z281" s="14"/>
      <c r="AA281" s="14"/>
      <c r="AB281" s="14"/>
      <c r="AC281" s="15">
        <v>65.95</v>
      </c>
      <c r="AD281" s="15">
        <f>AC281*AG281</f>
        <v>1582.8000000000002</v>
      </c>
      <c r="AE281" s="15">
        <v>145</v>
      </c>
      <c r="AF281" s="15">
        <f>AE281*AG281</f>
        <v>3480</v>
      </c>
      <c r="AG281" s="16">
        <v>24</v>
      </c>
    </row>
    <row r="282" spans="1:33" ht="15" customHeight="1" x14ac:dyDescent="0.2">
      <c r="A282" s="11" t="str">
        <f t="shared" si="88"/>
        <v>VN000HJV7D61</v>
      </c>
      <c r="B282" s="12" t="s">
        <v>1450</v>
      </c>
      <c r="C282" s="12" t="s">
        <v>1230</v>
      </c>
      <c r="D282" s="12" t="s">
        <v>1231</v>
      </c>
      <c r="E282" s="12" t="s">
        <v>1451</v>
      </c>
      <c r="F282" s="12" t="s">
        <v>403</v>
      </c>
      <c r="G282" s="14"/>
      <c r="H282" s="12" t="s">
        <v>61</v>
      </c>
      <c r="I282" s="12" t="s">
        <v>289</v>
      </c>
      <c r="J282" s="12" t="s">
        <v>984</v>
      </c>
      <c r="K282" s="12" t="s">
        <v>100</v>
      </c>
      <c r="L282" s="14"/>
      <c r="M282" s="12" t="s">
        <v>43</v>
      </c>
      <c r="N282" s="12" t="s">
        <v>84</v>
      </c>
      <c r="O282" s="12" t="s">
        <v>1452</v>
      </c>
      <c r="P282" s="12" t="s">
        <v>66</v>
      </c>
      <c r="Q282" s="12" t="s">
        <v>764</v>
      </c>
      <c r="R282" s="12" t="s">
        <v>986</v>
      </c>
      <c r="S282" s="13">
        <v>197804384938</v>
      </c>
      <c r="T282" s="12" t="s">
        <v>235</v>
      </c>
      <c r="U282" s="12" t="s">
        <v>403</v>
      </c>
      <c r="V282" s="12" t="s">
        <v>90</v>
      </c>
      <c r="W282" s="12" t="s">
        <v>186</v>
      </c>
      <c r="X282" s="14"/>
      <c r="Y282" s="14"/>
      <c r="Z282" s="14"/>
      <c r="AA282" s="14"/>
      <c r="AB282" s="14"/>
      <c r="AC282" s="15">
        <v>61.4</v>
      </c>
      <c r="AD282" s="15">
        <f>AC282*AG282</f>
        <v>1412.2</v>
      </c>
      <c r="AE282" s="15">
        <v>135</v>
      </c>
      <c r="AF282" s="15">
        <f>AE282*AG282</f>
        <v>3105</v>
      </c>
      <c r="AG282" s="16">
        <v>23</v>
      </c>
    </row>
    <row r="283" spans="1:33" ht="15" customHeight="1" x14ac:dyDescent="0.2">
      <c r="A283" s="11" t="str">
        <f t="shared" ref="A283:A2110" si="111">HYPERLINK("https://assets.vans.eu/images/VN000M39D4C-HERO/1","VN000M39D4C1")</f>
        <v>VN000M39D4C1</v>
      </c>
      <c r="B283" s="12" t="s">
        <v>1453</v>
      </c>
      <c r="C283" s="12" t="s">
        <v>1281</v>
      </c>
      <c r="D283" s="12" t="s">
        <v>1454</v>
      </c>
      <c r="E283" s="12" t="s">
        <v>1455</v>
      </c>
      <c r="F283" s="13">
        <v>28</v>
      </c>
      <c r="G283" s="14"/>
      <c r="H283" s="12" t="s">
        <v>61</v>
      </c>
      <c r="I283" s="12" t="s">
        <v>230</v>
      </c>
      <c r="J283" s="12" t="s">
        <v>231</v>
      </c>
      <c r="K283" s="12" t="s">
        <v>199</v>
      </c>
      <c r="L283" s="14"/>
      <c r="M283" s="12" t="s">
        <v>43</v>
      </c>
      <c r="N283" s="12" t="s">
        <v>44</v>
      </c>
      <c r="O283" s="12" t="s">
        <v>1456</v>
      </c>
      <c r="P283" s="12" t="s">
        <v>66</v>
      </c>
      <c r="Q283" s="12" t="s">
        <v>233</v>
      </c>
      <c r="R283" s="12" t="s">
        <v>234</v>
      </c>
      <c r="S283" s="13">
        <v>197643411826</v>
      </c>
      <c r="T283" s="12" t="s">
        <v>235</v>
      </c>
      <c r="U283" s="13">
        <v>28</v>
      </c>
      <c r="V283" s="12" t="s">
        <v>665</v>
      </c>
      <c r="W283" s="12" t="s">
        <v>186</v>
      </c>
      <c r="X283" s="13">
        <v>0</v>
      </c>
      <c r="Y283" s="12" t="s">
        <v>53</v>
      </c>
      <c r="Z283" s="12" t="s">
        <v>108</v>
      </c>
      <c r="AA283" s="13">
        <v>0</v>
      </c>
      <c r="AB283" s="13">
        <v>0</v>
      </c>
      <c r="AC283" s="15">
        <v>29.55</v>
      </c>
      <c r="AD283" s="15">
        <f>AC283*AG283</f>
        <v>679.65</v>
      </c>
      <c r="AE283" s="15">
        <v>65</v>
      </c>
      <c r="AF283" s="15">
        <f>AE283*AG283</f>
        <v>1495</v>
      </c>
      <c r="AG283" s="16">
        <v>23</v>
      </c>
    </row>
    <row r="284" spans="1:33" ht="15" customHeight="1" x14ac:dyDescent="0.2">
      <c r="A284" s="11" t="str">
        <f t="shared" ref="A284:A1451" si="112">HYPERLINK("https://assets.vans.eu/images/VN000CQRO3N-HERO/1","VN000CQRO3N1")</f>
        <v>VN000CQRO3N1</v>
      </c>
      <c r="B284" s="12" t="s">
        <v>1457</v>
      </c>
      <c r="C284" s="12" t="s">
        <v>1458</v>
      </c>
      <c r="D284" s="12" t="s">
        <v>744</v>
      </c>
      <c r="E284" s="12" t="s">
        <v>1459</v>
      </c>
      <c r="F284" s="13">
        <v>50</v>
      </c>
      <c r="G284" s="12" t="s">
        <v>1460</v>
      </c>
      <c r="H284" s="12" t="s">
        <v>38</v>
      </c>
      <c r="I284" s="12" t="s">
        <v>113</v>
      </c>
      <c r="J284" s="12" t="s">
        <v>529</v>
      </c>
      <c r="K284" s="12" t="s">
        <v>82</v>
      </c>
      <c r="L284" s="14"/>
      <c r="M284" s="12" t="s">
        <v>43</v>
      </c>
      <c r="N284" s="12" t="s">
        <v>44</v>
      </c>
      <c r="O284" s="12" t="s">
        <v>1461</v>
      </c>
      <c r="P284" s="12" t="s">
        <v>46</v>
      </c>
      <c r="Q284" s="12" t="s">
        <v>47</v>
      </c>
      <c r="R284" s="12" t="s">
        <v>117</v>
      </c>
      <c r="S284" s="13">
        <v>197643237808</v>
      </c>
      <c r="T284" s="12" t="s">
        <v>49</v>
      </c>
      <c r="U284" s="13">
        <v>36.5</v>
      </c>
      <c r="V284" s="12" t="s">
        <v>50</v>
      </c>
      <c r="W284" s="12" t="s">
        <v>299</v>
      </c>
      <c r="X284" s="14"/>
      <c r="Y284" s="12" t="s">
        <v>53</v>
      </c>
      <c r="Z284" s="12" t="s">
        <v>1462</v>
      </c>
      <c r="AA284" s="14"/>
      <c r="AB284" s="14"/>
      <c r="AC284" s="15">
        <v>43.2</v>
      </c>
      <c r="AD284" s="15">
        <f>AC284*AG284</f>
        <v>993.6</v>
      </c>
      <c r="AE284" s="15">
        <v>95</v>
      </c>
      <c r="AF284" s="15">
        <f>AE284*AG284</f>
        <v>2185</v>
      </c>
      <c r="AG284" s="16">
        <v>23</v>
      </c>
    </row>
    <row r="285" spans="1:33" ht="15" customHeight="1" x14ac:dyDescent="0.2">
      <c r="A285" s="11" t="str">
        <f>HYPERLINK("https://assets.vans.eu/images/VN000CTNBP6-HERO/1","VN000CTNBP61")</f>
        <v>VN000CTNBP61</v>
      </c>
      <c r="B285" s="12" t="s">
        <v>1463</v>
      </c>
      <c r="C285" s="12" t="s">
        <v>1464</v>
      </c>
      <c r="D285" s="12" t="s">
        <v>1465</v>
      </c>
      <c r="E285" s="12" t="s">
        <v>1466</v>
      </c>
      <c r="F285" s="13">
        <v>110</v>
      </c>
      <c r="G285" s="14"/>
      <c r="H285" s="12" t="s">
        <v>38</v>
      </c>
      <c r="I285" s="12" t="s">
        <v>159</v>
      </c>
      <c r="J285" s="12" t="s">
        <v>255</v>
      </c>
      <c r="K285" s="12" t="s">
        <v>82</v>
      </c>
      <c r="L285" s="14"/>
      <c r="M285" s="12" t="s">
        <v>43</v>
      </c>
      <c r="N285" s="12" t="s">
        <v>161</v>
      </c>
      <c r="O285" s="12" t="s">
        <v>1467</v>
      </c>
      <c r="P285" s="12" t="s">
        <v>46</v>
      </c>
      <c r="Q285" s="12" t="s">
        <v>47</v>
      </c>
      <c r="R285" s="12" t="s">
        <v>163</v>
      </c>
      <c r="S285" s="13">
        <v>197063346500</v>
      </c>
      <c r="T285" s="12" t="s">
        <v>49</v>
      </c>
      <c r="U285" s="13">
        <v>44.5</v>
      </c>
      <c r="V285" s="12" t="s">
        <v>1468</v>
      </c>
      <c r="W285" s="12" t="s">
        <v>51</v>
      </c>
      <c r="X285" s="14"/>
      <c r="Y285" s="12" t="s">
        <v>53</v>
      </c>
      <c r="Z285" s="12" t="s">
        <v>165</v>
      </c>
      <c r="AA285" s="14"/>
      <c r="AB285" s="14"/>
      <c r="AC285" s="15">
        <v>45.5</v>
      </c>
      <c r="AD285" s="15">
        <f>AC285*AG285</f>
        <v>1046.5</v>
      </c>
      <c r="AE285" s="15">
        <v>100</v>
      </c>
      <c r="AF285" s="15">
        <f>AE285*AG285</f>
        <v>2300</v>
      </c>
      <c r="AG285" s="16">
        <v>23</v>
      </c>
    </row>
    <row r="286" spans="1:33" ht="15" customHeight="1" x14ac:dyDescent="0.2">
      <c r="A286" s="11" t="str">
        <f t="shared" ref="A286:A4301" si="113">HYPERLINK("https://assets.vans.eu/images/VN000D60BRO-HERO/1","VN000D60BRO1")</f>
        <v>VN000D60BRO1</v>
      </c>
      <c r="B286" s="12" t="s">
        <v>1469</v>
      </c>
      <c r="C286" s="12" t="s">
        <v>1470</v>
      </c>
      <c r="D286" s="12" t="s">
        <v>1471</v>
      </c>
      <c r="E286" s="12" t="s">
        <v>1472</v>
      </c>
      <c r="F286" s="13">
        <v>80</v>
      </c>
      <c r="G286" s="14"/>
      <c r="H286" s="12" t="s">
        <v>38</v>
      </c>
      <c r="I286" s="12" t="s">
        <v>159</v>
      </c>
      <c r="J286" s="12" t="s">
        <v>255</v>
      </c>
      <c r="K286" s="12" t="s">
        <v>82</v>
      </c>
      <c r="L286" s="14"/>
      <c r="M286" s="12" t="s">
        <v>43</v>
      </c>
      <c r="N286" s="12" t="s">
        <v>44</v>
      </c>
      <c r="O286" s="12" t="s">
        <v>1473</v>
      </c>
      <c r="P286" s="12" t="s">
        <v>46</v>
      </c>
      <c r="Q286" s="12" t="s">
        <v>47</v>
      </c>
      <c r="R286" s="12" t="s">
        <v>163</v>
      </c>
      <c r="S286" s="13">
        <v>197643283041</v>
      </c>
      <c r="T286" s="12" t="s">
        <v>49</v>
      </c>
      <c r="U286" s="13">
        <v>40.5</v>
      </c>
      <c r="V286" s="12" t="s">
        <v>278</v>
      </c>
      <c r="W286" s="12" t="s">
        <v>186</v>
      </c>
      <c r="X286" s="14"/>
      <c r="Y286" s="12" t="s">
        <v>91</v>
      </c>
      <c r="Z286" s="12" t="s">
        <v>165</v>
      </c>
      <c r="AA286" s="14"/>
      <c r="AB286" s="14"/>
      <c r="AC286" s="15">
        <v>52.3</v>
      </c>
      <c r="AD286" s="15">
        <f>AC286*AG286</f>
        <v>1202.8999999999999</v>
      </c>
      <c r="AE286" s="15">
        <v>115</v>
      </c>
      <c r="AF286" s="15">
        <f>AE286*AG286</f>
        <v>2645</v>
      </c>
      <c r="AG286" s="16">
        <v>23</v>
      </c>
    </row>
    <row r="287" spans="1:33" ht="15" customHeight="1" x14ac:dyDescent="0.2">
      <c r="A287" s="11" t="str">
        <f t="shared" ref="A287:A784" si="114">HYPERLINK("https://assets.vans.eu/images/VN00046QE2W-HERO/1","VN00046QE2W1")</f>
        <v>VN00046QE2W1</v>
      </c>
      <c r="B287" s="12" t="s">
        <v>1474</v>
      </c>
      <c r="C287" s="12" t="s">
        <v>1475</v>
      </c>
      <c r="D287" s="12" t="s">
        <v>1476</v>
      </c>
      <c r="E287" s="12" t="s">
        <v>1477</v>
      </c>
      <c r="F287" s="12" t="s">
        <v>153</v>
      </c>
      <c r="G287" s="14"/>
      <c r="H287" s="12" t="s">
        <v>61</v>
      </c>
      <c r="I287" s="12" t="s">
        <v>289</v>
      </c>
      <c r="J287" s="12" t="s">
        <v>900</v>
      </c>
      <c r="K287" s="12" t="s">
        <v>100</v>
      </c>
      <c r="L287" s="12" t="s">
        <v>83</v>
      </c>
      <c r="M287" s="12" t="s">
        <v>43</v>
      </c>
      <c r="N287" s="12" t="s">
        <v>44</v>
      </c>
      <c r="O287" s="12" t="s">
        <v>1478</v>
      </c>
      <c r="P287" s="12" t="s">
        <v>66</v>
      </c>
      <c r="Q287" s="12" t="s">
        <v>233</v>
      </c>
      <c r="R287" s="12" t="s">
        <v>902</v>
      </c>
      <c r="S287" s="13">
        <v>197803399223</v>
      </c>
      <c r="T287" s="12" t="s">
        <v>69</v>
      </c>
      <c r="U287" s="12" t="s">
        <v>153</v>
      </c>
      <c r="V287" s="12" t="s">
        <v>423</v>
      </c>
      <c r="W287" s="12" t="s">
        <v>284</v>
      </c>
      <c r="X287" s="13">
        <v>0</v>
      </c>
      <c r="Y287" s="12" t="s">
        <v>53</v>
      </c>
      <c r="Z287" s="12" t="s">
        <v>108</v>
      </c>
      <c r="AA287" s="13">
        <v>0</v>
      </c>
      <c r="AB287" s="12" t="s">
        <v>616</v>
      </c>
      <c r="AC287" s="15">
        <v>22.75</v>
      </c>
      <c r="AD287" s="15">
        <f>AC287*AG287</f>
        <v>500.5</v>
      </c>
      <c r="AE287" s="15">
        <v>50</v>
      </c>
      <c r="AF287" s="15">
        <f>AE287*AG287</f>
        <v>1100</v>
      </c>
      <c r="AG287" s="16">
        <v>22</v>
      </c>
    </row>
    <row r="288" spans="1:33" ht="15" customHeight="1" x14ac:dyDescent="0.2">
      <c r="A288" s="11" t="str">
        <f t="shared" si="35"/>
        <v>VN0008KUBML1</v>
      </c>
      <c r="B288" s="12" t="s">
        <v>1479</v>
      </c>
      <c r="C288" s="12" t="s">
        <v>554</v>
      </c>
      <c r="D288" s="12" t="s">
        <v>555</v>
      </c>
      <c r="E288" s="12" t="s">
        <v>1480</v>
      </c>
      <c r="F288" s="12" t="s">
        <v>403</v>
      </c>
      <c r="G288" s="14"/>
      <c r="H288" s="12" t="s">
        <v>61</v>
      </c>
      <c r="I288" s="12" t="s">
        <v>230</v>
      </c>
      <c r="J288" s="12" t="s">
        <v>557</v>
      </c>
      <c r="K288" s="12" t="s">
        <v>199</v>
      </c>
      <c r="L288" s="14"/>
      <c r="M288" s="12" t="s">
        <v>43</v>
      </c>
      <c r="N288" s="12" t="s">
        <v>44</v>
      </c>
      <c r="O288" s="12" t="s">
        <v>1481</v>
      </c>
      <c r="P288" s="12" t="s">
        <v>66</v>
      </c>
      <c r="Q288" s="12" t="s">
        <v>559</v>
      </c>
      <c r="R288" s="12" t="s">
        <v>560</v>
      </c>
      <c r="S288" s="13">
        <v>197643553540</v>
      </c>
      <c r="T288" s="12" t="s">
        <v>49</v>
      </c>
      <c r="U288" s="12" t="s">
        <v>403</v>
      </c>
      <c r="V288" s="12" t="s">
        <v>561</v>
      </c>
      <c r="W288" s="12" t="s">
        <v>51</v>
      </c>
      <c r="X288" s="13">
        <v>0</v>
      </c>
      <c r="Y288" s="12" t="s">
        <v>53</v>
      </c>
      <c r="Z288" s="12" t="s">
        <v>108</v>
      </c>
      <c r="AA288" s="13">
        <v>0</v>
      </c>
      <c r="AB288" s="13">
        <v>0</v>
      </c>
      <c r="AC288" s="15">
        <v>25</v>
      </c>
      <c r="AD288" s="15">
        <f>AC288*AG288</f>
        <v>550</v>
      </c>
      <c r="AE288" s="15">
        <v>55</v>
      </c>
      <c r="AF288" s="15">
        <f>AE288*AG288</f>
        <v>1210</v>
      </c>
      <c r="AG288" s="16">
        <v>22</v>
      </c>
    </row>
    <row r="289" spans="1:33" ht="15" customHeight="1" x14ac:dyDescent="0.2">
      <c r="A289" s="11" t="str">
        <f t="shared" ref="A289:A1309" si="115">HYPERLINK("https://assets.vans.eu/images/VN0008KUJDU-HERO/1","VN0008KUJDU1")</f>
        <v>VN0008KUJDU1</v>
      </c>
      <c r="B289" s="12" t="s">
        <v>1482</v>
      </c>
      <c r="C289" s="12" t="s">
        <v>554</v>
      </c>
      <c r="D289" s="12" t="s">
        <v>814</v>
      </c>
      <c r="E289" s="12" t="s">
        <v>1483</v>
      </c>
      <c r="F289" s="12" t="s">
        <v>170</v>
      </c>
      <c r="G289" s="14"/>
      <c r="H289" s="12" t="s">
        <v>61</v>
      </c>
      <c r="I289" s="12" t="s">
        <v>230</v>
      </c>
      <c r="J289" s="12" t="s">
        <v>557</v>
      </c>
      <c r="K289" s="12" t="s">
        <v>199</v>
      </c>
      <c r="L289" s="14"/>
      <c r="M289" s="12" t="s">
        <v>43</v>
      </c>
      <c r="N289" s="12" t="s">
        <v>44</v>
      </c>
      <c r="O289" s="12" t="s">
        <v>1484</v>
      </c>
      <c r="P289" s="12" t="s">
        <v>66</v>
      </c>
      <c r="Q289" s="12" t="s">
        <v>559</v>
      </c>
      <c r="R289" s="12" t="s">
        <v>560</v>
      </c>
      <c r="S289" s="13">
        <v>197643553458</v>
      </c>
      <c r="T289" s="12" t="s">
        <v>49</v>
      </c>
      <c r="U289" s="12" t="s">
        <v>170</v>
      </c>
      <c r="V289" s="12" t="s">
        <v>561</v>
      </c>
      <c r="W289" s="12" t="s">
        <v>284</v>
      </c>
      <c r="X289" s="13">
        <v>0</v>
      </c>
      <c r="Y289" s="12" t="s">
        <v>53</v>
      </c>
      <c r="Z289" s="12" t="s">
        <v>108</v>
      </c>
      <c r="AA289" s="13">
        <v>0</v>
      </c>
      <c r="AB289" s="13">
        <v>0</v>
      </c>
      <c r="AC289" s="15">
        <v>25</v>
      </c>
      <c r="AD289" s="15">
        <f>AC289*AG289</f>
        <v>550</v>
      </c>
      <c r="AE289" s="15">
        <v>55</v>
      </c>
      <c r="AF289" s="15">
        <f>AE289*AG289</f>
        <v>1210</v>
      </c>
      <c r="AG289" s="16">
        <v>22</v>
      </c>
    </row>
    <row r="290" spans="1:33" ht="15" customHeight="1" x14ac:dyDescent="0.2">
      <c r="A290" s="11" t="str">
        <f t="shared" ref="A290:A476" si="116">HYPERLINK("https://assets.vans.eu/images/VN000HDVM8I-HERO/1","VN000HDVM8I1")</f>
        <v>VN000HDVM8I1</v>
      </c>
      <c r="B290" s="12" t="s">
        <v>1485</v>
      </c>
      <c r="C290" s="12" t="s">
        <v>1486</v>
      </c>
      <c r="D290" s="12" t="s">
        <v>1487</v>
      </c>
      <c r="E290" s="12" t="s">
        <v>1488</v>
      </c>
      <c r="F290" s="12" t="s">
        <v>60</v>
      </c>
      <c r="G290" s="14"/>
      <c r="H290" s="12" t="s">
        <v>61</v>
      </c>
      <c r="I290" s="12" t="s">
        <v>230</v>
      </c>
      <c r="J290" s="12" t="s">
        <v>419</v>
      </c>
      <c r="K290" s="12" t="s">
        <v>199</v>
      </c>
      <c r="L290" s="14"/>
      <c r="M290" s="12" t="s">
        <v>43</v>
      </c>
      <c r="N290" s="12" t="s">
        <v>161</v>
      </c>
      <c r="O290" s="12" t="s">
        <v>1489</v>
      </c>
      <c r="P290" s="12" t="s">
        <v>66</v>
      </c>
      <c r="Q290" s="12" t="s">
        <v>67</v>
      </c>
      <c r="R290" s="12" t="s">
        <v>1490</v>
      </c>
      <c r="S290" s="13">
        <v>197065482275</v>
      </c>
      <c r="T290" s="12" t="s">
        <v>143</v>
      </c>
      <c r="U290" s="12" t="s">
        <v>60</v>
      </c>
      <c r="V290" s="12" t="s">
        <v>1491</v>
      </c>
      <c r="W290" s="12" t="s">
        <v>118</v>
      </c>
      <c r="X290" s="13">
        <v>0</v>
      </c>
      <c r="Y290" s="12" t="s">
        <v>91</v>
      </c>
      <c r="Z290" s="12" t="s">
        <v>108</v>
      </c>
      <c r="AA290" s="13">
        <v>0</v>
      </c>
      <c r="AB290" s="13">
        <v>0</v>
      </c>
      <c r="AC290" s="15">
        <v>31.85</v>
      </c>
      <c r="AD290" s="15">
        <f>AC290*AG290</f>
        <v>700.7</v>
      </c>
      <c r="AE290" s="15">
        <v>70</v>
      </c>
      <c r="AF290" s="15">
        <f>AE290*AG290</f>
        <v>1540</v>
      </c>
      <c r="AG290" s="16">
        <v>22</v>
      </c>
    </row>
    <row r="291" spans="1:33" ht="15" customHeight="1" x14ac:dyDescent="0.2">
      <c r="A291" s="11" t="str">
        <f t="shared" si="46"/>
        <v>VN000KXMY7U1</v>
      </c>
      <c r="B291" s="12" t="s">
        <v>1492</v>
      </c>
      <c r="C291" s="12" t="s">
        <v>739</v>
      </c>
      <c r="D291" s="12" t="s">
        <v>740</v>
      </c>
      <c r="E291" s="12" t="s">
        <v>1493</v>
      </c>
      <c r="F291" s="13">
        <v>30</v>
      </c>
      <c r="G291" s="14"/>
      <c r="H291" s="12" t="s">
        <v>61</v>
      </c>
      <c r="I291" s="12" t="s">
        <v>230</v>
      </c>
      <c r="J291" s="12" t="s">
        <v>231</v>
      </c>
      <c r="K291" s="12" t="s">
        <v>199</v>
      </c>
      <c r="L291" s="14"/>
      <c r="M291" s="12" t="s">
        <v>43</v>
      </c>
      <c r="N291" s="12" t="s">
        <v>84</v>
      </c>
      <c r="O291" s="12" t="s">
        <v>1494</v>
      </c>
      <c r="P291" s="12" t="s">
        <v>66</v>
      </c>
      <c r="Q291" s="12" t="s">
        <v>233</v>
      </c>
      <c r="R291" s="12" t="s">
        <v>361</v>
      </c>
      <c r="S291" s="13">
        <v>197643404439</v>
      </c>
      <c r="T291" s="12" t="s">
        <v>235</v>
      </c>
      <c r="U291" s="13">
        <v>30</v>
      </c>
      <c r="V291" s="12" t="s">
        <v>665</v>
      </c>
      <c r="W291" s="12" t="s">
        <v>455</v>
      </c>
      <c r="X291" s="13">
        <v>0</v>
      </c>
      <c r="Y291" s="12" t="s">
        <v>91</v>
      </c>
      <c r="Z291" s="12" t="s">
        <v>108</v>
      </c>
      <c r="AA291" s="13">
        <v>0</v>
      </c>
      <c r="AB291" s="13">
        <v>0</v>
      </c>
      <c r="AC291" s="15">
        <v>34.1</v>
      </c>
      <c r="AD291" s="15">
        <f>AC291*AG291</f>
        <v>750.2</v>
      </c>
      <c r="AE291" s="15">
        <v>75</v>
      </c>
      <c r="AF291" s="15">
        <f>AE291*AG291</f>
        <v>1650</v>
      </c>
      <c r="AG291" s="16">
        <v>22</v>
      </c>
    </row>
    <row r="292" spans="1:33" ht="15" customHeight="1" x14ac:dyDescent="0.2">
      <c r="A292" s="11" t="str">
        <f t="shared" ref="A292:A552" si="117">HYPERLINK("https://assets.vans.eu/images/VN000M12IYR-HERO/1","VN000M12IYR1")</f>
        <v>VN000M12IYR1</v>
      </c>
      <c r="B292" s="12" t="s">
        <v>1495</v>
      </c>
      <c r="C292" s="12" t="s">
        <v>1496</v>
      </c>
      <c r="D292" s="12" t="s">
        <v>1497</v>
      </c>
      <c r="E292" s="12" t="s">
        <v>1498</v>
      </c>
      <c r="F292" s="12" t="s">
        <v>60</v>
      </c>
      <c r="G292" s="14"/>
      <c r="H292" s="12" t="s">
        <v>61</v>
      </c>
      <c r="I292" s="12" t="s">
        <v>230</v>
      </c>
      <c r="J292" s="12" t="s">
        <v>419</v>
      </c>
      <c r="K292" s="12" t="s">
        <v>199</v>
      </c>
      <c r="L292" s="14"/>
      <c r="M292" s="12" t="s">
        <v>43</v>
      </c>
      <c r="N292" s="12" t="s">
        <v>44</v>
      </c>
      <c r="O292" s="12" t="s">
        <v>1499</v>
      </c>
      <c r="P292" s="12" t="s">
        <v>66</v>
      </c>
      <c r="Q292" s="12" t="s">
        <v>67</v>
      </c>
      <c r="R292" s="12" t="s">
        <v>1500</v>
      </c>
      <c r="S292" s="13">
        <v>197643406488</v>
      </c>
      <c r="T292" s="12" t="s">
        <v>235</v>
      </c>
      <c r="U292" s="12" t="s">
        <v>60</v>
      </c>
      <c r="V292" s="12" t="s">
        <v>665</v>
      </c>
      <c r="W292" s="12" t="s">
        <v>284</v>
      </c>
      <c r="X292" s="13">
        <v>0</v>
      </c>
      <c r="Y292" s="12" t="s">
        <v>91</v>
      </c>
      <c r="Z292" s="12" t="s">
        <v>108</v>
      </c>
      <c r="AA292" s="13">
        <v>0</v>
      </c>
      <c r="AB292" s="13">
        <v>0</v>
      </c>
      <c r="AC292" s="15">
        <v>38.65</v>
      </c>
      <c r="AD292" s="15">
        <f>AC292*AG292</f>
        <v>850.3</v>
      </c>
      <c r="AE292" s="15">
        <v>85</v>
      </c>
      <c r="AF292" s="15">
        <f>AE292*AG292</f>
        <v>1870</v>
      </c>
      <c r="AG292" s="16">
        <v>22</v>
      </c>
    </row>
    <row r="293" spans="1:33" ht="15" customHeight="1" x14ac:dyDescent="0.2">
      <c r="A293" s="11" t="str">
        <f t="shared" si="71"/>
        <v>VN000MBCWHT1</v>
      </c>
      <c r="B293" s="12" t="s">
        <v>1501</v>
      </c>
      <c r="C293" s="12" t="s">
        <v>1051</v>
      </c>
      <c r="D293" s="12" t="s">
        <v>168</v>
      </c>
      <c r="E293" s="12" t="s">
        <v>1502</v>
      </c>
      <c r="F293" s="12" t="s">
        <v>153</v>
      </c>
      <c r="G293" s="14"/>
      <c r="H293" s="12" t="s">
        <v>61</v>
      </c>
      <c r="I293" s="12" t="s">
        <v>289</v>
      </c>
      <c r="J293" s="12" t="s">
        <v>290</v>
      </c>
      <c r="K293" s="12" t="s">
        <v>100</v>
      </c>
      <c r="L293" s="14"/>
      <c r="M293" s="12" t="s">
        <v>43</v>
      </c>
      <c r="N293" s="12" t="s">
        <v>44</v>
      </c>
      <c r="O293" s="12" t="s">
        <v>1503</v>
      </c>
      <c r="P293" s="12" t="s">
        <v>66</v>
      </c>
      <c r="Q293" s="12" t="s">
        <v>233</v>
      </c>
      <c r="R293" s="12" t="s">
        <v>1054</v>
      </c>
      <c r="S293" s="13">
        <v>197643368014</v>
      </c>
      <c r="T293" s="12" t="s">
        <v>235</v>
      </c>
      <c r="U293" s="12" t="s">
        <v>153</v>
      </c>
      <c r="V293" s="12" t="s">
        <v>1055</v>
      </c>
      <c r="W293" s="12" t="s">
        <v>175</v>
      </c>
      <c r="X293" s="13">
        <v>0</v>
      </c>
      <c r="Y293" s="12" t="s">
        <v>91</v>
      </c>
      <c r="Z293" s="12" t="s">
        <v>108</v>
      </c>
      <c r="AA293" s="13">
        <v>0</v>
      </c>
      <c r="AB293" s="13">
        <v>0</v>
      </c>
      <c r="AC293" s="15">
        <v>17.3</v>
      </c>
      <c r="AD293" s="15">
        <f>AC293*AG293</f>
        <v>380.6</v>
      </c>
      <c r="AE293" s="15">
        <v>38</v>
      </c>
      <c r="AF293" s="15">
        <f>AE293*AG293</f>
        <v>836</v>
      </c>
      <c r="AG293" s="16">
        <v>22</v>
      </c>
    </row>
    <row r="294" spans="1:33" ht="15" customHeight="1" x14ac:dyDescent="0.2">
      <c r="A294" s="11" t="str">
        <f t="shared" ref="A294:A556" si="118">HYPERLINK("https://assets.vans.eu/images/VN000NWP1O7-HERO/1","VN000NWP1O71")</f>
        <v>VN000NWP1O71</v>
      </c>
      <c r="B294" s="12" t="s">
        <v>1504</v>
      </c>
      <c r="C294" s="12" t="s">
        <v>1505</v>
      </c>
      <c r="D294" s="12" t="s">
        <v>637</v>
      </c>
      <c r="E294" s="12" t="s">
        <v>1506</v>
      </c>
      <c r="F294" s="12" t="s">
        <v>403</v>
      </c>
      <c r="G294" s="14"/>
      <c r="H294" s="12" t="s">
        <v>61</v>
      </c>
      <c r="I294" s="12" t="s">
        <v>230</v>
      </c>
      <c r="J294" s="12" t="s">
        <v>419</v>
      </c>
      <c r="K294" s="12" t="s">
        <v>199</v>
      </c>
      <c r="L294" s="12" t="s">
        <v>83</v>
      </c>
      <c r="M294" s="12" t="s">
        <v>43</v>
      </c>
      <c r="N294" s="12" t="s">
        <v>84</v>
      </c>
      <c r="O294" s="12" t="s">
        <v>1507</v>
      </c>
      <c r="P294" s="12" t="s">
        <v>66</v>
      </c>
      <c r="Q294" s="12" t="s">
        <v>67</v>
      </c>
      <c r="R294" s="12" t="s">
        <v>623</v>
      </c>
      <c r="S294" s="13">
        <v>197803403678</v>
      </c>
      <c r="T294" s="12" t="s">
        <v>69</v>
      </c>
      <c r="U294" s="12" t="s">
        <v>403</v>
      </c>
      <c r="V294" s="12" t="s">
        <v>70</v>
      </c>
      <c r="W294" s="12" t="s">
        <v>455</v>
      </c>
      <c r="X294" s="13">
        <v>0</v>
      </c>
      <c r="Y294" s="12" t="s">
        <v>53</v>
      </c>
      <c r="Z294" s="12" t="s">
        <v>108</v>
      </c>
      <c r="AA294" s="13">
        <v>0</v>
      </c>
      <c r="AB294" s="12" t="s">
        <v>616</v>
      </c>
      <c r="AC294" s="15">
        <v>54.55</v>
      </c>
      <c r="AD294" s="15">
        <f>AC294*AG294</f>
        <v>1200.0999999999999</v>
      </c>
      <c r="AE294" s="15">
        <v>120</v>
      </c>
      <c r="AF294" s="15">
        <f>AE294*AG294</f>
        <v>2640</v>
      </c>
      <c r="AG294" s="16">
        <v>22</v>
      </c>
    </row>
    <row r="295" spans="1:33" ht="15" customHeight="1" x14ac:dyDescent="0.2">
      <c r="A295" s="11" t="str">
        <f t="shared" ref="A295:A818" si="119">HYPERLINK("https://assets.vans.eu/images/VN000QF32N1-HERO/1","VN000QF32N11")</f>
        <v>VN000QF32N11</v>
      </c>
      <c r="B295" s="12" t="s">
        <v>1508</v>
      </c>
      <c r="C295" s="12" t="s">
        <v>1509</v>
      </c>
      <c r="D295" s="12" t="s">
        <v>1082</v>
      </c>
      <c r="E295" s="12" t="s">
        <v>1510</v>
      </c>
      <c r="F295" s="12" t="s">
        <v>403</v>
      </c>
      <c r="G295" s="14"/>
      <c r="H295" s="12" t="s">
        <v>61</v>
      </c>
      <c r="I295" s="12" t="s">
        <v>289</v>
      </c>
      <c r="J295" s="12" t="s">
        <v>706</v>
      </c>
      <c r="K295" s="12" t="s">
        <v>100</v>
      </c>
      <c r="L295" s="14"/>
      <c r="M295" s="12" t="s">
        <v>43</v>
      </c>
      <c r="N295" s="12" t="s">
        <v>84</v>
      </c>
      <c r="O295" s="12" t="s">
        <v>1511</v>
      </c>
      <c r="P295" s="12" t="s">
        <v>66</v>
      </c>
      <c r="Q295" s="12" t="s">
        <v>67</v>
      </c>
      <c r="R295" s="12" t="s">
        <v>708</v>
      </c>
      <c r="S295" s="13">
        <v>197804369485</v>
      </c>
      <c r="T295" s="12" t="s">
        <v>709</v>
      </c>
      <c r="U295" s="12" t="s">
        <v>403</v>
      </c>
      <c r="V295" s="12" t="s">
        <v>710</v>
      </c>
      <c r="W295" s="12" t="s">
        <v>580</v>
      </c>
      <c r="X295" s="14"/>
      <c r="Y295" s="14"/>
      <c r="Z295" s="14"/>
      <c r="AA295" s="14"/>
      <c r="AB295" s="14"/>
      <c r="AC295" s="15">
        <v>38.65</v>
      </c>
      <c r="AD295" s="15">
        <f>AC295*AG295</f>
        <v>850.3</v>
      </c>
      <c r="AE295" s="15">
        <v>85</v>
      </c>
      <c r="AF295" s="15">
        <f>AE295*AG295</f>
        <v>1870</v>
      </c>
      <c r="AG295" s="16">
        <v>22</v>
      </c>
    </row>
    <row r="296" spans="1:33" ht="15" customHeight="1" x14ac:dyDescent="0.2">
      <c r="A296" s="11" t="str">
        <f>HYPERLINK("https://assets.vans.eu/images/VN0A3WF1H3G-HERO/1","VN0A3WF1H3G1")</f>
        <v>VN0A3WF1H3G1</v>
      </c>
      <c r="B296" s="12" t="s">
        <v>1512</v>
      </c>
      <c r="C296" s="12" t="s">
        <v>1513</v>
      </c>
      <c r="D296" s="12" t="s">
        <v>1514</v>
      </c>
      <c r="E296" s="12" t="s">
        <v>1515</v>
      </c>
      <c r="F296" s="12" t="s">
        <v>153</v>
      </c>
      <c r="G296" s="14"/>
      <c r="H296" s="12" t="s">
        <v>61</v>
      </c>
      <c r="I296" s="12" t="s">
        <v>230</v>
      </c>
      <c r="J296" s="12" t="s">
        <v>762</v>
      </c>
      <c r="K296" s="12" t="s">
        <v>199</v>
      </c>
      <c r="L296" s="14"/>
      <c r="M296" s="12" t="s">
        <v>43</v>
      </c>
      <c r="N296" s="12" t="s">
        <v>274</v>
      </c>
      <c r="O296" s="12" t="s">
        <v>1516</v>
      </c>
      <c r="P296" s="12" t="s">
        <v>66</v>
      </c>
      <c r="Q296" s="12" t="s">
        <v>764</v>
      </c>
      <c r="R296" s="12" t="s">
        <v>765</v>
      </c>
      <c r="S296" s="13">
        <v>193391102481</v>
      </c>
      <c r="T296" s="12" t="s">
        <v>1517</v>
      </c>
      <c r="U296" s="12" t="s">
        <v>153</v>
      </c>
      <c r="V296" s="12" t="s">
        <v>423</v>
      </c>
      <c r="W296" s="12" t="s">
        <v>580</v>
      </c>
      <c r="X296" s="13">
        <v>0</v>
      </c>
      <c r="Y296" s="12" t="s">
        <v>91</v>
      </c>
      <c r="Z296" s="12" t="s">
        <v>108</v>
      </c>
      <c r="AA296" s="13">
        <v>0</v>
      </c>
      <c r="AB296" s="13">
        <v>0</v>
      </c>
      <c r="AC296" s="15">
        <v>36.4</v>
      </c>
      <c r="AD296" s="15">
        <f>AC296*AG296</f>
        <v>800.8</v>
      </c>
      <c r="AE296" s="15">
        <v>80</v>
      </c>
      <c r="AF296" s="15">
        <f>AE296*AG296</f>
        <v>1760</v>
      </c>
      <c r="AG296" s="16">
        <v>22</v>
      </c>
    </row>
    <row r="297" spans="1:33" ht="15" customHeight="1" x14ac:dyDescent="0.2">
      <c r="A297" s="11" t="str">
        <f t="shared" ref="A297:A675" si="120">HYPERLINK("https://assets.vans.eu/images/VN0A7YUTWHT-HERO/1","VN0A7YUTWHT1")</f>
        <v>VN0A7YUTWHT1</v>
      </c>
      <c r="B297" s="12" t="s">
        <v>1518</v>
      </c>
      <c r="C297" s="12" t="s">
        <v>1519</v>
      </c>
      <c r="D297" s="12" t="s">
        <v>168</v>
      </c>
      <c r="E297" s="12" t="s">
        <v>1520</v>
      </c>
      <c r="F297" s="12" t="s">
        <v>179</v>
      </c>
      <c r="G297" s="12" t="s">
        <v>1521</v>
      </c>
      <c r="H297" s="12" t="s">
        <v>61</v>
      </c>
      <c r="I297" s="12" t="s">
        <v>289</v>
      </c>
      <c r="J297" s="12" t="s">
        <v>706</v>
      </c>
      <c r="K297" s="12" t="s">
        <v>100</v>
      </c>
      <c r="L297" s="12" t="s">
        <v>83</v>
      </c>
      <c r="M297" s="12" t="s">
        <v>43</v>
      </c>
      <c r="N297" s="12" t="s">
        <v>84</v>
      </c>
      <c r="O297" s="12" t="s">
        <v>1522</v>
      </c>
      <c r="P297" s="12" t="s">
        <v>66</v>
      </c>
      <c r="Q297" s="12" t="s">
        <v>67</v>
      </c>
      <c r="R297" s="12" t="s">
        <v>1146</v>
      </c>
      <c r="S297" s="13">
        <v>196244355041</v>
      </c>
      <c r="T297" s="12" t="s">
        <v>422</v>
      </c>
      <c r="U297" s="12" t="s">
        <v>179</v>
      </c>
      <c r="V297" s="12" t="s">
        <v>423</v>
      </c>
      <c r="W297" s="12" t="s">
        <v>175</v>
      </c>
      <c r="X297" s="13">
        <v>0</v>
      </c>
      <c r="Y297" s="12" t="s">
        <v>91</v>
      </c>
      <c r="Z297" s="12" t="s">
        <v>108</v>
      </c>
      <c r="AA297" s="13">
        <v>0</v>
      </c>
      <c r="AB297" s="13">
        <v>0</v>
      </c>
      <c r="AC297" s="15">
        <v>15.95</v>
      </c>
      <c r="AD297" s="15">
        <f>AC297*AG297</f>
        <v>350.9</v>
      </c>
      <c r="AE297" s="15">
        <v>35</v>
      </c>
      <c r="AF297" s="15">
        <f>AE297*AG297</f>
        <v>770</v>
      </c>
      <c r="AG297" s="16">
        <v>22</v>
      </c>
    </row>
    <row r="298" spans="1:33" ht="15" customHeight="1" x14ac:dyDescent="0.2">
      <c r="A298" s="11" t="str">
        <f t="shared" si="75"/>
        <v>VN000BCECCZ1</v>
      </c>
      <c r="B298" s="12" t="s">
        <v>1523</v>
      </c>
      <c r="C298" s="12" t="s">
        <v>1103</v>
      </c>
      <c r="D298" s="12" t="s">
        <v>1104</v>
      </c>
      <c r="E298" s="12" t="s">
        <v>1524</v>
      </c>
      <c r="F298" s="13">
        <v>130</v>
      </c>
      <c r="G298" s="14"/>
      <c r="H298" s="12" t="s">
        <v>38</v>
      </c>
      <c r="I298" s="12" t="s">
        <v>159</v>
      </c>
      <c r="J298" s="12" t="s">
        <v>255</v>
      </c>
      <c r="K298" s="12" t="s">
        <v>82</v>
      </c>
      <c r="L298" s="14"/>
      <c r="M298" s="12" t="s">
        <v>43</v>
      </c>
      <c r="N298" s="12" t="s">
        <v>84</v>
      </c>
      <c r="O298" s="12" t="s">
        <v>1525</v>
      </c>
      <c r="P298" s="12" t="s">
        <v>46</v>
      </c>
      <c r="Q298" s="12" t="s">
        <v>47</v>
      </c>
      <c r="R298" s="12" t="s">
        <v>163</v>
      </c>
      <c r="S298" s="13">
        <v>197804620906</v>
      </c>
      <c r="T298" s="12" t="s">
        <v>49</v>
      </c>
      <c r="U298" s="13">
        <v>47</v>
      </c>
      <c r="V298" s="12" t="s">
        <v>50</v>
      </c>
      <c r="W298" s="12" t="s">
        <v>175</v>
      </c>
      <c r="X298" s="14"/>
      <c r="Y298" s="14"/>
      <c r="Z298" s="14"/>
      <c r="AA298" s="14"/>
      <c r="AB298" s="14"/>
      <c r="AC298" s="15">
        <v>59.1</v>
      </c>
      <c r="AD298" s="15">
        <f>AC298*AG298</f>
        <v>1300.2</v>
      </c>
      <c r="AE298" s="15">
        <v>130</v>
      </c>
      <c r="AF298" s="15">
        <f>AE298*AG298</f>
        <v>2860</v>
      </c>
      <c r="AG298" s="16">
        <v>22</v>
      </c>
    </row>
    <row r="299" spans="1:33" ht="15" customHeight="1" x14ac:dyDescent="0.2">
      <c r="A299" s="11" t="str">
        <f t="shared" ref="A299:A462" si="121">HYPERLINK("https://assets.vans.eu/images/VN000E9XIVG-HERO/1","VN000E9XIVG1")</f>
        <v>VN000E9XIVG1</v>
      </c>
      <c r="B299" s="12" t="s">
        <v>1526</v>
      </c>
      <c r="C299" s="12" t="s">
        <v>110</v>
      </c>
      <c r="D299" s="12" t="s">
        <v>111</v>
      </c>
      <c r="E299" s="12" t="s">
        <v>1527</v>
      </c>
      <c r="F299" s="13">
        <v>120</v>
      </c>
      <c r="G299" s="14"/>
      <c r="H299" s="12" t="s">
        <v>38</v>
      </c>
      <c r="I299" s="12" t="s">
        <v>113</v>
      </c>
      <c r="J299" s="12" t="s">
        <v>114</v>
      </c>
      <c r="K299" s="12" t="s">
        <v>82</v>
      </c>
      <c r="L299" s="12" t="s">
        <v>115</v>
      </c>
      <c r="M299" s="12" t="s">
        <v>43</v>
      </c>
      <c r="N299" s="12" t="s">
        <v>44</v>
      </c>
      <c r="O299" s="12" t="s">
        <v>1528</v>
      </c>
      <c r="P299" s="12" t="s">
        <v>46</v>
      </c>
      <c r="Q299" s="12" t="s">
        <v>47</v>
      </c>
      <c r="R299" s="12" t="s">
        <v>117</v>
      </c>
      <c r="S299" s="13">
        <v>197804948796</v>
      </c>
      <c r="T299" s="12" t="s">
        <v>105</v>
      </c>
      <c r="U299" s="13">
        <v>46</v>
      </c>
      <c r="V299" s="12" t="s">
        <v>50</v>
      </c>
      <c r="W299" s="12" t="s">
        <v>118</v>
      </c>
      <c r="X299" s="12" t="s">
        <v>119</v>
      </c>
      <c r="Y299" s="12" t="s">
        <v>53</v>
      </c>
      <c r="Z299" s="12" t="s">
        <v>120</v>
      </c>
      <c r="AA299" s="12" t="s">
        <v>73</v>
      </c>
      <c r="AB299" s="12" t="s">
        <v>94</v>
      </c>
      <c r="AC299" s="15">
        <v>43.2</v>
      </c>
      <c r="AD299" s="15">
        <f>AC299*AG299</f>
        <v>950.40000000000009</v>
      </c>
      <c r="AE299" s="15">
        <v>95</v>
      </c>
      <c r="AF299" s="15">
        <f>AE299*AG299</f>
        <v>2090</v>
      </c>
      <c r="AG299" s="16">
        <v>22</v>
      </c>
    </row>
    <row r="300" spans="1:33" ht="15" customHeight="1" x14ac:dyDescent="0.2">
      <c r="A300" s="11" t="str">
        <f>HYPERLINK("https://assets.vans.eu/images/VN000J5UBLK-HERO/1","VN000J5UBLK1")</f>
        <v>VN000J5UBLK1</v>
      </c>
      <c r="B300" s="12" t="s">
        <v>1529</v>
      </c>
      <c r="C300" s="12" t="s">
        <v>450</v>
      </c>
      <c r="D300" s="12" t="s">
        <v>76</v>
      </c>
      <c r="E300" s="12" t="s">
        <v>1530</v>
      </c>
      <c r="F300" s="12" t="s">
        <v>78</v>
      </c>
      <c r="G300" s="14"/>
      <c r="H300" s="12" t="s">
        <v>79</v>
      </c>
      <c r="I300" s="12" t="s">
        <v>472</v>
      </c>
      <c r="J300" s="12" t="s">
        <v>1531</v>
      </c>
      <c r="K300" s="12" t="s">
        <v>474</v>
      </c>
      <c r="L300" s="14"/>
      <c r="M300" s="12" t="s">
        <v>43</v>
      </c>
      <c r="N300" s="12" t="s">
        <v>84</v>
      </c>
      <c r="O300" s="12" t="s">
        <v>1532</v>
      </c>
      <c r="P300" s="12" t="s">
        <v>86</v>
      </c>
      <c r="Q300" s="12" t="s">
        <v>128</v>
      </c>
      <c r="R300" s="12" t="s">
        <v>129</v>
      </c>
      <c r="S300" s="13">
        <v>197065838218</v>
      </c>
      <c r="T300" s="12" t="s">
        <v>130</v>
      </c>
      <c r="U300" s="12" t="s">
        <v>78</v>
      </c>
      <c r="V300" s="12" t="s">
        <v>391</v>
      </c>
      <c r="W300" s="12" t="s">
        <v>51</v>
      </c>
      <c r="X300" s="13">
        <v>0</v>
      </c>
      <c r="Y300" s="12" t="s">
        <v>91</v>
      </c>
      <c r="Z300" s="12" t="s">
        <v>108</v>
      </c>
      <c r="AA300" s="13">
        <v>0</v>
      </c>
      <c r="AB300" s="13">
        <v>0</v>
      </c>
      <c r="AC300" s="15">
        <v>8.1999999999999993</v>
      </c>
      <c r="AD300" s="15">
        <f>AC300*AG300</f>
        <v>172.2</v>
      </c>
      <c r="AE300" s="15">
        <v>18</v>
      </c>
      <c r="AF300" s="15">
        <f>AE300*AG300</f>
        <v>378</v>
      </c>
      <c r="AG300" s="16">
        <v>21</v>
      </c>
    </row>
    <row r="301" spans="1:33" ht="15" customHeight="1" x14ac:dyDescent="0.2">
      <c r="A301" s="11" t="str">
        <f>HYPERLINK("https://assets.vans.eu/images/VN000Q1FBRD-HERO/1","VN000Q1FBRD1")</f>
        <v>VN000Q1FBRD1</v>
      </c>
      <c r="B301" s="12" t="s">
        <v>1533</v>
      </c>
      <c r="C301" s="12" t="s">
        <v>1534</v>
      </c>
      <c r="D301" s="12" t="s">
        <v>590</v>
      </c>
      <c r="E301" s="12" t="s">
        <v>1535</v>
      </c>
      <c r="F301" s="12" t="s">
        <v>78</v>
      </c>
      <c r="G301" s="14"/>
      <c r="H301" s="12" t="s">
        <v>79</v>
      </c>
      <c r="I301" s="12" t="s">
        <v>125</v>
      </c>
      <c r="J301" s="12" t="s">
        <v>126</v>
      </c>
      <c r="K301" s="12" t="s">
        <v>41</v>
      </c>
      <c r="L301" s="14"/>
      <c r="M301" s="12" t="s">
        <v>43</v>
      </c>
      <c r="N301" s="12" t="s">
        <v>84</v>
      </c>
      <c r="O301" s="12" t="s">
        <v>1536</v>
      </c>
      <c r="P301" s="12" t="s">
        <v>86</v>
      </c>
      <c r="Q301" s="12" t="s">
        <v>128</v>
      </c>
      <c r="R301" s="12" t="s">
        <v>129</v>
      </c>
      <c r="S301" s="13">
        <v>197804373451</v>
      </c>
      <c r="T301" s="12" t="s">
        <v>130</v>
      </c>
      <c r="U301" s="12" t="s">
        <v>78</v>
      </c>
      <c r="V301" s="12" t="s">
        <v>454</v>
      </c>
      <c r="W301" s="12" t="s">
        <v>262</v>
      </c>
      <c r="X301" s="14"/>
      <c r="Y301" s="14"/>
      <c r="Z301" s="14"/>
      <c r="AA301" s="14"/>
      <c r="AB301" s="14"/>
      <c r="AC301" s="15">
        <v>10.95</v>
      </c>
      <c r="AD301" s="15">
        <f>AC301*AG301</f>
        <v>229.95</v>
      </c>
      <c r="AE301" s="15">
        <v>24</v>
      </c>
      <c r="AF301" s="15">
        <f>AE301*AG301</f>
        <v>504</v>
      </c>
      <c r="AG301" s="16">
        <v>21</v>
      </c>
    </row>
    <row r="302" spans="1:33" ht="15" customHeight="1" x14ac:dyDescent="0.2">
      <c r="A302" s="11" t="str">
        <f>HYPERLINK("https://assets.vans.eu/images/VN000Q20ZJY-HERO/1","VN000Q20ZJY1")</f>
        <v>VN000Q20ZJY1</v>
      </c>
      <c r="B302" s="12" t="s">
        <v>1537</v>
      </c>
      <c r="C302" s="12" t="s">
        <v>146</v>
      </c>
      <c r="D302" s="12" t="s">
        <v>1129</v>
      </c>
      <c r="E302" s="12" t="s">
        <v>1538</v>
      </c>
      <c r="F302" s="13">
        <v>122</v>
      </c>
      <c r="G302" s="14"/>
      <c r="H302" s="12" t="s">
        <v>79</v>
      </c>
      <c r="I302" s="12" t="s">
        <v>472</v>
      </c>
      <c r="J302" s="12" t="s">
        <v>473</v>
      </c>
      <c r="K302" s="12" t="s">
        <v>474</v>
      </c>
      <c r="L302" s="14"/>
      <c r="M302" s="12" t="s">
        <v>43</v>
      </c>
      <c r="N302" s="12" t="s">
        <v>84</v>
      </c>
      <c r="O302" s="12" t="s">
        <v>1539</v>
      </c>
      <c r="P302" s="12" t="s">
        <v>86</v>
      </c>
      <c r="Q302" s="12" t="s">
        <v>141</v>
      </c>
      <c r="R302" s="12" t="s">
        <v>142</v>
      </c>
      <c r="S302" s="13">
        <v>197804383658</v>
      </c>
      <c r="T302" s="12" t="s">
        <v>143</v>
      </c>
      <c r="U302" s="12" t="s">
        <v>602</v>
      </c>
      <c r="V302" s="12" t="s">
        <v>1540</v>
      </c>
      <c r="W302" s="12" t="s">
        <v>299</v>
      </c>
      <c r="X302" s="14"/>
      <c r="Y302" s="14"/>
      <c r="Z302" s="14"/>
      <c r="AA302" s="14"/>
      <c r="AB302" s="14"/>
      <c r="AC302" s="15">
        <v>4.55</v>
      </c>
      <c r="AD302" s="15">
        <f>AC302*AG302</f>
        <v>95.55</v>
      </c>
      <c r="AE302" s="15">
        <v>10</v>
      </c>
      <c r="AF302" s="15">
        <f>AE302*AG302</f>
        <v>210</v>
      </c>
      <c r="AG302" s="16">
        <v>21</v>
      </c>
    </row>
    <row r="303" spans="1:33" ht="15" customHeight="1" x14ac:dyDescent="0.2">
      <c r="A303" s="11" t="str">
        <f t="shared" ref="A303:A1589" si="122">HYPERLINK("https://assets.vans.eu/images/VN000QBEF0E-HERO/1","VN000QBEF0E1")</f>
        <v>VN000QBEF0E1</v>
      </c>
      <c r="B303" s="12" t="s">
        <v>1541</v>
      </c>
      <c r="C303" s="12" t="s">
        <v>146</v>
      </c>
      <c r="D303" s="12" t="s">
        <v>1542</v>
      </c>
      <c r="E303" s="12" t="s">
        <v>1543</v>
      </c>
      <c r="F303" s="12" t="s">
        <v>403</v>
      </c>
      <c r="G303" s="14"/>
      <c r="H303" s="12" t="s">
        <v>79</v>
      </c>
      <c r="I303" s="12" t="s">
        <v>80</v>
      </c>
      <c r="J303" s="12" t="s">
        <v>171</v>
      </c>
      <c r="K303" s="12" t="s">
        <v>82</v>
      </c>
      <c r="L303" s="14"/>
      <c r="M303" s="12" t="s">
        <v>43</v>
      </c>
      <c r="N303" s="12" t="s">
        <v>84</v>
      </c>
      <c r="O303" s="12" t="s">
        <v>1544</v>
      </c>
      <c r="P303" s="12" t="s">
        <v>86</v>
      </c>
      <c r="Q303" s="12" t="s">
        <v>141</v>
      </c>
      <c r="R303" s="12" t="s">
        <v>173</v>
      </c>
      <c r="S303" s="13">
        <v>197804395347</v>
      </c>
      <c r="T303" s="12" t="s">
        <v>143</v>
      </c>
      <c r="U303" s="12" t="s">
        <v>403</v>
      </c>
      <c r="V303" s="12" t="s">
        <v>1545</v>
      </c>
      <c r="W303" s="12" t="s">
        <v>51</v>
      </c>
      <c r="X303" s="14"/>
      <c r="Y303" s="14"/>
      <c r="Z303" s="14"/>
      <c r="AA303" s="14"/>
      <c r="AB303" s="14"/>
      <c r="AC303" s="15">
        <v>9.1</v>
      </c>
      <c r="AD303" s="15">
        <f>AC303*AG303</f>
        <v>191.1</v>
      </c>
      <c r="AE303" s="15">
        <v>20</v>
      </c>
      <c r="AF303" s="15">
        <f>AE303*AG303</f>
        <v>420</v>
      </c>
      <c r="AG303" s="16">
        <v>21</v>
      </c>
    </row>
    <row r="304" spans="1:33" ht="15" customHeight="1" x14ac:dyDescent="0.2">
      <c r="A304" s="11" t="str">
        <f t="shared" ref="A304:A390" si="123">HYPERLINK("https://assets.vans.eu/images/VN000QCMBLK-HERO/1","VN000QCMBLK1")</f>
        <v>VN000QCMBLK1</v>
      </c>
      <c r="B304" s="12" t="s">
        <v>1546</v>
      </c>
      <c r="C304" s="12" t="s">
        <v>1547</v>
      </c>
      <c r="D304" s="12" t="s">
        <v>76</v>
      </c>
      <c r="E304" s="12" t="s">
        <v>1548</v>
      </c>
      <c r="F304" s="13">
        <v>34</v>
      </c>
      <c r="G304" s="14"/>
      <c r="H304" s="12" t="s">
        <v>79</v>
      </c>
      <c r="I304" s="12" t="s">
        <v>80</v>
      </c>
      <c r="J304" s="12" t="s">
        <v>99</v>
      </c>
      <c r="K304" s="12" t="s">
        <v>82</v>
      </c>
      <c r="L304" s="14"/>
      <c r="M304" s="12" t="s">
        <v>43</v>
      </c>
      <c r="N304" s="12" t="s">
        <v>84</v>
      </c>
      <c r="O304" s="12" t="s">
        <v>1549</v>
      </c>
      <c r="P304" s="12" t="s">
        <v>86</v>
      </c>
      <c r="Q304" s="12" t="s">
        <v>103</v>
      </c>
      <c r="R304" s="12" t="s">
        <v>104</v>
      </c>
      <c r="S304" s="13">
        <v>197804375585</v>
      </c>
      <c r="T304" s="12" t="s">
        <v>49</v>
      </c>
      <c r="U304" s="13">
        <v>34</v>
      </c>
      <c r="V304" s="12" t="s">
        <v>1550</v>
      </c>
      <c r="W304" s="12" t="s">
        <v>51</v>
      </c>
      <c r="X304" s="14"/>
      <c r="Y304" s="14"/>
      <c r="Z304" s="14"/>
      <c r="AA304" s="14"/>
      <c r="AB304" s="14"/>
      <c r="AC304" s="15">
        <v>22.75</v>
      </c>
      <c r="AD304" s="15">
        <f>AC304*AG304</f>
        <v>477.75</v>
      </c>
      <c r="AE304" s="15">
        <v>50</v>
      </c>
      <c r="AF304" s="15">
        <f>AE304*AG304</f>
        <v>1050</v>
      </c>
      <c r="AG304" s="16">
        <v>21</v>
      </c>
    </row>
    <row r="305" spans="1:33" ht="15" customHeight="1" x14ac:dyDescent="0.2">
      <c r="A305" s="11" t="str">
        <f>HYPERLINK("https://assets.vans.eu/images/VN000QQWFLM-HERO/1","VN000QQWFLM1")</f>
        <v>VN000QQWFLM1</v>
      </c>
      <c r="B305" s="12" t="s">
        <v>1551</v>
      </c>
      <c r="C305" s="12" t="s">
        <v>1552</v>
      </c>
      <c r="D305" s="12" t="s">
        <v>1553</v>
      </c>
      <c r="E305" s="12" t="s">
        <v>1554</v>
      </c>
      <c r="F305" s="12" t="s">
        <v>78</v>
      </c>
      <c r="G305" s="14"/>
      <c r="H305" s="12" t="s">
        <v>79</v>
      </c>
      <c r="I305" s="12" t="s">
        <v>125</v>
      </c>
      <c r="J305" s="12" t="s">
        <v>126</v>
      </c>
      <c r="K305" s="12" t="s">
        <v>41</v>
      </c>
      <c r="L305" s="14"/>
      <c r="M305" s="12" t="s">
        <v>43</v>
      </c>
      <c r="N305" s="12" t="s">
        <v>161</v>
      </c>
      <c r="O305" s="12" t="s">
        <v>1555</v>
      </c>
      <c r="P305" s="12" t="s">
        <v>86</v>
      </c>
      <c r="Q305" s="12" t="s">
        <v>128</v>
      </c>
      <c r="R305" s="12" t="s">
        <v>129</v>
      </c>
      <c r="S305" s="13">
        <v>197065841966</v>
      </c>
      <c r="T305" s="12" t="s">
        <v>130</v>
      </c>
      <c r="U305" s="12" t="s">
        <v>78</v>
      </c>
      <c r="V305" s="12" t="s">
        <v>391</v>
      </c>
      <c r="W305" s="12" t="s">
        <v>262</v>
      </c>
      <c r="X305" s="13">
        <v>0</v>
      </c>
      <c r="Y305" s="12" t="s">
        <v>91</v>
      </c>
      <c r="Z305" s="12" t="s">
        <v>108</v>
      </c>
      <c r="AA305" s="13">
        <v>0</v>
      </c>
      <c r="AB305" s="13">
        <v>0</v>
      </c>
      <c r="AC305" s="15">
        <v>10</v>
      </c>
      <c r="AD305" s="15">
        <f>AC305*AG305</f>
        <v>210</v>
      </c>
      <c r="AE305" s="15">
        <v>22</v>
      </c>
      <c r="AF305" s="15">
        <f>AE305*AG305</f>
        <v>462</v>
      </c>
      <c r="AG305" s="16">
        <v>21</v>
      </c>
    </row>
    <row r="306" spans="1:33" ht="15" customHeight="1" x14ac:dyDescent="0.2">
      <c r="A306" s="11" t="str">
        <f t="shared" si="83"/>
        <v>VN0A7YTTBM51</v>
      </c>
      <c r="B306" s="12" t="s">
        <v>1556</v>
      </c>
      <c r="C306" s="12" t="s">
        <v>1182</v>
      </c>
      <c r="D306" s="12" t="s">
        <v>1183</v>
      </c>
      <c r="E306" s="12" t="s">
        <v>1557</v>
      </c>
      <c r="F306" s="12" t="s">
        <v>1558</v>
      </c>
      <c r="G306" s="14"/>
      <c r="H306" s="12" t="s">
        <v>79</v>
      </c>
      <c r="I306" s="12" t="s">
        <v>80</v>
      </c>
      <c r="J306" s="12" t="s">
        <v>349</v>
      </c>
      <c r="K306" s="12" t="s">
        <v>100</v>
      </c>
      <c r="L306" s="14"/>
      <c r="M306" s="12" t="s">
        <v>43</v>
      </c>
      <c r="N306" s="12" t="s">
        <v>467</v>
      </c>
      <c r="O306" s="12" t="s">
        <v>1559</v>
      </c>
      <c r="P306" s="12" t="s">
        <v>86</v>
      </c>
      <c r="Q306" s="12" t="s">
        <v>128</v>
      </c>
      <c r="R306" s="12" t="s">
        <v>352</v>
      </c>
      <c r="S306" s="13">
        <v>196571454905</v>
      </c>
      <c r="T306" s="12" t="s">
        <v>235</v>
      </c>
      <c r="U306" s="12" t="s">
        <v>1558</v>
      </c>
      <c r="V306" s="12" t="s">
        <v>1186</v>
      </c>
      <c r="W306" s="12" t="s">
        <v>933</v>
      </c>
      <c r="X306" s="13">
        <v>0</v>
      </c>
      <c r="Y306" s="12" t="s">
        <v>91</v>
      </c>
      <c r="Z306" s="12" t="s">
        <v>108</v>
      </c>
      <c r="AA306" s="13">
        <v>0</v>
      </c>
      <c r="AB306" s="13">
        <v>0</v>
      </c>
      <c r="AC306" s="15">
        <v>20.5</v>
      </c>
      <c r="AD306" s="15">
        <f>AC306*AG306</f>
        <v>430.5</v>
      </c>
      <c r="AE306" s="15">
        <v>45</v>
      </c>
      <c r="AF306" s="15">
        <f>AE306*AG306</f>
        <v>945</v>
      </c>
      <c r="AG306" s="16">
        <v>21</v>
      </c>
    </row>
    <row r="307" spans="1:33" ht="15" customHeight="1" x14ac:dyDescent="0.2">
      <c r="A307" s="11" t="str">
        <f t="shared" si="35"/>
        <v>VN0008KUBML1</v>
      </c>
      <c r="B307" s="12" t="s">
        <v>1560</v>
      </c>
      <c r="C307" s="12" t="s">
        <v>554</v>
      </c>
      <c r="D307" s="12" t="s">
        <v>555</v>
      </c>
      <c r="E307" s="12" t="s">
        <v>1561</v>
      </c>
      <c r="F307" s="12" t="s">
        <v>179</v>
      </c>
      <c r="G307" s="14"/>
      <c r="H307" s="12" t="s">
        <v>61</v>
      </c>
      <c r="I307" s="12" t="s">
        <v>230</v>
      </c>
      <c r="J307" s="12" t="s">
        <v>557</v>
      </c>
      <c r="K307" s="12" t="s">
        <v>199</v>
      </c>
      <c r="L307" s="14"/>
      <c r="M307" s="12" t="s">
        <v>43</v>
      </c>
      <c r="N307" s="12" t="s">
        <v>44</v>
      </c>
      <c r="O307" s="12" t="s">
        <v>1562</v>
      </c>
      <c r="P307" s="12" t="s">
        <v>66</v>
      </c>
      <c r="Q307" s="12" t="s">
        <v>559</v>
      </c>
      <c r="R307" s="12" t="s">
        <v>560</v>
      </c>
      <c r="S307" s="13">
        <v>197643553373</v>
      </c>
      <c r="T307" s="12" t="s">
        <v>49</v>
      </c>
      <c r="U307" s="12" t="s">
        <v>179</v>
      </c>
      <c r="V307" s="12" t="s">
        <v>561</v>
      </c>
      <c r="W307" s="12" t="s">
        <v>51</v>
      </c>
      <c r="X307" s="13">
        <v>0</v>
      </c>
      <c r="Y307" s="12" t="s">
        <v>53</v>
      </c>
      <c r="Z307" s="12" t="s">
        <v>108</v>
      </c>
      <c r="AA307" s="13">
        <v>0</v>
      </c>
      <c r="AB307" s="13">
        <v>0</v>
      </c>
      <c r="AC307" s="15">
        <v>25</v>
      </c>
      <c r="AD307" s="15">
        <f>AC307*AG307</f>
        <v>525</v>
      </c>
      <c r="AE307" s="15">
        <v>55</v>
      </c>
      <c r="AF307" s="15">
        <f>AE307*AG307</f>
        <v>1155</v>
      </c>
      <c r="AG307" s="16">
        <v>21</v>
      </c>
    </row>
    <row r="308" spans="1:33" ht="15" customHeight="1" x14ac:dyDescent="0.2">
      <c r="A308" s="11" t="str">
        <f t="shared" si="84"/>
        <v>VN000G75BL21</v>
      </c>
      <c r="B308" s="12" t="s">
        <v>1563</v>
      </c>
      <c r="C308" s="12" t="s">
        <v>1188</v>
      </c>
      <c r="D308" s="12" t="s">
        <v>686</v>
      </c>
      <c r="E308" s="12" t="s">
        <v>1564</v>
      </c>
      <c r="F308" s="12" t="s">
        <v>403</v>
      </c>
      <c r="G308" s="14"/>
      <c r="H308" s="12" t="s">
        <v>61</v>
      </c>
      <c r="I308" s="12" t="s">
        <v>230</v>
      </c>
      <c r="J308" s="12" t="s">
        <v>557</v>
      </c>
      <c r="K308" s="12" t="s">
        <v>199</v>
      </c>
      <c r="L308" s="14"/>
      <c r="M308" s="12" t="s">
        <v>43</v>
      </c>
      <c r="N308" s="12" t="s">
        <v>44</v>
      </c>
      <c r="O308" s="12" t="s">
        <v>1565</v>
      </c>
      <c r="P308" s="12" t="s">
        <v>66</v>
      </c>
      <c r="Q308" s="12" t="s">
        <v>559</v>
      </c>
      <c r="R308" s="12" t="s">
        <v>560</v>
      </c>
      <c r="S308" s="13">
        <v>197643554219</v>
      </c>
      <c r="T308" s="12" t="s">
        <v>49</v>
      </c>
      <c r="U308" s="12" t="s">
        <v>403</v>
      </c>
      <c r="V308" s="12" t="s">
        <v>1191</v>
      </c>
      <c r="W308" s="12" t="s">
        <v>186</v>
      </c>
      <c r="X308" s="12" t="s">
        <v>500</v>
      </c>
      <c r="Y308" s="12" t="s">
        <v>91</v>
      </c>
      <c r="Z308" s="12" t="s">
        <v>108</v>
      </c>
      <c r="AA308" s="13">
        <v>0</v>
      </c>
      <c r="AB308" s="13">
        <v>0</v>
      </c>
      <c r="AC308" s="15">
        <v>25</v>
      </c>
      <c r="AD308" s="15">
        <f>AC308*AG308</f>
        <v>525</v>
      </c>
      <c r="AE308" s="15">
        <v>55</v>
      </c>
      <c r="AF308" s="15">
        <f>AE308*AG308</f>
        <v>1155</v>
      </c>
      <c r="AG308" s="16">
        <v>21</v>
      </c>
    </row>
    <row r="309" spans="1:33" ht="15" customHeight="1" x14ac:dyDescent="0.2">
      <c r="A309" s="11" t="str">
        <f t="shared" ref="A309:A436" si="124">HYPERLINK("https://assets.vans.eu/images/VN000HZCBLK-HERO/1","VN000HZCBLK1")</f>
        <v>VN000HZCBLK1</v>
      </c>
      <c r="B309" s="12" t="s">
        <v>1566</v>
      </c>
      <c r="C309" s="12" t="s">
        <v>1567</v>
      </c>
      <c r="D309" s="12" t="s">
        <v>76</v>
      </c>
      <c r="E309" s="12" t="s">
        <v>1568</v>
      </c>
      <c r="F309" s="13">
        <v>33</v>
      </c>
      <c r="G309" s="14"/>
      <c r="H309" s="12" t="s">
        <v>61</v>
      </c>
      <c r="I309" s="12" t="s">
        <v>230</v>
      </c>
      <c r="J309" s="12" t="s">
        <v>231</v>
      </c>
      <c r="K309" s="12" t="s">
        <v>199</v>
      </c>
      <c r="L309" s="14"/>
      <c r="M309" s="12" t="s">
        <v>43</v>
      </c>
      <c r="N309" s="12" t="s">
        <v>84</v>
      </c>
      <c r="O309" s="12" t="s">
        <v>1569</v>
      </c>
      <c r="P309" s="12" t="s">
        <v>66</v>
      </c>
      <c r="Q309" s="12" t="s">
        <v>233</v>
      </c>
      <c r="R309" s="12" t="s">
        <v>361</v>
      </c>
      <c r="S309" s="13">
        <v>197065840327</v>
      </c>
      <c r="T309" s="12" t="s">
        <v>235</v>
      </c>
      <c r="U309" s="13">
        <v>33</v>
      </c>
      <c r="V309" s="12" t="s">
        <v>1570</v>
      </c>
      <c r="W309" s="12" t="s">
        <v>51</v>
      </c>
      <c r="X309" s="13">
        <v>0</v>
      </c>
      <c r="Y309" s="12" t="s">
        <v>91</v>
      </c>
      <c r="Z309" s="12" t="s">
        <v>108</v>
      </c>
      <c r="AA309" s="13">
        <v>0</v>
      </c>
      <c r="AB309" s="13">
        <v>0</v>
      </c>
      <c r="AC309" s="15">
        <v>34.1</v>
      </c>
      <c r="AD309" s="15">
        <f>AC309*AG309</f>
        <v>716.1</v>
      </c>
      <c r="AE309" s="15">
        <v>75</v>
      </c>
      <c r="AF309" s="15">
        <f>AE309*AG309</f>
        <v>1575</v>
      </c>
      <c r="AG309" s="16">
        <v>21</v>
      </c>
    </row>
    <row r="310" spans="1:33" ht="15" customHeight="1" x14ac:dyDescent="0.2">
      <c r="A310" s="11" t="str">
        <f>HYPERLINK("https://assets.vans.eu/images/VN000KMZNAV-HERO/1","VN000KMZNAV1")</f>
        <v>VN000KMZNAV1</v>
      </c>
      <c r="B310" s="12" t="s">
        <v>1571</v>
      </c>
      <c r="C310" s="12" t="s">
        <v>1572</v>
      </c>
      <c r="D310" s="12" t="s">
        <v>1573</v>
      </c>
      <c r="E310" s="12" t="s">
        <v>1574</v>
      </c>
      <c r="F310" s="12" t="s">
        <v>170</v>
      </c>
      <c r="G310" s="14"/>
      <c r="H310" s="12" t="s">
        <v>61</v>
      </c>
      <c r="I310" s="12" t="s">
        <v>230</v>
      </c>
      <c r="J310" s="12" t="s">
        <v>419</v>
      </c>
      <c r="K310" s="12" t="s">
        <v>199</v>
      </c>
      <c r="L310" s="14"/>
      <c r="M310" s="12" t="s">
        <v>43</v>
      </c>
      <c r="N310" s="12" t="s">
        <v>84</v>
      </c>
      <c r="O310" s="12" t="s">
        <v>1575</v>
      </c>
      <c r="P310" s="12" t="s">
        <v>66</v>
      </c>
      <c r="Q310" s="12" t="s">
        <v>67</v>
      </c>
      <c r="R310" s="12" t="s">
        <v>421</v>
      </c>
      <c r="S310" s="13">
        <v>198266506692</v>
      </c>
      <c r="T310" s="12" t="s">
        <v>1065</v>
      </c>
      <c r="U310" s="12" t="s">
        <v>170</v>
      </c>
      <c r="V310" s="12" t="s">
        <v>70</v>
      </c>
      <c r="W310" s="12" t="s">
        <v>284</v>
      </c>
      <c r="X310" s="14"/>
      <c r="Y310" s="14"/>
      <c r="Z310" s="14"/>
      <c r="AA310" s="14"/>
      <c r="AB310" s="14"/>
      <c r="AC310" s="15">
        <v>12.75</v>
      </c>
      <c r="AD310" s="15">
        <f>AC310*AG310</f>
        <v>267.75</v>
      </c>
      <c r="AE310" s="15">
        <v>28</v>
      </c>
      <c r="AF310" s="15">
        <f>AE310*AG310</f>
        <v>588</v>
      </c>
      <c r="AG310" s="16">
        <v>21</v>
      </c>
    </row>
    <row r="311" spans="1:33" ht="15" customHeight="1" x14ac:dyDescent="0.2">
      <c r="A311" s="11" t="str">
        <f t="shared" ref="A311:A1000" si="125">HYPERLINK("https://assets.vans.eu/images/VN000M27CFL-HERO/1","VN000M27CFL1")</f>
        <v>VN000M27CFL1</v>
      </c>
      <c r="B311" s="12" t="s">
        <v>1576</v>
      </c>
      <c r="C311" s="12" t="s">
        <v>1577</v>
      </c>
      <c r="D311" s="12" t="s">
        <v>1258</v>
      </c>
      <c r="E311" s="12" t="s">
        <v>1578</v>
      </c>
      <c r="F311" s="13">
        <v>32</v>
      </c>
      <c r="G311" s="14"/>
      <c r="H311" s="12" t="s">
        <v>61</v>
      </c>
      <c r="I311" s="12" t="s">
        <v>230</v>
      </c>
      <c r="J311" s="12" t="s">
        <v>231</v>
      </c>
      <c r="K311" s="12" t="s">
        <v>199</v>
      </c>
      <c r="L311" s="14"/>
      <c r="M311" s="12" t="s">
        <v>43</v>
      </c>
      <c r="N311" s="12" t="s">
        <v>44</v>
      </c>
      <c r="O311" s="12" t="s">
        <v>1579</v>
      </c>
      <c r="P311" s="12" t="s">
        <v>66</v>
      </c>
      <c r="Q311" s="12" t="s">
        <v>233</v>
      </c>
      <c r="R311" s="12" t="s">
        <v>361</v>
      </c>
      <c r="S311" s="13">
        <v>197643409380</v>
      </c>
      <c r="T311" s="12" t="s">
        <v>235</v>
      </c>
      <c r="U311" s="13">
        <v>32</v>
      </c>
      <c r="V311" s="12" t="s">
        <v>665</v>
      </c>
      <c r="W311" s="12" t="s">
        <v>284</v>
      </c>
      <c r="X311" s="13">
        <v>0</v>
      </c>
      <c r="Y311" s="12" t="s">
        <v>53</v>
      </c>
      <c r="Z311" s="12" t="s">
        <v>108</v>
      </c>
      <c r="AA311" s="13">
        <v>0</v>
      </c>
      <c r="AB311" s="13">
        <v>0</v>
      </c>
      <c r="AC311" s="15">
        <v>36.4</v>
      </c>
      <c r="AD311" s="15">
        <f>AC311*AG311</f>
        <v>764.4</v>
      </c>
      <c r="AE311" s="15">
        <v>80</v>
      </c>
      <c r="AF311" s="15">
        <f>AE311*AG311</f>
        <v>1680</v>
      </c>
      <c r="AG311" s="16">
        <v>21</v>
      </c>
    </row>
    <row r="312" spans="1:33" ht="15" customHeight="1" x14ac:dyDescent="0.2">
      <c r="A312" s="11" t="str">
        <f t="shared" ref="A312:A1144" si="126">HYPERLINK("https://assets.vans.eu/images/VN000MBEE30-HERO/1","VN000MBEE301")</f>
        <v>VN000MBEE301</v>
      </c>
      <c r="B312" s="12" t="s">
        <v>1580</v>
      </c>
      <c r="C312" s="12" t="s">
        <v>1581</v>
      </c>
      <c r="D312" s="12" t="s">
        <v>619</v>
      </c>
      <c r="E312" s="12" t="s">
        <v>1582</v>
      </c>
      <c r="F312" s="13">
        <v>32</v>
      </c>
      <c r="G312" s="14"/>
      <c r="H312" s="12" t="s">
        <v>61</v>
      </c>
      <c r="I312" s="12" t="s">
        <v>289</v>
      </c>
      <c r="J312" s="12" t="s">
        <v>290</v>
      </c>
      <c r="K312" s="12" t="s">
        <v>100</v>
      </c>
      <c r="L312" s="14"/>
      <c r="M312" s="12" t="s">
        <v>43</v>
      </c>
      <c r="N312" s="12" t="s">
        <v>44</v>
      </c>
      <c r="O312" s="12" t="s">
        <v>1583</v>
      </c>
      <c r="P312" s="12" t="s">
        <v>66</v>
      </c>
      <c r="Q312" s="12" t="s">
        <v>233</v>
      </c>
      <c r="R312" s="12" t="s">
        <v>292</v>
      </c>
      <c r="S312" s="13">
        <v>197643566939</v>
      </c>
      <c r="T312" s="12" t="s">
        <v>235</v>
      </c>
      <c r="U312" s="13">
        <v>32</v>
      </c>
      <c r="V312" s="12" t="s">
        <v>665</v>
      </c>
      <c r="W312" s="12" t="s">
        <v>625</v>
      </c>
      <c r="X312" s="13">
        <v>0</v>
      </c>
      <c r="Y312" s="12" t="s">
        <v>91</v>
      </c>
      <c r="Z312" s="12" t="s">
        <v>108</v>
      </c>
      <c r="AA312" s="13">
        <v>0</v>
      </c>
      <c r="AB312" s="13">
        <v>0</v>
      </c>
      <c r="AC312" s="15">
        <v>27.3</v>
      </c>
      <c r="AD312" s="15">
        <f>AC312*AG312</f>
        <v>573.30000000000007</v>
      </c>
      <c r="AE312" s="15">
        <v>60</v>
      </c>
      <c r="AF312" s="15">
        <f>AE312*AG312</f>
        <v>1260</v>
      </c>
      <c r="AG312" s="16">
        <v>21</v>
      </c>
    </row>
    <row r="313" spans="1:33" ht="15" customHeight="1" x14ac:dyDescent="0.2">
      <c r="A313" s="11" t="str">
        <f t="shared" si="61"/>
        <v>VN000PDREN71</v>
      </c>
      <c r="B313" s="12" t="s">
        <v>1584</v>
      </c>
      <c r="C313" s="12" t="s">
        <v>976</v>
      </c>
      <c r="D313" s="12" t="s">
        <v>295</v>
      </c>
      <c r="E313" s="12" t="s">
        <v>1585</v>
      </c>
      <c r="F313" s="12" t="s">
        <v>179</v>
      </c>
      <c r="G313" s="14"/>
      <c r="H313" s="12" t="s">
        <v>61</v>
      </c>
      <c r="I313" s="12" t="s">
        <v>230</v>
      </c>
      <c r="J313" s="12" t="s">
        <v>419</v>
      </c>
      <c r="K313" s="12" t="s">
        <v>199</v>
      </c>
      <c r="L313" s="14"/>
      <c r="M313" s="12" t="s">
        <v>43</v>
      </c>
      <c r="N313" s="12" t="s">
        <v>84</v>
      </c>
      <c r="O313" s="12" t="s">
        <v>1586</v>
      </c>
      <c r="P313" s="12" t="s">
        <v>66</v>
      </c>
      <c r="Q313" s="12" t="s">
        <v>67</v>
      </c>
      <c r="R313" s="12" t="s">
        <v>421</v>
      </c>
      <c r="S313" s="13">
        <v>197804666829</v>
      </c>
      <c r="T313" s="12" t="s">
        <v>915</v>
      </c>
      <c r="U313" s="12" t="s">
        <v>179</v>
      </c>
      <c r="V313" s="12" t="s">
        <v>979</v>
      </c>
      <c r="W313" s="12" t="s">
        <v>299</v>
      </c>
      <c r="X313" s="14"/>
      <c r="Y313" s="14"/>
      <c r="Z313" s="14"/>
      <c r="AA313" s="14"/>
      <c r="AB313" s="14"/>
      <c r="AC313" s="15">
        <v>18.2</v>
      </c>
      <c r="AD313" s="15">
        <f>AC313*AG313</f>
        <v>382.2</v>
      </c>
      <c r="AE313" s="15">
        <v>40</v>
      </c>
      <c r="AF313" s="15">
        <f>AE313*AG313</f>
        <v>840</v>
      </c>
      <c r="AG313" s="16">
        <v>21</v>
      </c>
    </row>
    <row r="314" spans="1:33" ht="15" customHeight="1" x14ac:dyDescent="0.2">
      <c r="A314" s="11" t="str">
        <f t="shared" ref="A314:A805" si="127">HYPERLINK("https://assets.vans.eu/images/VN000PFBEMU-HERO/1","VN000PFBEMU1")</f>
        <v>VN000PFBEMU1</v>
      </c>
      <c r="B314" s="12" t="s">
        <v>1587</v>
      </c>
      <c r="C314" s="12" t="s">
        <v>1588</v>
      </c>
      <c r="D314" s="12" t="s">
        <v>1319</v>
      </c>
      <c r="E314" s="12" t="s">
        <v>1589</v>
      </c>
      <c r="F314" s="12" t="s">
        <v>170</v>
      </c>
      <c r="G314" s="14"/>
      <c r="H314" s="12" t="s">
        <v>61</v>
      </c>
      <c r="I314" s="12" t="s">
        <v>230</v>
      </c>
      <c r="J314" s="12" t="s">
        <v>419</v>
      </c>
      <c r="K314" s="12" t="s">
        <v>199</v>
      </c>
      <c r="L314" s="14"/>
      <c r="M314" s="12" t="s">
        <v>43</v>
      </c>
      <c r="N314" s="12" t="s">
        <v>84</v>
      </c>
      <c r="O314" s="12" t="s">
        <v>1590</v>
      </c>
      <c r="P314" s="12" t="s">
        <v>66</v>
      </c>
      <c r="Q314" s="12" t="s">
        <v>67</v>
      </c>
      <c r="R314" s="12" t="s">
        <v>421</v>
      </c>
      <c r="S314" s="13">
        <v>197804383733</v>
      </c>
      <c r="T314" s="12" t="s">
        <v>49</v>
      </c>
      <c r="U314" s="12" t="s">
        <v>170</v>
      </c>
      <c r="V314" s="12" t="s">
        <v>665</v>
      </c>
      <c r="W314" s="12" t="s">
        <v>118</v>
      </c>
      <c r="X314" s="14"/>
      <c r="Y314" s="14"/>
      <c r="Z314" s="14"/>
      <c r="AA314" s="14"/>
      <c r="AB314" s="14"/>
      <c r="AC314" s="15">
        <v>20.5</v>
      </c>
      <c r="AD314" s="15">
        <f>AC314*AG314</f>
        <v>430.5</v>
      </c>
      <c r="AE314" s="15">
        <v>45</v>
      </c>
      <c r="AF314" s="15">
        <f>AE314*AG314</f>
        <v>945</v>
      </c>
      <c r="AG314" s="16">
        <v>21</v>
      </c>
    </row>
    <row r="315" spans="1:33" ht="15" customHeight="1" x14ac:dyDescent="0.2">
      <c r="A315" s="11" t="str">
        <f t="shared" ref="A315:A3597" si="128">HYPERLINK("https://assets.vans.eu/images/VN000RG21QI-HERO/1","VN000RG21QI1")</f>
        <v>VN000RG21QI1</v>
      </c>
      <c r="B315" s="12" t="s">
        <v>1591</v>
      </c>
      <c r="C315" s="12" t="s">
        <v>1383</v>
      </c>
      <c r="D315" s="12" t="s">
        <v>1592</v>
      </c>
      <c r="E315" s="12" t="s">
        <v>1593</v>
      </c>
      <c r="F315" s="12" t="s">
        <v>403</v>
      </c>
      <c r="G315" s="14"/>
      <c r="H315" s="12" t="s">
        <v>61</v>
      </c>
      <c r="I315" s="12" t="s">
        <v>230</v>
      </c>
      <c r="J315" s="12" t="s">
        <v>419</v>
      </c>
      <c r="K315" s="12" t="s">
        <v>199</v>
      </c>
      <c r="L315" s="12" t="s">
        <v>83</v>
      </c>
      <c r="M315" s="12" t="s">
        <v>43</v>
      </c>
      <c r="N315" s="12" t="s">
        <v>84</v>
      </c>
      <c r="O315" s="12" t="s">
        <v>1594</v>
      </c>
      <c r="P315" s="12" t="s">
        <v>66</v>
      </c>
      <c r="Q315" s="12" t="s">
        <v>67</v>
      </c>
      <c r="R315" s="12" t="s">
        <v>623</v>
      </c>
      <c r="S315" s="13">
        <v>197804327898</v>
      </c>
      <c r="T315" s="12" t="s">
        <v>69</v>
      </c>
      <c r="U315" s="12" t="s">
        <v>403</v>
      </c>
      <c r="V315" s="12" t="s">
        <v>1386</v>
      </c>
      <c r="W315" s="12" t="s">
        <v>455</v>
      </c>
      <c r="X315" s="14"/>
      <c r="Y315" s="14"/>
      <c r="Z315" s="14"/>
      <c r="AA315" s="14"/>
      <c r="AB315" s="14"/>
      <c r="AC315" s="15">
        <v>45.5</v>
      </c>
      <c r="AD315" s="15">
        <f>AC315*AG315</f>
        <v>955.5</v>
      </c>
      <c r="AE315" s="15">
        <v>100</v>
      </c>
      <c r="AF315" s="15">
        <f>AE315*AG315</f>
        <v>2100</v>
      </c>
      <c r="AG315" s="16">
        <v>21</v>
      </c>
    </row>
    <row r="316" spans="1:33" ht="15" customHeight="1" x14ac:dyDescent="0.2">
      <c r="A316" s="11" t="str">
        <f t="shared" ref="A316:A2373" si="129">HYPERLINK("https://assets.vans.eu/images/VN0010J9BLK-HERO/1","VN0010J9BLK1")</f>
        <v>VN0010J9BLK1</v>
      </c>
      <c r="B316" s="12" t="s">
        <v>1595</v>
      </c>
      <c r="C316" s="12" t="s">
        <v>988</v>
      </c>
      <c r="D316" s="12" t="s">
        <v>76</v>
      </c>
      <c r="E316" s="12" t="s">
        <v>1596</v>
      </c>
      <c r="F316" s="12" t="s">
        <v>179</v>
      </c>
      <c r="G316" s="14"/>
      <c r="H316" s="12" t="s">
        <v>61</v>
      </c>
      <c r="I316" s="12" t="s">
        <v>230</v>
      </c>
      <c r="J316" s="12" t="s">
        <v>419</v>
      </c>
      <c r="K316" s="12" t="s">
        <v>199</v>
      </c>
      <c r="L316" s="12" t="s">
        <v>115</v>
      </c>
      <c r="M316" s="12" t="s">
        <v>43</v>
      </c>
      <c r="N316" s="12" t="s">
        <v>84</v>
      </c>
      <c r="O316" s="12" t="s">
        <v>1597</v>
      </c>
      <c r="P316" s="12" t="s">
        <v>66</v>
      </c>
      <c r="Q316" s="12" t="s">
        <v>67</v>
      </c>
      <c r="R316" s="12" t="s">
        <v>421</v>
      </c>
      <c r="S316" s="13">
        <v>198269183845</v>
      </c>
      <c r="T316" s="12" t="s">
        <v>69</v>
      </c>
      <c r="U316" s="12" t="s">
        <v>179</v>
      </c>
      <c r="V316" s="12" t="s">
        <v>665</v>
      </c>
      <c r="W316" s="12" t="s">
        <v>51</v>
      </c>
      <c r="X316" s="14"/>
      <c r="Y316" s="14"/>
      <c r="Z316" s="14"/>
      <c r="AA316" s="14"/>
      <c r="AB316" s="14"/>
      <c r="AC316" s="15">
        <v>18.2</v>
      </c>
      <c r="AD316" s="15">
        <f>AC316*AG316</f>
        <v>382.2</v>
      </c>
      <c r="AE316" s="15">
        <v>40</v>
      </c>
      <c r="AF316" s="15">
        <f>AE316*AG316</f>
        <v>840</v>
      </c>
      <c r="AG316" s="16">
        <v>21</v>
      </c>
    </row>
    <row r="317" spans="1:33" ht="15" customHeight="1" x14ac:dyDescent="0.2">
      <c r="A317" s="11" t="str">
        <f t="shared" si="109"/>
        <v>VN000CQ0O331</v>
      </c>
      <c r="B317" s="12" t="s">
        <v>1598</v>
      </c>
      <c r="C317" s="12" t="s">
        <v>1422</v>
      </c>
      <c r="D317" s="12" t="s">
        <v>1423</v>
      </c>
      <c r="E317" s="12" t="s">
        <v>1599</v>
      </c>
      <c r="F317" s="13">
        <v>70</v>
      </c>
      <c r="G317" s="12" t="s">
        <v>1425</v>
      </c>
      <c r="H317" s="12" t="s">
        <v>38</v>
      </c>
      <c r="I317" s="12" t="s">
        <v>242</v>
      </c>
      <c r="J317" s="12" t="s">
        <v>243</v>
      </c>
      <c r="K317" s="12" t="s">
        <v>244</v>
      </c>
      <c r="L317" s="14"/>
      <c r="M317" s="12" t="s">
        <v>43</v>
      </c>
      <c r="N317" s="12" t="s">
        <v>84</v>
      </c>
      <c r="O317" s="12" t="s">
        <v>1600</v>
      </c>
      <c r="P317" s="12" t="s">
        <v>46</v>
      </c>
      <c r="Q317" s="12" t="s">
        <v>47</v>
      </c>
      <c r="R317" s="12" t="s">
        <v>313</v>
      </c>
      <c r="S317" s="13">
        <v>197804508426</v>
      </c>
      <c r="T317" s="12" t="s">
        <v>49</v>
      </c>
      <c r="U317" s="13">
        <v>23.5</v>
      </c>
      <c r="V317" s="12" t="s">
        <v>50</v>
      </c>
      <c r="W317" s="12" t="s">
        <v>284</v>
      </c>
      <c r="X317" s="14"/>
      <c r="Y317" s="14"/>
      <c r="Z317" s="14"/>
      <c r="AA317" s="14"/>
      <c r="AB317" s="14"/>
      <c r="AC317" s="15">
        <v>25</v>
      </c>
      <c r="AD317" s="15">
        <f>AC317*AG317</f>
        <v>525</v>
      </c>
      <c r="AE317" s="15">
        <v>55</v>
      </c>
      <c r="AF317" s="15">
        <f>AE317*AG317</f>
        <v>1155</v>
      </c>
      <c r="AG317" s="16">
        <v>21</v>
      </c>
    </row>
    <row r="318" spans="1:33" ht="15" customHeight="1" x14ac:dyDescent="0.2">
      <c r="A318" s="11" t="str">
        <f t="shared" si="109"/>
        <v>VN000CQ0O331</v>
      </c>
      <c r="B318" s="12" t="s">
        <v>1601</v>
      </c>
      <c r="C318" s="12" t="s">
        <v>1422</v>
      </c>
      <c r="D318" s="12" t="s">
        <v>1423</v>
      </c>
      <c r="E318" s="12" t="s">
        <v>1602</v>
      </c>
      <c r="F318" s="13">
        <v>95</v>
      </c>
      <c r="G318" s="12" t="s">
        <v>1425</v>
      </c>
      <c r="H318" s="12" t="s">
        <v>38</v>
      </c>
      <c r="I318" s="12" t="s">
        <v>242</v>
      </c>
      <c r="J318" s="12" t="s">
        <v>243</v>
      </c>
      <c r="K318" s="12" t="s">
        <v>244</v>
      </c>
      <c r="L318" s="14"/>
      <c r="M318" s="12" t="s">
        <v>43</v>
      </c>
      <c r="N318" s="12" t="s">
        <v>84</v>
      </c>
      <c r="O318" s="12" t="s">
        <v>1603</v>
      </c>
      <c r="P318" s="12" t="s">
        <v>46</v>
      </c>
      <c r="Q318" s="12" t="s">
        <v>47</v>
      </c>
      <c r="R318" s="12" t="s">
        <v>313</v>
      </c>
      <c r="S318" s="13">
        <v>197804508990</v>
      </c>
      <c r="T318" s="12" t="s">
        <v>49</v>
      </c>
      <c r="U318" s="13">
        <v>26</v>
      </c>
      <c r="V318" s="12" t="s">
        <v>50</v>
      </c>
      <c r="W318" s="12" t="s">
        <v>284</v>
      </c>
      <c r="X318" s="14"/>
      <c r="Y318" s="14"/>
      <c r="Z318" s="14"/>
      <c r="AA318" s="14"/>
      <c r="AB318" s="14"/>
      <c r="AC318" s="15">
        <v>25</v>
      </c>
      <c r="AD318" s="15">
        <f>AC318*AG318</f>
        <v>525</v>
      </c>
      <c r="AE318" s="15">
        <v>55</v>
      </c>
      <c r="AF318" s="15">
        <f>AE318*AG318</f>
        <v>1155</v>
      </c>
      <c r="AG318" s="16">
        <v>21</v>
      </c>
    </row>
    <row r="319" spans="1:33" ht="15" customHeight="1" x14ac:dyDescent="0.2">
      <c r="A319" s="11" t="str">
        <f t="shared" ref="A319:A385" si="130">HYPERLINK("https://assets.vans.eu/images/VN000CTGYLZ-HERO/1","VN000CTGYLZ1")</f>
        <v>VN000CTGYLZ1</v>
      </c>
      <c r="B319" s="12" t="s">
        <v>1604</v>
      </c>
      <c r="C319" s="12" t="s">
        <v>238</v>
      </c>
      <c r="D319" s="12" t="s">
        <v>458</v>
      </c>
      <c r="E319" s="12" t="s">
        <v>1605</v>
      </c>
      <c r="F319" s="13">
        <v>60</v>
      </c>
      <c r="G319" s="12" t="s">
        <v>775</v>
      </c>
      <c r="H319" s="12" t="s">
        <v>38</v>
      </c>
      <c r="I319" s="12" t="s">
        <v>242</v>
      </c>
      <c r="J319" s="12" t="s">
        <v>243</v>
      </c>
      <c r="K319" s="12" t="s">
        <v>244</v>
      </c>
      <c r="L319" s="14"/>
      <c r="M319" s="12" t="s">
        <v>43</v>
      </c>
      <c r="N319" s="12" t="s">
        <v>84</v>
      </c>
      <c r="O319" s="12" t="s">
        <v>1606</v>
      </c>
      <c r="P319" s="12" t="s">
        <v>46</v>
      </c>
      <c r="Q319" s="12" t="s">
        <v>47</v>
      </c>
      <c r="R319" s="12" t="s">
        <v>48</v>
      </c>
      <c r="S319" s="13">
        <v>197804514052</v>
      </c>
      <c r="T319" s="12" t="s">
        <v>105</v>
      </c>
      <c r="U319" s="13">
        <v>22</v>
      </c>
      <c r="V319" s="12" t="s">
        <v>278</v>
      </c>
      <c r="W319" s="12" t="s">
        <v>299</v>
      </c>
      <c r="X319" s="14"/>
      <c r="Y319" s="14"/>
      <c r="Z319" s="14"/>
      <c r="AA319" s="14"/>
      <c r="AB319" s="14"/>
      <c r="AC319" s="15">
        <v>25</v>
      </c>
      <c r="AD319" s="15">
        <f>AC319*AG319</f>
        <v>525</v>
      </c>
      <c r="AE319" s="15">
        <v>55</v>
      </c>
      <c r="AF319" s="15">
        <f>AE319*AG319</f>
        <v>1155</v>
      </c>
      <c r="AG319" s="16">
        <v>21</v>
      </c>
    </row>
    <row r="320" spans="1:33" ht="15" customHeight="1" x14ac:dyDescent="0.2">
      <c r="A320" s="11" t="str">
        <f t="shared" ref="A320:A4241" si="131">HYPERLINK("https://assets.vans.eu/images/VN000D4M239-HERO/1","VN000D4M2391")</f>
        <v>VN000D4M2391</v>
      </c>
      <c r="B320" s="12" t="s">
        <v>1607</v>
      </c>
      <c r="C320" s="12" t="s">
        <v>1608</v>
      </c>
      <c r="D320" s="12" t="s">
        <v>1609</v>
      </c>
      <c r="E320" s="12" t="s">
        <v>1610</v>
      </c>
      <c r="F320" s="13">
        <v>20</v>
      </c>
      <c r="G320" s="14"/>
      <c r="H320" s="12" t="s">
        <v>38</v>
      </c>
      <c r="I320" s="12" t="s">
        <v>242</v>
      </c>
      <c r="J320" s="12" t="s">
        <v>1611</v>
      </c>
      <c r="K320" s="12" t="s">
        <v>244</v>
      </c>
      <c r="L320" s="12" t="s">
        <v>42</v>
      </c>
      <c r="M320" s="12" t="s">
        <v>43</v>
      </c>
      <c r="N320" s="12" t="s">
        <v>84</v>
      </c>
      <c r="O320" s="12" t="s">
        <v>1612</v>
      </c>
      <c r="P320" s="12" t="s">
        <v>46</v>
      </c>
      <c r="Q320" s="12" t="s">
        <v>47</v>
      </c>
      <c r="R320" s="12" t="s">
        <v>48</v>
      </c>
      <c r="S320" s="13">
        <v>197643356677</v>
      </c>
      <c r="T320" s="12" t="s">
        <v>49</v>
      </c>
      <c r="U320" s="13">
        <v>17</v>
      </c>
      <c r="V320" s="12" t="s">
        <v>1468</v>
      </c>
      <c r="W320" s="12" t="s">
        <v>455</v>
      </c>
      <c r="X320" s="14"/>
      <c r="Y320" s="12" t="s">
        <v>91</v>
      </c>
      <c r="Z320" s="12" t="s">
        <v>165</v>
      </c>
      <c r="AA320" s="14"/>
      <c r="AB320" s="14"/>
      <c r="AC320" s="15">
        <v>25</v>
      </c>
      <c r="AD320" s="15">
        <f>AC320*AG320</f>
        <v>525</v>
      </c>
      <c r="AE320" s="15">
        <v>55</v>
      </c>
      <c r="AF320" s="15">
        <f>AE320*AG320</f>
        <v>1155</v>
      </c>
      <c r="AG320" s="16">
        <v>21</v>
      </c>
    </row>
    <row r="321" spans="1:33" ht="15" customHeight="1" x14ac:dyDescent="0.2">
      <c r="A321" s="11" t="str">
        <f t="shared" ref="A321:A579" si="132">HYPERLINK("https://assets.vans.eu/images/VN000D70CHG-HERO/1","VN000D70CHG1")</f>
        <v>VN000D70CHG1</v>
      </c>
      <c r="B321" s="12" t="s">
        <v>1613</v>
      </c>
      <c r="C321" s="12" t="s">
        <v>1614</v>
      </c>
      <c r="D321" s="12" t="s">
        <v>1615</v>
      </c>
      <c r="E321" s="12" t="s">
        <v>1616</v>
      </c>
      <c r="F321" s="13">
        <v>130</v>
      </c>
      <c r="G321" s="12" t="s">
        <v>1617</v>
      </c>
      <c r="H321" s="12" t="s">
        <v>38</v>
      </c>
      <c r="I321" s="12" t="s">
        <v>113</v>
      </c>
      <c r="J321" s="12" t="s">
        <v>529</v>
      </c>
      <c r="K321" s="12" t="s">
        <v>82</v>
      </c>
      <c r="L321" s="14"/>
      <c r="M321" s="12" t="s">
        <v>43</v>
      </c>
      <c r="N321" s="12" t="s">
        <v>44</v>
      </c>
      <c r="O321" s="12" t="s">
        <v>1618</v>
      </c>
      <c r="P321" s="12" t="s">
        <v>46</v>
      </c>
      <c r="Q321" s="12" t="s">
        <v>47</v>
      </c>
      <c r="R321" s="12" t="s">
        <v>117</v>
      </c>
      <c r="S321" s="13">
        <v>197643314806</v>
      </c>
      <c r="T321" s="12" t="s">
        <v>49</v>
      </c>
      <c r="U321" s="13">
        <v>47</v>
      </c>
      <c r="V321" s="12" t="s">
        <v>50</v>
      </c>
      <c r="W321" s="12" t="s">
        <v>186</v>
      </c>
      <c r="X321" s="14"/>
      <c r="Y321" s="12" t="s">
        <v>53</v>
      </c>
      <c r="Z321" s="12" t="s">
        <v>263</v>
      </c>
      <c r="AA321" s="14"/>
      <c r="AB321" s="14"/>
      <c r="AC321" s="15">
        <v>50</v>
      </c>
      <c r="AD321" s="15">
        <f>AC321*AG321</f>
        <v>1050</v>
      </c>
      <c r="AE321" s="15">
        <v>110</v>
      </c>
      <c r="AF321" s="15">
        <f>AE321*AG321</f>
        <v>2310</v>
      </c>
      <c r="AG321" s="16">
        <v>21</v>
      </c>
    </row>
    <row r="322" spans="1:33" ht="15" customHeight="1" x14ac:dyDescent="0.2">
      <c r="A322" s="11" t="str">
        <f t="shared" si="78"/>
        <v>VN000E9YBGP1</v>
      </c>
      <c r="B322" s="12" t="s">
        <v>1619</v>
      </c>
      <c r="C322" s="12" t="s">
        <v>34</v>
      </c>
      <c r="D322" s="12" t="s">
        <v>1119</v>
      </c>
      <c r="E322" s="12" t="s">
        <v>1620</v>
      </c>
      <c r="F322" s="13">
        <v>45</v>
      </c>
      <c r="G322" s="14"/>
      <c r="H322" s="12" t="s">
        <v>38</v>
      </c>
      <c r="I322" s="12" t="s">
        <v>205</v>
      </c>
      <c r="J322" s="12" t="s">
        <v>206</v>
      </c>
      <c r="K322" s="12" t="s">
        <v>207</v>
      </c>
      <c r="L322" s="12" t="s">
        <v>260</v>
      </c>
      <c r="M322" s="12" t="s">
        <v>43</v>
      </c>
      <c r="N322" s="12" t="s">
        <v>84</v>
      </c>
      <c r="O322" s="12" t="s">
        <v>1621</v>
      </c>
      <c r="P322" s="12" t="s">
        <v>46</v>
      </c>
      <c r="Q322" s="12" t="s">
        <v>47</v>
      </c>
      <c r="R322" s="12" t="s">
        <v>48</v>
      </c>
      <c r="S322" s="13">
        <v>197804872428</v>
      </c>
      <c r="T322" s="12" t="s">
        <v>164</v>
      </c>
      <c r="U322" s="13">
        <v>36</v>
      </c>
      <c r="V322" s="12" t="s">
        <v>50</v>
      </c>
      <c r="W322" s="12" t="s">
        <v>284</v>
      </c>
      <c r="X322" s="14"/>
      <c r="Y322" s="14"/>
      <c r="Z322" s="14"/>
      <c r="AA322" s="14"/>
      <c r="AB322" s="14"/>
      <c r="AC322" s="15">
        <v>29.55</v>
      </c>
      <c r="AD322" s="15">
        <f>AC322*AG322</f>
        <v>620.55000000000007</v>
      </c>
      <c r="AE322" s="15">
        <v>65</v>
      </c>
      <c r="AF322" s="15">
        <f>AE322*AG322</f>
        <v>1365</v>
      </c>
      <c r="AG322" s="16">
        <v>21</v>
      </c>
    </row>
    <row r="323" spans="1:33" ht="15" customHeight="1" x14ac:dyDescent="0.2">
      <c r="A323" s="11" t="str">
        <f>HYPERLINK("https://assets.vans.eu/images/VN000BHXWHT-HERO/1","VN000BHXWHT1")</f>
        <v>VN000BHXWHT1</v>
      </c>
      <c r="B323" s="12" t="s">
        <v>1622</v>
      </c>
      <c r="C323" s="12" t="s">
        <v>481</v>
      </c>
      <c r="D323" s="12" t="s">
        <v>168</v>
      </c>
      <c r="E323" s="12" t="s">
        <v>1623</v>
      </c>
      <c r="F323" s="13">
        <v>951</v>
      </c>
      <c r="G323" s="14"/>
      <c r="H323" s="12" t="s">
        <v>79</v>
      </c>
      <c r="I323" s="12" t="s">
        <v>80</v>
      </c>
      <c r="J323" s="12" t="s">
        <v>171</v>
      </c>
      <c r="K323" s="12" t="s">
        <v>199</v>
      </c>
      <c r="L323" s="14"/>
      <c r="M323" s="12" t="s">
        <v>43</v>
      </c>
      <c r="N323" s="12" t="s">
        <v>44</v>
      </c>
      <c r="O323" s="12" t="s">
        <v>1624</v>
      </c>
      <c r="P323" s="12" t="s">
        <v>86</v>
      </c>
      <c r="Q323" s="12" t="s">
        <v>141</v>
      </c>
      <c r="R323" s="12" t="s">
        <v>173</v>
      </c>
      <c r="S323" s="13">
        <v>196572832603</v>
      </c>
      <c r="T323" s="12" t="s">
        <v>69</v>
      </c>
      <c r="U323" s="12" t="s">
        <v>1402</v>
      </c>
      <c r="V323" s="12" t="s">
        <v>1403</v>
      </c>
      <c r="W323" s="12" t="s">
        <v>175</v>
      </c>
      <c r="X323" s="13">
        <v>0</v>
      </c>
      <c r="Y323" s="12" t="s">
        <v>91</v>
      </c>
      <c r="Z323" s="12" t="s">
        <v>108</v>
      </c>
      <c r="AA323" s="13">
        <v>0</v>
      </c>
      <c r="AB323" s="13">
        <v>0</v>
      </c>
      <c r="AC323" s="15">
        <v>9.1</v>
      </c>
      <c r="AD323" s="15">
        <f>AC323*AG323</f>
        <v>182</v>
      </c>
      <c r="AE323" s="15">
        <v>20</v>
      </c>
      <c r="AF323" s="15">
        <f>AE323*AG323</f>
        <v>400</v>
      </c>
      <c r="AG323" s="16">
        <v>20</v>
      </c>
    </row>
    <row r="324" spans="1:33" ht="15" customHeight="1" x14ac:dyDescent="0.2">
      <c r="A324" s="11" t="str">
        <f t="shared" ref="A324:A703" si="133">HYPERLINK("https://assets.vans.eu/images/VN000QAQEMU-HERO/1","VN000QAQEMU1")</f>
        <v>VN000QAQEMU1</v>
      </c>
      <c r="B324" s="12" t="s">
        <v>1625</v>
      </c>
      <c r="C324" s="12" t="s">
        <v>1626</v>
      </c>
      <c r="D324" s="12" t="s">
        <v>1319</v>
      </c>
      <c r="E324" s="12" t="s">
        <v>1627</v>
      </c>
      <c r="F324" s="12" t="s">
        <v>491</v>
      </c>
      <c r="G324" s="14"/>
      <c r="H324" s="12" t="s">
        <v>79</v>
      </c>
      <c r="I324" s="12" t="s">
        <v>80</v>
      </c>
      <c r="J324" s="12" t="s">
        <v>349</v>
      </c>
      <c r="K324" s="12" t="s">
        <v>82</v>
      </c>
      <c r="L324" s="14"/>
      <c r="M324" s="12" t="s">
        <v>43</v>
      </c>
      <c r="N324" s="12" t="s">
        <v>84</v>
      </c>
      <c r="O324" s="12" t="s">
        <v>1628</v>
      </c>
      <c r="P324" s="12" t="s">
        <v>86</v>
      </c>
      <c r="Q324" s="12" t="s">
        <v>128</v>
      </c>
      <c r="R324" s="12" t="s">
        <v>352</v>
      </c>
      <c r="S324" s="13">
        <v>197804375059</v>
      </c>
      <c r="T324" s="12" t="s">
        <v>164</v>
      </c>
      <c r="U324" s="12" t="s">
        <v>491</v>
      </c>
      <c r="V324" s="12" t="s">
        <v>1629</v>
      </c>
      <c r="W324" s="12" t="s">
        <v>118</v>
      </c>
      <c r="X324" s="14"/>
      <c r="Y324" s="14"/>
      <c r="Z324" s="14"/>
      <c r="AA324" s="14"/>
      <c r="AB324" s="14"/>
      <c r="AC324" s="15">
        <v>20.5</v>
      </c>
      <c r="AD324" s="15">
        <f>AC324*AG324</f>
        <v>410</v>
      </c>
      <c r="AE324" s="15">
        <v>45</v>
      </c>
      <c r="AF324" s="15">
        <f>AE324*AG324</f>
        <v>900</v>
      </c>
      <c r="AG324" s="16">
        <v>20</v>
      </c>
    </row>
    <row r="325" spans="1:33" ht="15" customHeight="1" x14ac:dyDescent="0.2">
      <c r="A325" s="11" t="str">
        <f t="shared" ref="A325:A511" si="134">HYPERLINK("https://assets.vans.eu/images/VN000R51WHT-HERO/1","VN000R51WHT1")</f>
        <v>VN000R51WHT1</v>
      </c>
      <c r="B325" s="12" t="s">
        <v>1630</v>
      </c>
      <c r="C325" s="12" t="s">
        <v>1631</v>
      </c>
      <c r="D325" s="12" t="s">
        <v>168</v>
      </c>
      <c r="E325" s="12" t="s">
        <v>1632</v>
      </c>
      <c r="F325" s="12" t="s">
        <v>403</v>
      </c>
      <c r="G325" s="14"/>
      <c r="H325" s="12" t="s">
        <v>79</v>
      </c>
      <c r="I325" s="12" t="s">
        <v>80</v>
      </c>
      <c r="J325" s="12" t="s">
        <v>171</v>
      </c>
      <c r="K325" s="12" t="s">
        <v>82</v>
      </c>
      <c r="L325" s="14"/>
      <c r="M325" s="12" t="s">
        <v>43</v>
      </c>
      <c r="N325" s="12" t="s">
        <v>84</v>
      </c>
      <c r="O325" s="12" t="s">
        <v>1633</v>
      </c>
      <c r="P325" s="12" t="s">
        <v>86</v>
      </c>
      <c r="Q325" s="12" t="s">
        <v>141</v>
      </c>
      <c r="R325" s="12" t="s">
        <v>173</v>
      </c>
      <c r="S325" s="13">
        <v>197804617708</v>
      </c>
      <c r="T325" s="12" t="s">
        <v>143</v>
      </c>
      <c r="U325" s="12" t="s">
        <v>403</v>
      </c>
      <c r="V325" s="12" t="s">
        <v>1545</v>
      </c>
      <c r="W325" s="12" t="s">
        <v>175</v>
      </c>
      <c r="X325" s="14"/>
      <c r="Y325" s="14"/>
      <c r="Z325" s="14"/>
      <c r="AA325" s="14"/>
      <c r="AB325" s="14"/>
      <c r="AC325" s="15">
        <v>9.1</v>
      </c>
      <c r="AD325" s="15">
        <f>AC325*AG325</f>
        <v>182</v>
      </c>
      <c r="AE325" s="15">
        <v>20</v>
      </c>
      <c r="AF325" s="15">
        <f>AE325*AG325</f>
        <v>400</v>
      </c>
      <c r="AG325" s="16">
        <v>20</v>
      </c>
    </row>
    <row r="326" spans="1:33" ht="15" customHeight="1" x14ac:dyDescent="0.2">
      <c r="A326" s="11" t="str">
        <f>HYPERLINK("https://assets.vans.eu/images/VN000K3MBLK-HERO/1","VN000K3MBLK1")</f>
        <v>VN000K3MBLK1</v>
      </c>
      <c r="B326" s="12" t="s">
        <v>1634</v>
      </c>
      <c r="C326" s="12" t="s">
        <v>1635</v>
      </c>
      <c r="D326" s="12" t="s">
        <v>76</v>
      </c>
      <c r="E326" s="12" t="s">
        <v>1636</v>
      </c>
      <c r="F326" s="12" t="s">
        <v>138</v>
      </c>
      <c r="G326" s="14"/>
      <c r="H326" s="12" t="s">
        <v>61</v>
      </c>
      <c r="I326" s="12" t="s">
        <v>289</v>
      </c>
      <c r="J326" s="12" t="s">
        <v>706</v>
      </c>
      <c r="K326" s="12" t="s">
        <v>100</v>
      </c>
      <c r="L326" s="14"/>
      <c r="M326" s="12" t="s">
        <v>43</v>
      </c>
      <c r="N326" s="12" t="s">
        <v>44</v>
      </c>
      <c r="O326" s="12" t="s">
        <v>1637</v>
      </c>
      <c r="P326" s="12" t="s">
        <v>66</v>
      </c>
      <c r="Q326" s="12" t="s">
        <v>67</v>
      </c>
      <c r="R326" s="12" t="s">
        <v>1638</v>
      </c>
      <c r="S326" s="13">
        <v>197065472566</v>
      </c>
      <c r="T326" s="12" t="s">
        <v>49</v>
      </c>
      <c r="U326" s="12" t="s">
        <v>138</v>
      </c>
      <c r="V326" s="12" t="s">
        <v>1336</v>
      </c>
      <c r="W326" s="12" t="s">
        <v>51</v>
      </c>
      <c r="X326" s="13">
        <v>0</v>
      </c>
      <c r="Y326" s="12" t="s">
        <v>91</v>
      </c>
      <c r="Z326" s="12" t="s">
        <v>108</v>
      </c>
      <c r="AA326" s="13">
        <v>0</v>
      </c>
      <c r="AB326" s="13">
        <v>0</v>
      </c>
      <c r="AC326" s="15">
        <v>18.2</v>
      </c>
      <c r="AD326" s="15">
        <f>AC326*AG326</f>
        <v>364</v>
      </c>
      <c r="AE326" s="15">
        <v>40</v>
      </c>
      <c r="AF326" s="15">
        <f>AE326*AG326</f>
        <v>800</v>
      </c>
      <c r="AG326" s="16">
        <v>20</v>
      </c>
    </row>
    <row r="327" spans="1:33" ht="15" customHeight="1" x14ac:dyDescent="0.2">
      <c r="A327" s="11" t="str">
        <f t="shared" si="50"/>
        <v>VN000M3GJDU1</v>
      </c>
      <c r="B327" s="12" t="s">
        <v>1639</v>
      </c>
      <c r="C327" s="12" t="s">
        <v>813</v>
      </c>
      <c r="D327" s="12" t="s">
        <v>814</v>
      </c>
      <c r="E327" s="12" t="s">
        <v>1640</v>
      </c>
      <c r="F327" s="12" t="s">
        <v>60</v>
      </c>
      <c r="G327" s="14"/>
      <c r="H327" s="12" t="s">
        <v>61</v>
      </c>
      <c r="I327" s="12" t="s">
        <v>230</v>
      </c>
      <c r="J327" s="12" t="s">
        <v>557</v>
      </c>
      <c r="K327" s="12" t="s">
        <v>199</v>
      </c>
      <c r="L327" s="14"/>
      <c r="M327" s="12" t="s">
        <v>43</v>
      </c>
      <c r="N327" s="12" t="s">
        <v>44</v>
      </c>
      <c r="O327" s="12" t="s">
        <v>1641</v>
      </c>
      <c r="P327" s="12" t="s">
        <v>66</v>
      </c>
      <c r="Q327" s="12" t="s">
        <v>559</v>
      </c>
      <c r="R327" s="12" t="s">
        <v>560</v>
      </c>
      <c r="S327" s="13">
        <v>197643538066</v>
      </c>
      <c r="T327" s="12" t="s">
        <v>49</v>
      </c>
      <c r="U327" s="12" t="s">
        <v>60</v>
      </c>
      <c r="V327" s="12" t="s">
        <v>90</v>
      </c>
      <c r="W327" s="12" t="s">
        <v>284</v>
      </c>
      <c r="X327" s="13">
        <v>0</v>
      </c>
      <c r="Y327" s="12" t="s">
        <v>53</v>
      </c>
      <c r="Z327" s="12" t="s">
        <v>108</v>
      </c>
      <c r="AA327" s="13">
        <v>0</v>
      </c>
      <c r="AB327" s="13">
        <v>0</v>
      </c>
      <c r="AC327" s="15">
        <v>27.3</v>
      </c>
      <c r="AD327" s="15">
        <f>AC327*AG327</f>
        <v>546</v>
      </c>
      <c r="AE327" s="15">
        <v>60</v>
      </c>
      <c r="AF327" s="15">
        <f>AE327*AG327</f>
        <v>1200</v>
      </c>
      <c r="AG327" s="16">
        <v>20</v>
      </c>
    </row>
    <row r="328" spans="1:33" ht="15" customHeight="1" x14ac:dyDescent="0.2">
      <c r="A328" s="11" t="str">
        <f t="shared" si="50"/>
        <v>VN000M3GJDU1</v>
      </c>
      <c r="B328" s="12" t="s">
        <v>1642</v>
      </c>
      <c r="C328" s="12" t="s">
        <v>813</v>
      </c>
      <c r="D328" s="12" t="s">
        <v>814</v>
      </c>
      <c r="E328" s="12" t="s">
        <v>1643</v>
      </c>
      <c r="F328" s="12" t="s">
        <v>153</v>
      </c>
      <c r="G328" s="14"/>
      <c r="H328" s="12" t="s">
        <v>61</v>
      </c>
      <c r="I328" s="12" t="s">
        <v>230</v>
      </c>
      <c r="J328" s="12" t="s">
        <v>557</v>
      </c>
      <c r="K328" s="12" t="s">
        <v>199</v>
      </c>
      <c r="L328" s="14"/>
      <c r="M328" s="12" t="s">
        <v>43</v>
      </c>
      <c r="N328" s="12" t="s">
        <v>44</v>
      </c>
      <c r="O328" s="12" t="s">
        <v>1644</v>
      </c>
      <c r="P328" s="12" t="s">
        <v>66</v>
      </c>
      <c r="Q328" s="12" t="s">
        <v>559</v>
      </c>
      <c r="R328" s="12" t="s">
        <v>560</v>
      </c>
      <c r="S328" s="13">
        <v>197643538202</v>
      </c>
      <c r="T328" s="12" t="s">
        <v>49</v>
      </c>
      <c r="U328" s="12" t="s">
        <v>153</v>
      </c>
      <c r="V328" s="12" t="s">
        <v>90</v>
      </c>
      <c r="W328" s="12" t="s">
        <v>284</v>
      </c>
      <c r="X328" s="13">
        <v>0</v>
      </c>
      <c r="Y328" s="12" t="s">
        <v>53</v>
      </c>
      <c r="Z328" s="12" t="s">
        <v>108</v>
      </c>
      <c r="AA328" s="13">
        <v>0</v>
      </c>
      <c r="AB328" s="13">
        <v>0</v>
      </c>
      <c r="AC328" s="15">
        <v>27.3</v>
      </c>
      <c r="AD328" s="15">
        <f>AC328*AG328</f>
        <v>546</v>
      </c>
      <c r="AE328" s="15">
        <v>60</v>
      </c>
      <c r="AF328" s="15">
        <f>AE328*AG328</f>
        <v>1200</v>
      </c>
      <c r="AG328" s="16">
        <v>20</v>
      </c>
    </row>
    <row r="329" spans="1:33" ht="15" customHeight="1" x14ac:dyDescent="0.2">
      <c r="A329" s="11" t="str">
        <f t="shared" si="60"/>
        <v>VN000MJJCDX1</v>
      </c>
      <c r="B329" s="12" t="s">
        <v>1645</v>
      </c>
      <c r="C329" s="12" t="s">
        <v>970</v>
      </c>
      <c r="D329" s="12" t="s">
        <v>760</v>
      </c>
      <c r="E329" s="12" t="s">
        <v>1646</v>
      </c>
      <c r="F329" s="13">
        <v>27</v>
      </c>
      <c r="G329" s="14"/>
      <c r="H329" s="12" t="s">
        <v>61</v>
      </c>
      <c r="I329" s="12" t="s">
        <v>62</v>
      </c>
      <c r="J329" s="12" t="s">
        <v>972</v>
      </c>
      <c r="K329" s="12" t="s">
        <v>64</v>
      </c>
      <c r="L329" s="14"/>
      <c r="M329" s="12" t="s">
        <v>43</v>
      </c>
      <c r="N329" s="12" t="s">
        <v>44</v>
      </c>
      <c r="O329" s="12" t="s">
        <v>1647</v>
      </c>
      <c r="P329" s="12" t="s">
        <v>66</v>
      </c>
      <c r="Q329" s="12" t="s">
        <v>233</v>
      </c>
      <c r="R329" s="12" t="s">
        <v>974</v>
      </c>
      <c r="S329" s="13">
        <v>197643374749</v>
      </c>
      <c r="T329" s="12" t="s">
        <v>235</v>
      </c>
      <c r="U329" s="13">
        <v>27</v>
      </c>
      <c r="V329" s="12" t="s">
        <v>665</v>
      </c>
      <c r="W329" s="12" t="s">
        <v>284</v>
      </c>
      <c r="X329" s="13">
        <v>0</v>
      </c>
      <c r="Y329" s="12" t="s">
        <v>53</v>
      </c>
      <c r="Z329" s="12" t="s">
        <v>108</v>
      </c>
      <c r="AA329" s="13">
        <v>0</v>
      </c>
      <c r="AB329" s="13">
        <v>0</v>
      </c>
      <c r="AC329" s="15">
        <v>31.85</v>
      </c>
      <c r="AD329" s="15">
        <f>AC329*AG329</f>
        <v>637</v>
      </c>
      <c r="AE329" s="15">
        <v>70</v>
      </c>
      <c r="AF329" s="15">
        <f>AE329*AG329</f>
        <v>1400</v>
      </c>
      <c r="AG329" s="16">
        <v>20</v>
      </c>
    </row>
    <row r="330" spans="1:33" ht="15" customHeight="1" x14ac:dyDescent="0.2">
      <c r="A330" s="11" t="str">
        <f t="shared" ref="A330:A725" si="135">HYPERLINK("https://assets.vans.eu/images/VN000PPMBLK-HERO/1","VN000PPMBLK1")</f>
        <v>VN000PPMBLK1</v>
      </c>
      <c r="B330" s="12" t="s">
        <v>1648</v>
      </c>
      <c r="C330" s="12" t="s">
        <v>1649</v>
      </c>
      <c r="D330" s="12" t="s">
        <v>76</v>
      </c>
      <c r="E330" s="12" t="s">
        <v>1650</v>
      </c>
      <c r="F330" s="12" t="s">
        <v>179</v>
      </c>
      <c r="G330" s="14"/>
      <c r="H330" s="12" t="s">
        <v>61</v>
      </c>
      <c r="I330" s="12" t="s">
        <v>62</v>
      </c>
      <c r="J330" s="12" t="s">
        <v>63</v>
      </c>
      <c r="K330" s="12" t="s">
        <v>1022</v>
      </c>
      <c r="L330" s="14"/>
      <c r="M330" s="12" t="s">
        <v>43</v>
      </c>
      <c r="N330" s="12" t="s">
        <v>84</v>
      </c>
      <c r="O330" s="12" t="s">
        <v>1651</v>
      </c>
      <c r="P330" s="12" t="s">
        <v>66</v>
      </c>
      <c r="Q330" s="12" t="s">
        <v>67</v>
      </c>
      <c r="R330" s="12" t="s">
        <v>730</v>
      </c>
      <c r="S330" s="13">
        <v>197804363162</v>
      </c>
      <c r="T330" s="12" t="s">
        <v>709</v>
      </c>
      <c r="U330" s="12" t="s">
        <v>179</v>
      </c>
      <c r="V330" s="12" t="s">
        <v>710</v>
      </c>
      <c r="W330" s="12" t="s">
        <v>51</v>
      </c>
      <c r="X330" s="14"/>
      <c r="Y330" s="14"/>
      <c r="Z330" s="14"/>
      <c r="AA330" s="14"/>
      <c r="AB330" s="14"/>
      <c r="AC330" s="15">
        <v>31.85</v>
      </c>
      <c r="AD330" s="15">
        <f>AC330*AG330</f>
        <v>637</v>
      </c>
      <c r="AE330" s="15">
        <v>70</v>
      </c>
      <c r="AF330" s="15">
        <f>AE330*AG330</f>
        <v>1400</v>
      </c>
      <c r="AG330" s="16">
        <v>20</v>
      </c>
    </row>
    <row r="331" spans="1:33" ht="15" customHeight="1" x14ac:dyDescent="0.2">
      <c r="A331" s="11" t="str">
        <f t="shared" si="96"/>
        <v>VN0007P9CL21</v>
      </c>
      <c r="B331" s="12" t="s">
        <v>1652</v>
      </c>
      <c r="C331" s="12" t="s">
        <v>883</v>
      </c>
      <c r="D331" s="12" t="s">
        <v>1296</v>
      </c>
      <c r="E331" s="12" t="s">
        <v>1653</v>
      </c>
      <c r="F331" s="13">
        <v>85</v>
      </c>
      <c r="G331" s="12" t="s">
        <v>886</v>
      </c>
      <c r="H331" s="12" t="s">
        <v>38</v>
      </c>
      <c r="I331" s="12" t="s">
        <v>113</v>
      </c>
      <c r="J331" s="12" t="s">
        <v>529</v>
      </c>
      <c r="K331" s="12" t="s">
        <v>100</v>
      </c>
      <c r="L331" s="12" t="s">
        <v>350</v>
      </c>
      <c r="M331" s="12" t="s">
        <v>43</v>
      </c>
      <c r="N331" s="12" t="s">
        <v>84</v>
      </c>
      <c r="O331" s="12" t="s">
        <v>1654</v>
      </c>
      <c r="P331" s="12" t="s">
        <v>46</v>
      </c>
      <c r="Q331" s="12" t="s">
        <v>47</v>
      </c>
      <c r="R331" s="12" t="s">
        <v>117</v>
      </c>
      <c r="S331" s="13">
        <v>197063417330</v>
      </c>
      <c r="T331" s="12" t="s">
        <v>49</v>
      </c>
      <c r="U331" s="13">
        <v>39</v>
      </c>
      <c r="V331" s="12" t="s">
        <v>50</v>
      </c>
      <c r="W331" s="12" t="s">
        <v>299</v>
      </c>
      <c r="X331" s="14"/>
      <c r="Y331" s="12" t="s">
        <v>71</v>
      </c>
      <c r="Z331" s="12" t="s">
        <v>376</v>
      </c>
      <c r="AA331" s="14"/>
      <c r="AB331" s="14"/>
      <c r="AC331" s="15">
        <v>40.5</v>
      </c>
      <c r="AD331" s="15">
        <f>AC331*AG331</f>
        <v>810</v>
      </c>
      <c r="AE331" s="15">
        <v>85</v>
      </c>
      <c r="AF331" s="15">
        <f>AE331*AG331</f>
        <v>1700</v>
      </c>
      <c r="AG331" s="16">
        <v>20</v>
      </c>
    </row>
    <row r="332" spans="1:33" ht="15" customHeight="1" x14ac:dyDescent="0.2">
      <c r="A332" s="11" t="str">
        <f t="shared" ref="A332:A932" si="136">HYPERLINK("https://assets.vans.eu/images/VN000CMXN1Z-HERO/1","VN000CMXN1Z1")</f>
        <v>VN000CMXN1Z1</v>
      </c>
      <c r="B332" s="12" t="s">
        <v>1655</v>
      </c>
      <c r="C332" s="12" t="s">
        <v>309</v>
      </c>
      <c r="D332" s="12" t="s">
        <v>1656</v>
      </c>
      <c r="E332" s="12" t="s">
        <v>1657</v>
      </c>
      <c r="F332" s="13">
        <v>130</v>
      </c>
      <c r="G332" s="12" t="s">
        <v>1658</v>
      </c>
      <c r="H332" s="12" t="s">
        <v>38</v>
      </c>
      <c r="I332" s="12" t="s">
        <v>159</v>
      </c>
      <c r="J332" s="12" t="s">
        <v>160</v>
      </c>
      <c r="K332" s="12" t="s">
        <v>82</v>
      </c>
      <c r="L332" s="14"/>
      <c r="M332" s="12" t="s">
        <v>43</v>
      </c>
      <c r="N332" s="12" t="s">
        <v>84</v>
      </c>
      <c r="O332" s="12" t="s">
        <v>1659</v>
      </c>
      <c r="P332" s="12" t="s">
        <v>46</v>
      </c>
      <c r="Q332" s="12" t="s">
        <v>47</v>
      </c>
      <c r="R332" s="12" t="s">
        <v>1660</v>
      </c>
      <c r="S332" s="13">
        <v>197065635848</v>
      </c>
      <c r="T332" s="12" t="s">
        <v>164</v>
      </c>
      <c r="U332" s="13">
        <v>47</v>
      </c>
      <c r="V332" s="12" t="s">
        <v>50</v>
      </c>
      <c r="W332" s="12" t="s">
        <v>186</v>
      </c>
      <c r="X332" s="14"/>
      <c r="Y332" s="12" t="s">
        <v>91</v>
      </c>
      <c r="Z332" s="12" t="s">
        <v>165</v>
      </c>
      <c r="AA332" s="14"/>
      <c r="AB332" s="14"/>
      <c r="AC332" s="15">
        <v>47.75</v>
      </c>
      <c r="AD332" s="15">
        <f>AC332*AG332</f>
        <v>955</v>
      </c>
      <c r="AE332" s="15">
        <v>105</v>
      </c>
      <c r="AF332" s="15">
        <f>AE332*AG332</f>
        <v>2100</v>
      </c>
      <c r="AG332" s="16">
        <v>20</v>
      </c>
    </row>
    <row r="333" spans="1:33" ht="15" customHeight="1" x14ac:dyDescent="0.2">
      <c r="A333" s="11" t="str">
        <f t="shared" si="38"/>
        <v>VN000CTG7VF1</v>
      </c>
      <c r="B333" s="12" t="s">
        <v>1661</v>
      </c>
      <c r="C333" s="12" t="s">
        <v>238</v>
      </c>
      <c r="D333" s="12" t="s">
        <v>641</v>
      </c>
      <c r="E333" s="12" t="s">
        <v>1662</v>
      </c>
      <c r="F333" s="13">
        <v>70</v>
      </c>
      <c r="G333" s="12" t="s">
        <v>643</v>
      </c>
      <c r="H333" s="12" t="s">
        <v>38</v>
      </c>
      <c r="I333" s="12" t="s">
        <v>242</v>
      </c>
      <c r="J333" s="12" t="s">
        <v>243</v>
      </c>
      <c r="K333" s="12" t="s">
        <v>244</v>
      </c>
      <c r="L333" s="14"/>
      <c r="M333" s="12" t="s">
        <v>43</v>
      </c>
      <c r="N333" s="12" t="s">
        <v>84</v>
      </c>
      <c r="O333" s="12" t="s">
        <v>1663</v>
      </c>
      <c r="P333" s="12" t="s">
        <v>46</v>
      </c>
      <c r="Q333" s="12" t="s">
        <v>47</v>
      </c>
      <c r="R333" s="12" t="s">
        <v>48</v>
      </c>
      <c r="S333" s="13">
        <v>197804512232</v>
      </c>
      <c r="T333" s="12" t="s">
        <v>49</v>
      </c>
      <c r="U333" s="13">
        <v>23.5</v>
      </c>
      <c r="V333" s="12" t="s">
        <v>278</v>
      </c>
      <c r="W333" s="12" t="s">
        <v>455</v>
      </c>
      <c r="X333" s="14"/>
      <c r="Y333" s="14"/>
      <c r="Z333" s="14"/>
      <c r="AA333" s="14"/>
      <c r="AB333" s="14"/>
      <c r="AC333" s="15">
        <v>25</v>
      </c>
      <c r="AD333" s="15">
        <f>AC333*AG333</f>
        <v>500</v>
      </c>
      <c r="AE333" s="15">
        <v>55</v>
      </c>
      <c r="AF333" s="15">
        <f>AE333*AG333</f>
        <v>1100</v>
      </c>
      <c r="AG333" s="16">
        <v>20</v>
      </c>
    </row>
    <row r="334" spans="1:33" ht="15" customHeight="1" x14ac:dyDescent="0.2">
      <c r="A334" s="11" t="str">
        <f t="shared" si="76"/>
        <v>VN000D0HKCZ1</v>
      </c>
      <c r="B334" s="12" t="s">
        <v>1664</v>
      </c>
      <c r="C334" s="12" t="s">
        <v>1108</v>
      </c>
      <c r="D334" s="12" t="s">
        <v>1109</v>
      </c>
      <c r="E334" s="12" t="s">
        <v>1665</v>
      </c>
      <c r="F334" s="13">
        <v>25</v>
      </c>
      <c r="G334" s="12" t="s">
        <v>1111</v>
      </c>
      <c r="H334" s="12" t="s">
        <v>38</v>
      </c>
      <c r="I334" s="12" t="s">
        <v>39</v>
      </c>
      <c r="J334" s="12" t="s">
        <v>40</v>
      </c>
      <c r="K334" s="12" t="s">
        <v>41</v>
      </c>
      <c r="L334" s="14"/>
      <c r="M334" s="12" t="s">
        <v>43</v>
      </c>
      <c r="N334" s="12" t="s">
        <v>84</v>
      </c>
      <c r="O334" s="12" t="s">
        <v>1666</v>
      </c>
      <c r="P334" s="12" t="s">
        <v>46</v>
      </c>
      <c r="Q334" s="12" t="s">
        <v>47</v>
      </c>
      <c r="R334" s="12" t="s">
        <v>780</v>
      </c>
      <c r="S334" s="13">
        <v>197804435753</v>
      </c>
      <c r="T334" s="12" t="s">
        <v>105</v>
      </c>
      <c r="U334" s="13">
        <v>33</v>
      </c>
      <c r="V334" s="12" t="s">
        <v>50</v>
      </c>
      <c r="W334" s="12" t="s">
        <v>118</v>
      </c>
      <c r="X334" s="14"/>
      <c r="Y334" s="14"/>
      <c r="Z334" s="14"/>
      <c r="AA334" s="14"/>
      <c r="AB334" s="14"/>
      <c r="AC334" s="15">
        <v>34.1</v>
      </c>
      <c r="AD334" s="15">
        <f>AC334*AG334</f>
        <v>682</v>
      </c>
      <c r="AE334" s="15">
        <v>75</v>
      </c>
      <c r="AF334" s="15">
        <f>AE334*AG334</f>
        <v>1500</v>
      </c>
      <c r="AG334" s="16">
        <v>20</v>
      </c>
    </row>
    <row r="335" spans="1:33" ht="15" customHeight="1" x14ac:dyDescent="0.2">
      <c r="A335" s="11" t="str">
        <f t="shared" si="99"/>
        <v>VN000D1JY231</v>
      </c>
      <c r="B335" s="12" t="s">
        <v>1667</v>
      </c>
      <c r="C335" s="12" t="s">
        <v>251</v>
      </c>
      <c r="D335" s="12" t="s">
        <v>1312</v>
      </c>
      <c r="E335" s="12" t="s">
        <v>1668</v>
      </c>
      <c r="F335" s="13">
        <v>50</v>
      </c>
      <c r="G335" s="14"/>
      <c r="H335" s="12" t="s">
        <v>38</v>
      </c>
      <c r="I335" s="12" t="s">
        <v>159</v>
      </c>
      <c r="J335" s="12" t="s">
        <v>255</v>
      </c>
      <c r="K335" s="12" t="s">
        <v>82</v>
      </c>
      <c r="L335" s="12" t="s">
        <v>260</v>
      </c>
      <c r="M335" s="12" t="s">
        <v>43</v>
      </c>
      <c r="N335" s="12" t="s">
        <v>84</v>
      </c>
      <c r="O335" s="12" t="s">
        <v>1669</v>
      </c>
      <c r="P335" s="12" t="s">
        <v>46</v>
      </c>
      <c r="Q335" s="12" t="s">
        <v>47</v>
      </c>
      <c r="R335" s="12" t="s">
        <v>163</v>
      </c>
      <c r="S335" s="13">
        <v>197804612413</v>
      </c>
      <c r="T335" s="12" t="s">
        <v>49</v>
      </c>
      <c r="U335" s="13">
        <v>36.5</v>
      </c>
      <c r="V335" s="12" t="s">
        <v>50</v>
      </c>
      <c r="W335" s="12" t="s">
        <v>51</v>
      </c>
      <c r="X335" s="14"/>
      <c r="Y335" s="14"/>
      <c r="Z335" s="14"/>
      <c r="AA335" s="14"/>
      <c r="AB335" s="14"/>
      <c r="AC335" s="15">
        <v>47.75</v>
      </c>
      <c r="AD335" s="15">
        <f>AC335*AG335</f>
        <v>955</v>
      </c>
      <c r="AE335" s="15">
        <v>105</v>
      </c>
      <c r="AF335" s="15">
        <f>AE335*AG335</f>
        <v>2100</v>
      </c>
      <c r="AG335" s="16">
        <v>20</v>
      </c>
    </row>
    <row r="336" spans="1:33" ht="15" customHeight="1" x14ac:dyDescent="0.2">
      <c r="A336" s="11" t="str">
        <f>HYPERLINK("https://assets.vans.eu/images/VN0A38JNLLC-HERO/1","VN0A38JNLLC1")</f>
        <v>VN0A38JNLLC1</v>
      </c>
      <c r="B336" s="12" t="s">
        <v>1670</v>
      </c>
      <c r="C336" s="12" t="s">
        <v>238</v>
      </c>
      <c r="D336" s="12" t="s">
        <v>1671</v>
      </c>
      <c r="E336" s="12" t="s">
        <v>1672</v>
      </c>
      <c r="F336" s="13">
        <v>50</v>
      </c>
      <c r="G336" s="12" t="s">
        <v>775</v>
      </c>
      <c r="H336" s="12" t="s">
        <v>38</v>
      </c>
      <c r="I336" s="12" t="s">
        <v>242</v>
      </c>
      <c r="J336" s="12" t="s">
        <v>243</v>
      </c>
      <c r="K336" s="12" t="s">
        <v>244</v>
      </c>
      <c r="L336" s="14"/>
      <c r="M336" s="12" t="s">
        <v>43</v>
      </c>
      <c r="N336" s="12" t="s">
        <v>161</v>
      </c>
      <c r="O336" s="12" t="s">
        <v>1673</v>
      </c>
      <c r="P336" s="12" t="s">
        <v>46</v>
      </c>
      <c r="Q336" s="12" t="s">
        <v>47</v>
      </c>
      <c r="R336" s="12" t="s">
        <v>48</v>
      </c>
      <c r="S336" s="13">
        <v>196573380844</v>
      </c>
      <c r="T336" s="12" t="s">
        <v>164</v>
      </c>
      <c r="U336" s="13">
        <v>21</v>
      </c>
      <c r="V336" s="12" t="s">
        <v>278</v>
      </c>
      <c r="W336" s="12" t="s">
        <v>107</v>
      </c>
      <c r="X336" s="14"/>
      <c r="Y336" s="12" t="s">
        <v>91</v>
      </c>
      <c r="Z336" s="12" t="s">
        <v>165</v>
      </c>
      <c r="AA336" s="14"/>
      <c r="AB336" s="14"/>
      <c r="AC336" s="15">
        <v>25</v>
      </c>
      <c r="AD336" s="15">
        <f>AC336*AG336</f>
        <v>500</v>
      </c>
      <c r="AE336" s="15">
        <v>55</v>
      </c>
      <c r="AF336" s="15">
        <f>AE336*AG336</f>
        <v>1100</v>
      </c>
      <c r="AG336" s="16">
        <v>20</v>
      </c>
    </row>
    <row r="337" spans="1:33" ht="15" customHeight="1" x14ac:dyDescent="0.2">
      <c r="A337" s="11" t="str">
        <f>HYPERLINK("https://assets.vans.eu/images/VN0001TTHU0-HERO/1","VN0001TTHU01")</f>
        <v>VN0001TTHU01</v>
      </c>
      <c r="B337" s="12" t="s">
        <v>1674</v>
      </c>
      <c r="C337" s="12" t="s">
        <v>535</v>
      </c>
      <c r="D337" s="12" t="s">
        <v>539</v>
      </c>
      <c r="E337" s="12" t="s">
        <v>1675</v>
      </c>
      <c r="F337" s="12" t="s">
        <v>78</v>
      </c>
      <c r="G337" s="14"/>
      <c r="H337" s="12" t="s">
        <v>79</v>
      </c>
      <c r="I337" s="12" t="s">
        <v>80</v>
      </c>
      <c r="J337" s="12" t="s">
        <v>81</v>
      </c>
      <c r="K337" s="12" t="s">
        <v>199</v>
      </c>
      <c r="L337" s="14"/>
      <c r="M337" s="12" t="s">
        <v>43</v>
      </c>
      <c r="N337" s="12" t="s">
        <v>84</v>
      </c>
      <c r="O337" s="12" t="s">
        <v>1676</v>
      </c>
      <c r="P337" s="12" t="s">
        <v>86</v>
      </c>
      <c r="Q337" s="12" t="s">
        <v>87</v>
      </c>
      <c r="R337" s="12" t="s">
        <v>88</v>
      </c>
      <c r="S337" s="13">
        <v>193391112909</v>
      </c>
      <c r="T337" s="12" t="s">
        <v>89</v>
      </c>
      <c r="U337" s="12" t="s">
        <v>78</v>
      </c>
      <c r="V337" s="12" t="s">
        <v>201</v>
      </c>
      <c r="W337" s="12" t="s">
        <v>51</v>
      </c>
      <c r="X337" s="13">
        <v>0</v>
      </c>
      <c r="Y337" s="12" t="s">
        <v>71</v>
      </c>
      <c r="Z337" s="12" t="s">
        <v>108</v>
      </c>
      <c r="AA337" s="13">
        <v>0</v>
      </c>
      <c r="AB337" s="13">
        <v>0</v>
      </c>
      <c r="AC337" s="15">
        <v>3.65</v>
      </c>
      <c r="AD337" s="15">
        <f>AC337*AG337</f>
        <v>69.349999999999994</v>
      </c>
      <c r="AE337" s="15">
        <v>8</v>
      </c>
      <c r="AF337" s="15">
        <f>AE337*AG337</f>
        <v>152</v>
      </c>
      <c r="AG337" s="16">
        <v>19</v>
      </c>
    </row>
    <row r="338" spans="1:33" ht="15" customHeight="1" x14ac:dyDescent="0.2">
      <c r="A338" s="11" t="str">
        <f>HYPERLINK("https://assets.vans.eu/images/VN000A92Y28-HERO/1","VN000A92Y281")</f>
        <v>VN000A92Y281</v>
      </c>
      <c r="B338" s="12" t="s">
        <v>1677</v>
      </c>
      <c r="C338" s="12" t="s">
        <v>1678</v>
      </c>
      <c r="D338" s="12" t="s">
        <v>58</v>
      </c>
      <c r="E338" s="12" t="s">
        <v>1679</v>
      </c>
      <c r="F338" s="12" t="s">
        <v>78</v>
      </c>
      <c r="G338" s="14"/>
      <c r="H338" s="12" t="s">
        <v>79</v>
      </c>
      <c r="I338" s="12" t="s">
        <v>80</v>
      </c>
      <c r="J338" s="12" t="s">
        <v>349</v>
      </c>
      <c r="K338" s="12" t="s">
        <v>100</v>
      </c>
      <c r="L338" s="14"/>
      <c r="M338" s="12" t="s">
        <v>43</v>
      </c>
      <c r="N338" s="12" t="s">
        <v>101</v>
      </c>
      <c r="O338" s="12" t="s">
        <v>1680</v>
      </c>
      <c r="P338" s="12" t="s">
        <v>86</v>
      </c>
      <c r="Q338" s="12" t="s">
        <v>128</v>
      </c>
      <c r="R338" s="12" t="s">
        <v>352</v>
      </c>
      <c r="S338" s="13">
        <v>196573520820</v>
      </c>
      <c r="T338" s="12" t="s">
        <v>130</v>
      </c>
      <c r="U338" s="12" t="s">
        <v>78</v>
      </c>
      <c r="V338" s="12" t="s">
        <v>353</v>
      </c>
      <c r="W338" s="12" t="s">
        <v>51</v>
      </c>
      <c r="X338" s="13">
        <v>0</v>
      </c>
      <c r="Y338" s="12" t="s">
        <v>91</v>
      </c>
      <c r="Z338" s="12" t="s">
        <v>108</v>
      </c>
      <c r="AA338" s="13">
        <v>0</v>
      </c>
      <c r="AB338" s="13">
        <v>0</v>
      </c>
      <c r="AC338" s="15">
        <v>14.55</v>
      </c>
      <c r="AD338" s="15">
        <f>AC338*AG338</f>
        <v>276.45</v>
      </c>
      <c r="AE338" s="15">
        <v>32</v>
      </c>
      <c r="AF338" s="15">
        <f>AE338*AG338</f>
        <v>608</v>
      </c>
      <c r="AG338" s="16">
        <v>19</v>
      </c>
    </row>
    <row r="339" spans="1:33" ht="15" customHeight="1" x14ac:dyDescent="0.2">
      <c r="A339" s="11" t="str">
        <f>HYPERLINK("https://assets.vans.eu/images/VN000PKNEN6-HERO/1","VN000PKNEN61")</f>
        <v>VN000PKNEN61</v>
      </c>
      <c r="B339" s="12" t="s">
        <v>1681</v>
      </c>
      <c r="C339" s="12" t="s">
        <v>1682</v>
      </c>
      <c r="D339" s="12" t="s">
        <v>189</v>
      </c>
      <c r="E339" s="12" t="s">
        <v>1683</v>
      </c>
      <c r="F339" s="12" t="s">
        <v>78</v>
      </c>
      <c r="G339" s="14"/>
      <c r="H339" s="12" t="s">
        <v>79</v>
      </c>
      <c r="I339" s="12" t="s">
        <v>80</v>
      </c>
      <c r="J339" s="12" t="s">
        <v>349</v>
      </c>
      <c r="K339" s="12" t="s">
        <v>82</v>
      </c>
      <c r="L339" s="14"/>
      <c r="M339" s="12" t="s">
        <v>43</v>
      </c>
      <c r="N339" s="12" t="s">
        <v>84</v>
      </c>
      <c r="O339" s="12" t="s">
        <v>1684</v>
      </c>
      <c r="P339" s="12" t="s">
        <v>86</v>
      </c>
      <c r="Q339" s="12" t="s">
        <v>128</v>
      </c>
      <c r="R339" s="12" t="s">
        <v>352</v>
      </c>
      <c r="S339" s="13">
        <v>197804371761</v>
      </c>
      <c r="T339" s="12" t="s">
        <v>1065</v>
      </c>
      <c r="U339" s="12" t="s">
        <v>78</v>
      </c>
      <c r="V339" s="12" t="s">
        <v>1685</v>
      </c>
      <c r="W339" s="12" t="s">
        <v>118</v>
      </c>
      <c r="X339" s="14"/>
      <c r="Y339" s="14"/>
      <c r="Z339" s="14"/>
      <c r="AA339" s="14"/>
      <c r="AB339" s="14"/>
      <c r="AC339" s="15">
        <v>20.5</v>
      </c>
      <c r="AD339" s="15">
        <f>AC339*AG339</f>
        <v>389.5</v>
      </c>
      <c r="AE339" s="15">
        <v>45</v>
      </c>
      <c r="AF339" s="15">
        <f>AE339*AG339</f>
        <v>855</v>
      </c>
      <c r="AG339" s="16">
        <v>19</v>
      </c>
    </row>
    <row r="340" spans="1:33" ht="15" customHeight="1" x14ac:dyDescent="0.2">
      <c r="A340" s="11" t="str">
        <f>HYPERLINK("https://assets.vans.eu/images/VN000Q9ZBLK-HERO/1","VN000Q9ZBLK1")</f>
        <v>VN000Q9ZBLK1</v>
      </c>
      <c r="B340" s="12" t="s">
        <v>1686</v>
      </c>
      <c r="C340" s="12" t="s">
        <v>1687</v>
      </c>
      <c r="D340" s="12" t="s">
        <v>76</v>
      </c>
      <c r="E340" s="12" t="s">
        <v>1688</v>
      </c>
      <c r="F340" s="12" t="s">
        <v>78</v>
      </c>
      <c r="G340" s="14"/>
      <c r="H340" s="12" t="s">
        <v>79</v>
      </c>
      <c r="I340" s="12" t="s">
        <v>80</v>
      </c>
      <c r="J340" s="12" t="s">
        <v>349</v>
      </c>
      <c r="K340" s="12" t="s">
        <v>82</v>
      </c>
      <c r="L340" s="14"/>
      <c r="M340" s="12" t="s">
        <v>43</v>
      </c>
      <c r="N340" s="12" t="s">
        <v>84</v>
      </c>
      <c r="O340" s="12" t="s">
        <v>1689</v>
      </c>
      <c r="P340" s="12" t="s">
        <v>86</v>
      </c>
      <c r="Q340" s="12" t="s">
        <v>128</v>
      </c>
      <c r="R340" s="12" t="s">
        <v>352</v>
      </c>
      <c r="S340" s="13">
        <v>197804374380</v>
      </c>
      <c r="T340" s="12" t="s">
        <v>235</v>
      </c>
      <c r="U340" s="12" t="s">
        <v>78</v>
      </c>
      <c r="V340" s="12" t="s">
        <v>1690</v>
      </c>
      <c r="W340" s="12" t="s">
        <v>51</v>
      </c>
      <c r="X340" s="14"/>
      <c r="Y340" s="14"/>
      <c r="Z340" s="14"/>
      <c r="AA340" s="14"/>
      <c r="AB340" s="14"/>
      <c r="AC340" s="15">
        <v>14.55</v>
      </c>
      <c r="AD340" s="15">
        <f>AC340*AG340</f>
        <v>276.45</v>
      </c>
      <c r="AE340" s="15">
        <v>32</v>
      </c>
      <c r="AF340" s="15">
        <f>AE340*AG340</f>
        <v>608</v>
      </c>
      <c r="AG340" s="16">
        <v>19</v>
      </c>
    </row>
    <row r="341" spans="1:33" ht="15" customHeight="1" x14ac:dyDescent="0.2">
      <c r="A341" s="11" t="str">
        <f>HYPERLINK("https://assets.vans.eu/images/VN000QA1EMJ-HERO/1","VN000QA1EMJ1")</f>
        <v>VN000QA1EMJ1</v>
      </c>
      <c r="B341" s="12" t="s">
        <v>1691</v>
      </c>
      <c r="C341" s="12" t="s">
        <v>1077</v>
      </c>
      <c r="D341" s="12" t="s">
        <v>768</v>
      </c>
      <c r="E341" s="12" t="s">
        <v>1692</v>
      </c>
      <c r="F341" s="12" t="s">
        <v>78</v>
      </c>
      <c r="G341" s="14"/>
      <c r="H341" s="12" t="s">
        <v>79</v>
      </c>
      <c r="I341" s="12" t="s">
        <v>80</v>
      </c>
      <c r="J341" s="12" t="s">
        <v>349</v>
      </c>
      <c r="K341" s="12" t="s">
        <v>82</v>
      </c>
      <c r="L341" s="14"/>
      <c r="M341" s="12" t="s">
        <v>43</v>
      </c>
      <c r="N341" s="12" t="s">
        <v>84</v>
      </c>
      <c r="O341" s="12" t="s">
        <v>1693</v>
      </c>
      <c r="P341" s="12" t="s">
        <v>86</v>
      </c>
      <c r="Q341" s="12" t="s">
        <v>128</v>
      </c>
      <c r="R341" s="12" t="s">
        <v>352</v>
      </c>
      <c r="S341" s="13">
        <v>197804374502</v>
      </c>
      <c r="T341" s="12" t="s">
        <v>235</v>
      </c>
      <c r="U341" s="12" t="s">
        <v>78</v>
      </c>
      <c r="V341" s="12" t="s">
        <v>1080</v>
      </c>
      <c r="W341" s="12" t="s">
        <v>625</v>
      </c>
      <c r="X341" s="14"/>
      <c r="Y341" s="14"/>
      <c r="Z341" s="14"/>
      <c r="AA341" s="14"/>
      <c r="AB341" s="14"/>
      <c r="AC341" s="15">
        <v>14.55</v>
      </c>
      <c r="AD341" s="15">
        <f>AC341*AG341</f>
        <v>276.45</v>
      </c>
      <c r="AE341" s="15">
        <v>32</v>
      </c>
      <c r="AF341" s="15">
        <f>AE341*AG341</f>
        <v>608</v>
      </c>
      <c r="AG341" s="16">
        <v>19</v>
      </c>
    </row>
    <row r="342" spans="1:33" ht="15" customHeight="1" x14ac:dyDescent="0.2">
      <c r="A342" s="11" t="str">
        <f>HYPERLINK("https://assets.vans.eu/images/VN000QA55TU-HERO/1","VN000QA55TU1")</f>
        <v>VN000QA55TU1</v>
      </c>
      <c r="B342" s="12" t="s">
        <v>1694</v>
      </c>
      <c r="C342" s="12" t="s">
        <v>961</v>
      </c>
      <c r="D342" s="12" t="s">
        <v>1356</v>
      </c>
      <c r="E342" s="12" t="s">
        <v>1695</v>
      </c>
      <c r="F342" s="12" t="s">
        <v>78</v>
      </c>
      <c r="G342" s="14"/>
      <c r="H342" s="12" t="s">
        <v>79</v>
      </c>
      <c r="I342" s="12" t="s">
        <v>80</v>
      </c>
      <c r="J342" s="12" t="s">
        <v>349</v>
      </c>
      <c r="K342" s="12" t="s">
        <v>82</v>
      </c>
      <c r="L342" s="14"/>
      <c r="M342" s="12" t="s">
        <v>43</v>
      </c>
      <c r="N342" s="12" t="s">
        <v>84</v>
      </c>
      <c r="O342" s="12" t="s">
        <v>1696</v>
      </c>
      <c r="P342" s="12" t="s">
        <v>86</v>
      </c>
      <c r="Q342" s="12" t="s">
        <v>128</v>
      </c>
      <c r="R342" s="12" t="s">
        <v>352</v>
      </c>
      <c r="S342" s="13">
        <v>197804374540</v>
      </c>
      <c r="T342" s="12" t="s">
        <v>143</v>
      </c>
      <c r="U342" s="12" t="s">
        <v>78</v>
      </c>
      <c r="V342" s="12" t="s">
        <v>965</v>
      </c>
      <c r="W342" s="12" t="s">
        <v>284</v>
      </c>
      <c r="X342" s="14"/>
      <c r="Y342" s="14"/>
      <c r="Z342" s="14"/>
      <c r="AA342" s="14"/>
      <c r="AB342" s="14"/>
      <c r="AC342" s="15">
        <v>14.55</v>
      </c>
      <c r="AD342" s="15">
        <f>AC342*AG342</f>
        <v>276.45</v>
      </c>
      <c r="AE342" s="15">
        <v>32</v>
      </c>
      <c r="AF342" s="15">
        <f>AE342*AG342</f>
        <v>608</v>
      </c>
      <c r="AG342" s="16">
        <v>19</v>
      </c>
    </row>
    <row r="343" spans="1:33" ht="15" customHeight="1" x14ac:dyDescent="0.2">
      <c r="A343" s="11" t="str">
        <f>HYPERLINK("https://assets.vans.eu/images/VN000QAV7UG-HERO/1","VN000QAV7UG1")</f>
        <v>VN000QAV7UG1</v>
      </c>
      <c r="B343" s="12" t="s">
        <v>1697</v>
      </c>
      <c r="C343" s="12" t="s">
        <v>1698</v>
      </c>
      <c r="D343" s="12" t="s">
        <v>333</v>
      </c>
      <c r="E343" s="12" t="s">
        <v>1699</v>
      </c>
      <c r="F343" s="12" t="s">
        <v>78</v>
      </c>
      <c r="G343" s="14"/>
      <c r="H343" s="12" t="s">
        <v>79</v>
      </c>
      <c r="I343" s="12" t="s">
        <v>80</v>
      </c>
      <c r="J343" s="12" t="s">
        <v>349</v>
      </c>
      <c r="K343" s="12" t="s">
        <v>82</v>
      </c>
      <c r="L343" s="14"/>
      <c r="M343" s="12" t="s">
        <v>43</v>
      </c>
      <c r="N343" s="12" t="s">
        <v>84</v>
      </c>
      <c r="O343" s="12" t="s">
        <v>1700</v>
      </c>
      <c r="P343" s="12" t="s">
        <v>86</v>
      </c>
      <c r="Q343" s="12" t="s">
        <v>128</v>
      </c>
      <c r="R343" s="12" t="s">
        <v>352</v>
      </c>
      <c r="S343" s="13">
        <v>197804375127</v>
      </c>
      <c r="T343" s="12" t="s">
        <v>164</v>
      </c>
      <c r="U343" s="12" t="s">
        <v>78</v>
      </c>
      <c r="V343" s="12" t="s">
        <v>195</v>
      </c>
      <c r="W343" s="12" t="s">
        <v>186</v>
      </c>
      <c r="X343" s="14"/>
      <c r="Y343" s="14"/>
      <c r="Z343" s="14"/>
      <c r="AA343" s="14"/>
      <c r="AB343" s="14"/>
      <c r="AC343" s="15">
        <v>12.75</v>
      </c>
      <c r="AD343" s="15">
        <f>AC343*AG343</f>
        <v>242.25</v>
      </c>
      <c r="AE343" s="15">
        <v>28</v>
      </c>
      <c r="AF343" s="15">
        <f>AE343*AG343</f>
        <v>532</v>
      </c>
      <c r="AG343" s="16">
        <v>19</v>
      </c>
    </row>
    <row r="344" spans="1:33" ht="15" customHeight="1" x14ac:dyDescent="0.2">
      <c r="A344" s="11" t="str">
        <f>HYPERLINK("https://assets.vans.eu/images/VN000UOUJ5F-HERO/1","VN000UOUJ5F1")</f>
        <v>VN000UOUJ5F1</v>
      </c>
      <c r="B344" s="12" t="s">
        <v>1701</v>
      </c>
      <c r="C344" s="12" t="s">
        <v>1702</v>
      </c>
      <c r="D344" s="12" t="s">
        <v>1703</v>
      </c>
      <c r="E344" s="12" t="s">
        <v>1704</v>
      </c>
      <c r="F344" s="12" t="s">
        <v>78</v>
      </c>
      <c r="G344" s="14"/>
      <c r="H344" s="12" t="s">
        <v>79</v>
      </c>
      <c r="I344" s="12" t="s">
        <v>80</v>
      </c>
      <c r="J344" s="12" t="s">
        <v>349</v>
      </c>
      <c r="K344" s="12" t="s">
        <v>82</v>
      </c>
      <c r="L344" s="14"/>
      <c r="M344" s="12" t="s">
        <v>43</v>
      </c>
      <c r="N344" s="12" t="s">
        <v>161</v>
      </c>
      <c r="O344" s="12" t="s">
        <v>1705</v>
      </c>
      <c r="P344" s="12" t="s">
        <v>86</v>
      </c>
      <c r="Q344" s="12" t="s">
        <v>128</v>
      </c>
      <c r="R344" s="12" t="s">
        <v>352</v>
      </c>
      <c r="S344" s="13">
        <v>197065841997</v>
      </c>
      <c r="T344" s="12" t="s">
        <v>130</v>
      </c>
      <c r="U344" s="12" t="s">
        <v>78</v>
      </c>
      <c r="V344" s="12" t="s">
        <v>391</v>
      </c>
      <c r="W344" s="12" t="s">
        <v>118</v>
      </c>
      <c r="X344" s="13">
        <v>0</v>
      </c>
      <c r="Y344" s="12" t="s">
        <v>91</v>
      </c>
      <c r="Z344" s="12" t="s">
        <v>108</v>
      </c>
      <c r="AA344" s="13">
        <v>0</v>
      </c>
      <c r="AB344" s="13">
        <v>0</v>
      </c>
      <c r="AC344" s="15">
        <v>12.75</v>
      </c>
      <c r="AD344" s="15">
        <f>AC344*AG344</f>
        <v>242.25</v>
      </c>
      <c r="AE344" s="15">
        <v>28</v>
      </c>
      <c r="AF344" s="15">
        <f>AE344*AG344</f>
        <v>532</v>
      </c>
      <c r="AG344" s="16">
        <v>19</v>
      </c>
    </row>
    <row r="345" spans="1:33" ht="15" customHeight="1" x14ac:dyDescent="0.2">
      <c r="A345" s="11" t="str">
        <f>HYPERLINK("https://assets.vans.eu/images/VN000G4MBLK-HERO/1","VN000G4MBLK1")</f>
        <v>VN000G4MBLK1</v>
      </c>
      <c r="B345" s="12" t="s">
        <v>1706</v>
      </c>
      <c r="C345" s="12" t="s">
        <v>1707</v>
      </c>
      <c r="D345" s="12" t="s">
        <v>76</v>
      </c>
      <c r="E345" s="12" t="s">
        <v>1708</v>
      </c>
      <c r="F345" s="12" t="s">
        <v>403</v>
      </c>
      <c r="G345" s="14"/>
      <c r="H345" s="12" t="s">
        <v>61</v>
      </c>
      <c r="I345" s="12" t="s">
        <v>230</v>
      </c>
      <c r="J345" s="12" t="s">
        <v>419</v>
      </c>
      <c r="K345" s="12" t="s">
        <v>199</v>
      </c>
      <c r="L345" s="12" t="s">
        <v>350</v>
      </c>
      <c r="M345" s="12" t="s">
        <v>43</v>
      </c>
      <c r="N345" s="12" t="s">
        <v>44</v>
      </c>
      <c r="O345" s="12" t="s">
        <v>1709</v>
      </c>
      <c r="P345" s="12" t="s">
        <v>66</v>
      </c>
      <c r="Q345" s="12" t="s">
        <v>67</v>
      </c>
      <c r="R345" s="12" t="s">
        <v>421</v>
      </c>
      <c r="S345" s="13">
        <v>197063399780</v>
      </c>
      <c r="T345" s="12" t="s">
        <v>422</v>
      </c>
      <c r="U345" s="12" t="s">
        <v>403</v>
      </c>
      <c r="V345" s="12" t="s">
        <v>423</v>
      </c>
      <c r="W345" s="12" t="s">
        <v>51</v>
      </c>
      <c r="X345" s="13">
        <v>0</v>
      </c>
      <c r="Y345" s="12" t="s">
        <v>91</v>
      </c>
      <c r="Z345" s="12" t="s">
        <v>108</v>
      </c>
      <c r="AA345" s="13">
        <v>0</v>
      </c>
      <c r="AB345" s="13">
        <v>0</v>
      </c>
      <c r="AC345" s="15">
        <v>17.3</v>
      </c>
      <c r="AD345" s="15">
        <f>AC345*AG345</f>
        <v>328.7</v>
      </c>
      <c r="AE345" s="15">
        <v>38</v>
      </c>
      <c r="AF345" s="15">
        <f>AE345*AG345</f>
        <v>722</v>
      </c>
      <c r="AG345" s="16">
        <v>19</v>
      </c>
    </row>
    <row r="346" spans="1:33" ht="15" customHeight="1" x14ac:dyDescent="0.2">
      <c r="A346" s="11" t="str">
        <f t="shared" si="94"/>
        <v>VN000G75D6Z1</v>
      </c>
      <c r="B346" s="12" t="s">
        <v>1710</v>
      </c>
      <c r="C346" s="12" t="s">
        <v>1188</v>
      </c>
      <c r="D346" s="12" t="s">
        <v>1277</v>
      </c>
      <c r="E346" s="12" t="s">
        <v>1711</v>
      </c>
      <c r="F346" s="12" t="s">
        <v>403</v>
      </c>
      <c r="G346" s="14"/>
      <c r="H346" s="12" t="s">
        <v>61</v>
      </c>
      <c r="I346" s="12" t="s">
        <v>230</v>
      </c>
      <c r="J346" s="12" t="s">
        <v>557</v>
      </c>
      <c r="K346" s="12" t="s">
        <v>199</v>
      </c>
      <c r="L346" s="14"/>
      <c r="M346" s="12" t="s">
        <v>43</v>
      </c>
      <c r="N346" s="12" t="s">
        <v>44</v>
      </c>
      <c r="O346" s="12" t="s">
        <v>1712</v>
      </c>
      <c r="P346" s="12" t="s">
        <v>66</v>
      </c>
      <c r="Q346" s="12" t="s">
        <v>559</v>
      </c>
      <c r="R346" s="12" t="s">
        <v>560</v>
      </c>
      <c r="S346" s="13">
        <v>197643554493</v>
      </c>
      <c r="T346" s="12" t="s">
        <v>49</v>
      </c>
      <c r="U346" s="12" t="s">
        <v>403</v>
      </c>
      <c r="V346" s="12" t="s">
        <v>1191</v>
      </c>
      <c r="W346" s="12" t="s">
        <v>299</v>
      </c>
      <c r="X346" s="12" t="s">
        <v>500</v>
      </c>
      <c r="Y346" s="12" t="s">
        <v>91</v>
      </c>
      <c r="Z346" s="12" t="s">
        <v>108</v>
      </c>
      <c r="AA346" s="13">
        <v>0</v>
      </c>
      <c r="AB346" s="13">
        <v>0</v>
      </c>
      <c r="AC346" s="15">
        <v>25</v>
      </c>
      <c r="AD346" s="15">
        <f>AC346*AG346</f>
        <v>475</v>
      </c>
      <c r="AE346" s="15">
        <v>55</v>
      </c>
      <c r="AF346" s="15">
        <f>AE346*AG346</f>
        <v>1045</v>
      </c>
      <c r="AG346" s="16">
        <v>19</v>
      </c>
    </row>
    <row r="347" spans="1:33" ht="15" customHeight="1" x14ac:dyDescent="0.2">
      <c r="A347" s="11" t="str">
        <f t="shared" si="94"/>
        <v>VN000G75D6Z1</v>
      </c>
      <c r="B347" s="12" t="s">
        <v>1713</v>
      </c>
      <c r="C347" s="12" t="s">
        <v>1188</v>
      </c>
      <c r="D347" s="12" t="s">
        <v>1277</v>
      </c>
      <c r="E347" s="12" t="s">
        <v>1714</v>
      </c>
      <c r="F347" s="12" t="s">
        <v>179</v>
      </c>
      <c r="G347" s="14"/>
      <c r="H347" s="12" t="s">
        <v>61</v>
      </c>
      <c r="I347" s="12" t="s">
        <v>230</v>
      </c>
      <c r="J347" s="12" t="s">
        <v>557</v>
      </c>
      <c r="K347" s="12" t="s">
        <v>199</v>
      </c>
      <c r="L347" s="14"/>
      <c r="M347" s="12" t="s">
        <v>43</v>
      </c>
      <c r="N347" s="12" t="s">
        <v>44</v>
      </c>
      <c r="O347" s="12" t="s">
        <v>1715</v>
      </c>
      <c r="P347" s="12" t="s">
        <v>66</v>
      </c>
      <c r="Q347" s="12" t="s">
        <v>559</v>
      </c>
      <c r="R347" s="12" t="s">
        <v>560</v>
      </c>
      <c r="S347" s="13">
        <v>197643554301</v>
      </c>
      <c r="T347" s="12" t="s">
        <v>49</v>
      </c>
      <c r="U347" s="12" t="s">
        <v>179</v>
      </c>
      <c r="V347" s="12" t="s">
        <v>1191</v>
      </c>
      <c r="W347" s="12" t="s">
        <v>299</v>
      </c>
      <c r="X347" s="12" t="s">
        <v>500</v>
      </c>
      <c r="Y347" s="12" t="s">
        <v>91</v>
      </c>
      <c r="Z347" s="12" t="s">
        <v>108</v>
      </c>
      <c r="AA347" s="13">
        <v>0</v>
      </c>
      <c r="AB347" s="13">
        <v>0</v>
      </c>
      <c r="AC347" s="15">
        <v>25</v>
      </c>
      <c r="AD347" s="15">
        <f>AC347*AG347</f>
        <v>475</v>
      </c>
      <c r="AE347" s="15">
        <v>55</v>
      </c>
      <c r="AF347" s="15">
        <f>AE347*AG347</f>
        <v>1045</v>
      </c>
      <c r="AG347" s="16">
        <v>19</v>
      </c>
    </row>
    <row r="348" spans="1:33" ht="15" customHeight="1" x14ac:dyDescent="0.2">
      <c r="A348" s="11" t="str">
        <f t="shared" si="88"/>
        <v>VN000HJV7D61</v>
      </c>
      <c r="B348" s="12" t="s">
        <v>1716</v>
      </c>
      <c r="C348" s="12" t="s">
        <v>1230</v>
      </c>
      <c r="D348" s="12" t="s">
        <v>1231</v>
      </c>
      <c r="E348" s="12" t="s">
        <v>1717</v>
      </c>
      <c r="F348" s="12" t="s">
        <v>170</v>
      </c>
      <c r="G348" s="14"/>
      <c r="H348" s="12" t="s">
        <v>61</v>
      </c>
      <c r="I348" s="12" t="s">
        <v>289</v>
      </c>
      <c r="J348" s="12" t="s">
        <v>984</v>
      </c>
      <c r="K348" s="12" t="s">
        <v>100</v>
      </c>
      <c r="L348" s="14"/>
      <c r="M348" s="12" t="s">
        <v>43</v>
      </c>
      <c r="N348" s="12" t="s">
        <v>84</v>
      </c>
      <c r="O348" s="12" t="s">
        <v>1718</v>
      </c>
      <c r="P348" s="12" t="s">
        <v>66</v>
      </c>
      <c r="Q348" s="12" t="s">
        <v>764</v>
      </c>
      <c r="R348" s="12" t="s">
        <v>986</v>
      </c>
      <c r="S348" s="13">
        <v>197804384914</v>
      </c>
      <c r="T348" s="12" t="s">
        <v>235</v>
      </c>
      <c r="U348" s="12" t="s">
        <v>170</v>
      </c>
      <c r="V348" s="12" t="s">
        <v>90</v>
      </c>
      <c r="W348" s="12" t="s">
        <v>186</v>
      </c>
      <c r="X348" s="14"/>
      <c r="Y348" s="14"/>
      <c r="Z348" s="14"/>
      <c r="AA348" s="14"/>
      <c r="AB348" s="14"/>
      <c r="AC348" s="15">
        <v>61.4</v>
      </c>
      <c r="AD348" s="15">
        <f>AC348*AG348</f>
        <v>1166.5999999999999</v>
      </c>
      <c r="AE348" s="15">
        <v>135</v>
      </c>
      <c r="AF348" s="15">
        <f>AE348*AG348</f>
        <v>2565</v>
      </c>
      <c r="AG348" s="16">
        <v>19</v>
      </c>
    </row>
    <row r="349" spans="1:33" ht="15" customHeight="1" x14ac:dyDescent="0.2">
      <c r="A349" s="11" t="str">
        <f t="shared" si="43"/>
        <v>VN000HZBBLK1</v>
      </c>
      <c r="B349" s="12" t="s">
        <v>1719</v>
      </c>
      <c r="C349" s="12" t="s">
        <v>357</v>
      </c>
      <c r="D349" s="12" t="s">
        <v>76</v>
      </c>
      <c r="E349" s="12" t="s">
        <v>1720</v>
      </c>
      <c r="F349" s="13">
        <v>31</v>
      </c>
      <c r="G349" s="14"/>
      <c r="H349" s="12" t="s">
        <v>61</v>
      </c>
      <c r="I349" s="12" t="s">
        <v>230</v>
      </c>
      <c r="J349" s="12" t="s">
        <v>231</v>
      </c>
      <c r="K349" s="12" t="s">
        <v>199</v>
      </c>
      <c r="L349" s="14"/>
      <c r="M349" s="12" t="s">
        <v>43</v>
      </c>
      <c r="N349" s="12" t="s">
        <v>84</v>
      </c>
      <c r="O349" s="12" t="s">
        <v>1721</v>
      </c>
      <c r="P349" s="12" t="s">
        <v>66</v>
      </c>
      <c r="Q349" s="12" t="s">
        <v>233</v>
      </c>
      <c r="R349" s="12" t="s">
        <v>361</v>
      </c>
      <c r="S349" s="13">
        <v>197065839505</v>
      </c>
      <c r="T349" s="12" t="s">
        <v>235</v>
      </c>
      <c r="U349" s="13">
        <v>31</v>
      </c>
      <c r="V349" s="12" t="s">
        <v>362</v>
      </c>
      <c r="W349" s="12" t="s">
        <v>51</v>
      </c>
      <c r="X349" s="13">
        <v>0</v>
      </c>
      <c r="Y349" s="12" t="s">
        <v>91</v>
      </c>
      <c r="Z349" s="12" t="s">
        <v>108</v>
      </c>
      <c r="AA349" s="13">
        <v>0</v>
      </c>
      <c r="AB349" s="13">
        <v>0</v>
      </c>
      <c r="AC349" s="15">
        <v>34.1</v>
      </c>
      <c r="AD349" s="15">
        <f>AC349*AG349</f>
        <v>647.9</v>
      </c>
      <c r="AE349" s="15">
        <v>75</v>
      </c>
      <c r="AF349" s="15">
        <f>AE349*AG349</f>
        <v>1425</v>
      </c>
      <c r="AG349" s="16">
        <v>19</v>
      </c>
    </row>
    <row r="350" spans="1:33" ht="15" customHeight="1" x14ac:dyDescent="0.2">
      <c r="A350" s="11" t="str">
        <f t="shared" ref="A350:A517" si="137">HYPERLINK("https://assets.vans.eu/images/VN000JBRZBF-HERO/1","VN000JBRZBF1")</f>
        <v>VN000JBRZBF1</v>
      </c>
      <c r="B350" s="12" t="s">
        <v>1722</v>
      </c>
      <c r="C350" s="12" t="s">
        <v>1723</v>
      </c>
      <c r="D350" s="12" t="s">
        <v>680</v>
      </c>
      <c r="E350" s="12" t="s">
        <v>1724</v>
      </c>
      <c r="F350" s="12" t="s">
        <v>60</v>
      </c>
      <c r="G350" s="14"/>
      <c r="H350" s="12" t="s">
        <v>61</v>
      </c>
      <c r="I350" s="12" t="s">
        <v>62</v>
      </c>
      <c r="J350" s="12" t="s">
        <v>63</v>
      </c>
      <c r="K350" s="12" t="s">
        <v>64</v>
      </c>
      <c r="L350" s="14"/>
      <c r="M350" s="12" t="s">
        <v>43</v>
      </c>
      <c r="N350" s="12" t="s">
        <v>84</v>
      </c>
      <c r="O350" s="12" t="s">
        <v>1725</v>
      </c>
      <c r="P350" s="12" t="s">
        <v>66</v>
      </c>
      <c r="Q350" s="12" t="s">
        <v>67</v>
      </c>
      <c r="R350" s="12" t="s">
        <v>730</v>
      </c>
      <c r="S350" s="13">
        <v>197065464912</v>
      </c>
      <c r="T350" s="12" t="s">
        <v>105</v>
      </c>
      <c r="U350" s="12" t="s">
        <v>60</v>
      </c>
      <c r="V350" s="12" t="s">
        <v>1726</v>
      </c>
      <c r="W350" s="12" t="s">
        <v>118</v>
      </c>
      <c r="X350" s="13">
        <v>0</v>
      </c>
      <c r="Y350" s="12" t="s">
        <v>91</v>
      </c>
      <c r="Z350" s="12" t="s">
        <v>108</v>
      </c>
      <c r="AA350" s="13">
        <v>0</v>
      </c>
      <c r="AB350" s="13">
        <v>0</v>
      </c>
      <c r="AC350" s="15">
        <v>29.55</v>
      </c>
      <c r="AD350" s="15">
        <f>AC350*AG350</f>
        <v>561.45000000000005</v>
      </c>
      <c r="AE350" s="15">
        <v>65</v>
      </c>
      <c r="AF350" s="15">
        <f>AE350*AG350</f>
        <v>1235</v>
      </c>
      <c r="AG350" s="16">
        <v>19</v>
      </c>
    </row>
    <row r="351" spans="1:33" ht="15" customHeight="1" x14ac:dyDescent="0.2">
      <c r="A351" s="11" t="str">
        <f t="shared" ref="A351:A602" si="138">HYPERLINK("https://assets.vans.eu/images/VN000KYXBLK-HERO/1","VN000KYXBLK1")</f>
        <v>VN000KYXBLK1</v>
      </c>
      <c r="B351" s="12" t="s">
        <v>1727</v>
      </c>
      <c r="C351" s="12" t="s">
        <v>1728</v>
      </c>
      <c r="D351" s="12" t="s">
        <v>76</v>
      </c>
      <c r="E351" s="12" t="s">
        <v>1729</v>
      </c>
      <c r="F351" s="12" t="s">
        <v>170</v>
      </c>
      <c r="G351" s="14"/>
      <c r="H351" s="12" t="s">
        <v>61</v>
      </c>
      <c r="I351" s="12" t="s">
        <v>230</v>
      </c>
      <c r="J351" s="12" t="s">
        <v>762</v>
      </c>
      <c r="K351" s="12" t="s">
        <v>199</v>
      </c>
      <c r="L351" s="14"/>
      <c r="M351" s="12" t="s">
        <v>43</v>
      </c>
      <c r="N351" s="12" t="s">
        <v>44</v>
      </c>
      <c r="O351" s="12" t="s">
        <v>1730</v>
      </c>
      <c r="P351" s="12" t="s">
        <v>66</v>
      </c>
      <c r="Q351" s="12" t="s">
        <v>764</v>
      </c>
      <c r="R351" s="12" t="s">
        <v>765</v>
      </c>
      <c r="S351" s="13">
        <v>197643404934</v>
      </c>
      <c r="T351" s="12" t="s">
        <v>49</v>
      </c>
      <c r="U351" s="12" t="s">
        <v>170</v>
      </c>
      <c r="V351" s="12" t="s">
        <v>1731</v>
      </c>
      <c r="W351" s="12" t="s">
        <v>51</v>
      </c>
      <c r="X351" s="13">
        <v>0</v>
      </c>
      <c r="Y351" s="12" t="s">
        <v>91</v>
      </c>
      <c r="Z351" s="12" t="s">
        <v>72</v>
      </c>
      <c r="AA351" s="13">
        <v>0</v>
      </c>
      <c r="AB351" s="13">
        <v>0</v>
      </c>
      <c r="AC351" s="15">
        <v>34.1</v>
      </c>
      <c r="AD351" s="15">
        <f>AC351*AG351</f>
        <v>647.9</v>
      </c>
      <c r="AE351" s="15">
        <v>75</v>
      </c>
      <c r="AF351" s="15">
        <f>AE351*AG351</f>
        <v>1425</v>
      </c>
      <c r="AG351" s="16">
        <v>19</v>
      </c>
    </row>
    <row r="352" spans="1:33" ht="15" customHeight="1" x14ac:dyDescent="0.2">
      <c r="A352" s="11" t="str">
        <f t="shared" ref="A352:A999" si="139">HYPERLINK("https://assets.vans.eu/images/VN000M1KBLK-HERO/1","VN000M1KBLK1")</f>
        <v>VN000M1KBLK1</v>
      </c>
      <c r="B352" s="12" t="s">
        <v>1732</v>
      </c>
      <c r="C352" s="12" t="s">
        <v>1733</v>
      </c>
      <c r="D352" s="12" t="s">
        <v>76</v>
      </c>
      <c r="E352" s="12" t="s">
        <v>1734</v>
      </c>
      <c r="F352" s="12" t="s">
        <v>153</v>
      </c>
      <c r="G352" s="14"/>
      <c r="H352" s="12" t="s">
        <v>61</v>
      </c>
      <c r="I352" s="12" t="s">
        <v>230</v>
      </c>
      <c r="J352" s="12" t="s">
        <v>419</v>
      </c>
      <c r="K352" s="12" t="s">
        <v>199</v>
      </c>
      <c r="L352" s="14"/>
      <c r="M352" s="12" t="s">
        <v>43</v>
      </c>
      <c r="N352" s="12" t="s">
        <v>44</v>
      </c>
      <c r="O352" s="12" t="s">
        <v>1735</v>
      </c>
      <c r="P352" s="12" t="s">
        <v>66</v>
      </c>
      <c r="Q352" s="12" t="s">
        <v>67</v>
      </c>
      <c r="R352" s="12" t="s">
        <v>623</v>
      </c>
      <c r="S352" s="13">
        <v>197643408000</v>
      </c>
      <c r="T352" s="12" t="s">
        <v>69</v>
      </c>
      <c r="U352" s="12" t="s">
        <v>153</v>
      </c>
      <c r="V352" s="12" t="s">
        <v>70</v>
      </c>
      <c r="W352" s="12" t="s">
        <v>51</v>
      </c>
      <c r="X352" s="13">
        <v>0</v>
      </c>
      <c r="Y352" s="12" t="s">
        <v>53</v>
      </c>
      <c r="Z352" s="12" t="s">
        <v>108</v>
      </c>
      <c r="AA352" s="13">
        <v>0</v>
      </c>
      <c r="AB352" s="13">
        <v>0</v>
      </c>
      <c r="AC352" s="15">
        <v>45.5</v>
      </c>
      <c r="AD352" s="15">
        <f>AC352*AG352</f>
        <v>864.5</v>
      </c>
      <c r="AE352" s="15">
        <v>100</v>
      </c>
      <c r="AF352" s="15">
        <f>AE352*AG352</f>
        <v>1900</v>
      </c>
      <c r="AG352" s="16">
        <v>19</v>
      </c>
    </row>
    <row r="353" spans="1:33" ht="15" customHeight="1" x14ac:dyDescent="0.2">
      <c r="A353" s="11" t="str">
        <f t="shared" si="101"/>
        <v>VN000MFWUUI1</v>
      </c>
      <c r="B353" s="12" t="s">
        <v>1736</v>
      </c>
      <c r="C353" s="12" t="s">
        <v>1338</v>
      </c>
      <c r="D353" s="12" t="s">
        <v>723</v>
      </c>
      <c r="E353" s="12" t="s">
        <v>1737</v>
      </c>
      <c r="F353" s="13">
        <v>3</v>
      </c>
      <c r="G353" s="14"/>
      <c r="H353" s="12" t="s">
        <v>61</v>
      </c>
      <c r="I353" s="12" t="s">
        <v>1340</v>
      </c>
      <c r="J353" s="12" t="s">
        <v>1341</v>
      </c>
      <c r="K353" s="12" t="s">
        <v>1022</v>
      </c>
      <c r="L353" s="14"/>
      <c r="M353" s="12" t="s">
        <v>43</v>
      </c>
      <c r="N353" s="12" t="s">
        <v>44</v>
      </c>
      <c r="O353" s="12" t="s">
        <v>1738</v>
      </c>
      <c r="P353" s="12" t="s">
        <v>66</v>
      </c>
      <c r="Q353" s="12" t="s">
        <v>67</v>
      </c>
      <c r="R353" s="12" t="s">
        <v>730</v>
      </c>
      <c r="S353" s="13">
        <v>197643372950</v>
      </c>
      <c r="T353" s="12" t="s">
        <v>49</v>
      </c>
      <c r="U353" s="13">
        <v>3</v>
      </c>
      <c r="V353" s="12" t="s">
        <v>1343</v>
      </c>
      <c r="W353" s="12" t="s">
        <v>107</v>
      </c>
      <c r="X353" s="13">
        <v>0</v>
      </c>
      <c r="Y353" s="12" t="s">
        <v>91</v>
      </c>
      <c r="Z353" s="12" t="s">
        <v>108</v>
      </c>
      <c r="AA353" s="13">
        <v>0</v>
      </c>
      <c r="AB353" s="13">
        <v>0</v>
      </c>
      <c r="AC353" s="15">
        <v>26.4</v>
      </c>
      <c r="AD353" s="15">
        <f>AC353*AG353</f>
        <v>501.59999999999997</v>
      </c>
      <c r="AE353" s="15">
        <v>58</v>
      </c>
      <c r="AF353" s="15">
        <f>AE353*AG353</f>
        <v>1102</v>
      </c>
      <c r="AG353" s="16">
        <v>19</v>
      </c>
    </row>
    <row r="354" spans="1:33" ht="15" customHeight="1" x14ac:dyDescent="0.2">
      <c r="A354" s="11" t="str">
        <f t="shared" ref="A354:A1370" si="140">HYPERLINK("https://assets.vans.eu/images/VN000PE7WHT-HERO/1","VN000PE7WHT1")</f>
        <v>VN000PE7WHT1</v>
      </c>
      <c r="B354" s="12" t="s">
        <v>1739</v>
      </c>
      <c r="C354" s="12" t="s">
        <v>1740</v>
      </c>
      <c r="D354" s="12" t="s">
        <v>168</v>
      </c>
      <c r="E354" s="12" t="s">
        <v>1741</v>
      </c>
      <c r="F354" s="12" t="s">
        <v>170</v>
      </c>
      <c r="G354" s="14"/>
      <c r="H354" s="12" t="s">
        <v>61</v>
      </c>
      <c r="I354" s="12" t="s">
        <v>230</v>
      </c>
      <c r="J354" s="12" t="s">
        <v>419</v>
      </c>
      <c r="K354" s="12" t="s">
        <v>199</v>
      </c>
      <c r="L354" s="14"/>
      <c r="M354" s="12" t="s">
        <v>43</v>
      </c>
      <c r="N354" s="12" t="s">
        <v>84</v>
      </c>
      <c r="O354" s="12" t="s">
        <v>1742</v>
      </c>
      <c r="P354" s="12" t="s">
        <v>66</v>
      </c>
      <c r="Q354" s="12" t="s">
        <v>67</v>
      </c>
      <c r="R354" s="12" t="s">
        <v>421</v>
      </c>
      <c r="S354" s="13">
        <v>197804357109</v>
      </c>
      <c r="T354" s="12" t="s">
        <v>915</v>
      </c>
      <c r="U354" s="12" t="s">
        <v>170</v>
      </c>
      <c r="V354" s="12" t="s">
        <v>979</v>
      </c>
      <c r="W354" s="12" t="s">
        <v>175</v>
      </c>
      <c r="X354" s="14"/>
      <c r="Y354" s="14"/>
      <c r="Z354" s="14"/>
      <c r="AA354" s="14"/>
      <c r="AB354" s="14"/>
      <c r="AC354" s="15">
        <v>18.2</v>
      </c>
      <c r="AD354" s="15">
        <f>AC354*AG354</f>
        <v>345.8</v>
      </c>
      <c r="AE354" s="15">
        <v>40</v>
      </c>
      <c r="AF354" s="15">
        <f>AE354*AG354</f>
        <v>760</v>
      </c>
      <c r="AG354" s="16">
        <v>19</v>
      </c>
    </row>
    <row r="355" spans="1:33" ht="15" customHeight="1" x14ac:dyDescent="0.2">
      <c r="A355" s="11" t="str">
        <f t="shared" ref="A355:A374" si="141">HYPERLINK("https://assets.vans.eu/images/VN000Q09GC6-HERO/1","VN000Q09GC61")</f>
        <v>VN000Q09GC61</v>
      </c>
      <c r="B355" s="12" t="s">
        <v>1743</v>
      </c>
      <c r="C355" s="12" t="s">
        <v>1577</v>
      </c>
      <c r="D355" s="12" t="s">
        <v>1744</v>
      </c>
      <c r="E355" s="12" t="s">
        <v>1745</v>
      </c>
      <c r="F355" s="13">
        <v>27</v>
      </c>
      <c r="G355" s="14"/>
      <c r="H355" s="12" t="s">
        <v>61</v>
      </c>
      <c r="I355" s="12" t="s">
        <v>62</v>
      </c>
      <c r="J355" s="12" t="s">
        <v>972</v>
      </c>
      <c r="K355" s="12" t="s">
        <v>64</v>
      </c>
      <c r="L355" s="14"/>
      <c r="M355" s="12" t="s">
        <v>43</v>
      </c>
      <c r="N355" s="12" t="s">
        <v>84</v>
      </c>
      <c r="O355" s="12" t="s">
        <v>1746</v>
      </c>
      <c r="P355" s="12" t="s">
        <v>66</v>
      </c>
      <c r="Q355" s="12" t="s">
        <v>233</v>
      </c>
      <c r="R355" s="12" t="s">
        <v>974</v>
      </c>
      <c r="S355" s="13">
        <v>197804669455</v>
      </c>
      <c r="T355" s="12" t="s">
        <v>235</v>
      </c>
      <c r="U355" s="13">
        <v>27</v>
      </c>
      <c r="V355" s="12" t="s">
        <v>665</v>
      </c>
      <c r="W355" s="12" t="s">
        <v>284</v>
      </c>
      <c r="X355" s="14"/>
      <c r="Y355" s="14"/>
      <c r="Z355" s="14"/>
      <c r="AA355" s="14"/>
      <c r="AB355" s="14"/>
      <c r="AC355" s="15">
        <v>29.55</v>
      </c>
      <c r="AD355" s="15">
        <f>AC355*AG355</f>
        <v>561.45000000000005</v>
      </c>
      <c r="AE355" s="15">
        <v>65</v>
      </c>
      <c r="AF355" s="15">
        <f>AE355*AG355</f>
        <v>1235</v>
      </c>
      <c r="AG355" s="16">
        <v>19</v>
      </c>
    </row>
    <row r="356" spans="1:33" ht="15" customHeight="1" x14ac:dyDescent="0.2">
      <c r="A356" s="11" t="str">
        <f t="shared" si="85"/>
        <v>VN000R3UU201</v>
      </c>
      <c r="B356" s="12" t="s">
        <v>1747</v>
      </c>
      <c r="C356" s="12" t="s">
        <v>1196</v>
      </c>
      <c r="D356" s="12" t="s">
        <v>1197</v>
      </c>
      <c r="E356" s="12" t="s">
        <v>1748</v>
      </c>
      <c r="F356" s="12" t="s">
        <v>138</v>
      </c>
      <c r="G356" s="14"/>
      <c r="H356" s="12" t="s">
        <v>61</v>
      </c>
      <c r="I356" s="12" t="s">
        <v>289</v>
      </c>
      <c r="J356" s="12" t="s">
        <v>706</v>
      </c>
      <c r="K356" s="12" t="s">
        <v>100</v>
      </c>
      <c r="L356" s="14"/>
      <c r="M356" s="12" t="s">
        <v>43</v>
      </c>
      <c r="N356" s="12" t="s">
        <v>84</v>
      </c>
      <c r="O356" s="12" t="s">
        <v>1749</v>
      </c>
      <c r="P356" s="12" t="s">
        <v>66</v>
      </c>
      <c r="Q356" s="12" t="s">
        <v>67</v>
      </c>
      <c r="R356" s="12" t="s">
        <v>1200</v>
      </c>
      <c r="S356" s="13">
        <v>197804585557</v>
      </c>
      <c r="T356" s="12" t="s">
        <v>49</v>
      </c>
      <c r="U356" s="12" t="s">
        <v>138</v>
      </c>
      <c r="V356" s="12" t="s">
        <v>1201</v>
      </c>
      <c r="W356" s="12" t="s">
        <v>175</v>
      </c>
      <c r="X356" s="14"/>
      <c r="Y356" s="14"/>
      <c r="Z356" s="14"/>
      <c r="AA356" s="14"/>
      <c r="AB356" s="14"/>
      <c r="AC356" s="15">
        <v>20.5</v>
      </c>
      <c r="AD356" s="15">
        <f>AC356*AG356</f>
        <v>389.5</v>
      </c>
      <c r="AE356" s="15">
        <v>45</v>
      </c>
      <c r="AF356" s="15">
        <f>AE356*AG356</f>
        <v>855</v>
      </c>
      <c r="AG356" s="16">
        <v>19</v>
      </c>
    </row>
    <row r="357" spans="1:33" ht="15" customHeight="1" x14ac:dyDescent="0.2">
      <c r="A357" s="11" t="str">
        <f t="shared" ref="A357:A1425" si="142">HYPERLINK("https://assets.vans.eu/images/VN000RG4WHT-HERO/1","VN000RG4WHT1")</f>
        <v>VN000RG4WHT1</v>
      </c>
      <c r="B357" s="12" t="s">
        <v>1750</v>
      </c>
      <c r="C357" s="12" t="s">
        <v>417</v>
      </c>
      <c r="D357" s="12" t="s">
        <v>168</v>
      </c>
      <c r="E357" s="12" t="s">
        <v>1751</v>
      </c>
      <c r="F357" s="12" t="s">
        <v>170</v>
      </c>
      <c r="G357" s="14"/>
      <c r="H357" s="12" t="s">
        <v>61</v>
      </c>
      <c r="I357" s="12" t="s">
        <v>230</v>
      </c>
      <c r="J357" s="12" t="s">
        <v>419</v>
      </c>
      <c r="K357" s="12" t="s">
        <v>199</v>
      </c>
      <c r="L357" s="12" t="s">
        <v>83</v>
      </c>
      <c r="M357" s="12" t="s">
        <v>43</v>
      </c>
      <c r="N357" s="12" t="s">
        <v>84</v>
      </c>
      <c r="O357" s="12" t="s">
        <v>1752</v>
      </c>
      <c r="P357" s="12" t="s">
        <v>66</v>
      </c>
      <c r="Q357" s="12" t="s">
        <v>67</v>
      </c>
      <c r="R357" s="12" t="s">
        <v>421</v>
      </c>
      <c r="S357" s="13">
        <v>197804328208</v>
      </c>
      <c r="T357" s="12" t="s">
        <v>422</v>
      </c>
      <c r="U357" s="12" t="s">
        <v>170</v>
      </c>
      <c r="V357" s="12" t="s">
        <v>423</v>
      </c>
      <c r="W357" s="12" t="s">
        <v>175</v>
      </c>
      <c r="X357" s="14"/>
      <c r="Y357" s="14"/>
      <c r="Z357" s="14"/>
      <c r="AA357" s="14"/>
      <c r="AB357" s="14"/>
      <c r="AC357" s="15">
        <v>20.5</v>
      </c>
      <c r="AD357" s="15">
        <f>AC357*AG357</f>
        <v>389.5</v>
      </c>
      <c r="AE357" s="15">
        <v>45</v>
      </c>
      <c r="AF357" s="15">
        <f>AE357*AG357</f>
        <v>855</v>
      </c>
      <c r="AG357" s="16">
        <v>19</v>
      </c>
    </row>
    <row r="358" spans="1:33" ht="15" customHeight="1" x14ac:dyDescent="0.2">
      <c r="A358" s="11" t="str">
        <f t="shared" ref="A358:A380" si="143">HYPERLINK("https://assets.vans.eu/images/VN000BCE2N1-HERO/1","VN000BCE2N11")</f>
        <v>VN000BCE2N11</v>
      </c>
      <c r="B358" s="12" t="s">
        <v>1753</v>
      </c>
      <c r="C358" s="12" t="s">
        <v>1103</v>
      </c>
      <c r="D358" s="12" t="s">
        <v>1082</v>
      </c>
      <c r="E358" s="12" t="s">
        <v>1754</v>
      </c>
      <c r="F358" s="13">
        <v>120</v>
      </c>
      <c r="G358" s="14"/>
      <c r="H358" s="12" t="s">
        <v>38</v>
      </c>
      <c r="I358" s="12" t="s">
        <v>159</v>
      </c>
      <c r="J358" s="12" t="s">
        <v>255</v>
      </c>
      <c r="K358" s="12" t="s">
        <v>82</v>
      </c>
      <c r="L358" s="14"/>
      <c r="M358" s="12" t="s">
        <v>43</v>
      </c>
      <c r="N358" s="12" t="s">
        <v>84</v>
      </c>
      <c r="O358" s="12" t="s">
        <v>1755</v>
      </c>
      <c r="P358" s="12" t="s">
        <v>46</v>
      </c>
      <c r="Q358" s="12" t="s">
        <v>47</v>
      </c>
      <c r="R358" s="12" t="s">
        <v>163</v>
      </c>
      <c r="S358" s="13">
        <v>197804505685</v>
      </c>
      <c r="T358" s="12" t="s">
        <v>49</v>
      </c>
      <c r="U358" s="13">
        <v>46</v>
      </c>
      <c r="V358" s="12" t="s">
        <v>50</v>
      </c>
      <c r="W358" s="12" t="s">
        <v>580</v>
      </c>
      <c r="X358" s="14"/>
      <c r="Y358" s="14"/>
      <c r="Z358" s="14"/>
      <c r="AA358" s="14"/>
      <c r="AB358" s="14"/>
      <c r="AC358" s="15">
        <v>59.1</v>
      </c>
      <c r="AD358" s="15">
        <f>AC358*AG358</f>
        <v>1122.9000000000001</v>
      </c>
      <c r="AE358" s="15">
        <v>130</v>
      </c>
      <c r="AF358" s="15">
        <f>AE358*AG358</f>
        <v>2470</v>
      </c>
      <c r="AG358" s="16">
        <v>19</v>
      </c>
    </row>
    <row r="359" spans="1:33" ht="15" customHeight="1" x14ac:dyDescent="0.2">
      <c r="A359" s="11" t="str">
        <f t="shared" ref="A359:A3972" si="144">HYPERLINK("https://assets.vans.eu/images/VN000CWEWHP-HERO/1","VN000CWEWHP1")</f>
        <v>VN000CWEWHP1</v>
      </c>
      <c r="B359" s="12" t="s">
        <v>1756</v>
      </c>
      <c r="C359" s="12" t="s">
        <v>1248</v>
      </c>
      <c r="D359" s="12" t="s">
        <v>945</v>
      </c>
      <c r="E359" s="12" t="s">
        <v>1757</v>
      </c>
      <c r="F359" s="13">
        <v>40</v>
      </c>
      <c r="G359" s="12" t="s">
        <v>1306</v>
      </c>
      <c r="H359" s="12" t="s">
        <v>38</v>
      </c>
      <c r="I359" s="12" t="s">
        <v>113</v>
      </c>
      <c r="J359" s="12" t="s">
        <v>529</v>
      </c>
      <c r="K359" s="12" t="s">
        <v>82</v>
      </c>
      <c r="L359" s="14"/>
      <c r="M359" s="12" t="s">
        <v>43</v>
      </c>
      <c r="N359" s="12" t="s">
        <v>44</v>
      </c>
      <c r="O359" s="12" t="s">
        <v>1758</v>
      </c>
      <c r="P359" s="12" t="s">
        <v>46</v>
      </c>
      <c r="Q359" s="12" t="s">
        <v>47</v>
      </c>
      <c r="R359" s="12" t="s">
        <v>117</v>
      </c>
      <c r="S359" s="13">
        <v>197643251842</v>
      </c>
      <c r="T359" s="12" t="s">
        <v>49</v>
      </c>
      <c r="U359" s="13">
        <v>35</v>
      </c>
      <c r="V359" s="12" t="s">
        <v>50</v>
      </c>
      <c r="W359" s="12" t="s">
        <v>175</v>
      </c>
      <c r="X359" s="14"/>
      <c r="Y359" s="12" t="s">
        <v>91</v>
      </c>
      <c r="Z359" s="12" t="s">
        <v>165</v>
      </c>
      <c r="AA359" s="14"/>
      <c r="AB359" s="14"/>
      <c r="AC359" s="15">
        <v>59.1</v>
      </c>
      <c r="AD359" s="15">
        <f>AC359*AG359</f>
        <v>1122.9000000000001</v>
      </c>
      <c r="AE359" s="15">
        <v>130</v>
      </c>
      <c r="AF359" s="15">
        <f>AE359*AG359</f>
        <v>2470</v>
      </c>
      <c r="AG359" s="16">
        <v>19</v>
      </c>
    </row>
    <row r="360" spans="1:33" ht="15" customHeight="1" x14ac:dyDescent="0.2">
      <c r="A360" s="11" t="str">
        <f t="shared" si="76"/>
        <v>VN000D0HKCZ1</v>
      </c>
      <c r="B360" s="12" t="s">
        <v>1759</v>
      </c>
      <c r="C360" s="12" t="s">
        <v>1108</v>
      </c>
      <c r="D360" s="12" t="s">
        <v>1109</v>
      </c>
      <c r="E360" s="12" t="s">
        <v>1760</v>
      </c>
      <c r="F360" s="13">
        <v>125</v>
      </c>
      <c r="G360" s="12" t="s">
        <v>1111</v>
      </c>
      <c r="H360" s="12" t="s">
        <v>38</v>
      </c>
      <c r="I360" s="12" t="s">
        <v>39</v>
      </c>
      <c r="J360" s="12" t="s">
        <v>40</v>
      </c>
      <c r="K360" s="12" t="s">
        <v>41</v>
      </c>
      <c r="L360" s="14"/>
      <c r="M360" s="12" t="s">
        <v>43</v>
      </c>
      <c r="N360" s="12" t="s">
        <v>84</v>
      </c>
      <c r="O360" s="12" t="s">
        <v>1761</v>
      </c>
      <c r="P360" s="12" t="s">
        <v>46</v>
      </c>
      <c r="Q360" s="12" t="s">
        <v>47</v>
      </c>
      <c r="R360" s="12" t="s">
        <v>780</v>
      </c>
      <c r="S360" s="13">
        <v>197804436682</v>
      </c>
      <c r="T360" s="12" t="s">
        <v>105</v>
      </c>
      <c r="U360" s="13">
        <v>30</v>
      </c>
      <c r="V360" s="12" t="s">
        <v>50</v>
      </c>
      <c r="W360" s="12" t="s">
        <v>118</v>
      </c>
      <c r="X360" s="14"/>
      <c r="Y360" s="14"/>
      <c r="Z360" s="14"/>
      <c r="AA360" s="14"/>
      <c r="AB360" s="14"/>
      <c r="AC360" s="15">
        <v>34.1</v>
      </c>
      <c r="AD360" s="15">
        <f>AC360*AG360</f>
        <v>647.9</v>
      </c>
      <c r="AE360" s="15">
        <v>75</v>
      </c>
      <c r="AF360" s="15">
        <f>AE360*AG360</f>
        <v>1425</v>
      </c>
      <c r="AG360" s="16">
        <v>19</v>
      </c>
    </row>
    <row r="361" spans="1:33" ht="15" customHeight="1" x14ac:dyDescent="0.2">
      <c r="A361" s="11" t="str">
        <f t="shared" ref="A361:A755" si="145">HYPERLINK("https://assets.vans.eu/images/VN000D0MBZW-HERO/1","VN000D0MBZW1")</f>
        <v>VN000D0MBZW1</v>
      </c>
      <c r="B361" s="12" t="s">
        <v>1762</v>
      </c>
      <c r="C361" s="12" t="s">
        <v>1763</v>
      </c>
      <c r="D361" s="12" t="s">
        <v>58</v>
      </c>
      <c r="E361" s="12" t="s">
        <v>1764</v>
      </c>
      <c r="F361" s="13">
        <v>70</v>
      </c>
      <c r="G361" s="14"/>
      <c r="H361" s="12" t="s">
        <v>38</v>
      </c>
      <c r="I361" s="12" t="s">
        <v>242</v>
      </c>
      <c r="J361" s="12" t="s">
        <v>243</v>
      </c>
      <c r="K361" s="12" t="s">
        <v>244</v>
      </c>
      <c r="L361" s="14"/>
      <c r="M361" s="12" t="s">
        <v>43</v>
      </c>
      <c r="N361" s="12" t="s">
        <v>84</v>
      </c>
      <c r="O361" s="12" t="s">
        <v>1765</v>
      </c>
      <c r="P361" s="12" t="s">
        <v>46</v>
      </c>
      <c r="Q361" s="12" t="s">
        <v>47</v>
      </c>
      <c r="R361" s="12" t="s">
        <v>780</v>
      </c>
      <c r="S361" s="13">
        <v>197804439041</v>
      </c>
      <c r="T361" s="12" t="s">
        <v>49</v>
      </c>
      <c r="U361" s="13">
        <v>23.5</v>
      </c>
      <c r="V361" s="12" t="s">
        <v>50</v>
      </c>
      <c r="W361" s="12" t="s">
        <v>51</v>
      </c>
      <c r="X361" s="14"/>
      <c r="Y361" s="14"/>
      <c r="Z361" s="14"/>
      <c r="AA361" s="14"/>
      <c r="AB361" s="14"/>
      <c r="AC361" s="15">
        <v>29.55</v>
      </c>
      <c r="AD361" s="15">
        <f>AC361*AG361</f>
        <v>561.45000000000005</v>
      </c>
      <c r="AE361" s="15">
        <v>65</v>
      </c>
      <c r="AF361" s="15">
        <f>AE361*AG361</f>
        <v>1235</v>
      </c>
      <c r="AG361" s="16">
        <v>19</v>
      </c>
    </row>
    <row r="362" spans="1:33" ht="15" customHeight="1" x14ac:dyDescent="0.2">
      <c r="A362" s="11" t="str">
        <f t="shared" ref="A362:A846" si="146">HYPERLINK("https://assets.vans.eu/images/VN000D26EWR-HERO/1","VN000D26EWR1")</f>
        <v>VN000D26EWR1</v>
      </c>
      <c r="B362" s="12" t="s">
        <v>1766</v>
      </c>
      <c r="C362" s="12" t="s">
        <v>251</v>
      </c>
      <c r="D362" s="12" t="s">
        <v>549</v>
      </c>
      <c r="E362" s="12" t="s">
        <v>1767</v>
      </c>
      <c r="F362" s="13">
        <v>80</v>
      </c>
      <c r="G362" s="12" t="s">
        <v>551</v>
      </c>
      <c r="H362" s="12" t="s">
        <v>38</v>
      </c>
      <c r="I362" s="12" t="s">
        <v>159</v>
      </c>
      <c r="J362" s="12" t="s">
        <v>255</v>
      </c>
      <c r="K362" s="12" t="s">
        <v>82</v>
      </c>
      <c r="L362" s="14"/>
      <c r="M362" s="12" t="s">
        <v>43</v>
      </c>
      <c r="N362" s="12" t="s">
        <v>84</v>
      </c>
      <c r="O362" s="12" t="s">
        <v>1768</v>
      </c>
      <c r="P362" s="12" t="s">
        <v>46</v>
      </c>
      <c r="Q362" s="12" t="s">
        <v>47</v>
      </c>
      <c r="R362" s="12" t="s">
        <v>163</v>
      </c>
      <c r="S362" s="13">
        <v>197804444342</v>
      </c>
      <c r="T362" s="12" t="s">
        <v>49</v>
      </c>
      <c r="U362" s="13">
        <v>40.5</v>
      </c>
      <c r="V362" s="12" t="s">
        <v>50</v>
      </c>
      <c r="W362" s="12" t="s">
        <v>455</v>
      </c>
      <c r="X362" s="14"/>
      <c r="Y362" s="14"/>
      <c r="Z362" s="14"/>
      <c r="AA362" s="14"/>
      <c r="AB362" s="14"/>
      <c r="AC362" s="15">
        <v>45.5</v>
      </c>
      <c r="AD362" s="15">
        <f>AC362*AG362</f>
        <v>864.5</v>
      </c>
      <c r="AE362" s="15">
        <v>100</v>
      </c>
      <c r="AF362" s="15">
        <f>AE362*AG362</f>
        <v>1900</v>
      </c>
      <c r="AG362" s="16">
        <v>19</v>
      </c>
    </row>
    <row r="363" spans="1:33" ht="15" customHeight="1" x14ac:dyDescent="0.2">
      <c r="A363" s="11" t="str">
        <f>HYPERLINK("https://assets.vans.eu/images/VN000NBQFS8-HERO/1","VN000NBQFS81")</f>
        <v>VN000NBQFS81</v>
      </c>
      <c r="B363" s="12" t="s">
        <v>1769</v>
      </c>
      <c r="C363" s="12" t="s">
        <v>1770</v>
      </c>
      <c r="D363" s="12" t="s">
        <v>239</v>
      </c>
      <c r="E363" s="12" t="s">
        <v>1771</v>
      </c>
      <c r="F363" s="12" t="s">
        <v>78</v>
      </c>
      <c r="G363" s="14"/>
      <c r="H363" s="12" t="s">
        <v>79</v>
      </c>
      <c r="I363" s="12" t="s">
        <v>80</v>
      </c>
      <c r="J363" s="12" t="s">
        <v>349</v>
      </c>
      <c r="K363" s="12" t="s">
        <v>82</v>
      </c>
      <c r="L363" s="14"/>
      <c r="M363" s="12" t="s">
        <v>43</v>
      </c>
      <c r="N363" s="12" t="s">
        <v>44</v>
      </c>
      <c r="O363" s="12" t="s">
        <v>1772</v>
      </c>
      <c r="P363" s="12" t="s">
        <v>86</v>
      </c>
      <c r="Q363" s="12" t="s">
        <v>128</v>
      </c>
      <c r="R363" s="12" t="s">
        <v>352</v>
      </c>
      <c r="S363" s="13">
        <v>197643467540</v>
      </c>
      <c r="T363" s="12" t="s">
        <v>143</v>
      </c>
      <c r="U363" s="12" t="s">
        <v>78</v>
      </c>
      <c r="V363" s="12" t="s">
        <v>965</v>
      </c>
      <c r="W363" s="12" t="s">
        <v>175</v>
      </c>
      <c r="X363" s="13">
        <v>0</v>
      </c>
      <c r="Y363" s="12" t="s">
        <v>91</v>
      </c>
      <c r="Z363" s="12" t="s">
        <v>108</v>
      </c>
      <c r="AA363" s="13">
        <v>0</v>
      </c>
      <c r="AB363" s="13">
        <v>0</v>
      </c>
      <c r="AC363" s="15">
        <v>14.55</v>
      </c>
      <c r="AD363" s="15">
        <f>AC363*AG363</f>
        <v>261.90000000000003</v>
      </c>
      <c r="AE363" s="15">
        <v>32</v>
      </c>
      <c r="AF363" s="15">
        <f>AE363*AG363</f>
        <v>576</v>
      </c>
      <c r="AG363" s="16">
        <v>18</v>
      </c>
    </row>
    <row r="364" spans="1:33" ht="15" customHeight="1" x14ac:dyDescent="0.2">
      <c r="A364" s="11" t="str">
        <f>HYPERLINK("https://assets.vans.eu/images/VN000PKJBLK-HERO/1","VN000PKJBLK1")</f>
        <v>VN000PKJBLK1</v>
      </c>
      <c r="B364" s="12" t="s">
        <v>1773</v>
      </c>
      <c r="C364" s="12" t="s">
        <v>1774</v>
      </c>
      <c r="D364" s="12" t="s">
        <v>76</v>
      </c>
      <c r="E364" s="12" t="s">
        <v>1775</v>
      </c>
      <c r="F364" s="12" t="s">
        <v>78</v>
      </c>
      <c r="G364" s="14"/>
      <c r="H364" s="12" t="s">
        <v>79</v>
      </c>
      <c r="I364" s="12" t="s">
        <v>80</v>
      </c>
      <c r="J364" s="12" t="s">
        <v>349</v>
      </c>
      <c r="K364" s="12" t="s">
        <v>82</v>
      </c>
      <c r="L364" s="14"/>
      <c r="M364" s="12" t="s">
        <v>43</v>
      </c>
      <c r="N364" s="12" t="s">
        <v>84</v>
      </c>
      <c r="O364" s="12" t="s">
        <v>1776</v>
      </c>
      <c r="P364" s="12" t="s">
        <v>86</v>
      </c>
      <c r="Q364" s="12" t="s">
        <v>128</v>
      </c>
      <c r="R364" s="12" t="s">
        <v>352</v>
      </c>
      <c r="S364" s="13">
        <v>197804371471</v>
      </c>
      <c r="T364" s="12" t="s">
        <v>49</v>
      </c>
      <c r="U364" s="12" t="s">
        <v>78</v>
      </c>
      <c r="V364" s="12" t="s">
        <v>1777</v>
      </c>
      <c r="W364" s="12" t="s">
        <v>51</v>
      </c>
      <c r="X364" s="14"/>
      <c r="Y364" s="14"/>
      <c r="Z364" s="14"/>
      <c r="AA364" s="14"/>
      <c r="AB364" s="14"/>
      <c r="AC364" s="15">
        <v>20.5</v>
      </c>
      <c r="AD364" s="15">
        <f>AC364*AG364</f>
        <v>369</v>
      </c>
      <c r="AE364" s="15">
        <v>45</v>
      </c>
      <c r="AF364" s="15">
        <f>AE364*AG364</f>
        <v>810</v>
      </c>
      <c r="AG364" s="16">
        <v>18</v>
      </c>
    </row>
    <row r="365" spans="1:33" ht="15" customHeight="1" x14ac:dyDescent="0.2">
      <c r="A365" s="11" t="str">
        <f t="shared" ref="A365:A477" si="147">HYPERLINK("https://assets.vans.eu/images/VN000HQ3M8I-HERO/1","VN000HQ3M8I1")</f>
        <v>VN000HQ3M8I1</v>
      </c>
      <c r="B365" s="12" t="s">
        <v>1778</v>
      </c>
      <c r="C365" s="12" t="s">
        <v>1779</v>
      </c>
      <c r="D365" s="12" t="s">
        <v>1487</v>
      </c>
      <c r="E365" s="12" t="s">
        <v>1780</v>
      </c>
      <c r="F365" s="12" t="s">
        <v>153</v>
      </c>
      <c r="G365" s="14"/>
      <c r="H365" s="12" t="s">
        <v>61</v>
      </c>
      <c r="I365" s="12" t="s">
        <v>289</v>
      </c>
      <c r="J365" s="12" t="s">
        <v>706</v>
      </c>
      <c r="K365" s="12" t="s">
        <v>100</v>
      </c>
      <c r="L365" s="14"/>
      <c r="M365" s="12" t="s">
        <v>43</v>
      </c>
      <c r="N365" s="12" t="s">
        <v>161</v>
      </c>
      <c r="O365" s="12" t="s">
        <v>1781</v>
      </c>
      <c r="P365" s="12" t="s">
        <v>66</v>
      </c>
      <c r="Q365" s="12" t="s">
        <v>67</v>
      </c>
      <c r="R365" s="12" t="s">
        <v>1782</v>
      </c>
      <c r="S365" s="13">
        <v>197065934125</v>
      </c>
      <c r="T365" s="12" t="s">
        <v>143</v>
      </c>
      <c r="U365" s="12" t="s">
        <v>153</v>
      </c>
      <c r="V365" s="12" t="s">
        <v>1783</v>
      </c>
      <c r="W365" s="12" t="s">
        <v>118</v>
      </c>
      <c r="X365" s="13">
        <v>0</v>
      </c>
      <c r="Y365" s="12" t="s">
        <v>91</v>
      </c>
      <c r="Z365" s="12" t="s">
        <v>108</v>
      </c>
      <c r="AA365" s="13">
        <v>0</v>
      </c>
      <c r="AB365" s="13">
        <v>0</v>
      </c>
      <c r="AC365" s="15">
        <v>25</v>
      </c>
      <c r="AD365" s="15">
        <f>AC365*AG365</f>
        <v>450</v>
      </c>
      <c r="AE365" s="15">
        <v>55</v>
      </c>
      <c r="AF365" s="15">
        <f>AE365*AG365</f>
        <v>990</v>
      </c>
      <c r="AG365" s="16">
        <v>18</v>
      </c>
    </row>
    <row r="366" spans="1:33" ht="15" customHeight="1" x14ac:dyDescent="0.2">
      <c r="A366" s="11" t="str">
        <f t="shared" si="55"/>
        <v>VN000HUP7WM1</v>
      </c>
      <c r="B366" s="12" t="s">
        <v>1784</v>
      </c>
      <c r="C366" s="12" t="s">
        <v>898</v>
      </c>
      <c r="D366" s="12" t="s">
        <v>388</v>
      </c>
      <c r="E366" s="12" t="s">
        <v>1785</v>
      </c>
      <c r="F366" s="12" t="s">
        <v>403</v>
      </c>
      <c r="G366" s="14"/>
      <c r="H366" s="12" t="s">
        <v>61</v>
      </c>
      <c r="I366" s="12" t="s">
        <v>289</v>
      </c>
      <c r="J366" s="12" t="s">
        <v>900</v>
      </c>
      <c r="K366" s="12" t="s">
        <v>100</v>
      </c>
      <c r="L366" s="14"/>
      <c r="M366" s="12" t="s">
        <v>43</v>
      </c>
      <c r="N366" s="12" t="s">
        <v>161</v>
      </c>
      <c r="O366" s="12" t="s">
        <v>1786</v>
      </c>
      <c r="P366" s="12" t="s">
        <v>66</v>
      </c>
      <c r="Q366" s="12" t="s">
        <v>233</v>
      </c>
      <c r="R366" s="12" t="s">
        <v>902</v>
      </c>
      <c r="S366" s="13">
        <v>197065462338</v>
      </c>
      <c r="T366" s="12" t="s">
        <v>235</v>
      </c>
      <c r="U366" s="12" t="s">
        <v>403</v>
      </c>
      <c r="V366" s="12" t="s">
        <v>903</v>
      </c>
      <c r="W366" s="12" t="s">
        <v>284</v>
      </c>
      <c r="X366" s="13">
        <v>0</v>
      </c>
      <c r="Y366" s="12" t="s">
        <v>53</v>
      </c>
      <c r="Z366" s="12" t="s">
        <v>108</v>
      </c>
      <c r="AA366" s="13">
        <v>0</v>
      </c>
      <c r="AB366" s="13">
        <v>0</v>
      </c>
      <c r="AC366" s="15">
        <v>36.4</v>
      </c>
      <c r="AD366" s="15">
        <f>AC366*AG366</f>
        <v>655.19999999999993</v>
      </c>
      <c r="AE366" s="15">
        <v>80</v>
      </c>
      <c r="AF366" s="15">
        <f>AE366*AG366</f>
        <v>1440</v>
      </c>
      <c r="AG366" s="16">
        <v>18</v>
      </c>
    </row>
    <row r="367" spans="1:33" ht="15" customHeight="1" x14ac:dyDescent="0.2">
      <c r="A367" s="11" t="str">
        <f t="shared" ref="A367:A600" si="148">HYPERLINK("https://assets.vans.eu/images/VN000J79BLK-HERO/1","VN000J79BLK1")</f>
        <v>VN000J79BLK1</v>
      </c>
      <c r="B367" s="12" t="s">
        <v>1787</v>
      </c>
      <c r="C367" s="12" t="s">
        <v>1788</v>
      </c>
      <c r="D367" s="12" t="s">
        <v>76</v>
      </c>
      <c r="E367" s="12" t="s">
        <v>1789</v>
      </c>
      <c r="F367" s="12" t="s">
        <v>179</v>
      </c>
      <c r="G367" s="14"/>
      <c r="H367" s="12" t="s">
        <v>61</v>
      </c>
      <c r="I367" s="12" t="s">
        <v>62</v>
      </c>
      <c r="J367" s="12" t="s">
        <v>63</v>
      </c>
      <c r="K367" s="12" t="s">
        <v>1022</v>
      </c>
      <c r="L367" s="14"/>
      <c r="M367" s="12" t="s">
        <v>43</v>
      </c>
      <c r="N367" s="12" t="s">
        <v>44</v>
      </c>
      <c r="O367" s="12" t="s">
        <v>1790</v>
      </c>
      <c r="P367" s="12" t="s">
        <v>66</v>
      </c>
      <c r="Q367" s="12" t="s">
        <v>67</v>
      </c>
      <c r="R367" s="12" t="s">
        <v>1791</v>
      </c>
      <c r="S367" s="13">
        <v>197643565628</v>
      </c>
      <c r="T367" s="12" t="s">
        <v>49</v>
      </c>
      <c r="U367" s="12" t="s">
        <v>179</v>
      </c>
      <c r="V367" s="12" t="s">
        <v>665</v>
      </c>
      <c r="W367" s="12" t="s">
        <v>51</v>
      </c>
      <c r="X367" s="13">
        <v>0</v>
      </c>
      <c r="Y367" s="12" t="s">
        <v>91</v>
      </c>
      <c r="Z367" s="12" t="s">
        <v>108</v>
      </c>
      <c r="AA367" s="13">
        <v>0</v>
      </c>
      <c r="AB367" s="13">
        <v>0</v>
      </c>
      <c r="AC367" s="15">
        <v>10</v>
      </c>
      <c r="AD367" s="15">
        <f>AC367*AG367</f>
        <v>180</v>
      </c>
      <c r="AE367" s="15">
        <v>22</v>
      </c>
      <c r="AF367" s="15">
        <f>AE367*AG367</f>
        <v>396</v>
      </c>
      <c r="AG367" s="16">
        <v>18</v>
      </c>
    </row>
    <row r="368" spans="1:33" ht="15" customHeight="1" x14ac:dyDescent="0.2">
      <c r="A368" s="11" t="str">
        <f t="shared" ref="A368:A1330" si="149">HYPERLINK("https://assets.vans.eu/images/VN000M39DZ9-HERO/1","VN000M39DZ91")</f>
        <v>VN000M39DZ91</v>
      </c>
      <c r="B368" s="12" t="s">
        <v>1792</v>
      </c>
      <c r="C368" s="12" t="s">
        <v>1281</v>
      </c>
      <c r="D368" s="12" t="s">
        <v>510</v>
      </c>
      <c r="E368" s="12" t="s">
        <v>1793</v>
      </c>
      <c r="F368" s="13">
        <v>28</v>
      </c>
      <c r="G368" s="14"/>
      <c r="H368" s="12" t="s">
        <v>61</v>
      </c>
      <c r="I368" s="12" t="s">
        <v>230</v>
      </c>
      <c r="J368" s="12" t="s">
        <v>231</v>
      </c>
      <c r="K368" s="12" t="s">
        <v>199</v>
      </c>
      <c r="L368" s="14"/>
      <c r="M368" s="12" t="s">
        <v>43</v>
      </c>
      <c r="N368" s="12" t="s">
        <v>44</v>
      </c>
      <c r="O368" s="12" t="s">
        <v>1794</v>
      </c>
      <c r="P368" s="12" t="s">
        <v>66</v>
      </c>
      <c r="Q368" s="12" t="s">
        <v>233</v>
      </c>
      <c r="R368" s="12" t="s">
        <v>234</v>
      </c>
      <c r="S368" s="13">
        <v>197643412335</v>
      </c>
      <c r="T368" s="12" t="s">
        <v>235</v>
      </c>
      <c r="U368" s="13">
        <v>28</v>
      </c>
      <c r="V368" s="12" t="s">
        <v>665</v>
      </c>
      <c r="W368" s="12" t="s">
        <v>186</v>
      </c>
      <c r="X368" s="13">
        <v>0</v>
      </c>
      <c r="Y368" s="12" t="s">
        <v>53</v>
      </c>
      <c r="Z368" s="12" t="s">
        <v>108</v>
      </c>
      <c r="AA368" s="13">
        <v>0</v>
      </c>
      <c r="AB368" s="13">
        <v>0</v>
      </c>
      <c r="AC368" s="15">
        <v>29.55</v>
      </c>
      <c r="AD368" s="15">
        <f>AC368*AG368</f>
        <v>531.9</v>
      </c>
      <c r="AE368" s="15">
        <v>65</v>
      </c>
      <c r="AF368" s="15">
        <f>AE368*AG368</f>
        <v>1170</v>
      </c>
      <c r="AG368" s="16">
        <v>18</v>
      </c>
    </row>
    <row r="369" spans="1:33" ht="15" customHeight="1" x14ac:dyDescent="0.2">
      <c r="A369" s="11" t="str">
        <f t="shared" ref="A369:A410" si="150">HYPERLINK("https://assets.vans.eu/images/VN000M77Y7U-HERO/1","VN000M77Y7U1")</f>
        <v>VN000M77Y7U1</v>
      </c>
      <c r="B369" s="12" t="s">
        <v>1795</v>
      </c>
      <c r="C369" s="12" t="s">
        <v>1796</v>
      </c>
      <c r="D369" s="12" t="s">
        <v>740</v>
      </c>
      <c r="E369" s="12" t="s">
        <v>1797</v>
      </c>
      <c r="F369" s="12" t="s">
        <v>153</v>
      </c>
      <c r="G369" s="14"/>
      <c r="H369" s="12" t="s">
        <v>61</v>
      </c>
      <c r="I369" s="12" t="s">
        <v>289</v>
      </c>
      <c r="J369" s="12" t="s">
        <v>706</v>
      </c>
      <c r="K369" s="12" t="s">
        <v>100</v>
      </c>
      <c r="L369" s="14"/>
      <c r="M369" s="12" t="s">
        <v>43</v>
      </c>
      <c r="N369" s="12" t="s">
        <v>44</v>
      </c>
      <c r="O369" s="12" t="s">
        <v>1798</v>
      </c>
      <c r="P369" s="12" t="s">
        <v>66</v>
      </c>
      <c r="Q369" s="12" t="s">
        <v>67</v>
      </c>
      <c r="R369" s="12" t="s">
        <v>1200</v>
      </c>
      <c r="S369" s="13">
        <v>197643361268</v>
      </c>
      <c r="T369" s="12" t="s">
        <v>49</v>
      </c>
      <c r="U369" s="12" t="s">
        <v>153</v>
      </c>
      <c r="V369" s="12" t="s">
        <v>70</v>
      </c>
      <c r="W369" s="12" t="s">
        <v>455</v>
      </c>
      <c r="X369" s="13">
        <v>0</v>
      </c>
      <c r="Y369" s="12" t="s">
        <v>91</v>
      </c>
      <c r="Z369" s="12" t="s">
        <v>108</v>
      </c>
      <c r="AA369" s="13">
        <v>0</v>
      </c>
      <c r="AB369" s="13">
        <v>0</v>
      </c>
      <c r="AC369" s="15">
        <v>14.55</v>
      </c>
      <c r="AD369" s="15">
        <f>AC369*AG369</f>
        <v>261.90000000000003</v>
      </c>
      <c r="AE369" s="15">
        <v>32</v>
      </c>
      <c r="AF369" s="15">
        <f>AE369*AG369</f>
        <v>576</v>
      </c>
      <c r="AG369" s="16">
        <v>18</v>
      </c>
    </row>
    <row r="370" spans="1:33" ht="15" customHeight="1" x14ac:dyDescent="0.2">
      <c r="A370" s="11" t="str">
        <f t="shared" si="71"/>
        <v>VN000MBCWHT1</v>
      </c>
      <c r="B370" s="12" t="s">
        <v>1799</v>
      </c>
      <c r="C370" s="12" t="s">
        <v>1051</v>
      </c>
      <c r="D370" s="12" t="s">
        <v>168</v>
      </c>
      <c r="E370" s="12" t="s">
        <v>1800</v>
      </c>
      <c r="F370" s="12" t="s">
        <v>170</v>
      </c>
      <c r="G370" s="14"/>
      <c r="H370" s="12" t="s">
        <v>61</v>
      </c>
      <c r="I370" s="12" t="s">
        <v>289</v>
      </c>
      <c r="J370" s="12" t="s">
        <v>290</v>
      </c>
      <c r="K370" s="12" t="s">
        <v>100</v>
      </c>
      <c r="L370" s="14"/>
      <c r="M370" s="12" t="s">
        <v>43</v>
      </c>
      <c r="N370" s="12" t="s">
        <v>44</v>
      </c>
      <c r="O370" s="12" t="s">
        <v>1801</v>
      </c>
      <c r="P370" s="12" t="s">
        <v>66</v>
      </c>
      <c r="Q370" s="12" t="s">
        <v>233</v>
      </c>
      <c r="R370" s="12" t="s">
        <v>1054</v>
      </c>
      <c r="S370" s="13">
        <v>197643367727</v>
      </c>
      <c r="T370" s="12" t="s">
        <v>235</v>
      </c>
      <c r="U370" s="12" t="s">
        <v>170</v>
      </c>
      <c r="V370" s="12" t="s">
        <v>1055</v>
      </c>
      <c r="W370" s="12" t="s">
        <v>175</v>
      </c>
      <c r="X370" s="13">
        <v>0</v>
      </c>
      <c r="Y370" s="12" t="s">
        <v>91</v>
      </c>
      <c r="Z370" s="12" t="s">
        <v>108</v>
      </c>
      <c r="AA370" s="13">
        <v>0</v>
      </c>
      <c r="AB370" s="13">
        <v>0</v>
      </c>
      <c r="AC370" s="15">
        <v>17.3</v>
      </c>
      <c r="AD370" s="15">
        <f>AC370*AG370</f>
        <v>311.40000000000003</v>
      </c>
      <c r="AE370" s="15">
        <v>38</v>
      </c>
      <c r="AF370" s="15">
        <f>AE370*AG370</f>
        <v>684</v>
      </c>
      <c r="AG370" s="16">
        <v>18</v>
      </c>
    </row>
    <row r="371" spans="1:33" ht="15" customHeight="1" x14ac:dyDescent="0.2">
      <c r="A371" s="11" t="str">
        <f t="shared" ref="A371:A393" si="151">HYPERLINK("https://assets.vans.eu/images/VN000NDGBLK-HERO/1","VN000NDGBLK1")</f>
        <v>VN000NDGBLK1</v>
      </c>
      <c r="B371" s="12" t="s">
        <v>1802</v>
      </c>
      <c r="C371" s="12" t="s">
        <v>1803</v>
      </c>
      <c r="D371" s="12" t="s">
        <v>76</v>
      </c>
      <c r="E371" s="12" t="s">
        <v>1804</v>
      </c>
      <c r="F371" s="12" t="s">
        <v>403</v>
      </c>
      <c r="G371" s="14"/>
      <c r="H371" s="12" t="s">
        <v>61</v>
      </c>
      <c r="I371" s="12" t="s">
        <v>289</v>
      </c>
      <c r="J371" s="12" t="s">
        <v>900</v>
      </c>
      <c r="K371" s="12" t="s">
        <v>100</v>
      </c>
      <c r="L371" s="12" t="s">
        <v>83</v>
      </c>
      <c r="M371" s="12" t="s">
        <v>43</v>
      </c>
      <c r="N371" s="12" t="s">
        <v>161</v>
      </c>
      <c r="O371" s="12" t="s">
        <v>1805</v>
      </c>
      <c r="P371" s="12" t="s">
        <v>66</v>
      </c>
      <c r="Q371" s="12" t="s">
        <v>233</v>
      </c>
      <c r="R371" s="12" t="s">
        <v>902</v>
      </c>
      <c r="S371" s="13">
        <v>197642335925</v>
      </c>
      <c r="T371" s="12" t="s">
        <v>49</v>
      </c>
      <c r="U371" s="12" t="s">
        <v>403</v>
      </c>
      <c r="V371" s="12" t="s">
        <v>1806</v>
      </c>
      <c r="W371" s="12" t="s">
        <v>51</v>
      </c>
      <c r="X371" s="13">
        <v>0</v>
      </c>
      <c r="Y371" s="12" t="s">
        <v>91</v>
      </c>
      <c r="Z371" s="12" t="s">
        <v>108</v>
      </c>
      <c r="AA371" s="13">
        <v>0</v>
      </c>
      <c r="AB371" s="12" t="s">
        <v>616</v>
      </c>
      <c r="AC371" s="15">
        <v>29.55</v>
      </c>
      <c r="AD371" s="15">
        <f>AC371*AG371</f>
        <v>531.9</v>
      </c>
      <c r="AE371" s="15">
        <v>65</v>
      </c>
      <c r="AF371" s="15">
        <f>AE371*AG371</f>
        <v>1170</v>
      </c>
      <c r="AG371" s="16">
        <v>18</v>
      </c>
    </row>
    <row r="372" spans="1:33" ht="15" customHeight="1" x14ac:dyDescent="0.2">
      <c r="A372" s="11" t="str">
        <f t="shared" ref="A372:A1157" si="152">HYPERLINK("https://assets.vans.eu/images/VN000P73Y28-HERO/1","VN000P73Y281")</f>
        <v>VN000P73Y281</v>
      </c>
      <c r="B372" s="12" t="s">
        <v>1807</v>
      </c>
      <c r="C372" s="12" t="s">
        <v>1808</v>
      </c>
      <c r="D372" s="12" t="s">
        <v>58</v>
      </c>
      <c r="E372" s="12" t="s">
        <v>1809</v>
      </c>
      <c r="F372" s="12" t="s">
        <v>153</v>
      </c>
      <c r="G372" s="14"/>
      <c r="H372" s="12" t="s">
        <v>61</v>
      </c>
      <c r="I372" s="12" t="s">
        <v>230</v>
      </c>
      <c r="J372" s="12" t="s">
        <v>762</v>
      </c>
      <c r="K372" s="12" t="s">
        <v>199</v>
      </c>
      <c r="L372" s="14"/>
      <c r="M372" s="12" t="s">
        <v>43</v>
      </c>
      <c r="N372" s="12" t="s">
        <v>84</v>
      </c>
      <c r="O372" s="12" t="s">
        <v>1810</v>
      </c>
      <c r="P372" s="12" t="s">
        <v>66</v>
      </c>
      <c r="Q372" s="12" t="s">
        <v>764</v>
      </c>
      <c r="R372" s="12" t="s">
        <v>765</v>
      </c>
      <c r="S372" s="13">
        <v>197804351206</v>
      </c>
      <c r="T372" s="12" t="s">
        <v>235</v>
      </c>
      <c r="U372" s="12" t="s">
        <v>153</v>
      </c>
      <c r="V372" s="12" t="s">
        <v>1811</v>
      </c>
      <c r="W372" s="12" t="s">
        <v>51</v>
      </c>
      <c r="X372" s="14"/>
      <c r="Y372" s="14"/>
      <c r="Z372" s="14"/>
      <c r="AA372" s="14"/>
      <c r="AB372" s="14"/>
      <c r="AC372" s="15">
        <v>31.85</v>
      </c>
      <c r="AD372" s="15">
        <f>AC372*AG372</f>
        <v>573.30000000000007</v>
      </c>
      <c r="AE372" s="15">
        <v>70</v>
      </c>
      <c r="AF372" s="15">
        <f>AE372*AG372</f>
        <v>1260</v>
      </c>
      <c r="AG372" s="16">
        <v>18</v>
      </c>
    </row>
    <row r="373" spans="1:33" ht="15" customHeight="1" x14ac:dyDescent="0.2">
      <c r="A373" s="11" t="str">
        <f t="shared" ref="A373:A557" si="153">HYPERLINK("https://assets.vans.eu/images/VN000PBRBLK-HERO/1","VN000PBRBLK1")</f>
        <v>VN000PBRBLK1</v>
      </c>
      <c r="B373" s="12" t="s">
        <v>1812</v>
      </c>
      <c r="C373" s="12" t="s">
        <v>912</v>
      </c>
      <c r="D373" s="12" t="s">
        <v>76</v>
      </c>
      <c r="E373" s="12" t="s">
        <v>1813</v>
      </c>
      <c r="F373" s="12" t="s">
        <v>403</v>
      </c>
      <c r="G373" s="14"/>
      <c r="H373" s="12" t="s">
        <v>61</v>
      </c>
      <c r="I373" s="12" t="s">
        <v>230</v>
      </c>
      <c r="J373" s="12" t="s">
        <v>419</v>
      </c>
      <c r="K373" s="12" t="s">
        <v>199</v>
      </c>
      <c r="L373" s="14"/>
      <c r="M373" s="12" t="s">
        <v>43</v>
      </c>
      <c r="N373" s="12" t="s">
        <v>84</v>
      </c>
      <c r="O373" s="12" t="s">
        <v>1814</v>
      </c>
      <c r="P373" s="12" t="s">
        <v>66</v>
      </c>
      <c r="Q373" s="12" t="s">
        <v>67</v>
      </c>
      <c r="R373" s="12" t="s">
        <v>421</v>
      </c>
      <c r="S373" s="13">
        <v>197804354740</v>
      </c>
      <c r="T373" s="12" t="s">
        <v>915</v>
      </c>
      <c r="U373" s="12" t="s">
        <v>403</v>
      </c>
      <c r="V373" s="12" t="s">
        <v>916</v>
      </c>
      <c r="W373" s="12" t="s">
        <v>51</v>
      </c>
      <c r="X373" s="14"/>
      <c r="Y373" s="14"/>
      <c r="Z373" s="14"/>
      <c r="AA373" s="14"/>
      <c r="AB373" s="14"/>
      <c r="AC373" s="15">
        <v>15.95</v>
      </c>
      <c r="AD373" s="15">
        <f>AC373*AG373</f>
        <v>287.09999999999997</v>
      </c>
      <c r="AE373" s="15">
        <v>35</v>
      </c>
      <c r="AF373" s="15">
        <f>AE373*AG373</f>
        <v>630</v>
      </c>
      <c r="AG373" s="16">
        <v>18</v>
      </c>
    </row>
    <row r="374" spans="1:33" ht="15" customHeight="1" x14ac:dyDescent="0.2">
      <c r="A374" s="11" t="str">
        <f t="shared" si="141"/>
        <v>VN000Q09GC61</v>
      </c>
      <c r="B374" s="12" t="s">
        <v>1815</v>
      </c>
      <c r="C374" s="12" t="s">
        <v>1577</v>
      </c>
      <c r="D374" s="12" t="s">
        <v>1744</v>
      </c>
      <c r="E374" s="12" t="s">
        <v>1816</v>
      </c>
      <c r="F374" s="13">
        <v>30</v>
      </c>
      <c r="G374" s="14"/>
      <c r="H374" s="12" t="s">
        <v>61</v>
      </c>
      <c r="I374" s="12" t="s">
        <v>62</v>
      </c>
      <c r="J374" s="12" t="s">
        <v>972</v>
      </c>
      <c r="K374" s="12" t="s">
        <v>64</v>
      </c>
      <c r="L374" s="14"/>
      <c r="M374" s="12" t="s">
        <v>43</v>
      </c>
      <c r="N374" s="12" t="s">
        <v>84</v>
      </c>
      <c r="O374" s="12" t="s">
        <v>1817</v>
      </c>
      <c r="P374" s="12" t="s">
        <v>66</v>
      </c>
      <c r="Q374" s="12" t="s">
        <v>233</v>
      </c>
      <c r="R374" s="12" t="s">
        <v>974</v>
      </c>
      <c r="S374" s="13">
        <v>197804669677</v>
      </c>
      <c r="T374" s="12" t="s">
        <v>235</v>
      </c>
      <c r="U374" s="13">
        <v>30</v>
      </c>
      <c r="V374" s="12" t="s">
        <v>665</v>
      </c>
      <c r="W374" s="12" t="s">
        <v>284</v>
      </c>
      <c r="X374" s="14"/>
      <c r="Y374" s="14"/>
      <c r="Z374" s="14"/>
      <c r="AA374" s="14"/>
      <c r="AB374" s="14"/>
      <c r="AC374" s="15">
        <v>29.55</v>
      </c>
      <c r="AD374" s="15">
        <f>AC374*AG374</f>
        <v>531.9</v>
      </c>
      <c r="AE374" s="15">
        <v>65</v>
      </c>
      <c r="AF374" s="15">
        <f>AE374*AG374</f>
        <v>1170</v>
      </c>
      <c r="AG374" s="16">
        <v>18</v>
      </c>
    </row>
    <row r="375" spans="1:33" ht="15" customHeight="1" x14ac:dyDescent="0.2">
      <c r="A375" s="11" t="str">
        <f t="shared" ref="A375:A3576" si="154">HYPERLINK("https://assets.vans.eu/images/VN000RCB1O7-HERO/1","VN000RCB1O71")</f>
        <v>VN000RCB1O71</v>
      </c>
      <c r="B375" s="12" t="s">
        <v>1818</v>
      </c>
      <c r="C375" s="12" t="s">
        <v>1819</v>
      </c>
      <c r="D375" s="12" t="s">
        <v>637</v>
      </c>
      <c r="E375" s="12" t="s">
        <v>1820</v>
      </c>
      <c r="F375" s="12" t="s">
        <v>403</v>
      </c>
      <c r="G375" s="14"/>
      <c r="H375" s="12" t="s">
        <v>61</v>
      </c>
      <c r="I375" s="12" t="s">
        <v>289</v>
      </c>
      <c r="J375" s="12" t="s">
        <v>706</v>
      </c>
      <c r="K375" s="12" t="s">
        <v>100</v>
      </c>
      <c r="L375" s="12" t="s">
        <v>83</v>
      </c>
      <c r="M375" s="12" t="s">
        <v>43</v>
      </c>
      <c r="N375" s="12" t="s">
        <v>84</v>
      </c>
      <c r="O375" s="12" t="s">
        <v>1821</v>
      </c>
      <c r="P375" s="12" t="s">
        <v>66</v>
      </c>
      <c r="Q375" s="12" t="s">
        <v>67</v>
      </c>
      <c r="R375" s="12" t="s">
        <v>708</v>
      </c>
      <c r="S375" s="13">
        <v>197804298099</v>
      </c>
      <c r="T375" s="12" t="s">
        <v>69</v>
      </c>
      <c r="U375" s="12" t="s">
        <v>403</v>
      </c>
      <c r="V375" s="12" t="s">
        <v>1386</v>
      </c>
      <c r="W375" s="12" t="s">
        <v>455</v>
      </c>
      <c r="X375" s="14"/>
      <c r="Y375" s="14"/>
      <c r="Z375" s="14"/>
      <c r="AA375" s="14"/>
      <c r="AB375" s="14"/>
      <c r="AC375" s="15">
        <v>34.1</v>
      </c>
      <c r="AD375" s="15">
        <f>AC375*AG375</f>
        <v>613.80000000000007</v>
      </c>
      <c r="AE375" s="15">
        <v>75</v>
      </c>
      <c r="AF375" s="15">
        <f>AE375*AG375</f>
        <v>1350</v>
      </c>
      <c r="AG375" s="16">
        <v>18</v>
      </c>
    </row>
    <row r="376" spans="1:33" ht="15" customHeight="1" x14ac:dyDescent="0.2">
      <c r="A376" s="11" t="str">
        <f t="shared" ref="A376:A567" si="155">HYPERLINK("https://assets.vans.eu/images/VN000RG41QI-HERO/1","VN000RG41QI1")</f>
        <v>VN000RG41QI1</v>
      </c>
      <c r="B376" s="12" t="s">
        <v>1822</v>
      </c>
      <c r="C376" s="12" t="s">
        <v>417</v>
      </c>
      <c r="D376" s="12" t="s">
        <v>1592</v>
      </c>
      <c r="E376" s="12" t="s">
        <v>1823</v>
      </c>
      <c r="F376" s="12" t="s">
        <v>170</v>
      </c>
      <c r="G376" s="14"/>
      <c r="H376" s="12" t="s">
        <v>61</v>
      </c>
      <c r="I376" s="12" t="s">
        <v>230</v>
      </c>
      <c r="J376" s="12" t="s">
        <v>419</v>
      </c>
      <c r="K376" s="12" t="s">
        <v>199</v>
      </c>
      <c r="L376" s="12" t="s">
        <v>83</v>
      </c>
      <c r="M376" s="12" t="s">
        <v>43</v>
      </c>
      <c r="N376" s="12" t="s">
        <v>84</v>
      </c>
      <c r="O376" s="12" t="s">
        <v>1824</v>
      </c>
      <c r="P376" s="12" t="s">
        <v>66</v>
      </c>
      <c r="Q376" s="12" t="s">
        <v>67</v>
      </c>
      <c r="R376" s="12" t="s">
        <v>421</v>
      </c>
      <c r="S376" s="13">
        <v>197804327973</v>
      </c>
      <c r="T376" s="12" t="s">
        <v>422</v>
      </c>
      <c r="U376" s="12" t="s">
        <v>170</v>
      </c>
      <c r="V376" s="12" t="s">
        <v>1825</v>
      </c>
      <c r="W376" s="12" t="s">
        <v>455</v>
      </c>
      <c r="X376" s="14"/>
      <c r="Y376" s="14"/>
      <c r="Z376" s="14"/>
      <c r="AA376" s="14"/>
      <c r="AB376" s="14"/>
      <c r="AC376" s="15">
        <v>20.5</v>
      </c>
      <c r="AD376" s="15">
        <f>AC376*AG376</f>
        <v>369</v>
      </c>
      <c r="AE376" s="15">
        <v>45</v>
      </c>
      <c r="AF376" s="15">
        <f>AE376*AG376</f>
        <v>810</v>
      </c>
      <c r="AG376" s="16">
        <v>18</v>
      </c>
    </row>
    <row r="377" spans="1:33" ht="15" customHeight="1" x14ac:dyDescent="0.2">
      <c r="A377" s="11" t="str">
        <f t="shared" ref="A377:A452" si="156">HYPERLINK("https://assets.vans.eu/images/VN0A4MQ35TU-HERO/1","VN0A4MQ35TU1")</f>
        <v>VN0A4MQ35TU1</v>
      </c>
      <c r="B377" s="12" t="s">
        <v>1826</v>
      </c>
      <c r="C377" s="12" t="s">
        <v>1827</v>
      </c>
      <c r="D377" s="12" t="s">
        <v>1356</v>
      </c>
      <c r="E377" s="12" t="s">
        <v>1828</v>
      </c>
      <c r="F377" s="12" t="s">
        <v>179</v>
      </c>
      <c r="G377" s="14"/>
      <c r="H377" s="12" t="s">
        <v>61</v>
      </c>
      <c r="I377" s="12" t="s">
        <v>62</v>
      </c>
      <c r="J377" s="12" t="s">
        <v>63</v>
      </c>
      <c r="K377" s="12" t="s">
        <v>64</v>
      </c>
      <c r="L377" s="12" t="s">
        <v>83</v>
      </c>
      <c r="M377" s="12" t="s">
        <v>43</v>
      </c>
      <c r="N377" s="12" t="s">
        <v>84</v>
      </c>
      <c r="O377" s="12" t="s">
        <v>1829</v>
      </c>
      <c r="P377" s="12" t="s">
        <v>66</v>
      </c>
      <c r="Q377" s="12" t="s">
        <v>67</v>
      </c>
      <c r="R377" s="12" t="s">
        <v>68</v>
      </c>
      <c r="S377" s="13">
        <v>197804299201</v>
      </c>
      <c r="T377" s="12" t="s">
        <v>422</v>
      </c>
      <c r="U377" s="12" t="s">
        <v>179</v>
      </c>
      <c r="V377" s="12" t="s">
        <v>70</v>
      </c>
      <c r="W377" s="12" t="s">
        <v>284</v>
      </c>
      <c r="X377" s="14"/>
      <c r="Y377" s="14"/>
      <c r="Z377" s="14"/>
      <c r="AA377" s="14"/>
      <c r="AB377" s="14"/>
      <c r="AC377" s="15">
        <v>9.1</v>
      </c>
      <c r="AD377" s="15">
        <f>AC377*AG377</f>
        <v>163.79999999999998</v>
      </c>
      <c r="AE377" s="15">
        <v>20</v>
      </c>
      <c r="AF377" s="15">
        <f>AE377*AG377</f>
        <v>360</v>
      </c>
      <c r="AG377" s="16">
        <v>18</v>
      </c>
    </row>
    <row r="378" spans="1:33" ht="15" customHeight="1" x14ac:dyDescent="0.2">
      <c r="A378" s="11" t="str">
        <f>HYPERLINK("https://assets.vans.eu/images/VN000F0CBLK-HERO/1","VN000F0CBLK1")</f>
        <v>VN000F0CBLK1</v>
      </c>
      <c r="B378" s="12" t="s">
        <v>1830</v>
      </c>
      <c r="C378" s="12" t="s">
        <v>1831</v>
      </c>
      <c r="D378" s="12" t="s">
        <v>76</v>
      </c>
      <c r="E378" s="12" t="s">
        <v>1832</v>
      </c>
      <c r="F378" s="12" t="s">
        <v>78</v>
      </c>
      <c r="G378" s="14"/>
      <c r="H378" s="12" t="s">
        <v>441</v>
      </c>
      <c r="I378" s="12" t="s">
        <v>442</v>
      </c>
      <c r="J378" s="12" t="s">
        <v>1833</v>
      </c>
      <c r="K378" s="12" t="s">
        <v>199</v>
      </c>
      <c r="L378" s="14"/>
      <c r="M378" s="12" t="s">
        <v>43</v>
      </c>
      <c r="N378" s="12" t="s">
        <v>44</v>
      </c>
      <c r="O378" s="12" t="s">
        <v>1834</v>
      </c>
      <c r="P378" s="12" t="s">
        <v>445</v>
      </c>
      <c r="Q378" s="12" t="s">
        <v>446</v>
      </c>
      <c r="R378" s="12" t="s">
        <v>1835</v>
      </c>
      <c r="S378" s="13">
        <v>196574907071</v>
      </c>
      <c r="T378" s="12" t="s">
        <v>105</v>
      </c>
      <c r="U378" s="12" t="s">
        <v>78</v>
      </c>
      <c r="V378" s="12" t="s">
        <v>1836</v>
      </c>
      <c r="W378" s="12" t="s">
        <v>51</v>
      </c>
      <c r="X378" s="13">
        <v>0</v>
      </c>
      <c r="Y378" s="12" t="s">
        <v>91</v>
      </c>
      <c r="Z378" s="12" t="s">
        <v>108</v>
      </c>
      <c r="AA378" s="13">
        <v>0</v>
      </c>
      <c r="AB378" s="13">
        <v>0</v>
      </c>
      <c r="AC378" s="15">
        <v>11.4</v>
      </c>
      <c r="AD378" s="15">
        <f>AC378*AG378</f>
        <v>205.20000000000002</v>
      </c>
      <c r="AE378" s="15">
        <v>25</v>
      </c>
      <c r="AF378" s="15">
        <f>AE378*AG378</f>
        <v>450</v>
      </c>
      <c r="AG378" s="16">
        <v>18</v>
      </c>
    </row>
    <row r="379" spans="1:33" ht="15" customHeight="1" x14ac:dyDescent="0.2">
      <c r="A379" s="11" t="str">
        <f t="shared" si="96"/>
        <v>VN0007P9CL21</v>
      </c>
      <c r="B379" s="12" t="s">
        <v>1837</v>
      </c>
      <c r="C379" s="12" t="s">
        <v>883</v>
      </c>
      <c r="D379" s="12" t="s">
        <v>1296</v>
      </c>
      <c r="E379" s="12" t="s">
        <v>1838</v>
      </c>
      <c r="F379" s="13">
        <v>100</v>
      </c>
      <c r="G379" s="12" t="s">
        <v>886</v>
      </c>
      <c r="H379" s="12" t="s">
        <v>38</v>
      </c>
      <c r="I379" s="12" t="s">
        <v>113</v>
      </c>
      <c r="J379" s="12" t="s">
        <v>529</v>
      </c>
      <c r="K379" s="12" t="s">
        <v>100</v>
      </c>
      <c r="L379" s="12" t="s">
        <v>350</v>
      </c>
      <c r="M379" s="12" t="s">
        <v>43</v>
      </c>
      <c r="N379" s="12" t="s">
        <v>84</v>
      </c>
      <c r="O379" s="12" t="s">
        <v>1839</v>
      </c>
      <c r="P379" s="12" t="s">
        <v>46</v>
      </c>
      <c r="Q379" s="12" t="s">
        <v>47</v>
      </c>
      <c r="R379" s="12" t="s">
        <v>117</v>
      </c>
      <c r="S379" s="13">
        <v>197063417774</v>
      </c>
      <c r="T379" s="12" t="s">
        <v>49</v>
      </c>
      <c r="U379" s="13">
        <v>41</v>
      </c>
      <c r="V379" s="12" t="s">
        <v>50</v>
      </c>
      <c r="W379" s="12" t="s">
        <v>299</v>
      </c>
      <c r="X379" s="14"/>
      <c r="Y379" s="12" t="s">
        <v>71</v>
      </c>
      <c r="Z379" s="12" t="s">
        <v>376</v>
      </c>
      <c r="AA379" s="14"/>
      <c r="AB379" s="14"/>
      <c r="AC379" s="15">
        <v>40.5</v>
      </c>
      <c r="AD379" s="15">
        <f>AC379*AG379</f>
        <v>729</v>
      </c>
      <c r="AE379" s="15">
        <v>85</v>
      </c>
      <c r="AF379" s="15">
        <f>AE379*AG379</f>
        <v>1530</v>
      </c>
      <c r="AG379" s="16">
        <v>18</v>
      </c>
    </row>
    <row r="380" spans="1:33" ht="15" customHeight="1" x14ac:dyDescent="0.2">
      <c r="A380" s="11" t="str">
        <f t="shared" si="143"/>
        <v>VN000BCE2N11</v>
      </c>
      <c r="B380" s="12" t="s">
        <v>1840</v>
      </c>
      <c r="C380" s="12" t="s">
        <v>1103</v>
      </c>
      <c r="D380" s="12" t="s">
        <v>1082</v>
      </c>
      <c r="E380" s="12" t="s">
        <v>1841</v>
      </c>
      <c r="F380" s="13">
        <v>110</v>
      </c>
      <c r="G380" s="14"/>
      <c r="H380" s="12" t="s">
        <v>38</v>
      </c>
      <c r="I380" s="12" t="s">
        <v>159</v>
      </c>
      <c r="J380" s="12" t="s">
        <v>255</v>
      </c>
      <c r="K380" s="12" t="s">
        <v>82</v>
      </c>
      <c r="L380" s="14"/>
      <c r="M380" s="12" t="s">
        <v>43</v>
      </c>
      <c r="N380" s="12" t="s">
        <v>84</v>
      </c>
      <c r="O380" s="12" t="s">
        <v>1842</v>
      </c>
      <c r="P380" s="12" t="s">
        <v>46</v>
      </c>
      <c r="Q380" s="12" t="s">
        <v>47</v>
      </c>
      <c r="R380" s="12" t="s">
        <v>163</v>
      </c>
      <c r="S380" s="13">
        <v>197804505456</v>
      </c>
      <c r="T380" s="12" t="s">
        <v>49</v>
      </c>
      <c r="U380" s="13">
        <v>44.5</v>
      </c>
      <c r="V380" s="12" t="s">
        <v>50</v>
      </c>
      <c r="W380" s="12" t="s">
        <v>580</v>
      </c>
      <c r="X380" s="14"/>
      <c r="Y380" s="14"/>
      <c r="Z380" s="14"/>
      <c r="AA380" s="14"/>
      <c r="AB380" s="14"/>
      <c r="AC380" s="15">
        <v>59.1</v>
      </c>
      <c r="AD380" s="15">
        <f>AC380*AG380</f>
        <v>1063.8</v>
      </c>
      <c r="AE380" s="15">
        <v>130</v>
      </c>
      <c r="AF380" s="15">
        <f>AE380*AG380</f>
        <v>2340</v>
      </c>
      <c r="AG380" s="16">
        <v>18</v>
      </c>
    </row>
    <row r="381" spans="1:33" ht="15" customHeight="1" x14ac:dyDescent="0.2">
      <c r="A381" s="11" t="str">
        <f t="shared" ref="A381:A626" si="157">HYPERLINK("https://assets.vans.eu/images/VN000BCEBA2-HERO/1","VN000BCEBA21")</f>
        <v>VN000BCEBA21</v>
      </c>
      <c r="B381" s="12" t="s">
        <v>1843</v>
      </c>
      <c r="C381" s="12" t="s">
        <v>1103</v>
      </c>
      <c r="D381" s="12" t="s">
        <v>1844</v>
      </c>
      <c r="E381" s="12" t="s">
        <v>1845</v>
      </c>
      <c r="F381" s="13">
        <v>40</v>
      </c>
      <c r="G381" s="14"/>
      <c r="H381" s="12" t="s">
        <v>38</v>
      </c>
      <c r="I381" s="12" t="s">
        <v>159</v>
      </c>
      <c r="J381" s="12" t="s">
        <v>255</v>
      </c>
      <c r="K381" s="12" t="s">
        <v>82</v>
      </c>
      <c r="L381" s="14"/>
      <c r="M381" s="12" t="s">
        <v>43</v>
      </c>
      <c r="N381" s="12" t="s">
        <v>84</v>
      </c>
      <c r="O381" s="12" t="s">
        <v>1846</v>
      </c>
      <c r="P381" s="12" t="s">
        <v>46</v>
      </c>
      <c r="Q381" s="12" t="s">
        <v>47</v>
      </c>
      <c r="R381" s="12" t="s">
        <v>163</v>
      </c>
      <c r="S381" s="13">
        <v>196573431584</v>
      </c>
      <c r="T381" s="12" t="s">
        <v>49</v>
      </c>
      <c r="U381" s="13">
        <v>35</v>
      </c>
      <c r="V381" s="12" t="s">
        <v>50</v>
      </c>
      <c r="W381" s="12" t="s">
        <v>51</v>
      </c>
      <c r="X381" s="14"/>
      <c r="Y381" s="12" t="s">
        <v>91</v>
      </c>
      <c r="Z381" s="12" t="s">
        <v>165</v>
      </c>
      <c r="AA381" s="14"/>
      <c r="AB381" s="14"/>
      <c r="AC381" s="15">
        <v>59.1</v>
      </c>
      <c r="AD381" s="15">
        <f>AC381*AG381</f>
        <v>1063.8</v>
      </c>
      <c r="AE381" s="15">
        <v>130</v>
      </c>
      <c r="AF381" s="15">
        <f>AE381*AG381</f>
        <v>2340</v>
      </c>
      <c r="AG381" s="16">
        <v>18</v>
      </c>
    </row>
    <row r="382" spans="1:33" ht="15" customHeight="1" x14ac:dyDescent="0.2">
      <c r="A382" s="11" t="str">
        <f t="shared" si="109"/>
        <v>VN000CQ0O331</v>
      </c>
      <c r="B382" s="12" t="s">
        <v>1847</v>
      </c>
      <c r="C382" s="12" t="s">
        <v>1422</v>
      </c>
      <c r="D382" s="12" t="s">
        <v>1423</v>
      </c>
      <c r="E382" s="12" t="s">
        <v>1848</v>
      </c>
      <c r="F382" s="13">
        <v>50</v>
      </c>
      <c r="G382" s="12" t="s">
        <v>1425</v>
      </c>
      <c r="H382" s="12" t="s">
        <v>38</v>
      </c>
      <c r="I382" s="12" t="s">
        <v>242</v>
      </c>
      <c r="J382" s="12" t="s">
        <v>243</v>
      </c>
      <c r="K382" s="12" t="s">
        <v>244</v>
      </c>
      <c r="L382" s="14"/>
      <c r="M382" s="12" t="s">
        <v>43</v>
      </c>
      <c r="N382" s="12" t="s">
        <v>84</v>
      </c>
      <c r="O382" s="12" t="s">
        <v>1849</v>
      </c>
      <c r="P382" s="12" t="s">
        <v>46</v>
      </c>
      <c r="Q382" s="12" t="s">
        <v>47</v>
      </c>
      <c r="R382" s="12" t="s">
        <v>313</v>
      </c>
      <c r="S382" s="13">
        <v>197804507719</v>
      </c>
      <c r="T382" s="12" t="s">
        <v>49</v>
      </c>
      <c r="U382" s="13">
        <v>21</v>
      </c>
      <c r="V382" s="12" t="s">
        <v>50</v>
      </c>
      <c r="W382" s="12" t="s">
        <v>284</v>
      </c>
      <c r="X382" s="14"/>
      <c r="Y382" s="14"/>
      <c r="Z382" s="14"/>
      <c r="AA382" s="14"/>
      <c r="AB382" s="14"/>
      <c r="AC382" s="15">
        <v>25</v>
      </c>
      <c r="AD382" s="15">
        <f>AC382*AG382</f>
        <v>450</v>
      </c>
      <c r="AE382" s="15">
        <v>55</v>
      </c>
      <c r="AF382" s="15">
        <f>AE382*AG382</f>
        <v>990</v>
      </c>
      <c r="AG382" s="16">
        <v>18</v>
      </c>
    </row>
    <row r="383" spans="1:33" ht="15" customHeight="1" x14ac:dyDescent="0.2">
      <c r="A383" s="11" t="str">
        <f t="shared" ref="A383:A627" si="158">HYPERLINK("https://assets.vans.eu/images/VN000CQRYLZ-HERO/1","VN000CQRYLZ1")</f>
        <v>VN000CQRYLZ1</v>
      </c>
      <c r="B383" s="12" t="s">
        <v>1850</v>
      </c>
      <c r="C383" s="12" t="s">
        <v>1458</v>
      </c>
      <c r="D383" s="12" t="s">
        <v>458</v>
      </c>
      <c r="E383" s="12" t="s">
        <v>1851</v>
      </c>
      <c r="F383" s="13">
        <v>40</v>
      </c>
      <c r="G383" s="12" t="s">
        <v>1852</v>
      </c>
      <c r="H383" s="12" t="s">
        <v>38</v>
      </c>
      <c r="I383" s="12" t="s">
        <v>113</v>
      </c>
      <c r="J383" s="12" t="s">
        <v>529</v>
      </c>
      <c r="K383" s="12" t="s">
        <v>82</v>
      </c>
      <c r="L383" s="14"/>
      <c r="M383" s="12" t="s">
        <v>43</v>
      </c>
      <c r="N383" s="12" t="s">
        <v>44</v>
      </c>
      <c r="O383" s="12" t="s">
        <v>1853</v>
      </c>
      <c r="P383" s="12" t="s">
        <v>46</v>
      </c>
      <c r="Q383" s="12" t="s">
        <v>47</v>
      </c>
      <c r="R383" s="12" t="s">
        <v>117</v>
      </c>
      <c r="S383" s="13">
        <v>197643237600</v>
      </c>
      <c r="T383" s="12" t="s">
        <v>49</v>
      </c>
      <c r="U383" s="13">
        <v>35</v>
      </c>
      <c r="V383" s="12" t="s">
        <v>50</v>
      </c>
      <c r="W383" s="12" t="s">
        <v>299</v>
      </c>
      <c r="X383" s="14"/>
      <c r="Y383" s="12" t="s">
        <v>53</v>
      </c>
      <c r="Z383" s="12" t="s">
        <v>1462</v>
      </c>
      <c r="AA383" s="14"/>
      <c r="AB383" s="14"/>
      <c r="AC383" s="15">
        <v>43.2</v>
      </c>
      <c r="AD383" s="15">
        <f>AC383*AG383</f>
        <v>777.6</v>
      </c>
      <c r="AE383" s="15">
        <v>95</v>
      </c>
      <c r="AF383" s="15">
        <f>AE383*AG383</f>
        <v>1710</v>
      </c>
      <c r="AG383" s="16">
        <v>18</v>
      </c>
    </row>
    <row r="384" spans="1:33" ht="15" customHeight="1" x14ac:dyDescent="0.2">
      <c r="A384" s="11" t="str">
        <f t="shared" si="51"/>
        <v>VN000CS5PIB1</v>
      </c>
      <c r="B384" s="12" t="s">
        <v>1854</v>
      </c>
      <c r="C384" s="12" t="s">
        <v>828</v>
      </c>
      <c r="D384" s="12" t="s">
        <v>829</v>
      </c>
      <c r="E384" s="12" t="s">
        <v>1855</v>
      </c>
      <c r="F384" s="13">
        <v>40</v>
      </c>
      <c r="G384" s="12" t="s">
        <v>831</v>
      </c>
      <c r="H384" s="12" t="s">
        <v>38</v>
      </c>
      <c r="I384" s="12" t="s">
        <v>776</v>
      </c>
      <c r="J384" s="12" t="s">
        <v>777</v>
      </c>
      <c r="K384" s="12" t="s">
        <v>778</v>
      </c>
      <c r="L384" s="14"/>
      <c r="M384" s="12" t="s">
        <v>43</v>
      </c>
      <c r="N384" s="12" t="s">
        <v>84</v>
      </c>
      <c r="O384" s="12" t="s">
        <v>1856</v>
      </c>
      <c r="P384" s="12" t="s">
        <v>46</v>
      </c>
      <c r="Q384" s="12" t="s">
        <v>47</v>
      </c>
      <c r="R384" s="12" t="s">
        <v>48</v>
      </c>
      <c r="S384" s="13">
        <v>197804510160</v>
      </c>
      <c r="T384" s="12" t="s">
        <v>49</v>
      </c>
      <c r="U384" s="13">
        <v>19</v>
      </c>
      <c r="V384" s="12" t="s">
        <v>50</v>
      </c>
      <c r="W384" s="12" t="s">
        <v>299</v>
      </c>
      <c r="X384" s="14"/>
      <c r="Y384" s="14"/>
      <c r="Z384" s="14"/>
      <c r="AA384" s="14"/>
      <c r="AB384" s="14"/>
      <c r="AC384" s="15">
        <v>15.95</v>
      </c>
      <c r="AD384" s="15">
        <f>AC384*AG384</f>
        <v>287.09999999999997</v>
      </c>
      <c r="AE384" s="15">
        <v>35</v>
      </c>
      <c r="AF384" s="15">
        <f>AE384*AG384</f>
        <v>630</v>
      </c>
      <c r="AG384" s="16">
        <v>18</v>
      </c>
    </row>
    <row r="385" spans="1:33" ht="15" customHeight="1" x14ac:dyDescent="0.2">
      <c r="A385" s="11" t="str">
        <f t="shared" si="130"/>
        <v>VN000CTGYLZ1</v>
      </c>
      <c r="B385" s="12" t="s">
        <v>1857</v>
      </c>
      <c r="C385" s="12" t="s">
        <v>238</v>
      </c>
      <c r="D385" s="12" t="s">
        <v>458</v>
      </c>
      <c r="E385" s="12" t="s">
        <v>1858</v>
      </c>
      <c r="F385" s="13">
        <v>50</v>
      </c>
      <c r="G385" s="12" t="s">
        <v>775</v>
      </c>
      <c r="H385" s="12" t="s">
        <v>38</v>
      </c>
      <c r="I385" s="12" t="s">
        <v>242</v>
      </c>
      <c r="J385" s="12" t="s">
        <v>243</v>
      </c>
      <c r="K385" s="12" t="s">
        <v>244</v>
      </c>
      <c r="L385" s="14"/>
      <c r="M385" s="12" t="s">
        <v>43</v>
      </c>
      <c r="N385" s="12" t="s">
        <v>84</v>
      </c>
      <c r="O385" s="12" t="s">
        <v>1859</v>
      </c>
      <c r="P385" s="12" t="s">
        <v>46</v>
      </c>
      <c r="Q385" s="12" t="s">
        <v>47</v>
      </c>
      <c r="R385" s="12" t="s">
        <v>48</v>
      </c>
      <c r="S385" s="13">
        <v>197804513789</v>
      </c>
      <c r="T385" s="12" t="s">
        <v>105</v>
      </c>
      <c r="U385" s="13">
        <v>21</v>
      </c>
      <c r="V385" s="12" t="s">
        <v>278</v>
      </c>
      <c r="W385" s="12" t="s">
        <v>299</v>
      </c>
      <c r="X385" s="14"/>
      <c r="Y385" s="14"/>
      <c r="Z385" s="14"/>
      <c r="AA385" s="14"/>
      <c r="AB385" s="14"/>
      <c r="AC385" s="15">
        <v>25</v>
      </c>
      <c r="AD385" s="15">
        <f>AC385*AG385</f>
        <v>450</v>
      </c>
      <c r="AE385" s="15">
        <v>55</v>
      </c>
      <c r="AF385" s="15">
        <f>AE385*AG385</f>
        <v>990</v>
      </c>
      <c r="AG385" s="16">
        <v>18</v>
      </c>
    </row>
    <row r="386" spans="1:33" ht="15" customHeight="1" x14ac:dyDescent="0.2">
      <c r="A386" s="11" t="str">
        <f t="shared" ref="A386:A423" si="159">HYPERLINK("https://assets.vans.eu/images/VN000D1H887-HERO/1","VN000D1H8871")</f>
        <v>VN000D1H8871</v>
      </c>
      <c r="B386" s="12" t="s">
        <v>1860</v>
      </c>
      <c r="C386" s="12" t="s">
        <v>1614</v>
      </c>
      <c r="D386" s="12" t="s">
        <v>1249</v>
      </c>
      <c r="E386" s="12" t="s">
        <v>1861</v>
      </c>
      <c r="F386" s="13">
        <v>40</v>
      </c>
      <c r="G386" s="14"/>
      <c r="H386" s="12" t="s">
        <v>38</v>
      </c>
      <c r="I386" s="12" t="s">
        <v>113</v>
      </c>
      <c r="J386" s="12" t="s">
        <v>529</v>
      </c>
      <c r="K386" s="12" t="s">
        <v>82</v>
      </c>
      <c r="L386" s="14"/>
      <c r="M386" s="12" t="s">
        <v>43</v>
      </c>
      <c r="N386" s="12" t="s">
        <v>44</v>
      </c>
      <c r="O386" s="12" t="s">
        <v>1862</v>
      </c>
      <c r="P386" s="12" t="s">
        <v>46</v>
      </c>
      <c r="Q386" s="12" t="s">
        <v>47</v>
      </c>
      <c r="R386" s="12" t="s">
        <v>117</v>
      </c>
      <c r="S386" s="13">
        <v>197643311904</v>
      </c>
      <c r="T386" s="12" t="s">
        <v>49</v>
      </c>
      <c r="U386" s="13">
        <v>35</v>
      </c>
      <c r="V386" s="12" t="s">
        <v>50</v>
      </c>
      <c r="W386" s="12" t="s">
        <v>284</v>
      </c>
      <c r="X386" s="14"/>
      <c r="Y386" s="12" t="s">
        <v>53</v>
      </c>
      <c r="Z386" s="12" t="s">
        <v>263</v>
      </c>
      <c r="AA386" s="14"/>
      <c r="AB386" s="14"/>
      <c r="AC386" s="15">
        <v>50</v>
      </c>
      <c r="AD386" s="15">
        <f>AC386*AG386</f>
        <v>900</v>
      </c>
      <c r="AE386" s="15">
        <v>110</v>
      </c>
      <c r="AF386" s="15">
        <f>AE386*AG386</f>
        <v>1980</v>
      </c>
      <c r="AG386" s="16">
        <v>18</v>
      </c>
    </row>
    <row r="387" spans="1:33" ht="15" customHeight="1" x14ac:dyDescent="0.2">
      <c r="A387" s="11" t="str">
        <f t="shared" si="92"/>
        <v>VN000D4SCFL1</v>
      </c>
      <c r="B387" s="12" t="s">
        <v>1863</v>
      </c>
      <c r="C387" s="12" t="s">
        <v>1257</v>
      </c>
      <c r="D387" s="12" t="s">
        <v>1258</v>
      </c>
      <c r="E387" s="12" t="s">
        <v>1864</v>
      </c>
      <c r="F387" s="13">
        <v>50</v>
      </c>
      <c r="G387" s="14"/>
      <c r="H387" s="12" t="s">
        <v>38</v>
      </c>
      <c r="I387" s="12" t="s">
        <v>242</v>
      </c>
      <c r="J387" s="12" t="s">
        <v>243</v>
      </c>
      <c r="K387" s="12" t="s">
        <v>244</v>
      </c>
      <c r="L387" s="14"/>
      <c r="M387" s="12" t="s">
        <v>43</v>
      </c>
      <c r="N387" s="12" t="s">
        <v>84</v>
      </c>
      <c r="O387" s="12" t="s">
        <v>1865</v>
      </c>
      <c r="P387" s="12" t="s">
        <v>46</v>
      </c>
      <c r="Q387" s="12" t="s">
        <v>47</v>
      </c>
      <c r="R387" s="12" t="s">
        <v>48</v>
      </c>
      <c r="S387" s="13">
        <v>197804530953</v>
      </c>
      <c r="T387" s="12" t="s">
        <v>105</v>
      </c>
      <c r="U387" s="13">
        <v>21</v>
      </c>
      <c r="V387" s="12" t="s">
        <v>50</v>
      </c>
      <c r="W387" s="12" t="s">
        <v>284</v>
      </c>
      <c r="X387" s="14"/>
      <c r="Y387" s="14"/>
      <c r="Z387" s="14"/>
      <c r="AA387" s="14"/>
      <c r="AB387" s="14"/>
      <c r="AC387" s="15">
        <v>22.75</v>
      </c>
      <c r="AD387" s="15">
        <f>AC387*AG387</f>
        <v>409.5</v>
      </c>
      <c r="AE387" s="15">
        <v>50</v>
      </c>
      <c r="AF387" s="15">
        <f>AE387*AG387</f>
        <v>900</v>
      </c>
      <c r="AG387" s="16">
        <v>18</v>
      </c>
    </row>
    <row r="388" spans="1:33" ht="15" customHeight="1" x14ac:dyDescent="0.2">
      <c r="A388" s="11" t="str">
        <f t="shared" si="78"/>
        <v>VN000E9YBGP1</v>
      </c>
      <c r="B388" s="12" t="s">
        <v>1866</v>
      </c>
      <c r="C388" s="12" t="s">
        <v>34</v>
      </c>
      <c r="D388" s="12" t="s">
        <v>1119</v>
      </c>
      <c r="E388" s="12" t="s">
        <v>1867</v>
      </c>
      <c r="F388" s="13">
        <v>65</v>
      </c>
      <c r="G388" s="14"/>
      <c r="H388" s="12" t="s">
        <v>38</v>
      </c>
      <c r="I388" s="12" t="s">
        <v>205</v>
      </c>
      <c r="J388" s="12" t="s">
        <v>206</v>
      </c>
      <c r="K388" s="12" t="s">
        <v>207</v>
      </c>
      <c r="L388" s="12" t="s">
        <v>260</v>
      </c>
      <c r="M388" s="12" t="s">
        <v>43</v>
      </c>
      <c r="N388" s="12" t="s">
        <v>84</v>
      </c>
      <c r="O388" s="12" t="s">
        <v>1868</v>
      </c>
      <c r="P388" s="12" t="s">
        <v>46</v>
      </c>
      <c r="Q388" s="12" t="s">
        <v>47</v>
      </c>
      <c r="R388" s="12" t="s">
        <v>48</v>
      </c>
      <c r="S388" s="13">
        <v>197804872688</v>
      </c>
      <c r="T388" s="12" t="s">
        <v>164</v>
      </c>
      <c r="U388" s="13">
        <v>38.5</v>
      </c>
      <c r="V388" s="12" t="s">
        <v>50</v>
      </c>
      <c r="W388" s="12" t="s">
        <v>284</v>
      </c>
      <c r="X388" s="14"/>
      <c r="Y388" s="14"/>
      <c r="Z388" s="14"/>
      <c r="AA388" s="14"/>
      <c r="AB388" s="14"/>
      <c r="AC388" s="15">
        <v>29.55</v>
      </c>
      <c r="AD388" s="15">
        <f>AC388*AG388</f>
        <v>531.9</v>
      </c>
      <c r="AE388" s="15">
        <v>65</v>
      </c>
      <c r="AF388" s="15">
        <f>AE388*AG388</f>
        <v>1170</v>
      </c>
      <c r="AG388" s="16">
        <v>18</v>
      </c>
    </row>
    <row r="389" spans="1:33" ht="15" customHeight="1" x14ac:dyDescent="0.2">
      <c r="A389" s="11" t="str">
        <f>HYPERLINK("https://assets.vans.eu/images/VN000Q1UBLK-HERO/1","VN000Q1UBLK1")</f>
        <v>VN000Q1UBLK1</v>
      </c>
      <c r="B389" s="12" t="s">
        <v>1869</v>
      </c>
      <c r="C389" s="12" t="s">
        <v>1870</v>
      </c>
      <c r="D389" s="12" t="s">
        <v>76</v>
      </c>
      <c r="E389" s="12" t="s">
        <v>1871</v>
      </c>
      <c r="F389" s="13">
        <v>122</v>
      </c>
      <c r="G389" s="14"/>
      <c r="H389" s="12" t="s">
        <v>79</v>
      </c>
      <c r="I389" s="12" t="s">
        <v>472</v>
      </c>
      <c r="J389" s="12" t="s">
        <v>473</v>
      </c>
      <c r="K389" s="12" t="s">
        <v>474</v>
      </c>
      <c r="L389" s="14"/>
      <c r="M389" s="12" t="s">
        <v>43</v>
      </c>
      <c r="N389" s="12" t="s">
        <v>84</v>
      </c>
      <c r="O389" s="12" t="s">
        <v>1872</v>
      </c>
      <c r="P389" s="12" t="s">
        <v>86</v>
      </c>
      <c r="Q389" s="12" t="s">
        <v>141</v>
      </c>
      <c r="R389" s="12" t="s">
        <v>142</v>
      </c>
      <c r="S389" s="13">
        <v>197804383726</v>
      </c>
      <c r="T389" s="12" t="s">
        <v>143</v>
      </c>
      <c r="U389" s="12" t="s">
        <v>602</v>
      </c>
      <c r="V389" s="12" t="s">
        <v>1873</v>
      </c>
      <c r="W389" s="12" t="s">
        <v>51</v>
      </c>
      <c r="X389" s="14"/>
      <c r="Y389" s="14"/>
      <c r="Z389" s="14"/>
      <c r="AA389" s="14"/>
      <c r="AB389" s="14"/>
      <c r="AC389" s="15">
        <v>5.5</v>
      </c>
      <c r="AD389" s="15">
        <f>AC389*AG389</f>
        <v>93.5</v>
      </c>
      <c r="AE389" s="15">
        <v>12</v>
      </c>
      <c r="AF389" s="15">
        <f>AE389*AG389</f>
        <v>204</v>
      </c>
      <c r="AG389" s="16">
        <v>17</v>
      </c>
    </row>
    <row r="390" spans="1:33" ht="15" customHeight="1" x14ac:dyDescent="0.2">
      <c r="A390" s="11" t="str">
        <f t="shared" si="123"/>
        <v>VN000QCMBLK1</v>
      </c>
      <c r="B390" s="12" t="s">
        <v>1874</v>
      </c>
      <c r="C390" s="12" t="s">
        <v>1547</v>
      </c>
      <c r="D390" s="12" t="s">
        <v>76</v>
      </c>
      <c r="E390" s="12" t="s">
        <v>1875</v>
      </c>
      <c r="F390" s="13">
        <v>30</v>
      </c>
      <c r="G390" s="14"/>
      <c r="H390" s="12" t="s">
        <v>79</v>
      </c>
      <c r="I390" s="12" t="s">
        <v>80</v>
      </c>
      <c r="J390" s="12" t="s">
        <v>99</v>
      </c>
      <c r="K390" s="12" t="s">
        <v>82</v>
      </c>
      <c r="L390" s="14"/>
      <c r="M390" s="12" t="s">
        <v>43</v>
      </c>
      <c r="N390" s="12" t="s">
        <v>84</v>
      </c>
      <c r="O390" s="12" t="s">
        <v>1876</v>
      </c>
      <c r="P390" s="12" t="s">
        <v>86</v>
      </c>
      <c r="Q390" s="12" t="s">
        <v>103</v>
      </c>
      <c r="R390" s="12" t="s">
        <v>104</v>
      </c>
      <c r="S390" s="13">
        <v>197804375462</v>
      </c>
      <c r="T390" s="12" t="s">
        <v>49</v>
      </c>
      <c r="U390" s="13">
        <v>30</v>
      </c>
      <c r="V390" s="12" t="s">
        <v>1550</v>
      </c>
      <c r="W390" s="12" t="s">
        <v>51</v>
      </c>
      <c r="X390" s="14"/>
      <c r="Y390" s="14"/>
      <c r="Z390" s="14"/>
      <c r="AA390" s="14"/>
      <c r="AB390" s="14"/>
      <c r="AC390" s="15">
        <v>22.75</v>
      </c>
      <c r="AD390" s="15">
        <f>AC390*AG390</f>
        <v>386.75</v>
      </c>
      <c r="AE390" s="15">
        <v>50</v>
      </c>
      <c r="AF390" s="15">
        <f>AE390*AG390</f>
        <v>850</v>
      </c>
      <c r="AG390" s="16">
        <v>17</v>
      </c>
    </row>
    <row r="391" spans="1:33" ht="15" customHeight="1" x14ac:dyDescent="0.2">
      <c r="A391" s="11" t="str">
        <f t="shared" ref="A391:A2955" si="160">HYPERLINK("https://assets.vans.eu/images/VN000G756PH-HERO/1","VN000G756PH1")</f>
        <v>VN000G756PH1</v>
      </c>
      <c r="B391" s="12" t="s">
        <v>1877</v>
      </c>
      <c r="C391" s="12" t="s">
        <v>1188</v>
      </c>
      <c r="D391" s="12" t="s">
        <v>1878</v>
      </c>
      <c r="E391" s="12" t="s">
        <v>1879</v>
      </c>
      <c r="F391" s="12" t="s">
        <v>179</v>
      </c>
      <c r="G391" s="14"/>
      <c r="H391" s="12" t="s">
        <v>61</v>
      </c>
      <c r="I391" s="12" t="s">
        <v>230</v>
      </c>
      <c r="J391" s="12" t="s">
        <v>557</v>
      </c>
      <c r="K391" s="12" t="s">
        <v>199</v>
      </c>
      <c r="L391" s="14"/>
      <c r="M391" s="12" t="s">
        <v>43</v>
      </c>
      <c r="N391" s="12" t="s">
        <v>44</v>
      </c>
      <c r="O391" s="12" t="s">
        <v>1880</v>
      </c>
      <c r="P391" s="12" t="s">
        <v>66</v>
      </c>
      <c r="Q391" s="12" t="s">
        <v>559</v>
      </c>
      <c r="R391" s="12" t="s">
        <v>560</v>
      </c>
      <c r="S391" s="13">
        <v>197643553960</v>
      </c>
      <c r="T391" s="12" t="s">
        <v>49</v>
      </c>
      <c r="U391" s="12" t="s">
        <v>179</v>
      </c>
      <c r="V391" s="12" t="s">
        <v>1191</v>
      </c>
      <c r="W391" s="12" t="s">
        <v>107</v>
      </c>
      <c r="X391" s="12" t="s">
        <v>500</v>
      </c>
      <c r="Y391" s="12" t="s">
        <v>91</v>
      </c>
      <c r="Z391" s="12" t="s">
        <v>108</v>
      </c>
      <c r="AA391" s="13">
        <v>0</v>
      </c>
      <c r="AB391" s="13">
        <v>0</v>
      </c>
      <c r="AC391" s="15">
        <v>25</v>
      </c>
      <c r="AD391" s="15">
        <f>AC391*AG391</f>
        <v>425</v>
      </c>
      <c r="AE391" s="15">
        <v>55</v>
      </c>
      <c r="AF391" s="15">
        <f>AE391*AG391</f>
        <v>935</v>
      </c>
      <c r="AG391" s="16">
        <v>17</v>
      </c>
    </row>
    <row r="392" spans="1:33" ht="15" customHeight="1" x14ac:dyDescent="0.2">
      <c r="A392" s="11" t="str">
        <f t="shared" si="148"/>
        <v>VN000J79BLK1</v>
      </c>
      <c r="B392" s="12" t="s">
        <v>1881</v>
      </c>
      <c r="C392" s="12" t="s">
        <v>1788</v>
      </c>
      <c r="D392" s="12" t="s">
        <v>76</v>
      </c>
      <c r="E392" s="12" t="s">
        <v>1882</v>
      </c>
      <c r="F392" s="12" t="s">
        <v>170</v>
      </c>
      <c r="G392" s="14"/>
      <c r="H392" s="12" t="s">
        <v>61</v>
      </c>
      <c r="I392" s="12" t="s">
        <v>62</v>
      </c>
      <c r="J392" s="12" t="s">
        <v>63</v>
      </c>
      <c r="K392" s="12" t="s">
        <v>1022</v>
      </c>
      <c r="L392" s="14"/>
      <c r="M392" s="12" t="s">
        <v>43</v>
      </c>
      <c r="N392" s="12" t="s">
        <v>44</v>
      </c>
      <c r="O392" s="12" t="s">
        <v>1883</v>
      </c>
      <c r="P392" s="12" t="s">
        <v>66</v>
      </c>
      <c r="Q392" s="12" t="s">
        <v>67</v>
      </c>
      <c r="R392" s="12" t="s">
        <v>1791</v>
      </c>
      <c r="S392" s="13">
        <v>197643565659</v>
      </c>
      <c r="T392" s="12" t="s">
        <v>49</v>
      </c>
      <c r="U392" s="12" t="s">
        <v>170</v>
      </c>
      <c r="V392" s="12" t="s">
        <v>665</v>
      </c>
      <c r="W392" s="12" t="s">
        <v>51</v>
      </c>
      <c r="X392" s="13">
        <v>0</v>
      </c>
      <c r="Y392" s="12" t="s">
        <v>91</v>
      </c>
      <c r="Z392" s="12" t="s">
        <v>108</v>
      </c>
      <c r="AA392" s="13">
        <v>0</v>
      </c>
      <c r="AB392" s="13">
        <v>0</v>
      </c>
      <c r="AC392" s="15">
        <v>10</v>
      </c>
      <c r="AD392" s="15">
        <f>AC392*AG392</f>
        <v>170</v>
      </c>
      <c r="AE392" s="15">
        <v>22</v>
      </c>
      <c r="AF392" s="15">
        <f>AE392*AG392</f>
        <v>374</v>
      </c>
      <c r="AG392" s="16">
        <v>17</v>
      </c>
    </row>
    <row r="393" spans="1:33" ht="15" customHeight="1" x14ac:dyDescent="0.2">
      <c r="A393" s="11" t="str">
        <f t="shared" si="151"/>
        <v>VN000NDGBLK1</v>
      </c>
      <c r="B393" s="12" t="s">
        <v>1884</v>
      </c>
      <c r="C393" s="12" t="s">
        <v>1803</v>
      </c>
      <c r="D393" s="12" t="s">
        <v>76</v>
      </c>
      <c r="E393" s="12" t="s">
        <v>1885</v>
      </c>
      <c r="F393" s="12" t="s">
        <v>170</v>
      </c>
      <c r="G393" s="14"/>
      <c r="H393" s="12" t="s">
        <v>61</v>
      </c>
      <c r="I393" s="12" t="s">
        <v>289</v>
      </c>
      <c r="J393" s="12" t="s">
        <v>900</v>
      </c>
      <c r="K393" s="12" t="s">
        <v>100</v>
      </c>
      <c r="L393" s="12" t="s">
        <v>83</v>
      </c>
      <c r="M393" s="12" t="s">
        <v>43</v>
      </c>
      <c r="N393" s="12" t="s">
        <v>161</v>
      </c>
      <c r="O393" s="12" t="s">
        <v>1886</v>
      </c>
      <c r="P393" s="12" t="s">
        <v>66</v>
      </c>
      <c r="Q393" s="12" t="s">
        <v>233</v>
      </c>
      <c r="R393" s="12" t="s">
        <v>902</v>
      </c>
      <c r="S393" s="13">
        <v>197642335918</v>
      </c>
      <c r="T393" s="12" t="s">
        <v>49</v>
      </c>
      <c r="U393" s="12" t="s">
        <v>170</v>
      </c>
      <c r="V393" s="12" t="s">
        <v>1806</v>
      </c>
      <c r="W393" s="12" t="s">
        <v>51</v>
      </c>
      <c r="X393" s="13">
        <v>0</v>
      </c>
      <c r="Y393" s="12" t="s">
        <v>91</v>
      </c>
      <c r="Z393" s="12" t="s">
        <v>108</v>
      </c>
      <c r="AA393" s="13">
        <v>0</v>
      </c>
      <c r="AB393" s="12" t="s">
        <v>616</v>
      </c>
      <c r="AC393" s="15">
        <v>29.55</v>
      </c>
      <c r="AD393" s="15">
        <f>AC393*AG393</f>
        <v>502.35</v>
      </c>
      <c r="AE393" s="15">
        <v>65</v>
      </c>
      <c r="AF393" s="15">
        <f>AE393*AG393</f>
        <v>1105</v>
      </c>
      <c r="AG393" s="16">
        <v>17</v>
      </c>
    </row>
    <row r="394" spans="1:33" ht="15" customHeight="1" x14ac:dyDescent="0.2">
      <c r="A394" s="11" t="str">
        <f t="shared" ref="A394:A1156" si="161">HYPERLINK("https://assets.vans.eu/images/VN000P58CHG-HERO/1","VN000P58CHG1")</f>
        <v>VN000P58CHG1</v>
      </c>
      <c r="B394" s="12" t="s">
        <v>1887</v>
      </c>
      <c r="C394" s="12" t="s">
        <v>1888</v>
      </c>
      <c r="D394" s="12" t="s">
        <v>1615</v>
      </c>
      <c r="E394" s="12" t="s">
        <v>1889</v>
      </c>
      <c r="F394" s="12" t="s">
        <v>403</v>
      </c>
      <c r="G394" s="14"/>
      <c r="H394" s="12" t="s">
        <v>61</v>
      </c>
      <c r="I394" s="12" t="s">
        <v>230</v>
      </c>
      <c r="J394" s="12" t="s">
        <v>419</v>
      </c>
      <c r="K394" s="12" t="s">
        <v>199</v>
      </c>
      <c r="L394" s="12" t="s">
        <v>83</v>
      </c>
      <c r="M394" s="12" t="s">
        <v>43</v>
      </c>
      <c r="N394" s="12" t="s">
        <v>84</v>
      </c>
      <c r="O394" s="12" t="s">
        <v>1890</v>
      </c>
      <c r="P394" s="12" t="s">
        <v>66</v>
      </c>
      <c r="Q394" s="12" t="s">
        <v>67</v>
      </c>
      <c r="R394" s="12" t="s">
        <v>623</v>
      </c>
      <c r="S394" s="13">
        <v>197804296088</v>
      </c>
      <c r="T394" s="12" t="s">
        <v>499</v>
      </c>
      <c r="U394" s="12" t="s">
        <v>403</v>
      </c>
      <c r="V394" s="12" t="s">
        <v>70</v>
      </c>
      <c r="W394" s="12" t="s">
        <v>186</v>
      </c>
      <c r="X394" s="14"/>
      <c r="Y394" s="14"/>
      <c r="Z394" s="14"/>
      <c r="AA394" s="14"/>
      <c r="AB394" s="14"/>
      <c r="AC394" s="15">
        <v>36.4</v>
      </c>
      <c r="AD394" s="15">
        <f>AC394*AG394</f>
        <v>618.79999999999995</v>
      </c>
      <c r="AE394" s="15">
        <v>80</v>
      </c>
      <c r="AF394" s="15">
        <f>AE394*AG394</f>
        <v>1360</v>
      </c>
      <c r="AG394" s="16">
        <v>17</v>
      </c>
    </row>
    <row r="395" spans="1:33" ht="15" customHeight="1" x14ac:dyDescent="0.2">
      <c r="A395" s="11" t="str">
        <f t="shared" ref="A395:A803" si="162">HYPERLINK("https://assets.vans.eu/images/VN000P5QO3N-HERO/1","VN000P5QO3N1")</f>
        <v>VN000P5QO3N1</v>
      </c>
      <c r="B395" s="12" t="s">
        <v>1891</v>
      </c>
      <c r="C395" s="12" t="s">
        <v>1892</v>
      </c>
      <c r="D395" s="12" t="s">
        <v>744</v>
      </c>
      <c r="E395" s="12" t="s">
        <v>1893</v>
      </c>
      <c r="F395" s="12" t="s">
        <v>60</v>
      </c>
      <c r="G395" s="14"/>
      <c r="H395" s="12" t="s">
        <v>61</v>
      </c>
      <c r="I395" s="12" t="s">
        <v>289</v>
      </c>
      <c r="J395" s="12" t="s">
        <v>706</v>
      </c>
      <c r="K395" s="12" t="s">
        <v>100</v>
      </c>
      <c r="L395" s="12" t="s">
        <v>83</v>
      </c>
      <c r="M395" s="12" t="s">
        <v>43</v>
      </c>
      <c r="N395" s="12" t="s">
        <v>84</v>
      </c>
      <c r="O395" s="12" t="s">
        <v>1894</v>
      </c>
      <c r="P395" s="12" t="s">
        <v>66</v>
      </c>
      <c r="Q395" s="12" t="s">
        <v>67</v>
      </c>
      <c r="R395" s="12" t="s">
        <v>1146</v>
      </c>
      <c r="S395" s="13">
        <v>197804296880</v>
      </c>
      <c r="T395" s="12" t="s">
        <v>499</v>
      </c>
      <c r="U395" s="12" t="s">
        <v>60</v>
      </c>
      <c r="V395" s="12" t="s">
        <v>70</v>
      </c>
      <c r="W395" s="12" t="s">
        <v>299</v>
      </c>
      <c r="X395" s="14"/>
      <c r="Y395" s="14"/>
      <c r="Z395" s="14"/>
      <c r="AA395" s="14"/>
      <c r="AB395" s="14"/>
      <c r="AC395" s="15">
        <v>13.65</v>
      </c>
      <c r="AD395" s="15">
        <f>AC395*AG395</f>
        <v>232.05</v>
      </c>
      <c r="AE395" s="15">
        <v>30</v>
      </c>
      <c r="AF395" s="15">
        <f>AE395*AG395</f>
        <v>510</v>
      </c>
      <c r="AG395" s="16">
        <v>17</v>
      </c>
    </row>
    <row r="396" spans="1:33" ht="15" customHeight="1" x14ac:dyDescent="0.2">
      <c r="A396" s="11" t="str">
        <f t="shared" ref="A396:A1160" si="163">HYPERLINK("https://assets.vans.eu/images/VN000P7AEN6-HERO/1","VN000P7AEN61")</f>
        <v>VN000P7AEN61</v>
      </c>
      <c r="B396" s="12" t="s">
        <v>1895</v>
      </c>
      <c r="C396" s="12" t="s">
        <v>1896</v>
      </c>
      <c r="D396" s="12" t="s">
        <v>189</v>
      </c>
      <c r="E396" s="12" t="s">
        <v>1897</v>
      </c>
      <c r="F396" s="12" t="s">
        <v>179</v>
      </c>
      <c r="G396" s="14"/>
      <c r="H396" s="12" t="s">
        <v>61</v>
      </c>
      <c r="I396" s="12" t="s">
        <v>230</v>
      </c>
      <c r="J396" s="12" t="s">
        <v>762</v>
      </c>
      <c r="K396" s="12" t="s">
        <v>199</v>
      </c>
      <c r="L396" s="12" t="s">
        <v>115</v>
      </c>
      <c r="M396" s="12" t="s">
        <v>43</v>
      </c>
      <c r="N396" s="12" t="s">
        <v>84</v>
      </c>
      <c r="O396" s="12" t="s">
        <v>1898</v>
      </c>
      <c r="P396" s="12" t="s">
        <v>66</v>
      </c>
      <c r="Q396" s="12" t="s">
        <v>764</v>
      </c>
      <c r="R396" s="12" t="s">
        <v>765</v>
      </c>
      <c r="S396" s="13">
        <v>198266996530</v>
      </c>
      <c r="T396" s="12" t="s">
        <v>235</v>
      </c>
      <c r="U396" s="12" t="s">
        <v>179</v>
      </c>
      <c r="V396" s="12" t="s">
        <v>70</v>
      </c>
      <c r="W396" s="12" t="s">
        <v>118</v>
      </c>
      <c r="X396" s="14"/>
      <c r="Y396" s="14"/>
      <c r="Z396" s="14"/>
      <c r="AA396" s="14"/>
      <c r="AB396" s="14"/>
      <c r="AC396" s="15">
        <v>59.1</v>
      </c>
      <c r="AD396" s="15">
        <f>AC396*AG396</f>
        <v>1004.7</v>
      </c>
      <c r="AE396" s="15">
        <v>130</v>
      </c>
      <c r="AF396" s="15">
        <f>AE396*AG396</f>
        <v>2210</v>
      </c>
      <c r="AG396" s="16">
        <v>17</v>
      </c>
    </row>
    <row r="397" spans="1:33" ht="15" customHeight="1" x14ac:dyDescent="0.2">
      <c r="A397" s="11" t="str">
        <f t="shared" ref="A397:A398" si="164">HYPERLINK("https://assets.vans.eu/images/VN000PK1BLK-HERO/1","VN000PK1BLK1")</f>
        <v>VN000PK1BLK1</v>
      </c>
      <c r="B397" s="12" t="s">
        <v>1899</v>
      </c>
      <c r="C397" s="12" t="s">
        <v>1900</v>
      </c>
      <c r="D397" s="12" t="s">
        <v>76</v>
      </c>
      <c r="E397" s="12" t="s">
        <v>1901</v>
      </c>
      <c r="F397" s="12" t="s">
        <v>179</v>
      </c>
      <c r="G397" s="14"/>
      <c r="H397" s="12" t="s">
        <v>61</v>
      </c>
      <c r="I397" s="12" t="s">
        <v>289</v>
      </c>
      <c r="J397" s="12" t="s">
        <v>984</v>
      </c>
      <c r="K397" s="12" t="s">
        <v>100</v>
      </c>
      <c r="L397" s="14"/>
      <c r="M397" s="12" t="s">
        <v>43</v>
      </c>
      <c r="N397" s="12" t="s">
        <v>84</v>
      </c>
      <c r="O397" s="12" t="s">
        <v>1902</v>
      </c>
      <c r="P397" s="12" t="s">
        <v>66</v>
      </c>
      <c r="Q397" s="12" t="s">
        <v>764</v>
      </c>
      <c r="R397" s="12" t="s">
        <v>986</v>
      </c>
      <c r="S397" s="13">
        <v>197804360260</v>
      </c>
      <c r="T397" s="12" t="s">
        <v>235</v>
      </c>
      <c r="U397" s="12" t="s">
        <v>179</v>
      </c>
      <c r="V397" s="12" t="s">
        <v>90</v>
      </c>
      <c r="W397" s="12" t="s">
        <v>51</v>
      </c>
      <c r="X397" s="14"/>
      <c r="Y397" s="14"/>
      <c r="Z397" s="14"/>
      <c r="AA397" s="14"/>
      <c r="AB397" s="14"/>
      <c r="AC397" s="15">
        <v>56.85</v>
      </c>
      <c r="AD397" s="15">
        <f>AC397*AG397</f>
        <v>966.45</v>
      </c>
      <c r="AE397" s="15">
        <v>125</v>
      </c>
      <c r="AF397" s="15">
        <f>AE397*AG397</f>
        <v>2125</v>
      </c>
      <c r="AG397" s="16">
        <v>17</v>
      </c>
    </row>
    <row r="398" spans="1:33" ht="15" customHeight="1" x14ac:dyDescent="0.2">
      <c r="A398" s="11" t="str">
        <f t="shared" si="164"/>
        <v>VN000PK1BLK1</v>
      </c>
      <c r="B398" s="12" t="s">
        <v>1903</v>
      </c>
      <c r="C398" s="12" t="s">
        <v>1900</v>
      </c>
      <c r="D398" s="12" t="s">
        <v>76</v>
      </c>
      <c r="E398" s="12" t="s">
        <v>1904</v>
      </c>
      <c r="F398" s="12" t="s">
        <v>60</v>
      </c>
      <c r="G398" s="14"/>
      <c r="H398" s="12" t="s">
        <v>61</v>
      </c>
      <c r="I398" s="12" t="s">
        <v>289</v>
      </c>
      <c r="J398" s="12" t="s">
        <v>984</v>
      </c>
      <c r="K398" s="12" t="s">
        <v>100</v>
      </c>
      <c r="L398" s="14"/>
      <c r="M398" s="12" t="s">
        <v>43</v>
      </c>
      <c r="N398" s="12" t="s">
        <v>84</v>
      </c>
      <c r="O398" s="12" t="s">
        <v>1905</v>
      </c>
      <c r="P398" s="12" t="s">
        <v>66</v>
      </c>
      <c r="Q398" s="12" t="s">
        <v>764</v>
      </c>
      <c r="R398" s="12" t="s">
        <v>986</v>
      </c>
      <c r="S398" s="13">
        <v>197804360727</v>
      </c>
      <c r="T398" s="12" t="s">
        <v>235</v>
      </c>
      <c r="U398" s="12" t="s">
        <v>60</v>
      </c>
      <c r="V398" s="12" t="s">
        <v>90</v>
      </c>
      <c r="W398" s="12" t="s">
        <v>51</v>
      </c>
      <c r="X398" s="14"/>
      <c r="Y398" s="14"/>
      <c r="Z398" s="14"/>
      <c r="AA398" s="14"/>
      <c r="AB398" s="14"/>
      <c r="AC398" s="15">
        <v>56.85</v>
      </c>
      <c r="AD398" s="15">
        <f>AC398*AG398</f>
        <v>966.45</v>
      </c>
      <c r="AE398" s="15">
        <v>125</v>
      </c>
      <c r="AF398" s="15">
        <f>AE398*AG398</f>
        <v>2125</v>
      </c>
      <c r="AG398" s="16">
        <v>17</v>
      </c>
    </row>
    <row r="399" spans="1:33" ht="15" customHeight="1" x14ac:dyDescent="0.2">
      <c r="A399" s="11" t="str">
        <f>HYPERLINK("https://assets.vans.eu/images/VN000PRSEMV-HERO/1","VN000PRSEMV1")</f>
        <v>VN000PRSEMV1</v>
      </c>
      <c r="B399" s="12" t="s">
        <v>1906</v>
      </c>
      <c r="C399" s="12" t="s">
        <v>1907</v>
      </c>
      <c r="D399" s="12" t="s">
        <v>1908</v>
      </c>
      <c r="E399" s="12" t="s">
        <v>1909</v>
      </c>
      <c r="F399" s="12" t="s">
        <v>153</v>
      </c>
      <c r="G399" s="14"/>
      <c r="H399" s="12" t="s">
        <v>61</v>
      </c>
      <c r="I399" s="12" t="s">
        <v>289</v>
      </c>
      <c r="J399" s="12" t="s">
        <v>706</v>
      </c>
      <c r="K399" s="12" t="s">
        <v>100</v>
      </c>
      <c r="L399" s="14"/>
      <c r="M399" s="12" t="s">
        <v>43</v>
      </c>
      <c r="N399" s="12" t="s">
        <v>84</v>
      </c>
      <c r="O399" s="12" t="s">
        <v>1910</v>
      </c>
      <c r="P399" s="12" t="s">
        <v>66</v>
      </c>
      <c r="Q399" s="12" t="s">
        <v>67</v>
      </c>
      <c r="R399" s="12" t="s">
        <v>1146</v>
      </c>
      <c r="S399" s="13">
        <v>197804364350</v>
      </c>
      <c r="T399" s="12" t="s">
        <v>49</v>
      </c>
      <c r="U399" s="12" t="s">
        <v>153</v>
      </c>
      <c r="V399" s="12" t="s">
        <v>665</v>
      </c>
      <c r="W399" s="12" t="s">
        <v>51</v>
      </c>
      <c r="X399" s="14"/>
      <c r="Y399" s="14"/>
      <c r="Z399" s="14"/>
      <c r="AA399" s="14"/>
      <c r="AB399" s="14"/>
      <c r="AC399" s="15">
        <v>20.5</v>
      </c>
      <c r="AD399" s="15">
        <f>AC399*AG399</f>
        <v>348.5</v>
      </c>
      <c r="AE399" s="15">
        <v>45</v>
      </c>
      <c r="AF399" s="15">
        <f>AE399*AG399</f>
        <v>765</v>
      </c>
      <c r="AG399" s="16">
        <v>17</v>
      </c>
    </row>
    <row r="400" spans="1:33" ht="15" customHeight="1" x14ac:dyDescent="0.2">
      <c r="A400" s="11" t="str">
        <f t="shared" ref="A400:A443" si="165">HYPERLINK("https://assets.vans.eu/images/VN000PXXBLK-HERO/1","VN000PXXBLK1")</f>
        <v>VN000PXXBLK1</v>
      </c>
      <c r="B400" s="12" t="s">
        <v>1911</v>
      </c>
      <c r="C400" s="12" t="s">
        <v>1912</v>
      </c>
      <c r="D400" s="12" t="s">
        <v>76</v>
      </c>
      <c r="E400" s="12" t="s">
        <v>1913</v>
      </c>
      <c r="F400" s="12" t="s">
        <v>179</v>
      </c>
      <c r="G400" s="14"/>
      <c r="H400" s="12" t="s">
        <v>61</v>
      </c>
      <c r="I400" s="12" t="s">
        <v>62</v>
      </c>
      <c r="J400" s="12" t="s">
        <v>63</v>
      </c>
      <c r="K400" s="12" t="s">
        <v>64</v>
      </c>
      <c r="L400" s="14"/>
      <c r="M400" s="12" t="s">
        <v>43</v>
      </c>
      <c r="N400" s="12" t="s">
        <v>84</v>
      </c>
      <c r="O400" s="12" t="s">
        <v>1914</v>
      </c>
      <c r="P400" s="12" t="s">
        <v>66</v>
      </c>
      <c r="Q400" s="12" t="s">
        <v>67</v>
      </c>
      <c r="R400" s="12" t="s">
        <v>68</v>
      </c>
      <c r="S400" s="13">
        <v>197804668625</v>
      </c>
      <c r="T400" s="12" t="s">
        <v>422</v>
      </c>
      <c r="U400" s="12" t="s">
        <v>179</v>
      </c>
      <c r="V400" s="12" t="s">
        <v>70</v>
      </c>
      <c r="W400" s="12" t="s">
        <v>51</v>
      </c>
      <c r="X400" s="14"/>
      <c r="Y400" s="14"/>
      <c r="Z400" s="14"/>
      <c r="AA400" s="14"/>
      <c r="AB400" s="14"/>
      <c r="AC400" s="15">
        <v>13.65</v>
      </c>
      <c r="AD400" s="15">
        <f>AC400*AG400</f>
        <v>232.05</v>
      </c>
      <c r="AE400" s="15">
        <v>30</v>
      </c>
      <c r="AF400" s="15">
        <f>AE400*AG400</f>
        <v>510</v>
      </c>
      <c r="AG400" s="16">
        <v>17</v>
      </c>
    </row>
    <row r="401" spans="1:33" ht="15" customHeight="1" x14ac:dyDescent="0.2">
      <c r="A401" s="11" t="str">
        <f t="shared" si="76"/>
        <v>VN000D0HKCZ1</v>
      </c>
      <c r="B401" s="12" t="s">
        <v>1915</v>
      </c>
      <c r="C401" s="12" t="s">
        <v>1108</v>
      </c>
      <c r="D401" s="12" t="s">
        <v>1109</v>
      </c>
      <c r="E401" s="12" t="s">
        <v>1916</v>
      </c>
      <c r="F401" s="13">
        <v>135</v>
      </c>
      <c r="G401" s="12" t="s">
        <v>1111</v>
      </c>
      <c r="H401" s="12" t="s">
        <v>38</v>
      </c>
      <c r="I401" s="12" t="s">
        <v>39</v>
      </c>
      <c r="J401" s="12" t="s">
        <v>40</v>
      </c>
      <c r="K401" s="12" t="s">
        <v>41</v>
      </c>
      <c r="L401" s="14"/>
      <c r="M401" s="12" t="s">
        <v>43</v>
      </c>
      <c r="N401" s="12" t="s">
        <v>84</v>
      </c>
      <c r="O401" s="12" t="s">
        <v>1917</v>
      </c>
      <c r="P401" s="12" t="s">
        <v>46</v>
      </c>
      <c r="Q401" s="12" t="s">
        <v>47</v>
      </c>
      <c r="R401" s="12" t="s">
        <v>780</v>
      </c>
      <c r="S401" s="13">
        <v>197804436897</v>
      </c>
      <c r="T401" s="12" t="s">
        <v>105</v>
      </c>
      <c r="U401" s="13">
        <v>31</v>
      </c>
      <c r="V401" s="12" t="s">
        <v>50</v>
      </c>
      <c r="W401" s="12" t="s">
        <v>118</v>
      </c>
      <c r="X401" s="14"/>
      <c r="Y401" s="14"/>
      <c r="Z401" s="14"/>
      <c r="AA401" s="14"/>
      <c r="AB401" s="14"/>
      <c r="AC401" s="15">
        <v>34.1</v>
      </c>
      <c r="AD401" s="15">
        <f>AC401*AG401</f>
        <v>579.70000000000005</v>
      </c>
      <c r="AE401" s="15">
        <v>75</v>
      </c>
      <c r="AF401" s="15">
        <f>AE401*AG401</f>
        <v>1275</v>
      </c>
      <c r="AG401" s="16">
        <v>17</v>
      </c>
    </row>
    <row r="402" spans="1:33" ht="15" customHeight="1" x14ac:dyDescent="0.2">
      <c r="A402" s="11" t="str">
        <f t="shared" ref="A402:A2676" si="166">HYPERLINK("https://assets.vans.eu/images/VN000D6WEMU-HERO/1","VN000D6WEMU1")</f>
        <v>VN000D6WEMU1</v>
      </c>
      <c r="B402" s="12" t="s">
        <v>1918</v>
      </c>
      <c r="C402" s="12" t="s">
        <v>34</v>
      </c>
      <c r="D402" s="12" t="s">
        <v>1319</v>
      </c>
      <c r="E402" s="12" t="s">
        <v>1919</v>
      </c>
      <c r="F402" s="13">
        <v>65</v>
      </c>
      <c r="G402" s="12" t="s">
        <v>1920</v>
      </c>
      <c r="H402" s="12" t="s">
        <v>38</v>
      </c>
      <c r="I402" s="12" t="s">
        <v>113</v>
      </c>
      <c r="J402" s="12" t="s">
        <v>114</v>
      </c>
      <c r="K402" s="12" t="s">
        <v>82</v>
      </c>
      <c r="L402" s="12" t="s">
        <v>42</v>
      </c>
      <c r="M402" s="12" t="s">
        <v>43</v>
      </c>
      <c r="N402" s="12" t="s">
        <v>84</v>
      </c>
      <c r="O402" s="12" t="s">
        <v>1921</v>
      </c>
      <c r="P402" s="12" t="s">
        <v>46</v>
      </c>
      <c r="Q402" s="12" t="s">
        <v>47</v>
      </c>
      <c r="R402" s="12" t="s">
        <v>117</v>
      </c>
      <c r="S402" s="13">
        <v>197804540648</v>
      </c>
      <c r="T402" s="12" t="s">
        <v>49</v>
      </c>
      <c r="U402" s="13">
        <v>38.5</v>
      </c>
      <c r="V402" s="12" t="s">
        <v>50</v>
      </c>
      <c r="W402" s="12" t="s">
        <v>118</v>
      </c>
      <c r="X402" s="14"/>
      <c r="Y402" s="14"/>
      <c r="Z402" s="14"/>
      <c r="AA402" s="14"/>
      <c r="AB402" s="14"/>
      <c r="AC402" s="15">
        <v>38.65</v>
      </c>
      <c r="AD402" s="15">
        <f>AC402*AG402</f>
        <v>657.05</v>
      </c>
      <c r="AE402" s="15">
        <v>85</v>
      </c>
      <c r="AF402" s="15">
        <f>AE402*AG402</f>
        <v>1445</v>
      </c>
      <c r="AG402" s="16">
        <v>17</v>
      </c>
    </row>
    <row r="403" spans="1:33" ht="15" customHeight="1" x14ac:dyDescent="0.2">
      <c r="A403" s="11" t="str">
        <f t="shared" ref="A403:A640" si="167">HYPERLINK("https://assets.vans.eu/images/VN000E9YLBR-HERO/1","VN000E9YLBR1")</f>
        <v>VN000E9YLBR1</v>
      </c>
      <c r="B403" s="12" t="s">
        <v>1922</v>
      </c>
      <c r="C403" s="12" t="s">
        <v>34</v>
      </c>
      <c r="D403" s="12" t="s">
        <v>1923</v>
      </c>
      <c r="E403" s="12" t="s">
        <v>1924</v>
      </c>
      <c r="F403" s="13">
        <v>65</v>
      </c>
      <c r="G403" s="14"/>
      <c r="H403" s="12" t="s">
        <v>38</v>
      </c>
      <c r="I403" s="12" t="s">
        <v>205</v>
      </c>
      <c r="J403" s="12" t="s">
        <v>206</v>
      </c>
      <c r="K403" s="12" t="s">
        <v>207</v>
      </c>
      <c r="L403" s="12" t="s">
        <v>260</v>
      </c>
      <c r="M403" s="12" t="s">
        <v>43</v>
      </c>
      <c r="N403" s="12" t="s">
        <v>84</v>
      </c>
      <c r="O403" s="12" t="s">
        <v>1925</v>
      </c>
      <c r="P403" s="12" t="s">
        <v>46</v>
      </c>
      <c r="Q403" s="12" t="s">
        <v>47</v>
      </c>
      <c r="R403" s="12" t="s">
        <v>48</v>
      </c>
      <c r="S403" s="13">
        <v>197804872817</v>
      </c>
      <c r="T403" s="12" t="s">
        <v>164</v>
      </c>
      <c r="U403" s="13">
        <v>38.5</v>
      </c>
      <c r="V403" s="12" t="s">
        <v>50</v>
      </c>
      <c r="W403" s="12" t="s">
        <v>186</v>
      </c>
      <c r="X403" s="14"/>
      <c r="Y403" s="14"/>
      <c r="Z403" s="14"/>
      <c r="AA403" s="14"/>
      <c r="AB403" s="14"/>
      <c r="AC403" s="15">
        <v>29.55</v>
      </c>
      <c r="AD403" s="15">
        <f>AC403*AG403</f>
        <v>502.35</v>
      </c>
      <c r="AE403" s="15">
        <v>65</v>
      </c>
      <c r="AF403" s="15">
        <f>AE403*AG403</f>
        <v>1105</v>
      </c>
      <c r="AG403" s="16">
        <v>17</v>
      </c>
    </row>
    <row r="404" spans="1:33" ht="15" customHeight="1" x14ac:dyDescent="0.2">
      <c r="A404" s="11" t="str">
        <f t="shared" ref="A404:A537" si="168">HYPERLINK("https://assets.vans.eu/images/VN000EE1I6Y-HERO/1","VN000EE1I6Y1")</f>
        <v>VN000EE1I6Y1</v>
      </c>
      <c r="B404" s="12" t="s">
        <v>1926</v>
      </c>
      <c r="C404" s="12" t="s">
        <v>238</v>
      </c>
      <c r="D404" s="12" t="s">
        <v>1927</v>
      </c>
      <c r="E404" s="12" t="s">
        <v>1928</v>
      </c>
      <c r="F404" s="13">
        <v>60</v>
      </c>
      <c r="G404" s="14"/>
      <c r="H404" s="12" t="s">
        <v>38</v>
      </c>
      <c r="I404" s="12" t="s">
        <v>242</v>
      </c>
      <c r="J404" s="12" t="s">
        <v>243</v>
      </c>
      <c r="K404" s="12" t="s">
        <v>244</v>
      </c>
      <c r="L404" s="12" t="s">
        <v>115</v>
      </c>
      <c r="M404" s="12" t="s">
        <v>43</v>
      </c>
      <c r="N404" s="12" t="s">
        <v>84</v>
      </c>
      <c r="O404" s="12" t="s">
        <v>1929</v>
      </c>
      <c r="P404" s="12" t="s">
        <v>46</v>
      </c>
      <c r="Q404" s="12" t="s">
        <v>47</v>
      </c>
      <c r="R404" s="12" t="s">
        <v>48</v>
      </c>
      <c r="S404" s="13">
        <v>197805787271</v>
      </c>
      <c r="T404" s="12" t="s">
        <v>164</v>
      </c>
      <c r="U404" s="13">
        <v>22</v>
      </c>
      <c r="V404" s="12" t="s">
        <v>50</v>
      </c>
      <c r="W404" s="12" t="s">
        <v>625</v>
      </c>
      <c r="X404" s="14"/>
      <c r="Y404" s="14"/>
      <c r="Z404" s="14"/>
      <c r="AA404" s="14"/>
      <c r="AB404" s="14"/>
      <c r="AC404" s="15">
        <v>20.5</v>
      </c>
      <c r="AD404" s="15">
        <f>AC404*AG404</f>
        <v>348.5</v>
      </c>
      <c r="AE404" s="15">
        <v>45</v>
      </c>
      <c r="AF404" s="15">
        <f>AE404*AG404</f>
        <v>765</v>
      </c>
      <c r="AG404" s="16">
        <v>17</v>
      </c>
    </row>
    <row r="405" spans="1:33" ht="15" customHeight="1" x14ac:dyDescent="0.2">
      <c r="A405" s="11" t="str">
        <f>HYPERLINK("https://assets.vans.eu/images/VN0A2YR714A-HERO/1","VN0A2YR714A1")</f>
        <v>VN0A2YR714A1</v>
      </c>
      <c r="B405" s="12" t="s">
        <v>1930</v>
      </c>
      <c r="C405" s="12" t="s">
        <v>1931</v>
      </c>
      <c r="D405" s="12" t="s">
        <v>1932</v>
      </c>
      <c r="E405" s="12" t="s">
        <v>1933</v>
      </c>
      <c r="F405" s="12" t="s">
        <v>78</v>
      </c>
      <c r="G405" s="14"/>
      <c r="H405" s="12" t="s">
        <v>79</v>
      </c>
      <c r="I405" s="12" t="s">
        <v>80</v>
      </c>
      <c r="J405" s="12" t="s">
        <v>349</v>
      </c>
      <c r="K405" s="12" t="s">
        <v>199</v>
      </c>
      <c r="L405" s="14"/>
      <c r="M405" s="12" t="s">
        <v>43</v>
      </c>
      <c r="N405" s="12" t="s">
        <v>101</v>
      </c>
      <c r="O405" s="12" t="s">
        <v>1934</v>
      </c>
      <c r="P405" s="12" t="s">
        <v>86</v>
      </c>
      <c r="Q405" s="12" t="s">
        <v>128</v>
      </c>
      <c r="R405" s="12" t="s">
        <v>352</v>
      </c>
      <c r="S405" s="13">
        <v>196573750678</v>
      </c>
      <c r="T405" s="12" t="s">
        <v>130</v>
      </c>
      <c r="U405" s="12" t="s">
        <v>78</v>
      </c>
      <c r="V405" s="12" t="s">
        <v>1935</v>
      </c>
      <c r="W405" s="12" t="s">
        <v>262</v>
      </c>
      <c r="X405" s="13">
        <v>0</v>
      </c>
      <c r="Y405" s="12" t="s">
        <v>53</v>
      </c>
      <c r="Z405" s="12" t="s">
        <v>108</v>
      </c>
      <c r="AA405" s="13">
        <v>0</v>
      </c>
      <c r="AB405" s="13">
        <v>0</v>
      </c>
      <c r="AC405" s="15">
        <v>13.65</v>
      </c>
      <c r="AD405" s="15">
        <f>AC405*AG405</f>
        <v>218.4</v>
      </c>
      <c r="AE405" s="15">
        <v>30</v>
      </c>
      <c r="AF405" s="15">
        <f>AE405*AG405</f>
        <v>480</v>
      </c>
      <c r="AG405" s="16">
        <v>16</v>
      </c>
    </row>
    <row r="406" spans="1:33" ht="15" customHeight="1" x14ac:dyDescent="0.2">
      <c r="A406" s="11" t="str">
        <f t="shared" si="55"/>
        <v>VN000HUP7WM1</v>
      </c>
      <c r="B406" s="12" t="s">
        <v>1936</v>
      </c>
      <c r="C406" s="12" t="s">
        <v>898</v>
      </c>
      <c r="D406" s="12" t="s">
        <v>388</v>
      </c>
      <c r="E406" s="12" t="s">
        <v>1937</v>
      </c>
      <c r="F406" s="12" t="s">
        <v>170</v>
      </c>
      <c r="G406" s="14"/>
      <c r="H406" s="12" t="s">
        <v>61</v>
      </c>
      <c r="I406" s="12" t="s">
        <v>289</v>
      </c>
      <c r="J406" s="12" t="s">
        <v>900</v>
      </c>
      <c r="K406" s="12" t="s">
        <v>100</v>
      </c>
      <c r="L406" s="14"/>
      <c r="M406" s="12" t="s">
        <v>43</v>
      </c>
      <c r="N406" s="12" t="s">
        <v>161</v>
      </c>
      <c r="O406" s="12" t="s">
        <v>1938</v>
      </c>
      <c r="P406" s="12" t="s">
        <v>66</v>
      </c>
      <c r="Q406" s="12" t="s">
        <v>233</v>
      </c>
      <c r="R406" s="12" t="s">
        <v>902</v>
      </c>
      <c r="S406" s="13">
        <v>197065462185</v>
      </c>
      <c r="T406" s="12" t="s">
        <v>235</v>
      </c>
      <c r="U406" s="12" t="s">
        <v>170</v>
      </c>
      <c r="V406" s="12" t="s">
        <v>903</v>
      </c>
      <c r="W406" s="12" t="s">
        <v>284</v>
      </c>
      <c r="X406" s="13">
        <v>0</v>
      </c>
      <c r="Y406" s="12" t="s">
        <v>53</v>
      </c>
      <c r="Z406" s="12" t="s">
        <v>108</v>
      </c>
      <c r="AA406" s="13">
        <v>0</v>
      </c>
      <c r="AB406" s="13">
        <v>0</v>
      </c>
      <c r="AC406" s="15">
        <v>36.4</v>
      </c>
      <c r="AD406" s="15">
        <f>AC406*AG406</f>
        <v>582.4</v>
      </c>
      <c r="AE406" s="15">
        <v>80</v>
      </c>
      <c r="AF406" s="15">
        <f>AE406*AG406</f>
        <v>1280</v>
      </c>
      <c r="AG406" s="16">
        <v>16</v>
      </c>
    </row>
    <row r="407" spans="1:33" ht="15" customHeight="1" x14ac:dyDescent="0.2">
      <c r="A407" s="11" t="str">
        <f t="shared" ref="A407:A435" si="169">HYPERLINK("https://assets.vans.eu/images/VN000HZBBLK-HERO/1","VN000HZBBLK1")</f>
        <v>VN000HZBBLK1</v>
      </c>
      <c r="B407" s="12" t="s">
        <v>1939</v>
      </c>
      <c r="C407" s="12" t="s">
        <v>357</v>
      </c>
      <c r="D407" s="12" t="s">
        <v>76</v>
      </c>
      <c r="E407" s="12" t="s">
        <v>1940</v>
      </c>
      <c r="F407" s="13">
        <v>26</v>
      </c>
      <c r="G407" s="14"/>
      <c r="H407" s="12" t="s">
        <v>61</v>
      </c>
      <c r="I407" s="12" t="s">
        <v>230</v>
      </c>
      <c r="J407" s="12" t="s">
        <v>231</v>
      </c>
      <c r="K407" s="12" t="s">
        <v>199</v>
      </c>
      <c r="L407" s="14"/>
      <c r="M407" s="12" t="s">
        <v>43</v>
      </c>
      <c r="N407" s="12" t="s">
        <v>84</v>
      </c>
      <c r="O407" s="12" t="s">
        <v>1941</v>
      </c>
      <c r="P407" s="12" t="s">
        <v>66</v>
      </c>
      <c r="Q407" s="12" t="s">
        <v>233</v>
      </c>
      <c r="R407" s="12" t="s">
        <v>361</v>
      </c>
      <c r="S407" s="13">
        <v>197065838355</v>
      </c>
      <c r="T407" s="12" t="s">
        <v>235</v>
      </c>
      <c r="U407" s="13">
        <v>26</v>
      </c>
      <c r="V407" s="12" t="s">
        <v>362</v>
      </c>
      <c r="W407" s="12" t="s">
        <v>51</v>
      </c>
      <c r="X407" s="13">
        <v>0</v>
      </c>
      <c r="Y407" s="12" t="s">
        <v>91</v>
      </c>
      <c r="Z407" s="12" t="s">
        <v>108</v>
      </c>
      <c r="AA407" s="13">
        <v>0</v>
      </c>
      <c r="AB407" s="13">
        <v>0</v>
      </c>
      <c r="AC407" s="15">
        <v>34.1</v>
      </c>
      <c r="AD407" s="15">
        <f>AC407*AG407</f>
        <v>545.6</v>
      </c>
      <c r="AE407" s="15">
        <v>75</v>
      </c>
      <c r="AF407" s="15">
        <f>AE407*AG407</f>
        <v>1200</v>
      </c>
      <c r="AG407" s="16">
        <v>16</v>
      </c>
    </row>
    <row r="408" spans="1:33" ht="15" customHeight="1" x14ac:dyDescent="0.2">
      <c r="A408" s="11" t="str">
        <f t="shared" ref="A408:A2095" si="170">HYPERLINK("https://assets.vans.eu/images/VN000KTAEMB-HERO/1","VN000KTAEMB1")</f>
        <v>VN000KTAEMB1</v>
      </c>
      <c r="B408" s="12" t="s">
        <v>1942</v>
      </c>
      <c r="C408" s="12" t="s">
        <v>1943</v>
      </c>
      <c r="D408" s="12" t="s">
        <v>1944</v>
      </c>
      <c r="E408" s="12" t="s">
        <v>1945</v>
      </c>
      <c r="F408" s="12" t="s">
        <v>170</v>
      </c>
      <c r="G408" s="14"/>
      <c r="H408" s="12" t="s">
        <v>61</v>
      </c>
      <c r="I408" s="12" t="s">
        <v>230</v>
      </c>
      <c r="J408" s="12" t="s">
        <v>762</v>
      </c>
      <c r="K408" s="12" t="s">
        <v>199</v>
      </c>
      <c r="L408" s="14"/>
      <c r="M408" s="12" t="s">
        <v>43</v>
      </c>
      <c r="N408" s="12" t="s">
        <v>84</v>
      </c>
      <c r="O408" s="12" t="s">
        <v>1946</v>
      </c>
      <c r="P408" s="12" t="s">
        <v>66</v>
      </c>
      <c r="Q408" s="12" t="s">
        <v>764</v>
      </c>
      <c r="R408" s="12" t="s">
        <v>765</v>
      </c>
      <c r="S408" s="13">
        <v>197804385430</v>
      </c>
      <c r="T408" s="12" t="s">
        <v>49</v>
      </c>
      <c r="U408" s="12" t="s">
        <v>170</v>
      </c>
      <c r="V408" s="12" t="s">
        <v>1947</v>
      </c>
      <c r="W408" s="12" t="s">
        <v>118</v>
      </c>
      <c r="X408" s="14"/>
      <c r="Y408" s="14"/>
      <c r="Z408" s="14"/>
      <c r="AA408" s="14"/>
      <c r="AB408" s="14"/>
      <c r="AC408" s="15">
        <v>56.85</v>
      </c>
      <c r="AD408" s="15">
        <f>AC408*AG408</f>
        <v>909.6</v>
      </c>
      <c r="AE408" s="15">
        <v>125</v>
      </c>
      <c r="AF408" s="15">
        <f>AE408*AG408</f>
        <v>2000</v>
      </c>
      <c r="AG408" s="16">
        <v>16</v>
      </c>
    </row>
    <row r="409" spans="1:33" ht="15" customHeight="1" x14ac:dyDescent="0.2">
      <c r="A409" s="11" t="str">
        <f t="shared" ref="A409:A654" si="171">HYPERLINK("https://assets.vans.eu/images/VN000KUR7WM-HERO/1","VN000KUR7WM1")</f>
        <v>VN000KUR7WM1</v>
      </c>
      <c r="B409" s="12" t="s">
        <v>1948</v>
      </c>
      <c r="C409" s="12" t="s">
        <v>1949</v>
      </c>
      <c r="D409" s="12" t="s">
        <v>388</v>
      </c>
      <c r="E409" s="12" t="s">
        <v>1950</v>
      </c>
      <c r="F409" s="12" t="s">
        <v>179</v>
      </c>
      <c r="G409" s="14"/>
      <c r="H409" s="12" t="s">
        <v>61</v>
      </c>
      <c r="I409" s="12" t="s">
        <v>230</v>
      </c>
      <c r="J409" s="12" t="s">
        <v>419</v>
      </c>
      <c r="K409" s="12" t="s">
        <v>199</v>
      </c>
      <c r="L409" s="14"/>
      <c r="M409" s="12" t="s">
        <v>43</v>
      </c>
      <c r="N409" s="12" t="s">
        <v>44</v>
      </c>
      <c r="O409" s="12" t="s">
        <v>1951</v>
      </c>
      <c r="P409" s="12" t="s">
        <v>66</v>
      </c>
      <c r="Q409" s="12" t="s">
        <v>67</v>
      </c>
      <c r="R409" s="12" t="s">
        <v>1490</v>
      </c>
      <c r="S409" s="13">
        <v>197643402268</v>
      </c>
      <c r="T409" s="12" t="s">
        <v>105</v>
      </c>
      <c r="U409" s="12" t="s">
        <v>179</v>
      </c>
      <c r="V409" s="12" t="s">
        <v>423</v>
      </c>
      <c r="W409" s="12" t="s">
        <v>284</v>
      </c>
      <c r="X409" s="13">
        <v>0</v>
      </c>
      <c r="Y409" s="12" t="s">
        <v>53</v>
      </c>
      <c r="Z409" s="12" t="s">
        <v>108</v>
      </c>
      <c r="AA409" s="13">
        <v>0</v>
      </c>
      <c r="AB409" s="13">
        <v>0</v>
      </c>
      <c r="AC409" s="15">
        <v>45.5</v>
      </c>
      <c r="AD409" s="15">
        <f>AC409*AG409</f>
        <v>728</v>
      </c>
      <c r="AE409" s="15">
        <v>100</v>
      </c>
      <c r="AF409" s="15">
        <f>AE409*AG409</f>
        <v>1600</v>
      </c>
      <c r="AG409" s="16">
        <v>16</v>
      </c>
    </row>
    <row r="410" spans="1:33" ht="15" customHeight="1" x14ac:dyDescent="0.2">
      <c r="A410" s="11" t="str">
        <f t="shared" si="150"/>
        <v>VN000M77Y7U1</v>
      </c>
      <c r="B410" s="12" t="s">
        <v>1952</v>
      </c>
      <c r="C410" s="12" t="s">
        <v>1796</v>
      </c>
      <c r="D410" s="12" t="s">
        <v>740</v>
      </c>
      <c r="E410" s="12" t="s">
        <v>1953</v>
      </c>
      <c r="F410" s="12" t="s">
        <v>403</v>
      </c>
      <c r="G410" s="14"/>
      <c r="H410" s="12" t="s">
        <v>61</v>
      </c>
      <c r="I410" s="12" t="s">
        <v>289</v>
      </c>
      <c r="J410" s="12" t="s">
        <v>706</v>
      </c>
      <c r="K410" s="12" t="s">
        <v>100</v>
      </c>
      <c r="L410" s="14"/>
      <c r="M410" s="12" t="s">
        <v>43</v>
      </c>
      <c r="N410" s="12" t="s">
        <v>44</v>
      </c>
      <c r="O410" s="12" t="s">
        <v>1954</v>
      </c>
      <c r="P410" s="12" t="s">
        <v>66</v>
      </c>
      <c r="Q410" s="12" t="s">
        <v>67</v>
      </c>
      <c r="R410" s="12" t="s">
        <v>1200</v>
      </c>
      <c r="S410" s="13">
        <v>197643360827</v>
      </c>
      <c r="T410" s="12" t="s">
        <v>49</v>
      </c>
      <c r="U410" s="12" t="s">
        <v>403</v>
      </c>
      <c r="V410" s="12" t="s">
        <v>70</v>
      </c>
      <c r="W410" s="12" t="s">
        <v>455</v>
      </c>
      <c r="X410" s="13">
        <v>0</v>
      </c>
      <c r="Y410" s="12" t="s">
        <v>91</v>
      </c>
      <c r="Z410" s="12" t="s">
        <v>108</v>
      </c>
      <c r="AA410" s="13">
        <v>0</v>
      </c>
      <c r="AB410" s="13">
        <v>0</v>
      </c>
      <c r="AC410" s="15">
        <v>14.55</v>
      </c>
      <c r="AD410" s="15">
        <f>AC410*AG410</f>
        <v>232.8</v>
      </c>
      <c r="AE410" s="15">
        <v>32</v>
      </c>
      <c r="AF410" s="15">
        <f>AE410*AG410</f>
        <v>512</v>
      </c>
      <c r="AG410" s="16">
        <v>16</v>
      </c>
    </row>
    <row r="411" spans="1:33" ht="15" customHeight="1" x14ac:dyDescent="0.2">
      <c r="A411" s="11" t="str">
        <f t="shared" ref="A411:A3163" si="172">HYPERLINK("https://assets.vans.eu/images/VN000M9A1O7-HERO/1","VN000M9A1O71")</f>
        <v>VN000M9A1O71</v>
      </c>
      <c r="B411" s="12" t="s">
        <v>1955</v>
      </c>
      <c r="C411" s="12" t="s">
        <v>1956</v>
      </c>
      <c r="D411" s="12" t="s">
        <v>637</v>
      </c>
      <c r="E411" s="12" t="s">
        <v>1957</v>
      </c>
      <c r="F411" s="12" t="s">
        <v>138</v>
      </c>
      <c r="G411" s="14"/>
      <c r="H411" s="12" t="s">
        <v>61</v>
      </c>
      <c r="I411" s="12" t="s">
        <v>289</v>
      </c>
      <c r="J411" s="12" t="s">
        <v>706</v>
      </c>
      <c r="K411" s="12" t="s">
        <v>100</v>
      </c>
      <c r="L411" s="14"/>
      <c r="M411" s="12" t="s">
        <v>43</v>
      </c>
      <c r="N411" s="12" t="s">
        <v>44</v>
      </c>
      <c r="O411" s="12" t="s">
        <v>1958</v>
      </c>
      <c r="P411" s="12" t="s">
        <v>66</v>
      </c>
      <c r="Q411" s="12" t="s">
        <v>67</v>
      </c>
      <c r="R411" s="12" t="s">
        <v>1200</v>
      </c>
      <c r="S411" s="13">
        <v>197643362920</v>
      </c>
      <c r="T411" s="12" t="s">
        <v>235</v>
      </c>
      <c r="U411" s="12" t="s">
        <v>138</v>
      </c>
      <c r="V411" s="12" t="s">
        <v>1959</v>
      </c>
      <c r="W411" s="12" t="s">
        <v>455</v>
      </c>
      <c r="X411" s="13">
        <v>0</v>
      </c>
      <c r="Y411" s="12" t="s">
        <v>53</v>
      </c>
      <c r="Z411" s="12" t="s">
        <v>108</v>
      </c>
      <c r="AA411" s="13">
        <v>0</v>
      </c>
      <c r="AB411" s="13">
        <v>0</v>
      </c>
      <c r="AC411" s="15">
        <v>25</v>
      </c>
      <c r="AD411" s="15">
        <f>AC411*AG411</f>
        <v>400</v>
      </c>
      <c r="AE411" s="15">
        <v>55</v>
      </c>
      <c r="AF411" s="15">
        <f>AE411*AG411</f>
        <v>880</v>
      </c>
      <c r="AG411" s="16">
        <v>16</v>
      </c>
    </row>
    <row r="412" spans="1:33" ht="15" customHeight="1" x14ac:dyDescent="0.2">
      <c r="A412" s="11" t="str">
        <f t="shared" si="71"/>
        <v>VN000MBCWHT1</v>
      </c>
      <c r="B412" s="12" t="s">
        <v>1960</v>
      </c>
      <c r="C412" s="12" t="s">
        <v>1051</v>
      </c>
      <c r="D412" s="12" t="s">
        <v>168</v>
      </c>
      <c r="E412" s="12" t="s">
        <v>1961</v>
      </c>
      <c r="F412" s="12" t="s">
        <v>179</v>
      </c>
      <c r="G412" s="14"/>
      <c r="H412" s="12" t="s">
        <v>61</v>
      </c>
      <c r="I412" s="12" t="s">
        <v>289</v>
      </c>
      <c r="J412" s="12" t="s">
        <v>290</v>
      </c>
      <c r="K412" s="12" t="s">
        <v>100</v>
      </c>
      <c r="L412" s="14"/>
      <c r="M412" s="12" t="s">
        <v>43</v>
      </c>
      <c r="N412" s="12" t="s">
        <v>44</v>
      </c>
      <c r="O412" s="12" t="s">
        <v>1962</v>
      </c>
      <c r="P412" s="12" t="s">
        <v>66</v>
      </c>
      <c r="Q412" s="12" t="s">
        <v>233</v>
      </c>
      <c r="R412" s="12" t="s">
        <v>1054</v>
      </c>
      <c r="S412" s="13">
        <v>197643367659</v>
      </c>
      <c r="T412" s="12" t="s">
        <v>235</v>
      </c>
      <c r="U412" s="12" t="s">
        <v>179</v>
      </c>
      <c r="V412" s="12" t="s">
        <v>1055</v>
      </c>
      <c r="W412" s="12" t="s">
        <v>175</v>
      </c>
      <c r="X412" s="13">
        <v>0</v>
      </c>
      <c r="Y412" s="12" t="s">
        <v>91</v>
      </c>
      <c r="Z412" s="12" t="s">
        <v>108</v>
      </c>
      <c r="AA412" s="13">
        <v>0</v>
      </c>
      <c r="AB412" s="13">
        <v>0</v>
      </c>
      <c r="AC412" s="15">
        <v>17.3</v>
      </c>
      <c r="AD412" s="15">
        <f>AC412*AG412</f>
        <v>276.8</v>
      </c>
      <c r="AE412" s="15">
        <v>38</v>
      </c>
      <c r="AF412" s="15">
        <f>AE412*AG412</f>
        <v>608</v>
      </c>
      <c r="AG412" s="16">
        <v>16</v>
      </c>
    </row>
    <row r="413" spans="1:33" ht="15" customHeight="1" x14ac:dyDescent="0.2">
      <c r="A413" s="11" t="str">
        <f t="shared" si="101"/>
        <v>VN000MFWUUI1</v>
      </c>
      <c r="B413" s="12" t="s">
        <v>1963</v>
      </c>
      <c r="C413" s="12" t="s">
        <v>1338</v>
      </c>
      <c r="D413" s="12" t="s">
        <v>723</v>
      </c>
      <c r="E413" s="12" t="s">
        <v>1964</v>
      </c>
      <c r="F413" s="13">
        <v>6</v>
      </c>
      <c r="G413" s="14"/>
      <c r="H413" s="12" t="s">
        <v>61</v>
      </c>
      <c r="I413" s="12" t="s">
        <v>1340</v>
      </c>
      <c r="J413" s="12" t="s">
        <v>1341</v>
      </c>
      <c r="K413" s="12" t="s">
        <v>1022</v>
      </c>
      <c r="L413" s="14"/>
      <c r="M413" s="12" t="s">
        <v>43</v>
      </c>
      <c r="N413" s="12" t="s">
        <v>44</v>
      </c>
      <c r="O413" s="12" t="s">
        <v>1965</v>
      </c>
      <c r="P413" s="12" t="s">
        <v>66</v>
      </c>
      <c r="Q413" s="12" t="s">
        <v>67</v>
      </c>
      <c r="R413" s="12" t="s">
        <v>730</v>
      </c>
      <c r="S413" s="13">
        <v>197643373162</v>
      </c>
      <c r="T413" s="12" t="s">
        <v>49</v>
      </c>
      <c r="U413" s="13">
        <v>6</v>
      </c>
      <c r="V413" s="12" t="s">
        <v>1343</v>
      </c>
      <c r="W413" s="12" t="s">
        <v>107</v>
      </c>
      <c r="X413" s="13">
        <v>0</v>
      </c>
      <c r="Y413" s="12" t="s">
        <v>91</v>
      </c>
      <c r="Z413" s="12" t="s">
        <v>108</v>
      </c>
      <c r="AA413" s="13">
        <v>0</v>
      </c>
      <c r="AB413" s="13">
        <v>0</v>
      </c>
      <c r="AC413" s="15">
        <v>26.4</v>
      </c>
      <c r="AD413" s="15">
        <f>AC413*AG413</f>
        <v>422.4</v>
      </c>
      <c r="AE413" s="15">
        <v>58</v>
      </c>
      <c r="AF413" s="15">
        <f>AE413*AG413</f>
        <v>928</v>
      </c>
      <c r="AG413" s="16">
        <v>16</v>
      </c>
    </row>
    <row r="414" spans="1:33" ht="15" customHeight="1" x14ac:dyDescent="0.2">
      <c r="A414" s="11" t="str">
        <f t="shared" ref="A414:A1356" si="173">HYPERLINK("https://assets.vans.eu/images/VN000P58EMW-HERO/1","VN000P58EMW1")</f>
        <v>VN000P58EMW1</v>
      </c>
      <c r="B414" s="12" t="s">
        <v>1966</v>
      </c>
      <c r="C414" s="12" t="s">
        <v>1888</v>
      </c>
      <c r="D414" s="12" t="s">
        <v>147</v>
      </c>
      <c r="E414" s="12" t="s">
        <v>1967</v>
      </c>
      <c r="F414" s="12" t="s">
        <v>403</v>
      </c>
      <c r="G414" s="14"/>
      <c r="H414" s="12" t="s">
        <v>61</v>
      </c>
      <c r="I414" s="12" t="s">
        <v>230</v>
      </c>
      <c r="J414" s="12" t="s">
        <v>419</v>
      </c>
      <c r="K414" s="12" t="s">
        <v>199</v>
      </c>
      <c r="L414" s="12" t="s">
        <v>83</v>
      </c>
      <c r="M414" s="12" t="s">
        <v>43</v>
      </c>
      <c r="N414" s="12" t="s">
        <v>84</v>
      </c>
      <c r="O414" s="12" t="s">
        <v>1968</v>
      </c>
      <c r="P414" s="12" t="s">
        <v>66</v>
      </c>
      <c r="Q414" s="12" t="s">
        <v>67</v>
      </c>
      <c r="R414" s="12" t="s">
        <v>623</v>
      </c>
      <c r="S414" s="13">
        <v>197804296170</v>
      </c>
      <c r="T414" s="12" t="s">
        <v>499</v>
      </c>
      <c r="U414" s="12" t="s">
        <v>403</v>
      </c>
      <c r="V414" s="12" t="s">
        <v>70</v>
      </c>
      <c r="W414" s="12" t="s">
        <v>118</v>
      </c>
      <c r="X414" s="14"/>
      <c r="Y414" s="14"/>
      <c r="Z414" s="14"/>
      <c r="AA414" s="14"/>
      <c r="AB414" s="14"/>
      <c r="AC414" s="15">
        <v>36.4</v>
      </c>
      <c r="AD414" s="15">
        <f>AC414*AG414</f>
        <v>582.4</v>
      </c>
      <c r="AE414" s="15">
        <v>80</v>
      </c>
      <c r="AF414" s="15">
        <f>AE414*AG414</f>
        <v>1280</v>
      </c>
      <c r="AG414" s="16">
        <v>16</v>
      </c>
    </row>
    <row r="415" spans="1:33" ht="15" customHeight="1" x14ac:dyDescent="0.2">
      <c r="A415" s="11" t="str">
        <f t="shared" ref="A415:A1710" si="174">HYPERLINK("https://assets.vans.eu/images/VN000PAZBLK-HERO/1","VN000PAZBLK1")</f>
        <v>VN000PAZBLK1</v>
      </c>
      <c r="B415" s="12" t="s">
        <v>1969</v>
      </c>
      <c r="C415" s="12" t="s">
        <v>1970</v>
      </c>
      <c r="D415" s="12" t="s">
        <v>76</v>
      </c>
      <c r="E415" s="12" t="s">
        <v>1971</v>
      </c>
      <c r="F415" s="12" t="s">
        <v>153</v>
      </c>
      <c r="G415" s="14"/>
      <c r="H415" s="12" t="s">
        <v>61</v>
      </c>
      <c r="I415" s="12" t="s">
        <v>230</v>
      </c>
      <c r="J415" s="12" t="s">
        <v>419</v>
      </c>
      <c r="K415" s="12" t="s">
        <v>199</v>
      </c>
      <c r="L415" s="14"/>
      <c r="M415" s="12" t="s">
        <v>43</v>
      </c>
      <c r="N415" s="12" t="s">
        <v>84</v>
      </c>
      <c r="O415" s="12" t="s">
        <v>1972</v>
      </c>
      <c r="P415" s="12" t="s">
        <v>66</v>
      </c>
      <c r="Q415" s="12" t="s">
        <v>67</v>
      </c>
      <c r="R415" s="12" t="s">
        <v>623</v>
      </c>
      <c r="S415" s="13">
        <v>197804372355</v>
      </c>
      <c r="T415" s="12" t="s">
        <v>49</v>
      </c>
      <c r="U415" s="12" t="s">
        <v>153</v>
      </c>
      <c r="V415" s="12" t="s">
        <v>1973</v>
      </c>
      <c r="W415" s="12" t="s">
        <v>51</v>
      </c>
      <c r="X415" s="14"/>
      <c r="Y415" s="14"/>
      <c r="Z415" s="14"/>
      <c r="AA415" s="14"/>
      <c r="AB415" s="14"/>
      <c r="AC415" s="15">
        <v>43.2</v>
      </c>
      <c r="AD415" s="15">
        <f>AC415*AG415</f>
        <v>691.2</v>
      </c>
      <c r="AE415" s="15">
        <v>95</v>
      </c>
      <c r="AF415" s="15">
        <f>AE415*AG415</f>
        <v>1520</v>
      </c>
      <c r="AG415" s="16">
        <v>16</v>
      </c>
    </row>
    <row r="416" spans="1:33" ht="15" customHeight="1" x14ac:dyDescent="0.2">
      <c r="A416" s="11" t="str">
        <f t="shared" ref="A416:A1019" si="175">HYPERLINK("https://assets.vans.eu/images/VN000PFBBRR-HERO/1","VN000PFBBRR1")</f>
        <v>VN000PFBBRR1</v>
      </c>
      <c r="B416" s="12" t="s">
        <v>1974</v>
      </c>
      <c r="C416" s="12" t="s">
        <v>1588</v>
      </c>
      <c r="D416" s="12" t="s">
        <v>1975</v>
      </c>
      <c r="E416" s="12" t="s">
        <v>1976</v>
      </c>
      <c r="F416" s="12" t="s">
        <v>170</v>
      </c>
      <c r="G416" s="14"/>
      <c r="H416" s="12" t="s">
        <v>61</v>
      </c>
      <c r="I416" s="12" t="s">
        <v>230</v>
      </c>
      <c r="J416" s="12" t="s">
        <v>419</v>
      </c>
      <c r="K416" s="12" t="s">
        <v>199</v>
      </c>
      <c r="L416" s="14"/>
      <c r="M416" s="12" t="s">
        <v>43</v>
      </c>
      <c r="N416" s="12" t="s">
        <v>84</v>
      </c>
      <c r="O416" s="12" t="s">
        <v>1977</v>
      </c>
      <c r="P416" s="12" t="s">
        <v>66</v>
      </c>
      <c r="Q416" s="12" t="s">
        <v>67</v>
      </c>
      <c r="R416" s="12" t="s">
        <v>421</v>
      </c>
      <c r="S416" s="13">
        <v>197804383665</v>
      </c>
      <c r="T416" s="12" t="s">
        <v>49</v>
      </c>
      <c r="U416" s="12" t="s">
        <v>170</v>
      </c>
      <c r="V416" s="12" t="s">
        <v>665</v>
      </c>
      <c r="W416" s="12" t="s">
        <v>51</v>
      </c>
      <c r="X416" s="14"/>
      <c r="Y416" s="14"/>
      <c r="Z416" s="14"/>
      <c r="AA416" s="14"/>
      <c r="AB416" s="14"/>
      <c r="AC416" s="15">
        <v>20.5</v>
      </c>
      <c r="AD416" s="15">
        <f>AC416*AG416</f>
        <v>328</v>
      </c>
      <c r="AE416" s="15">
        <v>45</v>
      </c>
      <c r="AF416" s="15">
        <f>AE416*AG416</f>
        <v>720</v>
      </c>
      <c r="AG416" s="16">
        <v>16</v>
      </c>
    </row>
    <row r="417" spans="1:33" ht="15" customHeight="1" x14ac:dyDescent="0.2">
      <c r="A417" s="11" t="str">
        <f t="shared" ref="A417:A485" si="176">HYPERLINK("https://assets.vans.eu/images/VN000PFBEN9-HERO/1","VN000PFBEN91")</f>
        <v>VN000PFBEN91</v>
      </c>
      <c r="B417" s="12" t="s">
        <v>1978</v>
      </c>
      <c r="C417" s="12" t="s">
        <v>1588</v>
      </c>
      <c r="D417" s="12" t="s">
        <v>982</v>
      </c>
      <c r="E417" s="12" t="s">
        <v>1979</v>
      </c>
      <c r="F417" s="12" t="s">
        <v>153</v>
      </c>
      <c r="G417" s="14"/>
      <c r="H417" s="12" t="s">
        <v>61</v>
      </c>
      <c r="I417" s="12" t="s">
        <v>230</v>
      </c>
      <c r="J417" s="12" t="s">
        <v>419</v>
      </c>
      <c r="K417" s="12" t="s">
        <v>199</v>
      </c>
      <c r="L417" s="14"/>
      <c r="M417" s="12" t="s">
        <v>43</v>
      </c>
      <c r="N417" s="12" t="s">
        <v>84</v>
      </c>
      <c r="O417" s="12" t="s">
        <v>1980</v>
      </c>
      <c r="P417" s="12" t="s">
        <v>66</v>
      </c>
      <c r="Q417" s="12" t="s">
        <v>67</v>
      </c>
      <c r="R417" s="12" t="s">
        <v>421</v>
      </c>
      <c r="S417" s="13">
        <v>197804383894</v>
      </c>
      <c r="T417" s="12" t="s">
        <v>49</v>
      </c>
      <c r="U417" s="12" t="s">
        <v>153</v>
      </c>
      <c r="V417" s="12" t="s">
        <v>665</v>
      </c>
      <c r="W417" s="12" t="s">
        <v>455</v>
      </c>
      <c r="X417" s="14"/>
      <c r="Y417" s="14"/>
      <c r="Z417" s="14"/>
      <c r="AA417" s="14"/>
      <c r="AB417" s="14"/>
      <c r="AC417" s="15">
        <v>20.5</v>
      </c>
      <c r="AD417" s="15">
        <f>AC417*AG417</f>
        <v>328</v>
      </c>
      <c r="AE417" s="15">
        <v>45</v>
      </c>
      <c r="AF417" s="15">
        <f>AE417*AG417</f>
        <v>720</v>
      </c>
      <c r="AG417" s="16">
        <v>16</v>
      </c>
    </row>
    <row r="418" spans="1:33" ht="15" customHeight="1" x14ac:dyDescent="0.2">
      <c r="A418" s="11" t="str">
        <f t="shared" ref="A418:A562" si="177">HYPERLINK("https://assets.vans.eu/images/VN000PXSBLK-HERO/1","VN000PXSBLK1")</f>
        <v>VN000PXSBLK1</v>
      </c>
      <c r="B418" s="12" t="s">
        <v>1981</v>
      </c>
      <c r="C418" s="12" t="s">
        <v>976</v>
      </c>
      <c r="D418" s="12" t="s">
        <v>76</v>
      </c>
      <c r="E418" s="12" t="s">
        <v>1982</v>
      </c>
      <c r="F418" s="12" t="s">
        <v>60</v>
      </c>
      <c r="G418" s="14"/>
      <c r="H418" s="12" t="s">
        <v>61</v>
      </c>
      <c r="I418" s="12" t="s">
        <v>62</v>
      </c>
      <c r="J418" s="12" t="s">
        <v>63</v>
      </c>
      <c r="K418" s="12" t="s">
        <v>64</v>
      </c>
      <c r="L418" s="14"/>
      <c r="M418" s="12" t="s">
        <v>43</v>
      </c>
      <c r="N418" s="12" t="s">
        <v>84</v>
      </c>
      <c r="O418" s="12" t="s">
        <v>1983</v>
      </c>
      <c r="P418" s="12" t="s">
        <v>66</v>
      </c>
      <c r="Q418" s="12" t="s">
        <v>67</v>
      </c>
      <c r="R418" s="12" t="s">
        <v>68</v>
      </c>
      <c r="S418" s="13">
        <v>197804366200</v>
      </c>
      <c r="T418" s="12" t="s">
        <v>915</v>
      </c>
      <c r="U418" s="12" t="s">
        <v>60</v>
      </c>
      <c r="V418" s="12" t="s">
        <v>1028</v>
      </c>
      <c r="W418" s="12" t="s">
        <v>51</v>
      </c>
      <c r="X418" s="14"/>
      <c r="Y418" s="14"/>
      <c r="Z418" s="14"/>
      <c r="AA418" s="14"/>
      <c r="AB418" s="14"/>
      <c r="AC418" s="15">
        <v>13.65</v>
      </c>
      <c r="AD418" s="15">
        <f>AC418*AG418</f>
        <v>218.4</v>
      </c>
      <c r="AE418" s="15">
        <v>30</v>
      </c>
      <c r="AF418" s="15">
        <f>AE418*AG418</f>
        <v>480</v>
      </c>
      <c r="AG418" s="16">
        <v>16</v>
      </c>
    </row>
    <row r="419" spans="1:33" ht="15" customHeight="1" x14ac:dyDescent="0.2">
      <c r="A419" s="11" t="str">
        <f t="shared" ref="A419:A918" si="178">HYPERLINK("https://assets.vans.eu/images/VN000R94FS8-HERO/1","VN000R94FS81")</f>
        <v>VN000R94FS81</v>
      </c>
      <c r="B419" s="12" t="s">
        <v>1984</v>
      </c>
      <c r="C419" s="12" t="s">
        <v>1985</v>
      </c>
      <c r="D419" s="12" t="s">
        <v>239</v>
      </c>
      <c r="E419" s="12" t="s">
        <v>1986</v>
      </c>
      <c r="F419" s="12" t="s">
        <v>153</v>
      </c>
      <c r="G419" s="14"/>
      <c r="H419" s="12" t="s">
        <v>61</v>
      </c>
      <c r="I419" s="12" t="s">
        <v>230</v>
      </c>
      <c r="J419" s="12" t="s">
        <v>419</v>
      </c>
      <c r="K419" s="12" t="s">
        <v>199</v>
      </c>
      <c r="L419" s="12" t="s">
        <v>83</v>
      </c>
      <c r="M419" s="12" t="s">
        <v>43</v>
      </c>
      <c r="N419" s="12" t="s">
        <v>84</v>
      </c>
      <c r="O419" s="12" t="s">
        <v>1987</v>
      </c>
      <c r="P419" s="12" t="s">
        <v>66</v>
      </c>
      <c r="Q419" s="12" t="s">
        <v>67</v>
      </c>
      <c r="R419" s="12" t="s">
        <v>421</v>
      </c>
      <c r="S419" s="13">
        <v>197804297405</v>
      </c>
      <c r="T419" s="12" t="s">
        <v>69</v>
      </c>
      <c r="U419" s="12" t="s">
        <v>153</v>
      </c>
      <c r="V419" s="12" t="s">
        <v>665</v>
      </c>
      <c r="W419" s="12" t="s">
        <v>175</v>
      </c>
      <c r="X419" s="14"/>
      <c r="Y419" s="14"/>
      <c r="Z419" s="14"/>
      <c r="AA419" s="14"/>
      <c r="AB419" s="14"/>
      <c r="AC419" s="15">
        <v>22.75</v>
      </c>
      <c r="AD419" s="15">
        <f>AC419*AG419</f>
        <v>364</v>
      </c>
      <c r="AE419" s="15">
        <v>50</v>
      </c>
      <c r="AF419" s="15">
        <f>AE419*AG419</f>
        <v>800</v>
      </c>
      <c r="AG419" s="16">
        <v>16</v>
      </c>
    </row>
    <row r="420" spans="1:33" ht="15" customHeight="1" x14ac:dyDescent="0.2">
      <c r="A420" s="11" t="str">
        <f>HYPERLINK("https://assets.vans.eu/images/VN000C3297I-HERO/1","VN000C3297I1")</f>
        <v>VN000C3297I1</v>
      </c>
      <c r="B420" s="12" t="s">
        <v>1988</v>
      </c>
      <c r="C420" s="12" t="s">
        <v>1989</v>
      </c>
      <c r="D420" s="12" t="s">
        <v>1990</v>
      </c>
      <c r="E420" s="12" t="s">
        <v>1991</v>
      </c>
      <c r="F420" s="12" t="s">
        <v>78</v>
      </c>
      <c r="G420" s="14"/>
      <c r="H420" s="12" t="s">
        <v>441</v>
      </c>
      <c r="I420" s="12" t="s">
        <v>442</v>
      </c>
      <c r="J420" s="12" t="s">
        <v>1833</v>
      </c>
      <c r="K420" s="12" t="s">
        <v>199</v>
      </c>
      <c r="L420" s="14"/>
      <c r="M420" s="12" t="s">
        <v>43</v>
      </c>
      <c r="N420" s="12" t="s">
        <v>44</v>
      </c>
      <c r="O420" s="12" t="s">
        <v>1992</v>
      </c>
      <c r="P420" s="12" t="s">
        <v>445</v>
      </c>
      <c r="Q420" s="12" t="s">
        <v>446</v>
      </c>
      <c r="R420" s="12" t="s">
        <v>1835</v>
      </c>
      <c r="S420" s="13">
        <v>190287471263</v>
      </c>
      <c r="T420" s="12" t="s">
        <v>105</v>
      </c>
      <c r="U420" s="12" t="s">
        <v>78</v>
      </c>
      <c r="V420" s="12" t="s">
        <v>1993</v>
      </c>
      <c r="W420" s="12" t="s">
        <v>51</v>
      </c>
      <c r="X420" s="13">
        <v>0</v>
      </c>
      <c r="Y420" s="12" t="s">
        <v>71</v>
      </c>
      <c r="Z420" s="12" t="s">
        <v>108</v>
      </c>
      <c r="AA420" s="13">
        <v>0</v>
      </c>
      <c r="AB420" s="13">
        <v>0</v>
      </c>
      <c r="AC420" s="15">
        <v>11.4</v>
      </c>
      <c r="AD420" s="15">
        <f>AC420*AG420</f>
        <v>182.4</v>
      </c>
      <c r="AE420" s="15">
        <v>25</v>
      </c>
      <c r="AF420" s="15">
        <f>AE420*AG420</f>
        <v>400</v>
      </c>
      <c r="AG420" s="16">
        <v>16</v>
      </c>
    </row>
    <row r="421" spans="1:33" ht="15" customHeight="1" x14ac:dyDescent="0.2">
      <c r="A421" s="11" t="str">
        <f>HYPERLINK("https://assets.vans.eu/images/VN000H4XZRY-HERO/1","VN000H4XZRY1")</f>
        <v>VN000H4XZRY1</v>
      </c>
      <c r="B421" s="12" t="s">
        <v>1994</v>
      </c>
      <c r="C421" s="12" t="s">
        <v>1995</v>
      </c>
      <c r="D421" s="12" t="s">
        <v>1996</v>
      </c>
      <c r="E421" s="12" t="s">
        <v>1997</v>
      </c>
      <c r="F421" s="12" t="s">
        <v>78</v>
      </c>
      <c r="G421" s="14"/>
      <c r="H421" s="12" t="s">
        <v>441</v>
      </c>
      <c r="I421" s="12" t="s">
        <v>442</v>
      </c>
      <c r="J421" s="12" t="s">
        <v>443</v>
      </c>
      <c r="K421" s="12" t="s">
        <v>82</v>
      </c>
      <c r="L421" s="14"/>
      <c r="M421" s="12" t="s">
        <v>43</v>
      </c>
      <c r="N421" s="12" t="s">
        <v>84</v>
      </c>
      <c r="O421" s="12" t="s">
        <v>1998</v>
      </c>
      <c r="P421" s="12" t="s">
        <v>445</v>
      </c>
      <c r="Q421" s="12" t="s">
        <v>446</v>
      </c>
      <c r="R421" s="12" t="s">
        <v>447</v>
      </c>
      <c r="S421" s="13">
        <v>197804384419</v>
      </c>
      <c r="T421" s="12" t="s">
        <v>130</v>
      </c>
      <c r="U421" s="12" t="s">
        <v>78</v>
      </c>
      <c r="V421" s="12" t="s">
        <v>771</v>
      </c>
      <c r="W421" s="12" t="s">
        <v>299</v>
      </c>
      <c r="X421" s="14"/>
      <c r="Y421" s="14"/>
      <c r="Z421" s="14"/>
      <c r="AA421" s="14"/>
      <c r="AB421" s="14"/>
      <c r="AC421" s="15">
        <v>21.85</v>
      </c>
      <c r="AD421" s="15">
        <f>AC421*AG421</f>
        <v>349.6</v>
      </c>
      <c r="AE421" s="15">
        <v>48</v>
      </c>
      <c r="AF421" s="15">
        <f>AE421*AG421</f>
        <v>768</v>
      </c>
      <c r="AG421" s="16">
        <v>16</v>
      </c>
    </row>
    <row r="422" spans="1:33" ht="15" customHeight="1" x14ac:dyDescent="0.2">
      <c r="A422" s="11" t="str">
        <f t="shared" ref="A422:A3857" si="179">HYPERLINK("https://assets.vans.eu/images/VN000CTGZRY-HERO/1","VN000CTGZRY1")</f>
        <v>VN000CTGZRY1</v>
      </c>
      <c r="B422" s="12" t="s">
        <v>1999</v>
      </c>
      <c r="C422" s="12" t="s">
        <v>238</v>
      </c>
      <c r="D422" s="12" t="s">
        <v>1996</v>
      </c>
      <c r="E422" s="12" t="s">
        <v>2000</v>
      </c>
      <c r="F422" s="13">
        <v>50</v>
      </c>
      <c r="G422" s="12" t="s">
        <v>2001</v>
      </c>
      <c r="H422" s="12" t="s">
        <v>38</v>
      </c>
      <c r="I422" s="12" t="s">
        <v>242</v>
      </c>
      <c r="J422" s="12" t="s">
        <v>243</v>
      </c>
      <c r="K422" s="12" t="s">
        <v>244</v>
      </c>
      <c r="L422" s="14"/>
      <c r="M422" s="12" t="s">
        <v>43</v>
      </c>
      <c r="N422" s="12" t="s">
        <v>84</v>
      </c>
      <c r="O422" s="12" t="s">
        <v>2002</v>
      </c>
      <c r="P422" s="12" t="s">
        <v>46</v>
      </c>
      <c r="Q422" s="12" t="s">
        <v>47</v>
      </c>
      <c r="R422" s="12" t="s">
        <v>48</v>
      </c>
      <c r="S422" s="13">
        <v>197804514168</v>
      </c>
      <c r="T422" s="12" t="s">
        <v>105</v>
      </c>
      <c r="U422" s="13">
        <v>21</v>
      </c>
      <c r="V422" s="12" t="s">
        <v>50</v>
      </c>
      <c r="W422" s="12" t="s">
        <v>299</v>
      </c>
      <c r="X422" s="14"/>
      <c r="Y422" s="14"/>
      <c r="Z422" s="14"/>
      <c r="AA422" s="14"/>
      <c r="AB422" s="14"/>
      <c r="AC422" s="15">
        <v>22.75</v>
      </c>
      <c r="AD422" s="15">
        <f>AC422*AG422</f>
        <v>364</v>
      </c>
      <c r="AE422" s="15">
        <v>50</v>
      </c>
      <c r="AF422" s="15">
        <f>AE422*AG422</f>
        <v>800</v>
      </c>
      <c r="AG422" s="16">
        <v>16</v>
      </c>
    </row>
    <row r="423" spans="1:33" ht="15" customHeight="1" x14ac:dyDescent="0.2">
      <c r="A423" s="11" t="str">
        <f t="shared" si="159"/>
        <v>VN000D1H8871</v>
      </c>
      <c r="B423" s="12" t="s">
        <v>2003</v>
      </c>
      <c r="C423" s="12" t="s">
        <v>1614</v>
      </c>
      <c r="D423" s="12" t="s">
        <v>1249</v>
      </c>
      <c r="E423" s="12" t="s">
        <v>2004</v>
      </c>
      <c r="F423" s="13">
        <v>50</v>
      </c>
      <c r="G423" s="14"/>
      <c r="H423" s="12" t="s">
        <v>38</v>
      </c>
      <c r="I423" s="12" t="s">
        <v>113</v>
      </c>
      <c r="J423" s="12" t="s">
        <v>529</v>
      </c>
      <c r="K423" s="12" t="s">
        <v>82</v>
      </c>
      <c r="L423" s="14"/>
      <c r="M423" s="12" t="s">
        <v>43</v>
      </c>
      <c r="N423" s="12" t="s">
        <v>44</v>
      </c>
      <c r="O423" s="12" t="s">
        <v>2005</v>
      </c>
      <c r="P423" s="12" t="s">
        <v>46</v>
      </c>
      <c r="Q423" s="12" t="s">
        <v>47</v>
      </c>
      <c r="R423" s="12" t="s">
        <v>117</v>
      </c>
      <c r="S423" s="13">
        <v>197643312215</v>
      </c>
      <c r="T423" s="12" t="s">
        <v>49</v>
      </c>
      <c r="U423" s="13">
        <v>36.5</v>
      </c>
      <c r="V423" s="12" t="s">
        <v>50</v>
      </c>
      <c r="W423" s="12" t="s">
        <v>284</v>
      </c>
      <c r="X423" s="14"/>
      <c r="Y423" s="12" t="s">
        <v>53</v>
      </c>
      <c r="Z423" s="12" t="s">
        <v>263</v>
      </c>
      <c r="AA423" s="14"/>
      <c r="AB423" s="14"/>
      <c r="AC423" s="15">
        <v>50</v>
      </c>
      <c r="AD423" s="15">
        <f>AC423*AG423</f>
        <v>800</v>
      </c>
      <c r="AE423" s="15">
        <v>110</v>
      </c>
      <c r="AF423" s="15">
        <f>AE423*AG423</f>
        <v>1760</v>
      </c>
      <c r="AG423" s="16">
        <v>16</v>
      </c>
    </row>
    <row r="424" spans="1:33" ht="15" customHeight="1" x14ac:dyDescent="0.2">
      <c r="A424" s="11" t="str">
        <f t="shared" si="82"/>
        <v>VN000D2VEMY1</v>
      </c>
      <c r="B424" s="12" t="s">
        <v>2006</v>
      </c>
      <c r="C424" s="12" t="s">
        <v>34</v>
      </c>
      <c r="D424" s="12" t="s">
        <v>1155</v>
      </c>
      <c r="E424" s="12" t="s">
        <v>2007</v>
      </c>
      <c r="F424" s="13">
        <v>65</v>
      </c>
      <c r="G424" s="14"/>
      <c r="H424" s="12" t="s">
        <v>38</v>
      </c>
      <c r="I424" s="12" t="s">
        <v>205</v>
      </c>
      <c r="J424" s="12" t="s">
        <v>206</v>
      </c>
      <c r="K424" s="12" t="s">
        <v>207</v>
      </c>
      <c r="L424" s="14"/>
      <c r="M424" s="12" t="s">
        <v>43</v>
      </c>
      <c r="N424" s="12" t="s">
        <v>84</v>
      </c>
      <c r="O424" s="12" t="s">
        <v>2008</v>
      </c>
      <c r="P424" s="12" t="s">
        <v>46</v>
      </c>
      <c r="Q424" s="12" t="s">
        <v>47</v>
      </c>
      <c r="R424" s="12" t="s">
        <v>48</v>
      </c>
      <c r="S424" s="13">
        <v>197804527571</v>
      </c>
      <c r="T424" s="12" t="s">
        <v>164</v>
      </c>
      <c r="U424" s="13">
        <v>38.5</v>
      </c>
      <c r="V424" s="12" t="s">
        <v>50</v>
      </c>
      <c r="W424" s="12" t="s">
        <v>107</v>
      </c>
      <c r="X424" s="14"/>
      <c r="Y424" s="14"/>
      <c r="Z424" s="14"/>
      <c r="AA424" s="14"/>
      <c r="AB424" s="14"/>
      <c r="AC424" s="15">
        <v>29.55</v>
      </c>
      <c r="AD424" s="15">
        <f>AC424*AG424</f>
        <v>472.8</v>
      </c>
      <c r="AE424" s="15">
        <v>65</v>
      </c>
      <c r="AF424" s="15">
        <f>AE424*AG424</f>
        <v>1040</v>
      </c>
      <c r="AG424" s="16">
        <v>16</v>
      </c>
    </row>
    <row r="425" spans="1:33" ht="15" customHeight="1" x14ac:dyDescent="0.2">
      <c r="A425" s="11" t="str">
        <f t="shared" ref="A425:A582" si="180">HYPERLINK("https://assets.vans.eu/images/VN000DAJBIY-HERO/1","VN000DAJBIY1")</f>
        <v>VN000DAJBIY1</v>
      </c>
      <c r="B425" s="12" t="s">
        <v>2009</v>
      </c>
      <c r="C425" s="12" t="s">
        <v>110</v>
      </c>
      <c r="D425" s="12" t="s">
        <v>2010</v>
      </c>
      <c r="E425" s="12" t="s">
        <v>2011</v>
      </c>
      <c r="F425" s="13">
        <v>130</v>
      </c>
      <c r="G425" s="14"/>
      <c r="H425" s="12" t="s">
        <v>38</v>
      </c>
      <c r="I425" s="12" t="s">
        <v>113</v>
      </c>
      <c r="J425" s="12" t="s">
        <v>114</v>
      </c>
      <c r="K425" s="12" t="s">
        <v>82</v>
      </c>
      <c r="L425" s="12" t="s">
        <v>260</v>
      </c>
      <c r="M425" s="12" t="s">
        <v>43</v>
      </c>
      <c r="N425" s="12" t="s">
        <v>84</v>
      </c>
      <c r="O425" s="12" t="s">
        <v>2012</v>
      </c>
      <c r="P425" s="12" t="s">
        <v>46</v>
      </c>
      <c r="Q425" s="12" t="s">
        <v>47</v>
      </c>
      <c r="R425" s="12" t="s">
        <v>117</v>
      </c>
      <c r="S425" s="13">
        <v>197804591251</v>
      </c>
      <c r="T425" s="12" t="s">
        <v>164</v>
      </c>
      <c r="U425" s="13">
        <v>47</v>
      </c>
      <c r="V425" s="12" t="s">
        <v>50</v>
      </c>
      <c r="W425" s="12" t="s">
        <v>299</v>
      </c>
      <c r="X425" s="14"/>
      <c r="Y425" s="14"/>
      <c r="Z425" s="14"/>
      <c r="AA425" s="14"/>
      <c r="AB425" s="14"/>
      <c r="AC425" s="15">
        <v>43.2</v>
      </c>
      <c r="AD425" s="15">
        <f>AC425*AG425</f>
        <v>691.2</v>
      </c>
      <c r="AE425" s="15">
        <v>95</v>
      </c>
      <c r="AF425" s="15">
        <f>AE425*AG425</f>
        <v>1520</v>
      </c>
      <c r="AG425" s="16">
        <v>16</v>
      </c>
    </row>
    <row r="426" spans="1:33" ht="15" customHeight="1" x14ac:dyDescent="0.2">
      <c r="A426" s="11" t="str">
        <f t="shared" si="78"/>
        <v>VN000E9YBGP1</v>
      </c>
      <c r="B426" s="12" t="s">
        <v>2013</v>
      </c>
      <c r="C426" s="12" t="s">
        <v>34</v>
      </c>
      <c r="D426" s="12" t="s">
        <v>1119</v>
      </c>
      <c r="E426" s="12" t="s">
        <v>2014</v>
      </c>
      <c r="F426" s="13">
        <v>40</v>
      </c>
      <c r="G426" s="14"/>
      <c r="H426" s="12" t="s">
        <v>38</v>
      </c>
      <c r="I426" s="12" t="s">
        <v>205</v>
      </c>
      <c r="J426" s="12" t="s">
        <v>206</v>
      </c>
      <c r="K426" s="12" t="s">
        <v>207</v>
      </c>
      <c r="L426" s="12" t="s">
        <v>260</v>
      </c>
      <c r="M426" s="12" t="s">
        <v>43</v>
      </c>
      <c r="N426" s="12" t="s">
        <v>84</v>
      </c>
      <c r="O426" s="12" t="s">
        <v>2015</v>
      </c>
      <c r="P426" s="12" t="s">
        <v>46</v>
      </c>
      <c r="Q426" s="12" t="s">
        <v>47</v>
      </c>
      <c r="R426" s="12" t="s">
        <v>48</v>
      </c>
      <c r="S426" s="13">
        <v>197804872299</v>
      </c>
      <c r="T426" s="12" t="s">
        <v>164</v>
      </c>
      <c r="U426" s="13">
        <v>35</v>
      </c>
      <c r="V426" s="12" t="s">
        <v>50</v>
      </c>
      <c r="W426" s="12" t="s">
        <v>284</v>
      </c>
      <c r="X426" s="14"/>
      <c r="Y426" s="14"/>
      <c r="Z426" s="14"/>
      <c r="AA426" s="14"/>
      <c r="AB426" s="14"/>
      <c r="AC426" s="15">
        <v>29.55</v>
      </c>
      <c r="AD426" s="15">
        <f>AC426*AG426</f>
        <v>472.8</v>
      </c>
      <c r="AE426" s="15">
        <v>65</v>
      </c>
      <c r="AF426" s="15">
        <f>AE426*AG426</f>
        <v>1040</v>
      </c>
      <c r="AG426" s="16">
        <v>16</v>
      </c>
    </row>
    <row r="427" spans="1:33" ht="15" customHeight="1" x14ac:dyDescent="0.2">
      <c r="A427" s="11" t="str">
        <f t="shared" si="78"/>
        <v>VN000E9YBGP1</v>
      </c>
      <c r="B427" s="12" t="s">
        <v>2016</v>
      </c>
      <c r="C427" s="12" t="s">
        <v>34</v>
      </c>
      <c r="D427" s="12" t="s">
        <v>1119</v>
      </c>
      <c r="E427" s="12" t="s">
        <v>2017</v>
      </c>
      <c r="F427" s="13">
        <v>70</v>
      </c>
      <c r="G427" s="14"/>
      <c r="H427" s="12" t="s">
        <v>38</v>
      </c>
      <c r="I427" s="12" t="s">
        <v>205</v>
      </c>
      <c r="J427" s="12" t="s">
        <v>206</v>
      </c>
      <c r="K427" s="12" t="s">
        <v>207</v>
      </c>
      <c r="L427" s="12" t="s">
        <v>260</v>
      </c>
      <c r="M427" s="12" t="s">
        <v>43</v>
      </c>
      <c r="N427" s="12" t="s">
        <v>84</v>
      </c>
      <c r="O427" s="12" t="s">
        <v>2018</v>
      </c>
      <c r="P427" s="12" t="s">
        <v>46</v>
      </c>
      <c r="Q427" s="12" t="s">
        <v>47</v>
      </c>
      <c r="R427" s="12" t="s">
        <v>48</v>
      </c>
      <c r="S427" s="13">
        <v>197804872695</v>
      </c>
      <c r="T427" s="12" t="s">
        <v>164</v>
      </c>
      <c r="U427" s="13">
        <v>39</v>
      </c>
      <c r="V427" s="12" t="s">
        <v>50</v>
      </c>
      <c r="W427" s="12" t="s">
        <v>284</v>
      </c>
      <c r="X427" s="14"/>
      <c r="Y427" s="14"/>
      <c r="Z427" s="14"/>
      <c r="AA427" s="14"/>
      <c r="AB427" s="14"/>
      <c r="AC427" s="15">
        <v>29.55</v>
      </c>
      <c r="AD427" s="15">
        <f>AC427*AG427</f>
        <v>472.8</v>
      </c>
      <c r="AE427" s="15">
        <v>65</v>
      </c>
      <c r="AF427" s="15">
        <f>AE427*AG427</f>
        <v>1040</v>
      </c>
      <c r="AG427" s="16">
        <v>16</v>
      </c>
    </row>
    <row r="428" spans="1:33" ht="15" customHeight="1" x14ac:dyDescent="0.2">
      <c r="A428" s="11" t="str">
        <f t="shared" ref="A428:A1585" si="181">HYPERLINK("https://assets.vans.eu/images/VN000KYE1NU-HERO/1","VN000KYE1NU1")</f>
        <v>VN000KYE1NU1</v>
      </c>
      <c r="B428" s="12" t="s">
        <v>2019</v>
      </c>
      <c r="C428" s="12" t="s">
        <v>2020</v>
      </c>
      <c r="D428" s="12" t="s">
        <v>783</v>
      </c>
      <c r="E428" s="12" t="s">
        <v>2021</v>
      </c>
      <c r="F428" s="13">
        <v>659</v>
      </c>
      <c r="G428" s="14"/>
      <c r="H428" s="12" t="s">
        <v>79</v>
      </c>
      <c r="I428" s="12" t="s">
        <v>80</v>
      </c>
      <c r="J428" s="12" t="s">
        <v>171</v>
      </c>
      <c r="K428" s="12" t="s">
        <v>199</v>
      </c>
      <c r="L428" s="14"/>
      <c r="M428" s="12" t="s">
        <v>43</v>
      </c>
      <c r="N428" s="12" t="s">
        <v>44</v>
      </c>
      <c r="O428" s="12" t="s">
        <v>2022</v>
      </c>
      <c r="P428" s="12" t="s">
        <v>86</v>
      </c>
      <c r="Q428" s="12" t="s">
        <v>141</v>
      </c>
      <c r="R428" s="12" t="s">
        <v>173</v>
      </c>
      <c r="S428" s="13">
        <v>197643536734</v>
      </c>
      <c r="T428" s="12" t="s">
        <v>143</v>
      </c>
      <c r="U428" s="12" t="s">
        <v>2023</v>
      </c>
      <c r="V428" s="12" t="s">
        <v>2024</v>
      </c>
      <c r="W428" s="12" t="s">
        <v>186</v>
      </c>
      <c r="X428" s="13">
        <v>0</v>
      </c>
      <c r="Y428" s="12" t="s">
        <v>91</v>
      </c>
      <c r="Z428" s="12" t="s">
        <v>108</v>
      </c>
      <c r="AA428" s="13">
        <v>0</v>
      </c>
      <c r="AB428" s="13">
        <v>0</v>
      </c>
      <c r="AC428" s="15">
        <v>9.1</v>
      </c>
      <c r="AD428" s="15">
        <f>AC428*AG428</f>
        <v>136.5</v>
      </c>
      <c r="AE428" s="15">
        <v>20</v>
      </c>
      <c r="AF428" s="15">
        <f>AE428*AG428</f>
        <v>300</v>
      </c>
      <c r="AG428" s="16">
        <v>15</v>
      </c>
    </row>
    <row r="429" spans="1:33" ht="15" customHeight="1" x14ac:dyDescent="0.2">
      <c r="A429" s="11" t="str">
        <f>HYPERLINK("https://assets.vans.eu/images/VN000LC0Y28-HERO/1","VN000LC0Y281")</f>
        <v>VN000LC0Y281</v>
      </c>
      <c r="B429" s="12" t="s">
        <v>2025</v>
      </c>
      <c r="C429" s="12" t="s">
        <v>712</v>
      </c>
      <c r="D429" s="12" t="s">
        <v>58</v>
      </c>
      <c r="E429" s="12" t="s">
        <v>2026</v>
      </c>
      <c r="F429" s="12" t="s">
        <v>78</v>
      </c>
      <c r="G429" s="14"/>
      <c r="H429" s="12" t="s">
        <v>79</v>
      </c>
      <c r="I429" s="12" t="s">
        <v>80</v>
      </c>
      <c r="J429" s="12" t="s">
        <v>99</v>
      </c>
      <c r="K429" s="12" t="s">
        <v>199</v>
      </c>
      <c r="L429" s="14"/>
      <c r="M429" s="12" t="s">
        <v>43</v>
      </c>
      <c r="N429" s="12" t="s">
        <v>84</v>
      </c>
      <c r="O429" s="12" t="s">
        <v>2027</v>
      </c>
      <c r="P429" s="12" t="s">
        <v>86</v>
      </c>
      <c r="Q429" s="12" t="s">
        <v>716</v>
      </c>
      <c r="R429" s="12" t="s">
        <v>717</v>
      </c>
      <c r="S429" s="13">
        <v>190287470990</v>
      </c>
      <c r="T429" s="12" t="s">
        <v>143</v>
      </c>
      <c r="U429" s="12" t="s">
        <v>78</v>
      </c>
      <c r="V429" s="12" t="s">
        <v>718</v>
      </c>
      <c r="W429" s="12" t="s">
        <v>51</v>
      </c>
      <c r="X429" s="13">
        <v>0</v>
      </c>
      <c r="Y429" s="12" t="s">
        <v>71</v>
      </c>
      <c r="Z429" s="12" t="s">
        <v>108</v>
      </c>
      <c r="AA429" s="13">
        <v>0</v>
      </c>
      <c r="AB429" s="13">
        <v>0</v>
      </c>
      <c r="AC429" s="15">
        <v>8.1999999999999993</v>
      </c>
      <c r="AD429" s="15">
        <f>AC429*AG429</f>
        <v>122.99999999999999</v>
      </c>
      <c r="AE429" s="15">
        <v>18</v>
      </c>
      <c r="AF429" s="15">
        <f>AE429*AG429</f>
        <v>270</v>
      </c>
      <c r="AG429" s="16">
        <v>15</v>
      </c>
    </row>
    <row r="430" spans="1:33" ht="15" customHeight="1" x14ac:dyDescent="0.2">
      <c r="A430" s="11" t="str">
        <f>HYPERLINK("https://assets.vans.eu/images/VN000QAWBRD-HERO/1","VN000QAWBRD1")</f>
        <v>VN000QAWBRD1</v>
      </c>
      <c r="B430" s="12" t="s">
        <v>2028</v>
      </c>
      <c r="C430" s="12" t="s">
        <v>2029</v>
      </c>
      <c r="D430" s="12" t="s">
        <v>590</v>
      </c>
      <c r="E430" s="12" t="s">
        <v>2030</v>
      </c>
      <c r="F430" s="12" t="s">
        <v>78</v>
      </c>
      <c r="G430" s="14"/>
      <c r="H430" s="12" t="s">
        <v>79</v>
      </c>
      <c r="I430" s="12" t="s">
        <v>80</v>
      </c>
      <c r="J430" s="12" t="s">
        <v>349</v>
      </c>
      <c r="K430" s="12" t="s">
        <v>82</v>
      </c>
      <c r="L430" s="14"/>
      <c r="M430" s="12" t="s">
        <v>43</v>
      </c>
      <c r="N430" s="12" t="s">
        <v>84</v>
      </c>
      <c r="O430" s="12" t="s">
        <v>2031</v>
      </c>
      <c r="P430" s="12" t="s">
        <v>86</v>
      </c>
      <c r="Q430" s="12" t="s">
        <v>128</v>
      </c>
      <c r="R430" s="12" t="s">
        <v>352</v>
      </c>
      <c r="S430" s="13">
        <v>197804375202</v>
      </c>
      <c r="T430" s="12" t="s">
        <v>164</v>
      </c>
      <c r="U430" s="12" t="s">
        <v>78</v>
      </c>
      <c r="V430" s="12" t="s">
        <v>2032</v>
      </c>
      <c r="W430" s="12" t="s">
        <v>262</v>
      </c>
      <c r="X430" s="14"/>
      <c r="Y430" s="14"/>
      <c r="Z430" s="14"/>
      <c r="AA430" s="14"/>
      <c r="AB430" s="14"/>
      <c r="AC430" s="15">
        <v>12.75</v>
      </c>
      <c r="AD430" s="15">
        <f>AC430*AG430</f>
        <v>191.25</v>
      </c>
      <c r="AE430" s="15">
        <v>28</v>
      </c>
      <c r="AF430" s="15">
        <f>AE430*AG430</f>
        <v>420</v>
      </c>
      <c r="AG430" s="16">
        <v>15</v>
      </c>
    </row>
    <row r="431" spans="1:33" ht="15" customHeight="1" x14ac:dyDescent="0.2">
      <c r="A431" s="11" t="str">
        <f>HYPERLINK("https://assets.vans.eu/images/VN000QAXFS8-HERO/1","VN000QAXFS81")</f>
        <v>VN000QAXFS81</v>
      </c>
      <c r="B431" s="12" t="s">
        <v>2033</v>
      </c>
      <c r="C431" s="12" t="s">
        <v>2034</v>
      </c>
      <c r="D431" s="12" t="s">
        <v>239</v>
      </c>
      <c r="E431" s="12" t="s">
        <v>2035</v>
      </c>
      <c r="F431" s="12" t="s">
        <v>78</v>
      </c>
      <c r="G431" s="14"/>
      <c r="H431" s="12" t="s">
        <v>79</v>
      </c>
      <c r="I431" s="12" t="s">
        <v>80</v>
      </c>
      <c r="J431" s="12" t="s">
        <v>349</v>
      </c>
      <c r="K431" s="12" t="s">
        <v>82</v>
      </c>
      <c r="L431" s="14"/>
      <c r="M431" s="12" t="s">
        <v>43</v>
      </c>
      <c r="N431" s="12" t="s">
        <v>84</v>
      </c>
      <c r="O431" s="12" t="s">
        <v>2036</v>
      </c>
      <c r="P431" s="12" t="s">
        <v>86</v>
      </c>
      <c r="Q431" s="12" t="s">
        <v>128</v>
      </c>
      <c r="R431" s="12" t="s">
        <v>352</v>
      </c>
      <c r="S431" s="13">
        <v>197804375226</v>
      </c>
      <c r="T431" s="12" t="s">
        <v>164</v>
      </c>
      <c r="U431" s="12" t="s">
        <v>78</v>
      </c>
      <c r="V431" s="12" t="s">
        <v>2037</v>
      </c>
      <c r="W431" s="12" t="s">
        <v>175</v>
      </c>
      <c r="X431" s="14"/>
      <c r="Y431" s="14"/>
      <c r="Z431" s="14"/>
      <c r="AA431" s="14"/>
      <c r="AB431" s="14"/>
      <c r="AC431" s="15">
        <v>13.65</v>
      </c>
      <c r="AD431" s="15">
        <f>AC431*AG431</f>
        <v>204.75</v>
      </c>
      <c r="AE431" s="15">
        <v>30</v>
      </c>
      <c r="AF431" s="15">
        <f>AE431*AG431</f>
        <v>450</v>
      </c>
      <c r="AG431" s="16">
        <v>15</v>
      </c>
    </row>
    <row r="432" spans="1:33" ht="15" customHeight="1" x14ac:dyDescent="0.2">
      <c r="A432" s="11" t="str">
        <f>HYPERLINK("https://assets.vans.eu/images/VN000QBGBLK-HERO/1","VN000QBGBLK1")</f>
        <v>VN000QBGBLK1</v>
      </c>
      <c r="B432" s="12" t="s">
        <v>2038</v>
      </c>
      <c r="C432" s="12" t="s">
        <v>304</v>
      </c>
      <c r="D432" s="12" t="s">
        <v>76</v>
      </c>
      <c r="E432" s="12" t="s">
        <v>2039</v>
      </c>
      <c r="F432" s="12" t="s">
        <v>170</v>
      </c>
      <c r="G432" s="14"/>
      <c r="H432" s="12" t="s">
        <v>79</v>
      </c>
      <c r="I432" s="12" t="s">
        <v>80</v>
      </c>
      <c r="J432" s="12" t="s">
        <v>171</v>
      </c>
      <c r="K432" s="12" t="s">
        <v>82</v>
      </c>
      <c r="L432" s="14"/>
      <c r="M432" s="12" t="s">
        <v>43</v>
      </c>
      <c r="N432" s="12" t="s">
        <v>84</v>
      </c>
      <c r="O432" s="12" t="s">
        <v>2040</v>
      </c>
      <c r="P432" s="12" t="s">
        <v>86</v>
      </c>
      <c r="Q432" s="12" t="s">
        <v>141</v>
      </c>
      <c r="R432" s="12" t="s">
        <v>173</v>
      </c>
      <c r="S432" s="13">
        <v>197804394715</v>
      </c>
      <c r="T432" s="12" t="s">
        <v>143</v>
      </c>
      <c r="U432" s="12" t="s">
        <v>170</v>
      </c>
      <c r="V432" s="12" t="s">
        <v>307</v>
      </c>
      <c r="W432" s="12" t="s">
        <v>51</v>
      </c>
      <c r="X432" s="14"/>
      <c r="Y432" s="14"/>
      <c r="Z432" s="14"/>
      <c r="AA432" s="14"/>
      <c r="AB432" s="14"/>
      <c r="AC432" s="15">
        <v>7.3</v>
      </c>
      <c r="AD432" s="15">
        <f>AC432*AG432</f>
        <v>109.5</v>
      </c>
      <c r="AE432" s="15">
        <v>16</v>
      </c>
      <c r="AF432" s="15">
        <f>AE432*AG432</f>
        <v>240</v>
      </c>
      <c r="AG432" s="16">
        <v>15</v>
      </c>
    </row>
    <row r="433" spans="1:33" ht="15" customHeight="1" x14ac:dyDescent="0.2">
      <c r="A433" s="11" t="str">
        <f t="shared" ref="A433:A475" si="182">HYPERLINK("https://assets.vans.eu/images/VN0008N6BLK-HERO/1","VN0008N6BLK1")</f>
        <v>VN0008N6BLK1</v>
      </c>
      <c r="B433" s="12" t="s">
        <v>2041</v>
      </c>
      <c r="C433" s="12" t="s">
        <v>2042</v>
      </c>
      <c r="D433" s="12" t="s">
        <v>76</v>
      </c>
      <c r="E433" s="12" t="s">
        <v>2043</v>
      </c>
      <c r="F433" s="13">
        <v>30</v>
      </c>
      <c r="G433" s="14"/>
      <c r="H433" s="12" t="s">
        <v>61</v>
      </c>
      <c r="I433" s="12" t="s">
        <v>230</v>
      </c>
      <c r="J433" s="12" t="s">
        <v>231</v>
      </c>
      <c r="K433" s="12" t="s">
        <v>199</v>
      </c>
      <c r="L433" s="14"/>
      <c r="M433" s="12" t="s">
        <v>43</v>
      </c>
      <c r="N433" s="12" t="s">
        <v>84</v>
      </c>
      <c r="O433" s="12" t="s">
        <v>2044</v>
      </c>
      <c r="P433" s="12" t="s">
        <v>66</v>
      </c>
      <c r="Q433" s="12" t="s">
        <v>233</v>
      </c>
      <c r="R433" s="12" t="s">
        <v>361</v>
      </c>
      <c r="S433" s="13">
        <v>197063494775</v>
      </c>
      <c r="T433" s="12" t="s">
        <v>235</v>
      </c>
      <c r="U433" s="13">
        <v>30</v>
      </c>
      <c r="V433" s="12" t="s">
        <v>665</v>
      </c>
      <c r="W433" s="12" t="s">
        <v>51</v>
      </c>
      <c r="X433" s="13">
        <v>0</v>
      </c>
      <c r="Y433" s="12" t="s">
        <v>91</v>
      </c>
      <c r="Z433" s="12" t="s">
        <v>108</v>
      </c>
      <c r="AA433" s="13">
        <v>0</v>
      </c>
      <c r="AB433" s="13">
        <v>0</v>
      </c>
      <c r="AC433" s="15">
        <v>36.4</v>
      </c>
      <c r="AD433" s="15">
        <f>AC433*AG433</f>
        <v>546</v>
      </c>
      <c r="AE433" s="15">
        <v>80</v>
      </c>
      <c r="AF433" s="15">
        <f>AE433*AG433</f>
        <v>1200</v>
      </c>
      <c r="AG433" s="16">
        <v>15</v>
      </c>
    </row>
    <row r="434" spans="1:33" ht="15" customHeight="1" x14ac:dyDescent="0.2">
      <c r="A434" s="11" t="str">
        <f>HYPERLINK("https://assets.vans.eu/images/VN000HUP7WM-HERO/1","VN000HUP7WM1")</f>
        <v>VN000HUP7WM1</v>
      </c>
      <c r="B434" s="12" t="s">
        <v>2045</v>
      </c>
      <c r="C434" s="12" t="s">
        <v>898</v>
      </c>
      <c r="D434" s="12" t="s">
        <v>388</v>
      </c>
      <c r="E434" s="12" t="s">
        <v>2046</v>
      </c>
      <c r="F434" s="12" t="s">
        <v>179</v>
      </c>
      <c r="G434" s="14"/>
      <c r="H434" s="12" t="s">
        <v>61</v>
      </c>
      <c r="I434" s="12" t="s">
        <v>289</v>
      </c>
      <c r="J434" s="12" t="s">
        <v>900</v>
      </c>
      <c r="K434" s="12" t="s">
        <v>100</v>
      </c>
      <c r="L434" s="14"/>
      <c r="M434" s="12" t="s">
        <v>43</v>
      </c>
      <c r="N434" s="12" t="s">
        <v>161</v>
      </c>
      <c r="O434" s="12" t="s">
        <v>2047</v>
      </c>
      <c r="P434" s="12" t="s">
        <v>66</v>
      </c>
      <c r="Q434" s="12" t="s">
        <v>233</v>
      </c>
      <c r="R434" s="12" t="s">
        <v>902</v>
      </c>
      <c r="S434" s="13">
        <v>197065462147</v>
      </c>
      <c r="T434" s="12" t="s">
        <v>235</v>
      </c>
      <c r="U434" s="12" t="s">
        <v>179</v>
      </c>
      <c r="V434" s="12" t="s">
        <v>903</v>
      </c>
      <c r="W434" s="12" t="s">
        <v>284</v>
      </c>
      <c r="X434" s="13">
        <v>0</v>
      </c>
      <c r="Y434" s="12" t="s">
        <v>53</v>
      </c>
      <c r="Z434" s="12" t="s">
        <v>108</v>
      </c>
      <c r="AA434" s="13">
        <v>0</v>
      </c>
      <c r="AB434" s="13">
        <v>0</v>
      </c>
      <c r="AC434" s="15">
        <v>36.4</v>
      </c>
      <c r="AD434" s="15">
        <f>AC434*AG434</f>
        <v>546</v>
      </c>
      <c r="AE434" s="15">
        <v>80</v>
      </c>
      <c r="AF434" s="15">
        <f>AE434*AG434</f>
        <v>1200</v>
      </c>
      <c r="AG434" s="16">
        <v>15</v>
      </c>
    </row>
    <row r="435" spans="1:33" ht="15" customHeight="1" x14ac:dyDescent="0.2">
      <c r="A435" s="11" t="str">
        <f t="shared" si="169"/>
        <v>VN000HZBBLK1</v>
      </c>
      <c r="B435" s="12" t="s">
        <v>2048</v>
      </c>
      <c r="C435" s="12" t="s">
        <v>357</v>
      </c>
      <c r="D435" s="12" t="s">
        <v>76</v>
      </c>
      <c r="E435" s="12" t="s">
        <v>2049</v>
      </c>
      <c r="F435" s="13">
        <v>32</v>
      </c>
      <c r="G435" s="14"/>
      <c r="H435" s="12" t="s">
        <v>61</v>
      </c>
      <c r="I435" s="12" t="s">
        <v>230</v>
      </c>
      <c r="J435" s="12" t="s">
        <v>231</v>
      </c>
      <c r="K435" s="12" t="s">
        <v>199</v>
      </c>
      <c r="L435" s="14"/>
      <c r="M435" s="12" t="s">
        <v>43</v>
      </c>
      <c r="N435" s="12" t="s">
        <v>84</v>
      </c>
      <c r="O435" s="12" t="s">
        <v>2050</v>
      </c>
      <c r="P435" s="12" t="s">
        <v>66</v>
      </c>
      <c r="Q435" s="12" t="s">
        <v>233</v>
      </c>
      <c r="R435" s="12" t="s">
        <v>361</v>
      </c>
      <c r="S435" s="13">
        <v>197065839727</v>
      </c>
      <c r="T435" s="12" t="s">
        <v>235</v>
      </c>
      <c r="U435" s="13">
        <v>32</v>
      </c>
      <c r="V435" s="12" t="s">
        <v>362</v>
      </c>
      <c r="W435" s="12" t="s">
        <v>51</v>
      </c>
      <c r="X435" s="13">
        <v>0</v>
      </c>
      <c r="Y435" s="12" t="s">
        <v>91</v>
      </c>
      <c r="Z435" s="12" t="s">
        <v>108</v>
      </c>
      <c r="AA435" s="13">
        <v>0</v>
      </c>
      <c r="AB435" s="13">
        <v>0</v>
      </c>
      <c r="AC435" s="15">
        <v>34.1</v>
      </c>
      <c r="AD435" s="15">
        <f>AC435*AG435</f>
        <v>511.5</v>
      </c>
      <c r="AE435" s="15">
        <v>75</v>
      </c>
      <c r="AF435" s="15">
        <f>AE435*AG435</f>
        <v>1125</v>
      </c>
      <c r="AG435" s="16">
        <v>15</v>
      </c>
    </row>
    <row r="436" spans="1:33" ht="15" customHeight="1" x14ac:dyDescent="0.2">
      <c r="A436" s="11" t="str">
        <f t="shared" si="124"/>
        <v>VN000HZCBLK1</v>
      </c>
      <c r="B436" s="12" t="s">
        <v>2051</v>
      </c>
      <c r="C436" s="12" t="s">
        <v>1567</v>
      </c>
      <c r="D436" s="12" t="s">
        <v>76</v>
      </c>
      <c r="E436" s="12" t="s">
        <v>2052</v>
      </c>
      <c r="F436" s="13">
        <v>32</v>
      </c>
      <c r="G436" s="14"/>
      <c r="H436" s="12" t="s">
        <v>61</v>
      </c>
      <c r="I436" s="12" t="s">
        <v>230</v>
      </c>
      <c r="J436" s="12" t="s">
        <v>231</v>
      </c>
      <c r="K436" s="12" t="s">
        <v>199</v>
      </c>
      <c r="L436" s="14"/>
      <c r="M436" s="12" t="s">
        <v>43</v>
      </c>
      <c r="N436" s="12" t="s">
        <v>84</v>
      </c>
      <c r="O436" s="12" t="s">
        <v>2053</v>
      </c>
      <c r="P436" s="12" t="s">
        <v>66</v>
      </c>
      <c r="Q436" s="12" t="s">
        <v>233</v>
      </c>
      <c r="R436" s="12" t="s">
        <v>361</v>
      </c>
      <c r="S436" s="13">
        <v>197065840143</v>
      </c>
      <c r="T436" s="12" t="s">
        <v>235</v>
      </c>
      <c r="U436" s="13">
        <v>32</v>
      </c>
      <c r="V436" s="12" t="s">
        <v>1570</v>
      </c>
      <c r="W436" s="12" t="s">
        <v>51</v>
      </c>
      <c r="X436" s="13">
        <v>0</v>
      </c>
      <c r="Y436" s="12" t="s">
        <v>91</v>
      </c>
      <c r="Z436" s="12" t="s">
        <v>108</v>
      </c>
      <c r="AA436" s="13">
        <v>0</v>
      </c>
      <c r="AB436" s="13">
        <v>0</v>
      </c>
      <c r="AC436" s="15">
        <v>34.1</v>
      </c>
      <c r="AD436" s="15">
        <f>AC436*AG436</f>
        <v>511.5</v>
      </c>
      <c r="AE436" s="15">
        <v>75</v>
      </c>
      <c r="AF436" s="15">
        <f>AE436*AG436</f>
        <v>1125</v>
      </c>
      <c r="AG436" s="16">
        <v>15</v>
      </c>
    </row>
    <row r="437" spans="1:33" ht="15" customHeight="1" x14ac:dyDescent="0.2">
      <c r="A437" s="11" t="str">
        <f t="shared" ref="A437:A1002" si="183">HYPERLINK("https://assets.vans.eu/images/VN000M6XC9F-HERO/1","VN000M6XC9F1")</f>
        <v>VN000M6XC9F1</v>
      </c>
      <c r="B437" s="12" t="s">
        <v>2054</v>
      </c>
      <c r="C437" s="12" t="s">
        <v>2055</v>
      </c>
      <c r="D437" s="12" t="s">
        <v>2056</v>
      </c>
      <c r="E437" s="12" t="s">
        <v>2057</v>
      </c>
      <c r="F437" s="12" t="s">
        <v>170</v>
      </c>
      <c r="G437" s="14"/>
      <c r="H437" s="12" t="s">
        <v>61</v>
      </c>
      <c r="I437" s="12" t="s">
        <v>289</v>
      </c>
      <c r="J437" s="12" t="s">
        <v>290</v>
      </c>
      <c r="K437" s="12" t="s">
        <v>100</v>
      </c>
      <c r="L437" s="14"/>
      <c r="M437" s="12" t="s">
        <v>43</v>
      </c>
      <c r="N437" s="12" t="s">
        <v>44</v>
      </c>
      <c r="O437" s="12" t="s">
        <v>2058</v>
      </c>
      <c r="P437" s="12" t="s">
        <v>66</v>
      </c>
      <c r="Q437" s="12" t="s">
        <v>233</v>
      </c>
      <c r="R437" s="12" t="s">
        <v>664</v>
      </c>
      <c r="S437" s="13">
        <v>197643360735</v>
      </c>
      <c r="T437" s="12" t="s">
        <v>235</v>
      </c>
      <c r="U437" s="12" t="s">
        <v>170</v>
      </c>
      <c r="V437" s="12" t="s">
        <v>1811</v>
      </c>
      <c r="W437" s="12" t="s">
        <v>175</v>
      </c>
      <c r="X437" s="13">
        <v>0</v>
      </c>
      <c r="Y437" s="12" t="s">
        <v>53</v>
      </c>
      <c r="Z437" s="12" t="s">
        <v>108</v>
      </c>
      <c r="AA437" s="13">
        <v>0</v>
      </c>
      <c r="AB437" s="13">
        <v>0</v>
      </c>
      <c r="AC437" s="15">
        <v>45.5</v>
      </c>
      <c r="AD437" s="15">
        <f>AC437*AG437</f>
        <v>682.5</v>
      </c>
      <c r="AE437" s="15">
        <v>100</v>
      </c>
      <c r="AF437" s="15">
        <f>AE437*AG437</f>
        <v>1500</v>
      </c>
      <c r="AG437" s="16">
        <v>15</v>
      </c>
    </row>
    <row r="438" spans="1:33" ht="15" customHeight="1" x14ac:dyDescent="0.2">
      <c r="A438" s="11" t="str">
        <f t="shared" si="68"/>
        <v>VN000MEPJDU1</v>
      </c>
      <c r="B438" s="12" t="s">
        <v>2059</v>
      </c>
      <c r="C438" s="12" t="s">
        <v>1020</v>
      </c>
      <c r="D438" s="12" t="s">
        <v>814</v>
      </c>
      <c r="E438" s="12" t="s">
        <v>2060</v>
      </c>
      <c r="F438" s="13">
        <v>10</v>
      </c>
      <c r="G438" s="14"/>
      <c r="H438" s="12" t="s">
        <v>61</v>
      </c>
      <c r="I438" s="12" t="s">
        <v>62</v>
      </c>
      <c r="J438" s="12" t="s">
        <v>972</v>
      </c>
      <c r="K438" s="12" t="s">
        <v>1022</v>
      </c>
      <c r="L438" s="14"/>
      <c r="M438" s="12" t="s">
        <v>43</v>
      </c>
      <c r="N438" s="12" t="s">
        <v>44</v>
      </c>
      <c r="O438" s="12" t="s">
        <v>2061</v>
      </c>
      <c r="P438" s="12" t="s">
        <v>66</v>
      </c>
      <c r="Q438" s="12" t="s">
        <v>233</v>
      </c>
      <c r="R438" s="12" t="s">
        <v>1024</v>
      </c>
      <c r="S438" s="13">
        <v>197643372370</v>
      </c>
      <c r="T438" s="12" t="s">
        <v>235</v>
      </c>
      <c r="U438" s="13">
        <v>10</v>
      </c>
      <c r="V438" s="12" t="s">
        <v>665</v>
      </c>
      <c r="W438" s="12" t="s">
        <v>284</v>
      </c>
      <c r="X438" s="13">
        <v>0</v>
      </c>
      <c r="Y438" s="12" t="s">
        <v>91</v>
      </c>
      <c r="Z438" s="12" t="s">
        <v>108</v>
      </c>
      <c r="AA438" s="13">
        <v>0</v>
      </c>
      <c r="AB438" s="13">
        <v>0</v>
      </c>
      <c r="AC438" s="15">
        <v>20.5</v>
      </c>
      <c r="AD438" s="15">
        <f>AC438*AG438</f>
        <v>307.5</v>
      </c>
      <c r="AE438" s="15">
        <v>45</v>
      </c>
      <c r="AF438" s="15">
        <f>AE438*AG438</f>
        <v>675</v>
      </c>
      <c r="AG438" s="16">
        <v>15</v>
      </c>
    </row>
    <row r="439" spans="1:33" ht="15" customHeight="1" x14ac:dyDescent="0.2">
      <c r="A439" s="11" t="str">
        <f t="shared" ref="A439:A611" si="184">HYPERLINK("https://assets.vans.eu/images/VN000PA6BLK-HERO/1","VN000PA6BLK1")</f>
        <v>VN000PA6BLK1</v>
      </c>
      <c r="B439" s="12" t="s">
        <v>2062</v>
      </c>
      <c r="C439" s="12" t="s">
        <v>2063</v>
      </c>
      <c r="D439" s="12" t="s">
        <v>76</v>
      </c>
      <c r="E439" s="12" t="s">
        <v>2064</v>
      </c>
      <c r="F439" s="12" t="s">
        <v>403</v>
      </c>
      <c r="G439" s="14"/>
      <c r="H439" s="12" t="s">
        <v>61</v>
      </c>
      <c r="I439" s="12" t="s">
        <v>230</v>
      </c>
      <c r="J439" s="12" t="s">
        <v>419</v>
      </c>
      <c r="K439" s="12" t="s">
        <v>199</v>
      </c>
      <c r="L439" s="12" t="s">
        <v>42</v>
      </c>
      <c r="M439" s="12" t="s">
        <v>43</v>
      </c>
      <c r="N439" s="12" t="s">
        <v>84</v>
      </c>
      <c r="O439" s="12" t="s">
        <v>2065</v>
      </c>
      <c r="P439" s="12" t="s">
        <v>66</v>
      </c>
      <c r="Q439" s="12" t="s">
        <v>67</v>
      </c>
      <c r="R439" s="12" t="s">
        <v>623</v>
      </c>
      <c r="S439" s="13">
        <v>197804914067</v>
      </c>
      <c r="T439" s="12" t="s">
        <v>709</v>
      </c>
      <c r="U439" s="12" t="s">
        <v>403</v>
      </c>
      <c r="V439" s="12" t="s">
        <v>710</v>
      </c>
      <c r="W439" s="12" t="s">
        <v>51</v>
      </c>
      <c r="X439" s="14"/>
      <c r="Y439" s="14"/>
      <c r="Z439" s="14"/>
      <c r="AA439" s="14"/>
      <c r="AB439" s="14"/>
      <c r="AC439" s="15">
        <v>31.85</v>
      </c>
      <c r="AD439" s="15">
        <f>AC439*AG439</f>
        <v>477.75</v>
      </c>
      <c r="AE439" s="15">
        <v>70</v>
      </c>
      <c r="AF439" s="15">
        <f>AE439*AG439</f>
        <v>1050</v>
      </c>
      <c r="AG439" s="16">
        <v>15</v>
      </c>
    </row>
    <row r="440" spans="1:33" ht="15" customHeight="1" x14ac:dyDescent="0.2">
      <c r="A440" s="11" t="str">
        <f t="shared" si="176"/>
        <v>VN000PFBEN91</v>
      </c>
      <c r="B440" s="12" t="s">
        <v>2066</v>
      </c>
      <c r="C440" s="12" t="s">
        <v>1588</v>
      </c>
      <c r="D440" s="12" t="s">
        <v>982</v>
      </c>
      <c r="E440" s="12" t="s">
        <v>2067</v>
      </c>
      <c r="F440" s="12" t="s">
        <v>403</v>
      </c>
      <c r="G440" s="14"/>
      <c r="H440" s="12" t="s">
        <v>61</v>
      </c>
      <c r="I440" s="12" t="s">
        <v>230</v>
      </c>
      <c r="J440" s="12" t="s">
        <v>419</v>
      </c>
      <c r="K440" s="12" t="s">
        <v>199</v>
      </c>
      <c r="L440" s="14"/>
      <c r="M440" s="12" t="s">
        <v>43</v>
      </c>
      <c r="N440" s="12" t="s">
        <v>84</v>
      </c>
      <c r="O440" s="12" t="s">
        <v>2068</v>
      </c>
      <c r="P440" s="12" t="s">
        <v>66</v>
      </c>
      <c r="Q440" s="12" t="s">
        <v>67</v>
      </c>
      <c r="R440" s="12" t="s">
        <v>421</v>
      </c>
      <c r="S440" s="13">
        <v>197804383818</v>
      </c>
      <c r="T440" s="12" t="s">
        <v>49</v>
      </c>
      <c r="U440" s="12" t="s">
        <v>403</v>
      </c>
      <c r="V440" s="12" t="s">
        <v>665</v>
      </c>
      <c r="W440" s="12" t="s">
        <v>455</v>
      </c>
      <c r="X440" s="14"/>
      <c r="Y440" s="14"/>
      <c r="Z440" s="14"/>
      <c r="AA440" s="14"/>
      <c r="AB440" s="14"/>
      <c r="AC440" s="15">
        <v>20.5</v>
      </c>
      <c r="AD440" s="15">
        <f>AC440*AG440</f>
        <v>307.5</v>
      </c>
      <c r="AE440" s="15">
        <v>45</v>
      </c>
      <c r="AF440" s="15">
        <f>AE440*AG440</f>
        <v>675</v>
      </c>
      <c r="AG440" s="16">
        <v>15</v>
      </c>
    </row>
    <row r="441" spans="1:33" ht="15" customHeight="1" x14ac:dyDescent="0.2">
      <c r="A441" s="11" t="str">
        <f t="shared" ref="A441:A561" si="185">HYPERLINK("https://assets.vans.eu/images/VN000PK8BLK-HERO/1","VN000PK8BLK1")</f>
        <v>VN000PK8BLK1</v>
      </c>
      <c r="B441" s="12" t="s">
        <v>2069</v>
      </c>
      <c r="C441" s="12" t="s">
        <v>2070</v>
      </c>
      <c r="D441" s="12" t="s">
        <v>76</v>
      </c>
      <c r="E441" s="12" t="s">
        <v>2071</v>
      </c>
      <c r="F441" s="12" t="s">
        <v>179</v>
      </c>
      <c r="G441" s="14"/>
      <c r="H441" s="12" t="s">
        <v>61</v>
      </c>
      <c r="I441" s="12" t="s">
        <v>289</v>
      </c>
      <c r="J441" s="12" t="s">
        <v>290</v>
      </c>
      <c r="K441" s="12" t="s">
        <v>100</v>
      </c>
      <c r="L441" s="14"/>
      <c r="M441" s="12" t="s">
        <v>43</v>
      </c>
      <c r="N441" s="12" t="s">
        <v>84</v>
      </c>
      <c r="O441" s="12" t="s">
        <v>2072</v>
      </c>
      <c r="P441" s="12" t="s">
        <v>66</v>
      </c>
      <c r="Q441" s="12" t="s">
        <v>233</v>
      </c>
      <c r="R441" s="12" t="s">
        <v>2073</v>
      </c>
      <c r="S441" s="13">
        <v>197804579174</v>
      </c>
      <c r="T441" s="12" t="s">
        <v>49</v>
      </c>
      <c r="U441" s="12" t="s">
        <v>179</v>
      </c>
      <c r="V441" s="12" t="s">
        <v>2074</v>
      </c>
      <c r="W441" s="12" t="s">
        <v>51</v>
      </c>
      <c r="X441" s="14"/>
      <c r="Y441" s="14"/>
      <c r="Z441" s="14"/>
      <c r="AA441" s="14"/>
      <c r="AB441" s="14"/>
      <c r="AC441" s="15">
        <v>40.950000000000003</v>
      </c>
      <c r="AD441" s="15">
        <f>AC441*AG441</f>
        <v>614.25</v>
      </c>
      <c r="AE441" s="15">
        <v>90</v>
      </c>
      <c r="AF441" s="15">
        <f>AE441*AG441</f>
        <v>1350</v>
      </c>
      <c r="AG441" s="16">
        <v>15</v>
      </c>
    </row>
    <row r="442" spans="1:33" ht="15" customHeight="1" x14ac:dyDescent="0.2">
      <c r="A442" s="11" t="str">
        <f t="shared" ref="A442:A613" si="186">HYPERLINK("https://assets.vans.eu/images/VN000PMAEMW-HERO/1","VN000PMAEMW1")</f>
        <v>VN000PMAEMW1</v>
      </c>
      <c r="B442" s="12" t="s">
        <v>2075</v>
      </c>
      <c r="C442" s="12" t="s">
        <v>2076</v>
      </c>
      <c r="D442" s="12" t="s">
        <v>147</v>
      </c>
      <c r="E442" s="12" t="s">
        <v>2077</v>
      </c>
      <c r="F442" s="12" t="s">
        <v>170</v>
      </c>
      <c r="G442" s="14"/>
      <c r="H442" s="12" t="s">
        <v>61</v>
      </c>
      <c r="I442" s="12" t="s">
        <v>230</v>
      </c>
      <c r="J442" s="12" t="s">
        <v>762</v>
      </c>
      <c r="K442" s="12" t="s">
        <v>199</v>
      </c>
      <c r="L442" s="14"/>
      <c r="M442" s="12" t="s">
        <v>43</v>
      </c>
      <c r="N442" s="12" t="s">
        <v>84</v>
      </c>
      <c r="O442" s="12" t="s">
        <v>2078</v>
      </c>
      <c r="P442" s="12" t="s">
        <v>66</v>
      </c>
      <c r="Q442" s="12" t="s">
        <v>764</v>
      </c>
      <c r="R442" s="12" t="s">
        <v>765</v>
      </c>
      <c r="S442" s="13">
        <v>197804372805</v>
      </c>
      <c r="T442" s="12" t="s">
        <v>49</v>
      </c>
      <c r="U442" s="12" t="s">
        <v>170</v>
      </c>
      <c r="V442" s="12" t="s">
        <v>90</v>
      </c>
      <c r="W442" s="12" t="s">
        <v>118</v>
      </c>
      <c r="X442" s="14"/>
      <c r="Y442" s="14"/>
      <c r="Z442" s="14"/>
      <c r="AA442" s="14"/>
      <c r="AB442" s="14"/>
      <c r="AC442" s="15">
        <v>159.1</v>
      </c>
      <c r="AD442" s="15">
        <f>AC442*AG442</f>
        <v>2386.5</v>
      </c>
      <c r="AE442" s="15">
        <v>350</v>
      </c>
      <c r="AF442" s="15">
        <f>AE442*AG442</f>
        <v>5250</v>
      </c>
      <c r="AG442" s="16">
        <v>15</v>
      </c>
    </row>
    <row r="443" spans="1:33" ht="15" customHeight="1" x14ac:dyDescent="0.2">
      <c r="A443" s="11" t="str">
        <f t="shared" si="165"/>
        <v>VN000PXXBLK1</v>
      </c>
      <c r="B443" s="12" t="s">
        <v>2079</v>
      </c>
      <c r="C443" s="12" t="s">
        <v>1912</v>
      </c>
      <c r="D443" s="12" t="s">
        <v>76</v>
      </c>
      <c r="E443" s="12" t="s">
        <v>2080</v>
      </c>
      <c r="F443" s="12" t="s">
        <v>60</v>
      </c>
      <c r="G443" s="14"/>
      <c r="H443" s="12" t="s">
        <v>61</v>
      </c>
      <c r="I443" s="12" t="s">
        <v>62</v>
      </c>
      <c r="J443" s="12" t="s">
        <v>63</v>
      </c>
      <c r="K443" s="12" t="s">
        <v>64</v>
      </c>
      <c r="L443" s="14"/>
      <c r="M443" s="12" t="s">
        <v>43</v>
      </c>
      <c r="N443" s="12" t="s">
        <v>84</v>
      </c>
      <c r="O443" s="12" t="s">
        <v>2081</v>
      </c>
      <c r="P443" s="12" t="s">
        <v>66</v>
      </c>
      <c r="Q443" s="12" t="s">
        <v>67</v>
      </c>
      <c r="R443" s="12" t="s">
        <v>68</v>
      </c>
      <c r="S443" s="13">
        <v>197804668656</v>
      </c>
      <c r="T443" s="12" t="s">
        <v>422</v>
      </c>
      <c r="U443" s="12" t="s">
        <v>60</v>
      </c>
      <c r="V443" s="12" t="s">
        <v>70</v>
      </c>
      <c r="W443" s="12" t="s">
        <v>51</v>
      </c>
      <c r="X443" s="14"/>
      <c r="Y443" s="14"/>
      <c r="Z443" s="14"/>
      <c r="AA443" s="14"/>
      <c r="AB443" s="14"/>
      <c r="AC443" s="15">
        <v>13.65</v>
      </c>
      <c r="AD443" s="15">
        <f>AC443*AG443</f>
        <v>204.75</v>
      </c>
      <c r="AE443" s="15">
        <v>30</v>
      </c>
      <c r="AF443" s="15">
        <f>AE443*AG443</f>
        <v>450</v>
      </c>
      <c r="AG443" s="16">
        <v>15</v>
      </c>
    </row>
    <row r="444" spans="1:33" ht="15" customHeight="1" x14ac:dyDescent="0.2">
      <c r="A444" s="11" t="str">
        <f t="shared" ref="A444:A825" si="187">HYPERLINK("https://assets.vans.eu/images/VN000RFMEMV-HERO/1","VN000RFMEMV1")</f>
        <v>VN000RFMEMV1</v>
      </c>
      <c r="B444" s="12" t="s">
        <v>2082</v>
      </c>
      <c r="C444" s="12" t="s">
        <v>2083</v>
      </c>
      <c r="D444" s="12" t="s">
        <v>1908</v>
      </c>
      <c r="E444" s="12" t="s">
        <v>2084</v>
      </c>
      <c r="F444" s="12" t="s">
        <v>170</v>
      </c>
      <c r="G444" s="14"/>
      <c r="H444" s="12" t="s">
        <v>61</v>
      </c>
      <c r="I444" s="12" t="s">
        <v>230</v>
      </c>
      <c r="J444" s="12" t="s">
        <v>419</v>
      </c>
      <c r="K444" s="12" t="s">
        <v>199</v>
      </c>
      <c r="L444" s="12" t="s">
        <v>83</v>
      </c>
      <c r="M444" s="12" t="s">
        <v>43</v>
      </c>
      <c r="N444" s="12" t="s">
        <v>84</v>
      </c>
      <c r="O444" s="12" t="s">
        <v>2085</v>
      </c>
      <c r="P444" s="12" t="s">
        <v>66</v>
      </c>
      <c r="Q444" s="12" t="s">
        <v>67</v>
      </c>
      <c r="R444" s="12" t="s">
        <v>421</v>
      </c>
      <c r="S444" s="13">
        <v>197804327515</v>
      </c>
      <c r="T444" s="12" t="s">
        <v>422</v>
      </c>
      <c r="U444" s="12" t="s">
        <v>170</v>
      </c>
      <c r="V444" s="12" t="s">
        <v>423</v>
      </c>
      <c r="W444" s="12" t="s">
        <v>51</v>
      </c>
      <c r="X444" s="14"/>
      <c r="Y444" s="14"/>
      <c r="Z444" s="14"/>
      <c r="AA444" s="14"/>
      <c r="AB444" s="14"/>
      <c r="AC444" s="15">
        <v>20.5</v>
      </c>
      <c r="AD444" s="15">
        <f>AC444*AG444</f>
        <v>307.5</v>
      </c>
      <c r="AE444" s="15">
        <v>45</v>
      </c>
      <c r="AF444" s="15">
        <f>AE444*AG444</f>
        <v>675</v>
      </c>
      <c r="AG444" s="16">
        <v>15</v>
      </c>
    </row>
    <row r="445" spans="1:33" ht="15" customHeight="1" x14ac:dyDescent="0.2">
      <c r="A445" s="11" t="str">
        <f t="shared" ref="A445:A448" si="188">HYPERLINK("https://assets.vans.eu/images/VN000SN14OU-HERO/1","VN000SN14OU1")</f>
        <v>VN000SN14OU1</v>
      </c>
      <c r="B445" s="12" t="s">
        <v>2086</v>
      </c>
      <c r="C445" s="12" t="s">
        <v>727</v>
      </c>
      <c r="D445" s="12" t="s">
        <v>2087</v>
      </c>
      <c r="E445" s="12" t="s">
        <v>2088</v>
      </c>
      <c r="F445" s="12" t="s">
        <v>179</v>
      </c>
      <c r="G445" s="14"/>
      <c r="H445" s="12" t="s">
        <v>61</v>
      </c>
      <c r="I445" s="12" t="s">
        <v>62</v>
      </c>
      <c r="J445" s="12" t="s">
        <v>63</v>
      </c>
      <c r="K445" s="12" t="s">
        <v>64</v>
      </c>
      <c r="L445" s="14"/>
      <c r="M445" s="12" t="s">
        <v>43</v>
      </c>
      <c r="N445" s="12" t="s">
        <v>84</v>
      </c>
      <c r="O445" s="12" t="s">
        <v>2089</v>
      </c>
      <c r="P445" s="12" t="s">
        <v>66</v>
      </c>
      <c r="Q445" s="12" t="s">
        <v>67</v>
      </c>
      <c r="R445" s="12" t="s">
        <v>730</v>
      </c>
      <c r="S445" s="13">
        <v>197805981198</v>
      </c>
      <c r="T445" s="12" t="s">
        <v>709</v>
      </c>
      <c r="U445" s="12" t="s">
        <v>179</v>
      </c>
      <c r="V445" s="12" t="s">
        <v>2090</v>
      </c>
      <c r="W445" s="12" t="s">
        <v>455</v>
      </c>
      <c r="X445" s="14"/>
      <c r="Y445" s="14"/>
      <c r="Z445" s="14"/>
      <c r="AA445" s="14"/>
      <c r="AB445" s="14"/>
      <c r="AC445" s="15">
        <v>27.3</v>
      </c>
      <c r="AD445" s="15">
        <f>AC445*AG445</f>
        <v>409.5</v>
      </c>
      <c r="AE445" s="15">
        <v>60</v>
      </c>
      <c r="AF445" s="15">
        <f>AE445*AG445</f>
        <v>900</v>
      </c>
      <c r="AG445" s="16">
        <v>15</v>
      </c>
    </row>
    <row r="446" spans="1:33" ht="15" customHeight="1" x14ac:dyDescent="0.2">
      <c r="A446" s="11" t="str">
        <f t="shared" si="188"/>
        <v>VN000SN14OU1</v>
      </c>
      <c r="B446" s="12" t="s">
        <v>2091</v>
      </c>
      <c r="C446" s="12" t="s">
        <v>727</v>
      </c>
      <c r="D446" s="12" t="s">
        <v>2087</v>
      </c>
      <c r="E446" s="12" t="s">
        <v>2092</v>
      </c>
      <c r="F446" s="12" t="s">
        <v>170</v>
      </c>
      <c r="G446" s="14"/>
      <c r="H446" s="12" t="s">
        <v>61</v>
      </c>
      <c r="I446" s="12" t="s">
        <v>62</v>
      </c>
      <c r="J446" s="12" t="s">
        <v>63</v>
      </c>
      <c r="K446" s="12" t="s">
        <v>64</v>
      </c>
      <c r="L446" s="14"/>
      <c r="M446" s="12" t="s">
        <v>43</v>
      </c>
      <c r="N446" s="12" t="s">
        <v>84</v>
      </c>
      <c r="O446" s="12" t="s">
        <v>2093</v>
      </c>
      <c r="P446" s="12" t="s">
        <v>66</v>
      </c>
      <c r="Q446" s="12" t="s">
        <v>67</v>
      </c>
      <c r="R446" s="12" t="s">
        <v>730</v>
      </c>
      <c r="S446" s="13">
        <v>197805981716</v>
      </c>
      <c r="T446" s="12" t="s">
        <v>709</v>
      </c>
      <c r="U446" s="12" t="s">
        <v>170</v>
      </c>
      <c r="V446" s="12" t="s">
        <v>2090</v>
      </c>
      <c r="W446" s="12" t="s">
        <v>455</v>
      </c>
      <c r="X446" s="14"/>
      <c r="Y446" s="14"/>
      <c r="Z446" s="14"/>
      <c r="AA446" s="14"/>
      <c r="AB446" s="14"/>
      <c r="AC446" s="15">
        <v>27.3</v>
      </c>
      <c r="AD446" s="15">
        <f>AC446*AG446</f>
        <v>409.5</v>
      </c>
      <c r="AE446" s="15">
        <v>60</v>
      </c>
      <c r="AF446" s="15">
        <f>AE446*AG446</f>
        <v>900</v>
      </c>
      <c r="AG446" s="16">
        <v>15</v>
      </c>
    </row>
    <row r="447" spans="1:33" ht="15" customHeight="1" x14ac:dyDescent="0.2">
      <c r="A447" s="11" t="str">
        <f t="shared" si="188"/>
        <v>VN000SN14OU1</v>
      </c>
      <c r="B447" s="12" t="s">
        <v>2094</v>
      </c>
      <c r="C447" s="12" t="s">
        <v>727</v>
      </c>
      <c r="D447" s="12" t="s">
        <v>2087</v>
      </c>
      <c r="E447" s="12" t="s">
        <v>2095</v>
      </c>
      <c r="F447" s="12" t="s">
        <v>403</v>
      </c>
      <c r="G447" s="14"/>
      <c r="H447" s="12" t="s">
        <v>61</v>
      </c>
      <c r="I447" s="12" t="s">
        <v>62</v>
      </c>
      <c r="J447" s="12" t="s">
        <v>63</v>
      </c>
      <c r="K447" s="12" t="s">
        <v>64</v>
      </c>
      <c r="L447" s="14"/>
      <c r="M447" s="12" t="s">
        <v>43</v>
      </c>
      <c r="N447" s="12" t="s">
        <v>84</v>
      </c>
      <c r="O447" s="12" t="s">
        <v>2096</v>
      </c>
      <c r="P447" s="12" t="s">
        <v>66</v>
      </c>
      <c r="Q447" s="12" t="s">
        <v>67</v>
      </c>
      <c r="R447" s="12" t="s">
        <v>730</v>
      </c>
      <c r="S447" s="13">
        <v>197805981747</v>
      </c>
      <c r="T447" s="12" t="s">
        <v>709</v>
      </c>
      <c r="U447" s="12" t="s">
        <v>403</v>
      </c>
      <c r="V447" s="12" t="s">
        <v>2090</v>
      </c>
      <c r="W447" s="12" t="s">
        <v>455</v>
      </c>
      <c r="X447" s="14"/>
      <c r="Y447" s="14"/>
      <c r="Z447" s="14"/>
      <c r="AA447" s="14"/>
      <c r="AB447" s="14"/>
      <c r="AC447" s="15">
        <v>27.3</v>
      </c>
      <c r="AD447" s="15">
        <f>AC447*AG447</f>
        <v>409.5</v>
      </c>
      <c r="AE447" s="15">
        <v>60</v>
      </c>
      <c r="AF447" s="15">
        <f>AE447*AG447</f>
        <v>900</v>
      </c>
      <c r="AG447" s="16">
        <v>15</v>
      </c>
    </row>
    <row r="448" spans="1:33" ht="15" customHeight="1" x14ac:dyDescent="0.2">
      <c r="A448" s="11" t="str">
        <f t="shared" si="188"/>
        <v>VN000SN14OU1</v>
      </c>
      <c r="B448" s="12" t="s">
        <v>2097</v>
      </c>
      <c r="C448" s="12" t="s">
        <v>727</v>
      </c>
      <c r="D448" s="12" t="s">
        <v>2087</v>
      </c>
      <c r="E448" s="12" t="s">
        <v>2098</v>
      </c>
      <c r="F448" s="12" t="s">
        <v>60</v>
      </c>
      <c r="G448" s="14"/>
      <c r="H448" s="12" t="s">
        <v>61</v>
      </c>
      <c r="I448" s="12" t="s">
        <v>62</v>
      </c>
      <c r="J448" s="12" t="s">
        <v>63</v>
      </c>
      <c r="K448" s="12" t="s">
        <v>64</v>
      </c>
      <c r="L448" s="14"/>
      <c r="M448" s="12" t="s">
        <v>43</v>
      </c>
      <c r="N448" s="12" t="s">
        <v>84</v>
      </c>
      <c r="O448" s="12" t="s">
        <v>2099</v>
      </c>
      <c r="P448" s="12" t="s">
        <v>66</v>
      </c>
      <c r="Q448" s="12" t="s">
        <v>67</v>
      </c>
      <c r="R448" s="12" t="s">
        <v>730</v>
      </c>
      <c r="S448" s="13">
        <v>197805981808</v>
      </c>
      <c r="T448" s="12" t="s">
        <v>709</v>
      </c>
      <c r="U448" s="12" t="s">
        <v>60</v>
      </c>
      <c r="V448" s="12" t="s">
        <v>2090</v>
      </c>
      <c r="W448" s="12" t="s">
        <v>455</v>
      </c>
      <c r="X448" s="14"/>
      <c r="Y448" s="14"/>
      <c r="Z448" s="14"/>
      <c r="AA448" s="14"/>
      <c r="AB448" s="14"/>
      <c r="AC448" s="15">
        <v>27.3</v>
      </c>
      <c r="AD448" s="15">
        <f>AC448*AG448</f>
        <v>409.5</v>
      </c>
      <c r="AE448" s="15">
        <v>60</v>
      </c>
      <c r="AF448" s="15">
        <f>AE448*AG448</f>
        <v>900</v>
      </c>
      <c r="AG448" s="16">
        <v>15</v>
      </c>
    </row>
    <row r="449" spans="1:33" ht="15" customHeight="1" x14ac:dyDescent="0.2">
      <c r="A449" s="11" t="str">
        <f t="shared" ref="A449:A451" si="189">HYPERLINK("https://assets.vans.eu/images/VN000SN6EMU-HERO/1","VN000SN6EMU1")</f>
        <v>VN000SN6EMU1</v>
      </c>
      <c r="B449" s="12" t="s">
        <v>2100</v>
      </c>
      <c r="C449" s="12" t="s">
        <v>2101</v>
      </c>
      <c r="D449" s="12" t="s">
        <v>1319</v>
      </c>
      <c r="E449" s="12" t="s">
        <v>2102</v>
      </c>
      <c r="F449" s="12" t="s">
        <v>170</v>
      </c>
      <c r="G449" s="14"/>
      <c r="H449" s="12" t="s">
        <v>61</v>
      </c>
      <c r="I449" s="12" t="s">
        <v>62</v>
      </c>
      <c r="J449" s="12" t="s">
        <v>63</v>
      </c>
      <c r="K449" s="12" t="s">
        <v>64</v>
      </c>
      <c r="L449" s="14"/>
      <c r="M449" s="12" t="s">
        <v>43</v>
      </c>
      <c r="N449" s="12" t="s">
        <v>84</v>
      </c>
      <c r="O449" s="12" t="s">
        <v>2103</v>
      </c>
      <c r="P449" s="12" t="s">
        <v>66</v>
      </c>
      <c r="Q449" s="12" t="s">
        <v>67</v>
      </c>
      <c r="R449" s="12" t="s">
        <v>730</v>
      </c>
      <c r="S449" s="13">
        <v>197805981921</v>
      </c>
      <c r="T449" s="12" t="s">
        <v>709</v>
      </c>
      <c r="U449" s="12" t="s">
        <v>170</v>
      </c>
      <c r="V449" s="12" t="s">
        <v>731</v>
      </c>
      <c r="W449" s="12" t="s">
        <v>118</v>
      </c>
      <c r="X449" s="14"/>
      <c r="Y449" s="14"/>
      <c r="Z449" s="14"/>
      <c r="AA449" s="14"/>
      <c r="AB449" s="14"/>
      <c r="AC449" s="15">
        <v>29.55</v>
      </c>
      <c r="AD449" s="15">
        <f>AC449*AG449</f>
        <v>443.25</v>
      </c>
      <c r="AE449" s="15">
        <v>65</v>
      </c>
      <c r="AF449" s="15">
        <f>AE449*AG449</f>
        <v>975</v>
      </c>
      <c r="AG449" s="16">
        <v>15</v>
      </c>
    </row>
    <row r="450" spans="1:33" ht="15" customHeight="1" x14ac:dyDescent="0.2">
      <c r="A450" s="11" t="str">
        <f t="shared" si="189"/>
        <v>VN000SN6EMU1</v>
      </c>
      <c r="B450" s="12" t="s">
        <v>2104</v>
      </c>
      <c r="C450" s="12" t="s">
        <v>2101</v>
      </c>
      <c r="D450" s="12" t="s">
        <v>1319</v>
      </c>
      <c r="E450" s="12" t="s">
        <v>2105</v>
      </c>
      <c r="F450" s="12" t="s">
        <v>403</v>
      </c>
      <c r="G450" s="14"/>
      <c r="H450" s="12" t="s">
        <v>61</v>
      </c>
      <c r="I450" s="12" t="s">
        <v>62</v>
      </c>
      <c r="J450" s="12" t="s">
        <v>63</v>
      </c>
      <c r="K450" s="12" t="s">
        <v>64</v>
      </c>
      <c r="L450" s="14"/>
      <c r="M450" s="12" t="s">
        <v>43</v>
      </c>
      <c r="N450" s="12" t="s">
        <v>84</v>
      </c>
      <c r="O450" s="12" t="s">
        <v>2106</v>
      </c>
      <c r="P450" s="12" t="s">
        <v>66</v>
      </c>
      <c r="Q450" s="12" t="s">
        <v>67</v>
      </c>
      <c r="R450" s="12" t="s">
        <v>730</v>
      </c>
      <c r="S450" s="13">
        <v>197805981938</v>
      </c>
      <c r="T450" s="12" t="s">
        <v>709</v>
      </c>
      <c r="U450" s="12" t="s">
        <v>403</v>
      </c>
      <c r="V450" s="12" t="s">
        <v>731</v>
      </c>
      <c r="W450" s="12" t="s">
        <v>118</v>
      </c>
      <c r="X450" s="14"/>
      <c r="Y450" s="14"/>
      <c r="Z450" s="14"/>
      <c r="AA450" s="14"/>
      <c r="AB450" s="14"/>
      <c r="AC450" s="15">
        <v>29.55</v>
      </c>
      <c r="AD450" s="15">
        <f>AC450*AG450</f>
        <v>443.25</v>
      </c>
      <c r="AE450" s="15">
        <v>65</v>
      </c>
      <c r="AF450" s="15">
        <f>AE450*AG450</f>
        <v>975</v>
      </c>
      <c r="AG450" s="16">
        <v>15</v>
      </c>
    </row>
    <row r="451" spans="1:33" ht="15" customHeight="1" x14ac:dyDescent="0.2">
      <c r="A451" s="11" t="str">
        <f t="shared" si="189"/>
        <v>VN000SN6EMU1</v>
      </c>
      <c r="B451" s="12" t="s">
        <v>2107</v>
      </c>
      <c r="C451" s="12" t="s">
        <v>2101</v>
      </c>
      <c r="D451" s="12" t="s">
        <v>1319</v>
      </c>
      <c r="E451" s="12" t="s">
        <v>2108</v>
      </c>
      <c r="F451" s="12" t="s">
        <v>60</v>
      </c>
      <c r="G451" s="14"/>
      <c r="H451" s="12" t="s">
        <v>61</v>
      </c>
      <c r="I451" s="12" t="s">
        <v>62</v>
      </c>
      <c r="J451" s="12" t="s">
        <v>63</v>
      </c>
      <c r="K451" s="12" t="s">
        <v>64</v>
      </c>
      <c r="L451" s="14"/>
      <c r="M451" s="12" t="s">
        <v>43</v>
      </c>
      <c r="N451" s="12" t="s">
        <v>84</v>
      </c>
      <c r="O451" s="12" t="s">
        <v>2109</v>
      </c>
      <c r="P451" s="12" t="s">
        <v>66</v>
      </c>
      <c r="Q451" s="12" t="s">
        <v>67</v>
      </c>
      <c r="R451" s="12" t="s">
        <v>730</v>
      </c>
      <c r="S451" s="13">
        <v>197805981945</v>
      </c>
      <c r="T451" s="12" t="s">
        <v>709</v>
      </c>
      <c r="U451" s="12" t="s">
        <v>60</v>
      </c>
      <c r="V451" s="12" t="s">
        <v>731</v>
      </c>
      <c r="W451" s="12" t="s">
        <v>118</v>
      </c>
      <c r="X451" s="14"/>
      <c r="Y451" s="14"/>
      <c r="Z451" s="14"/>
      <c r="AA451" s="14"/>
      <c r="AB451" s="14"/>
      <c r="AC451" s="15">
        <v>29.55</v>
      </c>
      <c r="AD451" s="15">
        <f>AC451*AG451</f>
        <v>443.25</v>
      </c>
      <c r="AE451" s="15">
        <v>65</v>
      </c>
      <c r="AF451" s="15">
        <f>AE451*AG451</f>
        <v>975</v>
      </c>
      <c r="AG451" s="16">
        <v>15</v>
      </c>
    </row>
    <row r="452" spans="1:33" ht="15" customHeight="1" x14ac:dyDescent="0.2">
      <c r="A452" s="11" t="str">
        <f t="shared" si="156"/>
        <v>VN0A4MQ35TU1</v>
      </c>
      <c r="B452" s="12" t="s">
        <v>2110</v>
      </c>
      <c r="C452" s="12" t="s">
        <v>1827</v>
      </c>
      <c r="D452" s="12" t="s">
        <v>1356</v>
      </c>
      <c r="E452" s="12" t="s">
        <v>2111</v>
      </c>
      <c r="F452" s="12" t="s">
        <v>170</v>
      </c>
      <c r="G452" s="14"/>
      <c r="H452" s="12" t="s">
        <v>61</v>
      </c>
      <c r="I452" s="12" t="s">
        <v>62</v>
      </c>
      <c r="J452" s="12" t="s">
        <v>63</v>
      </c>
      <c r="K452" s="12" t="s">
        <v>64</v>
      </c>
      <c r="L452" s="12" t="s">
        <v>83</v>
      </c>
      <c r="M452" s="12" t="s">
        <v>43</v>
      </c>
      <c r="N452" s="12" t="s">
        <v>84</v>
      </c>
      <c r="O452" s="12" t="s">
        <v>2112</v>
      </c>
      <c r="P452" s="12" t="s">
        <v>66</v>
      </c>
      <c r="Q452" s="12" t="s">
        <v>67</v>
      </c>
      <c r="R452" s="12" t="s">
        <v>68</v>
      </c>
      <c r="S452" s="13">
        <v>197804299256</v>
      </c>
      <c r="T452" s="12" t="s">
        <v>422</v>
      </c>
      <c r="U452" s="12" t="s">
        <v>170</v>
      </c>
      <c r="V452" s="12" t="s">
        <v>70</v>
      </c>
      <c r="W452" s="12" t="s">
        <v>284</v>
      </c>
      <c r="X452" s="14"/>
      <c r="Y452" s="14"/>
      <c r="Z452" s="14"/>
      <c r="AA452" s="14"/>
      <c r="AB452" s="14"/>
      <c r="AC452" s="15">
        <v>9.1</v>
      </c>
      <c r="AD452" s="15">
        <f>AC452*AG452</f>
        <v>136.5</v>
      </c>
      <c r="AE452" s="15">
        <v>20</v>
      </c>
      <c r="AF452" s="15">
        <f>AE452*AG452</f>
        <v>300</v>
      </c>
      <c r="AG452" s="16">
        <v>15</v>
      </c>
    </row>
    <row r="453" spans="1:33" ht="15" customHeight="1" x14ac:dyDescent="0.2">
      <c r="A453" s="11" t="str">
        <f>HYPERLINK("https://assets.vans.eu/images/VN000MNTBLK-HERO/1","VN000MNTBLK1")</f>
        <v>VN000MNTBLK1</v>
      </c>
      <c r="B453" s="12" t="s">
        <v>2113</v>
      </c>
      <c r="C453" s="12" t="s">
        <v>2114</v>
      </c>
      <c r="D453" s="12" t="s">
        <v>76</v>
      </c>
      <c r="E453" s="12" t="s">
        <v>2115</v>
      </c>
      <c r="F453" s="12" t="s">
        <v>78</v>
      </c>
      <c r="G453" s="14"/>
      <c r="H453" s="12" t="s">
        <v>441</v>
      </c>
      <c r="I453" s="12" t="s">
        <v>442</v>
      </c>
      <c r="J453" s="12" t="s">
        <v>1291</v>
      </c>
      <c r="K453" s="12" t="s">
        <v>82</v>
      </c>
      <c r="L453" s="14"/>
      <c r="M453" s="12" t="s">
        <v>43</v>
      </c>
      <c r="N453" s="12" t="s">
        <v>44</v>
      </c>
      <c r="O453" s="12" t="s">
        <v>2116</v>
      </c>
      <c r="P453" s="12" t="s">
        <v>445</v>
      </c>
      <c r="Q453" s="12" t="s">
        <v>446</v>
      </c>
      <c r="R453" s="12" t="s">
        <v>1293</v>
      </c>
      <c r="S453" s="13">
        <v>197643467403</v>
      </c>
      <c r="T453" s="12" t="s">
        <v>130</v>
      </c>
      <c r="U453" s="12" t="s">
        <v>78</v>
      </c>
      <c r="V453" s="12" t="s">
        <v>2117</v>
      </c>
      <c r="W453" s="12" t="s">
        <v>51</v>
      </c>
      <c r="X453" s="13">
        <v>0</v>
      </c>
      <c r="Y453" s="12" t="s">
        <v>91</v>
      </c>
      <c r="Z453" s="12" t="s">
        <v>108</v>
      </c>
      <c r="AA453" s="13">
        <v>0</v>
      </c>
      <c r="AB453" s="13">
        <v>0</v>
      </c>
      <c r="AC453" s="15">
        <v>22.75</v>
      </c>
      <c r="AD453" s="15">
        <f>AC453*AG453</f>
        <v>341.25</v>
      </c>
      <c r="AE453" s="15">
        <v>50</v>
      </c>
      <c r="AF453" s="15">
        <f>AE453*AG453</f>
        <v>750</v>
      </c>
      <c r="AG453" s="16">
        <v>15</v>
      </c>
    </row>
    <row r="454" spans="1:33" ht="15" customHeight="1" x14ac:dyDescent="0.2">
      <c r="A454" s="11" t="str">
        <f t="shared" ref="A454:A3715" si="190">HYPERLINK("https://assets.vans.eu/images/VN0009QCBKA-HERO/1","VN0009QCBKA1")</f>
        <v>VN0009QCBKA1</v>
      </c>
      <c r="B454" s="12" t="s">
        <v>2118</v>
      </c>
      <c r="C454" s="12" t="s">
        <v>110</v>
      </c>
      <c r="D454" s="12" t="s">
        <v>252</v>
      </c>
      <c r="E454" s="12" t="s">
        <v>2119</v>
      </c>
      <c r="F454" s="13">
        <v>50</v>
      </c>
      <c r="G454" s="14"/>
      <c r="H454" s="12" t="s">
        <v>38</v>
      </c>
      <c r="I454" s="12" t="s">
        <v>2120</v>
      </c>
      <c r="J454" s="12" t="s">
        <v>2121</v>
      </c>
      <c r="K454" s="12" t="s">
        <v>82</v>
      </c>
      <c r="L454" s="14"/>
      <c r="M454" s="12" t="s">
        <v>43</v>
      </c>
      <c r="N454" s="12" t="s">
        <v>84</v>
      </c>
      <c r="O454" s="12" t="s">
        <v>2122</v>
      </c>
      <c r="P454" s="12" t="s">
        <v>46</v>
      </c>
      <c r="Q454" s="12" t="s">
        <v>47</v>
      </c>
      <c r="R454" s="12" t="s">
        <v>2123</v>
      </c>
      <c r="S454" s="13">
        <v>196574857758</v>
      </c>
      <c r="T454" s="12" t="s">
        <v>49</v>
      </c>
      <c r="U454" s="13">
        <v>36.5</v>
      </c>
      <c r="V454" s="12" t="s">
        <v>50</v>
      </c>
      <c r="W454" s="12" t="s">
        <v>51</v>
      </c>
      <c r="X454" s="14"/>
      <c r="Y454" s="12" t="s">
        <v>91</v>
      </c>
      <c r="Z454" s="12" t="s">
        <v>165</v>
      </c>
      <c r="AA454" s="14"/>
      <c r="AB454" s="14"/>
      <c r="AC454" s="15">
        <v>43.2</v>
      </c>
      <c r="AD454" s="15">
        <f>AC454*AG454</f>
        <v>648</v>
      </c>
      <c r="AE454" s="15">
        <v>95</v>
      </c>
      <c r="AF454" s="15">
        <f>AE454*AG454</f>
        <v>1425</v>
      </c>
      <c r="AG454" s="16">
        <v>15</v>
      </c>
    </row>
    <row r="455" spans="1:33" ht="15" customHeight="1" x14ac:dyDescent="0.2">
      <c r="A455" s="11" t="str">
        <f t="shared" ref="A455:A1219" si="191">HYPERLINK("https://assets.vans.eu/images/VN000CRRD3X-HERO/1","VN000CRRD3X1")</f>
        <v>VN000CRRD3X1</v>
      </c>
      <c r="B455" s="12" t="s">
        <v>2124</v>
      </c>
      <c r="C455" s="12" t="s">
        <v>2125</v>
      </c>
      <c r="D455" s="12" t="s">
        <v>668</v>
      </c>
      <c r="E455" s="12" t="s">
        <v>2126</v>
      </c>
      <c r="F455" s="13">
        <v>35</v>
      </c>
      <c r="G455" s="12" t="s">
        <v>2127</v>
      </c>
      <c r="H455" s="12" t="s">
        <v>38</v>
      </c>
      <c r="I455" s="12" t="s">
        <v>113</v>
      </c>
      <c r="J455" s="12" t="s">
        <v>529</v>
      </c>
      <c r="K455" s="12" t="s">
        <v>82</v>
      </c>
      <c r="L455" s="14"/>
      <c r="M455" s="12" t="s">
        <v>43</v>
      </c>
      <c r="N455" s="12" t="s">
        <v>44</v>
      </c>
      <c r="O455" s="12" t="s">
        <v>2128</v>
      </c>
      <c r="P455" s="12" t="s">
        <v>46</v>
      </c>
      <c r="Q455" s="12" t="s">
        <v>47</v>
      </c>
      <c r="R455" s="12" t="s">
        <v>117</v>
      </c>
      <c r="S455" s="13">
        <v>197643240440</v>
      </c>
      <c r="T455" s="12" t="s">
        <v>49</v>
      </c>
      <c r="U455" s="13">
        <v>34.5</v>
      </c>
      <c r="V455" s="12" t="s">
        <v>209</v>
      </c>
      <c r="W455" s="12" t="s">
        <v>299</v>
      </c>
      <c r="X455" s="14"/>
      <c r="Y455" s="12" t="s">
        <v>53</v>
      </c>
      <c r="Z455" s="12" t="s">
        <v>263</v>
      </c>
      <c r="AA455" s="14"/>
      <c r="AB455" s="14"/>
      <c r="AC455" s="15">
        <v>34.1</v>
      </c>
      <c r="AD455" s="15">
        <f>AC455*AG455</f>
        <v>511.5</v>
      </c>
      <c r="AE455" s="15">
        <v>75</v>
      </c>
      <c r="AF455" s="15">
        <f>AE455*AG455</f>
        <v>1125</v>
      </c>
      <c r="AG455" s="16">
        <v>15</v>
      </c>
    </row>
    <row r="456" spans="1:33" ht="15" customHeight="1" x14ac:dyDescent="0.2">
      <c r="A456" s="11" t="str">
        <f t="shared" si="91"/>
        <v>VN000CWE8871</v>
      </c>
      <c r="B456" s="12" t="s">
        <v>2129</v>
      </c>
      <c r="C456" s="12" t="s">
        <v>1248</v>
      </c>
      <c r="D456" s="12" t="s">
        <v>1249</v>
      </c>
      <c r="E456" s="12" t="s">
        <v>2130</v>
      </c>
      <c r="F456" s="13">
        <v>50</v>
      </c>
      <c r="G456" s="12" t="s">
        <v>1251</v>
      </c>
      <c r="H456" s="12" t="s">
        <v>38</v>
      </c>
      <c r="I456" s="12" t="s">
        <v>113</v>
      </c>
      <c r="J456" s="12" t="s">
        <v>529</v>
      </c>
      <c r="K456" s="12" t="s">
        <v>82</v>
      </c>
      <c r="L456" s="14"/>
      <c r="M456" s="12" t="s">
        <v>43</v>
      </c>
      <c r="N456" s="12" t="s">
        <v>44</v>
      </c>
      <c r="O456" s="12" t="s">
        <v>2131</v>
      </c>
      <c r="P456" s="12" t="s">
        <v>46</v>
      </c>
      <c r="Q456" s="12" t="s">
        <v>47</v>
      </c>
      <c r="R456" s="12" t="s">
        <v>117</v>
      </c>
      <c r="S456" s="13">
        <v>197643249221</v>
      </c>
      <c r="T456" s="12" t="s">
        <v>49</v>
      </c>
      <c r="U456" s="13">
        <v>36.5</v>
      </c>
      <c r="V456" s="12" t="s">
        <v>50</v>
      </c>
      <c r="W456" s="12" t="s">
        <v>284</v>
      </c>
      <c r="X456" s="14"/>
      <c r="Y456" s="12" t="s">
        <v>91</v>
      </c>
      <c r="Z456" s="12" t="s">
        <v>165</v>
      </c>
      <c r="AA456" s="14"/>
      <c r="AB456" s="14"/>
      <c r="AC456" s="15">
        <v>59.1</v>
      </c>
      <c r="AD456" s="15">
        <f>AC456*AG456</f>
        <v>886.5</v>
      </c>
      <c r="AE456" s="15">
        <v>130</v>
      </c>
      <c r="AF456" s="15">
        <f>AE456*AG456</f>
        <v>1950</v>
      </c>
      <c r="AG456" s="16">
        <v>15</v>
      </c>
    </row>
    <row r="457" spans="1:33" ht="15" customHeight="1" x14ac:dyDescent="0.2">
      <c r="A457" s="11" t="str">
        <f t="shared" si="98"/>
        <v>VN000CYAYLZ1</v>
      </c>
      <c r="B457" s="12" t="s">
        <v>2132</v>
      </c>
      <c r="C457" s="12" t="s">
        <v>238</v>
      </c>
      <c r="D457" s="12" t="s">
        <v>458</v>
      </c>
      <c r="E457" s="12" t="s">
        <v>2133</v>
      </c>
      <c r="F457" s="13">
        <v>135</v>
      </c>
      <c r="G457" s="12" t="s">
        <v>775</v>
      </c>
      <c r="H457" s="12" t="s">
        <v>38</v>
      </c>
      <c r="I457" s="12" t="s">
        <v>39</v>
      </c>
      <c r="J457" s="12" t="s">
        <v>40</v>
      </c>
      <c r="K457" s="12" t="s">
        <v>41</v>
      </c>
      <c r="L457" s="14"/>
      <c r="M457" s="12" t="s">
        <v>43</v>
      </c>
      <c r="N457" s="12" t="s">
        <v>84</v>
      </c>
      <c r="O457" s="12" t="s">
        <v>2134</v>
      </c>
      <c r="P457" s="12" t="s">
        <v>46</v>
      </c>
      <c r="Q457" s="12" t="s">
        <v>47</v>
      </c>
      <c r="R457" s="12" t="s">
        <v>48</v>
      </c>
      <c r="S457" s="13">
        <v>197804516896</v>
      </c>
      <c r="T457" s="12" t="s">
        <v>105</v>
      </c>
      <c r="U457" s="13">
        <v>31</v>
      </c>
      <c r="V457" s="12" t="s">
        <v>278</v>
      </c>
      <c r="W457" s="12" t="s">
        <v>299</v>
      </c>
      <c r="X457" s="14"/>
      <c r="Y457" s="14"/>
      <c r="Z457" s="14"/>
      <c r="AA457" s="14"/>
      <c r="AB457" s="14"/>
      <c r="AC457" s="15">
        <v>29.55</v>
      </c>
      <c r="AD457" s="15">
        <f>AC457*AG457</f>
        <v>443.25</v>
      </c>
      <c r="AE457" s="15">
        <v>65</v>
      </c>
      <c r="AF457" s="15">
        <f>AE457*AG457</f>
        <v>975</v>
      </c>
      <c r="AG457" s="16">
        <v>15</v>
      </c>
    </row>
    <row r="458" spans="1:33" ht="15" customHeight="1" x14ac:dyDescent="0.2">
      <c r="A458" s="11" t="str">
        <f t="shared" ref="A458:A758" si="192">HYPERLINK("https://assets.vans.eu/images/VN000D11N1Z-HERO/1","VN000D11N1Z1")</f>
        <v>VN000D11N1Z1</v>
      </c>
      <c r="B458" s="12" t="s">
        <v>2135</v>
      </c>
      <c r="C458" s="12" t="s">
        <v>2136</v>
      </c>
      <c r="D458" s="12" t="s">
        <v>1656</v>
      </c>
      <c r="E458" s="12" t="s">
        <v>2137</v>
      </c>
      <c r="F458" s="13">
        <v>55</v>
      </c>
      <c r="G458" s="12" t="s">
        <v>528</v>
      </c>
      <c r="H458" s="12" t="s">
        <v>38</v>
      </c>
      <c r="I458" s="12" t="s">
        <v>242</v>
      </c>
      <c r="J458" s="12" t="s">
        <v>243</v>
      </c>
      <c r="K458" s="12" t="s">
        <v>244</v>
      </c>
      <c r="L458" s="14"/>
      <c r="M458" s="12" t="s">
        <v>43</v>
      </c>
      <c r="N458" s="12" t="s">
        <v>84</v>
      </c>
      <c r="O458" s="12" t="s">
        <v>2138</v>
      </c>
      <c r="P458" s="12" t="s">
        <v>46</v>
      </c>
      <c r="Q458" s="12" t="s">
        <v>47</v>
      </c>
      <c r="R458" s="12" t="s">
        <v>313</v>
      </c>
      <c r="S458" s="13">
        <v>197804523481</v>
      </c>
      <c r="T458" s="12" t="s">
        <v>49</v>
      </c>
      <c r="U458" s="13">
        <v>21.5</v>
      </c>
      <c r="V458" s="12" t="s">
        <v>50</v>
      </c>
      <c r="W458" s="12" t="s">
        <v>186</v>
      </c>
      <c r="X458" s="14"/>
      <c r="Y458" s="14"/>
      <c r="Z458" s="14"/>
      <c r="AA458" s="14"/>
      <c r="AB458" s="14"/>
      <c r="AC458" s="15">
        <v>27.3</v>
      </c>
      <c r="AD458" s="15">
        <f>AC458*AG458</f>
        <v>409.5</v>
      </c>
      <c r="AE458" s="15">
        <v>60</v>
      </c>
      <c r="AF458" s="15">
        <f>AE458*AG458</f>
        <v>900</v>
      </c>
      <c r="AG458" s="16">
        <v>15</v>
      </c>
    </row>
    <row r="459" spans="1:33" ht="15" customHeight="1" x14ac:dyDescent="0.2">
      <c r="A459" s="11" t="str">
        <f t="shared" ref="A459:A581" si="193">HYPERLINK("https://assets.vans.eu/images/VN000D8NBKA-HERO/1","VN000D8NBKA1")</f>
        <v>VN000D8NBKA1</v>
      </c>
      <c r="B459" s="12" t="s">
        <v>2139</v>
      </c>
      <c r="C459" s="12" t="s">
        <v>251</v>
      </c>
      <c r="D459" s="12" t="s">
        <v>252</v>
      </c>
      <c r="E459" s="12" t="s">
        <v>2140</v>
      </c>
      <c r="F459" s="13">
        <v>90</v>
      </c>
      <c r="G459" s="12" t="s">
        <v>254</v>
      </c>
      <c r="H459" s="12" t="s">
        <v>38</v>
      </c>
      <c r="I459" s="12" t="s">
        <v>159</v>
      </c>
      <c r="J459" s="12" t="s">
        <v>255</v>
      </c>
      <c r="K459" s="12" t="s">
        <v>82</v>
      </c>
      <c r="L459" s="14"/>
      <c r="M459" s="12" t="s">
        <v>43</v>
      </c>
      <c r="N459" s="12" t="s">
        <v>84</v>
      </c>
      <c r="O459" s="12" t="s">
        <v>2141</v>
      </c>
      <c r="P459" s="12" t="s">
        <v>46</v>
      </c>
      <c r="Q459" s="12" t="s">
        <v>47</v>
      </c>
      <c r="R459" s="12" t="s">
        <v>163</v>
      </c>
      <c r="S459" s="13">
        <v>197804463824</v>
      </c>
      <c r="T459" s="12" t="s">
        <v>49</v>
      </c>
      <c r="U459" s="13">
        <v>42</v>
      </c>
      <c r="V459" s="12" t="s">
        <v>50</v>
      </c>
      <c r="W459" s="12" t="s">
        <v>51</v>
      </c>
      <c r="X459" s="14"/>
      <c r="Y459" s="14"/>
      <c r="Z459" s="14"/>
      <c r="AA459" s="14"/>
      <c r="AB459" s="14"/>
      <c r="AC459" s="15">
        <v>45.5</v>
      </c>
      <c r="AD459" s="15">
        <f>AC459*AG459</f>
        <v>682.5</v>
      </c>
      <c r="AE459" s="15">
        <v>100</v>
      </c>
      <c r="AF459" s="15">
        <f>AE459*AG459</f>
        <v>1500</v>
      </c>
      <c r="AG459" s="16">
        <v>15</v>
      </c>
    </row>
    <row r="460" spans="1:33" ht="15" customHeight="1" x14ac:dyDescent="0.2">
      <c r="A460" s="11" t="str">
        <f t="shared" ref="A460:A764" si="194">HYPERLINK("https://assets.vans.eu/images/VN000D9ACJ7-HERO/1","VN000D9ACJ71")</f>
        <v>VN000D9ACJ71</v>
      </c>
      <c r="B460" s="12" t="s">
        <v>2142</v>
      </c>
      <c r="C460" s="12" t="s">
        <v>2143</v>
      </c>
      <c r="D460" s="12" t="s">
        <v>2144</v>
      </c>
      <c r="E460" s="12" t="s">
        <v>2145</v>
      </c>
      <c r="F460" s="13">
        <v>90</v>
      </c>
      <c r="G460" s="12" t="s">
        <v>2146</v>
      </c>
      <c r="H460" s="12" t="s">
        <v>38</v>
      </c>
      <c r="I460" s="12" t="s">
        <v>113</v>
      </c>
      <c r="J460" s="12" t="s">
        <v>529</v>
      </c>
      <c r="K460" s="12" t="s">
        <v>82</v>
      </c>
      <c r="L460" s="14"/>
      <c r="M460" s="12" t="s">
        <v>43</v>
      </c>
      <c r="N460" s="12" t="s">
        <v>84</v>
      </c>
      <c r="O460" s="12" t="s">
        <v>2147</v>
      </c>
      <c r="P460" s="12" t="s">
        <v>46</v>
      </c>
      <c r="Q460" s="12" t="s">
        <v>47</v>
      </c>
      <c r="R460" s="12" t="s">
        <v>117</v>
      </c>
      <c r="S460" s="13">
        <v>197804549740</v>
      </c>
      <c r="T460" s="12" t="s">
        <v>49</v>
      </c>
      <c r="U460" s="13">
        <v>42</v>
      </c>
      <c r="V460" s="12" t="s">
        <v>50</v>
      </c>
      <c r="W460" s="12" t="s">
        <v>175</v>
      </c>
      <c r="X460" s="14"/>
      <c r="Y460" s="14"/>
      <c r="Z460" s="14"/>
      <c r="AA460" s="14"/>
      <c r="AB460" s="14"/>
      <c r="AC460" s="15">
        <v>40.950000000000003</v>
      </c>
      <c r="AD460" s="15">
        <f>AC460*AG460</f>
        <v>614.25</v>
      </c>
      <c r="AE460" s="15">
        <v>90</v>
      </c>
      <c r="AF460" s="15">
        <f>AE460*AG460</f>
        <v>1350</v>
      </c>
      <c r="AG460" s="16">
        <v>15</v>
      </c>
    </row>
    <row r="461" spans="1:33" ht="15" customHeight="1" x14ac:dyDescent="0.2">
      <c r="A461" s="11" t="str">
        <f t="shared" ref="A461:A503" si="195">HYPERLINK("https://assets.vans.eu/images/VN000E8WG58-HERO/1","VN000E8WG581")</f>
        <v>VN000E8WG581</v>
      </c>
      <c r="B461" s="12" t="s">
        <v>2148</v>
      </c>
      <c r="C461" s="12" t="s">
        <v>34</v>
      </c>
      <c r="D461" s="12" t="s">
        <v>2149</v>
      </c>
      <c r="E461" s="12" t="s">
        <v>2150</v>
      </c>
      <c r="F461" s="13">
        <v>120</v>
      </c>
      <c r="G461" s="14"/>
      <c r="H461" s="12" t="s">
        <v>38</v>
      </c>
      <c r="I461" s="12" t="s">
        <v>113</v>
      </c>
      <c r="J461" s="12" t="s">
        <v>114</v>
      </c>
      <c r="K461" s="12" t="s">
        <v>82</v>
      </c>
      <c r="L461" s="12" t="s">
        <v>260</v>
      </c>
      <c r="M461" s="12" t="s">
        <v>43</v>
      </c>
      <c r="N461" s="12" t="s">
        <v>84</v>
      </c>
      <c r="O461" s="12" t="s">
        <v>2151</v>
      </c>
      <c r="P461" s="12" t="s">
        <v>46</v>
      </c>
      <c r="Q461" s="12" t="s">
        <v>47</v>
      </c>
      <c r="R461" s="12" t="s">
        <v>117</v>
      </c>
      <c r="S461" s="13">
        <v>198266178387</v>
      </c>
      <c r="T461" s="12" t="s">
        <v>164</v>
      </c>
      <c r="U461" s="13">
        <v>46</v>
      </c>
      <c r="V461" s="12" t="s">
        <v>50</v>
      </c>
      <c r="W461" s="12" t="s">
        <v>51</v>
      </c>
      <c r="X461" s="14"/>
      <c r="Y461" s="14"/>
      <c r="Z461" s="14"/>
      <c r="AA461" s="14"/>
      <c r="AB461" s="14"/>
      <c r="AC461" s="15">
        <v>43.2</v>
      </c>
      <c r="AD461" s="15">
        <f>AC461*AG461</f>
        <v>648</v>
      </c>
      <c r="AE461" s="15">
        <v>95</v>
      </c>
      <c r="AF461" s="15">
        <f>AE461*AG461</f>
        <v>1425</v>
      </c>
      <c r="AG461" s="16">
        <v>15</v>
      </c>
    </row>
    <row r="462" spans="1:33" ht="15" customHeight="1" x14ac:dyDescent="0.2">
      <c r="A462" s="11" t="str">
        <f t="shared" si="121"/>
        <v>VN000E9XIVG1</v>
      </c>
      <c r="B462" s="12" t="s">
        <v>2152</v>
      </c>
      <c r="C462" s="12" t="s">
        <v>110</v>
      </c>
      <c r="D462" s="12" t="s">
        <v>111</v>
      </c>
      <c r="E462" s="12" t="s">
        <v>2153</v>
      </c>
      <c r="F462" s="13">
        <v>55</v>
      </c>
      <c r="G462" s="14"/>
      <c r="H462" s="12" t="s">
        <v>38</v>
      </c>
      <c r="I462" s="12" t="s">
        <v>113</v>
      </c>
      <c r="J462" s="12" t="s">
        <v>114</v>
      </c>
      <c r="K462" s="12" t="s">
        <v>82</v>
      </c>
      <c r="L462" s="12" t="s">
        <v>115</v>
      </c>
      <c r="M462" s="12" t="s">
        <v>43</v>
      </c>
      <c r="N462" s="12" t="s">
        <v>44</v>
      </c>
      <c r="O462" s="12" t="s">
        <v>2154</v>
      </c>
      <c r="P462" s="12" t="s">
        <v>46</v>
      </c>
      <c r="Q462" s="12" t="s">
        <v>47</v>
      </c>
      <c r="R462" s="12" t="s">
        <v>117</v>
      </c>
      <c r="S462" s="13">
        <v>197804948246</v>
      </c>
      <c r="T462" s="12" t="s">
        <v>105</v>
      </c>
      <c r="U462" s="13">
        <v>37</v>
      </c>
      <c r="V462" s="12" t="s">
        <v>50</v>
      </c>
      <c r="W462" s="12" t="s">
        <v>118</v>
      </c>
      <c r="X462" s="12" t="s">
        <v>119</v>
      </c>
      <c r="Y462" s="12" t="s">
        <v>53</v>
      </c>
      <c r="Z462" s="12" t="s">
        <v>120</v>
      </c>
      <c r="AA462" s="12" t="s">
        <v>73</v>
      </c>
      <c r="AB462" s="12" t="s">
        <v>94</v>
      </c>
      <c r="AC462" s="15">
        <v>43.2</v>
      </c>
      <c r="AD462" s="15">
        <f>AC462*AG462</f>
        <v>648</v>
      </c>
      <c r="AE462" s="15">
        <v>95</v>
      </c>
      <c r="AF462" s="15">
        <f>AE462*AG462</f>
        <v>1425</v>
      </c>
      <c r="AG462" s="16">
        <v>15</v>
      </c>
    </row>
    <row r="463" spans="1:33" ht="15" customHeight="1" x14ac:dyDescent="0.2">
      <c r="A463" s="11" t="str">
        <f t="shared" ref="A463:A468" si="196">HYPERLINK("https://assets.vans.eu/images/VN000EE1GYG-HERO/1","VN000EE1GYG1")</f>
        <v>VN000EE1GYG1</v>
      </c>
      <c r="B463" s="12" t="s">
        <v>2155</v>
      </c>
      <c r="C463" s="12" t="s">
        <v>238</v>
      </c>
      <c r="D463" s="12" t="s">
        <v>2156</v>
      </c>
      <c r="E463" s="12" t="s">
        <v>2157</v>
      </c>
      <c r="F463" s="13">
        <v>45</v>
      </c>
      <c r="G463" s="14"/>
      <c r="H463" s="12" t="s">
        <v>38</v>
      </c>
      <c r="I463" s="12" t="s">
        <v>242</v>
      </c>
      <c r="J463" s="12" t="s">
        <v>243</v>
      </c>
      <c r="K463" s="12" t="s">
        <v>244</v>
      </c>
      <c r="L463" s="12" t="s">
        <v>115</v>
      </c>
      <c r="M463" s="12" t="s">
        <v>43</v>
      </c>
      <c r="N463" s="12" t="s">
        <v>84</v>
      </c>
      <c r="O463" s="12" t="s">
        <v>2158</v>
      </c>
      <c r="P463" s="12" t="s">
        <v>46</v>
      </c>
      <c r="Q463" s="12" t="s">
        <v>47</v>
      </c>
      <c r="R463" s="12" t="s">
        <v>48</v>
      </c>
      <c r="S463" s="13">
        <v>198266182216</v>
      </c>
      <c r="T463" s="12" t="s">
        <v>105</v>
      </c>
      <c r="U463" s="13">
        <v>20</v>
      </c>
      <c r="V463" s="12" t="s">
        <v>50</v>
      </c>
      <c r="W463" s="12" t="s">
        <v>262</v>
      </c>
      <c r="X463" s="14"/>
      <c r="Y463" s="14"/>
      <c r="Z463" s="14"/>
      <c r="AA463" s="14"/>
      <c r="AB463" s="14"/>
      <c r="AC463" s="15">
        <v>25</v>
      </c>
      <c r="AD463" s="15">
        <f>AC463*AG463</f>
        <v>375</v>
      </c>
      <c r="AE463" s="15">
        <v>55</v>
      </c>
      <c r="AF463" s="15">
        <f>AE463*AG463</f>
        <v>825</v>
      </c>
      <c r="AG463" s="16">
        <v>15</v>
      </c>
    </row>
    <row r="464" spans="1:33" ht="15" customHeight="1" x14ac:dyDescent="0.2">
      <c r="A464" s="11" t="str">
        <f t="shared" si="196"/>
        <v>VN000EE1GYG1</v>
      </c>
      <c r="B464" s="12" t="s">
        <v>2159</v>
      </c>
      <c r="C464" s="12" t="s">
        <v>238</v>
      </c>
      <c r="D464" s="12" t="s">
        <v>2156</v>
      </c>
      <c r="E464" s="12" t="s">
        <v>2160</v>
      </c>
      <c r="F464" s="13">
        <v>55</v>
      </c>
      <c r="G464" s="14"/>
      <c r="H464" s="12" t="s">
        <v>38</v>
      </c>
      <c r="I464" s="12" t="s">
        <v>242</v>
      </c>
      <c r="J464" s="12" t="s">
        <v>243</v>
      </c>
      <c r="K464" s="12" t="s">
        <v>244</v>
      </c>
      <c r="L464" s="12" t="s">
        <v>115</v>
      </c>
      <c r="M464" s="12" t="s">
        <v>43</v>
      </c>
      <c r="N464" s="12" t="s">
        <v>84</v>
      </c>
      <c r="O464" s="12" t="s">
        <v>2161</v>
      </c>
      <c r="P464" s="12" t="s">
        <v>46</v>
      </c>
      <c r="Q464" s="12" t="s">
        <v>47</v>
      </c>
      <c r="R464" s="12" t="s">
        <v>48</v>
      </c>
      <c r="S464" s="13">
        <v>198266182315</v>
      </c>
      <c r="T464" s="12" t="s">
        <v>105</v>
      </c>
      <c r="U464" s="13">
        <v>21.5</v>
      </c>
      <c r="V464" s="12" t="s">
        <v>50</v>
      </c>
      <c r="W464" s="12" t="s">
        <v>262</v>
      </c>
      <c r="X464" s="14"/>
      <c r="Y464" s="14"/>
      <c r="Z464" s="14"/>
      <c r="AA464" s="14"/>
      <c r="AB464" s="14"/>
      <c r="AC464" s="15">
        <v>25</v>
      </c>
      <c r="AD464" s="15">
        <f>AC464*AG464</f>
        <v>375</v>
      </c>
      <c r="AE464" s="15">
        <v>55</v>
      </c>
      <c r="AF464" s="15">
        <f>AE464*AG464</f>
        <v>825</v>
      </c>
      <c r="AG464" s="16">
        <v>15</v>
      </c>
    </row>
    <row r="465" spans="1:33" ht="15" customHeight="1" x14ac:dyDescent="0.2">
      <c r="A465" s="11" t="str">
        <f t="shared" si="196"/>
        <v>VN000EE1GYG1</v>
      </c>
      <c r="B465" s="12" t="s">
        <v>2162</v>
      </c>
      <c r="C465" s="12" t="s">
        <v>238</v>
      </c>
      <c r="D465" s="12" t="s">
        <v>2156</v>
      </c>
      <c r="E465" s="12" t="s">
        <v>2163</v>
      </c>
      <c r="F465" s="13">
        <v>65</v>
      </c>
      <c r="G465" s="14"/>
      <c r="H465" s="12" t="s">
        <v>38</v>
      </c>
      <c r="I465" s="12" t="s">
        <v>242</v>
      </c>
      <c r="J465" s="12" t="s">
        <v>243</v>
      </c>
      <c r="K465" s="12" t="s">
        <v>244</v>
      </c>
      <c r="L465" s="12" t="s">
        <v>115</v>
      </c>
      <c r="M465" s="12" t="s">
        <v>43</v>
      </c>
      <c r="N465" s="12" t="s">
        <v>84</v>
      </c>
      <c r="O465" s="12" t="s">
        <v>2164</v>
      </c>
      <c r="P465" s="12" t="s">
        <v>46</v>
      </c>
      <c r="Q465" s="12" t="s">
        <v>47</v>
      </c>
      <c r="R465" s="12" t="s">
        <v>48</v>
      </c>
      <c r="S465" s="13">
        <v>198266182421</v>
      </c>
      <c r="T465" s="12" t="s">
        <v>105</v>
      </c>
      <c r="U465" s="13">
        <v>22.5</v>
      </c>
      <c r="V465" s="12" t="s">
        <v>50</v>
      </c>
      <c r="W465" s="12" t="s">
        <v>262</v>
      </c>
      <c r="X465" s="14"/>
      <c r="Y465" s="14"/>
      <c r="Z465" s="14"/>
      <c r="AA465" s="14"/>
      <c r="AB465" s="14"/>
      <c r="AC465" s="15">
        <v>25</v>
      </c>
      <c r="AD465" s="15">
        <f>AC465*AG465</f>
        <v>375</v>
      </c>
      <c r="AE465" s="15">
        <v>55</v>
      </c>
      <c r="AF465" s="15">
        <f>AE465*AG465</f>
        <v>825</v>
      </c>
      <c r="AG465" s="16">
        <v>15</v>
      </c>
    </row>
    <row r="466" spans="1:33" ht="15" customHeight="1" x14ac:dyDescent="0.2">
      <c r="A466" s="11" t="str">
        <f t="shared" si="196"/>
        <v>VN000EE1GYG1</v>
      </c>
      <c r="B466" s="12" t="s">
        <v>2165</v>
      </c>
      <c r="C466" s="12" t="s">
        <v>238</v>
      </c>
      <c r="D466" s="12" t="s">
        <v>2156</v>
      </c>
      <c r="E466" s="12" t="s">
        <v>2166</v>
      </c>
      <c r="F466" s="13">
        <v>75</v>
      </c>
      <c r="G466" s="14"/>
      <c r="H466" s="12" t="s">
        <v>38</v>
      </c>
      <c r="I466" s="12" t="s">
        <v>242</v>
      </c>
      <c r="J466" s="12" t="s">
        <v>243</v>
      </c>
      <c r="K466" s="12" t="s">
        <v>244</v>
      </c>
      <c r="L466" s="12" t="s">
        <v>115</v>
      </c>
      <c r="M466" s="12" t="s">
        <v>43</v>
      </c>
      <c r="N466" s="12" t="s">
        <v>84</v>
      </c>
      <c r="O466" s="12" t="s">
        <v>2167</v>
      </c>
      <c r="P466" s="12" t="s">
        <v>46</v>
      </c>
      <c r="Q466" s="12" t="s">
        <v>47</v>
      </c>
      <c r="R466" s="12" t="s">
        <v>48</v>
      </c>
      <c r="S466" s="13">
        <v>198266182636</v>
      </c>
      <c r="T466" s="12" t="s">
        <v>105</v>
      </c>
      <c r="U466" s="13">
        <v>24</v>
      </c>
      <c r="V466" s="12" t="s">
        <v>50</v>
      </c>
      <c r="W466" s="12" t="s">
        <v>262</v>
      </c>
      <c r="X466" s="14"/>
      <c r="Y466" s="14"/>
      <c r="Z466" s="14"/>
      <c r="AA466" s="14"/>
      <c r="AB466" s="14"/>
      <c r="AC466" s="15">
        <v>25</v>
      </c>
      <c r="AD466" s="15">
        <f>AC466*AG466</f>
        <v>375</v>
      </c>
      <c r="AE466" s="15">
        <v>55</v>
      </c>
      <c r="AF466" s="15">
        <f>AE466*AG466</f>
        <v>825</v>
      </c>
      <c r="AG466" s="16">
        <v>15</v>
      </c>
    </row>
    <row r="467" spans="1:33" ht="15" customHeight="1" x14ac:dyDescent="0.2">
      <c r="A467" s="11" t="str">
        <f t="shared" si="196"/>
        <v>VN000EE1GYG1</v>
      </c>
      <c r="B467" s="12" t="s">
        <v>2168</v>
      </c>
      <c r="C467" s="12" t="s">
        <v>238</v>
      </c>
      <c r="D467" s="12" t="s">
        <v>2156</v>
      </c>
      <c r="E467" s="12" t="s">
        <v>2169</v>
      </c>
      <c r="F467" s="13">
        <v>85</v>
      </c>
      <c r="G467" s="14"/>
      <c r="H467" s="12" t="s">
        <v>38</v>
      </c>
      <c r="I467" s="12" t="s">
        <v>242</v>
      </c>
      <c r="J467" s="12" t="s">
        <v>243</v>
      </c>
      <c r="K467" s="12" t="s">
        <v>244</v>
      </c>
      <c r="L467" s="12" t="s">
        <v>115</v>
      </c>
      <c r="M467" s="12" t="s">
        <v>43</v>
      </c>
      <c r="N467" s="12" t="s">
        <v>84</v>
      </c>
      <c r="O467" s="12" t="s">
        <v>2170</v>
      </c>
      <c r="P467" s="12" t="s">
        <v>46</v>
      </c>
      <c r="Q467" s="12" t="s">
        <v>47</v>
      </c>
      <c r="R467" s="12" t="s">
        <v>48</v>
      </c>
      <c r="S467" s="13">
        <v>198266182773</v>
      </c>
      <c r="T467" s="12" t="s">
        <v>105</v>
      </c>
      <c r="U467" s="13">
        <v>25</v>
      </c>
      <c r="V467" s="12" t="s">
        <v>50</v>
      </c>
      <c r="W467" s="12" t="s">
        <v>262</v>
      </c>
      <c r="X467" s="14"/>
      <c r="Y467" s="14"/>
      <c r="Z467" s="14"/>
      <c r="AA467" s="14"/>
      <c r="AB467" s="14"/>
      <c r="AC467" s="15">
        <v>25</v>
      </c>
      <c r="AD467" s="15">
        <f>AC467*AG467</f>
        <v>375</v>
      </c>
      <c r="AE467" s="15">
        <v>55</v>
      </c>
      <c r="AF467" s="15">
        <f>AE467*AG467</f>
        <v>825</v>
      </c>
      <c r="AG467" s="16">
        <v>15</v>
      </c>
    </row>
    <row r="468" spans="1:33" ht="15" customHeight="1" x14ac:dyDescent="0.2">
      <c r="A468" s="11" t="str">
        <f t="shared" si="196"/>
        <v>VN000EE1GYG1</v>
      </c>
      <c r="B468" s="12" t="s">
        <v>2171</v>
      </c>
      <c r="C468" s="12" t="s">
        <v>238</v>
      </c>
      <c r="D468" s="12" t="s">
        <v>2156</v>
      </c>
      <c r="E468" s="12" t="s">
        <v>2172</v>
      </c>
      <c r="F468" s="13">
        <v>95</v>
      </c>
      <c r="G468" s="14"/>
      <c r="H468" s="12" t="s">
        <v>38</v>
      </c>
      <c r="I468" s="12" t="s">
        <v>242</v>
      </c>
      <c r="J468" s="12" t="s">
        <v>243</v>
      </c>
      <c r="K468" s="12" t="s">
        <v>244</v>
      </c>
      <c r="L468" s="12" t="s">
        <v>115</v>
      </c>
      <c r="M468" s="12" t="s">
        <v>43</v>
      </c>
      <c r="N468" s="12" t="s">
        <v>84</v>
      </c>
      <c r="O468" s="12" t="s">
        <v>2173</v>
      </c>
      <c r="P468" s="12" t="s">
        <v>46</v>
      </c>
      <c r="Q468" s="12" t="s">
        <v>47</v>
      </c>
      <c r="R468" s="12" t="s">
        <v>48</v>
      </c>
      <c r="S468" s="13">
        <v>198266183183</v>
      </c>
      <c r="T468" s="12" t="s">
        <v>105</v>
      </c>
      <c r="U468" s="13">
        <v>26</v>
      </c>
      <c r="V468" s="12" t="s">
        <v>50</v>
      </c>
      <c r="W468" s="12" t="s">
        <v>262</v>
      </c>
      <c r="X468" s="14"/>
      <c r="Y468" s="14"/>
      <c r="Z468" s="14"/>
      <c r="AA468" s="14"/>
      <c r="AB468" s="14"/>
      <c r="AC468" s="15">
        <v>25</v>
      </c>
      <c r="AD468" s="15">
        <f>AC468*AG468</f>
        <v>375</v>
      </c>
      <c r="AE468" s="15">
        <v>55</v>
      </c>
      <c r="AF468" s="15">
        <f>AE468*AG468</f>
        <v>825</v>
      </c>
      <c r="AG468" s="16">
        <v>15</v>
      </c>
    </row>
    <row r="469" spans="1:33" ht="15" customHeight="1" x14ac:dyDescent="0.2">
      <c r="A469" s="11" t="str">
        <f t="shared" ref="A469:A1994" si="197">HYPERLINK("https://assets.vans.eu/images/VN0A3TKN6BT-HERO/1","VN0A3TKN6BT1")</f>
        <v>VN0A3TKN6BT1</v>
      </c>
      <c r="B469" s="12" t="s">
        <v>2174</v>
      </c>
      <c r="C469" s="12" t="s">
        <v>2175</v>
      </c>
      <c r="D469" s="12" t="s">
        <v>2176</v>
      </c>
      <c r="E469" s="12" t="s">
        <v>2177</v>
      </c>
      <c r="F469" s="13">
        <v>95</v>
      </c>
      <c r="G469" s="14"/>
      <c r="H469" s="12" t="s">
        <v>38</v>
      </c>
      <c r="I469" s="12" t="s">
        <v>113</v>
      </c>
      <c r="J469" s="12" t="s">
        <v>114</v>
      </c>
      <c r="K469" s="12" t="s">
        <v>82</v>
      </c>
      <c r="L469" s="14"/>
      <c r="M469" s="12" t="s">
        <v>43</v>
      </c>
      <c r="N469" s="12" t="s">
        <v>84</v>
      </c>
      <c r="O469" s="12" t="s">
        <v>2178</v>
      </c>
      <c r="P469" s="12" t="s">
        <v>46</v>
      </c>
      <c r="Q469" s="12" t="s">
        <v>47</v>
      </c>
      <c r="R469" s="12" t="s">
        <v>2179</v>
      </c>
      <c r="S469" s="13">
        <v>190849927665</v>
      </c>
      <c r="T469" s="12" t="s">
        <v>105</v>
      </c>
      <c r="U469" s="13">
        <v>42.5</v>
      </c>
      <c r="V469" s="12" t="s">
        <v>50</v>
      </c>
      <c r="W469" s="12" t="s">
        <v>51</v>
      </c>
      <c r="X469" s="14"/>
      <c r="Y469" s="12" t="s">
        <v>91</v>
      </c>
      <c r="Z469" s="12" t="s">
        <v>165</v>
      </c>
      <c r="AA469" s="14"/>
      <c r="AB469" s="14"/>
      <c r="AC469" s="15">
        <v>50</v>
      </c>
      <c r="AD469" s="15">
        <f>AC469*AG469</f>
        <v>750</v>
      </c>
      <c r="AE469" s="15">
        <v>110</v>
      </c>
      <c r="AF469" s="15">
        <f>AE469*AG469</f>
        <v>1650</v>
      </c>
      <c r="AG469" s="16">
        <v>15</v>
      </c>
    </row>
    <row r="470" spans="1:33" ht="15" customHeight="1" x14ac:dyDescent="0.2">
      <c r="A470" s="11" t="str">
        <f t="shared" ref="A470:A643" si="198">HYPERLINK("https://assets.vans.eu/images/VN0A5FCB1N6-HERO/1","VN0A5FCB1N61")</f>
        <v>VN0A5FCB1N61</v>
      </c>
      <c r="B470" s="12" t="s">
        <v>2180</v>
      </c>
      <c r="C470" s="12" t="s">
        <v>996</v>
      </c>
      <c r="D470" s="12" t="s">
        <v>2181</v>
      </c>
      <c r="E470" s="12" t="s">
        <v>2182</v>
      </c>
      <c r="F470" s="13">
        <v>40</v>
      </c>
      <c r="G470" s="14"/>
      <c r="H470" s="12" t="s">
        <v>38</v>
      </c>
      <c r="I470" s="12" t="s">
        <v>159</v>
      </c>
      <c r="J470" s="12" t="s">
        <v>341</v>
      </c>
      <c r="K470" s="12" t="s">
        <v>199</v>
      </c>
      <c r="L470" s="14"/>
      <c r="M470" s="12" t="s">
        <v>43</v>
      </c>
      <c r="N470" s="12" t="s">
        <v>84</v>
      </c>
      <c r="O470" s="12" t="s">
        <v>2183</v>
      </c>
      <c r="P470" s="12" t="s">
        <v>46</v>
      </c>
      <c r="Q470" s="12" t="s">
        <v>47</v>
      </c>
      <c r="R470" s="12" t="s">
        <v>163</v>
      </c>
      <c r="S470" s="13">
        <v>197063313847</v>
      </c>
      <c r="T470" s="12" t="s">
        <v>49</v>
      </c>
      <c r="U470" s="13">
        <v>35</v>
      </c>
      <c r="V470" s="12" t="s">
        <v>50</v>
      </c>
      <c r="W470" s="12" t="s">
        <v>455</v>
      </c>
      <c r="X470" s="14"/>
      <c r="Y470" s="12" t="s">
        <v>91</v>
      </c>
      <c r="Z470" s="12" t="s">
        <v>344</v>
      </c>
      <c r="AA470" s="14"/>
      <c r="AB470" s="14"/>
      <c r="AC470" s="15">
        <v>38.65</v>
      </c>
      <c r="AD470" s="15">
        <f>AC470*AG470</f>
        <v>579.75</v>
      </c>
      <c r="AE470" s="15">
        <v>85</v>
      </c>
      <c r="AF470" s="15">
        <f>AE470*AG470</f>
        <v>1275</v>
      </c>
      <c r="AG470" s="16">
        <v>15</v>
      </c>
    </row>
    <row r="471" spans="1:33" ht="15" customHeight="1" x14ac:dyDescent="0.2">
      <c r="A471" s="11" t="str">
        <f>HYPERLINK("https://assets.vans.eu/images/VN00061YCBK-HERO/1","VN00061YCBK1")</f>
        <v>VN00061YCBK1</v>
      </c>
      <c r="B471" s="12" t="s">
        <v>2184</v>
      </c>
      <c r="C471" s="12" t="s">
        <v>2185</v>
      </c>
      <c r="D471" s="12" t="s">
        <v>2186</v>
      </c>
      <c r="E471" s="12" t="s">
        <v>2187</v>
      </c>
      <c r="F471" s="12" t="s">
        <v>78</v>
      </c>
      <c r="G471" s="14"/>
      <c r="H471" s="12" t="s">
        <v>79</v>
      </c>
      <c r="I471" s="12" t="s">
        <v>125</v>
      </c>
      <c r="J471" s="12" t="s">
        <v>126</v>
      </c>
      <c r="K471" s="12" t="s">
        <v>64</v>
      </c>
      <c r="L471" s="14"/>
      <c r="M471" s="12" t="s">
        <v>43</v>
      </c>
      <c r="N471" s="12" t="s">
        <v>101</v>
      </c>
      <c r="O471" s="12" t="s">
        <v>2188</v>
      </c>
      <c r="P471" s="12" t="s">
        <v>86</v>
      </c>
      <c r="Q471" s="12" t="s">
        <v>128</v>
      </c>
      <c r="R471" s="12" t="s">
        <v>129</v>
      </c>
      <c r="S471" s="13">
        <v>196573524989</v>
      </c>
      <c r="T471" s="12" t="s">
        <v>130</v>
      </c>
      <c r="U471" s="12" t="s">
        <v>78</v>
      </c>
      <c r="V471" s="12" t="s">
        <v>353</v>
      </c>
      <c r="W471" s="12" t="s">
        <v>118</v>
      </c>
      <c r="X471" s="13">
        <v>0</v>
      </c>
      <c r="Y471" s="12" t="s">
        <v>91</v>
      </c>
      <c r="Z471" s="12" t="s">
        <v>108</v>
      </c>
      <c r="AA471" s="13">
        <v>0</v>
      </c>
      <c r="AB471" s="13">
        <v>0</v>
      </c>
      <c r="AC471" s="15">
        <v>10.95</v>
      </c>
      <c r="AD471" s="15">
        <f>AC471*AG471</f>
        <v>153.29999999999998</v>
      </c>
      <c r="AE471" s="15">
        <v>24</v>
      </c>
      <c r="AF471" s="15">
        <f>AE471*AG471</f>
        <v>336</v>
      </c>
      <c r="AG471" s="16">
        <v>14</v>
      </c>
    </row>
    <row r="472" spans="1:33" ht="15" customHeight="1" x14ac:dyDescent="0.2">
      <c r="A472" s="11" t="str">
        <f>HYPERLINK("https://assets.vans.eu/images/VN000GN0BLK-HERO/1","VN000GN0BLK1")</f>
        <v>VN000GN0BLK1</v>
      </c>
      <c r="B472" s="12" t="s">
        <v>2189</v>
      </c>
      <c r="C472" s="12" t="s">
        <v>2190</v>
      </c>
      <c r="D472" s="12" t="s">
        <v>76</v>
      </c>
      <c r="E472" s="12" t="s">
        <v>2191</v>
      </c>
      <c r="F472" s="12" t="s">
        <v>78</v>
      </c>
      <c r="G472" s="14"/>
      <c r="H472" s="12" t="s">
        <v>79</v>
      </c>
      <c r="I472" s="12" t="s">
        <v>80</v>
      </c>
      <c r="J472" s="12" t="s">
        <v>99</v>
      </c>
      <c r="K472" s="12" t="s">
        <v>82</v>
      </c>
      <c r="L472" s="14"/>
      <c r="M472" s="12" t="s">
        <v>43</v>
      </c>
      <c r="N472" s="12" t="s">
        <v>274</v>
      </c>
      <c r="O472" s="12" t="s">
        <v>2192</v>
      </c>
      <c r="P472" s="12" t="s">
        <v>86</v>
      </c>
      <c r="Q472" s="12" t="s">
        <v>716</v>
      </c>
      <c r="R472" s="12" t="s">
        <v>717</v>
      </c>
      <c r="S472" s="13">
        <v>197063464020</v>
      </c>
      <c r="T472" s="12" t="s">
        <v>143</v>
      </c>
      <c r="U472" s="12" t="s">
        <v>78</v>
      </c>
      <c r="V472" s="12" t="s">
        <v>718</v>
      </c>
      <c r="W472" s="12" t="s">
        <v>51</v>
      </c>
      <c r="X472" s="13">
        <v>0</v>
      </c>
      <c r="Y472" s="12" t="s">
        <v>91</v>
      </c>
      <c r="Z472" s="12" t="s">
        <v>108</v>
      </c>
      <c r="AA472" s="13">
        <v>0</v>
      </c>
      <c r="AB472" s="13">
        <v>0</v>
      </c>
      <c r="AC472" s="15">
        <v>8.1999999999999993</v>
      </c>
      <c r="AD472" s="15">
        <f>AC472*AG472</f>
        <v>114.79999999999998</v>
      </c>
      <c r="AE472" s="15">
        <v>18</v>
      </c>
      <c r="AF472" s="15">
        <f>AE472*AG472</f>
        <v>252</v>
      </c>
      <c r="AG472" s="16">
        <v>14</v>
      </c>
    </row>
    <row r="473" spans="1:33" ht="15" customHeight="1" x14ac:dyDescent="0.2">
      <c r="A473" s="11" t="str">
        <f>HYPERLINK("https://assets.vans.eu/images/VN000KXWBLK-HERO/1","VN000KXWBLK1")</f>
        <v>VN000KXWBLK1</v>
      </c>
      <c r="B473" s="12" t="s">
        <v>2193</v>
      </c>
      <c r="C473" s="12" t="s">
        <v>2194</v>
      </c>
      <c r="D473" s="12" t="s">
        <v>76</v>
      </c>
      <c r="E473" s="12" t="s">
        <v>2195</v>
      </c>
      <c r="F473" s="12" t="s">
        <v>78</v>
      </c>
      <c r="G473" s="14"/>
      <c r="H473" s="12" t="s">
        <v>79</v>
      </c>
      <c r="I473" s="12" t="s">
        <v>80</v>
      </c>
      <c r="J473" s="12" t="s">
        <v>349</v>
      </c>
      <c r="K473" s="12" t="s">
        <v>82</v>
      </c>
      <c r="L473" s="14"/>
      <c r="M473" s="12" t="s">
        <v>43</v>
      </c>
      <c r="N473" s="12" t="s">
        <v>44</v>
      </c>
      <c r="O473" s="12" t="s">
        <v>2196</v>
      </c>
      <c r="P473" s="12" t="s">
        <v>86</v>
      </c>
      <c r="Q473" s="12" t="s">
        <v>128</v>
      </c>
      <c r="R473" s="12" t="s">
        <v>352</v>
      </c>
      <c r="S473" s="13">
        <v>197643536635</v>
      </c>
      <c r="T473" s="12" t="s">
        <v>143</v>
      </c>
      <c r="U473" s="12" t="s">
        <v>78</v>
      </c>
      <c r="V473" s="12" t="s">
        <v>965</v>
      </c>
      <c r="W473" s="12" t="s">
        <v>51</v>
      </c>
      <c r="X473" s="13">
        <v>0</v>
      </c>
      <c r="Y473" s="12" t="s">
        <v>91</v>
      </c>
      <c r="Z473" s="12" t="s">
        <v>72</v>
      </c>
      <c r="AA473" s="13">
        <v>0</v>
      </c>
      <c r="AB473" s="13">
        <v>0</v>
      </c>
      <c r="AC473" s="15">
        <v>16.399999999999999</v>
      </c>
      <c r="AD473" s="15">
        <f>AC473*AG473</f>
        <v>229.59999999999997</v>
      </c>
      <c r="AE473" s="15">
        <v>36</v>
      </c>
      <c r="AF473" s="15">
        <f>AE473*AG473</f>
        <v>504</v>
      </c>
      <c r="AG473" s="16">
        <v>14</v>
      </c>
    </row>
    <row r="474" spans="1:33" ht="15" customHeight="1" x14ac:dyDescent="0.2">
      <c r="A474" s="11" t="str">
        <f>HYPERLINK("https://assets.vans.eu/images/VN000LC0BLK-HERO/1","VN000LC0BLK1")</f>
        <v>VN000LC0BLK1</v>
      </c>
      <c r="B474" s="12" t="s">
        <v>2197</v>
      </c>
      <c r="C474" s="12" t="s">
        <v>712</v>
      </c>
      <c r="D474" s="12" t="s">
        <v>76</v>
      </c>
      <c r="E474" s="12" t="s">
        <v>2198</v>
      </c>
      <c r="F474" s="12" t="s">
        <v>78</v>
      </c>
      <c r="G474" s="14"/>
      <c r="H474" s="12" t="s">
        <v>79</v>
      </c>
      <c r="I474" s="12" t="s">
        <v>80</v>
      </c>
      <c r="J474" s="12" t="s">
        <v>99</v>
      </c>
      <c r="K474" s="12" t="s">
        <v>199</v>
      </c>
      <c r="L474" s="14"/>
      <c r="M474" s="12" t="s">
        <v>43</v>
      </c>
      <c r="N474" s="12" t="s">
        <v>84</v>
      </c>
      <c r="O474" s="12" t="s">
        <v>2199</v>
      </c>
      <c r="P474" s="12" t="s">
        <v>86</v>
      </c>
      <c r="Q474" s="12" t="s">
        <v>716</v>
      </c>
      <c r="R474" s="12" t="s">
        <v>717</v>
      </c>
      <c r="S474" s="13">
        <v>700053501997</v>
      </c>
      <c r="T474" s="12" t="s">
        <v>143</v>
      </c>
      <c r="U474" s="12" t="s">
        <v>78</v>
      </c>
      <c r="V474" s="12" t="s">
        <v>718</v>
      </c>
      <c r="W474" s="12" t="s">
        <v>51</v>
      </c>
      <c r="X474" s="13">
        <v>0</v>
      </c>
      <c r="Y474" s="12" t="s">
        <v>71</v>
      </c>
      <c r="Z474" s="12" t="s">
        <v>108</v>
      </c>
      <c r="AA474" s="13">
        <v>0</v>
      </c>
      <c r="AB474" s="13">
        <v>0</v>
      </c>
      <c r="AC474" s="15">
        <v>8.1999999999999993</v>
      </c>
      <c r="AD474" s="15">
        <f>AC474*AG474</f>
        <v>114.79999999999998</v>
      </c>
      <c r="AE474" s="15">
        <v>18</v>
      </c>
      <c r="AF474" s="15">
        <f>AE474*AG474</f>
        <v>252</v>
      </c>
      <c r="AG474" s="16">
        <v>14</v>
      </c>
    </row>
    <row r="475" spans="1:33" ht="15" customHeight="1" x14ac:dyDescent="0.2">
      <c r="A475" s="11" t="str">
        <f t="shared" si="182"/>
        <v>VN0008N6BLK1</v>
      </c>
      <c r="B475" s="12" t="s">
        <v>2200</v>
      </c>
      <c r="C475" s="12" t="s">
        <v>2042</v>
      </c>
      <c r="D475" s="12" t="s">
        <v>76</v>
      </c>
      <c r="E475" s="12" t="s">
        <v>2201</v>
      </c>
      <c r="F475" s="13">
        <v>28</v>
      </c>
      <c r="G475" s="14"/>
      <c r="H475" s="12" t="s">
        <v>61</v>
      </c>
      <c r="I475" s="12" t="s">
        <v>230</v>
      </c>
      <c r="J475" s="12" t="s">
        <v>231</v>
      </c>
      <c r="K475" s="12" t="s">
        <v>199</v>
      </c>
      <c r="L475" s="14"/>
      <c r="M475" s="12" t="s">
        <v>43</v>
      </c>
      <c r="N475" s="12" t="s">
        <v>84</v>
      </c>
      <c r="O475" s="12" t="s">
        <v>2202</v>
      </c>
      <c r="P475" s="12" t="s">
        <v>66</v>
      </c>
      <c r="Q475" s="12" t="s">
        <v>233</v>
      </c>
      <c r="R475" s="12" t="s">
        <v>361</v>
      </c>
      <c r="S475" s="13">
        <v>197063494737</v>
      </c>
      <c r="T475" s="12" t="s">
        <v>235</v>
      </c>
      <c r="U475" s="13">
        <v>28</v>
      </c>
      <c r="V475" s="12" t="s">
        <v>665</v>
      </c>
      <c r="W475" s="12" t="s">
        <v>51</v>
      </c>
      <c r="X475" s="13">
        <v>0</v>
      </c>
      <c r="Y475" s="12" t="s">
        <v>91</v>
      </c>
      <c r="Z475" s="12" t="s">
        <v>108</v>
      </c>
      <c r="AA475" s="13">
        <v>0</v>
      </c>
      <c r="AB475" s="13">
        <v>0</v>
      </c>
      <c r="AC475" s="15">
        <v>36.4</v>
      </c>
      <c r="AD475" s="15">
        <f>AC475*AG475</f>
        <v>509.59999999999997</v>
      </c>
      <c r="AE475" s="15">
        <v>80</v>
      </c>
      <c r="AF475" s="15">
        <f>AE475*AG475</f>
        <v>1120</v>
      </c>
      <c r="AG475" s="16">
        <v>14</v>
      </c>
    </row>
    <row r="476" spans="1:33" ht="15" customHeight="1" x14ac:dyDescent="0.2">
      <c r="A476" s="11" t="str">
        <f t="shared" si="116"/>
        <v>VN000HDVM8I1</v>
      </c>
      <c r="B476" s="12" t="s">
        <v>2203</v>
      </c>
      <c r="C476" s="12" t="s">
        <v>1486</v>
      </c>
      <c r="D476" s="12" t="s">
        <v>1487</v>
      </c>
      <c r="E476" s="12" t="s">
        <v>2204</v>
      </c>
      <c r="F476" s="12" t="s">
        <v>179</v>
      </c>
      <c r="G476" s="14"/>
      <c r="H476" s="12" t="s">
        <v>61</v>
      </c>
      <c r="I476" s="12" t="s">
        <v>230</v>
      </c>
      <c r="J476" s="12" t="s">
        <v>419</v>
      </c>
      <c r="K476" s="12" t="s">
        <v>199</v>
      </c>
      <c r="L476" s="14"/>
      <c r="M476" s="12" t="s">
        <v>43</v>
      </c>
      <c r="N476" s="12" t="s">
        <v>161</v>
      </c>
      <c r="O476" s="12" t="s">
        <v>2205</v>
      </c>
      <c r="P476" s="12" t="s">
        <v>66</v>
      </c>
      <c r="Q476" s="12" t="s">
        <v>67</v>
      </c>
      <c r="R476" s="12" t="s">
        <v>1490</v>
      </c>
      <c r="S476" s="13">
        <v>197065482039</v>
      </c>
      <c r="T476" s="12" t="s">
        <v>143</v>
      </c>
      <c r="U476" s="12" t="s">
        <v>179</v>
      </c>
      <c r="V476" s="12" t="s">
        <v>1491</v>
      </c>
      <c r="W476" s="12" t="s">
        <v>118</v>
      </c>
      <c r="X476" s="13">
        <v>0</v>
      </c>
      <c r="Y476" s="12" t="s">
        <v>91</v>
      </c>
      <c r="Z476" s="12" t="s">
        <v>108</v>
      </c>
      <c r="AA476" s="13">
        <v>0</v>
      </c>
      <c r="AB476" s="13">
        <v>0</v>
      </c>
      <c r="AC476" s="15">
        <v>31.85</v>
      </c>
      <c r="AD476" s="15">
        <f>AC476*AG476</f>
        <v>445.90000000000003</v>
      </c>
      <c r="AE476" s="15">
        <v>70</v>
      </c>
      <c r="AF476" s="15">
        <f>AE476*AG476</f>
        <v>980</v>
      </c>
      <c r="AG476" s="16">
        <v>14</v>
      </c>
    </row>
    <row r="477" spans="1:33" ht="15" customHeight="1" x14ac:dyDescent="0.2">
      <c r="A477" s="11" t="str">
        <f t="shared" si="147"/>
        <v>VN000HQ3M8I1</v>
      </c>
      <c r="B477" s="12" t="s">
        <v>2206</v>
      </c>
      <c r="C477" s="12" t="s">
        <v>1779</v>
      </c>
      <c r="D477" s="12" t="s">
        <v>1487</v>
      </c>
      <c r="E477" s="12" t="s">
        <v>2207</v>
      </c>
      <c r="F477" s="12" t="s">
        <v>179</v>
      </c>
      <c r="G477" s="14"/>
      <c r="H477" s="12" t="s">
        <v>61</v>
      </c>
      <c r="I477" s="12" t="s">
        <v>289</v>
      </c>
      <c r="J477" s="12" t="s">
        <v>706</v>
      </c>
      <c r="K477" s="12" t="s">
        <v>100</v>
      </c>
      <c r="L477" s="14"/>
      <c r="M477" s="12" t="s">
        <v>43</v>
      </c>
      <c r="N477" s="12" t="s">
        <v>161</v>
      </c>
      <c r="O477" s="12" t="s">
        <v>2208</v>
      </c>
      <c r="P477" s="12" t="s">
        <v>66</v>
      </c>
      <c r="Q477" s="12" t="s">
        <v>67</v>
      </c>
      <c r="R477" s="12" t="s">
        <v>1782</v>
      </c>
      <c r="S477" s="13">
        <v>197065933548</v>
      </c>
      <c r="T477" s="12" t="s">
        <v>143</v>
      </c>
      <c r="U477" s="12" t="s">
        <v>179</v>
      </c>
      <c r="V477" s="12" t="s">
        <v>1783</v>
      </c>
      <c r="W477" s="12" t="s">
        <v>118</v>
      </c>
      <c r="X477" s="13">
        <v>0</v>
      </c>
      <c r="Y477" s="12" t="s">
        <v>91</v>
      </c>
      <c r="Z477" s="12" t="s">
        <v>108</v>
      </c>
      <c r="AA477" s="13">
        <v>0</v>
      </c>
      <c r="AB477" s="13">
        <v>0</v>
      </c>
      <c r="AC477" s="15">
        <v>25</v>
      </c>
      <c r="AD477" s="15">
        <f>AC477*AG477</f>
        <v>350</v>
      </c>
      <c r="AE477" s="15">
        <v>55</v>
      </c>
      <c r="AF477" s="15">
        <f>AE477*AG477</f>
        <v>770</v>
      </c>
      <c r="AG477" s="16">
        <v>14</v>
      </c>
    </row>
    <row r="478" spans="1:33" ht="15" customHeight="1" x14ac:dyDescent="0.2">
      <c r="A478" s="11" t="str">
        <f t="shared" ref="A478:A3094" si="199">HYPERLINK("https://assets.vans.eu/images/VN000KASBTE-HERO/1","VN000KASBTE1")</f>
        <v>VN000KASBTE1</v>
      </c>
      <c r="B478" s="12" t="s">
        <v>2209</v>
      </c>
      <c r="C478" s="12" t="s">
        <v>2210</v>
      </c>
      <c r="D478" s="12" t="s">
        <v>2211</v>
      </c>
      <c r="E478" s="12" t="s">
        <v>2212</v>
      </c>
      <c r="F478" s="12" t="s">
        <v>403</v>
      </c>
      <c r="G478" s="14"/>
      <c r="H478" s="12" t="s">
        <v>61</v>
      </c>
      <c r="I478" s="12" t="s">
        <v>230</v>
      </c>
      <c r="J478" s="12" t="s">
        <v>419</v>
      </c>
      <c r="K478" s="12" t="s">
        <v>199</v>
      </c>
      <c r="L478" s="12" t="s">
        <v>115</v>
      </c>
      <c r="M478" s="12" t="s">
        <v>43</v>
      </c>
      <c r="N478" s="12" t="s">
        <v>44</v>
      </c>
      <c r="O478" s="12" t="s">
        <v>2213</v>
      </c>
      <c r="P478" s="12" t="s">
        <v>66</v>
      </c>
      <c r="Q478" s="12" t="s">
        <v>67</v>
      </c>
      <c r="R478" s="12" t="s">
        <v>421</v>
      </c>
      <c r="S478" s="13">
        <v>197803884705</v>
      </c>
      <c r="T478" s="12" t="s">
        <v>49</v>
      </c>
      <c r="U478" s="12" t="s">
        <v>403</v>
      </c>
      <c r="V478" s="12" t="s">
        <v>70</v>
      </c>
      <c r="W478" s="12" t="s">
        <v>51</v>
      </c>
      <c r="X478" s="13">
        <v>0</v>
      </c>
      <c r="Y478" s="12" t="s">
        <v>91</v>
      </c>
      <c r="Z478" s="12" t="s">
        <v>92</v>
      </c>
      <c r="AA478" s="12" t="s">
        <v>2214</v>
      </c>
      <c r="AB478" s="12" t="s">
        <v>94</v>
      </c>
      <c r="AC478" s="15">
        <v>22.75</v>
      </c>
      <c r="AD478" s="15">
        <f>AC478*AG478</f>
        <v>318.5</v>
      </c>
      <c r="AE478" s="15">
        <v>50</v>
      </c>
      <c r="AF478" s="15">
        <f>AE478*AG478</f>
        <v>700</v>
      </c>
      <c r="AG478" s="16">
        <v>14</v>
      </c>
    </row>
    <row r="479" spans="1:33" ht="15" customHeight="1" x14ac:dyDescent="0.2">
      <c r="A479" s="11" t="str">
        <f t="shared" ref="A479:A790" si="200">HYPERLINK("https://assets.vans.eu/images/VN000KXMY7U-HERO/1","VN000KXMY7U1")</f>
        <v>VN000KXMY7U1</v>
      </c>
      <c r="B479" s="12" t="s">
        <v>2215</v>
      </c>
      <c r="C479" s="12" t="s">
        <v>739</v>
      </c>
      <c r="D479" s="12" t="s">
        <v>740</v>
      </c>
      <c r="E479" s="12" t="s">
        <v>2216</v>
      </c>
      <c r="F479" s="13">
        <v>31</v>
      </c>
      <c r="G479" s="14"/>
      <c r="H479" s="12" t="s">
        <v>61</v>
      </c>
      <c r="I479" s="12" t="s">
        <v>230</v>
      </c>
      <c r="J479" s="12" t="s">
        <v>231</v>
      </c>
      <c r="K479" s="12" t="s">
        <v>199</v>
      </c>
      <c r="L479" s="14"/>
      <c r="M479" s="12" t="s">
        <v>43</v>
      </c>
      <c r="N479" s="12" t="s">
        <v>84</v>
      </c>
      <c r="O479" s="12" t="s">
        <v>2217</v>
      </c>
      <c r="P479" s="12" t="s">
        <v>66</v>
      </c>
      <c r="Q479" s="12" t="s">
        <v>233</v>
      </c>
      <c r="R479" s="12" t="s">
        <v>361</v>
      </c>
      <c r="S479" s="13">
        <v>197643404477</v>
      </c>
      <c r="T479" s="12" t="s">
        <v>235</v>
      </c>
      <c r="U479" s="13">
        <v>31</v>
      </c>
      <c r="V479" s="12" t="s">
        <v>665</v>
      </c>
      <c r="W479" s="12" t="s">
        <v>455</v>
      </c>
      <c r="X479" s="13">
        <v>0</v>
      </c>
      <c r="Y479" s="12" t="s">
        <v>91</v>
      </c>
      <c r="Z479" s="12" t="s">
        <v>108</v>
      </c>
      <c r="AA479" s="13">
        <v>0</v>
      </c>
      <c r="AB479" s="13">
        <v>0</v>
      </c>
      <c r="AC479" s="15">
        <v>34.1</v>
      </c>
      <c r="AD479" s="15">
        <f>AC479*AG479</f>
        <v>477.40000000000003</v>
      </c>
      <c r="AE479" s="15">
        <v>75</v>
      </c>
      <c r="AF479" s="15">
        <f>AE479*AG479</f>
        <v>1050</v>
      </c>
      <c r="AG479" s="16">
        <v>14</v>
      </c>
    </row>
    <row r="480" spans="1:33" ht="15" customHeight="1" x14ac:dyDescent="0.2">
      <c r="A480" s="11" t="str">
        <f t="shared" si="138"/>
        <v>VN000KYXBLK1</v>
      </c>
      <c r="B480" s="12" t="s">
        <v>2218</v>
      </c>
      <c r="C480" s="12" t="s">
        <v>1728</v>
      </c>
      <c r="D480" s="12" t="s">
        <v>76</v>
      </c>
      <c r="E480" s="12" t="s">
        <v>2219</v>
      </c>
      <c r="F480" s="12" t="s">
        <v>179</v>
      </c>
      <c r="G480" s="14"/>
      <c r="H480" s="12" t="s">
        <v>61</v>
      </c>
      <c r="I480" s="12" t="s">
        <v>230</v>
      </c>
      <c r="J480" s="12" t="s">
        <v>762</v>
      </c>
      <c r="K480" s="12" t="s">
        <v>199</v>
      </c>
      <c r="L480" s="14"/>
      <c r="M480" s="12" t="s">
        <v>43</v>
      </c>
      <c r="N480" s="12" t="s">
        <v>44</v>
      </c>
      <c r="O480" s="12" t="s">
        <v>2220</v>
      </c>
      <c r="P480" s="12" t="s">
        <v>66</v>
      </c>
      <c r="Q480" s="12" t="s">
        <v>764</v>
      </c>
      <c r="R480" s="12" t="s">
        <v>765</v>
      </c>
      <c r="S480" s="13">
        <v>197643404866</v>
      </c>
      <c r="T480" s="12" t="s">
        <v>49</v>
      </c>
      <c r="U480" s="12" t="s">
        <v>179</v>
      </c>
      <c r="V480" s="12" t="s">
        <v>1731</v>
      </c>
      <c r="W480" s="12" t="s">
        <v>51</v>
      </c>
      <c r="X480" s="13">
        <v>0</v>
      </c>
      <c r="Y480" s="12" t="s">
        <v>91</v>
      </c>
      <c r="Z480" s="12" t="s">
        <v>72</v>
      </c>
      <c r="AA480" s="13">
        <v>0</v>
      </c>
      <c r="AB480" s="13">
        <v>0</v>
      </c>
      <c r="AC480" s="15">
        <v>34.1</v>
      </c>
      <c r="AD480" s="15">
        <f>AC480*AG480</f>
        <v>477.40000000000003</v>
      </c>
      <c r="AE480" s="15">
        <v>75</v>
      </c>
      <c r="AF480" s="15">
        <f>AE480*AG480</f>
        <v>1050</v>
      </c>
      <c r="AG480" s="16">
        <v>14</v>
      </c>
    </row>
    <row r="481" spans="1:33" ht="15" customHeight="1" x14ac:dyDescent="0.2">
      <c r="A481" s="11" t="str">
        <f t="shared" ref="A481:A713" si="201">HYPERLINK("https://assets.vans.eu/images/VN000M9SBLK-HERO/1","VN000M9SBLK1")</f>
        <v>VN000M9SBLK1</v>
      </c>
      <c r="B481" s="12" t="s">
        <v>2221</v>
      </c>
      <c r="C481" s="12" t="s">
        <v>2222</v>
      </c>
      <c r="D481" s="12" t="s">
        <v>76</v>
      </c>
      <c r="E481" s="12" t="s">
        <v>2223</v>
      </c>
      <c r="F481" s="12" t="s">
        <v>153</v>
      </c>
      <c r="G481" s="14"/>
      <c r="H481" s="12" t="s">
        <v>61</v>
      </c>
      <c r="I481" s="12" t="s">
        <v>289</v>
      </c>
      <c r="J481" s="12" t="s">
        <v>706</v>
      </c>
      <c r="K481" s="12" t="s">
        <v>100</v>
      </c>
      <c r="L481" s="14"/>
      <c r="M481" s="12" t="s">
        <v>43</v>
      </c>
      <c r="N481" s="12" t="s">
        <v>84</v>
      </c>
      <c r="O481" s="12" t="s">
        <v>2224</v>
      </c>
      <c r="P481" s="12" t="s">
        <v>66</v>
      </c>
      <c r="Q481" s="12" t="s">
        <v>67</v>
      </c>
      <c r="R481" s="12" t="s">
        <v>708</v>
      </c>
      <c r="S481" s="13">
        <v>197804387397</v>
      </c>
      <c r="T481" s="12" t="s">
        <v>709</v>
      </c>
      <c r="U481" s="12" t="s">
        <v>153</v>
      </c>
      <c r="V481" s="12" t="s">
        <v>2225</v>
      </c>
      <c r="W481" s="12" t="s">
        <v>51</v>
      </c>
      <c r="X481" s="14"/>
      <c r="Y481" s="14"/>
      <c r="Z481" s="14"/>
      <c r="AA481" s="14"/>
      <c r="AB481" s="14"/>
      <c r="AC481" s="15">
        <v>34.1</v>
      </c>
      <c r="AD481" s="15">
        <f>AC481*AG481</f>
        <v>477.40000000000003</v>
      </c>
      <c r="AE481" s="15">
        <v>75</v>
      </c>
      <c r="AF481" s="15">
        <f>AE481*AG481</f>
        <v>1050</v>
      </c>
      <c r="AG481" s="16">
        <v>14</v>
      </c>
    </row>
    <row r="482" spans="1:33" ht="15" customHeight="1" x14ac:dyDescent="0.2">
      <c r="A482" s="11" t="str">
        <f t="shared" ref="A482:A1010" si="202">HYPERLINK("https://assets.vans.eu/images/VN000MBX1O7-HERO/1","VN000MBX1O71")</f>
        <v>VN000MBX1O71</v>
      </c>
      <c r="B482" s="12" t="s">
        <v>2226</v>
      </c>
      <c r="C482" s="12" t="s">
        <v>2227</v>
      </c>
      <c r="D482" s="12" t="s">
        <v>637</v>
      </c>
      <c r="E482" s="12" t="s">
        <v>2228</v>
      </c>
      <c r="F482" s="12" t="s">
        <v>179</v>
      </c>
      <c r="G482" s="14"/>
      <c r="H482" s="12" t="s">
        <v>61</v>
      </c>
      <c r="I482" s="12" t="s">
        <v>289</v>
      </c>
      <c r="J482" s="12" t="s">
        <v>706</v>
      </c>
      <c r="K482" s="12" t="s">
        <v>100</v>
      </c>
      <c r="L482" s="14"/>
      <c r="M482" s="12" t="s">
        <v>43</v>
      </c>
      <c r="N482" s="12" t="s">
        <v>44</v>
      </c>
      <c r="O482" s="12" t="s">
        <v>2229</v>
      </c>
      <c r="P482" s="12" t="s">
        <v>66</v>
      </c>
      <c r="Q482" s="12" t="s">
        <v>67</v>
      </c>
      <c r="R482" s="12" t="s">
        <v>1146</v>
      </c>
      <c r="S482" s="13">
        <v>197643368724</v>
      </c>
      <c r="T482" s="12" t="s">
        <v>709</v>
      </c>
      <c r="U482" s="12" t="s">
        <v>179</v>
      </c>
      <c r="V482" s="12" t="s">
        <v>2230</v>
      </c>
      <c r="W482" s="12" t="s">
        <v>455</v>
      </c>
      <c r="X482" s="13">
        <v>0</v>
      </c>
      <c r="Y482" s="12" t="s">
        <v>91</v>
      </c>
      <c r="Z482" s="12" t="s">
        <v>108</v>
      </c>
      <c r="AA482" s="13">
        <v>0</v>
      </c>
      <c r="AB482" s="13">
        <v>0</v>
      </c>
      <c r="AC482" s="15">
        <v>13.65</v>
      </c>
      <c r="AD482" s="15">
        <f>AC482*AG482</f>
        <v>191.1</v>
      </c>
      <c r="AE482" s="15">
        <v>30</v>
      </c>
      <c r="AF482" s="15">
        <f>AE482*AG482</f>
        <v>420</v>
      </c>
      <c r="AG482" s="16">
        <v>14</v>
      </c>
    </row>
    <row r="483" spans="1:33" ht="15" customHeight="1" x14ac:dyDescent="0.2">
      <c r="A483" s="11" t="str">
        <f t="shared" si="101"/>
        <v>VN000MFWUUI1</v>
      </c>
      <c r="B483" s="12" t="s">
        <v>2231</v>
      </c>
      <c r="C483" s="12" t="s">
        <v>1338</v>
      </c>
      <c r="D483" s="12" t="s">
        <v>723</v>
      </c>
      <c r="E483" s="12" t="s">
        <v>2232</v>
      </c>
      <c r="F483" s="13">
        <v>2</v>
      </c>
      <c r="G483" s="14"/>
      <c r="H483" s="12" t="s">
        <v>61</v>
      </c>
      <c r="I483" s="12" t="s">
        <v>1340</v>
      </c>
      <c r="J483" s="12" t="s">
        <v>1341</v>
      </c>
      <c r="K483" s="12" t="s">
        <v>1022</v>
      </c>
      <c r="L483" s="14"/>
      <c r="M483" s="12" t="s">
        <v>43</v>
      </c>
      <c r="N483" s="12" t="s">
        <v>44</v>
      </c>
      <c r="O483" s="12" t="s">
        <v>2233</v>
      </c>
      <c r="P483" s="12" t="s">
        <v>66</v>
      </c>
      <c r="Q483" s="12" t="s">
        <v>67</v>
      </c>
      <c r="R483" s="12" t="s">
        <v>730</v>
      </c>
      <c r="S483" s="13">
        <v>197643372912</v>
      </c>
      <c r="T483" s="12" t="s">
        <v>49</v>
      </c>
      <c r="U483" s="13">
        <v>2</v>
      </c>
      <c r="V483" s="12" t="s">
        <v>1343</v>
      </c>
      <c r="W483" s="12" t="s">
        <v>107</v>
      </c>
      <c r="X483" s="13">
        <v>0</v>
      </c>
      <c r="Y483" s="12" t="s">
        <v>91</v>
      </c>
      <c r="Z483" s="12" t="s">
        <v>108</v>
      </c>
      <c r="AA483" s="13">
        <v>0</v>
      </c>
      <c r="AB483" s="13">
        <v>0</v>
      </c>
      <c r="AC483" s="15">
        <v>26.4</v>
      </c>
      <c r="AD483" s="15">
        <f>AC483*AG483</f>
        <v>369.59999999999997</v>
      </c>
      <c r="AE483" s="15">
        <v>58</v>
      </c>
      <c r="AF483" s="15">
        <f>AE483*AG483</f>
        <v>812</v>
      </c>
      <c r="AG483" s="16">
        <v>14</v>
      </c>
    </row>
    <row r="484" spans="1:33" ht="15" customHeight="1" x14ac:dyDescent="0.2">
      <c r="A484" s="11" t="str">
        <f>HYPERLINK("https://assets.vans.eu/images/VN000MGJE4T-HERO/1","VN000MGJE4T1")</f>
        <v>VN000MGJE4T1</v>
      </c>
      <c r="B484" s="12" t="s">
        <v>2234</v>
      </c>
      <c r="C484" s="12" t="s">
        <v>2235</v>
      </c>
      <c r="D484" s="12" t="s">
        <v>2236</v>
      </c>
      <c r="E484" s="12" t="s">
        <v>2237</v>
      </c>
      <c r="F484" s="12" t="s">
        <v>179</v>
      </c>
      <c r="G484" s="14"/>
      <c r="H484" s="12" t="s">
        <v>61</v>
      </c>
      <c r="I484" s="12" t="s">
        <v>62</v>
      </c>
      <c r="J484" s="12" t="s">
        <v>63</v>
      </c>
      <c r="K484" s="12" t="s">
        <v>64</v>
      </c>
      <c r="L484" s="14"/>
      <c r="M484" s="12" t="s">
        <v>43</v>
      </c>
      <c r="N484" s="12" t="s">
        <v>44</v>
      </c>
      <c r="O484" s="12" t="s">
        <v>2238</v>
      </c>
      <c r="P484" s="12" t="s">
        <v>66</v>
      </c>
      <c r="Q484" s="12" t="s">
        <v>67</v>
      </c>
      <c r="R484" s="12" t="s">
        <v>1791</v>
      </c>
      <c r="S484" s="13">
        <v>197643373537</v>
      </c>
      <c r="T484" s="12" t="s">
        <v>49</v>
      </c>
      <c r="U484" s="12" t="s">
        <v>179</v>
      </c>
      <c r="V484" s="12" t="s">
        <v>1726</v>
      </c>
      <c r="W484" s="12" t="s">
        <v>118</v>
      </c>
      <c r="X484" s="13">
        <v>0</v>
      </c>
      <c r="Y484" s="12" t="s">
        <v>91</v>
      </c>
      <c r="Z484" s="12" t="s">
        <v>108</v>
      </c>
      <c r="AA484" s="13">
        <v>0</v>
      </c>
      <c r="AB484" s="13">
        <v>0</v>
      </c>
      <c r="AC484" s="15">
        <v>30.95</v>
      </c>
      <c r="AD484" s="15">
        <f>AC484*AG484</f>
        <v>433.3</v>
      </c>
      <c r="AE484" s="15">
        <v>68</v>
      </c>
      <c r="AF484" s="15">
        <f>AE484*AG484</f>
        <v>952</v>
      </c>
      <c r="AG484" s="16">
        <v>14</v>
      </c>
    </row>
    <row r="485" spans="1:33" ht="15" customHeight="1" x14ac:dyDescent="0.2">
      <c r="A485" s="11" t="str">
        <f t="shared" si="176"/>
        <v>VN000PFBEN91</v>
      </c>
      <c r="B485" s="12" t="s">
        <v>2239</v>
      </c>
      <c r="C485" s="12" t="s">
        <v>1588</v>
      </c>
      <c r="D485" s="12" t="s">
        <v>982</v>
      </c>
      <c r="E485" s="12" t="s">
        <v>2240</v>
      </c>
      <c r="F485" s="12" t="s">
        <v>179</v>
      </c>
      <c r="G485" s="14"/>
      <c r="H485" s="12" t="s">
        <v>61</v>
      </c>
      <c r="I485" s="12" t="s">
        <v>230</v>
      </c>
      <c r="J485" s="12" t="s">
        <v>419</v>
      </c>
      <c r="K485" s="12" t="s">
        <v>199</v>
      </c>
      <c r="L485" s="14"/>
      <c r="M485" s="12" t="s">
        <v>43</v>
      </c>
      <c r="N485" s="12" t="s">
        <v>84</v>
      </c>
      <c r="O485" s="12" t="s">
        <v>2241</v>
      </c>
      <c r="P485" s="12" t="s">
        <v>66</v>
      </c>
      <c r="Q485" s="12" t="s">
        <v>67</v>
      </c>
      <c r="R485" s="12" t="s">
        <v>421</v>
      </c>
      <c r="S485" s="13">
        <v>197804383603</v>
      </c>
      <c r="T485" s="12" t="s">
        <v>49</v>
      </c>
      <c r="U485" s="12" t="s">
        <v>179</v>
      </c>
      <c r="V485" s="12" t="s">
        <v>665</v>
      </c>
      <c r="W485" s="12" t="s">
        <v>455</v>
      </c>
      <c r="X485" s="14"/>
      <c r="Y485" s="14"/>
      <c r="Z485" s="14"/>
      <c r="AA485" s="14"/>
      <c r="AB485" s="14"/>
      <c r="AC485" s="15">
        <v>20.5</v>
      </c>
      <c r="AD485" s="15">
        <f>AC485*AG485</f>
        <v>287</v>
      </c>
      <c r="AE485" s="15">
        <v>45</v>
      </c>
      <c r="AF485" s="15">
        <f>AE485*AG485</f>
        <v>630</v>
      </c>
      <c r="AG485" s="16">
        <v>14</v>
      </c>
    </row>
    <row r="486" spans="1:33" ht="15" customHeight="1" x14ac:dyDescent="0.2">
      <c r="A486" s="11" t="str">
        <f t="shared" ref="A486:A614" si="203">HYPERLINK("https://assets.vans.eu/images/VN000PMDEMW-HERO/1","VN000PMDEMW1")</f>
        <v>VN000PMDEMW1</v>
      </c>
      <c r="B486" s="12" t="s">
        <v>2242</v>
      </c>
      <c r="C486" s="12" t="s">
        <v>2243</v>
      </c>
      <c r="D486" s="12" t="s">
        <v>147</v>
      </c>
      <c r="E486" s="12" t="s">
        <v>2244</v>
      </c>
      <c r="F486" s="12" t="s">
        <v>170</v>
      </c>
      <c r="G486" s="14"/>
      <c r="H486" s="12" t="s">
        <v>61</v>
      </c>
      <c r="I486" s="12" t="s">
        <v>230</v>
      </c>
      <c r="J486" s="12" t="s">
        <v>762</v>
      </c>
      <c r="K486" s="12" t="s">
        <v>199</v>
      </c>
      <c r="L486" s="14"/>
      <c r="M486" s="12" t="s">
        <v>43</v>
      </c>
      <c r="N486" s="12" t="s">
        <v>84</v>
      </c>
      <c r="O486" s="12" t="s">
        <v>2245</v>
      </c>
      <c r="P486" s="12" t="s">
        <v>66</v>
      </c>
      <c r="Q486" s="12" t="s">
        <v>764</v>
      </c>
      <c r="R486" s="12" t="s">
        <v>765</v>
      </c>
      <c r="S486" s="13">
        <v>197804581689</v>
      </c>
      <c r="T486" s="12" t="s">
        <v>49</v>
      </c>
      <c r="U486" s="12" t="s">
        <v>170</v>
      </c>
      <c r="V486" s="12" t="s">
        <v>90</v>
      </c>
      <c r="W486" s="12" t="s">
        <v>118</v>
      </c>
      <c r="X486" s="14"/>
      <c r="Y486" s="14"/>
      <c r="Z486" s="14"/>
      <c r="AA486" s="14"/>
      <c r="AB486" s="14"/>
      <c r="AC486" s="15">
        <v>136.4</v>
      </c>
      <c r="AD486" s="15">
        <f>AC486*AG486</f>
        <v>1909.6000000000001</v>
      </c>
      <c r="AE486" s="15">
        <v>300</v>
      </c>
      <c r="AF486" s="15">
        <f>AE486*AG486</f>
        <v>4200</v>
      </c>
      <c r="AG486" s="16">
        <v>14</v>
      </c>
    </row>
    <row r="487" spans="1:33" ht="15" customHeight="1" x14ac:dyDescent="0.2">
      <c r="A487" s="11" t="str">
        <f t="shared" ref="A487:A733" si="204">HYPERLINK("https://assets.vans.eu/images/VN000R04EMF-HERO/1","VN000R04EMF1")</f>
        <v>VN000R04EMF1</v>
      </c>
      <c r="B487" s="12" t="s">
        <v>2246</v>
      </c>
      <c r="C487" s="12" t="s">
        <v>1740</v>
      </c>
      <c r="D487" s="12" t="s">
        <v>1282</v>
      </c>
      <c r="E487" s="12" t="s">
        <v>2247</v>
      </c>
      <c r="F487" s="12" t="s">
        <v>60</v>
      </c>
      <c r="G487" s="14"/>
      <c r="H487" s="12" t="s">
        <v>61</v>
      </c>
      <c r="I487" s="12" t="s">
        <v>62</v>
      </c>
      <c r="J487" s="12" t="s">
        <v>63</v>
      </c>
      <c r="K487" s="12" t="s">
        <v>64</v>
      </c>
      <c r="L487" s="14"/>
      <c r="M487" s="12" t="s">
        <v>43</v>
      </c>
      <c r="N487" s="12" t="s">
        <v>84</v>
      </c>
      <c r="O487" s="12" t="s">
        <v>2248</v>
      </c>
      <c r="P487" s="12" t="s">
        <v>66</v>
      </c>
      <c r="Q487" s="12" t="s">
        <v>67</v>
      </c>
      <c r="R487" s="12" t="s">
        <v>68</v>
      </c>
      <c r="S487" s="13">
        <v>197804585199</v>
      </c>
      <c r="T487" s="12" t="s">
        <v>915</v>
      </c>
      <c r="U487" s="12" t="s">
        <v>60</v>
      </c>
      <c r="V487" s="12" t="s">
        <v>1028</v>
      </c>
      <c r="W487" s="12" t="s">
        <v>118</v>
      </c>
      <c r="X487" s="14"/>
      <c r="Y487" s="14"/>
      <c r="Z487" s="14"/>
      <c r="AA487" s="14"/>
      <c r="AB487" s="14"/>
      <c r="AC487" s="15">
        <v>13.65</v>
      </c>
      <c r="AD487" s="15">
        <f>AC487*AG487</f>
        <v>191.1</v>
      </c>
      <c r="AE487" s="15">
        <v>30</v>
      </c>
      <c r="AF487" s="15">
        <f>AE487*AG487</f>
        <v>420</v>
      </c>
      <c r="AG487" s="16">
        <v>14</v>
      </c>
    </row>
    <row r="488" spans="1:33" ht="15" customHeight="1" x14ac:dyDescent="0.2">
      <c r="A488" s="11" t="str">
        <f t="shared" ref="A488:A1791" si="205">HYPERLINK("https://assets.vans.eu/images/VN000R92EMF-HERO/1","VN000R92EMF1")</f>
        <v>VN000R92EMF1</v>
      </c>
      <c r="B488" s="12" t="s">
        <v>2249</v>
      </c>
      <c r="C488" s="12" t="s">
        <v>2250</v>
      </c>
      <c r="D488" s="12" t="s">
        <v>1282</v>
      </c>
      <c r="E488" s="12" t="s">
        <v>2251</v>
      </c>
      <c r="F488" s="12" t="s">
        <v>403</v>
      </c>
      <c r="G488" s="14"/>
      <c r="H488" s="12" t="s">
        <v>61</v>
      </c>
      <c r="I488" s="12" t="s">
        <v>230</v>
      </c>
      <c r="J488" s="12" t="s">
        <v>419</v>
      </c>
      <c r="K488" s="12" t="s">
        <v>199</v>
      </c>
      <c r="L488" s="12" t="s">
        <v>83</v>
      </c>
      <c r="M488" s="12" t="s">
        <v>43</v>
      </c>
      <c r="N488" s="12" t="s">
        <v>84</v>
      </c>
      <c r="O488" s="12" t="s">
        <v>2252</v>
      </c>
      <c r="P488" s="12" t="s">
        <v>66</v>
      </c>
      <c r="Q488" s="12" t="s">
        <v>67</v>
      </c>
      <c r="R488" s="12" t="s">
        <v>1490</v>
      </c>
      <c r="S488" s="13">
        <v>197804664542</v>
      </c>
      <c r="T488" s="12" t="s">
        <v>2253</v>
      </c>
      <c r="U488" s="12" t="s">
        <v>403</v>
      </c>
      <c r="V488" s="12" t="s">
        <v>2254</v>
      </c>
      <c r="W488" s="12" t="s">
        <v>118</v>
      </c>
      <c r="X488" s="14"/>
      <c r="Y488" s="14"/>
      <c r="Z488" s="14"/>
      <c r="AA488" s="14"/>
      <c r="AB488" s="14"/>
      <c r="AC488" s="15">
        <v>63.65</v>
      </c>
      <c r="AD488" s="15">
        <f>AC488*AG488</f>
        <v>190.95</v>
      </c>
      <c r="AE488" s="15">
        <v>140</v>
      </c>
      <c r="AF488" s="15">
        <f>AE488*AG488</f>
        <v>420</v>
      </c>
      <c r="AG488" s="16">
        <v>3</v>
      </c>
    </row>
    <row r="489" spans="1:33" ht="15" customHeight="1" x14ac:dyDescent="0.2">
      <c r="A489" s="11" t="str">
        <f t="shared" ref="A489:A569" si="206">HYPERLINK("https://assets.vans.eu/images/VN0A5FLPBLK-HERO/1","VN0A5FLPBLK1")</f>
        <v>VN0A5FLPBLK1</v>
      </c>
      <c r="B489" s="12" t="s">
        <v>2255</v>
      </c>
      <c r="C489" s="12" t="s">
        <v>2256</v>
      </c>
      <c r="D489" s="12" t="s">
        <v>76</v>
      </c>
      <c r="E489" s="12" t="s">
        <v>2257</v>
      </c>
      <c r="F489" s="13">
        <v>29</v>
      </c>
      <c r="G489" s="14"/>
      <c r="H489" s="12" t="s">
        <v>61</v>
      </c>
      <c r="I489" s="12" t="s">
        <v>62</v>
      </c>
      <c r="J489" s="12" t="s">
        <v>972</v>
      </c>
      <c r="K489" s="12" t="s">
        <v>64</v>
      </c>
      <c r="L489" s="14"/>
      <c r="M489" s="12" t="s">
        <v>43</v>
      </c>
      <c r="N489" s="12" t="s">
        <v>44</v>
      </c>
      <c r="O489" s="12" t="s">
        <v>2258</v>
      </c>
      <c r="P489" s="12" t="s">
        <v>66</v>
      </c>
      <c r="Q489" s="12" t="s">
        <v>233</v>
      </c>
      <c r="R489" s="12" t="s">
        <v>974</v>
      </c>
      <c r="S489" s="13">
        <v>195437425387</v>
      </c>
      <c r="T489" s="12" t="s">
        <v>235</v>
      </c>
      <c r="U489" s="13">
        <v>29</v>
      </c>
      <c r="V489" s="12" t="s">
        <v>236</v>
      </c>
      <c r="W489" s="12" t="s">
        <v>51</v>
      </c>
      <c r="X489" s="13">
        <v>0</v>
      </c>
      <c r="Y489" s="12" t="s">
        <v>91</v>
      </c>
      <c r="Z489" s="12" t="s">
        <v>108</v>
      </c>
      <c r="AA489" s="13">
        <v>0</v>
      </c>
      <c r="AB489" s="13">
        <v>0</v>
      </c>
      <c r="AC489" s="15">
        <v>25</v>
      </c>
      <c r="AD489" s="15">
        <f>AC489*AG489</f>
        <v>350</v>
      </c>
      <c r="AE489" s="15">
        <v>55</v>
      </c>
      <c r="AF489" s="15">
        <f>AE489*AG489</f>
        <v>770</v>
      </c>
      <c r="AG489" s="16">
        <v>14</v>
      </c>
    </row>
    <row r="490" spans="1:33" ht="15" customHeight="1" x14ac:dyDescent="0.2">
      <c r="A490" s="11" t="str">
        <f t="shared" ref="A490:A1208" si="207">HYPERLINK("https://assets.vans.eu/images/VN0A7YUTBLK-HERO/1","VN0A7YUTBLK1")</f>
        <v>VN0A7YUTBLK1</v>
      </c>
      <c r="B490" s="12" t="s">
        <v>2259</v>
      </c>
      <c r="C490" s="12" t="s">
        <v>1519</v>
      </c>
      <c r="D490" s="12" t="s">
        <v>76</v>
      </c>
      <c r="E490" s="12" t="s">
        <v>2260</v>
      </c>
      <c r="F490" s="12" t="s">
        <v>403</v>
      </c>
      <c r="G490" s="12" t="s">
        <v>1521</v>
      </c>
      <c r="H490" s="12" t="s">
        <v>61</v>
      </c>
      <c r="I490" s="12" t="s">
        <v>289</v>
      </c>
      <c r="J490" s="12" t="s">
        <v>706</v>
      </c>
      <c r="K490" s="12" t="s">
        <v>100</v>
      </c>
      <c r="L490" s="12" t="s">
        <v>83</v>
      </c>
      <c r="M490" s="12" t="s">
        <v>43</v>
      </c>
      <c r="N490" s="12" t="s">
        <v>84</v>
      </c>
      <c r="O490" s="12" t="s">
        <v>2261</v>
      </c>
      <c r="P490" s="12" t="s">
        <v>66</v>
      </c>
      <c r="Q490" s="12" t="s">
        <v>67</v>
      </c>
      <c r="R490" s="12" t="s">
        <v>1146</v>
      </c>
      <c r="S490" s="13">
        <v>196244355102</v>
      </c>
      <c r="T490" s="12" t="s">
        <v>422</v>
      </c>
      <c r="U490" s="12" t="s">
        <v>403</v>
      </c>
      <c r="V490" s="12" t="s">
        <v>70</v>
      </c>
      <c r="W490" s="12" t="s">
        <v>51</v>
      </c>
      <c r="X490" s="13">
        <v>0</v>
      </c>
      <c r="Y490" s="12" t="s">
        <v>91</v>
      </c>
      <c r="Z490" s="12" t="s">
        <v>108</v>
      </c>
      <c r="AA490" s="13">
        <v>0</v>
      </c>
      <c r="AB490" s="13">
        <v>0</v>
      </c>
      <c r="AC490" s="15">
        <v>15.95</v>
      </c>
      <c r="AD490" s="15">
        <f>AC490*AG490</f>
        <v>223.29999999999998</v>
      </c>
      <c r="AE490" s="15">
        <v>35</v>
      </c>
      <c r="AF490" s="15">
        <f>AE490*AG490</f>
        <v>490</v>
      </c>
      <c r="AG490" s="16">
        <v>14</v>
      </c>
    </row>
    <row r="491" spans="1:33" ht="15" customHeight="1" x14ac:dyDescent="0.2">
      <c r="A491" s="11" t="str">
        <f>HYPERLINK("https://assets.vans.eu/images/VN000HRJTBB-HERO/1","VN000HRJTBB1")</f>
        <v>VN000HRJTBB1</v>
      </c>
      <c r="B491" s="12" t="s">
        <v>2262</v>
      </c>
      <c r="C491" s="12" t="s">
        <v>2263</v>
      </c>
      <c r="D491" s="12" t="s">
        <v>2264</v>
      </c>
      <c r="E491" s="12" t="s">
        <v>2265</v>
      </c>
      <c r="F491" s="12" t="s">
        <v>78</v>
      </c>
      <c r="G491" s="14"/>
      <c r="H491" s="12" t="s">
        <v>441</v>
      </c>
      <c r="I491" s="12" t="s">
        <v>442</v>
      </c>
      <c r="J491" s="12" t="s">
        <v>443</v>
      </c>
      <c r="K491" s="12" t="s">
        <v>82</v>
      </c>
      <c r="L491" s="14"/>
      <c r="M491" s="12" t="s">
        <v>43</v>
      </c>
      <c r="N491" s="12" t="s">
        <v>84</v>
      </c>
      <c r="O491" s="12" t="s">
        <v>2266</v>
      </c>
      <c r="P491" s="12" t="s">
        <v>445</v>
      </c>
      <c r="Q491" s="12" t="s">
        <v>446</v>
      </c>
      <c r="R491" s="12" t="s">
        <v>447</v>
      </c>
      <c r="S491" s="13">
        <v>197804385157</v>
      </c>
      <c r="T491" s="12" t="s">
        <v>130</v>
      </c>
      <c r="U491" s="12" t="s">
        <v>78</v>
      </c>
      <c r="V491" s="12" t="s">
        <v>2267</v>
      </c>
      <c r="W491" s="12" t="s">
        <v>284</v>
      </c>
      <c r="X491" s="14"/>
      <c r="Y491" s="14"/>
      <c r="Z491" s="14"/>
      <c r="AA491" s="14"/>
      <c r="AB491" s="14"/>
      <c r="AC491" s="15">
        <v>25</v>
      </c>
      <c r="AD491" s="15">
        <f>AC491*AG491</f>
        <v>350</v>
      </c>
      <c r="AE491" s="15">
        <v>55</v>
      </c>
      <c r="AF491" s="15">
        <f>AE491*AG491</f>
        <v>770</v>
      </c>
      <c r="AG491" s="16">
        <v>14</v>
      </c>
    </row>
    <row r="492" spans="1:33" ht="15" customHeight="1" x14ac:dyDescent="0.2">
      <c r="A492" s="11" t="str">
        <f t="shared" ref="A492:A747" si="208">HYPERLINK("https://assets.vans.eu/images/VN000CTG7VF-HERO/1","VN000CTG7VF1")</f>
        <v>VN000CTG7VF1</v>
      </c>
      <c r="B492" s="12" t="s">
        <v>2268</v>
      </c>
      <c r="C492" s="12" t="s">
        <v>238</v>
      </c>
      <c r="D492" s="12" t="s">
        <v>641</v>
      </c>
      <c r="E492" s="12" t="s">
        <v>2269</v>
      </c>
      <c r="F492" s="13">
        <v>55</v>
      </c>
      <c r="G492" s="12" t="s">
        <v>643</v>
      </c>
      <c r="H492" s="12" t="s">
        <v>38</v>
      </c>
      <c r="I492" s="12" t="s">
        <v>242</v>
      </c>
      <c r="J492" s="12" t="s">
        <v>243</v>
      </c>
      <c r="K492" s="12" t="s">
        <v>244</v>
      </c>
      <c r="L492" s="14"/>
      <c r="M492" s="12" t="s">
        <v>43</v>
      </c>
      <c r="N492" s="12" t="s">
        <v>84</v>
      </c>
      <c r="O492" s="12" t="s">
        <v>2270</v>
      </c>
      <c r="P492" s="12" t="s">
        <v>46</v>
      </c>
      <c r="Q492" s="12" t="s">
        <v>47</v>
      </c>
      <c r="R492" s="12" t="s">
        <v>48</v>
      </c>
      <c r="S492" s="13">
        <v>197804511747</v>
      </c>
      <c r="T492" s="12" t="s">
        <v>49</v>
      </c>
      <c r="U492" s="13">
        <v>21.5</v>
      </c>
      <c r="V492" s="12" t="s">
        <v>278</v>
      </c>
      <c r="W492" s="12" t="s">
        <v>455</v>
      </c>
      <c r="X492" s="14"/>
      <c r="Y492" s="14"/>
      <c r="Z492" s="14"/>
      <c r="AA492" s="14"/>
      <c r="AB492" s="14"/>
      <c r="AC492" s="15">
        <v>25</v>
      </c>
      <c r="AD492" s="15">
        <f>AC492*AG492</f>
        <v>350</v>
      </c>
      <c r="AE492" s="15">
        <v>55</v>
      </c>
      <c r="AF492" s="15">
        <f>AE492*AG492</f>
        <v>770</v>
      </c>
      <c r="AG492" s="16">
        <v>14</v>
      </c>
    </row>
    <row r="493" spans="1:33" ht="15" customHeight="1" x14ac:dyDescent="0.2">
      <c r="A493" s="11" t="str">
        <f t="shared" ref="A493:A1836" si="209">HYPERLINK("https://assets.vans.eu/images/VN000CTGEMY-HERO/1","VN000CTGEMY1")</f>
        <v>VN000CTGEMY1</v>
      </c>
      <c r="B493" s="12" t="s">
        <v>2271</v>
      </c>
      <c r="C493" s="12" t="s">
        <v>238</v>
      </c>
      <c r="D493" s="12" t="s">
        <v>1155</v>
      </c>
      <c r="E493" s="12" t="s">
        <v>2272</v>
      </c>
      <c r="F493" s="13">
        <v>60</v>
      </c>
      <c r="G493" s="12" t="s">
        <v>2273</v>
      </c>
      <c r="H493" s="12" t="s">
        <v>38</v>
      </c>
      <c r="I493" s="12" t="s">
        <v>242</v>
      </c>
      <c r="J493" s="12" t="s">
        <v>243</v>
      </c>
      <c r="K493" s="12" t="s">
        <v>244</v>
      </c>
      <c r="L493" s="14"/>
      <c r="M493" s="12" t="s">
        <v>43</v>
      </c>
      <c r="N493" s="12" t="s">
        <v>84</v>
      </c>
      <c r="O493" s="12" t="s">
        <v>2274</v>
      </c>
      <c r="P493" s="12" t="s">
        <v>46</v>
      </c>
      <c r="Q493" s="12" t="s">
        <v>47</v>
      </c>
      <c r="R493" s="12" t="s">
        <v>48</v>
      </c>
      <c r="S493" s="13">
        <v>197804511952</v>
      </c>
      <c r="T493" s="12" t="s">
        <v>164</v>
      </c>
      <c r="U493" s="13">
        <v>22</v>
      </c>
      <c r="V493" s="12" t="s">
        <v>50</v>
      </c>
      <c r="W493" s="12" t="s">
        <v>107</v>
      </c>
      <c r="X493" s="14"/>
      <c r="Y493" s="14"/>
      <c r="Z493" s="14"/>
      <c r="AA493" s="14"/>
      <c r="AB493" s="14"/>
      <c r="AC493" s="15">
        <v>22.75</v>
      </c>
      <c r="AD493" s="15">
        <f>AC493*AG493</f>
        <v>318.5</v>
      </c>
      <c r="AE493" s="15">
        <v>50</v>
      </c>
      <c r="AF493" s="15">
        <f>AE493*AG493</f>
        <v>700</v>
      </c>
      <c r="AG493" s="16">
        <v>14</v>
      </c>
    </row>
    <row r="494" spans="1:33" ht="15" customHeight="1" x14ac:dyDescent="0.2">
      <c r="A494" s="11" t="str">
        <f t="shared" ref="A494:A631" si="210">HYPERLINK("https://assets.vans.eu/images/VN000D0HBMV-HERO/1","VN000D0HBMV1")</f>
        <v>VN000D0HBMV1</v>
      </c>
      <c r="B494" s="12" t="s">
        <v>2275</v>
      </c>
      <c r="C494" s="12" t="s">
        <v>1108</v>
      </c>
      <c r="D494" s="12" t="s">
        <v>2276</v>
      </c>
      <c r="E494" s="12" t="s">
        <v>2277</v>
      </c>
      <c r="F494" s="13">
        <v>105</v>
      </c>
      <c r="G494" s="12" t="s">
        <v>528</v>
      </c>
      <c r="H494" s="12" t="s">
        <v>38</v>
      </c>
      <c r="I494" s="12" t="s">
        <v>39</v>
      </c>
      <c r="J494" s="12" t="s">
        <v>40</v>
      </c>
      <c r="K494" s="12" t="s">
        <v>41</v>
      </c>
      <c r="L494" s="14"/>
      <c r="M494" s="12" t="s">
        <v>43</v>
      </c>
      <c r="N494" s="12" t="s">
        <v>84</v>
      </c>
      <c r="O494" s="12" t="s">
        <v>2278</v>
      </c>
      <c r="P494" s="12" t="s">
        <v>46</v>
      </c>
      <c r="Q494" s="12" t="s">
        <v>47</v>
      </c>
      <c r="R494" s="12" t="s">
        <v>780</v>
      </c>
      <c r="S494" s="13">
        <v>197804435791</v>
      </c>
      <c r="T494" s="12" t="s">
        <v>105</v>
      </c>
      <c r="U494" s="13">
        <v>27</v>
      </c>
      <c r="V494" s="12" t="s">
        <v>50</v>
      </c>
      <c r="W494" s="12" t="s">
        <v>51</v>
      </c>
      <c r="X494" s="14"/>
      <c r="Y494" s="14"/>
      <c r="Z494" s="14"/>
      <c r="AA494" s="14"/>
      <c r="AB494" s="14"/>
      <c r="AC494" s="15">
        <v>34.1</v>
      </c>
      <c r="AD494" s="15">
        <f>AC494*AG494</f>
        <v>477.40000000000003</v>
      </c>
      <c r="AE494" s="15">
        <v>75</v>
      </c>
      <c r="AF494" s="15">
        <f>AE494*AG494</f>
        <v>1050</v>
      </c>
      <c r="AG494" s="16">
        <v>14</v>
      </c>
    </row>
    <row r="495" spans="1:33" ht="15" customHeight="1" x14ac:dyDescent="0.2">
      <c r="A495" s="11" t="str">
        <f t="shared" ref="A495:A575" si="211">HYPERLINK("https://assets.vans.eu/images/VN000D0SYJ7-HERO/1","VN000D0SYJ71")</f>
        <v>VN000D0SYJ71</v>
      </c>
      <c r="B495" s="12" t="s">
        <v>2279</v>
      </c>
      <c r="C495" s="12" t="s">
        <v>2280</v>
      </c>
      <c r="D495" s="12" t="s">
        <v>1300</v>
      </c>
      <c r="E495" s="12" t="s">
        <v>2281</v>
      </c>
      <c r="F495" s="13">
        <v>60</v>
      </c>
      <c r="G495" s="12" t="s">
        <v>1302</v>
      </c>
      <c r="H495" s="12" t="s">
        <v>38</v>
      </c>
      <c r="I495" s="12" t="s">
        <v>242</v>
      </c>
      <c r="J495" s="12" t="s">
        <v>243</v>
      </c>
      <c r="K495" s="12" t="s">
        <v>244</v>
      </c>
      <c r="L495" s="14"/>
      <c r="M495" s="12" t="s">
        <v>43</v>
      </c>
      <c r="N495" s="12" t="s">
        <v>84</v>
      </c>
      <c r="O495" s="12" t="s">
        <v>2282</v>
      </c>
      <c r="P495" s="12" t="s">
        <v>46</v>
      </c>
      <c r="Q495" s="12" t="s">
        <v>47</v>
      </c>
      <c r="R495" s="12" t="s">
        <v>48</v>
      </c>
      <c r="S495" s="13">
        <v>197804522255</v>
      </c>
      <c r="T495" s="12" t="s">
        <v>164</v>
      </c>
      <c r="U495" s="13">
        <v>22</v>
      </c>
      <c r="V495" s="12" t="s">
        <v>375</v>
      </c>
      <c r="W495" s="12" t="s">
        <v>51</v>
      </c>
      <c r="X495" s="14"/>
      <c r="Y495" s="14"/>
      <c r="Z495" s="14"/>
      <c r="AA495" s="14"/>
      <c r="AB495" s="14"/>
      <c r="AC495" s="15">
        <v>22.75</v>
      </c>
      <c r="AD495" s="15">
        <f>AC495*AG495</f>
        <v>318.5</v>
      </c>
      <c r="AE495" s="15">
        <v>50</v>
      </c>
      <c r="AF495" s="15">
        <f>AE495*AG495</f>
        <v>700</v>
      </c>
      <c r="AG495" s="16">
        <v>14</v>
      </c>
    </row>
    <row r="496" spans="1:33" ht="15" customHeight="1" x14ac:dyDescent="0.2">
      <c r="A496" s="11" t="str">
        <f>HYPERLINK("https://assets.vans.eu/images/VN000D1JBG7-HERO/1","VN000D1JBG71")</f>
        <v>VN000D1JBG71</v>
      </c>
      <c r="B496" s="12" t="s">
        <v>2283</v>
      </c>
      <c r="C496" s="12" t="s">
        <v>251</v>
      </c>
      <c r="D496" s="12" t="s">
        <v>2284</v>
      </c>
      <c r="E496" s="12" t="s">
        <v>2285</v>
      </c>
      <c r="F496" s="13">
        <v>40</v>
      </c>
      <c r="G496" s="14"/>
      <c r="H496" s="12" t="s">
        <v>38</v>
      </c>
      <c r="I496" s="12" t="s">
        <v>159</v>
      </c>
      <c r="J496" s="12" t="s">
        <v>255</v>
      </c>
      <c r="K496" s="12" t="s">
        <v>82</v>
      </c>
      <c r="L496" s="12" t="s">
        <v>115</v>
      </c>
      <c r="M496" s="12" t="s">
        <v>43</v>
      </c>
      <c r="N496" s="12" t="s">
        <v>44</v>
      </c>
      <c r="O496" s="12" t="s">
        <v>2286</v>
      </c>
      <c r="P496" s="12" t="s">
        <v>46</v>
      </c>
      <c r="Q496" s="12" t="s">
        <v>47</v>
      </c>
      <c r="R496" s="12" t="s">
        <v>163</v>
      </c>
      <c r="S496" s="13">
        <v>197803721673</v>
      </c>
      <c r="T496" s="12" t="s">
        <v>49</v>
      </c>
      <c r="U496" s="13">
        <v>35</v>
      </c>
      <c r="V496" s="12" t="s">
        <v>50</v>
      </c>
      <c r="W496" s="12" t="s">
        <v>262</v>
      </c>
      <c r="X496" s="14"/>
      <c r="Y496" s="12" t="s">
        <v>53</v>
      </c>
      <c r="Z496" s="12" t="s">
        <v>92</v>
      </c>
      <c r="AA496" s="12" t="s">
        <v>2287</v>
      </c>
      <c r="AB496" s="12" t="s">
        <v>94</v>
      </c>
      <c r="AC496" s="15">
        <v>45.5</v>
      </c>
      <c r="AD496" s="15">
        <f>AC496*AG496</f>
        <v>637</v>
      </c>
      <c r="AE496" s="15">
        <v>100</v>
      </c>
      <c r="AF496" s="15">
        <f>AE496*AG496</f>
        <v>1400</v>
      </c>
      <c r="AG496" s="16">
        <v>14</v>
      </c>
    </row>
    <row r="497" spans="1:33" ht="15" customHeight="1" x14ac:dyDescent="0.2">
      <c r="A497" s="11" t="str">
        <f t="shared" ref="A497:A1252" si="212">HYPERLINK("https://assets.vans.eu/images/VN000D26PWT-HERO/1","VN000D26PWT1")</f>
        <v>VN000D26PWT1</v>
      </c>
      <c r="B497" s="12" t="s">
        <v>2288</v>
      </c>
      <c r="C497" s="12" t="s">
        <v>251</v>
      </c>
      <c r="D497" s="12" t="s">
        <v>2289</v>
      </c>
      <c r="E497" s="12" t="s">
        <v>2290</v>
      </c>
      <c r="F497" s="13">
        <v>65</v>
      </c>
      <c r="G497" s="12" t="s">
        <v>2291</v>
      </c>
      <c r="H497" s="12" t="s">
        <v>38</v>
      </c>
      <c r="I497" s="12" t="s">
        <v>159</v>
      </c>
      <c r="J497" s="12" t="s">
        <v>255</v>
      </c>
      <c r="K497" s="12" t="s">
        <v>82</v>
      </c>
      <c r="L497" s="14"/>
      <c r="M497" s="12" t="s">
        <v>43</v>
      </c>
      <c r="N497" s="12" t="s">
        <v>84</v>
      </c>
      <c r="O497" s="12" t="s">
        <v>2292</v>
      </c>
      <c r="P497" s="12" t="s">
        <v>46</v>
      </c>
      <c r="Q497" s="12" t="s">
        <v>47</v>
      </c>
      <c r="R497" s="12" t="s">
        <v>163</v>
      </c>
      <c r="S497" s="13">
        <v>197804444762</v>
      </c>
      <c r="T497" s="12" t="s">
        <v>49</v>
      </c>
      <c r="U497" s="13">
        <v>38.5</v>
      </c>
      <c r="V497" s="12" t="s">
        <v>50</v>
      </c>
      <c r="W497" s="12" t="s">
        <v>455</v>
      </c>
      <c r="X497" s="14"/>
      <c r="Y497" s="14"/>
      <c r="Z497" s="14"/>
      <c r="AA497" s="14"/>
      <c r="AB497" s="14"/>
      <c r="AC497" s="15">
        <v>45.5</v>
      </c>
      <c r="AD497" s="15">
        <f>AC497*AG497</f>
        <v>637</v>
      </c>
      <c r="AE497" s="15">
        <v>100</v>
      </c>
      <c r="AF497" s="15">
        <f>AE497*AG497</f>
        <v>1400</v>
      </c>
      <c r="AG497" s="16">
        <v>14</v>
      </c>
    </row>
    <row r="498" spans="1:33" ht="15" customHeight="1" x14ac:dyDescent="0.2">
      <c r="A498" s="11" t="str">
        <f>HYPERLINK("https://assets.vans.eu/images/VN000D5V6MZ-HERO/1","VN000D5V6MZ1")</f>
        <v>VN000D5V6MZ1</v>
      </c>
      <c r="B498" s="12" t="s">
        <v>2293</v>
      </c>
      <c r="C498" s="12" t="s">
        <v>1006</v>
      </c>
      <c r="D498" s="12" t="s">
        <v>2294</v>
      </c>
      <c r="E498" s="12" t="s">
        <v>2295</v>
      </c>
      <c r="F498" s="13">
        <v>40</v>
      </c>
      <c r="G498" s="14"/>
      <c r="H498" s="12" t="s">
        <v>38</v>
      </c>
      <c r="I498" s="12" t="s">
        <v>113</v>
      </c>
      <c r="J498" s="12" t="s">
        <v>529</v>
      </c>
      <c r="K498" s="12" t="s">
        <v>82</v>
      </c>
      <c r="L498" s="14"/>
      <c r="M498" s="12" t="s">
        <v>43</v>
      </c>
      <c r="N498" s="12" t="s">
        <v>44</v>
      </c>
      <c r="O498" s="12" t="s">
        <v>2296</v>
      </c>
      <c r="P498" s="12" t="s">
        <v>46</v>
      </c>
      <c r="Q498" s="12" t="s">
        <v>47</v>
      </c>
      <c r="R498" s="12" t="s">
        <v>117</v>
      </c>
      <c r="S498" s="13">
        <v>197643280804</v>
      </c>
      <c r="T498" s="12" t="s">
        <v>49</v>
      </c>
      <c r="U498" s="13">
        <v>35</v>
      </c>
      <c r="V498" s="12" t="s">
        <v>50</v>
      </c>
      <c r="W498" s="12" t="s">
        <v>299</v>
      </c>
      <c r="X498" s="12" t="s">
        <v>1010</v>
      </c>
      <c r="Y498" s="12" t="s">
        <v>1011</v>
      </c>
      <c r="Z498" s="12" t="s">
        <v>165</v>
      </c>
      <c r="AA498" s="14"/>
      <c r="AB498" s="14"/>
      <c r="AC498" s="15">
        <v>70.5</v>
      </c>
      <c r="AD498" s="15">
        <f>AC498*AG498</f>
        <v>987</v>
      </c>
      <c r="AE498" s="15">
        <v>155</v>
      </c>
      <c r="AF498" s="15">
        <f>AE498*AG498</f>
        <v>2170</v>
      </c>
      <c r="AG498" s="16">
        <v>14</v>
      </c>
    </row>
    <row r="499" spans="1:33" ht="15" customHeight="1" x14ac:dyDescent="0.2">
      <c r="A499" s="11" t="str">
        <f t="shared" si="77"/>
        <v>VN000D61BOC1</v>
      </c>
      <c r="B499" s="12" t="s">
        <v>2297</v>
      </c>
      <c r="C499" s="12" t="s">
        <v>1114</v>
      </c>
      <c r="D499" s="12" t="s">
        <v>1115</v>
      </c>
      <c r="E499" s="12" t="s">
        <v>2298</v>
      </c>
      <c r="F499" s="13">
        <v>40</v>
      </c>
      <c r="G499" s="14"/>
      <c r="H499" s="12" t="s">
        <v>38</v>
      </c>
      <c r="I499" s="12" t="s">
        <v>113</v>
      </c>
      <c r="J499" s="12" t="s">
        <v>529</v>
      </c>
      <c r="K499" s="12" t="s">
        <v>82</v>
      </c>
      <c r="L499" s="14"/>
      <c r="M499" s="12" t="s">
        <v>43</v>
      </c>
      <c r="N499" s="12" t="s">
        <v>44</v>
      </c>
      <c r="O499" s="12" t="s">
        <v>2299</v>
      </c>
      <c r="P499" s="12" t="s">
        <v>46</v>
      </c>
      <c r="Q499" s="12" t="s">
        <v>47</v>
      </c>
      <c r="R499" s="12" t="s">
        <v>117</v>
      </c>
      <c r="S499" s="13">
        <v>197643284468</v>
      </c>
      <c r="T499" s="12" t="s">
        <v>49</v>
      </c>
      <c r="U499" s="13">
        <v>35</v>
      </c>
      <c r="V499" s="12" t="s">
        <v>50</v>
      </c>
      <c r="W499" s="12" t="s">
        <v>118</v>
      </c>
      <c r="X499" s="14"/>
      <c r="Y499" s="12" t="s">
        <v>91</v>
      </c>
      <c r="Z499" s="12" t="s">
        <v>165</v>
      </c>
      <c r="AA499" s="14"/>
      <c r="AB499" s="14"/>
      <c r="AC499" s="15">
        <v>54.55</v>
      </c>
      <c r="AD499" s="15">
        <f>AC499*AG499</f>
        <v>763.69999999999993</v>
      </c>
      <c r="AE499" s="15">
        <v>120</v>
      </c>
      <c r="AF499" s="15">
        <f>AE499*AG499</f>
        <v>1680</v>
      </c>
      <c r="AG499" s="16">
        <v>14</v>
      </c>
    </row>
    <row r="500" spans="1:33" ht="15" customHeight="1" x14ac:dyDescent="0.2">
      <c r="A500" s="11" t="str">
        <f t="shared" ref="A500:A691" si="213">HYPERLINK("https://assets.vans.eu/images/VN000D6ZO3N-HERO/1","VN000D6ZO3N1")</f>
        <v>VN000D6ZO3N1</v>
      </c>
      <c r="B500" s="12" t="s">
        <v>2300</v>
      </c>
      <c r="C500" s="12" t="s">
        <v>110</v>
      </c>
      <c r="D500" s="12" t="s">
        <v>744</v>
      </c>
      <c r="E500" s="12" t="s">
        <v>2301</v>
      </c>
      <c r="F500" s="13">
        <v>40</v>
      </c>
      <c r="G500" s="12" t="s">
        <v>1460</v>
      </c>
      <c r="H500" s="12" t="s">
        <v>38</v>
      </c>
      <c r="I500" s="12" t="s">
        <v>113</v>
      </c>
      <c r="J500" s="12" t="s">
        <v>114</v>
      </c>
      <c r="K500" s="12" t="s">
        <v>82</v>
      </c>
      <c r="L500" s="14"/>
      <c r="M500" s="12" t="s">
        <v>43</v>
      </c>
      <c r="N500" s="12" t="s">
        <v>44</v>
      </c>
      <c r="O500" s="12" t="s">
        <v>2302</v>
      </c>
      <c r="P500" s="12" t="s">
        <v>46</v>
      </c>
      <c r="Q500" s="12" t="s">
        <v>47</v>
      </c>
      <c r="R500" s="12" t="s">
        <v>117</v>
      </c>
      <c r="S500" s="13">
        <v>197643213901</v>
      </c>
      <c r="T500" s="12" t="s">
        <v>49</v>
      </c>
      <c r="U500" s="13">
        <v>35</v>
      </c>
      <c r="V500" s="12" t="s">
        <v>50</v>
      </c>
      <c r="W500" s="12" t="s">
        <v>299</v>
      </c>
      <c r="X500" s="14"/>
      <c r="Y500" s="12" t="s">
        <v>91</v>
      </c>
      <c r="Z500" s="12" t="s">
        <v>165</v>
      </c>
      <c r="AA500" s="14"/>
      <c r="AB500" s="14"/>
      <c r="AC500" s="15">
        <v>43.2</v>
      </c>
      <c r="AD500" s="15">
        <f>AC500*AG500</f>
        <v>604.80000000000007</v>
      </c>
      <c r="AE500" s="15">
        <v>95</v>
      </c>
      <c r="AF500" s="15">
        <f>AE500*AG500</f>
        <v>1330</v>
      </c>
      <c r="AG500" s="16">
        <v>14</v>
      </c>
    </row>
    <row r="501" spans="1:33" ht="15" customHeight="1" x14ac:dyDescent="0.2">
      <c r="A501" s="11" t="str">
        <f t="shared" ref="A501:A763" si="214">HYPERLINK("https://assets.vans.eu/images/VN000D7JCKP-HERO/1","VN000D7JCKP1")</f>
        <v>VN000D7JCKP1</v>
      </c>
      <c r="B501" s="12" t="s">
        <v>2303</v>
      </c>
      <c r="C501" s="12" t="s">
        <v>2304</v>
      </c>
      <c r="D501" s="12" t="s">
        <v>2305</v>
      </c>
      <c r="E501" s="12" t="s">
        <v>2306</v>
      </c>
      <c r="F501" s="13">
        <v>100</v>
      </c>
      <c r="G501" s="14"/>
      <c r="H501" s="12" t="s">
        <v>38</v>
      </c>
      <c r="I501" s="12" t="s">
        <v>159</v>
      </c>
      <c r="J501" s="12" t="s">
        <v>255</v>
      </c>
      <c r="K501" s="12" t="s">
        <v>199</v>
      </c>
      <c r="L501" s="14"/>
      <c r="M501" s="12" t="s">
        <v>43</v>
      </c>
      <c r="N501" s="12" t="s">
        <v>44</v>
      </c>
      <c r="O501" s="12" t="s">
        <v>2307</v>
      </c>
      <c r="P501" s="12" t="s">
        <v>46</v>
      </c>
      <c r="Q501" s="12" t="s">
        <v>276</v>
      </c>
      <c r="R501" s="12" t="s">
        <v>277</v>
      </c>
      <c r="S501" s="13">
        <v>197643292463</v>
      </c>
      <c r="T501" s="12" t="s">
        <v>49</v>
      </c>
      <c r="U501" s="13">
        <v>43</v>
      </c>
      <c r="V501" s="12" t="s">
        <v>278</v>
      </c>
      <c r="W501" s="12" t="s">
        <v>118</v>
      </c>
      <c r="X501" s="14"/>
      <c r="Y501" s="12" t="s">
        <v>91</v>
      </c>
      <c r="Z501" s="12" t="s">
        <v>165</v>
      </c>
      <c r="AA501" s="14"/>
      <c r="AB501" s="14"/>
      <c r="AC501" s="15">
        <v>25</v>
      </c>
      <c r="AD501" s="15">
        <f>AC501*AG501</f>
        <v>350</v>
      </c>
      <c r="AE501" s="15">
        <v>55</v>
      </c>
      <c r="AF501" s="15">
        <f>AE501*AG501</f>
        <v>770</v>
      </c>
      <c r="AG501" s="16">
        <v>14</v>
      </c>
    </row>
    <row r="502" spans="1:33" ht="15" customHeight="1" x14ac:dyDescent="0.2">
      <c r="A502" s="11" t="str">
        <f t="shared" ref="A502:A584" si="215">HYPERLINK("https://assets.vans.eu/images/VN000E8CGMX-HERO/1","VN000E8CGMX1")</f>
        <v>VN000E8CGMX1</v>
      </c>
      <c r="B502" s="12" t="s">
        <v>2308</v>
      </c>
      <c r="C502" s="12" t="s">
        <v>2309</v>
      </c>
      <c r="D502" s="12" t="s">
        <v>2310</v>
      </c>
      <c r="E502" s="12" t="s">
        <v>2311</v>
      </c>
      <c r="F502" s="13">
        <v>110</v>
      </c>
      <c r="G502" s="12" t="s">
        <v>2273</v>
      </c>
      <c r="H502" s="12" t="s">
        <v>38</v>
      </c>
      <c r="I502" s="12" t="s">
        <v>113</v>
      </c>
      <c r="J502" s="12" t="s">
        <v>114</v>
      </c>
      <c r="K502" s="12" t="s">
        <v>82</v>
      </c>
      <c r="L502" s="12" t="s">
        <v>42</v>
      </c>
      <c r="M502" s="12" t="s">
        <v>43</v>
      </c>
      <c r="N502" s="12" t="s">
        <v>84</v>
      </c>
      <c r="O502" s="12" t="s">
        <v>2312</v>
      </c>
      <c r="P502" s="12" t="s">
        <v>46</v>
      </c>
      <c r="Q502" s="12" t="s">
        <v>47</v>
      </c>
      <c r="R502" s="12" t="s">
        <v>117</v>
      </c>
      <c r="S502" s="13">
        <v>197805861506</v>
      </c>
      <c r="T502" s="12" t="s">
        <v>49</v>
      </c>
      <c r="U502" s="13">
        <v>44.5</v>
      </c>
      <c r="V502" s="12" t="s">
        <v>209</v>
      </c>
      <c r="W502" s="12" t="s">
        <v>262</v>
      </c>
      <c r="X502" s="14"/>
      <c r="Y502" s="14"/>
      <c r="Z502" s="14"/>
      <c r="AA502" s="14"/>
      <c r="AB502" s="14"/>
      <c r="AC502" s="15">
        <v>43.2</v>
      </c>
      <c r="AD502" s="15">
        <f>AC502*AG502</f>
        <v>604.80000000000007</v>
      </c>
      <c r="AE502" s="15">
        <v>95</v>
      </c>
      <c r="AF502" s="15">
        <f>AE502*AG502</f>
        <v>1330</v>
      </c>
      <c r="AG502" s="16">
        <v>14</v>
      </c>
    </row>
    <row r="503" spans="1:33" ht="15" customHeight="1" x14ac:dyDescent="0.2">
      <c r="A503" s="11" t="str">
        <f t="shared" si="195"/>
        <v>VN000E8WG581</v>
      </c>
      <c r="B503" s="12" t="s">
        <v>2313</v>
      </c>
      <c r="C503" s="12" t="s">
        <v>34</v>
      </c>
      <c r="D503" s="12" t="s">
        <v>2149</v>
      </c>
      <c r="E503" s="12" t="s">
        <v>2314</v>
      </c>
      <c r="F503" s="13">
        <v>130</v>
      </c>
      <c r="G503" s="14"/>
      <c r="H503" s="12" t="s">
        <v>38</v>
      </c>
      <c r="I503" s="12" t="s">
        <v>113</v>
      </c>
      <c r="J503" s="12" t="s">
        <v>114</v>
      </c>
      <c r="K503" s="12" t="s">
        <v>82</v>
      </c>
      <c r="L503" s="12" t="s">
        <v>260</v>
      </c>
      <c r="M503" s="12" t="s">
        <v>43</v>
      </c>
      <c r="N503" s="12" t="s">
        <v>84</v>
      </c>
      <c r="O503" s="12" t="s">
        <v>2315</v>
      </c>
      <c r="P503" s="12" t="s">
        <v>46</v>
      </c>
      <c r="Q503" s="12" t="s">
        <v>47</v>
      </c>
      <c r="R503" s="12" t="s">
        <v>117</v>
      </c>
      <c r="S503" s="13">
        <v>198266178561</v>
      </c>
      <c r="T503" s="12" t="s">
        <v>164</v>
      </c>
      <c r="U503" s="13">
        <v>47</v>
      </c>
      <c r="V503" s="12" t="s">
        <v>50</v>
      </c>
      <c r="W503" s="12" t="s">
        <v>51</v>
      </c>
      <c r="X503" s="14"/>
      <c r="Y503" s="14"/>
      <c r="Z503" s="14"/>
      <c r="AA503" s="14"/>
      <c r="AB503" s="14"/>
      <c r="AC503" s="15">
        <v>43.2</v>
      </c>
      <c r="AD503" s="15">
        <f>AC503*AG503</f>
        <v>604.80000000000007</v>
      </c>
      <c r="AE503" s="15">
        <v>95</v>
      </c>
      <c r="AF503" s="15">
        <f>AE503*AG503</f>
        <v>1330</v>
      </c>
      <c r="AG503" s="16">
        <v>14</v>
      </c>
    </row>
    <row r="504" spans="1:33" ht="15" customHeight="1" x14ac:dyDescent="0.2">
      <c r="A504" s="11" t="str">
        <f t="shared" ref="A504:A2799" si="216">HYPERLINK("https://assets.vans.eu/images/VN000ECUB5P-HERO/1","VN000ECUB5P1")</f>
        <v>VN000ECUB5P1</v>
      </c>
      <c r="B504" s="12" t="s">
        <v>2316</v>
      </c>
      <c r="C504" s="12" t="s">
        <v>34</v>
      </c>
      <c r="D504" s="12" t="s">
        <v>203</v>
      </c>
      <c r="E504" s="12" t="s">
        <v>2317</v>
      </c>
      <c r="F504" s="13">
        <v>45</v>
      </c>
      <c r="G504" s="14"/>
      <c r="H504" s="12" t="s">
        <v>38</v>
      </c>
      <c r="I504" s="12" t="s">
        <v>205</v>
      </c>
      <c r="J504" s="12" t="s">
        <v>206</v>
      </c>
      <c r="K504" s="12" t="s">
        <v>207</v>
      </c>
      <c r="L504" s="12" t="s">
        <v>42</v>
      </c>
      <c r="M504" s="12" t="s">
        <v>43</v>
      </c>
      <c r="N504" s="12" t="s">
        <v>84</v>
      </c>
      <c r="O504" s="12" t="s">
        <v>2318</v>
      </c>
      <c r="P504" s="12" t="s">
        <v>46</v>
      </c>
      <c r="Q504" s="12" t="s">
        <v>47</v>
      </c>
      <c r="R504" s="12" t="s">
        <v>48</v>
      </c>
      <c r="S504" s="13">
        <v>198270303447</v>
      </c>
      <c r="T504" s="12" t="s">
        <v>49</v>
      </c>
      <c r="U504" s="13">
        <v>36</v>
      </c>
      <c r="V504" s="12" t="s">
        <v>209</v>
      </c>
      <c r="W504" s="12" t="s">
        <v>51</v>
      </c>
      <c r="X504" s="14"/>
      <c r="Y504" s="14"/>
      <c r="Z504" s="14"/>
      <c r="AA504" s="14"/>
      <c r="AB504" s="14"/>
      <c r="AC504" s="15">
        <v>36.4</v>
      </c>
      <c r="AD504" s="15">
        <f>AC504*AG504</f>
        <v>509.59999999999997</v>
      </c>
      <c r="AE504" s="15">
        <v>80</v>
      </c>
      <c r="AF504" s="15">
        <f>AE504*AG504</f>
        <v>1120</v>
      </c>
      <c r="AG504" s="16">
        <v>14</v>
      </c>
    </row>
    <row r="505" spans="1:33" ht="15" customHeight="1" x14ac:dyDescent="0.2">
      <c r="A505" s="11" t="str">
        <f t="shared" si="87"/>
        <v>VN000EFBYY61</v>
      </c>
      <c r="B505" s="12" t="s">
        <v>2319</v>
      </c>
      <c r="C505" s="12" t="s">
        <v>1207</v>
      </c>
      <c r="D505" s="12" t="s">
        <v>1208</v>
      </c>
      <c r="E505" s="12" t="s">
        <v>2320</v>
      </c>
      <c r="F505" s="13">
        <v>50</v>
      </c>
      <c r="G505" s="14"/>
      <c r="H505" s="12" t="s">
        <v>38</v>
      </c>
      <c r="I505" s="12" t="s">
        <v>242</v>
      </c>
      <c r="J505" s="12" t="s">
        <v>243</v>
      </c>
      <c r="K505" s="12" t="s">
        <v>244</v>
      </c>
      <c r="L505" s="12" t="s">
        <v>260</v>
      </c>
      <c r="M505" s="12" t="s">
        <v>43</v>
      </c>
      <c r="N505" s="12" t="s">
        <v>84</v>
      </c>
      <c r="O505" s="12" t="s">
        <v>2321</v>
      </c>
      <c r="P505" s="12" t="s">
        <v>46</v>
      </c>
      <c r="Q505" s="12" t="s">
        <v>47</v>
      </c>
      <c r="R505" s="12" t="s">
        <v>48</v>
      </c>
      <c r="S505" s="13">
        <v>198266183688</v>
      </c>
      <c r="T505" s="12" t="s">
        <v>49</v>
      </c>
      <c r="U505" s="13">
        <v>21</v>
      </c>
      <c r="V505" s="12" t="s">
        <v>50</v>
      </c>
      <c r="W505" s="12" t="s">
        <v>51</v>
      </c>
      <c r="X505" s="14"/>
      <c r="Y505" s="14"/>
      <c r="Z505" s="14"/>
      <c r="AA505" s="14"/>
      <c r="AB505" s="14"/>
      <c r="AC505" s="15">
        <v>27.3</v>
      </c>
      <c r="AD505" s="15">
        <f>AC505*AG505</f>
        <v>382.2</v>
      </c>
      <c r="AE505" s="15">
        <v>60</v>
      </c>
      <c r="AF505" s="15">
        <f>AE505*AG505</f>
        <v>840</v>
      </c>
      <c r="AG505" s="16">
        <v>14</v>
      </c>
    </row>
    <row r="506" spans="1:33" ht="15" customHeight="1" x14ac:dyDescent="0.2">
      <c r="A506" s="11" t="str">
        <f>HYPERLINK("https://assets.vans.eu/images/VN000GN0WHT-HERO/1","VN000GN0WHT1")</f>
        <v>VN000GN0WHT1</v>
      </c>
      <c r="B506" s="12" t="s">
        <v>2322</v>
      </c>
      <c r="C506" s="12" t="s">
        <v>2190</v>
      </c>
      <c r="D506" s="12" t="s">
        <v>168</v>
      </c>
      <c r="E506" s="12" t="s">
        <v>2323</v>
      </c>
      <c r="F506" s="12" t="s">
        <v>78</v>
      </c>
      <c r="G506" s="14"/>
      <c r="H506" s="12" t="s">
        <v>79</v>
      </c>
      <c r="I506" s="12" t="s">
        <v>80</v>
      </c>
      <c r="J506" s="12" t="s">
        <v>99</v>
      </c>
      <c r="K506" s="12" t="s">
        <v>82</v>
      </c>
      <c r="L506" s="14"/>
      <c r="M506" s="12" t="s">
        <v>43</v>
      </c>
      <c r="N506" s="12" t="s">
        <v>274</v>
      </c>
      <c r="O506" s="12" t="s">
        <v>2324</v>
      </c>
      <c r="P506" s="12" t="s">
        <v>86</v>
      </c>
      <c r="Q506" s="12" t="s">
        <v>716</v>
      </c>
      <c r="R506" s="12" t="s">
        <v>717</v>
      </c>
      <c r="S506" s="13">
        <v>197063464129</v>
      </c>
      <c r="T506" s="12" t="s">
        <v>143</v>
      </c>
      <c r="U506" s="12" t="s">
        <v>78</v>
      </c>
      <c r="V506" s="12" t="s">
        <v>718</v>
      </c>
      <c r="W506" s="12" t="s">
        <v>175</v>
      </c>
      <c r="X506" s="13">
        <v>0</v>
      </c>
      <c r="Y506" s="12" t="s">
        <v>91</v>
      </c>
      <c r="Z506" s="12" t="s">
        <v>108</v>
      </c>
      <c r="AA506" s="13">
        <v>0</v>
      </c>
      <c r="AB506" s="13">
        <v>0</v>
      </c>
      <c r="AC506" s="15">
        <v>8.1999999999999993</v>
      </c>
      <c r="AD506" s="15">
        <f>AC506*AG506</f>
        <v>106.6</v>
      </c>
      <c r="AE506" s="15">
        <v>18</v>
      </c>
      <c r="AF506" s="15">
        <f>AE506*AG506</f>
        <v>234</v>
      </c>
      <c r="AG506" s="16">
        <v>13</v>
      </c>
    </row>
    <row r="507" spans="1:33" ht="15" customHeight="1" x14ac:dyDescent="0.2">
      <c r="A507" s="11" t="str">
        <f>HYPERLINK("https://assets.vans.eu/images/VN000NBPBLK-HERO/1","VN000NBPBLK1")</f>
        <v>VN000NBPBLK1</v>
      </c>
      <c r="B507" s="12" t="s">
        <v>2325</v>
      </c>
      <c r="C507" s="12" t="s">
        <v>2326</v>
      </c>
      <c r="D507" s="12" t="s">
        <v>76</v>
      </c>
      <c r="E507" s="12" t="s">
        <v>2327</v>
      </c>
      <c r="F507" s="12" t="s">
        <v>78</v>
      </c>
      <c r="G507" s="14"/>
      <c r="H507" s="12" t="s">
        <v>79</v>
      </c>
      <c r="I507" s="12" t="s">
        <v>80</v>
      </c>
      <c r="J507" s="12" t="s">
        <v>349</v>
      </c>
      <c r="K507" s="12" t="s">
        <v>82</v>
      </c>
      <c r="L507" s="14"/>
      <c r="M507" s="12" t="s">
        <v>43</v>
      </c>
      <c r="N507" s="12" t="s">
        <v>44</v>
      </c>
      <c r="O507" s="12" t="s">
        <v>2328</v>
      </c>
      <c r="P507" s="12" t="s">
        <v>86</v>
      </c>
      <c r="Q507" s="12" t="s">
        <v>128</v>
      </c>
      <c r="R507" s="12" t="s">
        <v>352</v>
      </c>
      <c r="S507" s="13">
        <v>197643467625</v>
      </c>
      <c r="T507" s="12" t="s">
        <v>164</v>
      </c>
      <c r="U507" s="12" t="s">
        <v>78</v>
      </c>
      <c r="V507" s="12" t="s">
        <v>2329</v>
      </c>
      <c r="W507" s="12" t="s">
        <v>51</v>
      </c>
      <c r="X507" s="13">
        <v>0</v>
      </c>
      <c r="Y507" s="12" t="s">
        <v>91</v>
      </c>
      <c r="Z507" s="12" t="s">
        <v>108</v>
      </c>
      <c r="AA507" s="13">
        <v>0</v>
      </c>
      <c r="AB507" s="13">
        <v>0</v>
      </c>
      <c r="AC507" s="15">
        <v>16.399999999999999</v>
      </c>
      <c r="AD507" s="15">
        <f>AC507*AG507</f>
        <v>213.2</v>
      </c>
      <c r="AE507" s="15">
        <v>36</v>
      </c>
      <c r="AF507" s="15">
        <f>AE507*AG507</f>
        <v>468</v>
      </c>
      <c r="AG507" s="16">
        <v>13</v>
      </c>
    </row>
    <row r="508" spans="1:33" ht="15" customHeight="1" x14ac:dyDescent="0.2">
      <c r="A508" s="11" t="str">
        <f>HYPERLINK("https://assets.vans.eu/images/VN000QB32N1-HERO/1","VN000QB32N11")</f>
        <v>VN000QB32N11</v>
      </c>
      <c r="B508" s="12" t="s">
        <v>2330</v>
      </c>
      <c r="C508" s="12" t="s">
        <v>2331</v>
      </c>
      <c r="D508" s="12" t="s">
        <v>1082</v>
      </c>
      <c r="E508" s="12" t="s">
        <v>2332</v>
      </c>
      <c r="F508" s="12" t="s">
        <v>78</v>
      </c>
      <c r="G508" s="14"/>
      <c r="H508" s="12" t="s">
        <v>79</v>
      </c>
      <c r="I508" s="12" t="s">
        <v>80</v>
      </c>
      <c r="J508" s="12" t="s">
        <v>349</v>
      </c>
      <c r="K508" s="12" t="s">
        <v>82</v>
      </c>
      <c r="L508" s="14"/>
      <c r="M508" s="12" t="s">
        <v>43</v>
      </c>
      <c r="N508" s="12" t="s">
        <v>84</v>
      </c>
      <c r="O508" s="12" t="s">
        <v>2333</v>
      </c>
      <c r="P508" s="12" t="s">
        <v>86</v>
      </c>
      <c r="Q508" s="12" t="s">
        <v>128</v>
      </c>
      <c r="R508" s="12" t="s">
        <v>352</v>
      </c>
      <c r="S508" s="13">
        <v>197804375172</v>
      </c>
      <c r="T508" s="12" t="s">
        <v>130</v>
      </c>
      <c r="U508" s="12" t="s">
        <v>78</v>
      </c>
      <c r="V508" s="12" t="s">
        <v>593</v>
      </c>
      <c r="W508" s="12" t="s">
        <v>580</v>
      </c>
      <c r="X508" s="14"/>
      <c r="Y508" s="14"/>
      <c r="Z508" s="14"/>
      <c r="AA508" s="14"/>
      <c r="AB508" s="14"/>
      <c r="AC508" s="15">
        <v>12.75</v>
      </c>
      <c r="AD508" s="15">
        <f>AC508*AG508</f>
        <v>165.75</v>
      </c>
      <c r="AE508" s="15">
        <v>28</v>
      </c>
      <c r="AF508" s="15">
        <f>AE508*AG508</f>
        <v>364</v>
      </c>
      <c r="AG508" s="16">
        <v>13</v>
      </c>
    </row>
    <row r="509" spans="1:33" ht="15" customHeight="1" x14ac:dyDescent="0.2">
      <c r="A509" s="11" t="str">
        <f t="shared" si="49"/>
        <v>VN000QB9EMP1</v>
      </c>
      <c r="B509" s="12" t="s">
        <v>2334</v>
      </c>
      <c r="C509" s="12" t="s">
        <v>806</v>
      </c>
      <c r="D509" s="12" t="s">
        <v>704</v>
      </c>
      <c r="E509" s="12" t="s">
        <v>2335</v>
      </c>
      <c r="F509" s="12" t="s">
        <v>179</v>
      </c>
      <c r="G509" s="14"/>
      <c r="H509" s="12" t="s">
        <v>79</v>
      </c>
      <c r="I509" s="12" t="s">
        <v>80</v>
      </c>
      <c r="J509" s="12" t="s">
        <v>171</v>
      </c>
      <c r="K509" s="12" t="s">
        <v>82</v>
      </c>
      <c r="L509" s="14"/>
      <c r="M509" s="12" t="s">
        <v>43</v>
      </c>
      <c r="N509" s="12" t="s">
        <v>84</v>
      </c>
      <c r="O509" s="12" t="s">
        <v>2336</v>
      </c>
      <c r="P509" s="12" t="s">
        <v>86</v>
      </c>
      <c r="Q509" s="12" t="s">
        <v>141</v>
      </c>
      <c r="R509" s="12" t="s">
        <v>173</v>
      </c>
      <c r="S509" s="13">
        <v>197804394111</v>
      </c>
      <c r="T509" s="12" t="s">
        <v>105</v>
      </c>
      <c r="U509" s="12" t="s">
        <v>179</v>
      </c>
      <c r="V509" s="12" t="s">
        <v>181</v>
      </c>
      <c r="W509" s="12" t="s">
        <v>186</v>
      </c>
      <c r="X509" s="14"/>
      <c r="Y509" s="14"/>
      <c r="Z509" s="14"/>
      <c r="AA509" s="14"/>
      <c r="AB509" s="14"/>
      <c r="AC509" s="15">
        <v>7.3</v>
      </c>
      <c r="AD509" s="15">
        <f>AC509*AG509</f>
        <v>94.899999999999991</v>
      </c>
      <c r="AE509" s="15">
        <v>16</v>
      </c>
      <c r="AF509" s="15">
        <f>AE509*AG509</f>
        <v>208</v>
      </c>
      <c r="AG509" s="16">
        <v>13</v>
      </c>
    </row>
    <row r="510" spans="1:33" ht="15" customHeight="1" x14ac:dyDescent="0.2">
      <c r="A510" s="11" t="str">
        <f t="shared" ref="A510:A1110" si="217">HYPERLINK("https://assets.vans.eu/images/VN000QBQEN7-HERO/1","VN000QBQEN71")</f>
        <v>VN000QBQEN71</v>
      </c>
      <c r="B510" s="12" t="s">
        <v>2337</v>
      </c>
      <c r="C510" s="12" t="s">
        <v>2338</v>
      </c>
      <c r="D510" s="12" t="s">
        <v>295</v>
      </c>
      <c r="E510" s="12" t="s">
        <v>2339</v>
      </c>
      <c r="F510" s="12" t="s">
        <v>170</v>
      </c>
      <c r="G510" s="14"/>
      <c r="H510" s="12" t="s">
        <v>79</v>
      </c>
      <c r="I510" s="12" t="s">
        <v>80</v>
      </c>
      <c r="J510" s="12" t="s">
        <v>171</v>
      </c>
      <c r="K510" s="12" t="s">
        <v>82</v>
      </c>
      <c r="L510" s="14"/>
      <c r="M510" s="12" t="s">
        <v>43</v>
      </c>
      <c r="N510" s="12" t="s">
        <v>84</v>
      </c>
      <c r="O510" s="12" t="s">
        <v>2340</v>
      </c>
      <c r="P510" s="12" t="s">
        <v>86</v>
      </c>
      <c r="Q510" s="12" t="s">
        <v>141</v>
      </c>
      <c r="R510" s="12" t="s">
        <v>173</v>
      </c>
      <c r="S510" s="13">
        <v>197804395187</v>
      </c>
      <c r="T510" s="12" t="s">
        <v>143</v>
      </c>
      <c r="U510" s="12" t="s">
        <v>170</v>
      </c>
      <c r="V510" s="12" t="s">
        <v>2341</v>
      </c>
      <c r="W510" s="12" t="s">
        <v>299</v>
      </c>
      <c r="X510" s="14"/>
      <c r="Y510" s="14"/>
      <c r="Z510" s="14"/>
      <c r="AA510" s="14"/>
      <c r="AB510" s="14"/>
      <c r="AC510" s="15">
        <v>7.3</v>
      </c>
      <c r="AD510" s="15">
        <f>AC510*AG510</f>
        <v>94.899999999999991</v>
      </c>
      <c r="AE510" s="15">
        <v>16</v>
      </c>
      <c r="AF510" s="15">
        <f>AE510*AG510</f>
        <v>208</v>
      </c>
      <c r="AG510" s="16">
        <v>13</v>
      </c>
    </row>
    <row r="511" spans="1:33" ht="15" customHeight="1" x14ac:dyDescent="0.2">
      <c r="A511" s="11" t="str">
        <f t="shared" si="134"/>
        <v>VN000R51WHT1</v>
      </c>
      <c r="B511" s="12" t="s">
        <v>2342</v>
      </c>
      <c r="C511" s="12" t="s">
        <v>1631</v>
      </c>
      <c r="D511" s="12" t="s">
        <v>168</v>
      </c>
      <c r="E511" s="12" t="s">
        <v>2343</v>
      </c>
      <c r="F511" s="12" t="s">
        <v>170</v>
      </c>
      <c r="G511" s="14"/>
      <c r="H511" s="12" t="s">
        <v>79</v>
      </c>
      <c r="I511" s="12" t="s">
        <v>80</v>
      </c>
      <c r="J511" s="12" t="s">
        <v>171</v>
      </c>
      <c r="K511" s="12" t="s">
        <v>82</v>
      </c>
      <c r="L511" s="14"/>
      <c r="M511" s="12" t="s">
        <v>43</v>
      </c>
      <c r="N511" s="12" t="s">
        <v>84</v>
      </c>
      <c r="O511" s="12" t="s">
        <v>2344</v>
      </c>
      <c r="P511" s="12" t="s">
        <v>86</v>
      </c>
      <c r="Q511" s="12" t="s">
        <v>141</v>
      </c>
      <c r="R511" s="12" t="s">
        <v>173</v>
      </c>
      <c r="S511" s="13">
        <v>197804617562</v>
      </c>
      <c r="T511" s="12" t="s">
        <v>143</v>
      </c>
      <c r="U511" s="12" t="s">
        <v>170</v>
      </c>
      <c r="V511" s="12" t="s">
        <v>1545</v>
      </c>
      <c r="W511" s="12" t="s">
        <v>175</v>
      </c>
      <c r="X511" s="14"/>
      <c r="Y511" s="14"/>
      <c r="Z511" s="14"/>
      <c r="AA511" s="14"/>
      <c r="AB511" s="14"/>
      <c r="AC511" s="15">
        <v>9.1</v>
      </c>
      <c r="AD511" s="15">
        <f>AC511*AG511</f>
        <v>118.3</v>
      </c>
      <c r="AE511" s="15">
        <v>20</v>
      </c>
      <c r="AF511" s="15">
        <f>AE511*AG511</f>
        <v>260</v>
      </c>
      <c r="AG511" s="16">
        <v>13</v>
      </c>
    </row>
    <row r="512" spans="1:33" ht="15" customHeight="1" x14ac:dyDescent="0.2">
      <c r="A512" s="11" t="str">
        <f t="shared" ref="A512:A991" si="218">HYPERLINK("https://assets.vans.eu/images/VN0008KUBML-HERO/1","VN0008KUBML1")</f>
        <v>VN0008KUBML1</v>
      </c>
      <c r="B512" s="12" t="s">
        <v>2345</v>
      </c>
      <c r="C512" s="12" t="s">
        <v>554</v>
      </c>
      <c r="D512" s="12" t="s">
        <v>555</v>
      </c>
      <c r="E512" s="12" t="s">
        <v>2346</v>
      </c>
      <c r="F512" s="12" t="s">
        <v>153</v>
      </c>
      <c r="G512" s="14"/>
      <c r="H512" s="12" t="s">
        <v>61</v>
      </c>
      <c r="I512" s="12" t="s">
        <v>230</v>
      </c>
      <c r="J512" s="12" t="s">
        <v>557</v>
      </c>
      <c r="K512" s="12" t="s">
        <v>199</v>
      </c>
      <c r="L512" s="14"/>
      <c r="M512" s="12" t="s">
        <v>43</v>
      </c>
      <c r="N512" s="12" t="s">
        <v>44</v>
      </c>
      <c r="O512" s="12" t="s">
        <v>2347</v>
      </c>
      <c r="P512" s="12" t="s">
        <v>66</v>
      </c>
      <c r="Q512" s="12" t="s">
        <v>559</v>
      </c>
      <c r="R512" s="12" t="s">
        <v>560</v>
      </c>
      <c r="S512" s="13">
        <v>197643553700</v>
      </c>
      <c r="T512" s="12" t="s">
        <v>49</v>
      </c>
      <c r="U512" s="12" t="s">
        <v>153</v>
      </c>
      <c r="V512" s="12" t="s">
        <v>561</v>
      </c>
      <c r="W512" s="12" t="s">
        <v>51</v>
      </c>
      <c r="X512" s="13">
        <v>0</v>
      </c>
      <c r="Y512" s="12" t="s">
        <v>53</v>
      </c>
      <c r="Z512" s="12" t="s">
        <v>108</v>
      </c>
      <c r="AA512" s="13">
        <v>0</v>
      </c>
      <c r="AB512" s="13">
        <v>0</v>
      </c>
      <c r="AC512" s="15">
        <v>25</v>
      </c>
      <c r="AD512" s="15">
        <f>AC512*AG512</f>
        <v>325</v>
      </c>
      <c r="AE512" s="15">
        <v>55</v>
      </c>
      <c r="AF512" s="15">
        <f>AE512*AG512</f>
        <v>715</v>
      </c>
      <c r="AG512" s="16">
        <v>13</v>
      </c>
    </row>
    <row r="513" spans="1:33" ht="15" customHeight="1" x14ac:dyDescent="0.2">
      <c r="A513" s="11" t="str">
        <f t="shared" ref="A513:A708" si="219">HYPERLINK("https://assets.vans.eu/images/VN000G75D6Z-HERO/1","VN000G75D6Z1")</f>
        <v>VN000G75D6Z1</v>
      </c>
      <c r="B513" s="12" t="s">
        <v>2348</v>
      </c>
      <c r="C513" s="12" t="s">
        <v>1188</v>
      </c>
      <c r="D513" s="12" t="s">
        <v>1277</v>
      </c>
      <c r="E513" s="12" t="s">
        <v>2349</v>
      </c>
      <c r="F513" s="12" t="s">
        <v>60</v>
      </c>
      <c r="G513" s="14"/>
      <c r="H513" s="12" t="s">
        <v>61</v>
      </c>
      <c r="I513" s="12" t="s">
        <v>230</v>
      </c>
      <c r="J513" s="12" t="s">
        <v>557</v>
      </c>
      <c r="K513" s="12" t="s">
        <v>199</v>
      </c>
      <c r="L513" s="14"/>
      <c r="M513" s="12" t="s">
        <v>43</v>
      </c>
      <c r="N513" s="12" t="s">
        <v>44</v>
      </c>
      <c r="O513" s="12" t="s">
        <v>2350</v>
      </c>
      <c r="P513" s="12" t="s">
        <v>66</v>
      </c>
      <c r="Q513" s="12" t="s">
        <v>559</v>
      </c>
      <c r="R513" s="12" t="s">
        <v>560</v>
      </c>
      <c r="S513" s="13">
        <v>197643554585</v>
      </c>
      <c r="T513" s="12" t="s">
        <v>49</v>
      </c>
      <c r="U513" s="12" t="s">
        <v>60</v>
      </c>
      <c r="V513" s="12" t="s">
        <v>1191</v>
      </c>
      <c r="W513" s="12" t="s">
        <v>299</v>
      </c>
      <c r="X513" s="12" t="s">
        <v>500</v>
      </c>
      <c r="Y513" s="12" t="s">
        <v>91</v>
      </c>
      <c r="Z513" s="12" t="s">
        <v>108</v>
      </c>
      <c r="AA513" s="13">
        <v>0</v>
      </c>
      <c r="AB513" s="13">
        <v>0</v>
      </c>
      <c r="AC513" s="15">
        <v>25</v>
      </c>
      <c r="AD513" s="15">
        <f>AC513*AG513</f>
        <v>325</v>
      </c>
      <c r="AE513" s="15">
        <v>55</v>
      </c>
      <c r="AF513" s="15">
        <f>AE513*AG513</f>
        <v>715</v>
      </c>
      <c r="AG513" s="16">
        <v>13</v>
      </c>
    </row>
    <row r="514" spans="1:33" ht="15" customHeight="1" x14ac:dyDescent="0.2">
      <c r="A514" s="11" t="str">
        <f>HYPERLINK("https://assets.vans.eu/images/VN000HCF7YO-HERO/1","VN000HCF7YO1")</f>
        <v>VN000HCF7YO1</v>
      </c>
      <c r="B514" s="12" t="s">
        <v>2351</v>
      </c>
      <c r="C514" s="12" t="s">
        <v>2352</v>
      </c>
      <c r="D514" s="12" t="s">
        <v>2353</v>
      </c>
      <c r="E514" s="12" t="s">
        <v>2354</v>
      </c>
      <c r="F514" s="12" t="s">
        <v>138</v>
      </c>
      <c r="G514" s="14"/>
      <c r="H514" s="12" t="s">
        <v>61</v>
      </c>
      <c r="I514" s="12" t="s">
        <v>289</v>
      </c>
      <c r="J514" s="12" t="s">
        <v>706</v>
      </c>
      <c r="K514" s="12" t="s">
        <v>100</v>
      </c>
      <c r="L514" s="14"/>
      <c r="M514" s="12" t="s">
        <v>43</v>
      </c>
      <c r="N514" s="12" t="s">
        <v>84</v>
      </c>
      <c r="O514" s="12" t="s">
        <v>2355</v>
      </c>
      <c r="P514" s="12" t="s">
        <v>66</v>
      </c>
      <c r="Q514" s="12" t="s">
        <v>67</v>
      </c>
      <c r="R514" s="12" t="s">
        <v>708</v>
      </c>
      <c r="S514" s="13">
        <v>197065452889</v>
      </c>
      <c r="T514" s="12" t="s">
        <v>49</v>
      </c>
      <c r="U514" s="12" t="s">
        <v>138</v>
      </c>
      <c r="V514" s="12" t="s">
        <v>1726</v>
      </c>
      <c r="W514" s="12" t="s">
        <v>186</v>
      </c>
      <c r="X514" s="13">
        <v>0</v>
      </c>
      <c r="Y514" s="12" t="s">
        <v>53</v>
      </c>
      <c r="Z514" s="12" t="s">
        <v>108</v>
      </c>
      <c r="AA514" s="13">
        <v>0</v>
      </c>
      <c r="AB514" s="13">
        <v>0</v>
      </c>
      <c r="AC514" s="15">
        <v>36.4</v>
      </c>
      <c r="AD514" s="15">
        <f>AC514*AG514</f>
        <v>473.2</v>
      </c>
      <c r="AE514" s="15">
        <v>80</v>
      </c>
      <c r="AF514" s="15">
        <f>AE514*AG514</f>
        <v>1040</v>
      </c>
      <c r="AG514" s="16">
        <v>13</v>
      </c>
    </row>
    <row r="515" spans="1:33" ht="15" customHeight="1" x14ac:dyDescent="0.2">
      <c r="A515" s="11" t="str">
        <f t="shared" ref="A515:A516" si="220">HYPERLINK("https://assets.vans.eu/images/VN000HJV7D6-HERO/1","VN000HJV7D61")</f>
        <v>VN000HJV7D61</v>
      </c>
      <c r="B515" s="12" t="s">
        <v>2356</v>
      </c>
      <c r="C515" s="12" t="s">
        <v>1230</v>
      </c>
      <c r="D515" s="12" t="s">
        <v>1231</v>
      </c>
      <c r="E515" s="12" t="s">
        <v>2357</v>
      </c>
      <c r="F515" s="12" t="s">
        <v>153</v>
      </c>
      <c r="G515" s="14"/>
      <c r="H515" s="12" t="s">
        <v>61</v>
      </c>
      <c r="I515" s="12" t="s">
        <v>289</v>
      </c>
      <c r="J515" s="12" t="s">
        <v>984</v>
      </c>
      <c r="K515" s="12" t="s">
        <v>100</v>
      </c>
      <c r="L515" s="14"/>
      <c r="M515" s="12" t="s">
        <v>43</v>
      </c>
      <c r="N515" s="12" t="s">
        <v>84</v>
      </c>
      <c r="O515" s="12" t="s">
        <v>2358</v>
      </c>
      <c r="P515" s="12" t="s">
        <v>66</v>
      </c>
      <c r="Q515" s="12" t="s">
        <v>764</v>
      </c>
      <c r="R515" s="12" t="s">
        <v>986</v>
      </c>
      <c r="S515" s="13">
        <v>197804384976</v>
      </c>
      <c r="T515" s="12" t="s">
        <v>235</v>
      </c>
      <c r="U515" s="12" t="s">
        <v>153</v>
      </c>
      <c r="V515" s="12" t="s">
        <v>90</v>
      </c>
      <c r="W515" s="12" t="s">
        <v>186</v>
      </c>
      <c r="X515" s="14"/>
      <c r="Y515" s="14"/>
      <c r="Z515" s="14"/>
      <c r="AA515" s="14"/>
      <c r="AB515" s="14"/>
      <c r="AC515" s="15">
        <v>61.4</v>
      </c>
      <c r="AD515" s="15">
        <f>AC515*AG515</f>
        <v>798.19999999999993</v>
      </c>
      <c r="AE515" s="15">
        <v>135</v>
      </c>
      <c r="AF515" s="15">
        <f>AE515*AG515</f>
        <v>1755</v>
      </c>
      <c r="AG515" s="16">
        <v>13</v>
      </c>
    </row>
    <row r="516" spans="1:33" ht="15" customHeight="1" x14ac:dyDescent="0.2">
      <c r="A516" s="11" t="str">
        <f t="shared" si="220"/>
        <v>VN000HJV7D61</v>
      </c>
      <c r="B516" s="12" t="s">
        <v>2359</v>
      </c>
      <c r="C516" s="12" t="s">
        <v>1230</v>
      </c>
      <c r="D516" s="12" t="s">
        <v>1231</v>
      </c>
      <c r="E516" s="12" t="s">
        <v>2360</v>
      </c>
      <c r="F516" s="12" t="s">
        <v>138</v>
      </c>
      <c r="G516" s="14"/>
      <c r="H516" s="12" t="s">
        <v>61</v>
      </c>
      <c r="I516" s="12" t="s">
        <v>289</v>
      </c>
      <c r="J516" s="12" t="s">
        <v>984</v>
      </c>
      <c r="K516" s="12" t="s">
        <v>100</v>
      </c>
      <c r="L516" s="14"/>
      <c r="M516" s="12" t="s">
        <v>43</v>
      </c>
      <c r="N516" s="12" t="s">
        <v>84</v>
      </c>
      <c r="O516" s="12" t="s">
        <v>2361</v>
      </c>
      <c r="P516" s="12" t="s">
        <v>66</v>
      </c>
      <c r="Q516" s="12" t="s">
        <v>764</v>
      </c>
      <c r="R516" s="12" t="s">
        <v>986</v>
      </c>
      <c r="S516" s="13">
        <v>197804385119</v>
      </c>
      <c r="T516" s="12" t="s">
        <v>235</v>
      </c>
      <c r="U516" s="12" t="s">
        <v>138</v>
      </c>
      <c r="V516" s="12" t="s">
        <v>90</v>
      </c>
      <c r="W516" s="12" t="s">
        <v>186</v>
      </c>
      <c r="X516" s="14"/>
      <c r="Y516" s="14"/>
      <c r="Z516" s="14"/>
      <c r="AA516" s="14"/>
      <c r="AB516" s="14"/>
      <c r="AC516" s="15">
        <v>61.4</v>
      </c>
      <c r="AD516" s="15">
        <f>AC516*AG516</f>
        <v>798.19999999999993</v>
      </c>
      <c r="AE516" s="15">
        <v>135</v>
      </c>
      <c r="AF516" s="15">
        <f>AE516*AG516</f>
        <v>1755</v>
      </c>
      <c r="AG516" s="16">
        <v>13</v>
      </c>
    </row>
    <row r="517" spans="1:33" ht="15" customHeight="1" x14ac:dyDescent="0.2">
      <c r="A517" s="11" t="str">
        <f t="shared" si="137"/>
        <v>VN000JBRZBF1</v>
      </c>
      <c r="B517" s="12" t="s">
        <v>2362</v>
      </c>
      <c r="C517" s="12" t="s">
        <v>1723</v>
      </c>
      <c r="D517" s="12" t="s">
        <v>680</v>
      </c>
      <c r="E517" s="12" t="s">
        <v>2363</v>
      </c>
      <c r="F517" s="12" t="s">
        <v>170</v>
      </c>
      <c r="G517" s="14"/>
      <c r="H517" s="12" t="s">
        <v>61</v>
      </c>
      <c r="I517" s="12" t="s">
        <v>62</v>
      </c>
      <c r="J517" s="12" t="s">
        <v>63</v>
      </c>
      <c r="K517" s="12" t="s">
        <v>64</v>
      </c>
      <c r="L517" s="14"/>
      <c r="M517" s="12" t="s">
        <v>43</v>
      </c>
      <c r="N517" s="12" t="s">
        <v>84</v>
      </c>
      <c r="O517" s="12" t="s">
        <v>2364</v>
      </c>
      <c r="P517" s="12" t="s">
        <v>66</v>
      </c>
      <c r="Q517" s="12" t="s">
        <v>67</v>
      </c>
      <c r="R517" s="12" t="s">
        <v>730</v>
      </c>
      <c r="S517" s="13">
        <v>197065464714</v>
      </c>
      <c r="T517" s="12" t="s">
        <v>105</v>
      </c>
      <c r="U517" s="12" t="s">
        <v>170</v>
      </c>
      <c r="V517" s="12" t="s">
        <v>1726</v>
      </c>
      <c r="W517" s="12" t="s">
        <v>118</v>
      </c>
      <c r="X517" s="13">
        <v>0</v>
      </c>
      <c r="Y517" s="12" t="s">
        <v>91</v>
      </c>
      <c r="Z517" s="12" t="s">
        <v>108</v>
      </c>
      <c r="AA517" s="13">
        <v>0</v>
      </c>
      <c r="AB517" s="13">
        <v>0</v>
      </c>
      <c r="AC517" s="15">
        <v>29.55</v>
      </c>
      <c r="AD517" s="15">
        <f>AC517*AG517</f>
        <v>384.15000000000003</v>
      </c>
      <c r="AE517" s="15">
        <v>65</v>
      </c>
      <c r="AF517" s="15">
        <f>AE517*AG517</f>
        <v>845</v>
      </c>
      <c r="AG517" s="16">
        <v>13</v>
      </c>
    </row>
    <row r="518" spans="1:33" ht="15" customHeight="1" x14ac:dyDescent="0.2">
      <c r="A518" s="11" t="str">
        <f t="shared" ref="A518:A605" si="221">HYPERLINK("https://assets.vans.eu/images/VN000MEPJDU-HERO/1","VN000MEPJDU1")</f>
        <v>VN000MEPJDU1</v>
      </c>
      <c r="B518" s="12" t="s">
        <v>2365</v>
      </c>
      <c r="C518" s="12" t="s">
        <v>1020</v>
      </c>
      <c r="D518" s="12" t="s">
        <v>814</v>
      </c>
      <c r="E518" s="12" t="s">
        <v>2366</v>
      </c>
      <c r="F518" s="13">
        <v>8</v>
      </c>
      <c r="G518" s="14"/>
      <c r="H518" s="12" t="s">
        <v>61</v>
      </c>
      <c r="I518" s="12" t="s">
        <v>62</v>
      </c>
      <c r="J518" s="12" t="s">
        <v>972</v>
      </c>
      <c r="K518" s="12" t="s">
        <v>1022</v>
      </c>
      <c r="L518" s="14"/>
      <c r="M518" s="12" t="s">
        <v>43</v>
      </c>
      <c r="N518" s="12" t="s">
        <v>44</v>
      </c>
      <c r="O518" s="12" t="s">
        <v>2367</v>
      </c>
      <c r="P518" s="12" t="s">
        <v>66</v>
      </c>
      <c r="Q518" s="12" t="s">
        <v>233</v>
      </c>
      <c r="R518" s="12" t="s">
        <v>1024</v>
      </c>
      <c r="S518" s="13">
        <v>197643372349</v>
      </c>
      <c r="T518" s="12" t="s">
        <v>235</v>
      </c>
      <c r="U518" s="13">
        <v>8</v>
      </c>
      <c r="V518" s="12" t="s">
        <v>665</v>
      </c>
      <c r="W518" s="12" t="s">
        <v>284</v>
      </c>
      <c r="X518" s="13">
        <v>0</v>
      </c>
      <c r="Y518" s="12" t="s">
        <v>91</v>
      </c>
      <c r="Z518" s="12" t="s">
        <v>108</v>
      </c>
      <c r="AA518" s="13">
        <v>0</v>
      </c>
      <c r="AB518" s="13">
        <v>0</v>
      </c>
      <c r="AC518" s="15">
        <v>20.5</v>
      </c>
      <c r="AD518" s="15">
        <f>AC518*AG518</f>
        <v>266.5</v>
      </c>
      <c r="AE518" s="15">
        <v>45</v>
      </c>
      <c r="AF518" s="15">
        <f>AE518*AG518</f>
        <v>585</v>
      </c>
      <c r="AG518" s="16">
        <v>13</v>
      </c>
    </row>
    <row r="519" spans="1:33" ht="15" customHeight="1" x14ac:dyDescent="0.2">
      <c r="A519" s="11" t="str">
        <f t="shared" si="103"/>
        <v>VN000MN07WM1</v>
      </c>
      <c r="B519" s="12" t="s">
        <v>2368</v>
      </c>
      <c r="C519" s="12" t="s">
        <v>1374</v>
      </c>
      <c r="D519" s="12" t="s">
        <v>388</v>
      </c>
      <c r="E519" s="12" t="s">
        <v>2369</v>
      </c>
      <c r="F519" s="13">
        <v>5</v>
      </c>
      <c r="G519" s="14"/>
      <c r="H519" s="12" t="s">
        <v>61</v>
      </c>
      <c r="I519" s="12" t="s">
        <v>1340</v>
      </c>
      <c r="J519" s="12" t="s">
        <v>1376</v>
      </c>
      <c r="K519" s="12" t="s">
        <v>64</v>
      </c>
      <c r="L519" s="14"/>
      <c r="M519" s="12" t="s">
        <v>43</v>
      </c>
      <c r="N519" s="12" t="s">
        <v>44</v>
      </c>
      <c r="O519" s="12" t="s">
        <v>2370</v>
      </c>
      <c r="P519" s="12" t="s">
        <v>66</v>
      </c>
      <c r="Q519" s="12" t="s">
        <v>233</v>
      </c>
      <c r="R519" s="12" t="s">
        <v>974</v>
      </c>
      <c r="S519" s="13">
        <v>197803421917</v>
      </c>
      <c r="T519" s="12" t="s">
        <v>69</v>
      </c>
      <c r="U519" s="13">
        <v>5</v>
      </c>
      <c r="V519" s="12" t="s">
        <v>1378</v>
      </c>
      <c r="W519" s="12" t="s">
        <v>284</v>
      </c>
      <c r="X519" s="13">
        <v>0</v>
      </c>
      <c r="Y519" s="12" t="s">
        <v>91</v>
      </c>
      <c r="Z519" s="12" t="s">
        <v>108</v>
      </c>
      <c r="AA519" s="13">
        <v>0</v>
      </c>
      <c r="AB519" s="13">
        <v>0</v>
      </c>
      <c r="AC519" s="15">
        <v>25</v>
      </c>
      <c r="AD519" s="15">
        <f>AC519*AG519</f>
        <v>325</v>
      </c>
      <c r="AE519" s="15">
        <v>55</v>
      </c>
      <c r="AF519" s="15">
        <f>AE519*AG519</f>
        <v>715</v>
      </c>
      <c r="AG519" s="16">
        <v>13</v>
      </c>
    </row>
    <row r="520" spans="1:33" ht="15" customHeight="1" x14ac:dyDescent="0.2">
      <c r="A520" s="11" t="str">
        <f t="shared" ref="A520:A1365" si="222">HYPERLINK("https://assets.vans.eu/images/VN000P77AFM-HERO/1","VN000P77AFM1")</f>
        <v>VN000P77AFM1</v>
      </c>
      <c r="B520" s="12" t="s">
        <v>2371</v>
      </c>
      <c r="C520" s="12" t="s">
        <v>2372</v>
      </c>
      <c r="D520" s="12" t="s">
        <v>2373</v>
      </c>
      <c r="E520" s="12" t="s">
        <v>2374</v>
      </c>
      <c r="F520" s="12" t="s">
        <v>153</v>
      </c>
      <c r="G520" s="14"/>
      <c r="H520" s="12" t="s">
        <v>61</v>
      </c>
      <c r="I520" s="12" t="s">
        <v>230</v>
      </c>
      <c r="J520" s="12" t="s">
        <v>762</v>
      </c>
      <c r="K520" s="12" t="s">
        <v>199</v>
      </c>
      <c r="L520" s="14"/>
      <c r="M520" s="12" t="s">
        <v>43</v>
      </c>
      <c r="N520" s="12" t="s">
        <v>84</v>
      </c>
      <c r="O520" s="12" t="s">
        <v>2375</v>
      </c>
      <c r="P520" s="12" t="s">
        <v>66</v>
      </c>
      <c r="Q520" s="12" t="s">
        <v>764</v>
      </c>
      <c r="R520" s="12" t="s">
        <v>765</v>
      </c>
      <c r="S520" s="13">
        <v>197804351213</v>
      </c>
      <c r="T520" s="12" t="s">
        <v>235</v>
      </c>
      <c r="U520" s="12" t="s">
        <v>153</v>
      </c>
      <c r="V520" s="12" t="s">
        <v>665</v>
      </c>
      <c r="W520" s="12" t="s">
        <v>51</v>
      </c>
      <c r="X520" s="14"/>
      <c r="Y520" s="14"/>
      <c r="Z520" s="14"/>
      <c r="AA520" s="14"/>
      <c r="AB520" s="14"/>
      <c r="AC520" s="15">
        <v>40.950000000000003</v>
      </c>
      <c r="AD520" s="15">
        <f>AC520*AG520</f>
        <v>532.35</v>
      </c>
      <c r="AE520" s="15">
        <v>90</v>
      </c>
      <c r="AF520" s="15">
        <f>AE520*AG520</f>
        <v>1170</v>
      </c>
      <c r="AG520" s="16">
        <v>13</v>
      </c>
    </row>
    <row r="521" spans="1:33" ht="15" customHeight="1" x14ac:dyDescent="0.2">
      <c r="A521" s="11" t="str">
        <f t="shared" ref="A521:A612" si="223">HYPERLINK("https://assets.vans.eu/images/VN000PK1EMW-HERO/1","VN000PK1EMW1")</f>
        <v>VN000PK1EMW1</v>
      </c>
      <c r="B521" s="12" t="s">
        <v>2376</v>
      </c>
      <c r="C521" s="12" t="s">
        <v>1900</v>
      </c>
      <c r="D521" s="12" t="s">
        <v>147</v>
      </c>
      <c r="E521" s="12" t="s">
        <v>2377</v>
      </c>
      <c r="F521" s="12" t="s">
        <v>403</v>
      </c>
      <c r="G521" s="14"/>
      <c r="H521" s="12" t="s">
        <v>61</v>
      </c>
      <c r="I521" s="12" t="s">
        <v>289</v>
      </c>
      <c r="J521" s="12" t="s">
        <v>984</v>
      </c>
      <c r="K521" s="12" t="s">
        <v>100</v>
      </c>
      <c r="L521" s="14"/>
      <c r="M521" s="12" t="s">
        <v>43</v>
      </c>
      <c r="N521" s="12" t="s">
        <v>84</v>
      </c>
      <c r="O521" s="12" t="s">
        <v>2378</v>
      </c>
      <c r="P521" s="12" t="s">
        <v>66</v>
      </c>
      <c r="Q521" s="12" t="s">
        <v>764</v>
      </c>
      <c r="R521" s="12" t="s">
        <v>986</v>
      </c>
      <c r="S521" s="13">
        <v>197804360567</v>
      </c>
      <c r="T521" s="12" t="s">
        <v>235</v>
      </c>
      <c r="U521" s="12" t="s">
        <v>403</v>
      </c>
      <c r="V521" s="12" t="s">
        <v>90</v>
      </c>
      <c r="W521" s="12" t="s">
        <v>118</v>
      </c>
      <c r="X521" s="14"/>
      <c r="Y521" s="14"/>
      <c r="Z521" s="14"/>
      <c r="AA521" s="14"/>
      <c r="AB521" s="14"/>
      <c r="AC521" s="15">
        <v>56.85</v>
      </c>
      <c r="AD521" s="15">
        <f>AC521*AG521</f>
        <v>739.05000000000007</v>
      </c>
      <c r="AE521" s="15">
        <v>125</v>
      </c>
      <c r="AF521" s="15">
        <f>AE521*AG521</f>
        <v>1625</v>
      </c>
      <c r="AG521" s="16">
        <v>13</v>
      </c>
    </row>
    <row r="522" spans="1:33" ht="15" customHeight="1" x14ac:dyDescent="0.2">
      <c r="A522" s="11" t="str">
        <f>HYPERLINK("https://assets.vans.eu/images/VN000PQR02F-HERO/1","VN000PQR02F1")</f>
        <v>VN000PQR02F1</v>
      </c>
      <c r="B522" s="12" t="s">
        <v>2379</v>
      </c>
      <c r="C522" s="12" t="s">
        <v>2380</v>
      </c>
      <c r="D522" s="12" t="s">
        <v>857</v>
      </c>
      <c r="E522" s="12" t="s">
        <v>2381</v>
      </c>
      <c r="F522" s="12" t="s">
        <v>2382</v>
      </c>
      <c r="G522" s="14"/>
      <c r="H522" s="12" t="s">
        <v>61</v>
      </c>
      <c r="I522" s="12" t="s">
        <v>1340</v>
      </c>
      <c r="J522" s="12" t="s">
        <v>1341</v>
      </c>
      <c r="K522" s="12" t="s">
        <v>1022</v>
      </c>
      <c r="L522" s="14"/>
      <c r="M522" s="12" t="s">
        <v>43</v>
      </c>
      <c r="N522" s="12" t="s">
        <v>84</v>
      </c>
      <c r="O522" s="12" t="s">
        <v>2383</v>
      </c>
      <c r="P522" s="12" t="s">
        <v>66</v>
      </c>
      <c r="Q522" s="12" t="s">
        <v>67</v>
      </c>
      <c r="R522" s="12" t="s">
        <v>730</v>
      </c>
      <c r="S522" s="13">
        <v>197804363698</v>
      </c>
      <c r="T522" s="12" t="s">
        <v>709</v>
      </c>
      <c r="U522" s="12" t="s">
        <v>2382</v>
      </c>
      <c r="V522" s="12" t="s">
        <v>1092</v>
      </c>
      <c r="W522" s="12" t="s">
        <v>455</v>
      </c>
      <c r="X522" s="14"/>
      <c r="Y522" s="14"/>
      <c r="Z522" s="14"/>
      <c r="AA522" s="14"/>
      <c r="AB522" s="14"/>
      <c r="AC522" s="15">
        <v>27.3</v>
      </c>
      <c r="AD522" s="15">
        <f>AC522*AG522</f>
        <v>354.90000000000003</v>
      </c>
      <c r="AE522" s="15">
        <v>60</v>
      </c>
      <c r="AF522" s="15">
        <f>AE522*AG522</f>
        <v>780</v>
      </c>
      <c r="AG522" s="16">
        <v>13</v>
      </c>
    </row>
    <row r="523" spans="1:33" ht="15" customHeight="1" x14ac:dyDescent="0.2">
      <c r="A523" s="11" t="str">
        <f t="shared" ref="A523:A3491" si="224">HYPERLINK("https://assets.vans.eu/images/VN000PXTBLK-HERO/1","VN000PXTBLK1")</f>
        <v>VN000PXTBLK1</v>
      </c>
      <c r="B523" s="12" t="s">
        <v>2384</v>
      </c>
      <c r="C523" s="12" t="s">
        <v>2385</v>
      </c>
      <c r="D523" s="12" t="s">
        <v>76</v>
      </c>
      <c r="E523" s="12" t="s">
        <v>2386</v>
      </c>
      <c r="F523" s="12" t="s">
        <v>60</v>
      </c>
      <c r="G523" s="14"/>
      <c r="H523" s="12" t="s">
        <v>61</v>
      </c>
      <c r="I523" s="12" t="s">
        <v>62</v>
      </c>
      <c r="J523" s="12" t="s">
        <v>63</v>
      </c>
      <c r="K523" s="12" t="s">
        <v>64</v>
      </c>
      <c r="L523" s="14"/>
      <c r="M523" s="12" t="s">
        <v>43</v>
      </c>
      <c r="N523" s="12" t="s">
        <v>84</v>
      </c>
      <c r="O523" s="12" t="s">
        <v>2387</v>
      </c>
      <c r="P523" s="12" t="s">
        <v>66</v>
      </c>
      <c r="Q523" s="12" t="s">
        <v>67</v>
      </c>
      <c r="R523" s="12" t="s">
        <v>68</v>
      </c>
      <c r="S523" s="13">
        <v>197804607136</v>
      </c>
      <c r="T523" s="12" t="s">
        <v>69</v>
      </c>
      <c r="U523" s="12" t="s">
        <v>60</v>
      </c>
      <c r="V523" s="12" t="s">
        <v>70</v>
      </c>
      <c r="W523" s="12" t="s">
        <v>51</v>
      </c>
      <c r="X523" s="14"/>
      <c r="Y523" s="14"/>
      <c r="Z523" s="14"/>
      <c r="AA523" s="14"/>
      <c r="AB523" s="14"/>
      <c r="AC523" s="15">
        <v>13.65</v>
      </c>
      <c r="AD523" s="15">
        <f>AC523*AG523</f>
        <v>177.45000000000002</v>
      </c>
      <c r="AE523" s="15">
        <v>30</v>
      </c>
      <c r="AF523" s="15">
        <f>AE523*AG523</f>
        <v>390</v>
      </c>
      <c r="AG523" s="16">
        <v>13</v>
      </c>
    </row>
    <row r="524" spans="1:33" ht="15" customHeight="1" x14ac:dyDescent="0.2">
      <c r="A524" s="11" t="str">
        <f t="shared" si="204"/>
        <v>VN000R04EMF1</v>
      </c>
      <c r="B524" s="12" t="s">
        <v>2388</v>
      </c>
      <c r="C524" s="12" t="s">
        <v>1740</v>
      </c>
      <c r="D524" s="12" t="s">
        <v>1282</v>
      </c>
      <c r="E524" s="12" t="s">
        <v>2389</v>
      </c>
      <c r="F524" s="12" t="s">
        <v>403</v>
      </c>
      <c r="G524" s="14"/>
      <c r="H524" s="12" t="s">
        <v>61</v>
      </c>
      <c r="I524" s="12" t="s">
        <v>62</v>
      </c>
      <c r="J524" s="12" t="s">
        <v>63</v>
      </c>
      <c r="K524" s="12" t="s">
        <v>64</v>
      </c>
      <c r="L524" s="14"/>
      <c r="M524" s="12" t="s">
        <v>43</v>
      </c>
      <c r="N524" s="12" t="s">
        <v>84</v>
      </c>
      <c r="O524" s="12" t="s">
        <v>2390</v>
      </c>
      <c r="P524" s="12" t="s">
        <v>66</v>
      </c>
      <c r="Q524" s="12" t="s">
        <v>67</v>
      </c>
      <c r="R524" s="12" t="s">
        <v>68</v>
      </c>
      <c r="S524" s="13">
        <v>197804585168</v>
      </c>
      <c r="T524" s="12" t="s">
        <v>915</v>
      </c>
      <c r="U524" s="12" t="s">
        <v>403</v>
      </c>
      <c r="V524" s="12" t="s">
        <v>1028</v>
      </c>
      <c r="W524" s="12" t="s">
        <v>118</v>
      </c>
      <c r="X524" s="14"/>
      <c r="Y524" s="14"/>
      <c r="Z524" s="14"/>
      <c r="AA524" s="14"/>
      <c r="AB524" s="14"/>
      <c r="AC524" s="15">
        <v>13.65</v>
      </c>
      <c r="AD524" s="15">
        <f>AC524*AG524</f>
        <v>177.45000000000002</v>
      </c>
      <c r="AE524" s="15">
        <v>30</v>
      </c>
      <c r="AF524" s="15">
        <f>AE524*AG524</f>
        <v>390</v>
      </c>
      <c r="AG524" s="16">
        <v>13</v>
      </c>
    </row>
    <row r="525" spans="1:33" ht="15" customHeight="1" x14ac:dyDescent="0.2">
      <c r="A525" s="11" t="str">
        <f t="shared" ref="A525:A921" si="225">HYPERLINK("https://assets.vans.eu/images/VN000REFWHT-HERO/1","VN000REFWHT1")</f>
        <v>VN000REFWHT1</v>
      </c>
      <c r="B525" s="12" t="s">
        <v>2391</v>
      </c>
      <c r="C525" s="12" t="s">
        <v>2392</v>
      </c>
      <c r="D525" s="12" t="s">
        <v>168</v>
      </c>
      <c r="E525" s="12" t="s">
        <v>2393</v>
      </c>
      <c r="F525" s="12" t="s">
        <v>170</v>
      </c>
      <c r="G525" s="14"/>
      <c r="H525" s="12" t="s">
        <v>61</v>
      </c>
      <c r="I525" s="12" t="s">
        <v>289</v>
      </c>
      <c r="J525" s="12" t="s">
        <v>706</v>
      </c>
      <c r="K525" s="12" t="s">
        <v>100</v>
      </c>
      <c r="L525" s="12" t="s">
        <v>83</v>
      </c>
      <c r="M525" s="12" t="s">
        <v>43</v>
      </c>
      <c r="N525" s="12" t="s">
        <v>84</v>
      </c>
      <c r="O525" s="12" t="s">
        <v>2394</v>
      </c>
      <c r="P525" s="12" t="s">
        <v>66</v>
      </c>
      <c r="Q525" s="12" t="s">
        <v>67</v>
      </c>
      <c r="R525" s="12" t="s">
        <v>1146</v>
      </c>
      <c r="S525" s="13">
        <v>197804298990</v>
      </c>
      <c r="T525" s="12" t="s">
        <v>422</v>
      </c>
      <c r="U525" s="12" t="s">
        <v>170</v>
      </c>
      <c r="V525" s="12" t="s">
        <v>423</v>
      </c>
      <c r="W525" s="12" t="s">
        <v>175</v>
      </c>
      <c r="X525" s="14"/>
      <c r="Y525" s="14"/>
      <c r="Z525" s="14"/>
      <c r="AA525" s="14"/>
      <c r="AB525" s="14"/>
      <c r="AC525" s="15">
        <v>18.2</v>
      </c>
      <c r="AD525" s="15">
        <f>AC525*AG525</f>
        <v>236.6</v>
      </c>
      <c r="AE525" s="15">
        <v>40</v>
      </c>
      <c r="AF525" s="15">
        <f>AE525*AG525</f>
        <v>520</v>
      </c>
      <c r="AG525" s="16">
        <v>13</v>
      </c>
    </row>
    <row r="526" spans="1:33" ht="15" customHeight="1" x14ac:dyDescent="0.2">
      <c r="A526" s="11" t="str">
        <f t="shared" ref="A526:A926" si="226">HYPERLINK("https://assets.vans.eu/images/VN0A3W76EMY-HERO/1","VN0A3W76EMY1")</f>
        <v>VN0A3W76EMY1</v>
      </c>
      <c r="B526" s="12" t="s">
        <v>2395</v>
      </c>
      <c r="C526" s="12" t="s">
        <v>2396</v>
      </c>
      <c r="D526" s="12" t="s">
        <v>1155</v>
      </c>
      <c r="E526" s="12" t="s">
        <v>2397</v>
      </c>
      <c r="F526" s="13">
        <v>5</v>
      </c>
      <c r="G526" s="14"/>
      <c r="H526" s="12" t="s">
        <v>61</v>
      </c>
      <c r="I526" s="12" t="s">
        <v>1340</v>
      </c>
      <c r="J526" s="12" t="s">
        <v>1341</v>
      </c>
      <c r="K526" s="12" t="s">
        <v>64</v>
      </c>
      <c r="L526" s="14"/>
      <c r="M526" s="12" t="s">
        <v>43</v>
      </c>
      <c r="N526" s="12" t="s">
        <v>84</v>
      </c>
      <c r="O526" s="12" t="s">
        <v>2398</v>
      </c>
      <c r="P526" s="12" t="s">
        <v>66</v>
      </c>
      <c r="Q526" s="12" t="s">
        <v>67</v>
      </c>
      <c r="R526" s="12" t="s">
        <v>68</v>
      </c>
      <c r="S526" s="13">
        <v>197804613700</v>
      </c>
      <c r="T526" s="12" t="s">
        <v>422</v>
      </c>
      <c r="U526" s="13">
        <v>5</v>
      </c>
      <c r="V526" s="12" t="s">
        <v>70</v>
      </c>
      <c r="W526" s="12" t="s">
        <v>107</v>
      </c>
      <c r="X526" s="14"/>
      <c r="Y526" s="14"/>
      <c r="Z526" s="14"/>
      <c r="AA526" s="14"/>
      <c r="AB526" s="14"/>
      <c r="AC526" s="15">
        <v>9.1</v>
      </c>
      <c r="AD526" s="15">
        <f>AC526*AG526</f>
        <v>118.3</v>
      </c>
      <c r="AE526" s="15">
        <v>20</v>
      </c>
      <c r="AF526" s="15">
        <f>AE526*AG526</f>
        <v>260</v>
      </c>
      <c r="AG526" s="16">
        <v>13</v>
      </c>
    </row>
    <row r="527" spans="1:33" ht="15" customHeight="1" x14ac:dyDescent="0.2">
      <c r="A527" s="11" t="str">
        <f>HYPERLINK("https://assets.vans.eu/images/VN0005V8BLK-HERO/1","VN0005V8BLK1")</f>
        <v>VN0005V8BLK1</v>
      </c>
      <c r="B527" s="12" t="s">
        <v>2399</v>
      </c>
      <c r="C527" s="12" t="s">
        <v>2400</v>
      </c>
      <c r="D527" s="12" t="s">
        <v>76</v>
      </c>
      <c r="E527" s="12" t="s">
        <v>2401</v>
      </c>
      <c r="F527" s="13">
        <v>40</v>
      </c>
      <c r="G527" s="14"/>
      <c r="H527" s="12" t="s">
        <v>38</v>
      </c>
      <c r="I527" s="12" t="s">
        <v>159</v>
      </c>
      <c r="J527" s="12" t="s">
        <v>255</v>
      </c>
      <c r="K527" s="12" t="s">
        <v>82</v>
      </c>
      <c r="L527" s="14"/>
      <c r="M527" s="12" t="s">
        <v>43</v>
      </c>
      <c r="N527" s="12" t="s">
        <v>44</v>
      </c>
      <c r="O527" s="12" t="s">
        <v>2402</v>
      </c>
      <c r="P527" s="12" t="s">
        <v>46</v>
      </c>
      <c r="Q527" s="12" t="s">
        <v>276</v>
      </c>
      <c r="R527" s="12" t="s">
        <v>277</v>
      </c>
      <c r="S527" s="13">
        <v>196571281136</v>
      </c>
      <c r="T527" s="12" t="s">
        <v>49</v>
      </c>
      <c r="U527" s="13">
        <v>35</v>
      </c>
      <c r="V527" s="12" t="s">
        <v>278</v>
      </c>
      <c r="W527" s="12" t="s">
        <v>51</v>
      </c>
      <c r="X527" s="14"/>
      <c r="Y527" s="12" t="s">
        <v>91</v>
      </c>
      <c r="Z527" s="12" t="s">
        <v>165</v>
      </c>
      <c r="AA527" s="14"/>
      <c r="AB527" s="14"/>
      <c r="AC527" s="15">
        <v>25</v>
      </c>
      <c r="AD527" s="15">
        <f>AC527*AG527</f>
        <v>325</v>
      </c>
      <c r="AE527" s="15">
        <v>55</v>
      </c>
      <c r="AF527" s="15">
        <f>AE527*AG527</f>
        <v>715</v>
      </c>
      <c r="AG527" s="16">
        <v>13</v>
      </c>
    </row>
    <row r="528" spans="1:33" ht="15" customHeight="1" x14ac:dyDescent="0.2">
      <c r="A528" s="11" t="str">
        <f t="shared" ref="A528:A1832" si="227">HYPERLINK("https://assets.vans.eu/images/VN000CS5PIB-HERO/1","VN000CS5PIB1")</f>
        <v>VN000CS5PIB1</v>
      </c>
      <c r="B528" s="12" t="s">
        <v>2403</v>
      </c>
      <c r="C528" s="12" t="s">
        <v>828</v>
      </c>
      <c r="D528" s="12" t="s">
        <v>829</v>
      </c>
      <c r="E528" s="12" t="s">
        <v>2404</v>
      </c>
      <c r="F528" s="13">
        <v>20</v>
      </c>
      <c r="G528" s="12" t="s">
        <v>831</v>
      </c>
      <c r="H528" s="12" t="s">
        <v>38</v>
      </c>
      <c r="I528" s="12" t="s">
        <v>776</v>
      </c>
      <c r="J528" s="12" t="s">
        <v>777</v>
      </c>
      <c r="K528" s="12" t="s">
        <v>778</v>
      </c>
      <c r="L528" s="14"/>
      <c r="M528" s="12" t="s">
        <v>43</v>
      </c>
      <c r="N528" s="12" t="s">
        <v>84</v>
      </c>
      <c r="O528" s="12" t="s">
        <v>2405</v>
      </c>
      <c r="P528" s="12" t="s">
        <v>46</v>
      </c>
      <c r="Q528" s="12" t="s">
        <v>47</v>
      </c>
      <c r="R528" s="12" t="s">
        <v>48</v>
      </c>
      <c r="S528" s="13">
        <v>197804509997</v>
      </c>
      <c r="T528" s="12" t="s">
        <v>49</v>
      </c>
      <c r="U528" s="13">
        <v>17</v>
      </c>
      <c r="V528" s="12" t="s">
        <v>50</v>
      </c>
      <c r="W528" s="12" t="s">
        <v>299</v>
      </c>
      <c r="X528" s="14"/>
      <c r="Y528" s="14"/>
      <c r="Z528" s="14"/>
      <c r="AA528" s="14"/>
      <c r="AB528" s="14"/>
      <c r="AC528" s="15">
        <v>15.95</v>
      </c>
      <c r="AD528" s="15">
        <f>AC528*AG528</f>
        <v>207.35</v>
      </c>
      <c r="AE528" s="15">
        <v>35</v>
      </c>
      <c r="AF528" s="15">
        <f>AE528*AG528</f>
        <v>455</v>
      </c>
      <c r="AG528" s="16">
        <v>13</v>
      </c>
    </row>
    <row r="529" spans="1:33" ht="15" customHeight="1" x14ac:dyDescent="0.2">
      <c r="A529" s="11" t="str">
        <f t="shared" ref="A529:A1848" si="228">HYPERLINK("https://assets.vans.eu/images/VN000CVVKAQ-HERO/1","VN000CVVKAQ1")</f>
        <v>VN000CVVKAQ1</v>
      </c>
      <c r="B529" s="12" t="s">
        <v>2406</v>
      </c>
      <c r="C529" s="12" t="s">
        <v>2407</v>
      </c>
      <c r="D529" s="12" t="s">
        <v>2408</v>
      </c>
      <c r="E529" s="12" t="s">
        <v>2409</v>
      </c>
      <c r="F529" s="13">
        <v>65</v>
      </c>
      <c r="G529" s="14"/>
      <c r="H529" s="12" t="s">
        <v>38</v>
      </c>
      <c r="I529" s="12" t="s">
        <v>113</v>
      </c>
      <c r="J529" s="12" t="s">
        <v>529</v>
      </c>
      <c r="K529" s="12" t="s">
        <v>82</v>
      </c>
      <c r="L529" s="14"/>
      <c r="M529" s="12" t="s">
        <v>43</v>
      </c>
      <c r="N529" s="12" t="s">
        <v>161</v>
      </c>
      <c r="O529" s="12" t="s">
        <v>2410</v>
      </c>
      <c r="P529" s="12" t="s">
        <v>46</v>
      </c>
      <c r="Q529" s="12" t="s">
        <v>47</v>
      </c>
      <c r="R529" s="12" t="s">
        <v>117</v>
      </c>
      <c r="S529" s="13">
        <v>197065572358</v>
      </c>
      <c r="T529" s="12" t="s">
        <v>49</v>
      </c>
      <c r="U529" s="13">
        <v>38.5</v>
      </c>
      <c r="V529" s="12" t="s">
        <v>278</v>
      </c>
      <c r="W529" s="12" t="s">
        <v>455</v>
      </c>
      <c r="X529" s="14"/>
      <c r="Y529" s="12" t="s">
        <v>91</v>
      </c>
      <c r="Z529" s="12" t="s">
        <v>165</v>
      </c>
      <c r="AA529" s="14"/>
      <c r="AB529" s="14"/>
      <c r="AC529" s="15">
        <v>68.2</v>
      </c>
      <c r="AD529" s="15">
        <f>AC529*AG529</f>
        <v>886.6</v>
      </c>
      <c r="AE529" s="15">
        <v>150</v>
      </c>
      <c r="AF529" s="15">
        <f>AE529*AG529</f>
        <v>1950</v>
      </c>
      <c r="AG529" s="16">
        <v>13</v>
      </c>
    </row>
    <row r="530" spans="1:33" ht="15" customHeight="1" x14ac:dyDescent="0.2">
      <c r="A530" s="11" t="str">
        <f>HYPERLINK("https://assets.vans.eu/images/VN000CZ71NU-HERO/1","VN000CZ71NU1")</f>
        <v>VN000CZ71NU1</v>
      </c>
      <c r="B530" s="12" t="s">
        <v>2411</v>
      </c>
      <c r="C530" s="12" t="s">
        <v>2412</v>
      </c>
      <c r="D530" s="12" t="s">
        <v>783</v>
      </c>
      <c r="E530" s="12" t="s">
        <v>2413</v>
      </c>
      <c r="F530" s="13">
        <v>135</v>
      </c>
      <c r="G530" s="14"/>
      <c r="H530" s="12" t="s">
        <v>38</v>
      </c>
      <c r="I530" s="12" t="s">
        <v>39</v>
      </c>
      <c r="J530" s="12" t="s">
        <v>40</v>
      </c>
      <c r="K530" s="12" t="s">
        <v>41</v>
      </c>
      <c r="L530" s="14"/>
      <c r="M530" s="12" t="s">
        <v>43</v>
      </c>
      <c r="N530" s="12" t="s">
        <v>84</v>
      </c>
      <c r="O530" s="12" t="s">
        <v>2414</v>
      </c>
      <c r="P530" s="12" t="s">
        <v>46</v>
      </c>
      <c r="Q530" s="12" t="s">
        <v>47</v>
      </c>
      <c r="R530" s="12" t="s">
        <v>313</v>
      </c>
      <c r="S530" s="13">
        <v>197804519910</v>
      </c>
      <c r="T530" s="12" t="s">
        <v>105</v>
      </c>
      <c r="U530" s="13">
        <v>31</v>
      </c>
      <c r="V530" s="12" t="s">
        <v>50</v>
      </c>
      <c r="W530" s="12" t="s">
        <v>186</v>
      </c>
      <c r="X530" s="14"/>
      <c r="Y530" s="14"/>
      <c r="Z530" s="14"/>
      <c r="AA530" s="14"/>
      <c r="AB530" s="14"/>
      <c r="AC530" s="15">
        <v>27.3</v>
      </c>
      <c r="AD530" s="15">
        <f>AC530*AG530</f>
        <v>354.90000000000003</v>
      </c>
      <c r="AE530" s="15">
        <v>60</v>
      </c>
      <c r="AF530" s="15">
        <f>AE530*AG530</f>
        <v>780</v>
      </c>
      <c r="AG530" s="16">
        <v>13</v>
      </c>
    </row>
    <row r="531" spans="1:33" ht="15" customHeight="1" x14ac:dyDescent="0.2">
      <c r="A531" s="11" t="str">
        <f t="shared" ref="A531:A753" si="229">HYPERLINK("https://assets.vans.eu/images/VN000D0HEMY-HERO/1","VN000D0HEMY1")</f>
        <v>VN000D0HEMY1</v>
      </c>
      <c r="B531" s="12" t="s">
        <v>2415</v>
      </c>
      <c r="C531" s="12" t="s">
        <v>1108</v>
      </c>
      <c r="D531" s="12" t="s">
        <v>1155</v>
      </c>
      <c r="E531" s="12" t="s">
        <v>2416</v>
      </c>
      <c r="F531" s="13">
        <v>135</v>
      </c>
      <c r="G531" s="12" t="s">
        <v>2417</v>
      </c>
      <c r="H531" s="12" t="s">
        <v>38</v>
      </c>
      <c r="I531" s="12" t="s">
        <v>39</v>
      </c>
      <c r="J531" s="12" t="s">
        <v>40</v>
      </c>
      <c r="K531" s="12" t="s">
        <v>41</v>
      </c>
      <c r="L531" s="14"/>
      <c r="M531" s="12" t="s">
        <v>43</v>
      </c>
      <c r="N531" s="12" t="s">
        <v>84</v>
      </c>
      <c r="O531" s="12" t="s">
        <v>2418</v>
      </c>
      <c r="P531" s="12" t="s">
        <v>46</v>
      </c>
      <c r="Q531" s="12" t="s">
        <v>47</v>
      </c>
      <c r="R531" s="12" t="s">
        <v>780</v>
      </c>
      <c r="S531" s="13">
        <v>197804436958</v>
      </c>
      <c r="T531" s="12" t="s">
        <v>105</v>
      </c>
      <c r="U531" s="13">
        <v>31</v>
      </c>
      <c r="V531" s="12" t="s">
        <v>50</v>
      </c>
      <c r="W531" s="12" t="s">
        <v>107</v>
      </c>
      <c r="X531" s="14"/>
      <c r="Y531" s="14"/>
      <c r="Z531" s="14"/>
      <c r="AA531" s="14"/>
      <c r="AB531" s="14"/>
      <c r="AC531" s="15">
        <v>34.1</v>
      </c>
      <c r="AD531" s="15">
        <f>AC531*AG531</f>
        <v>443.3</v>
      </c>
      <c r="AE531" s="15">
        <v>75</v>
      </c>
      <c r="AF531" s="15">
        <f>AE531*AG531</f>
        <v>975</v>
      </c>
      <c r="AG531" s="16">
        <v>13</v>
      </c>
    </row>
    <row r="532" spans="1:33" ht="15" customHeight="1" x14ac:dyDescent="0.2">
      <c r="A532" s="11" t="str">
        <f t="shared" ref="A532:A944" si="230">HYPERLINK("https://assets.vans.eu/images/VN000D0HKCZ-HERO/1","VN000D0HKCZ1")</f>
        <v>VN000D0HKCZ1</v>
      </c>
      <c r="B532" s="12" t="s">
        <v>2419</v>
      </c>
      <c r="C532" s="12" t="s">
        <v>1108</v>
      </c>
      <c r="D532" s="12" t="s">
        <v>1109</v>
      </c>
      <c r="E532" s="12" t="s">
        <v>2420</v>
      </c>
      <c r="F532" s="13">
        <v>115</v>
      </c>
      <c r="G532" s="12" t="s">
        <v>1111</v>
      </c>
      <c r="H532" s="12" t="s">
        <v>38</v>
      </c>
      <c r="I532" s="12" t="s">
        <v>39</v>
      </c>
      <c r="J532" s="12" t="s">
        <v>40</v>
      </c>
      <c r="K532" s="12" t="s">
        <v>41</v>
      </c>
      <c r="L532" s="14"/>
      <c r="M532" s="12" t="s">
        <v>43</v>
      </c>
      <c r="N532" s="12" t="s">
        <v>84</v>
      </c>
      <c r="O532" s="12" t="s">
        <v>2421</v>
      </c>
      <c r="P532" s="12" t="s">
        <v>46</v>
      </c>
      <c r="Q532" s="12" t="s">
        <v>47</v>
      </c>
      <c r="R532" s="12" t="s">
        <v>780</v>
      </c>
      <c r="S532" s="13">
        <v>197804436446</v>
      </c>
      <c r="T532" s="12" t="s">
        <v>105</v>
      </c>
      <c r="U532" s="13">
        <v>28</v>
      </c>
      <c r="V532" s="12" t="s">
        <v>50</v>
      </c>
      <c r="W532" s="12" t="s">
        <v>118</v>
      </c>
      <c r="X532" s="14"/>
      <c r="Y532" s="14"/>
      <c r="Z532" s="14"/>
      <c r="AA532" s="14"/>
      <c r="AB532" s="14"/>
      <c r="AC532" s="15">
        <v>34.1</v>
      </c>
      <c r="AD532" s="15">
        <f>AC532*AG532</f>
        <v>443.3</v>
      </c>
      <c r="AE532" s="15">
        <v>75</v>
      </c>
      <c r="AF532" s="15">
        <f>AE532*AG532</f>
        <v>975</v>
      </c>
      <c r="AG532" s="16">
        <v>13</v>
      </c>
    </row>
    <row r="533" spans="1:33" ht="15" customHeight="1" x14ac:dyDescent="0.2">
      <c r="A533" s="11" t="str">
        <f t="shared" ref="A533:A761" si="231">HYPERLINK("https://assets.vans.eu/images/VN000D2VZ3R-HERO/1","VN000D2VZ3R1")</f>
        <v>VN000D2VZ3R1</v>
      </c>
      <c r="B533" s="12" t="s">
        <v>2422</v>
      </c>
      <c r="C533" s="12" t="s">
        <v>34</v>
      </c>
      <c r="D533" s="12" t="s">
        <v>2423</v>
      </c>
      <c r="E533" s="12" t="s">
        <v>2424</v>
      </c>
      <c r="F533" s="13">
        <v>50</v>
      </c>
      <c r="G533" s="14"/>
      <c r="H533" s="12" t="s">
        <v>38</v>
      </c>
      <c r="I533" s="12" t="s">
        <v>205</v>
      </c>
      <c r="J533" s="12" t="s">
        <v>206</v>
      </c>
      <c r="K533" s="12" t="s">
        <v>207</v>
      </c>
      <c r="L533" s="12" t="s">
        <v>260</v>
      </c>
      <c r="M533" s="12" t="s">
        <v>43</v>
      </c>
      <c r="N533" s="12" t="s">
        <v>84</v>
      </c>
      <c r="O533" s="12" t="s">
        <v>2425</v>
      </c>
      <c r="P533" s="12" t="s">
        <v>46</v>
      </c>
      <c r="Q533" s="12" t="s">
        <v>47</v>
      </c>
      <c r="R533" s="12" t="s">
        <v>48</v>
      </c>
      <c r="S533" s="13">
        <v>197804612307</v>
      </c>
      <c r="T533" s="12" t="s">
        <v>105</v>
      </c>
      <c r="U533" s="13">
        <v>36.5</v>
      </c>
      <c r="V533" s="12" t="s">
        <v>50</v>
      </c>
      <c r="W533" s="12" t="s">
        <v>118</v>
      </c>
      <c r="X533" s="14"/>
      <c r="Y533" s="14"/>
      <c r="Z533" s="14"/>
      <c r="AA533" s="14"/>
      <c r="AB533" s="14"/>
      <c r="AC533" s="15">
        <v>31.85</v>
      </c>
      <c r="AD533" s="15">
        <f>AC533*AG533</f>
        <v>414.05</v>
      </c>
      <c r="AE533" s="15">
        <v>70</v>
      </c>
      <c r="AF533" s="15">
        <f>AE533*AG533</f>
        <v>910</v>
      </c>
      <c r="AG533" s="16">
        <v>13</v>
      </c>
    </row>
    <row r="534" spans="1:33" ht="15" customHeight="1" x14ac:dyDescent="0.2">
      <c r="A534" s="11" t="str">
        <f t="shared" ref="A534:A695" si="232">HYPERLINK("https://assets.vans.eu/images/VN000DCJGRN-HERO/1","VN000DCJGRN1")</f>
        <v>VN000DCJGRN1</v>
      </c>
      <c r="B534" s="12" t="s">
        <v>2426</v>
      </c>
      <c r="C534" s="12" t="s">
        <v>2427</v>
      </c>
      <c r="D534" s="12" t="s">
        <v>2428</v>
      </c>
      <c r="E534" s="12" t="s">
        <v>2429</v>
      </c>
      <c r="F534" s="13">
        <v>30</v>
      </c>
      <c r="G534" s="14"/>
      <c r="H534" s="12" t="s">
        <v>38</v>
      </c>
      <c r="I534" s="12" t="s">
        <v>39</v>
      </c>
      <c r="J534" s="12" t="s">
        <v>2430</v>
      </c>
      <c r="K534" s="12" t="s">
        <v>373</v>
      </c>
      <c r="L534" s="14"/>
      <c r="M534" s="12" t="s">
        <v>43</v>
      </c>
      <c r="N534" s="12" t="s">
        <v>84</v>
      </c>
      <c r="O534" s="12" t="s">
        <v>2431</v>
      </c>
      <c r="P534" s="12" t="s">
        <v>46</v>
      </c>
      <c r="Q534" s="12" t="s">
        <v>2432</v>
      </c>
      <c r="R534" s="12" t="s">
        <v>2433</v>
      </c>
      <c r="S534" s="13">
        <v>197804564330</v>
      </c>
      <c r="T534" s="12" t="s">
        <v>49</v>
      </c>
      <c r="U534" s="13">
        <v>34</v>
      </c>
      <c r="V534" s="12" t="s">
        <v>50</v>
      </c>
      <c r="W534" s="12" t="s">
        <v>118</v>
      </c>
      <c r="X534" s="14"/>
      <c r="Y534" s="14"/>
      <c r="Z534" s="14"/>
      <c r="AA534" s="14"/>
      <c r="AB534" s="14"/>
      <c r="AC534" s="15">
        <v>31.85</v>
      </c>
      <c r="AD534" s="15">
        <f>AC534*AG534</f>
        <v>414.05</v>
      </c>
      <c r="AE534" s="15">
        <v>70</v>
      </c>
      <c r="AF534" s="15">
        <f>AE534*AG534</f>
        <v>910</v>
      </c>
      <c r="AG534" s="16">
        <v>13</v>
      </c>
    </row>
    <row r="535" spans="1:33" ht="15" customHeight="1" x14ac:dyDescent="0.2">
      <c r="A535" s="11" t="str">
        <f t="shared" ref="A535:A4604" si="233">HYPERLINK("https://assets.vans.eu/images/VN000E87BA2-HERO/1","VN000E87BA21")</f>
        <v>VN000E87BA21</v>
      </c>
      <c r="B535" s="12" t="s">
        <v>2434</v>
      </c>
      <c r="C535" s="12" t="s">
        <v>2435</v>
      </c>
      <c r="D535" s="12" t="s">
        <v>1844</v>
      </c>
      <c r="E535" s="12" t="s">
        <v>2436</v>
      </c>
      <c r="F535" s="13">
        <v>130</v>
      </c>
      <c r="G535" s="12" t="s">
        <v>2437</v>
      </c>
      <c r="H535" s="12" t="s">
        <v>38</v>
      </c>
      <c r="I535" s="12" t="s">
        <v>113</v>
      </c>
      <c r="J535" s="12" t="s">
        <v>114</v>
      </c>
      <c r="K535" s="12" t="s">
        <v>82</v>
      </c>
      <c r="L535" s="12" t="s">
        <v>115</v>
      </c>
      <c r="M535" s="12" t="s">
        <v>43</v>
      </c>
      <c r="N535" s="12" t="s">
        <v>84</v>
      </c>
      <c r="O535" s="12" t="s">
        <v>2438</v>
      </c>
      <c r="P535" s="12" t="s">
        <v>46</v>
      </c>
      <c r="Q535" s="12" t="s">
        <v>47</v>
      </c>
      <c r="R535" s="12" t="s">
        <v>117</v>
      </c>
      <c r="S535" s="13">
        <v>197805861544</v>
      </c>
      <c r="T535" s="12" t="s">
        <v>49</v>
      </c>
      <c r="U535" s="13">
        <v>47</v>
      </c>
      <c r="V535" s="12" t="s">
        <v>209</v>
      </c>
      <c r="W535" s="12" t="s">
        <v>51</v>
      </c>
      <c r="X535" s="14"/>
      <c r="Y535" s="14"/>
      <c r="Z535" s="14"/>
      <c r="AA535" s="14"/>
      <c r="AB535" s="14"/>
      <c r="AC535" s="15">
        <v>45.5</v>
      </c>
      <c r="AD535" s="15">
        <f>AC535*AG535</f>
        <v>591.5</v>
      </c>
      <c r="AE535" s="15">
        <v>100</v>
      </c>
      <c r="AF535" s="15">
        <f>AE535*AG535</f>
        <v>1300</v>
      </c>
      <c r="AG535" s="16">
        <v>13</v>
      </c>
    </row>
    <row r="536" spans="1:33" ht="15" customHeight="1" x14ac:dyDescent="0.2">
      <c r="A536" s="11" t="str">
        <f t="shared" ref="A536:A770" si="234">HYPERLINK("https://assets.vans.eu/images/VN000E9ZYF5-HERO/1","VN000E9ZYF51")</f>
        <v>VN000E9ZYF51</v>
      </c>
      <c r="B536" s="12" t="s">
        <v>2439</v>
      </c>
      <c r="C536" s="12" t="s">
        <v>110</v>
      </c>
      <c r="D536" s="12" t="s">
        <v>924</v>
      </c>
      <c r="E536" s="12" t="s">
        <v>2440</v>
      </c>
      <c r="F536" s="13">
        <v>55</v>
      </c>
      <c r="G536" s="14"/>
      <c r="H536" s="12" t="s">
        <v>38</v>
      </c>
      <c r="I536" s="12" t="s">
        <v>205</v>
      </c>
      <c r="J536" s="12" t="s">
        <v>206</v>
      </c>
      <c r="K536" s="12" t="s">
        <v>207</v>
      </c>
      <c r="L536" s="12" t="s">
        <v>260</v>
      </c>
      <c r="M536" s="12" t="s">
        <v>43</v>
      </c>
      <c r="N536" s="12" t="s">
        <v>84</v>
      </c>
      <c r="O536" s="12" t="s">
        <v>2441</v>
      </c>
      <c r="P536" s="12" t="s">
        <v>46</v>
      </c>
      <c r="Q536" s="12" t="s">
        <v>47</v>
      </c>
      <c r="R536" s="12" t="s">
        <v>48</v>
      </c>
      <c r="S536" s="13">
        <v>197804867349</v>
      </c>
      <c r="T536" s="12" t="s">
        <v>105</v>
      </c>
      <c r="U536" s="13">
        <v>37</v>
      </c>
      <c r="V536" s="12" t="s">
        <v>50</v>
      </c>
      <c r="W536" s="12" t="s">
        <v>284</v>
      </c>
      <c r="X536" s="14"/>
      <c r="Y536" s="14"/>
      <c r="Z536" s="14"/>
      <c r="AA536" s="14"/>
      <c r="AB536" s="14"/>
      <c r="AC536" s="15">
        <v>34.1</v>
      </c>
      <c r="AD536" s="15">
        <f>AC536*AG536</f>
        <v>443.3</v>
      </c>
      <c r="AE536" s="15">
        <v>75</v>
      </c>
      <c r="AF536" s="15">
        <f>AE536*AG536</f>
        <v>975</v>
      </c>
      <c r="AG536" s="16">
        <v>13</v>
      </c>
    </row>
    <row r="537" spans="1:33" ht="15" customHeight="1" x14ac:dyDescent="0.2">
      <c r="A537" s="11" t="str">
        <f t="shared" si="168"/>
        <v>VN000EE1I6Y1</v>
      </c>
      <c r="B537" s="12" t="s">
        <v>2442</v>
      </c>
      <c r="C537" s="12" t="s">
        <v>238</v>
      </c>
      <c r="D537" s="12" t="s">
        <v>1927</v>
      </c>
      <c r="E537" s="12" t="s">
        <v>2443</v>
      </c>
      <c r="F537" s="13">
        <v>50</v>
      </c>
      <c r="G537" s="14"/>
      <c r="H537" s="12" t="s">
        <v>38</v>
      </c>
      <c r="I537" s="12" t="s">
        <v>242</v>
      </c>
      <c r="J537" s="12" t="s">
        <v>243</v>
      </c>
      <c r="K537" s="12" t="s">
        <v>244</v>
      </c>
      <c r="L537" s="12" t="s">
        <v>115</v>
      </c>
      <c r="M537" s="12" t="s">
        <v>43</v>
      </c>
      <c r="N537" s="12" t="s">
        <v>84</v>
      </c>
      <c r="O537" s="12" t="s">
        <v>2444</v>
      </c>
      <c r="P537" s="12" t="s">
        <v>46</v>
      </c>
      <c r="Q537" s="12" t="s">
        <v>47</v>
      </c>
      <c r="R537" s="12" t="s">
        <v>48</v>
      </c>
      <c r="S537" s="13">
        <v>197805786960</v>
      </c>
      <c r="T537" s="12" t="s">
        <v>164</v>
      </c>
      <c r="U537" s="13">
        <v>21</v>
      </c>
      <c r="V537" s="12" t="s">
        <v>50</v>
      </c>
      <c r="W537" s="12" t="s">
        <v>625</v>
      </c>
      <c r="X537" s="14"/>
      <c r="Y537" s="14"/>
      <c r="Z537" s="14"/>
      <c r="AA537" s="14"/>
      <c r="AB537" s="14"/>
      <c r="AC537" s="15">
        <v>20.5</v>
      </c>
      <c r="AD537" s="15">
        <f>AC537*AG537</f>
        <v>266.5</v>
      </c>
      <c r="AE537" s="15">
        <v>45</v>
      </c>
      <c r="AF537" s="15">
        <f>AE537*AG537</f>
        <v>585</v>
      </c>
      <c r="AG537" s="16">
        <v>13</v>
      </c>
    </row>
    <row r="538" spans="1:33" ht="15" customHeight="1" x14ac:dyDescent="0.2">
      <c r="A538" s="11" t="str">
        <f>HYPERLINK("https://assets.vans.eu/images/VN0A5HF8BLK-HERO/1","VN0A5HF8BLK1")</f>
        <v>VN0A5HF8BLK1</v>
      </c>
      <c r="B538" s="12" t="s">
        <v>2445</v>
      </c>
      <c r="C538" s="12" t="s">
        <v>272</v>
      </c>
      <c r="D538" s="12" t="s">
        <v>76</v>
      </c>
      <c r="E538" s="12" t="s">
        <v>2446</v>
      </c>
      <c r="F538" s="13">
        <v>60</v>
      </c>
      <c r="G538" s="14"/>
      <c r="H538" s="12" t="s">
        <v>38</v>
      </c>
      <c r="I538" s="12" t="s">
        <v>159</v>
      </c>
      <c r="J538" s="12" t="s">
        <v>255</v>
      </c>
      <c r="K538" s="12" t="s">
        <v>82</v>
      </c>
      <c r="L538" s="14"/>
      <c r="M538" s="12" t="s">
        <v>43</v>
      </c>
      <c r="N538" s="12" t="s">
        <v>274</v>
      </c>
      <c r="O538" s="12" t="s">
        <v>2447</v>
      </c>
      <c r="P538" s="12" t="s">
        <v>46</v>
      </c>
      <c r="Q538" s="12" t="s">
        <v>276</v>
      </c>
      <c r="R538" s="12" t="s">
        <v>277</v>
      </c>
      <c r="S538" s="13">
        <v>194901731696</v>
      </c>
      <c r="T538" s="12" t="s">
        <v>143</v>
      </c>
      <c r="U538" s="13">
        <v>38</v>
      </c>
      <c r="V538" s="12" t="s">
        <v>278</v>
      </c>
      <c r="W538" s="12" t="s">
        <v>51</v>
      </c>
      <c r="X538" s="14"/>
      <c r="Y538" s="12" t="s">
        <v>91</v>
      </c>
      <c r="Z538" s="12" t="s">
        <v>165</v>
      </c>
      <c r="AA538" s="14"/>
      <c r="AB538" s="14"/>
      <c r="AC538" s="15">
        <v>27.3</v>
      </c>
      <c r="AD538" s="15">
        <f>AC538*AG538</f>
        <v>354.90000000000003</v>
      </c>
      <c r="AE538" s="15">
        <v>60</v>
      </c>
      <c r="AF538" s="15">
        <f>AE538*AG538</f>
        <v>780</v>
      </c>
      <c r="AG538" s="16">
        <v>13</v>
      </c>
    </row>
    <row r="539" spans="1:33" ht="15" customHeight="1" x14ac:dyDescent="0.2">
      <c r="A539" s="11" t="str">
        <f t="shared" ref="A539:A867" si="235">HYPERLINK("https://assets.vans.eu/images/VN0A5HYWYOH-HERO/1","VN0A5HYWYOH1")</f>
        <v>VN0A5HYWYOH1</v>
      </c>
      <c r="B539" s="12" t="s">
        <v>2448</v>
      </c>
      <c r="C539" s="12" t="s">
        <v>2449</v>
      </c>
      <c r="D539" s="12" t="s">
        <v>2450</v>
      </c>
      <c r="E539" s="12" t="s">
        <v>2451</v>
      </c>
      <c r="F539" s="13">
        <v>55</v>
      </c>
      <c r="G539" s="12" t="s">
        <v>2452</v>
      </c>
      <c r="H539" s="12" t="s">
        <v>38</v>
      </c>
      <c r="I539" s="12" t="s">
        <v>113</v>
      </c>
      <c r="J539" s="12" t="s">
        <v>529</v>
      </c>
      <c r="K539" s="12" t="s">
        <v>100</v>
      </c>
      <c r="L539" s="12" t="s">
        <v>350</v>
      </c>
      <c r="M539" s="12" t="s">
        <v>43</v>
      </c>
      <c r="N539" s="12" t="s">
        <v>84</v>
      </c>
      <c r="O539" s="12" t="s">
        <v>2453</v>
      </c>
      <c r="P539" s="12" t="s">
        <v>46</v>
      </c>
      <c r="Q539" s="12" t="s">
        <v>47</v>
      </c>
      <c r="R539" s="12" t="s">
        <v>948</v>
      </c>
      <c r="S539" s="13">
        <v>196244864222</v>
      </c>
      <c r="T539" s="12" t="s">
        <v>105</v>
      </c>
      <c r="U539" s="13">
        <v>35</v>
      </c>
      <c r="V539" s="12" t="s">
        <v>50</v>
      </c>
      <c r="W539" s="12" t="s">
        <v>186</v>
      </c>
      <c r="X539" s="14"/>
      <c r="Y539" s="12" t="s">
        <v>71</v>
      </c>
      <c r="Z539" s="12" t="s">
        <v>376</v>
      </c>
      <c r="AA539" s="14"/>
      <c r="AB539" s="14"/>
      <c r="AC539" s="15">
        <v>52.4</v>
      </c>
      <c r="AD539" s="15">
        <f>AC539*AG539</f>
        <v>681.19999999999993</v>
      </c>
      <c r="AE539" s="15">
        <v>110</v>
      </c>
      <c r="AF539" s="15">
        <f>AE539*AG539</f>
        <v>1430</v>
      </c>
      <c r="AG539" s="16">
        <v>13</v>
      </c>
    </row>
    <row r="540" spans="1:33" ht="15" customHeight="1" x14ac:dyDescent="0.2">
      <c r="A540" s="11" t="str">
        <f>HYPERLINK("https://assets.vans.eu/images/VN000F5TLKZ-HERO/1","VN000F5TLKZ1")</f>
        <v>VN000F5TLKZ1</v>
      </c>
      <c r="B540" s="12" t="s">
        <v>2454</v>
      </c>
      <c r="C540" s="12" t="s">
        <v>2455</v>
      </c>
      <c r="D540" s="12" t="s">
        <v>1213</v>
      </c>
      <c r="E540" s="12" t="s">
        <v>2456</v>
      </c>
      <c r="F540" s="12" t="s">
        <v>78</v>
      </c>
      <c r="G540" s="14"/>
      <c r="H540" s="12" t="s">
        <v>79</v>
      </c>
      <c r="I540" s="12" t="s">
        <v>80</v>
      </c>
      <c r="J540" s="12" t="s">
        <v>349</v>
      </c>
      <c r="K540" s="12" t="s">
        <v>100</v>
      </c>
      <c r="L540" s="14"/>
      <c r="M540" s="12" t="s">
        <v>43</v>
      </c>
      <c r="N540" s="12" t="s">
        <v>2457</v>
      </c>
      <c r="O540" s="12" t="s">
        <v>2458</v>
      </c>
      <c r="P540" s="12" t="s">
        <v>86</v>
      </c>
      <c r="Q540" s="12" t="s">
        <v>128</v>
      </c>
      <c r="R540" s="12" t="s">
        <v>352</v>
      </c>
      <c r="S540" s="13">
        <v>196574909952</v>
      </c>
      <c r="T540" s="12" t="s">
        <v>164</v>
      </c>
      <c r="U540" s="12" t="s">
        <v>78</v>
      </c>
      <c r="V540" s="12" t="s">
        <v>2459</v>
      </c>
      <c r="W540" s="12" t="s">
        <v>284</v>
      </c>
      <c r="X540" s="13">
        <v>0</v>
      </c>
      <c r="Y540" s="12" t="s">
        <v>53</v>
      </c>
      <c r="Z540" s="12" t="s">
        <v>108</v>
      </c>
      <c r="AA540" s="13">
        <v>0</v>
      </c>
      <c r="AB540" s="13">
        <v>0</v>
      </c>
      <c r="AC540" s="15">
        <v>15.5</v>
      </c>
      <c r="AD540" s="15">
        <f>AC540*AG540</f>
        <v>186</v>
      </c>
      <c r="AE540" s="15">
        <v>34</v>
      </c>
      <c r="AF540" s="15">
        <f>AE540*AG540</f>
        <v>408</v>
      </c>
      <c r="AG540" s="16">
        <v>12</v>
      </c>
    </row>
    <row r="541" spans="1:33" ht="15" customHeight="1" x14ac:dyDescent="0.2">
      <c r="A541" s="11" t="str">
        <f>HYPERLINK("https://assets.vans.eu/images/VN000HTUM8I-HERO/1","VN000HTUM8I1")</f>
        <v>VN000HTUM8I1</v>
      </c>
      <c r="B541" s="12" t="s">
        <v>2460</v>
      </c>
      <c r="C541" s="12" t="s">
        <v>2461</v>
      </c>
      <c r="D541" s="12" t="s">
        <v>1487</v>
      </c>
      <c r="E541" s="12" t="s">
        <v>2462</v>
      </c>
      <c r="F541" s="12" t="s">
        <v>78</v>
      </c>
      <c r="G541" s="14"/>
      <c r="H541" s="12" t="s">
        <v>79</v>
      </c>
      <c r="I541" s="12" t="s">
        <v>80</v>
      </c>
      <c r="J541" s="12" t="s">
        <v>349</v>
      </c>
      <c r="K541" s="12" t="s">
        <v>82</v>
      </c>
      <c r="L541" s="14"/>
      <c r="M541" s="12" t="s">
        <v>43</v>
      </c>
      <c r="N541" s="12" t="s">
        <v>161</v>
      </c>
      <c r="O541" s="12" t="s">
        <v>2463</v>
      </c>
      <c r="P541" s="12" t="s">
        <v>86</v>
      </c>
      <c r="Q541" s="12" t="s">
        <v>128</v>
      </c>
      <c r="R541" s="12" t="s">
        <v>352</v>
      </c>
      <c r="S541" s="13">
        <v>197065462123</v>
      </c>
      <c r="T541" s="12" t="s">
        <v>130</v>
      </c>
      <c r="U541" s="12" t="s">
        <v>78</v>
      </c>
      <c r="V541" s="12" t="s">
        <v>391</v>
      </c>
      <c r="W541" s="12" t="s">
        <v>118</v>
      </c>
      <c r="X541" s="13">
        <v>0</v>
      </c>
      <c r="Y541" s="12" t="s">
        <v>91</v>
      </c>
      <c r="Z541" s="12" t="s">
        <v>108</v>
      </c>
      <c r="AA541" s="13">
        <v>0</v>
      </c>
      <c r="AB541" s="13">
        <v>0</v>
      </c>
      <c r="AC541" s="15">
        <v>13.65</v>
      </c>
      <c r="AD541" s="15">
        <f>AC541*AG541</f>
        <v>163.80000000000001</v>
      </c>
      <c r="AE541" s="15">
        <v>30</v>
      </c>
      <c r="AF541" s="15">
        <f>AE541*AG541</f>
        <v>360</v>
      </c>
      <c r="AG541" s="16">
        <v>12</v>
      </c>
    </row>
    <row r="542" spans="1:33" ht="15" customHeight="1" x14ac:dyDescent="0.2">
      <c r="A542" s="11" t="str">
        <f>HYPERLINK("https://assets.vans.eu/images/VN000PT612Q-HERO/1","VN000PT612Q1")</f>
        <v>VN000PT612Q1</v>
      </c>
      <c r="B542" s="12" t="s">
        <v>2464</v>
      </c>
      <c r="C542" s="12" t="s">
        <v>2465</v>
      </c>
      <c r="D542" s="12" t="s">
        <v>2466</v>
      </c>
      <c r="E542" s="12" t="s">
        <v>2467</v>
      </c>
      <c r="F542" s="12" t="s">
        <v>403</v>
      </c>
      <c r="G542" s="14"/>
      <c r="H542" s="12" t="s">
        <v>79</v>
      </c>
      <c r="I542" s="12" t="s">
        <v>80</v>
      </c>
      <c r="J542" s="12" t="s">
        <v>171</v>
      </c>
      <c r="K542" s="12" t="s">
        <v>82</v>
      </c>
      <c r="L542" s="14"/>
      <c r="M542" s="12" t="s">
        <v>43</v>
      </c>
      <c r="N542" s="12" t="s">
        <v>84</v>
      </c>
      <c r="O542" s="12" t="s">
        <v>2468</v>
      </c>
      <c r="P542" s="12" t="s">
        <v>86</v>
      </c>
      <c r="Q542" s="12" t="s">
        <v>141</v>
      </c>
      <c r="R542" s="12" t="s">
        <v>173</v>
      </c>
      <c r="S542" s="13">
        <v>197804393183</v>
      </c>
      <c r="T542" s="12" t="s">
        <v>143</v>
      </c>
      <c r="U542" s="12" t="s">
        <v>403</v>
      </c>
      <c r="V542" s="12" t="s">
        <v>2469</v>
      </c>
      <c r="W542" s="12" t="s">
        <v>625</v>
      </c>
      <c r="X542" s="14"/>
      <c r="Y542" s="14"/>
      <c r="Z542" s="14"/>
      <c r="AA542" s="14"/>
      <c r="AB542" s="14"/>
      <c r="AC542" s="15">
        <v>9.1</v>
      </c>
      <c r="AD542" s="15">
        <f>AC542*AG542</f>
        <v>109.19999999999999</v>
      </c>
      <c r="AE542" s="15">
        <v>20</v>
      </c>
      <c r="AF542" s="15">
        <f>AE542*AG542</f>
        <v>240</v>
      </c>
      <c r="AG542" s="16">
        <v>12</v>
      </c>
    </row>
    <row r="543" spans="1:33" ht="15" customHeight="1" x14ac:dyDescent="0.2">
      <c r="A543" s="11" t="str">
        <f>HYPERLINK("https://assets.vans.eu/images/VN000Q1FEMU-HERO/1","VN000Q1FEMU1")</f>
        <v>VN000Q1FEMU1</v>
      </c>
      <c r="B543" s="12" t="s">
        <v>2470</v>
      </c>
      <c r="C543" s="12" t="s">
        <v>1534</v>
      </c>
      <c r="D543" s="12" t="s">
        <v>1319</v>
      </c>
      <c r="E543" s="12" t="s">
        <v>2471</v>
      </c>
      <c r="F543" s="12" t="s">
        <v>78</v>
      </c>
      <c r="G543" s="14"/>
      <c r="H543" s="12" t="s">
        <v>79</v>
      </c>
      <c r="I543" s="12" t="s">
        <v>125</v>
      </c>
      <c r="J543" s="12" t="s">
        <v>126</v>
      </c>
      <c r="K543" s="12" t="s">
        <v>41</v>
      </c>
      <c r="L543" s="14"/>
      <c r="M543" s="12" t="s">
        <v>43</v>
      </c>
      <c r="N543" s="12" t="s">
        <v>84</v>
      </c>
      <c r="O543" s="12" t="s">
        <v>2472</v>
      </c>
      <c r="P543" s="12" t="s">
        <v>86</v>
      </c>
      <c r="Q543" s="12" t="s">
        <v>128</v>
      </c>
      <c r="R543" s="12" t="s">
        <v>129</v>
      </c>
      <c r="S543" s="13">
        <v>197804373468</v>
      </c>
      <c r="T543" s="12" t="s">
        <v>130</v>
      </c>
      <c r="U543" s="12" t="s">
        <v>78</v>
      </c>
      <c r="V543" s="12" t="s">
        <v>454</v>
      </c>
      <c r="W543" s="12" t="s">
        <v>118</v>
      </c>
      <c r="X543" s="14"/>
      <c r="Y543" s="14"/>
      <c r="Z543" s="14"/>
      <c r="AA543" s="14"/>
      <c r="AB543" s="14"/>
      <c r="AC543" s="15">
        <v>10.95</v>
      </c>
      <c r="AD543" s="15">
        <f>AC543*AG543</f>
        <v>131.39999999999998</v>
      </c>
      <c r="AE543" s="15">
        <v>24</v>
      </c>
      <c r="AF543" s="15">
        <f>AE543*AG543</f>
        <v>288</v>
      </c>
      <c r="AG543" s="16">
        <v>12</v>
      </c>
    </row>
    <row r="544" spans="1:33" ht="15" customHeight="1" x14ac:dyDescent="0.2">
      <c r="A544" s="11" t="str">
        <f>HYPERLINK("https://assets.vans.eu/images/VN000QB3EMJ-HERO/1","VN000QB3EMJ1")</f>
        <v>VN000QB3EMJ1</v>
      </c>
      <c r="B544" s="12" t="s">
        <v>2473</v>
      </c>
      <c r="C544" s="12" t="s">
        <v>2331</v>
      </c>
      <c r="D544" s="12" t="s">
        <v>768</v>
      </c>
      <c r="E544" s="12" t="s">
        <v>2474</v>
      </c>
      <c r="F544" s="12" t="s">
        <v>78</v>
      </c>
      <c r="G544" s="14"/>
      <c r="H544" s="12" t="s">
        <v>79</v>
      </c>
      <c r="I544" s="12" t="s">
        <v>80</v>
      </c>
      <c r="J544" s="12" t="s">
        <v>349</v>
      </c>
      <c r="K544" s="12" t="s">
        <v>82</v>
      </c>
      <c r="L544" s="14"/>
      <c r="M544" s="12" t="s">
        <v>43</v>
      </c>
      <c r="N544" s="12" t="s">
        <v>84</v>
      </c>
      <c r="O544" s="12" t="s">
        <v>2475</v>
      </c>
      <c r="P544" s="12" t="s">
        <v>86</v>
      </c>
      <c r="Q544" s="12" t="s">
        <v>128</v>
      </c>
      <c r="R544" s="12" t="s">
        <v>352</v>
      </c>
      <c r="S544" s="13">
        <v>197804375318</v>
      </c>
      <c r="T544" s="12" t="s">
        <v>130</v>
      </c>
      <c r="U544" s="12" t="s">
        <v>78</v>
      </c>
      <c r="V544" s="12" t="s">
        <v>593</v>
      </c>
      <c r="W544" s="12" t="s">
        <v>625</v>
      </c>
      <c r="X544" s="14"/>
      <c r="Y544" s="14"/>
      <c r="Z544" s="14"/>
      <c r="AA544" s="14"/>
      <c r="AB544" s="14"/>
      <c r="AC544" s="15">
        <v>12.75</v>
      </c>
      <c r="AD544" s="15">
        <f>AC544*AG544</f>
        <v>153</v>
      </c>
      <c r="AE544" s="15">
        <v>28</v>
      </c>
      <c r="AF544" s="15">
        <f>AE544*AG544</f>
        <v>336</v>
      </c>
      <c r="AG544" s="16">
        <v>12</v>
      </c>
    </row>
    <row r="545" spans="1:33" ht="15" customHeight="1" x14ac:dyDescent="0.2">
      <c r="A545" s="11" t="str">
        <f t="shared" ref="A545:A872" si="236">HYPERLINK("https://assets.vans.eu/images/VN0008NACDX-HERO/1","VN0008NACDX1")</f>
        <v>VN0008NACDX1</v>
      </c>
      <c r="B545" s="12" t="s">
        <v>2476</v>
      </c>
      <c r="C545" s="12" t="s">
        <v>2477</v>
      </c>
      <c r="D545" s="12" t="s">
        <v>760</v>
      </c>
      <c r="E545" s="12" t="s">
        <v>2478</v>
      </c>
      <c r="F545" s="13">
        <v>32</v>
      </c>
      <c r="G545" s="14"/>
      <c r="H545" s="12" t="s">
        <v>61</v>
      </c>
      <c r="I545" s="12" t="s">
        <v>230</v>
      </c>
      <c r="J545" s="12" t="s">
        <v>231</v>
      </c>
      <c r="K545" s="12" t="s">
        <v>199</v>
      </c>
      <c r="L545" s="14"/>
      <c r="M545" s="12" t="s">
        <v>43</v>
      </c>
      <c r="N545" s="12" t="s">
        <v>44</v>
      </c>
      <c r="O545" s="12" t="s">
        <v>2479</v>
      </c>
      <c r="P545" s="12" t="s">
        <v>66</v>
      </c>
      <c r="Q545" s="12" t="s">
        <v>233</v>
      </c>
      <c r="R545" s="12" t="s">
        <v>361</v>
      </c>
      <c r="S545" s="13">
        <v>196573550872</v>
      </c>
      <c r="T545" s="12" t="s">
        <v>235</v>
      </c>
      <c r="U545" s="13">
        <v>32</v>
      </c>
      <c r="V545" s="12" t="s">
        <v>665</v>
      </c>
      <c r="W545" s="12" t="s">
        <v>284</v>
      </c>
      <c r="X545" s="13">
        <v>0</v>
      </c>
      <c r="Y545" s="12" t="s">
        <v>53</v>
      </c>
      <c r="Z545" s="12" t="s">
        <v>108</v>
      </c>
      <c r="AA545" s="13">
        <v>0</v>
      </c>
      <c r="AB545" s="13">
        <v>0</v>
      </c>
      <c r="AC545" s="15">
        <v>36.4</v>
      </c>
      <c r="AD545" s="15">
        <f>AC545*AG545</f>
        <v>436.79999999999995</v>
      </c>
      <c r="AE545" s="15">
        <v>80</v>
      </c>
      <c r="AF545" s="15">
        <f>AE545*AG545</f>
        <v>960</v>
      </c>
      <c r="AG545" s="16">
        <v>12</v>
      </c>
    </row>
    <row r="546" spans="1:33" ht="15" customHeight="1" x14ac:dyDescent="0.2">
      <c r="A546" s="11" t="str">
        <f>HYPERLINK("https://assets.vans.eu/images/VN000FVHFS8-HERO/1","VN000FVHFS81")</f>
        <v>VN000FVHFS81</v>
      </c>
      <c r="B546" s="12" t="s">
        <v>2480</v>
      </c>
      <c r="C546" s="12" t="s">
        <v>2481</v>
      </c>
      <c r="D546" s="12" t="s">
        <v>239</v>
      </c>
      <c r="E546" s="12" t="s">
        <v>2482</v>
      </c>
      <c r="F546" s="13">
        <v>22</v>
      </c>
      <c r="G546" s="14"/>
      <c r="H546" s="12" t="s">
        <v>61</v>
      </c>
      <c r="I546" s="12" t="s">
        <v>289</v>
      </c>
      <c r="J546" s="12" t="s">
        <v>290</v>
      </c>
      <c r="K546" s="12" t="s">
        <v>100</v>
      </c>
      <c r="L546" s="14"/>
      <c r="M546" s="12" t="s">
        <v>43</v>
      </c>
      <c r="N546" s="12" t="s">
        <v>44</v>
      </c>
      <c r="O546" s="12" t="s">
        <v>2483</v>
      </c>
      <c r="P546" s="12" t="s">
        <v>66</v>
      </c>
      <c r="Q546" s="12" t="s">
        <v>233</v>
      </c>
      <c r="R546" s="12" t="s">
        <v>664</v>
      </c>
      <c r="S546" s="13">
        <v>197065706401</v>
      </c>
      <c r="T546" s="12" t="s">
        <v>235</v>
      </c>
      <c r="U546" s="13">
        <v>22</v>
      </c>
      <c r="V546" s="12" t="s">
        <v>665</v>
      </c>
      <c r="W546" s="12" t="s">
        <v>175</v>
      </c>
      <c r="X546" s="13">
        <v>0</v>
      </c>
      <c r="Y546" s="12" t="s">
        <v>91</v>
      </c>
      <c r="Z546" s="12" t="s">
        <v>108</v>
      </c>
      <c r="AA546" s="13">
        <v>0</v>
      </c>
      <c r="AB546" s="13">
        <v>0</v>
      </c>
      <c r="AC546" s="15">
        <v>30.95</v>
      </c>
      <c r="AD546" s="15">
        <f>AC546*AG546</f>
        <v>371.4</v>
      </c>
      <c r="AE546" s="15">
        <v>68</v>
      </c>
      <c r="AF546" s="15">
        <f>AE546*AG546</f>
        <v>816</v>
      </c>
      <c r="AG546" s="16">
        <v>12</v>
      </c>
    </row>
    <row r="547" spans="1:33" ht="15" customHeight="1" x14ac:dyDescent="0.2">
      <c r="A547" s="11" t="str">
        <f t="shared" si="107"/>
        <v>VN000HZABLK1</v>
      </c>
      <c r="B547" s="12" t="s">
        <v>2484</v>
      </c>
      <c r="C547" s="12" t="s">
        <v>1413</v>
      </c>
      <c r="D547" s="12" t="s">
        <v>76</v>
      </c>
      <c r="E547" s="12" t="s">
        <v>2485</v>
      </c>
      <c r="F547" s="13">
        <v>26</v>
      </c>
      <c r="G547" s="14"/>
      <c r="H547" s="12" t="s">
        <v>61</v>
      </c>
      <c r="I547" s="12" t="s">
        <v>230</v>
      </c>
      <c r="J547" s="12" t="s">
        <v>231</v>
      </c>
      <c r="K547" s="12" t="s">
        <v>199</v>
      </c>
      <c r="L547" s="14"/>
      <c r="M547" s="12" t="s">
        <v>43</v>
      </c>
      <c r="N547" s="12" t="s">
        <v>84</v>
      </c>
      <c r="O547" s="12" t="s">
        <v>2486</v>
      </c>
      <c r="P547" s="12" t="s">
        <v>66</v>
      </c>
      <c r="Q547" s="12" t="s">
        <v>233</v>
      </c>
      <c r="R547" s="12" t="s">
        <v>361</v>
      </c>
      <c r="S547" s="13">
        <v>197065838263</v>
      </c>
      <c r="T547" s="12" t="s">
        <v>235</v>
      </c>
      <c r="U547" s="13">
        <v>26</v>
      </c>
      <c r="V547" s="12" t="s">
        <v>1416</v>
      </c>
      <c r="W547" s="12" t="s">
        <v>51</v>
      </c>
      <c r="X547" s="13">
        <v>0</v>
      </c>
      <c r="Y547" s="12" t="s">
        <v>91</v>
      </c>
      <c r="Z547" s="12" t="s">
        <v>108</v>
      </c>
      <c r="AA547" s="13">
        <v>0</v>
      </c>
      <c r="AB547" s="13">
        <v>0</v>
      </c>
      <c r="AC547" s="15">
        <v>34.1</v>
      </c>
      <c r="AD547" s="15">
        <f>AC547*AG547</f>
        <v>409.20000000000005</v>
      </c>
      <c r="AE547" s="15">
        <v>75</v>
      </c>
      <c r="AF547" s="15">
        <f>AE547*AG547</f>
        <v>900</v>
      </c>
      <c r="AG547" s="16">
        <v>12</v>
      </c>
    </row>
    <row r="548" spans="1:33" ht="15" customHeight="1" x14ac:dyDescent="0.2">
      <c r="A548" s="11" t="str">
        <f t="shared" ref="A548:A788" si="237">HYPERLINK("https://assets.vans.eu/images/VN000HZBYEH-HERO/1","VN000HZBYEH1")</f>
        <v>VN000HZBYEH1</v>
      </c>
      <c r="B548" s="12" t="s">
        <v>2487</v>
      </c>
      <c r="C548" s="12" t="s">
        <v>357</v>
      </c>
      <c r="D548" s="12" t="s">
        <v>358</v>
      </c>
      <c r="E548" s="12" t="s">
        <v>2488</v>
      </c>
      <c r="F548" s="13">
        <v>33</v>
      </c>
      <c r="G548" s="14"/>
      <c r="H548" s="12" t="s">
        <v>61</v>
      </c>
      <c r="I548" s="12" t="s">
        <v>230</v>
      </c>
      <c r="J548" s="12" t="s">
        <v>231</v>
      </c>
      <c r="K548" s="12" t="s">
        <v>199</v>
      </c>
      <c r="L548" s="14"/>
      <c r="M548" s="12" t="s">
        <v>43</v>
      </c>
      <c r="N548" s="12" t="s">
        <v>84</v>
      </c>
      <c r="O548" s="12" t="s">
        <v>2489</v>
      </c>
      <c r="P548" s="12" t="s">
        <v>66</v>
      </c>
      <c r="Q548" s="12" t="s">
        <v>233</v>
      </c>
      <c r="R548" s="12" t="s">
        <v>361</v>
      </c>
      <c r="S548" s="13">
        <v>197065840556</v>
      </c>
      <c r="T548" s="12" t="s">
        <v>235</v>
      </c>
      <c r="U548" s="13">
        <v>33</v>
      </c>
      <c r="V548" s="12" t="s">
        <v>362</v>
      </c>
      <c r="W548" s="12" t="s">
        <v>186</v>
      </c>
      <c r="X548" s="13">
        <v>0</v>
      </c>
      <c r="Y548" s="12" t="s">
        <v>91</v>
      </c>
      <c r="Z548" s="12" t="s">
        <v>108</v>
      </c>
      <c r="AA548" s="13">
        <v>0</v>
      </c>
      <c r="AB548" s="13">
        <v>0</v>
      </c>
      <c r="AC548" s="15">
        <v>34.1</v>
      </c>
      <c r="AD548" s="15">
        <f>AC548*AG548</f>
        <v>409.20000000000005</v>
      </c>
      <c r="AE548" s="15">
        <v>75</v>
      </c>
      <c r="AF548" s="15">
        <f>AE548*AG548</f>
        <v>900</v>
      </c>
      <c r="AG548" s="16">
        <v>12</v>
      </c>
    </row>
    <row r="549" spans="1:33" ht="15" customHeight="1" x14ac:dyDescent="0.2">
      <c r="A549" s="11" t="str">
        <f t="shared" si="237"/>
        <v>VN000HZBYEH1</v>
      </c>
      <c r="B549" s="12" t="s">
        <v>2490</v>
      </c>
      <c r="C549" s="12" t="s">
        <v>357</v>
      </c>
      <c r="D549" s="12" t="s">
        <v>358</v>
      </c>
      <c r="E549" s="12" t="s">
        <v>2491</v>
      </c>
      <c r="F549" s="13">
        <v>38</v>
      </c>
      <c r="G549" s="14"/>
      <c r="H549" s="12" t="s">
        <v>61</v>
      </c>
      <c r="I549" s="12" t="s">
        <v>230</v>
      </c>
      <c r="J549" s="12" t="s">
        <v>231</v>
      </c>
      <c r="K549" s="12" t="s">
        <v>199</v>
      </c>
      <c r="L549" s="14"/>
      <c r="M549" s="12" t="s">
        <v>43</v>
      </c>
      <c r="N549" s="12" t="s">
        <v>84</v>
      </c>
      <c r="O549" s="12" t="s">
        <v>2492</v>
      </c>
      <c r="P549" s="12" t="s">
        <v>66</v>
      </c>
      <c r="Q549" s="12" t="s">
        <v>233</v>
      </c>
      <c r="R549" s="12" t="s">
        <v>361</v>
      </c>
      <c r="S549" s="13">
        <v>197065841720</v>
      </c>
      <c r="T549" s="12" t="s">
        <v>235</v>
      </c>
      <c r="U549" s="13">
        <v>38</v>
      </c>
      <c r="V549" s="12" t="s">
        <v>362</v>
      </c>
      <c r="W549" s="12" t="s">
        <v>186</v>
      </c>
      <c r="X549" s="13">
        <v>0</v>
      </c>
      <c r="Y549" s="12" t="s">
        <v>91</v>
      </c>
      <c r="Z549" s="12" t="s">
        <v>108</v>
      </c>
      <c r="AA549" s="13">
        <v>0</v>
      </c>
      <c r="AB549" s="13">
        <v>0</v>
      </c>
      <c r="AC549" s="15">
        <v>34.1</v>
      </c>
      <c r="AD549" s="15">
        <f>AC549*AG549</f>
        <v>409.20000000000005</v>
      </c>
      <c r="AE549" s="15">
        <v>75</v>
      </c>
      <c r="AF549" s="15">
        <f>AE549*AG549</f>
        <v>900</v>
      </c>
      <c r="AG549" s="16">
        <v>12</v>
      </c>
    </row>
    <row r="550" spans="1:33" ht="15" customHeight="1" x14ac:dyDescent="0.2">
      <c r="A550" s="11" t="str">
        <f>HYPERLINK("https://assets.vans.eu/images/VN000KMZH7Q-HERO/1","VN000KMZH7Q1")</f>
        <v>VN000KMZH7Q1</v>
      </c>
      <c r="B550" s="12" t="s">
        <v>2493</v>
      </c>
      <c r="C550" s="12" t="s">
        <v>1572</v>
      </c>
      <c r="D550" s="12" t="s">
        <v>2494</v>
      </c>
      <c r="E550" s="12" t="s">
        <v>2495</v>
      </c>
      <c r="F550" s="12" t="s">
        <v>179</v>
      </c>
      <c r="G550" s="14"/>
      <c r="H550" s="12" t="s">
        <v>61</v>
      </c>
      <c r="I550" s="12" t="s">
        <v>230</v>
      </c>
      <c r="J550" s="12" t="s">
        <v>419</v>
      </c>
      <c r="K550" s="12" t="s">
        <v>199</v>
      </c>
      <c r="L550" s="14"/>
      <c r="M550" s="12" t="s">
        <v>43</v>
      </c>
      <c r="N550" s="12" t="s">
        <v>84</v>
      </c>
      <c r="O550" s="12" t="s">
        <v>2496</v>
      </c>
      <c r="P550" s="12" t="s">
        <v>66</v>
      </c>
      <c r="Q550" s="12" t="s">
        <v>67</v>
      </c>
      <c r="R550" s="12" t="s">
        <v>421</v>
      </c>
      <c r="S550" s="13">
        <v>198266506630</v>
      </c>
      <c r="T550" s="12" t="s">
        <v>1065</v>
      </c>
      <c r="U550" s="12" t="s">
        <v>179</v>
      </c>
      <c r="V550" s="12" t="s">
        <v>70</v>
      </c>
      <c r="W550" s="12" t="s">
        <v>262</v>
      </c>
      <c r="X550" s="14"/>
      <c r="Y550" s="14"/>
      <c r="Z550" s="14"/>
      <c r="AA550" s="14"/>
      <c r="AB550" s="14"/>
      <c r="AC550" s="15">
        <v>12.75</v>
      </c>
      <c r="AD550" s="15">
        <f>AC550*AG550</f>
        <v>153</v>
      </c>
      <c r="AE550" s="15">
        <v>28</v>
      </c>
      <c r="AF550" s="15">
        <f>AE550*AG550</f>
        <v>336</v>
      </c>
      <c r="AG550" s="16">
        <v>12</v>
      </c>
    </row>
    <row r="551" spans="1:33" ht="15" customHeight="1" x14ac:dyDescent="0.2">
      <c r="A551" s="11" t="str">
        <f>HYPERLINK("https://assets.vans.eu/images/VN000KYUCI2-HERO/1","VN000KYUCI21")</f>
        <v>VN000KYUCI21</v>
      </c>
      <c r="B551" s="12" t="s">
        <v>2497</v>
      </c>
      <c r="C551" s="12" t="s">
        <v>2498</v>
      </c>
      <c r="D551" s="12" t="s">
        <v>2499</v>
      </c>
      <c r="E551" s="12" t="s">
        <v>2500</v>
      </c>
      <c r="F551" s="12" t="s">
        <v>170</v>
      </c>
      <c r="G551" s="14"/>
      <c r="H551" s="12" t="s">
        <v>61</v>
      </c>
      <c r="I551" s="12" t="s">
        <v>230</v>
      </c>
      <c r="J551" s="12" t="s">
        <v>419</v>
      </c>
      <c r="K551" s="12" t="s">
        <v>199</v>
      </c>
      <c r="L551" s="14"/>
      <c r="M551" s="12" t="s">
        <v>43</v>
      </c>
      <c r="N551" s="12" t="s">
        <v>44</v>
      </c>
      <c r="O551" s="12" t="s">
        <v>2501</v>
      </c>
      <c r="P551" s="12" t="s">
        <v>66</v>
      </c>
      <c r="Q551" s="12" t="s">
        <v>67</v>
      </c>
      <c r="R551" s="12" t="s">
        <v>1500</v>
      </c>
      <c r="S551" s="13">
        <v>197643404859</v>
      </c>
      <c r="T551" s="12" t="s">
        <v>49</v>
      </c>
      <c r="U551" s="12" t="s">
        <v>170</v>
      </c>
      <c r="V551" s="12" t="s">
        <v>2502</v>
      </c>
      <c r="W551" s="12" t="s">
        <v>118</v>
      </c>
      <c r="X551" s="13">
        <v>0</v>
      </c>
      <c r="Y551" s="12" t="s">
        <v>91</v>
      </c>
      <c r="Z551" s="12" t="s">
        <v>108</v>
      </c>
      <c r="AA551" s="13">
        <v>0</v>
      </c>
      <c r="AB551" s="13">
        <v>0</v>
      </c>
      <c r="AC551" s="15">
        <v>27.3</v>
      </c>
      <c r="AD551" s="15">
        <f>AC551*AG551</f>
        <v>327.60000000000002</v>
      </c>
      <c r="AE551" s="15">
        <v>60</v>
      </c>
      <c r="AF551" s="15">
        <f>AE551*AG551</f>
        <v>720</v>
      </c>
      <c r="AG551" s="16">
        <v>12</v>
      </c>
    </row>
    <row r="552" spans="1:33" ht="15" customHeight="1" x14ac:dyDescent="0.2">
      <c r="A552" s="11" t="str">
        <f t="shared" si="117"/>
        <v>VN000M12IYR1</v>
      </c>
      <c r="B552" s="12" t="s">
        <v>2503</v>
      </c>
      <c r="C552" s="12" t="s">
        <v>1496</v>
      </c>
      <c r="D552" s="12" t="s">
        <v>1497</v>
      </c>
      <c r="E552" s="12" t="s">
        <v>2504</v>
      </c>
      <c r="F552" s="12" t="s">
        <v>153</v>
      </c>
      <c r="G552" s="14"/>
      <c r="H552" s="12" t="s">
        <v>61</v>
      </c>
      <c r="I552" s="12" t="s">
        <v>230</v>
      </c>
      <c r="J552" s="12" t="s">
        <v>419</v>
      </c>
      <c r="K552" s="12" t="s">
        <v>199</v>
      </c>
      <c r="L552" s="14"/>
      <c r="M552" s="12" t="s">
        <v>43</v>
      </c>
      <c r="N552" s="12" t="s">
        <v>44</v>
      </c>
      <c r="O552" s="12" t="s">
        <v>2505</v>
      </c>
      <c r="P552" s="12" t="s">
        <v>66</v>
      </c>
      <c r="Q552" s="12" t="s">
        <v>67</v>
      </c>
      <c r="R552" s="12" t="s">
        <v>1500</v>
      </c>
      <c r="S552" s="13">
        <v>197643406709</v>
      </c>
      <c r="T552" s="12" t="s">
        <v>235</v>
      </c>
      <c r="U552" s="12" t="s">
        <v>153</v>
      </c>
      <c r="V552" s="12" t="s">
        <v>665</v>
      </c>
      <c r="W552" s="12" t="s">
        <v>284</v>
      </c>
      <c r="X552" s="13">
        <v>0</v>
      </c>
      <c r="Y552" s="12" t="s">
        <v>91</v>
      </c>
      <c r="Z552" s="12" t="s">
        <v>108</v>
      </c>
      <c r="AA552" s="13">
        <v>0</v>
      </c>
      <c r="AB552" s="13">
        <v>0</v>
      </c>
      <c r="AC552" s="15">
        <v>38.65</v>
      </c>
      <c r="AD552" s="15">
        <f>AC552*AG552</f>
        <v>463.79999999999995</v>
      </c>
      <c r="AE552" s="15">
        <v>85</v>
      </c>
      <c r="AF552" s="15">
        <f>AE552*AG552</f>
        <v>1020</v>
      </c>
      <c r="AG552" s="16">
        <v>12</v>
      </c>
    </row>
    <row r="553" spans="1:33" ht="15" customHeight="1" x14ac:dyDescent="0.2">
      <c r="A553" s="11" t="str">
        <f t="shared" ref="A553:A1657" si="238">HYPERLINK("https://assets.vans.eu/images/VN000M8EKCZ-HERO/1","VN000M8EKCZ1")</f>
        <v>VN000M8EKCZ1</v>
      </c>
      <c r="B553" s="12" t="s">
        <v>2506</v>
      </c>
      <c r="C553" s="12" t="s">
        <v>685</v>
      </c>
      <c r="D553" s="12" t="s">
        <v>1109</v>
      </c>
      <c r="E553" s="12" t="s">
        <v>2507</v>
      </c>
      <c r="F553" s="13">
        <v>36</v>
      </c>
      <c r="G553" s="14"/>
      <c r="H553" s="12" t="s">
        <v>61</v>
      </c>
      <c r="I553" s="12" t="s">
        <v>230</v>
      </c>
      <c r="J553" s="12" t="s">
        <v>557</v>
      </c>
      <c r="K553" s="12" t="s">
        <v>199</v>
      </c>
      <c r="L553" s="14"/>
      <c r="M553" s="12" t="s">
        <v>43</v>
      </c>
      <c r="N553" s="12" t="s">
        <v>44</v>
      </c>
      <c r="O553" s="12" t="s">
        <v>2508</v>
      </c>
      <c r="P553" s="12" t="s">
        <v>66</v>
      </c>
      <c r="Q553" s="12" t="s">
        <v>559</v>
      </c>
      <c r="R553" s="12" t="s">
        <v>560</v>
      </c>
      <c r="S553" s="13">
        <v>197643539209</v>
      </c>
      <c r="T553" s="12" t="s">
        <v>49</v>
      </c>
      <c r="U553" s="13">
        <v>36</v>
      </c>
      <c r="V553" s="12" t="s">
        <v>689</v>
      </c>
      <c r="W553" s="12" t="s">
        <v>118</v>
      </c>
      <c r="X553" s="13">
        <v>0</v>
      </c>
      <c r="Y553" s="12" t="s">
        <v>53</v>
      </c>
      <c r="Z553" s="12" t="s">
        <v>108</v>
      </c>
      <c r="AA553" s="13">
        <v>0</v>
      </c>
      <c r="AB553" s="13">
        <v>0</v>
      </c>
      <c r="AC553" s="15">
        <v>29.55</v>
      </c>
      <c r="AD553" s="15">
        <f>AC553*AG553</f>
        <v>354.6</v>
      </c>
      <c r="AE553" s="15">
        <v>65</v>
      </c>
      <c r="AF553" s="15">
        <f>AE553*AG553</f>
        <v>780</v>
      </c>
      <c r="AG553" s="16">
        <v>12</v>
      </c>
    </row>
    <row r="554" spans="1:33" ht="15" customHeight="1" x14ac:dyDescent="0.2">
      <c r="A554" s="11" t="str">
        <f t="shared" ref="A554:A1148" si="239">HYPERLINK("https://assets.vans.eu/images/VN000MGTBL2-HERO/1","VN000MGTBL21")</f>
        <v>VN000MGTBL21</v>
      </c>
      <c r="B554" s="12" t="s">
        <v>2509</v>
      </c>
      <c r="C554" s="12" t="s">
        <v>2510</v>
      </c>
      <c r="D554" s="12" t="s">
        <v>686</v>
      </c>
      <c r="E554" s="12" t="s">
        <v>2511</v>
      </c>
      <c r="F554" s="12" t="s">
        <v>179</v>
      </c>
      <c r="G554" s="14"/>
      <c r="H554" s="12" t="s">
        <v>61</v>
      </c>
      <c r="I554" s="12" t="s">
        <v>62</v>
      </c>
      <c r="J554" s="12" t="s">
        <v>63</v>
      </c>
      <c r="K554" s="12" t="s">
        <v>64</v>
      </c>
      <c r="L554" s="14"/>
      <c r="M554" s="12" t="s">
        <v>43</v>
      </c>
      <c r="N554" s="12" t="s">
        <v>44</v>
      </c>
      <c r="O554" s="12" t="s">
        <v>2512</v>
      </c>
      <c r="P554" s="12" t="s">
        <v>66</v>
      </c>
      <c r="Q554" s="12" t="s">
        <v>67</v>
      </c>
      <c r="R554" s="12" t="s">
        <v>2513</v>
      </c>
      <c r="S554" s="13">
        <v>197643373827</v>
      </c>
      <c r="T554" s="12" t="s">
        <v>105</v>
      </c>
      <c r="U554" s="12" t="s">
        <v>179</v>
      </c>
      <c r="V554" s="12" t="s">
        <v>665</v>
      </c>
      <c r="W554" s="12" t="s">
        <v>186</v>
      </c>
      <c r="X554" s="13">
        <v>0</v>
      </c>
      <c r="Y554" s="12" t="s">
        <v>91</v>
      </c>
      <c r="Z554" s="12" t="s">
        <v>108</v>
      </c>
      <c r="AA554" s="13">
        <v>0</v>
      </c>
      <c r="AB554" s="13">
        <v>0</v>
      </c>
      <c r="AC554" s="15">
        <v>30.95</v>
      </c>
      <c r="AD554" s="15">
        <f>AC554*AG554</f>
        <v>371.4</v>
      </c>
      <c r="AE554" s="15">
        <v>68</v>
      </c>
      <c r="AF554" s="15">
        <f>AE554*AG554</f>
        <v>816</v>
      </c>
      <c r="AG554" s="16">
        <v>12</v>
      </c>
    </row>
    <row r="555" spans="1:33" ht="15" customHeight="1" x14ac:dyDescent="0.2">
      <c r="A555" s="11" t="str">
        <f t="shared" ref="A555:A797" si="240">HYPERLINK("https://assets.vans.eu/images/VN000MMTBLK-HERO/1","VN000MMTBLK1")</f>
        <v>VN000MMTBLK1</v>
      </c>
      <c r="B555" s="12" t="s">
        <v>2514</v>
      </c>
      <c r="C555" s="12" t="s">
        <v>2515</v>
      </c>
      <c r="D555" s="12" t="s">
        <v>76</v>
      </c>
      <c r="E555" s="12" t="s">
        <v>2516</v>
      </c>
      <c r="F555" s="13">
        <v>4</v>
      </c>
      <c r="G555" s="14"/>
      <c r="H555" s="12" t="s">
        <v>61</v>
      </c>
      <c r="I555" s="12" t="s">
        <v>1340</v>
      </c>
      <c r="J555" s="12" t="s">
        <v>1341</v>
      </c>
      <c r="K555" s="12" t="s">
        <v>64</v>
      </c>
      <c r="L555" s="14"/>
      <c r="M555" s="12" t="s">
        <v>43</v>
      </c>
      <c r="N555" s="12" t="s">
        <v>44</v>
      </c>
      <c r="O555" s="12" t="s">
        <v>2517</v>
      </c>
      <c r="P555" s="12" t="s">
        <v>66</v>
      </c>
      <c r="Q555" s="12" t="s">
        <v>67</v>
      </c>
      <c r="R555" s="12" t="s">
        <v>68</v>
      </c>
      <c r="S555" s="13">
        <v>197643376903</v>
      </c>
      <c r="T555" s="12" t="s">
        <v>422</v>
      </c>
      <c r="U555" s="13">
        <v>4</v>
      </c>
      <c r="V555" s="12" t="s">
        <v>70</v>
      </c>
      <c r="W555" s="12" t="s">
        <v>51</v>
      </c>
      <c r="X555" s="13">
        <v>0</v>
      </c>
      <c r="Y555" s="12" t="s">
        <v>91</v>
      </c>
      <c r="Z555" s="12" t="s">
        <v>108</v>
      </c>
      <c r="AA555" s="13">
        <v>0</v>
      </c>
      <c r="AB555" s="13">
        <v>0</v>
      </c>
      <c r="AC555" s="15">
        <v>10.95</v>
      </c>
      <c r="AD555" s="15">
        <f>AC555*AG555</f>
        <v>131.39999999999998</v>
      </c>
      <c r="AE555" s="15">
        <v>24</v>
      </c>
      <c r="AF555" s="15">
        <f>AE555*AG555</f>
        <v>288</v>
      </c>
      <c r="AG555" s="16">
        <v>12</v>
      </c>
    </row>
    <row r="556" spans="1:33" ht="15" customHeight="1" x14ac:dyDescent="0.2">
      <c r="A556" s="11" t="str">
        <f t="shared" si="118"/>
        <v>VN000NWP1O71</v>
      </c>
      <c r="B556" s="12" t="s">
        <v>2518</v>
      </c>
      <c r="C556" s="12" t="s">
        <v>1505</v>
      </c>
      <c r="D556" s="12" t="s">
        <v>637</v>
      </c>
      <c r="E556" s="12" t="s">
        <v>2519</v>
      </c>
      <c r="F556" s="12" t="s">
        <v>153</v>
      </c>
      <c r="G556" s="14"/>
      <c r="H556" s="12" t="s">
        <v>61</v>
      </c>
      <c r="I556" s="12" t="s">
        <v>230</v>
      </c>
      <c r="J556" s="12" t="s">
        <v>419</v>
      </c>
      <c r="K556" s="12" t="s">
        <v>199</v>
      </c>
      <c r="L556" s="12" t="s">
        <v>83</v>
      </c>
      <c r="M556" s="12" t="s">
        <v>43</v>
      </c>
      <c r="N556" s="12" t="s">
        <v>84</v>
      </c>
      <c r="O556" s="12" t="s">
        <v>2520</v>
      </c>
      <c r="P556" s="12" t="s">
        <v>66</v>
      </c>
      <c r="Q556" s="12" t="s">
        <v>67</v>
      </c>
      <c r="R556" s="12" t="s">
        <v>623</v>
      </c>
      <c r="S556" s="13">
        <v>197803403845</v>
      </c>
      <c r="T556" s="12" t="s">
        <v>69</v>
      </c>
      <c r="U556" s="12" t="s">
        <v>153</v>
      </c>
      <c r="V556" s="12" t="s">
        <v>70</v>
      </c>
      <c r="W556" s="12" t="s">
        <v>455</v>
      </c>
      <c r="X556" s="13">
        <v>0</v>
      </c>
      <c r="Y556" s="12" t="s">
        <v>53</v>
      </c>
      <c r="Z556" s="12" t="s">
        <v>108</v>
      </c>
      <c r="AA556" s="13">
        <v>0</v>
      </c>
      <c r="AB556" s="12" t="s">
        <v>616</v>
      </c>
      <c r="AC556" s="15">
        <v>54.55</v>
      </c>
      <c r="AD556" s="15">
        <f>AC556*AG556</f>
        <v>654.59999999999991</v>
      </c>
      <c r="AE556" s="15">
        <v>120</v>
      </c>
      <c r="AF556" s="15">
        <f>AE556*AG556</f>
        <v>1440</v>
      </c>
      <c r="AG556" s="16">
        <v>12</v>
      </c>
    </row>
    <row r="557" spans="1:33" ht="15" customHeight="1" x14ac:dyDescent="0.2">
      <c r="A557" s="11" t="str">
        <f t="shared" si="153"/>
        <v>VN000PBRBLK1</v>
      </c>
      <c r="B557" s="12" t="s">
        <v>2521</v>
      </c>
      <c r="C557" s="12" t="s">
        <v>912</v>
      </c>
      <c r="D557" s="12" t="s">
        <v>76</v>
      </c>
      <c r="E557" s="12" t="s">
        <v>2522</v>
      </c>
      <c r="F557" s="12" t="s">
        <v>170</v>
      </c>
      <c r="G557" s="14"/>
      <c r="H557" s="12" t="s">
        <v>61</v>
      </c>
      <c r="I557" s="12" t="s">
        <v>230</v>
      </c>
      <c r="J557" s="12" t="s">
        <v>419</v>
      </c>
      <c r="K557" s="12" t="s">
        <v>199</v>
      </c>
      <c r="L557" s="14"/>
      <c r="M557" s="12" t="s">
        <v>43</v>
      </c>
      <c r="N557" s="12" t="s">
        <v>84</v>
      </c>
      <c r="O557" s="12" t="s">
        <v>2523</v>
      </c>
      <c r="P557" s="12" t="s">
        <v>66</v>
      </c>
      <c r="Q557" s="12" t="s">
        <v>67</v>
      </c>
      <c r="R557" s="12" t="s">
        <v>421</v>
      </c>
      <c r="S557" s="13">
        <v>197804354658</v>
      </c>
      <c r="T557" s="12" t="s">
        <v>915</v>
      </c>
      <c r="U557" s="12" t="s">
        <v>170</v>
      </c>
      <c r="V557" s="12" t="s">
        <v>916</v>
      </c>
      <c r="W557" s="12" t="s">
        <v>51</v>
      </c>
      <c r="X557" s="14"/>
      <c r="Y557" s="14"/>
      <c r="Z557" s="14"/>
      <c r="AA557" s="14"/>
      <c r="AB557" s="14"/>
      <c r="AC557" s="15">
        <v>15.95</v>
      </c>
      <c r="AD557" s="15">
        <f>AC557*AG557</f>
        <v>191.39999999999998</v>
      </c>
      <c r="AE557" s="15">
        <v>35</v>
      </c>
      <c r="AF557" s="15">
        <f>AE557*AG557</f>
        <v>420</v>
      </c>
      <c r="AG557" s="16">
        <v>12</v>
      </c>
    </row>
    <row r="558" spans="1:33" ht="15" customHeight="1" x14ac:dyDescent="0.2">
      <c r="A558" s="11" t="str">
        <f t="shared" ref="A558:A894" si="241">HYPERLINK("https://assets.vans.eu/images/VN000PDREN7-HERO/1","VN000PDREN71")</f>
        <v>VN000PDREN71</v>
      </c>
      <c r="B558" s="12" t="s">
        <v>2524</v>
      </c>
      <c r="C558" s="12" t="s">
        <v>976</v>
      </c>
      <c r="D558" s="12" t="s">
        <v>295</v>
      </c>
      <c r="E558" s="12" t="s">
        <v>2525</v>
      </c>
      <c r="F558" s="12" t="s">
        <v>60</v>
      </c>
      <c r="G558" s="14"/>
      <c r="H558" s="12" t="s">
        <v>61</v>
      </c>
      <c r="I558" s="12" t="s">
        <v>230</v>
      </c>
      <c r="J558" s="12" t="s">
        <v>419</v>
      </c>
      <c r="K558" s="12" t="s">
        <v>199</v>
      </c>
      <c r="L558" s="14"/>
      <c r="M558" s="12" t="s">
        <v>43</v>
      </c>
      <c r="N558" s="12" t="s">
        <v>84</v>
      </c>
      <c r="O558" s="12" t="s">
        <v>2526</v>
      </c>
      <c r="P558" s="12" t="s">
        <v>66</v>
      </c>
      <c r="Q558" s="12" t="s">
        <v>67</v>
      </c>
      <c r="R558" s="12" t="s">
        <v>421</v>
      </c>
      <c r="S558" s="13">
        <v>197804667338</v>
      </c>
      <c r="T558" s="12" t="s">
        <v>915</v>
      </c>
      <c r="U558" s="12" t="s">
        <v>60</v>
      </c>
      <c r="V558" s="12" t="s">
        <v>979</v>
      </c>
      <c r="W558" s="12" t="s">
        <v>299</v>
      </c>
      <c r="X558" s="14"/>
      <c r="Y558" s="14"/>
      <c r="Z558" s="14"/>
      <c r="AA558" s="14"/>
      <c r="AB558" s="14"/>
      <c r="AC558" s="15">
        <v>18.2</v>
      </c>
      <c r="AD558" s="15">
        <f>AC558*AG558</f>
        <v>218.39999999999998</v>
      </c>
      <c r="AE558" s="15">
        <v>40</v>
      </c>
      <c r="AF558" s="15">
        <f>AE558*AG558</f>
        <v>480</v>
      </c>
      <c r="AG558" s="16">
        <v>12</v>
      </c>
    </row>
    <row r="559" spans="1:33" ht="15" customHeight="1" x14ac:dyDescent="0.2">
      <c r="A559" s="11" t="str">
        <f t="shared" ref="A559:A3387" si="242">HYPERLINK("https://assets.vans.eu/images/VN000PEYNAV-HERO/1","VN000PEYNAV1")</f>
        <v>VN000PEYNAV1</v>
      </c>
      <c r="B559" s="12" t="s">
        <v>2527</v>
      </c>
      <c r="C559" s="12" t="s">
        <v>2528</v>
      </c>
      <c r="D559" s="12" t="s">
        <v>1573</v>
      </c>
      <c r="E559" s="12" t="s">
        <v>2529</v>
      </c>
      <c r="F559" s="12" t="s">
        <v>403</v>
      </c>
      <c r="G559" s="14"/>
      <c r="H559" s="12" t="s">
        <v>61</v>
      </c>
      <c r="I559" s="12" t="s">
        <v>230</v>
      </c>
      <c r="J559" s="12" t="s">
        <v>419</v>
      </c>
      <c r="K559" s="12" t="s">
        <v>199</v>
      </c>
      <c r="L559" s="14"/>
      <c r="M559" s="12" t="s">
        <v>43</v>
      </c>
      <c r="N559" s="12" t="s">
        <v>84</v>
      </c>
      <c r="O559" s="12" t="s">
        <v>2530</v>
      </c>
      <c r="P559" s="12" t="s">
        <v>66</v>
      </c>
      <c r="Q559" s="12" t="s">
        <v>67</v>
      </c>
      <c r="R559" s="12" t="s">
        <v>421</v>
      </c>
      <c r="S559" s="13">
        <v>197804358052</v>
      </c>
      <c r="T559" s="12" t="s">
        <v>915</v>
      </c>
      <c r="U559" s="12" t="s">
        <v>403</v>
      </c>
      <c r="V559" s="12" t="s">
        <v>979</v>
      </c>
      <c r="W559" s="12" t="s">
        <v>284</v>
      </c>
      <c r="X559" s="14"/>
      <c r="Y559" s="14"/>
      <c r="Z559" s="14"/>
      <c r="AA559" s="14"/>
      <c r="AB559" s="14"/>
      <c r="AC559" s="15">
        <v>15.95</v>
      </c>
      <c r="AD559" s="15">
        <f>AC559*AG559</f>
        <v>191.39999999999998</v>
      </c>
      <c r="AE559" s="15">
        <v>35</v>
      </c>
      <c r="AF559" s="15">
        <f>AE559*AG559</f>
        <v>420</v>
      </c>
      <c r="AG559" s="16">
        <v>12</v>
      </c>
    </row>
    <row r="560" spans="1:33" ht="15" customHeight="1" x14ac:dyDescent="0.2">
      <c r="A560" s="11" t="str">
        <f t="shared" ref="A560:A1020" si="243">HYPERLINK("https://assets.vans.eu/images/VN000PGJEMF-HERO/1","VN000PGJEMF1")</f>
        <v>VN000PGJEMF1</v>
      </c>
      <c r="B560" s="12" t="s">
        <v>2531</v>
      </c>
      <c r="C560" s="12" t="s">
        <v>2532</v>
      </c>
      <c r="D560" s="12" t="s">
        <v>1282</v>
      </c>
      <c r="E560" s="12" t="s">
        <v>2533</v>
      </c>
      <c r="F560" s="12" t="s">
        <v>170</v>
      </c>
      <c r="G560" s="14"/>
      <c r="H560" s="12" t="s">
        <v>61</v>
      </c>
      <c r="I560" s="12" t="s">
        <v>230</v>
      </c>
      <c r="J560" s="12" t="s">
        <v>762</v>
      </c>
      <c r="K560" s="12" t="s">
        <v>199</v>
      </c>
      <c r="L560" s="14"/>
      <c r="M560" s="12" t="s">
        <v>43</v>
      </c>
      <c r="N560" s="12" t="s">
        <v>84</v>
      </c>
      <c r="O560" s="12" t="s">
        <v>2534</v>
      </c>
      <c r="P560" s="12" t="s">
        <v>66</v>
      </c>
      <c r="Q560" s="12" t="s">
        <v>764</v>
      </c>
      <c r="R560" s="12" t="s">
        <v>765</v>
      </c>
      <c r="S560" s="13">
        <v>197804371822</v>
      </c>
      <c r="T560" s="12" t="s">
        <v>235</v>
      </c>
      <c r="U560" s="12" t="s">
        <v>170</v>
      </c>
      <c r="V560" s="12" t="s">
        <v>90</v>
      </c>
      <c r="W560" s="12" t="s">
        <v>118</v>
      </c>
      <c r="X560" s="14"/>
      <c r="Y560" s="14"/>
      <c r="Z560" s="14"/>
      <c r="AA560" s="14"/>
      <c r="AB560" s="14"/>
      <c r="AC560" s="15">
        <v>50</v>
      </c>
      <c r="AD560" s="15">
        <f>AC560*AG560</f>
        <v>600</v>
      </c>
      <c r="AE560" s="15">
        <v>110</v>
      </c>
      <c r="AF560" s="15">
        <f>AE560*AG560</f>
        <v>1320</v>
      </c>
      <c r="AG560" s="16">
        <v>12</v>
      </c>
    </row>
    <row r="561" spans="1:33" ht="15" customHeight="1" x14ac:dyDescent="0.2">
      <c r="A561" s="11" t="str">
        <f t="shared" si="185"/>
        <v>VN000PK8BLK1</v>
      </c>
      <c r="B561" s="12" t="s">
        <v>2535</v>
      </c>
      <c r="C561" s="12" t="s">
        <v>2070</v>
      </c>
      <c r="D561" s="12" t="s">
        <v>76</v>
      </c>
      <c r="E561" s="12" t="s">
        <v>2536</v>
      </c>
      <c r="F561" s="12" t="s">
        <v>138</v>
      </c>
      <c r="G561" s="14"/>
      <c r="H561" s="12" t="s">
        <v>61</v>
      </c>
      <c r="I561" s="12" t="s">
        <v>289</v>
      </c>
      <c r="J561" s="12" t="s">
        <v>290</v>
      </c>
      <c r="K561" s="12" t="s">
        <v>100</v>
      </c>
      <c r="L561" s="14"/>
      <c r="M561" s="12" t="s">
        <v>43</v>
      </c>
      <c r="N561" s="12" t="s">
        <v>84</v>
      </c>
      <c r="O561" s="12" t="s">
        <v>2537</v>
      </c>
      <c r="P561" s="12" t="s">
        <v>66</v>
      </c>
      <c r="Q561" s="12" t="s">
        <v>233</v>
      </c>
      <c r="R561" s="12" t="s">
        <v>2073</v>
      </c>
      <c r="S561" s="13">
        <v>197804580064</v>
      </c>
      <c r="T561" s="12" t="s">
        <v>49</v>
      </c>
      <c r="U561" s="12" t="s">
        <v>138</v>
      </c>
      <c r="V561" s="12" t="s">
        <v>2074</v>
      </c>
      <c r="W561" s="12" t="s">
        <v>51</v>
      </c>
      <c r="X561" s="14"/>
      <c r="Y561" s="14"/>
      <c r="Z561" s="14"/>
      <c r="AA561" s="14"/>
      <c r="AB561" s="14"/>
      <c r="AC561" s="15">
        <v>40.950000000000003</v>
      </c>
      <c r="AD561" s="15">
        <f>AC561*AG561</f>
        <v>491.40000000000003</v>
      </c>
      <c r="AE561" s="15">
        <v>90</v>
      </c>
      <c r="AF561" s="15">
        <f>AE561*AG561</f>
        <v>1080</v>
      </c>
      <c r="AG561" s="16">
        <v>12</v>
      </c>
    </row>
    <row r="562" spans="1:33" ht="15" customHeight="1" x14ac:dyDescent="0.2">
      <c r="A562" s="11" t="str">
        <f t="shared" si="177"/>
        <v>VN000PXSBLK1</v>
      </c>
      <c r="B562" s="12" t="s">
        <v>2538</v>
      </c>
      <c r="C562" s="12" t="s">
        <v>976</v>
      </c>
      <c r="D562" s="12" t="s">
        <v>76</v>
      </c>
      <c r="E562" s="12" t="s">
        <v>2539</v>
      </c>
      <c r="F562" s="12" t="s">
        <v>179</v>
      </c>
      <c r="G562" s="14"/>
      <c r="H562" s="12" t="s">
        <v>61</v>
      </c>
      <c r="I562" s="12" t="s">
        <v>62</v>
      </c>
      <c r="J562" s="12" t="s">
        <v>63</v>
      </c>
      <c r="K562" s="12" t="s">
        <v>64</v>
      </c>
      <c r="L562" s="14"/>
      <c r="M562" s="12" t="s">
        <v>43</v>
      </c>
      <c r="N562" s="12" t="s">
        <v>84</v>
      </c>
      <c r="O562" s="12" t="s">
        <v>2540</v>
      </c>
      <c r="P562" s="12" t="s">
        <v>66</v>
      </c>
      <c r="Q562" s="12" t="s">
        <v>67</v>
      </c>
      <c r="R562" s="12" t="s">
        <v>68</v>
      </c>
      <c r="S562" s="13">
        <v>197804365715</v>
      </c>
      <c r="T562" s="12" t="s">
        <v>915</v>
      </c>
      <c r="U562" s="12" t="s">
        <v>179</v>
      </c>
      <c r="V562" s="12" t="s">
        <v>1028</v>
      </c>
      <c r="W562" s="12" t="s">
        <v>51</v>
      </c>
      <c r="X562" s="14"/>
      <c r="Y562" s="14"/>
      <c r="Z562" s="14"/>
      <c r="AA562" s="14"/>
      <c r="AB562" s="14"/>
      <c r="AC562" s="15">
        <v>13.65</v>
      </c>
      <c r="AD562" s="15">
        <f>AC562*AG562</f>
        <v>163.80000000000001</v>
      </c>
      <c r="AE562" s="15">
        <v>30</v>
      </c>
      <c r="AF562" s="15">
        <f>AE562*AG562</f>
        <v>360</v>
      </c>
      <c r="AG562" s="16">
        <v>12</v>
      </c>
    </row>
    <row r="563" spans="1:33" ht="15" customHeight="1" x14ac:dyDescent="0.2">
      <c r="A563" s="11" t="str">
        <f t="shared" ref="A563:A1405" si="244">HYPERLINK("https://assets.vans.eu/images/VN000Q39EN9-HERO/1","VN000Q39EN91")</f>
        <v>VN000Q39EN91</v>
      </c>
      <c r="B563" s="12" t="s">
        <v>2541</v>
      </c>
      <c r="C563" s="12" t="s">
        <v>2542</v>
      </c>
      <c r="D563" s="12" t="s">
        <v>982</v>
      </c>
      <c r="E563" s="12" t="s">
        <v>2543</v>
      </c>
      <c r="F563" s="12" t="s">
        <v>138</v>
      </c>
      <c r="G563" s="14"/>
      <c r="H563" s="12" t="s">
        <v>61</v>
      </c>
      <c r="I563" s="12" t="s">
        <v>289</v>
      </c>
      <c r="J563" s="12" t="s">
        <v>706</v>
      </c>
      <c r="K563" s="12" t="s">
        <v>100</v>
      </c>
      <c r="L563" s="14"/>
      <c r="M563" s="12" t="s">
        <v>43</v>
      </c>
      <c r="N563" s="12" t="s">
        <v>84</v>
      </c>
      <c r="O563" s="12" t="s">
        <v>2544</v>
      </c>
      <c r="P563" s="12" t="s">
        <v>66</v>
      </c>
      <c r="Q563" s="12" t="s">
        <v>67</v>
      </c>
      <c r="R563" s="12" t="s">
        <v>708</v>
      </c>
      <c r="S563" s="13">
        <v>197804368921</v>
      </c>
      <c r="T563" s="12" t="s">
        <v>49</v>
      </c>
      <c r="U563" s="12" t="s">
        <v>138</v>
      </c>
      <c r="V563" s="12" t="s">
        <v>1343</v>
      </c>
      <c r="W563" s="12" t="s">
        <v>455</v>
      </c>
      <c r="X563" s="14"/>
      <c r="Y563" s="14"/>
      <c r="Z563" s="14"/>
      <c r="AA563" s="14"/>
      <c r="AB563" s="14"/>
      <c r="AC563" s="15">
        <v>38.65</v>
      </c>
      <c r="AD563" s="15">
        <f>AC563*AG563</f>
        <v>463.79999999999995</v>
      </c>
      <c r="AE563" s="15">
        <v>85</v>
      </c>
      <c r="AF563" s="15">
        <f>AE563*AG563</f>
        <v>1020</v>
      </c>
      <c r="AG563" s="16">
        <v>12</v>
      </c>
    </row>
    <row r="564" spans="1:33" ht="15" customHeight="1" x14ac:dyDescent="0.2">
      <c r="A564" s="11" t="str">
        <f t="shared" ref="A564:A1036" si="245">HYPERLINK("https://assets.vans.eu/images/VN000QDFWHT-HERO/1","VN000QDFWHT1")</f>
        <v>VN000QDFWHT1</v>
      </c>
      <c r="B564" s="12" t="s">
        <v>2545</v>
      </c>
      <c r="C564" s="12" t="s">
        <v>2546</v>
      </c>
      <c r="D564" s="12" t="s">
        <v>168</v>
      </c>
      <c r="E564" s="12" t="s">
        <v>2547</v>
      </c>
      <c r="F564" s="12" t="s">
        <v>60</v>
      </c>
      <c r="G564" s="14"/>
      <c r="H564" s="12" t="s">
        <v>61</v>
      </c>
      <c r="I564" s="12" t="s">
        <v>289</v>
      </c>
      <c r="J564" s="12" t="s">
        <v>706</v>
      </c>
      <c r="K564" s="12" t="s">
        <v>100</v>
      </c>
      <c r="L564" s="14"/>
      <c r="M564" s="12" t="s">
        <v>43</v>
      </c>
      <c r="N564" s="12" t="s">
        <v>84</v>
      </c>
      <c r="O564" s="12" t="s">
        <v>2548</v>
      </c>
      <c r="P564" s="12" t="s">
        <v>66</v>
      </c>
      <c r="Q564" s="12" t="s">
        <v>67</v>
      </c>
      <c r="R564" s="12" t="s">
        <v>1146</v>
      </c>
      <c r="S564" s="13">
        <v>197804396337</v>
      </c>
      <c r="T564" s="12" t="s">
        <v>709</v>
      </c>
      <c r="U564" s="12" t="s">
        <v>60</v>
      </c>
      <c r="V564" s="12" t="s">
        <v>665</v>
      </c>
      <c r="W564" s="12" t="s">
        <v>175</v>
      </c>
      <c r="X564" s="14"/>
      <c r="Y564" s="14"/>
      <c r="Z564" s="14"/>
      <c r="AA564" s="14"/>
      <c r="AB564" s="14"/>
      <c r="AC564" s="15">
        <v>13.65</v>
      </c>
      <c r="AD564" s="15">
        <f>AC564*AG564</f>
        <v>163.80000000000001</v>
      </c>
      <c r="AE564" s="15">
        <v>30</v>
      </c>
      <c r="AF564" s="15">
        <f>AE564*AG564</f>
        <v>360</v>
      </c>
      <c r="AG564" s="16">
        <v>12</v>
      </c>
    </row>
    <row r="565" spans="1:33" ht="15" customHeight="1" x14ac:dyDescent="0.2">
      <c r="A565" s="11" t="str">
        <f t="shared" ref="A565:A820" si="246">HYPERLINK("https://assets.vans.eu/images/VN000R3UU20-HERO/1","VN000R3UU201")</f>
        <v>VN000R3UU201</v>
      </c>
      <c r="B565" s="12" t="s">
        <v>2549</v>
      </c>
      <c r="C565" s="12" t="s">
        <v>1196</v>
      </c>
      <c r="D565" s="12" t="s">
        <v>1197</v>
      </c>
      <c r="E565" s="12" t="s">
        <v>2550</v>
      </c>
      <c r="F565" s="12" t="s">
        <v>60</v>
      </c>
      <c r="G565" s="14"/>
      <c r="H565" s="12" t="s">
        <v>61</v>
      </c>
      <c r="I565" s="12" t="s">
        <v>289</v>
      </c>
      <c r="J565" s="12" t="s">
        <v>706</v>
      </c>
      <c r="K565" s="12" t="s">
        <v>100</v>
      </c>
      <c r="L565" s="14"/>
      <c r="M565" s="12" t="s">
        <v>43</v>
      </c>
      <c r="N565" s="12" t="s">
        <v>84</v>
      </c>
      <c r="O565" s="12" t="s">
        <v>2551</v>
      </c>
      <c r="P565" s="12" t="s">
        <v>66</v>
      </c>
      <c r="Q565" s="12" t="s">
        <v>67</v>
      </c>
      <c r="R565" s="12" t="s">
        <v>1200</v>
      </c>
      <c r="S565" s="13">
        <v>197804585373</v>
      </c>
      <c r="T565" s="12" t="s">
        <v>49</v>
      </c>
      <c r="U565" s="12" t="s">
        <v>60</v>
      </c>
      <c r="V565" s="12" t="s">
        <v>1201</v>
      </c>
      <c r="W565" s="12" t="s">
        <v>175</v>
      </c>
      <c r="X565" s="14"/>
      <c r="Y565" s="14"/>
      <c r="Z565" s="14"/>
      <c r="AA565" s="14"/>
      <c r="AB565" s="14"/>
      <c r="AC565" s="15">
        <v>20.5</v>
      </c>
      <c r="AD565" s="15">
        <f>AC565*AG565</f>
        <v>246</v>
      </c>
      <c r="AE565" s="15">
        <v>45</v>
      </c>
      <c r="AF565" s="15">
        <f>AE565*AG565</f>
        <v>540</v>
      </c>
      <c r="AG565" s="16">
        <v>12</v>
      </c>
    </row>
    <row r="566" spans="1:33" ht="15" customHeight="1" x14ac:dyDescent="0.2">
      <c r="A566" s="11" t="str">
        <f t="shared" ref="A566:A738" si="247">HYPERLINK("https://assets.vans.eu/images/VN000R742N1-HERO/1","VN000R742N11")</f>
        <v>VN000R742N11</v>
      </c>
      <c r="B566" s="12" t="s">
        <v>2552</v>
      </c>
      <c r="C566" s="12" t="s">
        <v>2553</v>
      </c>
      <c r="D566" s="12" t="s">
        <v>1082</v>
      </c>
      <c r="E566" s="12" t="s">
        <v>2554</v>
      </c>
      <c r="F566" s="12" t="s">
        <v>179</v>
      </c>
      <c r="G566" s="14"/>
      <c r="H566" s="12" t="s">
        <v>61</v>
      </c>
      <c r="I566" s="12" t="s">
        <v>289</v>
      </c>
      <c r="J566" s="12" t="s">
        <v>706</v>
      </c>
      <c r="K566" s="12" t="s">
        <v>100</v>
      </c>
      <c r="L566" s="12" t="s">
        <v>83</v>
      </c>
      <c r="M566" s="12" t="s">
        <v>43</v>
      </c>
      <c r="N566" s="12" t="s">
        <v>84</v>
      </c>
      <c r="O566" s="12" t="s">
        <v>2555</v>
      </c>
      <c r="P566" s="12" t="s">
        <v>66</v>
      </c>
      <c r="Q566" s="12" t="s">
        <v>67</v>
      </c>
      <c r="R566" s="12" t="s">
        <v>1146</v>
      </c>
      <c r="S566" s="13">
        <v>197804296569</v>
      </c>
      <c r="T566" s="12" t="s">
        <v>69</v>
      </c>
      <c r="U566" s="12" t="s">
        <v>179</v>
      </c>
      <c r="V566" s="12" t="s">
        <v>2556</v>
      </c>
      <c r="W566" s="12" t="s">
        <v>580</v>
      </c>
      <c r="X566" s="14"/>
      <c r="Y566" s="14"/>
      <c r="Z566" s="14"/>
      <c r="AA566" s="14"/>
      <c r="AB566" s="14"/>
      <c r="AC566" s="15">
        <v>18.2</v>
      </c>
      <c r="AD566" s="15">
        <f>AC566*AG566</f>
        <v>218.39999999999998</v>
      </c>
      <c r="AE566" s="15">
        <v>40</v>
      </c>
      <c r="AF566" s="15">
        <f>AE566*AG566</f>
        <v>480</v>
      </c>
      <c r="AG566" s="16">
        <v>12</v>
      </c>
    </row>
    <row r="567" spans="1:33" ht="15" customHeight="1" x14ac:dyDescent="0.2">
      <c r="A567" s="11" t="str">
        <f t="shared" si="155"/>
        <v>VN000RG41QI1</v>
      </c>
      <c r="B567" s="12" t="s">
        <v>2557</v>
      </c>
      <c r="C567" s="12" t="s">
        <v>417</v>
      </c>
      <c r="D567" s="12" t="s">
        <v>1592</v>
      </c>
      <c r="E567" s="12" t="s">
        <v>2558</v>
      </c>
      <c r="F567" s="12" t="s">
        <v>179</v>
      </c>
      <c r="G567" s="14"/>
      <c r="H567" s="12" t="s">
        <v>61</v>
      </c>
      <c r="I567" s="12" t="s">
        <v>230</v>
      </c>
      <c r="J567" s="12" t="s">
        <v>419</v>
      </c>
      <c r="K567" s="12" t="s">
        <v>199</v>
      </c>
      <c r="L567" s="12" t="s">
        <v>83</v>
      </c>
      <c r="M567" s="12" t="s">
        <v>43</v>
      </c>
      <c r="N567" s="12" t="s">
        <v>84</v>
      </c>
      <c r="O567" s="12" t="s">
        <v>2559</v>
      </c>
      <c r="P567" s="12" t="s">
        <v>66</v>
      </c>
      <c r="Q567" s="12" t="s">
        <v>67</v>
      </c>
      <c r="R567" s="12" t="s">
        <v>421</v>
      </c>
      <c r="S567" s="13">
        <v>197804327904</v>
      </c>
      <c r="T567" s="12" t="s">
        <v>422</v>
      </c>
      <c r="U567" s="12" t="s">
        <v>179</v>
      </c>
      <c r="V567" s="12" t="s">
        <v>1825</v>
      </c>
      <c r="W567" s="12" t="s">
        <v>455</v>
      </c>
      <c r="X567" s="14"/>
      <c r="Y567" s="14"/>
      <c r="Z567" s="14"/>
      <c r="AA567" s="14"/>
      <c r="AB567" s="14"/>
      <c r="AC567" s="15">
        <v>20.5</v>
      </c>
      <c r="AD567" s="15">
        <f>AC567*AG567</f>
        <v>246</v>
      </c>
      <c r="AE567" s="15">
        <v>45</v>
      </c>
      <c r="AF567" s="15">
        <f>AE567*AG567</f>
        <v>540</v>
      </c>
      <c r="AG567" s="16">
        <v>12</v>
      </c>
    </row>
    <row r="568" spans="1:33" ht="15" customHeight="1" x14ac:dyDescent="0.2">
      <c r="A568" s="11" t="str">
        <f t="shared" si="206"/>
        <v>VN0A5FLPBLK1</v>
      </c>
      <c r="B568" s="12" t="s">
        <v>2560</v>
      </c>
      <c r="C568" s="12" t="s">
        <v>2256</v>
      </c>
      <c r="D568" s="12" t="s">
        <v>76</v>
      </c>
      <c r="E568" s="12" t="s">
        <v>2561</v>
      </c>
      <c r="F568" s="13">
        <v>27</v>
      </c>
      <c r="G568" s="14"/>
      <c r="H568" s="12" t="s">
        <v>61</v>
      </c>
      <c r="I568" s="12" t="s">
        <v>62</v>
      </c>
      <c r="J568" s="12" t="s">
        <v>972</v>
      </c>
      <c r="K568" s="12" t="s">
        <v>64</v>
      </c>
      <c r="L568" s="14"/>
      <c r="M568" s="12" t="s">
        <v>43</v>
      </c>
      <c r="N568" s="12" t="s">
        <v>44</v>
      </c>
      <c r="O568" s="12" t="s">
        <v>2562</v>
      </c>
      <c r="P568" s="12" t="s">
        <v>66</v>
      </c>
      <c r="Q568" s="12" t="s">
        <v>233</v>
      </c>
      <c r="R568" s="12" t="s">
        <v>974</v>
      </c>
      <c r="S568" s="13">
        <v>195437425066</v>
      </c>
      <c r="T568" s="12" t="s">
        <v>235</v>
      </c>
      <c r="U568" s="13">
        <v>27</v>
      </c>
      <c r="V568" s="12" t="s">
        <v>236</v>
      </c>
      <c r="W568" s="12" t="s">
        <v>51</v>
      </c>
      <c r="X568" s="13">
        <v>0</v>
      </c>
      <c r="Y568" s="12" t="s">
        <v>91</v>
      </c>
      <c r="Z568" s="12" t="s">
        <v>108</v>
      </c>
      <c r="AA568" s="13">
        <v>0</v>
      </c>
      <c r="AB568" s="13">
        <v>0</v>
      </c>
      <c r="AC568" s="15">
        <v>25</v>
      </c>
      <c r="AD568" s="15">
        <f>AC568*AG568</f>
        <v>300</v>
      </c>
      <c r="AE568" s="15">
        <v>55</v>
      </c>
      <c r="AF568" s="15">
        <f>AE568*AG568</f>
        <v>660</v>
      </c>
      <c r="AG568" s="16">
        <v>12</v>
      </c>
    </row>
    <row r="569" spans="1:33" ht="15" customHeight="1" x14ac:dyDescent="0.2">
      <c r="A569" s="11" t="str">
        <f t="shared" si="206"/>
        <v>VN0A5FLPBLK1</v>
      </c>
      <c r="B569" s="12" t="s">
        <v>2563</v>
      </c>
      <c r="C569" s="12" t="s">
        <v>2256</v>
      </c>
      <c r="D569" s="12" t="s">
        <v>76</v>
      </c>
      <c r="E569" s="12" t="s">
        <v>2564</v>
      </c>
      <c r="F569" s="13">
        <v>28</v>
      </c>
      <c r="G569" s="14"/>
      <c r="H569" s="12" t="s">
        <v>61</v>
      </c>
      <c r="I569" s="12" t="s">
        <v>62</v>
      </c>
      <c r="J569" s="12" t="s">
        <v>972</v>
      </c>
      <c r="K569" s="12" t="s">
        <v>64</v>
      </c>
      <c r="L569" s="14"/>
      <c r="M569" s="12" t="s">
        <v>43</v>
      </c>
      <c r="N569" s="12" t="s">
        <v>44</v>
      </c>
      <c r="O569" s="12" t="s">
        <v>2565</v>
      </c>
      <c r="P569" s="12" t="s">
        <v>66</v>
      </c>
      <c r="Q569" s="12" t="s">
        <v>233</v>
      </c>
      <c r="R569" s="12" t="s">
        <v>974</v>
      </c>
      <c r="S569" s="13">
        <v>195437425240</v>
      </c>
      <c r="T569" s="12" t="s">
        <v>235</v>
      </c>
      <c r="U569" s="13">
        <v>28</v>
      </c>
      <c r="V569" s="12" t="s">
        <v>236</v>
      </c>
      <c r="W569" s="12" t="s">
        <v>51</v>
      </c>
      <c r="X569" s="13">
        <v>0</v>
      </c>
      <c r="Y569" s="12" t="s">
        <v>91</v>
      </c>
      <c r="Z569" s="12" t="s">
        <v>108</v>
      </c>
      <c r="AA569" s="13">
        <v>0</v>
      </c>
      <c r="AB569" s="13">
        <v>0</v>
      </c>
      <c r="AC569" s="15">
        <v>25</v>
      </c>
      <c r="AD569" s="15">
        <f>AC569*AG569</f>
        <v>300</v>
      </c>
      <c r="AE569" s="15">
        <v>55</v>
      </c>
      <c r="AF569" s="15">
        <f>AE569*AG569</f>
        <v>660</v>
      </c>
      <c r="AG569" s="16">
        <v>12</v>
      </c>
    </row>
    <row r="570" spans="1:33" ht="15" customHeight="1" x14ac:dyDescent="0.2">
      <c r="A570" s="11" t="str">
        <f>HYPERLINK("https://assets.vans.eu/images/VN000H4ZE2W-HERO/1","VN000H4ZE2W1")</f>
        <v>VN000H4ZE2W1</v>
      </c>
      <c r="B570" s="12" t="s">
        <v>2566</v>
      </c>
      <c r="C570" s="12" t="s">
        <v>2567</v>
      </c>
      <c r="D570" s="12" t="s">
        <v>1476</v>
      </c>
      <c r="E570" s="12" t="s">
        <v>2568</v>
      </c>
      <c r="F570" s="12" t="s">
        <v>78</v>
      </c>
      <c r="G570" s="14"/>
      <c r="H570" s="12" t="s">
        <v>441</v>
      </c>
      <c r="I570" s="12" t="s">
        <v>442</v>
      </c>
      <c r="J570" s="12" t="s">
        <v>443</v>
      </c>
      <c r="K570" s="12" t="s">
        <v>82</v>
      </c>
      <c r="L570" s="14"/>
      <c r="M570" s="12" t="s">
        <v>43</v>
      </c>
      <c r="N570" s="12" t="s">
        <v>44</v>
      </c>
      <c r="O570" s="12" t="s">
        <v>2569</v>
      </c>
      <c r="P570" s="12" t="s">
        <v>445</v>
      </c>
      <c r="Q570" s="12" t="s">
        <v>446</v>
      </c>
      <c r="R570" s="12" t="s">
        <v>447</v>
      </c>
      <c r="S570" s="13">
        <v>197643554561</v>
      </c>
      <c r="T570" s="12" t="s">
        <v>130</v>
      </c>
      <c r="U570" s="12" t="s">
        <v>78</v>
      </c>
      <c r="V570" s="12" t="s">
        <v>2570</v>
      </c>
      <c r="W570" s="12" t="s">
        <v>284</v>
      </c>
      <c r="X570" s="12" t="s">
        <v>500</v>
      </c>
      <c r="Y570" s="12" t="s">
        <v>91</v>
      </c>
      <c r="Z570" s="12" t="s">
        <v>108</v>
      </c>
      <c r="AA570" s="13">
        <v>0</v>
      </c>
      <c r="AB570" s="13">
        <v>0</v>
      </c>
      <c r="AC570" s="15">
        <v>20.5</v>
      </c>
      <c r="AD570" s="15">
        <f>AC570*AG570</f>
        <v>246</v>
      </c>
      <c r="AE570" s="15">
        <v>45</v>
      </c>
      <c r="AF570" s="15">
        <f>AE570*AG570</f>
        <v>540</v>
      </c>
      <c r="AG570" s="16">
        <v>12</v>
      </c>
    </row>
    <row r="571" spans="1:33" ht="15" customHeight="1" x14ac:dyDescent="0.2">
      <c r="A571" s="11" t="str">
        <f t="shared" ref="A571:A681" si="248">HYPERLINK("https://assets.vans.eu/images/VN000CVTWHP-HERO/1","VN000CVTWHP1")</f>
        <v>VN000CVTWHP1</v>
      </c>
      <c r="B571" s="12" t="s">
        <v>2571</v>
      </c>
      <c r="C571" s="12" t="s">
        <v>944</v>
      </c>
      <c r="D571" s="12" t="s">
        <v>945</v>
      </c>
      <c r="E571" s="12" t="s">
        <v>2572</v>
      </c>
      <c r="F571" s="13">
        <v>45</v>
      </c>
      <c r="G571" s="14"/>
      <c r="H571" s="12" t="s">
        <v>38</v>
      </c>
      <c r="I571" s="12" t="s">
        <v>113</v>
      </c>
      <c r="J571" s="12" t="s">
        <v>114</v>
      </c>
      <c r="K571" s="12" t="s">
        <v>82</v>
      </c>
      <c r="L571" s="14"/>
      <c r="M571" s="12" t="s">
        <v>43</v>
      </c>
      <c r="N571" s="12" t="s">
        <v>161</v>
      </c>
      <c r="O571" s="12" t="s">
        <v>2573</v>
      </c>
      <c r="P571" s="12" t="s">
        <v>46</v>
      </c>
      <c r="Q571" s="12" t="s">
        <v>47</v>
      </c>
      <c r="R571" s="12" t="s">
        <v>948</v>
      </c>
      <c r="S571" s="13">
        <v>197065566357</v>
      </c>
      <c r="T571" s="12" t="s">
        <v>49</v>
      </c>
      <c r="U571" s="13">
        <v>36</v>
      </c>
      <c r="V571" s="12" t="s">
        <v>50</v>
      </c>
      <c r="W571" s="12" t="s">
        <v>175</v>
      </c>
      <c r="X571" s="14"/>
      <c r="Y571" s="12" t="s">
        <v>91</v>
      </c>
      <c r="Z571" s="12" t="s">
        <v>165</v>
      </c>
      <c r="AA571" s="14"/>
      <c r="AB571" s="14"/>
      <c r="AC571" s="15">
        <v>65.95</v>
      </c>
      <c r="AD571" s="15">
        <f>AC571*AG571</f>
        <v>791.40000000000009</v>
      </c>
      <c r="AE571" s="15">
        <v>145</v>
      </c>
      <c r="AF571" s="15">
        <f>AE571*AG571</f>
        <v>1740</v>
      </c>
      <c r="AG571" s="16">
        <v>12</v>
      </c>
    </row>
    <row r="572" spans="1:33" ht="15" customHeight="1" x14ac:dyDescent="0.2">
      <c r="A572" s="11" t="str">
        <f>HYPERLINK("https://assets.vans.eu/images/VN000CWEZ5D-HERO/1","VN000CWEZ5D1")</f>
        <v>VN000CWEZ5D1</v>
      </c>
      <c r="B572" s="12" t="s">
        <v>2574</v>
      </c>
      <c r="C572" s="12" t="s">
        <v>1248</v>
      </c>
      <c r="D572" s="12" t="s">
        <v>2575</v>
      </c>
      <c r="E572" s="12" t="s">
        <v>2576</v>
      </c>
      <c r="F572" s="13">
        <v>40</v>
      </c>
      <c r="G572" s="14"/>
      <c r="H572" s="12" t="s">
        <v>38</v>
      </c>
      <c r="I572" s="12" t="s">
        <v>113</v>
      </c>
      <c r="J572" s="12" t="s">
        <v>529</v>
      </c>
      <c r="K572" s="12" t="s">
        <v>82</v>
      </c>
      <c r="L572" s="14"/>
      <c r="M572" s="12" t="s">
        <v>43</v>
      </c>
      <c r="N572" s="12" t="s">
        <v>161</v>
      </c>
      <c r="O572" s="12" t="s">
        <v>2577</v>
      </c>
      <c r="P572" s="12" t="s">
        <v>46</v>
      </c>
      <c r="Q572" s="12" t="s">
        <v>47</v>
      </c>
      <c r="R572" s="12" t="s">
        <v>117</v>
      </c>
      <c r="S572" s="13">
        <v>197065666460</v>
      </c>
      <c r="T572" s="12" t="s">
        <v>49</v>
      </c>
      <c r="U572" s="13">
        <v>35</v>
      </c>
      <c r="V572" s="12" t="s">
        <v>50</v>
      </c>
      <c r="W572" s="12" t="s">
        <v>175</v>
      </c>
      <c r="X572" s="14"/>
      <c r="Y572" s="12" t="s">
        <v>91</v>
      </c>
      <c r="Z572" s="12" t="s">
        <v>165</v>
      </c>
      <c r="AA572" s="14"/>
      <c r="AB572" s="14"/>
      <c r="AC572" s="15">
        <v>59.1</v>
      </c>
      <c r="AD572" s="15">
        <f>AC572*AG572</f>
        <v>709.2</v>
      </c>
      <c r="AE572" s="15">
        <v>130</v>
      </c>
      <c r="AF572" s="15">
        <f>AE572*AG572</f>
        <v>1560</v>
      </c>
      <c r="AG572" s="16">
        <v>12</v>
      </c>
    </row>
    <row r="573" spans="1:33" ht="15" customHeight="1" x14ac:dyDescent="0.2">
      <c r="A573" s="11" t="str">
        <f t="shared" ref="A573:A1481" si="249">HYPERLINK("https://assets.vans.eu/images/VN000D0H11E-HERO/1","VN000D0H11E1")</f>
        <v>VN000D0H11E1</v>
      </c>
      <c r="B573" s="12" t="s">
        <v>2578</v>
      </c>
      <c r="C573" s="12" t="s">
        <v>1108</v>
      </c>
      <c r="D573" s="12" t="s">
        <v>1148</v>
      </c>
      <c r="E573" s="12" t="s">
        <v>2579</v>
      </c>
      <c r="F573" s="13">
        <v>130</v>
      </c>
      <c r="G573" s="12" t="s">
        <v>1111</v>
      </c>
      <c r="H573" s="12" t="s">
        <v>38</v>
      </c>
      <c r="I573" s="12" t="s">
        <v>39</v>
      </c>
      <c r="J573" s="12" t="s">
        <v>40</v>
      </c>
      <c r="K573" s="12" t="s">
        <v>41</v>
      </c>
      <c r="L573" s="14"/>
      <c r="M573" s="12" t="s">
        <v>43</v>
      </c>
      <c r="N573" s="12" t="s">
        <v>84</v>
      </c>
      <c r="O573" s="12" t="s">
        <v>2580</v>
      </c>
      <c r="P573" s="12" t="s">
        <v>46</v>
      </c>
      <c r="Q573" s="12" t="s">
        <v>47</v>
      </c>
      <c r="R573" s="12" t="s">
        <v>780</v>
      </c>
      <c r="S573" s="13">
        <v>197804436668</v>
      </c>
      <c r="T573" s="12" t="s">
        <v>105</v>
      </c>
      <c r="U573" s="13">
        <v>30.5</v>
      </c>
      <c r="V573" s="12" t="s">
        <v>50</v>
      </c>
      <c r="W573" s="12" t="s">
        <v>107</v>
      </c>
      <c r="X573" s="14"/>
      <c r="Y573" s="14"/>
      <c r="Z573" s="14"/>
      <c r="AA573" s="14"/>
      <c r="AB573" s="14"/>
      <c r="AC573" s="15">
        <v>34.1</v>
      </c>
      <c r="AD573" s="15">
        <f>AC573*AG573</f>
        <v>409.20000000000005</v>
      </c>
      <c r="AE573" s="15">
        <v>75</v>
      </c>
      <c r="AF573" s="15">
        <f>AE573*AG573</f>
        <v>900</v>
      </c>
      <c r="AG573" s="16">
        <v>12</v>
      </c>
    </row>
    <row r="574" spans="1:33" ht="15" customHeight="1" x14ac:dyDescent="0.2">
      <c r="A574" s="11" t="str">
        <f>HYPERLINK("https://assets.vans.eu/images/VN000D0SRV2-HERO/1","VN000D0SRV21")</f>
        <v>VN000D0SRV21</v>
      </c>
      <c r="B574" s="12" t="s">
        <v>2581</v>
      </c>
      <c r="C574" s="12" t="s">
        <v>2280</v>
      </c>
      <c r="D574" s="12" t="s">
        <v>1428</v>
      </c>
      <c r="E574" s="12" t="s">
        <v>2582</v>
      </c>
      <c r="F574" s="13">
        <v>50</v>
      </c>
      <c r="G574" s="12" t="s">
        <v>2273</v>
      </c>
      <c r="H574" s="12" t="s">
        <v>38</v>
      </c>
      <c r="I574" s="12" t="s">
        <v>242</v>
      </c>
      <c r="J574" s="12" t="s">
        <v>243</v>
      </c>
      <c r="K574" s="12" t="s">
        <v>244</v>
      </c>
      <c r="L574" s="14"/>
      <c r="M574" s="12" t="s">
        <v>43</v>
      </c>
      <c r="N574" s="12" t="s">
        <v>84</v>
      </c>
      <c r="O574" s="12" t="s">
        <v>2583</v>
      </c>
      <c r="P574" s="12" t="s">
        <v>46</v>
      </c>
      <c r="Q574" s="12" t="s">
        <v>47</v>
      </c>
      <c r="R574" s="12" t="s">
        <v>48</v>
      </c>
      <c r="S574" s="13">
        <v>197804521975</v>
      </c>
      <c r="T574" s="12" t="s">
        <v>164</v>
      </c>
      <c r="U574" s="13">
        <v>21</v>
      </c>
      <c r="V574" s="12" t="s">
        <v>375</v>
      </c>
      <c r="W574" s="12" t="s">
        <v>51</v>
      </c>
      <c r="X574" s="14"/>
      <c r="Y574" s="14"/>
      <c r="Z574" s="14"/>
      <c r="AA574" s="14"/>
      <c r="AB574" s="14"/>
      <c r="AC574" s="15">
        <v>20.5</v>
      </c>
      <c r="AD574" s="15">
        <f>AC574*AG574</f>
        <v>246</v>
      </c>
      <c r="AE574" s="15">
        <v>45</v>
      </c>
      <c r="AF574" s="15">
        <f>AE574*AG574</f>
        <v>540</v>
      </c>
      <c r="AG574" s="16">
        <v>12</v>
      </c>
    </row>
    <row r="575" spans="1:33" ht="15" customHeight="1" x14ac:dyDescent="0.2">
      <c r="A575" s="11" t="str">
        <f t="shared" si="211"/>
        <v>VN000D0SYJ71</v>
      </c>
      <c r="B575" s="12" t="s">
        <v>2584</v>
      </c>
      <c r="C575" s="12" t="s">
        <v>2280</v>
      </c>
      <c r="D575" s="12" t="s">
        <v>1300</v>
      </c>
      <c r="E575" s="12" t="s">
        <v>2585</v>
      </c>
      <c r="F575" s="13">
        <v>70</v>
      </c>
      <c r="G575" s="12" t="s">
        <v>1302</v>
      </c>
      <c r="H575" s="12" t="s">
        <v>38</v>
      </c>
      <c r="I575" s="12" t="s">
        <v>242</v>
      </c>
      <c r="J575" s="12" t="s">
        <v>243</v>
      </c>
      <c r="K575" s="12" t="s">
        <v>244</v>
      </c>
      <c r="L575" s="14"/>
      <c r="M575" s="12" t="s">
        <v>43</v>
      </c>
      <c r="N575" s="12" t="s">
        <v>84</v>
      </c>
      <c r="O575" s="12" t="s">
        <v>2586</v>
      </c>
      <c r="P575" s="12" t="s">
        <v>46</v>
      </c>
      <c r="Q575" s="12" t="s">
        <v>47</v>
      </c>
      <c r="R575" s="12" t="s">
        <v>48</v>
      </c>
      <c r="S575" s="13">
        <v>197804522491</v>
      </c>
      <c r="T575" s="12" t="s">
        <v>164</v>
      </c>
      <c r="U575" s="13">
        <v>23.5</v>
      </c>
      <c r="V575" s="12" t="s">
        <v>375</v>
      </c>
      <c r="W575" s="12" t="s">
        <v>51</v>
      </c>
      <c r="X575" s="14"/>
      <c r="Y575" s="14"/>
      <c r="Z575" s="14"/>
      <c r="AA575" s="14"/>
      <c r="AB575" s="14"/>
      <c r="AC575" s="15">
        <v>22.75</v>
      </c>
      <c r="AD575" s="15">
        <f>AC575*AG575</f>
        <v>273</v>
      </c>
      <c r="AE575" s="15">
        <v>50</v>
      </c>
      <c r="AF575" s="15">
        <f>AE575*AG575</f>
        <v>600</v>
      </c>
      <c r="AG575" s="16">
        <v>12</v>
      </c>
    </row>
    <row r="576" spans="1:33" ht="15" customHeight="1" x14ac:dyDescent="0.2">
      <c r="A576" s="11" t="str">
        <f t="shared" ref="A576:A952" si="250">HYPERLINK("https://assets.vans.eu/images/VN000D1HWWW-HERO/1","VN000D1HWWW1")</f>
        <v>VN000D1HWWW1</v>
      </c>
      <c r="B576" s="12" t="s">
        <v>2587</v>
      </c>
      <c r="C576" s="12" t="s">
        <v>1614</v>
      </c>
      <c r="D576" s="12" t="s">
        <v>2588</v>
      </c>
      <c r="E576" s="12" t="s">
        <v>2589</v>
      </c>
      <c r="F576" s="13">
        <v>40</v>
      </c>
      <c r="G576" s="14"/>
      <c r="H576" s="12" t="s">
        <v>38</v>
      </c>
      <c r="I576" s="12" t="s">
        <v>113</v>
      </c>
      <c r="J576" s="12" t="s">
        <v>529</v>
      </c>
      <c r="K576" s="12" t="s">
        <v>82</v>
      </c>
      <c r="L576" s="14"/>
      <c r="M576" s="12" t="s">
        <v>43</v>
      </c>
      <c r="N576" s="12" t="s">
        <v>84</v>
      </c>
      <c r="O576" s="12" t="s">
        <v>2590</v>
      </c>
      <c r="P576" s="12" t="s">
        <v>46</v>
      </c>
      <c r="Q576" s="12" t="s">
        <v>47</v>
      </c>
      <c r="R576" s="12" t="s">
        <v>117</v>
      </c>
      <c r="S576" s="13">
        <v>197065689827</v>
      </c>
      <c r="T576" s="12" t="s">
        <v>49</v>
      </c>
      <c r="U576" s="13">
        <v>35</v>
      </c>
      <c r="V576" s="12" t="s">
        <v>50</v>
      </c>
      <c r="W576" s="12" t="s">
        <v>175</v>
      </c>
      <c r="X576" s="14"/>
      <c r="Y576" s="12" t="s">
        <v>53</v>
      </c>
      <c r="Z576" s="12" t="s">
        <v>263</v>
      </c>
      <c r="AA576" s="14"/>
      <c r="AB576" s="14"/>
      <c r="AC576" s="15">
        <v>52.3</v>
      </c>
      <c r="AD576" s="15">
        <f>AC576*AG576</f>
        <v>627.59999999999991</v>
      </c>
      <c r="AE576" s="15">
        <v>115</v>
      </c>
      <c r="AF576" s="15">
        <f>AE576*AG576</f>
        <v>1380</v>
      </c>
      <c r="AG576" s="16">
        <v>12</v>
      </c>
    </row>
    <row r="577" spans="1:33" ht="15" customHeight="1" x14ac:dyDescent="0.2">
      <c r="A577" s="11" t="str">
        <f t="shared" ref="A577:A1076" si="251">HYPERLINK("https://assets.vans.eu/images/VN000D5D17P-HERO/1","VN000D5D17P1")</f>
        <v>VN000D5D17P1</v>
      </c>
      <c r="B577" s="12" t="s">
        <v>2591</v>
      </c>
      <c r="C577" s="12" t="s">
        <v>2592</v>
      </c>
      <c r="D577" s="12" t="s">
        <v>2593</v>
      </c>
      <c r="E577" s="12" t="s">
        <v>2594</v>
      </c>
      <c r="F577" s="13">
        <v>120</v>
      </c>
      <c r="G577" s="14"/>
      <c r="H577" s="12" t="s">
        <v>38</v>
      </c>
      <c r="I577" s="12" t="s">
        <v>159</v>
      </c>
      <c r="J577" s="12" t="s">
        <v>341</v>
      </c>
      <c r="K577" s="12" t="s">
        <v>199</v>
      </c>
      <c r="L577" s="14"/>
      <c r="M577" s="12" t="s">
        <v>43</v>
      </c>
      <c r="N577" s="12" t="s">
        <v>84</v>
      </c>
      <c r="O577" s="12" t="s">
        <v>2595</v>
      </c>
      <c r="P577" s="12" t="s">
        <v>46</v>
      </c>
      <c r="Q577" s="12" t="s">
        <v>47</v>
      </c>
      <c r="R577" s="12" t="s">
        <v>163</v>
      </c>
      <c r="S577" s="13">
        <v>197804532315</v>
      </c>
      <c r="T577" s="12" t="s">
        <v>49</v>
      </c>
      <c r="U577" s="13">
        <v>46</v>
      </c>
      <c r="V577" s="12" t="s">
        <v>50</v>
      </c>
      <c r="W577" s="12" t="s">
        <v>118</v>
      </c>
      <c r="X577" s="14"/>
      <c r="Y577" s="14"/>
      <c r="Z577" s="14"/>
      <c r="AA577" s="14"/>
      <c r="AB577" s="14"/>
      <c r="AC577" s="15">
        <v>45.5</v>
      </c>
      <c r="AD577" s="15">
        <f>AC577*AG577</f>
        <v>546</v>
      </c>
      <c r="AE577" s="15">
        <v>100</v>
      </c>
      <c r="AF577" s="15">
        <f>AE577*AG577</f>
        <v>1200</v>
      </c>
      <c r="AG577" s="16">
        <v>12</v>
      </c>
    </row>
    <row r="578" spans="1:33" ht="15" customHeight="1" x14ac:dyDescent="0.2">
      <c r="A578" s="11" t="str">
        <f>HYPERLINK("https://assets.vans.eu/images/VN000D6SBKA-HERO/1","VN000D6SBKA1")</f>
        <v>VN000D6SBKA1</v>
      </c>
      <c r="B578" s="12" t="s">
        <v>2596</v>
      </c>
      <c r="C578" s="12" t="s">
        <v>2597</v>
      </c>
      <c r="D578" s="12" t="s">
        <v>252</v>
      </c>
      <c r="E578" s="12" t="s">
        <v>2598</v>
      </c>
      <c r="F578" s="13">
        <v>65</v>
      </c>
      <c r="G578" s="14"/>
      <c r="H578" s="12" t="s">
        <v>38</v>
      </c>
      <c r="I578" s="12" t="s">
        <v>159</v>
      </c>
      <c r="J578" s="12" t="s">
        <v>255</v>
      </c>
      <c r="K578" s="12" t="s">
        <v>82</v>
      </c>
      <c r="L578" s="14"/>
      <c r="M578" s="12" t="s">
        <v>43</v>
      </c>
      <c r="N578" s="12" t="s">
        <v>84</v>
      </c>
      <c r="O578" s="12" t="s">
        <v>2599</v>
      </c>
      <c r="P578" s="12" t="s">
        <v>46</v>
      </c>
      <c r="Q578" s="12" t="s">
        <v>47</v>
      </c>
      <c r="R578" s="12" t="s">
        <v>163</v>
      </c>
      <c r="S578" s="13">
        <v>197643210757</v>
      </c>
      <c r="T578" s="12" t="s">
        <v>49</v>
      </c>
      <c r="U578" s="13">
        <v>38.5</v>
      </c>
      <c r="V578" s="12" t="s">
        <v>50</v>
      </c>
      <c r="W578" s="12" t="s">
        <v>51</v>
      </c>
      <c r="X578" s="14"/>
      <c r="Y578" s="12" t="s">
        <v>91</v>
      </c>
      <c r="Z578" s="12" t="s">
        <v>2600</v>
      </c>
      <c r="AA578" s="14"/>
      <c r="AB578" s="14"/>
      <c r="AC578" s="15">
        <v>40.950000000000003</v>
      </c>
      <c r="AD578" s="15">
        <f>AC578*AG578</f>
        <v>491.40000000000003</v>
      </c>
      <c r="AE578" s="15">
        <v>90</v>
      </c>
      <c r="AF578" s="15">
        <f>AE578*AG578</f>
        <v>1080</v>
      </c>
      <c r="AG578" s="16">
        <v>12</v>
      </c>
    </row>
    <row r="579" spans="1:33" ht="15" customHeight="1" x14ac:dyDescent="0.2">
      <c r="A579" s="11" t="str">
        <f t="shared" si="132"/>
        <v>VN000D70CHG1</v>
      </c>
      <c r="B579" s="12" t="s">
        <v>2601</v>
      </c>
      <c r="C579" s="12" t="s">
        <v>1614</v>
      </c>
      <c r="D579" s="12" t="s">
        <v>1615</v>
      </c>
      <c r="E579" s="12" t="s">
        <v>2602</v>
      </c>
      <c r="F579" s="13">
        <v>40</v>
      </c>
      <c r="G579" s="12" t="s">
        <v>1617</v>
      </c>
      <c r="H579" s="12" t="s">
        <v>38</v>
      </c>
      <c r="I579" s="12" t="s">
        <v>113</v>
      </c>
      <c r="J579" s="12" t="s">
        <v>529</v>
      </c>
      <c r="K579" s="12" t="s">
        <v>82</v>
      </c>
      <c r="L579" s="14"/>
      <c r="M579" s="12" t="s">
        <v>43</v>
      </c>
      <c r="N579" s="12" t="s">
        <v>44</v>
      </c>
      <c r="O579" s="12" t="s">
        <v>2603</v>
      </c>
      <c r="P579" s="12" t="s">
        <v>46</v>
      </c>
      <c r="Q579" s="12" t="s">
        <v>47</v>
      </c>
      <c r="R579" s="12" t="s">
        <v>117</v>
      </c>
      <c r="S579" s="13">
        <v>197643311676</v>
      </c>
      <c r="T579" s="12" t="s">
        <v>49</v>
      </c>
      <c r="U579" s="13">
        <v>35</v>
      </c>
      <c r="V579" s="12" t="s">
        <v>50</v>
      </c>
      <c r="W579" s="12" t="s">
        <v>186</v>
      </c>
      <c r="X579" s="14"/>
      <c r="Y579" s="12" t="s">
        <v>53</v>
      </c>
      <c r="Z579" s="12" t="s">
        <v>263</v>
      </c>
      <c r="AA579" s="14"/>
      <c r="AB579" s="14"/>
      <c r="AC579" s="15">
        <v>50</v>
      </c>
      <c r="AD579" s="15">
        <f>AC579*AG579</f>
        <v>600</v>
      </c>
      <c r="AE579" s="15">
        <v>110</v>
      </c>
      <c r="AF579" s="15">
        <f>AE579*AG579</f>
        <v>1320</v>
      </c>
      <c r="AG579" s="16">
        <v>12</v>
      </c>
    </row>
    <row r="580" spans="1:33" ht="15" customHeight="1" x14ac:dyDescent="0.2">
      <c r="A580" s="11" t="str">
        <f t="shared" ref="A580:A964" si="252">HYPERLINK("https://assets.vans.eu/images/VN000D70CHG-HERO/1","VN000D70CHG1")</f>
        <v>VN000D70CHG1</v>
      </c>
      <c r="B580" s="12" t="s">
        <v>2604</v>
      </c>
      <c r="C580" s="12" t="s">
        <v>1614</v>
      </c>
      <c r="D580" s="12" t="s">
        <v>1615</v>
      </c>
      <c r="E580" s="12" t="s">
        <v>2605</v>
      </c>
      <c r="F580" s="13">
        <v>80</v>
      </c>
      <c r="G580" s="12" t="s">
        <v>1617</v>
      </c>
      <c r="H580" s="12" t="s">
        <v>38</v>
      </c>
      <c r="I580" s="12" t="s">
        <v>113</v>
      </c>
      <c r="J580" s="12" t="s">
        <v>529</v>
      </c>
      <c r="K580" s="12" t="s">
        <v>82</v>
      </c>
      <c r="L580" s="14"/>
      <c r="M580" s="12" t="s">
        <v>43</v>
      </c>
      <c r="N580" s="12" t="s">
        <v>44</v>
      </c>
      <c r="O580" s="12" t="s">
        <v>2606</v>
      </c>
      <c r="P580" s="12" t="s">
        <v>46</v>
      </c>
      <c r="Q580" s="12" t="s">
        <v>47</v>
      </c>
      <c r="R580" s="12" t="s">
        <v>117</v>
      </c>
      <c r="S580" s="13">
        <v>197643313182</v>
      </c>
      <c r="T580" s="12" t="s">
        <v>49</v>
      </c>
      <c r="U580" s="13">
        <v>40.5</v>
      </c>
      <c r="V580" s="12" t="s">
        <v>50</v>
      </c>
      <c r="W580" s="12" t="s">
        <v>186</v>
      </c>
      <c r="X580" s="14"/>
      <c r="Y580" s="12" t="s">
        <v>53</v>
      </c>
      <c r="Z580" s="12" t="s">
        <v>263</v>
      </c>
      <c r="AA580" s="14"/>
      <c r="AB580" s="14"/>
      <c r="AC580" s="15">
        <v>50</v>
      </c>
      <c r="AD580" s="15">
        <f>AC580*AG580</f>
        <v>600</v>
      </c>
      <c r="AE580" s="15">
        <v>110</v>
      </c>
      <c r="AF580" s="15">
        <f>AE580*AG580</f>
        <v>1320</v>
      </c>
      <c r="AG580" s="16">
        <v>12</v>
      </c>
    </row>
    <row r="581" spans="1:33" ht="15" customHeight="1" x14ac:dyDescent="0.2">
      <c r="A581" s="11" t="str">
        <f t="shared" si="193"/>
        <v>VN000D8NBKA1</v>
      </c>
      <c r="B581" s="12" t="s">
        <v>2607</v>
      </c>
      <c r="C581" s="12" t="s">
        <v>251</v>
      </c>
      <c r="D581" s="12" t="s">
        <v>252</v>
      </c>
      <c r="E581" s="12" t="s">
        <v>2608</v>
      </c>
      <c r="F581" s="13">
        <v>120</v>
      </c>
      <c r="G581" s="12" t="s">
        <v>254</v>
      </c>
      <c r="H581" s="12" t="s">
        <v>38</v>
      </c>
      <c r="I581" s="12" t="s">
        <v>159</v>
      </c>
      <c r="J581" s="12" t="s">
        <v>255</v>
      </c>
      <c r="K581" s="12" t="s">
        <v>82</v>
      </c>
      <c r="L581" s="14"/>
      <c r="M581" s="12" t="s">
        <v>43</v>
      </c>
      <c r="N581" s="12" t="s">
        <v>84</v>
      </c>
      <c r="O581" s="12" t="s">
        <v>2609</v>
      </c>
      <c r="P581" s="12" t="s">
        <v>46</v>
      </c>
      <c r="Q581" s="12" t="s">
        <v>47</v>
      </c>
      <c r="R581" s="12" t="s">
        <v>163</v>
      </c>
      <c r="S581" s="13">
        <v>197804464371</v>
      </c>
      <c r="T581" s="12" t="s">
        <v>49</v>
      </c>
      <c r="U581" s="13">
        <v>46</v>
      </c>
      <c r="V581" s="12" t="s">
        <v>50</v>
      </c>
      <c r="W581" s="12" t="s">
        <v>51</v>
      </c>
      <c r="X581" s="14"/>
      <c r="Y581" s="14"/>
      <c r="Z581" s="14"/>
      <c r="AA581" s="14"/>
      <c r="AB581" s="14"/>
      <c r="AC581" s="15">
        <v>45.5</v>
      </c>
      <c r="AD581" s="15">
        <f>AC581*AG581</f>
        <v>546</v>
      </c>
      <c r="AE581" s="15">
        <v>100</v>
      </c>
      <c r="AF581" s="15">
        <f>AE581*AG581</f>
        <v>1200</v>
      </c>
      <c r="AG581" s="16">
        <v>12</v>
      </c>
    </row>
    <row r="582" spans="1:33" ht="15" customHeight="1" x14ac:dyDescent="0.2">
      <c r="A582" s="11" t="str">
        <f t="shared" si="180"/>
        <v>VN000DAJBIY1</v>
      </c>
      <c r="B582" s="12" t="s">
        <v>2610</v>
      </c>
      <c r="C582" s="12" t="s">
        <v>110</v>
      </c>
      <c r="D582" s="12" t="s">
        <v>2010</v>
      </c>
      <c r="E582" s="12" t="s">
        <v>2611</v>
      </c>
      <c r="F582" s="13">
        <v>110</v>
      </c>
      <c r="G582" s="14"/>
      <c r="H582" s="12" t="s">
        <v>38</v>
      </c>
      <c r="I582" s="12" t="s">
        <v>113</v>
      </c>
      <c r="J582" s="12" t="s">
        <v>114</v>
      </c>
      <c r="K582" s="12" t="s">
        <v>82</v>
      </c>
      <c r="L582" s="12" t="s">
        <v>260</v>
      </c>
      <c r="M582" s="12" t="s">
        <v>43</v>
      </c>
      <c r="N582" s="12" t="s">
        <v>84</v>
      </c>
      <c r="O582" s="12" t="s">
        <v>2612</v>
      </c>
      <c r="P582" s="12" t="s">
        <v>46</v>
      </c>
      <c r="Q582" s="12" t="s">
        <v>47</v>
      </c>
      <c r="R582" s="12" t="s">
        <v>117</v>
      </c>
      <c r="S582" s="13">
        <v>197804590971</v>
      </c>
      <c r="T582" s="12" t="s">
        <v>164</v>
      </c>
      <c r="U582" s="13">
        <v>44.5</v>
      </c>
      <c r="V582" s="12" t="s">
        <v>50</v>
      </c>
      <c r="W582" s="12" t="s">
        <v>299</v>
      </c>
      <c r="X582" s="14"/>
      <c r="Y582" s="14"/>
      <c r="Z582" s="14"/>
      <c r="AA582" s="14"/>
      <c r="AB582" s="14"/>
      <c r="AC582" s="15">
        <v>43.2</v>
      </c>
      <c r="AD582" s="15">
        <f>AC582*AG582</f>
        <v>518.40000000000009</v>
      </c>
      <c r="AE582" s="15">
        <v>95</v>
      </c>
      <c r="AF582" s="15">
        <f>AE582*AG582</f>
        <v>1140</v>
      </c>
      <c r="AG582" s="16">
        <v>12</v>
      </c>
    </row>
    <row r="583" spans="1:33" ht="15" customHeight="1" x14ac:dyDescent="0.2">
      <c r="A583" s="11" t="str">
        <f t="shared" si="215"/>
        <v>VN000E8CGMX1</v>
      </c>
      <c r="B583" s="12" t="s">
        <v>2613</v>
      </c>
      <c r="C583" s="12" t="s">
        <v>2309</v>
      </c>
      <c r="D583" s="12" t="s">
        <v>2310</v>
      </c>
      <c r="E583" s="12" t="s">
        <v>2614</v>
      </c>
      <c r="F583" s="13">
        <v>120</v>
      </c>
      <c r="G583" s="12" t="s">
        <v>2273</v>
      </c>
      <c r="H583" s="12" t="s">
        <v>38</v>
      </c>
      <c r="I583" s="12" t="s">
        <v>113</v>
      </c>
      <c r="J583" s="12" t="s">
        <v>114</v>
      </c>
      <c r="K583" s="12" t="s">
        <v>82</v>
      </c>
      <c r="L583" s="12" t="s">
        <v>42</v>
      </c>
      <c r="M583" s="12" t="s">
        <v>43</v>
      </c>
      <c r="N583" s="12" t="s">
        <v>84</v>
      </c>
      <c r="O583" s="12" t="s">
        <v>2615</v>
      </c>
      <c r="P583" s="12" t="s">
        <v>46</v>
      </c>
      <c r="Q583" s="12" t="s">
        <v>47</v>
      </c>
      <c r="R583" s="12" t="s">
        <v>117</v>
      </c>
      <c r="S583" s="13">
        <v>197805861780</v>
      </c>
      <c r="T583" s="12" t="s">
        <v>49</v>
      </c>
      <c r="U583" s="13">
        <v>46</v>
      </c>
      <c r="V583" s="12" t="s">
        <v>209</v>
      </c>
      <c r="W583" s="12" t="s">
        <v>262</v>
      </c>
      <c r="X583" s="14"/>
      <c r="Y583" s="14"/>
      <c r="Z583" s="14"/>
      <c r="AA583" s="14"/>
      <c r="AB583" s="14"/>
      <c r="AC583" s="15">
        <v>43.2</v>
      </c>
      <c r="AD583" s="15">
        <f>AC583*AG583</f>
        <v>518.40000000000009</v>
      </c>
      <c r="AE583" s="15">
        <v>95</v>
      </c>
      <c r="AF583" s="15">
        <f>AE583*AG583</f>
        <v>1140</v>
      </c>
      <c r="AG583" s="16">
        <v>12</v>
      </c>
    </row>
    <row r="584" spans="1:33" ht="15" customHeight="1" x14ac:dyDescent="0.2">
      <c r="A584" s="11" t="str">
        <f t="shared" si="215"/>
        <v>VN000E8CGMX1</v>
      </c>
      <c r="B584" s="12" t="s">
        <v>2616</v>
      </c>
      <c r="C584" s="12" t="s">
        <v>2309</v>
      </c>
      <c r="D584" s="12" t="s">
        <v>2310</v>
      </c>
      <c r="E584" s="12" t="s">
        <v>2617</v>
      </c>
      <c r="F584" s="13">
        <v>130</v>
      </c>
      <c r="G584" s="12" t="s">
        <v>2273</v>
      </c>
      <c r="H584" s="12" t="s">
        <v>38</v>
      </c>
      <c r="I584" s="12" t="s">
        <v>113</v>
      </c>
      <c r="J584" s="12" t="s">
        <v>114</v>
      </c>
      <c r="K584" s="12" t="s">
        <v>82</v>
      </c>
      <c r="L584" s="12" t="s">
        <v>42</v>
      </c>
      <c r="M584" s="12" t="s">
        <v>43</v>
      </c>
      <c r="N584" s="12" t="s">
        <v>84</v>
      </c>
      <c r="O584" s="12" t="s">
        <v>2618</v>
      </c>
      <c r="P584" s="12" t="s">
        <v>46</v>
      </c>
      <c r="Q584" s="12" t="s">
        <v>47</v>
      </c>
      <c r="R584" s="12" t="s">
        <v>117</v>
      </c>
      <c r="S584" s="13">
        <v>197805861940</v>
      </c>
      <c r="T584" s="12" t="s">
        <v>49</v>
      </c>
      <c r="U584" s="13">
        <v>47</v>
      </c>
      <c r="V584" s="12" t="s">
        <v>209</v>
      </c>
      <c r="W584" s="12" t="s">
        <v>262</v>
      </c>
      <c r="X584" s="14"/>
      <c r="Y584" s="14"/>
      <c r="Z584" s="14"/>
      <c r="AA584" s="14"/>
      <c r="AB584" s="14"/>
      <c r="AC584" s="15">
        <v>43.2</v>
      </c>
      <c r="AD584" s="15">
        <f>AC584*AG584</f>
        <v>518.40000000000009</v>
      </c>
      <c r="AE584" s="15">
        <v>95</v>
      </c>
      <c r="AF584" s="15">
        <f>AE584*AG584</f>
        <v>1140</v>
      </c>
      <c r="AG584" s="16">
        <v>12</v>
      </c>
    </row>
    <row r="585" spans="1:33" ht="15" customHeight="1" x14ac:dyDescent="0.2">
      <c r="A585" s="11" t="str">
        <f t="shared" si="167"/>
        <v>VN000E9YLBR1</v>
      </c>
      <c r="B585" s="12" t="s">
        <v>2619</v>
      </c>
      <c r="C585" s="12" t="s">
        <v>34</v>
      </c>
      <c r="D585" s="12" t="s">
        <v>1923</v>
      </c>
      <c r="E585" s="12" t="s">
        <v>2620</v>
      </c>
      <c r="F585" s="13">
        <v>55</v>
      </c>
      <c r="G585" s="14"/>
      <c r="H585" s="12" t="s">
        <v>38</v>
      </c>
      <c r="I585" s="12" t="s">
        <v>205</v>
      </c>
      <c r="J585" s="12" t="s">
        <v>206</v>
      </c>
      <c r="K585" s="12" t="s">
        <v>207</v>
      </c>
      <c r="L585" s="12" t="s">
        <v>260</v>
      </c>
      <c r="M585" s="12" t="s">
        <v>43</v>
      </c>
      <c r="N585" s="12" t="s">
        <v>84</v>
      </c>
      <c r="O585" s="12" t="s">
        <v>2621</v>
      </c>
      <c r="P585" s="12" t="s">
        <v>46</v>
      </c>
      <c r="Q585" s="12" t="s">
        <v>47</v>
      </c>
      <c r="R585" s="12" t="s">
        <v>48</v>
      </c>
      <c r="S585" s="13">
        <v>197804872596</v>
      </c>
      <c r="T585" s="12" t="s">
        <v>164</v>
      </c>
      <c r="U585" s="13">
        <v>37</v>
      </c>
      <c r="V585" s="12" t="s">
        <v>50</v>
      </c>
      <c r="W585" s="12" t="s">
        <v>186</v>
      </c>
      <c r="X585" s="14"/>
      <c r="Y585" s="14"/>
      <c r="Z585" s="14"/>
      <c r="AA585" s="14"/>
      <c r="AB585" s="14"/>
      <c r="AC585" s="15">
        <v>29.55</v>
      </c>
      <c r="AD585" s="15">
        <f>AC585*AG585</f>
        <v>354.6</v>
      </c>
      <c r="AE585" s="15">
        <v>65</v>
      </c>
      <c r="AF585" s="15">
        <f>AE585*AG585</f>
        <v>780</v>
      </c>
      <c r="AG585" s="16">
        <v>12</v>
      </c>
    </row>
    <row r="586" spans="1:33" ht="15" customHeight="1" x14ac:dyDescent="0.2">
      <c r="A586" s="11" t="str">
        <f t="shared" ref="A586:A972" si="253">HYPERLINK("https://assets.vans.eu/images/VN000EA9BA2-HERO/1","VN000EA9BA21")</f>
        <v>VN000EA9BA21</v>
      </c>
      <c r="B586" s="12" t="s">
        <v>2622</v>
      </c>
      <c r="C586" s="12" t="s">
        <v>2623</v>
      </c>
      <c r="D586" s="12" t="s">
        <v>1844</v>
      </c>
      <c r="E586" s="12" t="s">
        <v>2624</v>
      </c>
      <c r="F586" s="13">
        <v>130</v>
      </c>
      <c r="G586" s="12" t="s">
        <v>2625</v>
      </c>
      <c r="H586" s="12" t="s">
        <v>38</v>
      </c>
      <c r="I586" s="12" t="s">
        <v>113</v>
      </c>
      <c r="J586" s="12" t="s">
        <v>114</v>
      </c>
      <c r="K586" s="12" t="s">
        <v>82</v>
      </c>
      <c r="L586" s="12" t="s">
        <v>115</v>
      </c>
      <c r="M586" s="12" t="s">
        <v>43</v>
      </c>
      <c r="N586" s="12" t="s">
        <v>84</v>
      </c>
      <c r="O586" s="12" t="s">
        <v>2626</v>
      </c>
      <c r="P586" s="12" t="s">
        <v>46</v>
      </c>
      <c r="Q586" s="12" t="s">
        <v>47</v>
      </c>
      <c r="R586" s="12" t="s">
        <v>117</v>
      </c>
      <c r="S586" s="13">
        <v>197805861445</v>
      </c>
      <c r="T586" s="12" t="s">
        <v>49</v>
      </c>
      <c r="U586" s="13">
        <v>47</v>
      </c>
      <c r="V586" s="12" t="s">
        <v>209</v>
      </c>
      <c r="W586" s="12" t="s">
        <v>51</v>
      </c>
      <c r="X586" s="14"/>
      <c r="Y586" s="14"/>
      <c r="Z586" s="14"/>
      <c r="AA586" s="14"/>
      <c r="AB586" s="14"/>
      <c r="AC586" s="15">
        <v>40.950000000000003</v>
      </c>
      <c r="AD586" s="15">
        <f>AC586*AG586</f>
        <v>491.40000000000003</v>
      </c>
      <c r="AE586" s="15">
        <v>90</v>
      </c>
      <c r="AF586" s="15">
        <f>AE586*AG586</f>
        <v>1080</v>
      </c>
      <c r="AG586" s="16">
        <v>12</v>
      </c>
    </row>
    <row r="587" spans="1:33" ht="15" customHeight="1" x14ac:dyDescent="0.2">
      <c r="A587" s="11" t="str">
        <f>HYPERLINK("https://assets.vans.eu/images/VN000XUJB9P-HERO/1","VN000XUJB9P1")</f>
        <v>VN000XUJB9P1</v>
      </c>
      <c r="B587" s="12" t="s">
        <v>2627</v>
      </c>
      <c r="C587" s="12" t="s">
        <v>266</v>
      </c>
      <c r="D587" s="12" t="s">
        <v>267</v>
      </c>
      <c r="E587" s="12" t="s">
        <v>2628</v>
      </c>
      <c r="F587" s="13">
        <v>60</v>
      </c>
      <c r="G587" s="12" t="s">
        <v>269</v>
      </c>
      <c r="H587" s="12" t="s">
        <v>38</v>
      </c>
      <c r="I587" s="12" t="s">
        <v>113</v>
      </c>
      <c r="J587" s="12" t="s">
        <v>114</v>
      </c>
      <c r="K587" s="12" t="s">
        <v>82</v>
      </c>
      <c r="L587" s="12" t="s">
        <v>115</v>
      </c>
      <c r="M587" s="12" t="s">
        <v>43</v>
      </c>
      <c r="N587" s="12" t="s">
        <v>84</v>
      </c>
      <c r="O587" s="12" t="s">
        <v>2629</v>
      </c>
      <c r="P587" s="12" t="s">
        <v>46</v>
      </c>
      <c r="Q587" s="12" t="s">
        <v>47</v>
      </c>
      <c r="R587" s="12" t="s">
        <v>117</v>
      </c>
      <c r="S587" s="13">
        <v>198266185354</v>
      </c>
      <c r="T587" s="12" t="s">
        <v>49</v>
      </c>
      <c r="U587" s="13">
        <v>38</v>
      </c>
      <c r="V587" s="12" t="s">
        <v>50</v>
      </c>
      <c r="W587" s="12" t="s">
        <v>51</v>
      </c>
      <c r="X587" s="14"/>
      <c r="Y587" s="14"/>
      <c r="Z587" s="14"/>
      <c r="AA587" s="14"/>
      <c r="AB587" s="14"/>
      <c r="AC587" s="15">
        <v>45.5</v>
      </c>
      <c r="AD587" s="15">
        <f>AC587*AG587</f>
        <v>546</v>
      </c>
      <c r="AE587" s="15">
        <v>100</v>
      </c>
      <c r="AF587" s="15">
        <f>AE587*AG587</f>
        <v>1200</v>
      </c>
      <c r="AG587" s="16">
        <v>12</v>
      </c>
    </row>
    <row r="588" spans="1:33" ht="15" customHeight="1" x14ac:dyDescent="0.2">
      <c r="A588" s="11" t="str">
        <f t="shared" ref="A588:A865" si="254">HYPERLINK("https://assets.vans.eu/images/VN000ZUVC4R-HERO/1","VN000ZUVC4R1")</f>
        <v>VN000ZUVC4R1</v>
      </c>
      <c r="B588" s="12" t="s">
        <v>2630</v>
      </c>
      <c r="C588" s="12" t="s">
        <v>2631</v>
      </c>
      <c r="D588" s="12" t="s">
        <v>2632</v>
      </c>
      <c r="E588" s="12" t="s">
        <v>2633</v>
      </c>
      <c r="F588" s="13">
        <v>120</v>
      </c>
      <c r="G588" s="12" t="s">
        <v>1358</v>
      </c>
      <c r="H588" s="12" t="s">
        <v>38</v>
      </c>
      <c r="I588" s="12" t="s">
        <v>159</v>
      </c>
      <c r="J588" s="12" t="s">
        <v>255</v>
      </c>
      <c r="K588" s="12" t="s">
        <v>199</v>
      </c>
      <c r="L588" s="12" t="s">
        <v>350</v>
      </c>
      <c r="M588" s="12" t="s">
        <v>43</v>
      </c>
      <c r="N588" s="12" t="s">
        <v>84</v>
      </c>
      <c r="O588" s="12" t="s">
        <v>2634</v>
      </c>
      <c r="P588" s="12" t="s">
        <v>46</v>
      </c>
      <c r="Q588" s="12" t="s">
        <v>47</v>
      </c>
      <c r="R588" s="12" t="s">
        <v>163</v>
      </c>
      <c r="S588" s="13">
        <v>888655101477</v>
      </c>
      <c r="T588" s="12" t="s">
        <v>105</v>
      </c>
      <c r="U588" s="13">
        <v>46</v>
      </c>
      <c r="V588" s="12" t="s">
        <v>50</v>
      </c>
      <c r="W588" s="12" t="s">
        <v>51</v>
      </c>
      <c r="X588" s="14"/>
      <c r="Y588" s="12" t="s">
        <v>71</v>
      </c>
      <c r="Z588" s="12" t="s">
        <v>92</v>
      </c>
      <c r="AA588" s="12" t="s">
        <v>354</v>
      </c>
      <c r="AB588" s="12" t="s">
        <v>888</v>
      </c>
      <c r="AC588" s="15">
        <v>35.75</v>
      </c>
      <c r="AD588" s="15">
        <f>AC588*AG588</f>
        <v>429</v>
      </c>
      <c r="AE588" s="15">
        <v>75</v>
      </c>
      <c r="AF588" s="15">
        <f>AE588*AG588</f>
        <v>900</v>
      </c>
      <c r="AG588" s="16">
        <v>12</v>
      </c>
    </row>
    <row r="589" spans="1:33" ht="15" customHeight="1" x14ac:dyDescent="0.2">
      <c r="A589" s="11" t="str">
        <f>HYPERLINK("https://assets.vans.eu/images/VN00066X6PH-HERO/1","VN00066X6PH1")</f>
        <v>VN00066X6PH1</v>
      </c>
      <c r="B589" s="12" t="s">
        <v>2635</v>
      </c>
      <c r="C589" s="12" t="s">
        <v>2636</v>
      </c>
      <c r="D589" s="12" t="s">
        <v>1878</v>
      </c>
      <c r="E589" s="12" t="s">
        <v>2637</v>
      </c>
      <c r="F589" s="12" t="s">
        <v>78</v>
      </c>
      <c r="G589" s="14"/>
      <c r="H589" s="12" t="s">
        <v>79</v>
      </c>
      <c r="I589" s="12" t="s">
        <v>80</v>
      </c>
      <c r="J589" s="12" t="s">
        <v>349</v>
      </c>
      <c r="K589" s="12" t="s">
        <v>82</v>
      </c>
      <c r="L589" s="14"/>
      <c r="M589" s="12" t="s">
        <v>43</v>
      </c>
      <c r="N589" s="12" t="s">
        <v>44</v>
      </c>
      <c r="O589" s="12" t="s">
        <v>2638</v>
      </c>
      <c r="P589" s="12" t="s">
        <v>86</v>
      </c>
      <c r="Q589" s="12" t="s">
        <v>128</v>
      </c>
      <c r="R589" s="12" t="s">
        <v>352</v>
      </c>
      <c r="S589" s="13">
        <v>197643553304</v>
      </c>
      <c r="T589" s="12" t="s">
        <v>143</v>
      </c>
      <c r="U589" s="12" t="s">
        <v>78</v>
      </c>
      <c r="V589" s="12" t="s">
        <v>1221</v>
      </c>
      <c r="W589" s="12" t="s">
        <v>107</v>
      </c>
      <c r="X589" s="12" t="s">
        <v>500</v>
      </c>
      <c r="Y589" s="12" t="s">
        <v>91</v>
      </c>
      <c r="Z589" s="12" t="s">
        <v>108</v>
      </c>
      <c r="AA589" s="13">
        <v>0</v>
      </c>
      <c r="AB589" s="13">
        <v>0</v>
      </c>
      <c r="AC589" s="15">
        <v>12.75</v>
      </c>
      <c r="AD589" s="15">
        <f>AC589*AG589</f>
        <v>140.25</v>
      </c>
      <c r="AE589" s="15">
        <v>28</v>
      </c>
      <c r="AF589" s="15">
        <f>AE589*AG589</f>
        <v>308</v>
      </c>
      <c r="AG589" s="16">
        <v>11</v>
      </c>
    </row>
    <row r="590" spans="1:33" ht="15" customHeight="1" x14ac:dyDescent="0.2">
      <c r="A590" s="11" t="str">
        <f>HYPERLINK("https://assets.vans.eu/images/VN000JTRBLK-HERO/1","VN000JTRBLK1")</f>
        <v>VN000JTRBLK1</v>
      </c>
      <c r="B590" s="12" t="s">
        <v>2639</v>
      </c>
      <c r="C590" s="12" t="s">
        <v>754</v>
      </c>
      <c r="D590" s="12" t="s">
        <v>76</v>
      </c>
      <c r="E590" s="12" t="s">
        <v>2640</v>
      </c>
      <c r="F590" s="12" t="s">
        <v>78</v>
      </c>
      <c r="G590" s="14"/>
      <c r="H590" s="12" t="s">
        <v>79</v>
      </c>
      <c r="I590" s="12" t="s">
        <v>80</v>
      </c>
      <c r="J590" s="12" t="s">
        <v>349</v>
      </c>
      <c r="K590" s="12" t="s">
        <v>82</v>
      </c>
      <c r="L590" s="14"/>
      <c r="M590" s="12" t="s">
        <v>43</v>
      </c>
      <c r="N590" s="12" t="s">
        <v>84</v>
      </c>
      <c r="O590" s="12" t="s">
        <v>2641</v>
      </c>
      <c r="P590" s="12" t="s">
        <v>86</v>
      </c>
      <c r="Q590" s="12" t="s">
        <v>128</v>
      </c>
      <c r="R590" s="12" t="s">
        <v>352</v>
      </c>
      <c r="S590" s="13">
        <v>197065468835</v>
      </c>
      <c r="T590" s="12" t="s">
        <v>130</v>
      </c>
      <c r="U590" s="12" t="s">
        <v>78</v>
      </c>
      <c r="V590" s="12" t="s">
        <v>131</v>
      </c>
      <c r="W590" s="12" t="s">
        <v>51</v>
      </c>
      <c r="X590" s="13">
        <v>0</v>
      </c>
      <c r="Y590" s="12" t="s">
        <v>91</v>
      </c>
      <c r="Z590" s="12" t="s">
        <v>108</v>
      </c>
      <c r="AA590" s="13">
        <v>0</v>
      </c>
      <c r="AB590" s="13">
        <v>0</v>
      </c>
      <c r="AC590" s="15">
        <v>12.75</v>
      </c>
      <c r="AD590" s="15">
        <f>AC590*AG590</f>
        <v>140.25</v>
      </c>
      <c r="AE590" s="15">
        <v>28</v>
      </c>
      <c r="AF590" s="15">
        <f>AE590*AG590</f>
        <v>308</v>
      </c>
      <c r="AG590" s="16">
        <v>11</v>
      </c>
    </row>
    <row r="591" spans="1:33" ht="15" customHeight="1" x14ac:dyDescent="0.2">
      <c r="A591" s="11" t="str">
        <f>HYPERLINK("https://assets.vans.eu/images/VN000JTRLVB-HERO/1","VN000JTRLVB1")</f>
        <v>VN000JTRLVB1</v>
      </c>
      <c r="B591" s="12" t="s">
        <v>2642</v>
      </c>
      <c r="C591" s="12" t="s">
        <v>754</v>
      </c>
      <c r="D591" s="12" t="s">
        <v>2643</v>
      </c>
      <c r="E591" s="12" t="s">
        <v>2644</v>
      </c>
      <c r="F591" s="12" t="s">
        <v>78</v>
      </c>
      <c r="G591" s="14"/>
      <c r="H591" s="12" t="s">
        <v>79</v>
      </c>
      <c r="I591" s="12" t="s">
        <v>80</v>
      </c>
      <c r="J591" s="12" t="s">
        <v>349</v>
      </c>
      <c r="K591" s="12" t="s">
        <v>82</v>
      </c>
      <c r="L591" s="14"/>
      <c r="M591" s="12" t="s">
        <v>43</v>
      </c>
      <c r="N591" s="12" t="s">
        <v>84</v>
      </c>
      <c r="O591" s="12" t="s">
        <v>2645</v>
      </c>
      <c r="P591" s="12" t="s">
        <v>86</v>
      </c>
      <c r="Q591" s="12" t="s">
        <v>128</v>
      </c>
      <c r="R591" s="12" t="s">
        <v>352</v>
      </c>
      <c r="S591" s="13">
        <v>197804385409</v>
      </c>
      <c r="T591" s="12" t="s">
        <v>130</v>
      </c>
      <c r="U591" s="12" t="s">
        <v>78</v>
      </c>
      <c r="V591" s="12" t="s">
        <v>131</v>
      </c>
      <c r="W591" s="12" t="s">
        <v>51</v>
      </c>
      <c r="X591" s="14"/>
      <c r="Y591" s="14"/>
      <c r="Z591" s="14"/>
      <c r="AA591" s="14"/>
      <c r="AB591" s="14"/>
      <c r="AC591" s="15">
        <v>12.75</v>
      </c>
      <c r="AD591" s="15">
        <f>AC591*AG591</f>
        <v>140.25</v>
      </c>
      <c r="AE591" s="15">
        <v>28</v>
      </c>
      <c r="AF591" s="15">
        <f>AE591*AG591</f>
        <v>308</v>
      </c>
      <c r="AG591" s="16">
        <v>11</v>
      </c>
    </row>
    <row r="592" spans="1:33" ht="15" customHeight="1" x14ac:dyDescent="0.2">
      <c r="A592" s="11" t="str">
        <f>HYPERLINK("https://assets.vans.eu/images/VN000K9Y7VJ-HERO/1","VN000K9Y7VJ1")</f>
        <v>VN000K9Y7VJ1</v>
      </c>
      <c r="B592" s="12" t="s">
        <v>2646</v>
      </c>
      <c r="C592" s="12" t="s">
        <v>520</v>
      </c>
      <c r="D592" s="12" t="s">
        <v>2647</v>
      </c>
      <c r="E592" s="12" t="s">
        <v>2648</v>
      </c>
      <c r="F592" s="12" t="s">
        <v>78</v>
      </c>
      <c r="G592" s="14"/>
      <c r="H592" s="12" t="s">
        <v>79</v>
      </c>
      <c r="I592" s="12" t="s">
        <v>80</v>
      </c>
      <c r="J592" s="12" t="s">
        <v>349</v>
      </c>
      <c r="K592" s="12" t="s">
        <v>82</v>
      </c>
      <c r="L592" s="14"/>
      <c r="M592" s="12" t="s">
        <v>43</v>
      </c>
      <c r="N592" s="12" t="s">
        <v>44</v>
      </c>
      <c r="O592" s="12" t="s">
        <v>2649</v>
      </c>
      <c r="P592" s="12" t="s">
        <v>86</v>
      </c>
      <c r="Q592" s="12" t="s">
        <v>128</v>
      </c>
      <c r="R592" s="12" t="s">
        <v>352</v>
      </c>
      <c r="S592" s="13">
        <v>197643555445</v>
      </c>
      <c r="T592" s="12" t="s">
        <v>130</v>
      </c>
      <c r="U592" s="12" t="s">
        <v>78</v>
      </c>
      <c r="V592" s="12" t="s">
        <v>391</v>
      </c>
      <c r="W592" s="12" t="s">
        <v>175</v>
      </c>
      <c r="X592" s="12" t="s">
        <v>500</v>
      </c>
      <c r="Y592" s="12" t="s">
        <v>91</v>
      </c>
      <c r="Z592" s="12" t="s">
        <v>108</v>
      </c>
      <c r="AA592" s="13">
        <v>0</v>
      </c>
      <c r="AB592" s="13">
        <v>0</v>
      </c>
      <c r="AC592" s="15">
        <v>11.85</v>
      </c>
      <c r="AD592" s="15">
        <f>AC592*AG592</f>
        <v>130.35</v>
      </c>
      <c r="AE592" s="15">
        <v>26</v>
      </c>
      <c r="AF592" s="15">
        <f>AE592*AG592</f>
        <v>286</v>
      </c>
      <c r="AG592" s="16">
        <v>11</v>
      </c>
    </row>
    <row r="593" spans="1:33" ht="15" customHeight="1" x14ac:dyDescent="0.2">
      <c r="A593" s="11" t="str">
        <f>HYPERLINK("https://assets.vans.eu/images/VN000MPD7WM-HERO/1","VN000MPD7WM1")</f>
        <v>VN000MPD7WM1</v>
      </c>
      <c r="B593" s="12" t="s">
        <v>2650</v>
      </c>
      <c r="C593" s="12" t="s">
        <v>2651</v>
      </c>
      <c r="D593" s="12" t="s">
        <v>388</v>
      </c>
      <c r="E593" s="12" t="s">
        <v>2652</v>
      </c>
      <c r="F593" s="12" t="s">
        <v>78</v>
      </c>
      <c r="G593" s="14"/>
      <c r="H593" s="12" t="s">
        <v>79</v>
      </c>
      <c r="I593" s="12" t="s">
        <v>80</v>
      </c>
      <c r="J593" s="12" t="s">
        <v>349</v>
      </c>
      <c r="K593" s="12" t="s">
        <v>82</v>
      </c>
      <c r="L593" s="14"/>
      <c r="M593" s="12" t="s">
        <v>43</v>
      </c>
      <c r="N593" s="12" t="s">
        <v>44</v>
      </c>
      <c r="O593" s="12" t="s">
        <v>2653</v>
      </c>
      <c r="P593" s="12" t="s">
        <v>86</v>
      </c>
      <c r="Q593" s="12" t="s">
        <v>128</v>
      </c>
      <c r="R593" s="12" t="s">
        <v>352</v>
      </c>
      <c r="S593" s="13">
        <v>197643467243</v>
      </c>
      <c r="T593" s="12" t="s">
        <v>235</v>
      </c>
      <c r="U593" s="12" t="s">
        <v>78</v>
      </c>
      <c r="V593" s="12" t="s">
        <v>965</v>
      </c>
      <c r="W593" s="12" t="s">
        <v>284</v>
      </c>
      <c r="X593" s="13">
        <v>0</v>
      </c>
      <c r="Y593" s="12" t="s">
        <v>91</v>
      </c>
      <c r="Z593" s="12" t="s">
        <v>108</v>
      </c>
      <c r="AA593" s="13">
        <v>0</v>
      </c>
      <c r="AB593" s="13">
        <v>0</v>
      </c>
      <c r="AC593" s="15">
        <v>20.5</v>
      </c>
      <c r="AD593" s="15">
        <f>AC593*AG593</f>
        <v>225.5</v>
      </c>
      <c r="AE593" s="15">
        <v>45</v>
      </c>
      <c r="AF593" s="15">
        <f>AE593*AG593</f>
        <v>495</v>
      </c>
      <c r="AG593" s="16">
        <v>11</v>
      </c>
    </row>
    <row r="594" spans="1:33" ht="15" customHeight="1" x14ac:dyDescent="0.2">
      <c r="A594" s="11" t="str">
        <f>HYPERLINK("https://assets.vans.eu/images/VN000QB4FLM-HERO/1","VN000QB4FLM1")</f>
        <v>VN000QB4FLM1</v>
      </c>
      <c r="B594" s="12" t="s">
        <v>2654</v>
      </c>
      <c r="C594" s="12" t="s">
        <v>450</v>
      </c>
      <c r="D594" s="12" t="s">
        <v>1553</v>
      </c>
      <c r="E594" s="12" t="s">
        <v>2655</v>
      </c>
      <c r="F594" s="12" t="s">
        <v>78</v>
      </c>
      <c r="G594" s="14"/>
      <c r="H594" s="12" t="s">
        <v>79</v>
      </c>
      <c r="I594" s="12" t="s">
        <v>80</v>
      </c>
      <c r="J594" s="12" t="s">
        <v>349</v>
      </c>
      <c r="K594" s="12" t="s">
        <v>82</v>
      </c>
      <c r="L594" s="14"/>
      <c r="M594" s="12" t="s">
        <v>43</v>
      </c>
      <c r="N594" s="12" t="s">
        <v>84</v>
      </c>
      <c r="O594" s="12" t="s">
        <v>2656</v>
      </c>
      <c r="P594" s="12" t="s">
        <v>86</v>
      </c>
      <c r="Q594" s="12" t="s">
        <v>128</v>
      </c>
      <c r="R594" s="12" t="s">
        <v>352</v>
      </c>
      <c r="S594" s="13">
        <v>197804375424</v>
      </c>
      <c r="T594" s="12" t="s">
        <v>130</v>
      </c>
      <c r="U594" s="12" t="s">
        <v>78</v>
      </c>
      <c r="V594" s="12" t="s">
        <v>593</v>
      </c>
      <c r="W594" s="12" t="s">
        <v>262</v>
      </c>
      <c r="X594" s="14"/>
      <c r="Y594" s="14"/>
      <c r="Z594" s="14"/>
      <c r="AA594" s="14"/>
      <c r="AB594" s="14"/>
      <c r="AC594" s="15">
        <v>11.85</v>
      </c>
      <c r="AD594" s="15">
        <f>AC594*AG594</f>
        <v>130.35</v>
      </c>
      <c r="AE594" s="15">
        <v>26</v>
      </c>
      <c r="AF594" s="15">
        <f>AE594*AG594</f>
        <v>286</v>
      </c>
      <c r="AG594" s="16">
        <v>11</v>
      </c>
    </row>
    <row r="595" spans="1:33" ht="15" customHeight="1" x14ac:dyDescent="0.2">
      <c r="A595" s="11" t="str">
        <f>HYPERLINK("https://assets.vans.eu/images/VN000QB4Y7X-HERO/1","VN000QB4Y7X1")</f>
        <v>VN000QB4Y7X1</v>
      </c>
      <c r="B595" s="12" t="s">
        <v>2657</v>
      </c>
      <c r="C595" s="12" t="s">
        <v>450</v>
      </c>
      <c r="D595" s="12" t="s">
        <v>2658</v>
      </c>
      <c r="E595" s="12" t="s">
        <v>2659</v>
      </c>
      <c r="F595" s="12" t="s">
        <v>78</v>
      </c>
      <c r="G595" s="14"/>
      <c r="H595" s="12" t="s">
        <v>79</v>
      </c>
      <c r="I595" s="12" t="s">
        <v>80</v>
      </c>
      <c r="J595" s="12" t="s">
        <v>349</v>
      </c>
      <c r="K595" s="12" t="s">
        <v>82</v>
      </c>
      <c r="L595" s="14"/>
      <c r="M595" s="12" t="s">
        <v>43</v>
      </c>
      <c r="N595" s="12" t="s">
        <v>84</v>
      </c>
      <c r="O595" s="12" t="s">
        <v>2660</v>
      </c>
      <c r="P595" s="12" t="s">
        <v>86</v>
      </c>
      <c r="Q595" s="12" t="s">
        <v>128</v>
      </c>
      <c r="R595" s="12" t="s">
        <v>352</v>
      </c>
      <c r="S595" s="13">
        <v>197804375431</v>
      </c>
      <c r="T595" s="12" t="s">
        <v>130</v>
      </c>
      <c r="U595" s="12" t="s">
        <v>78</v>
      </c>
      <c r="V595" s="12" t="s">
        <v>593</v>
      </c>
      <c r="W595" s="12" t="s">
        <v>933</v>
      </c>
      <c r="X595" s="14"/>
      <c r="Y595" s="14"/>
      <c r="Z595" s="14"/>
      <c r="AA595" s="14"/>
      <c r="AB595" s="14"/>
      <c r="AC595" s="15">
        <v>11.85</v>
      </c>
      <c r="AD595" s="15">
        <f>AC595*AG595</f>
        <v>130.35</v>
      </c>
      <c r="AE595" s="15">
        <v>26</v>
      </c>
      <c r="AF595" s="15">
        <f>AE595*AG595</f>
        <v>286</v>
      </c>
      <c r="AG595" s="16">
        <v>11</v>
      </c>
    </row>
    <row r="596" spans="1:33" ht="15" customHeight="1" x14ac:dyDescent="0.2">
      <c r="A596" s="11" t="str">
        <f t="shared" ref="A596:A783" si="255">HYPERLINK("https://assets.vans.eu/images/VN0A31J6DRB-HERO/1","VN0A31J6DRB1")</f>
        <v>VN0A31J6DRB1</v>
      </c>
      <c r="B596" s="12" t="s">
        <v>2661</v>
      </c>
      <c r="C596" s="12" t="s">
        <v>2662</v>
      </c>
      <c r="D596" s="12" t="s">
        <v>2663</v>
      </c>
      <c r="E596" s="12" t="s">
        <v>2664</v>
      </c>
      <c r="F596" s="13">
        <v>36</v>
      </c>
      <c r="G596" s="14"/>
      <c r="H596" s="12" t="s">
        <v>79</v>
      </c>
      <c r="I596" s="12" t="s">
        <v>80</v>
      </c>
      <c r="J596" s="12" t="s">
        <v>99</v>
      </c>
      <c r="K596" s="12" t="s">
        <v>199</v>
      </c>
      <c r="L596" s="14"/>
      <c r="M596" s="12" t="s">
        <v>43</v>
      </c>
      <c r="N596" s="12" t="s">
        <v>467</v>
      </c>
      <c r="O596" s="12" t="s">
        <v>2665</v>
      </c>
      <c r="P596" s="12" t="s">
        <v>86</v>
      </c>
      <c r="Q596" s="12" t="s">
        <v>103</v>
      </c>
      <c r="R596" s="12" t="s">
        <v>104</v>
      </c>
      <c r="S596" s="13">
        <v>191163132582</v>
      </c>
      <c r="T596" s="12" t="s">
        <v>49</v>
      </c>
      <c r="U596" s="13">
        <v>36</v>
      </c>
      <c r="V596" s="12" t="s">
        <v>2666</v>
      </c>
      <c r="W596" s="12" t="s">
        <v>186</v>
      </c>
      <c r="X596" s="13">
        <v>0</v>
      </c>
      <c r="Y596" s="12" t="s">
        <v>71</v>
      </c>
      <c r="Z596" s="12" t="s">
        <v>1180</v>
      </c>
      <c r="AA596" s="13">
        <v>0</v>
      </c>
      <c r="AB596" s="13">
        <v>0</v>
      </c>
      <c r="AC596" s="15">
        <v>16.399999999999999</v>
      </c>
      <c r="AD596" s="15">
        <f>AC596*AG596</f>
        <v>180.39999999999998</v>
      </c>
      <c r="AE596" s="15">
        <v>36</v>
      </c>
      <c r="AF596" s="15">
        <f>AE596*AG596</f>
        <v>396</v>
      </c>
      <c r="AG596" s="16">
        <v>11</v>
      </c>
    </row>
    <row r="597" spans="1:33" ht="15" customHeight="1" x14ac:dyDescent="0.2">
      <c r="A597" s="11" t="str">
        <f>HYPERLINK("https://assets.vans.eu/images/VN0A7PQZZX1-HERO/1","VN0A7PQZZX11")</f>
        <v>VN0A7PQZZX11</v>
      </c>
      <c r="B597" s="12" t="s">
        <v>2667</v>
      </c>
      <c r="C597" s="12" t="s">
        <v>1323</v>
      </c>
      <c r="D597" s="12" t="s">
        <v>2668</v>
      </c>
      <c r="E597" s="12" t="s">
        <v>2669</v>
      </c>
      <c r="F597" s="12" t="s">
        <v>78</v>
      </c>
      <c r="G597" s="14"/>
      <c r="H597" s="12" t="s">
        <v>79</v>
      </c>
      <c r="I597" s="12" t="s">
        <v>80</v>
      </c>
      <c r="J597" s="12" t="s">
        <v>99</v>
      </c>
      <c r="K597" s="12" t="s">
        <v>82</v>
      </c>
      <c r="L597" s="14"/>
      <c r="M597" s="12" t="s">
        <v>43</v>
      </c>
      <c r="N597" s="12" t="s">
        <v>84</v>
      </c>
      <c r="O597" s="12" t="s">
        <v>2670</v>
      </c>
      <c r="P597" s="12" t="s">
        <v>86</v>
      </c>
      <c r="Q597" s="12" t="s">
        <v>716</v>
      </c>
      <c r="R597" s="12" t="s">
        <v>717</v>
      </c>
      <c r="S597" s="13">
        <v>197643555797</v>
      </c>
      <c r="T597" s="12" t="s">
        <v>143</v>
      </c>
      <c r="U597" s="12" t="s">
        <v>78</v>
      </c>
      <c r="V597" s="12" t="s">
        <v>718</v>
      </c>
      <c r="W597" s="12" t="s">
        <v>51</v>
      </c>
      <c r="X597" s="13">
        <v>0</v>
      </c>
      <c r="Y597" s="12" t="s">
        <v>91</v>
      </c>
      <c r="Z597" s="12" t="s">
        <v>108</v>
      </c>
      <c r="AA597" s="13">
        <v>0</v>
      </c>
      <c r="AB597" s="13">
        <v>0</v>
      </c>
      <c r="AC597" s="15">
        <v>12.75</v>
      </c>
      <c r="AD597" s="15">
        <f>AC597*AG597</f>
        <v>140.25</v>
      </c>
      <c r="AE597" s="15">
        <v>28</v>
      </c>
      <c r="AF597" s="15">
        <f>AE597*AG597</f>
        <v>308</v>
      </c>
      <c r="AG597" s="16">
        <v>11</v>
      </c>
    </row>
    <row r="598" spans="1:33" ht="15" customHeight="1" x14ac:dyDescent="0.2">
      <c r="A598" s="11" t="str">
        <f t="shared" ref="A598:A649" si="256">HYPERLINK("https://assets.vans.eu/images/VN000G75BL2-HERO/1","VN000G75BL21")</f>
        <v>VN000G75BL21</v>
      </c>
      <c r="B598" s="12" t="s">
        <v>2671</v>
      </c>
      <c r="C598" s="12" t="s">
        <v>1188</v>
      </c>
      <c r="D598" s="12" t="s">
        <v>686</v>
      </c>
      <c r="E598" s="12" t="s">
        <v>2672</v>
      </c>
      <c r="F598" s="12" t="s">
        <v>60</v>
      </c>
      <c r="G598" s="14"/>
      <c r="H598" s="12" t="s">
        <v>61</v>
      </c>
      <c r="I598" s="12" t="s">
        <v>230</v>
      </c>
      <c r="J598" s="12" t="s">
        <v>557</v>
      </c>
      <c r="K598" s="12" t="s">
        <v>199</v>
      </c>
      <c r="L598" s="14"/>
      <c r="M598" s="12" t="s">
        <v>43</v>
      </c>
      <c r="N598" s="12" t="s">
        <v>44</v>
      </c>
      <c r="O598" s="12" t="s">
        <v>2673</v>
      </c>
      <c r="P598" s="12" t="s">
        <v>66</v>
      </c>
      <c r="Q598" s="12" t="s">
        <v>559</v>
      </c>
      <c r="R598" s="12" t="s">
        <v>560</v>
      </c>
      <c r="S598" s="13">
        <v>197643554349</v>
      </c>
      <c r="T598" s="12" t="s">
        <v>49</v>
      </c>
      <c r="U598" s="12" t="s">
        <v>60</v>
      </c>
      <c r="V598" s="12" t="s">
        <v>1191</v>
      </c>
      <c r="W598" s="12" t="s">
        <v>186</v>
      </c>
      <c r="X598" s="12" t="s">
        <v>500</v>
      </c>
      <c r="Y598" s="12" t="s">
        <v>91</v>
      </c>
      <c r="Z598" s="12" t="s">
        <v>108</v>
      </c>
      <c r="AA598" s="13">
        <v>0</v>
      </c>
      <c r="AB598" s="13">
        <v>0</v>
      </c>
      <c r="AC598" s="15">
        <v>25</v>
      </c>
      <c r="AD598" s="15">
        <f>AC598*AG598</f>
        <v>275</v>
      </c>
      <c r="AE598" s="15">
        <v>55</v>
      </c>
      <c r="AF598" s="15">
        <f>AE598*AG598</f>
        <v>605</v>
      </c>
      <c r="AG598" s="16">
        <v>11</v>
      </c>
    </row>
    <row r="599" spans="1:33" ht="15" customHeight="1" x14ac:dyDescent="0.2">
      <c r="A599" s="11" t="str">
        <f t="shared" ref="A599:A652" si="257">HYPERLINK("https://assets.vans.eu/images/VN000HZCBLK-HERO/1","VN000HZCBLK1")</f>
        <v>VN000HZCBLK1</v>
      </c>
      <c r="B599" s="12" t="s">
        <v>2674</v>
      </c>
      <c r="C599" s="12" t="s">
        <v>1567</v>
      </c>
      <c r="D599" s="12" t="s">
        <v>76</v>
      </c>
      <c r="E599" s="12" t="s">
        <v>2675</v>
      </c>
      <c r="F599" s="13">
        <v>30</v>
      </c>
      <c r="G599" s="14"/>
      <c r="H599" s="12" t="s">
        <v>61</v>
      </c>
      <c r="I599" s="12" t="s">
        <v>230</v>
      </c>
      <c r="J599" s="12" t="s">
        <v>231</v>
      </c>
      <c r="K599" s="12" t="s">
        <v>199</v>
      </c>
      <c r="L599" s="14"/>
      <c r="M599" s="12" t="s">
        <v>43</v>
      </c>
      <c r="N599" s="12" t="s">
        <v>84</v>
      </c>
      <c r="O599" s="12" t="s">
        <v>2676</v>
      </c>
      <c r="P599" s="12" t="s">
        <v>66</v>
      </c>
      <c r="Q599" s="12" t="s">
        <v>233</v>
      </c>
      <c r="R599" s="12" t="s">
        <v>361</v>
      </c>
      <c r="S599" s="13">
        <v>197065839192</v>
      </c>
      <c r="T599" s="12" t="s">
        <v>235</v>
      </c>
      <c r="U599" s="13">
        <v>30</v>
      </c>
      <c r="V599" s="12" t="s">
        <v>1570</v>
      </c>
      <c r="W599" s="12" t="s">
        <v>51</v>
      </c>
      <c r="X599" s="13">
        <v>0</v>
      </c>
      <c r="Y599" s="12" t="s">
        <v>91</v>
      </c>
      <c r="Z599" s="12" t="s">
        <v>108</v>
      </c>
      <c r="AA599" s="13">
        <v>0</v>
      </c>
      <c r="AB599" s="13">
        <v>0</v>
      </c>
      <c r="AC599" s="15">
        <v>34.1</v>
      </c>
      <c r="AD599" s="15">
        <f>AC599*AG599</f>
        <v>375.1</v>
      </c>
      <c r="AE599" s="15">
        <v>75</v>
      </c>
      <c r="AF599" s="15">
        <f>AE599*AG599</f>
        <v>825</v>
      </c>
      <c r="AG599" s="16">
        <v>11</v>
      </c>
    </row>
    <row r="600" spans="1:33" ht="15" customHeight="1" x14ac:dyDescent="0.2">
      <c r="A600" s="11" t="str">
        <f t="shared" si="148"/>
        <v>VN000J79BLK1</v>
      </c>
      <c r="B600" s="12" t="s">
        <v>2677</v>
      </c>
      <c r="C600" s="12" t="s">
        <v>1788</v>
      </c>
      <c r="D600" s="12" t="s">
        <v>76</v>
      </c>
      <c r="E600" s="12" t="s">
        <v>2678</v>
      </c>
      <c r="F600" s="12" t="s">
        <v>60</v>
      </c>
      <c r="G600" s="14"/>
      <c r="H600" s="12" t="s">
        <v>61</v>
      </c>
      <c r="I600" s="12" t="s">
        <v>62</v>
      </c>
      <c r="J600" s="12" t="s">
        <v>63</v>
      </c>
      <c r="K600" s="12" t="s">
        <v>1022</v>
      </c>
      <c r="L600" s="14"/>
      <c r="M600" s="12" t="s">
        <v>43</v>
      </c>
      <c r="N600" s="12" t="s">
        <v>44</v>
      </c>
      <c r="O600" s="12" t="s">
        <v>2679</v>
      </c>
      <c r="P600" s="12" t="s">
        <v>66</v>
      </c>
      <c r="Q600" s="12" t="s">
        <v>67</v>
      </c>
      <c r="R600" s="12" t="s">
        <v>1791</v>
      </c>
      <c r="S600" s="13">
        <v>197643565710</v>
      </c>
      <c r="T600" s="12" t="s">
        <v>49</v>
      </c>
      <c r="U600" s="12" t="s">
        <v>60</v>
      </c>
      <c r="V600" s="12" t="s">
        <v>665</v>
      </c>
      <c r="W600" s="12" t="s">
        <v>51</v>
      </c>
      <c r="X600" s="13">
        <v>0</v>
      </c>
      <c r="Y600" s="12" t="s">
        <v>91</v>
      </c>
      <c r="Z600" s="12" t="s">
        <v>108</v>
      </c>
      <c r="AA600" s="13">
        <v>0</v>
      </c>
      <c r="AB600" s="13">
        <v>0</v>
      </c>
      <c r="AC600" s="15">
        <v>10</v>
      </c>
      <c r="AD600" s="15">
        <f>AC600*AG600</f>
        <v>110</v>
      </c>
      <c r="AE600" s="15">
        <v>22</v>
      </c>
      <c r="AF600" s="15">
        <f>AE600*AG600</f>
        <v>242</v>
      </c>
      <c r="AG600" s="16">
        <v>11</v>
      </c>
    </row>
    <row r="601" spans="1:33" ht="15" customHeight="1" x14ac:dyDescent="0.2">
      <c r="A601" s="11" t="str">
        <f>HYPERLINK("https://assets.vans.eu/images/VN000KASFBI-HERO/1","VN000KASFBI1")</f>
        <v>VN000KASFBI1</v>
      </c>
      <c r="B601" s="12" t="s">
        <v>2680</v>
      </c>
      <c r="C601" s="12" t="s">
        <v>2210</v>
      </c>
      <c r="D601" s="12" t="s">
        <v>2681</v>
      </c>
      <c r="E601" s="12" t="s">
        <v>2682</v>
      </c>
      <c r="F601" s="12" t="s">
        <v>403</v>
      </c>
      <c r="G601" s="14"/>
      <c r="H601" s="12" t="s">
        <v>61</v>
      </c>
      <c r="I601" s="12" t="s">
        <v>230</v>
      </c>
      <c r="J601" s="12" t="s">
        <v>419</v>
      </c>
      <c r="K601" s="12" t="s">
        <v>199</v>
      </c>
      <c r="L601" s="12" t="s">
        <v>115</v>
      </c>
      <c r="M601" s="12" t="s">
        <v>43</v>
      </c>
      <c r="N601" s="12" t="s">
        <v>44</v>
      </c>
      <c r="O601" s="12" t="s">
        <v>2683</v>
      </c>
      <c r="P601" s="12" t="s">
        <v>66</v>
      </c>
      <c r="Q601" s="12" t="s">
        <v>67</v>
      </c>
      <c r="R601" s="12" t="s">
        <v>421</v>
      </c>
      <c r="S601" s="13">
        <v>197803884682</v>
      </c>
      <c r="T601" s="12" t="s">
        <v>49</v>
      </c>
      <c r="U601" s="12" t="s">
        <v>403</v>
      </c>
      <c r="V601" s="12" t="s">
        <v>70</v>
      </c>
      <c r="W601" s="12" t="s">
        <v>175</v>
      </c>
      <c r="X601" s="13">
        <v>0</v>
      </c>
      <c r="Y601" s="12" t="s">
        <v>91</v>
      </c>
      <c r="Z601" s="12" t="s">
        <v>92</v>
      </c>
      <c r="AA601" s="12" t="s">
        <v>2214</v>
      </c>
      <c r="AB601" s="12" t="s">
        <v>94</v>
      </c>
      <c r="AC601" s="15">
        <v>22.75</v>
      </c>
      <c r="AD601" s="15">
        <f>AC601*AG601</f>
        <v>250.25</v>
      </c>
      <c r="AE601" s="15">
        <v>50</v>
      </c>
      <c r="AF601" s="15">
        <f>AE601*AG601</f>
        <v>550</v>
      </c>
      <c r="AG601" s="16">
        <v>11</v>
      </c>
    </row>
    <row r="602" spans="1:33" ht="15" customHeight="1" x14ac:dyDescent="0.2">
      <c r="A602" s="11" t="str">
        <f t="shared" si="138"/>
        <v>VN000KYXBLK1</v>
      </c>
      <c r="B602" s="12" t="s">
        <v>2684</v>
      </c>
      <c r="C602" s="12" t="s">
        <v>1728</v>
      </c>
      <c r="D602" s="12" t="s">
        <v>76</v>
      </c>
      <c r="E602" s="12" t="s">
        <v>2685</v>
      </c>
      <c r="F602" s="12" t="s">
        <v>403</v>
      </c>
      <c r="G602" s="14"/>
      <c r="H602" s="12" t="s">
        <v>61</v>
      </c>
      <c r="I602" s="12" t="s">
        <v>230</v>
      </c>
      <c r="J602" s="12" t="s">
        <v>762</v>
      </c>
      <c r="K602" s="12" t="s">
        <v>199</v>
      </c>
      <c r="L602" s="14"/>
      <c r="M602" s="12" t="s">
        <v>43</v>
      </c>
      <c r="N602" s="12" t="s">
        <v>44</v>
      </c>
      <c r="O602" s="12" t="s">
        <v>2686</v>
      </c>
      <c r="P602" s="12" t="s">
        <v>66</v>
      </c>
      <c r="Q602" s="12" t="s">
        <v>764</v>
      </c>
      <c r="R602" s="12" t="s">
        <v>765</v>
      </c>
      <c r="S602" s="13">
        <v>197643405108</v>
      </c>
      <c r="T602" s="12" t="s">
        <v>49</v>
      </c>
      <c r="U602" s="12" t="s">
        <v>403</v>
      </c>
      <c r="V602" s="12" t="s">
        <v>1731</v>
      </c>
      <c r="W602" s="12" t="s">
        <v>51</v>
      </c>
      <c r="X602" s="13">
        <v>0</v>
      </c>
      <c r="Y602" s="12" t="s">
        <v>91</v>
      </c>
      <c r="Z602" s="12" t="s">
        <v>72</v>
      </c>
      <c r="AA602" s="13">
        <v>0</v>
      </c>
      <c r="AB602" s="13">
        <v>0</v>
      </c>
      <c r="AC602" s="15">
        <v>34.1</v>
      </c>
      <c r="AD602" s="15">
        <f>AC602*AG602</f>
        <v>375.1</v>
      </c>
      <c r="AE602" s="15">
        <v>75</v>
      </c>
      <c r="AF602" s="15">
        <f>AE602*AG602</f>
        <v>825</v>
      </c>
      <c r="AG602" s="16">
        <v>11</v>
      </c>
    </row>
    <row r="603" spans="1:33" ht="15" customHeight="1" x14ac:dyDescent="0.2">
      <c r="A603" s="11" t="str">
        <f t="shared" ref="A603:A3137" si="258">HYPERLINK("https://assets.vans.eu/images/VN000M47BLK-HERO/1","VN000M47BLK1")</f>
        <v>VN000M47BLK1</v>
      </c>
      <c r="B603" s="12" t="s">
        <v>2687</v>
      </c>
      <c r="C603" s="12" t="s">
        <v>2688</v>
      </c>
      <c r="D603" s="12" t="s">
        <v>76</v>
      </c>
      <c r="E603" s="12" t="s">
        <v>2689</v>
      </c>
      <c r="F603" s="12" t="s">
        <v>170</v>
      </c>
      <c r="G603" s="14"/>
      <c r="H603" s="12" t="s">
        <v>61</v>
      </c>
      <c r="I603" s="12" t="s">
        <v>230</v>
      </c>
      <c r="J603" s="12" t="s">
        <v>419</v>
      </c>
      <c r="K603" s="12" t="s">
        <v>199</v>
      </c>
      <c r="L603" s="14"/>
      <c r="M603" s="12" t="s">
        <v>43</v>
      </c>
      <c r="N603" s="12" t="s">
        <v>44</v>
      </c>
      <c r="O603" s="12" t="s">
        <v>2690</v>
      </c>
      <c r="P603" s="12" t="s">
        <v>66</v>
      </c>
      <c r="Q603" s="12" t="s">
        <v>67</v>
      </c>
      <c r="R603" s="12" t="s">
        <v>421</v>
      </c>
      <c r="S603" s="13">
        <v>197643414230</v>
      </c>
      <c r="T603" s="12" t="s">
        <v>422</v>
      </c>
      <c r="U603" s="12" t="s">
        <v>170</v>
      </c>
      <c r="V603" s="12" t="s">
        <v>70</v>
      </c>
      <c r="W603" s="12" t="s">
        <v>51</v>
      </c>
      <c r="X603" s="13">
        <v>0</v>
      </c>
      <c r="Y603" s="12" t="s">
        <v>91</v>
      </c>
      <c r="Z603" s="12" t="s">
        <v>108</v>
      </c>
      <c r="AA603" s="13">
        <v>0</v>
      </c>
      <c r="AB603" s="13">
        <v>0</v>
      </c>
      <c r="AC603" s="15">
        <v>17.3</v>
      </c>
      <c r="AD603" s="15">
        <f>AC603*AG603</f>
        <v>190.3</v>
      </c>
      <c r="AE603" s="15">
        <v>38</v>
      </c>
      <c r="AF603" s="15">
        <f>AE603*AG603</f>
        <v>418</v>
      </c>
      <c r="AG603" s="16">
        <v>11</v>
      </c>
    </row>
    <row r="604" spans="1:33" ht="15" customHeight="1" x14ac:dyDescent="0.2">
      <c r="A604" s="11" t="str">
        <f t="shared" ref="A604:A882" si="259">HYPERLINK("https://assets.vans.eu/images/VN000M9KEB2-HERO/1","VN000M9KEB21")</f>
        <v>VN000M9KEB21</v>
      </c>
      <c r="B604" s="12" t="s">
        <v>2691</v>
      </c>
      <c r="C604" s="12" t="s">
        <v>2692</v>
      </c>
      <c r="D604" s="12" t="s">
        <v>2693</v>
      </c>
      <c r="E604" s="12" t="s">
        <v>2694</v>
      </c>
      <c r="F604" s="13">
        <v>28</v>
      </c>
      <c r="G604" s="14"/>
      <c r="H604" s="12" t="s">
        <v>61</v>
      </c>
      <c r="I604" s="12" t="s">
        <v>289</v>
      </c>
      <c r="J604" s="12" t="s">
        <v>290</v>
      </c>
      <c r="K604" s="12" t="s">
        <v>100</v>
      </c>
      <c r="L604" s="14"/>
      <c r="M604" s="12" t="s">
        <v>43</v>
      </c>
      <c r="N604" s="12" t="s">
        <v>44</v>
      </c>
      <c r="O604" s="12" t="s">
        <v>2695</v>
      </c>
      <c r="P604" s="12" t="s">
        <v>66</v>
      </c>
      <c r="Q604" s="12" t="s">
        <v>233</v>
      </c>
      <c r="R604" s="12" t="s">
        <v>2073</v>
      </c>
      <c r="S604" s="13">
        <v>197643364221</v>
      </c>
      <c r="T604" s="12" t="s">
        <v>235</v>
      </c>
      <c r="U604" s="13">
        <v>28</v>
      </c>
      <c r="V604" s="12" t="s">
        <v>665</v>
      </c>
      <c r="W604" s="12" t="s">
        <v>51</v>
      </c>
      <c r="X604" s="13">
        <v>0</v>
      </c>
      <c r="Y604" s="12" t="s">
        <v>91</v>
      </c>
      <c r="Z604" s="12" t="s">
        <v>108</v>
      </c>
      <c r="AA604" s="13">
        <v>0</v>
      </c>
      <c r="AB604" s="13">
        <v>0</v>
      </c>
      <c r="AC604" s="15">
        <v>30.95</v>
      </c>
      <c r="AD604" s="15">
        <f>AC604*AG604</f>
        <v>340.45</v>
      </c>
      <c r="AE604" s="15">
        <v>68</v>
      </c>
      <c r="AF604" s="15">
        <f>AE604*AG604</f>
        <v>748</v>
      </c>
      <c r="AG604" s="16">
        <v>11</v>
      </c>
    </row>
    <row r="605" spans="1:33" ht="15" customHeight="1" x14ac:dyDescent="0.2">
      <c r="A605" s="11" t="str">
        <f t="shared" si="221"/>
        <v>VN000MEPJDU1</v>
      </c>
      <c r="B605" s="12" t="s">
        <v>2696</v>
      </c>
      <c r="C605" s="12" t="s">
        <v>1020</v>
      </c>
      <c r="D605" s="12" t="s">
        <v>814</v>
      </c>
      <c r="E605" s="12" t="s">
        <v>2697</v>
      </c>
      <c r="F605" s="13">
        <v>14</v>
      </c>
      <c r="G605" s="14"/>
      <c r="H605" s="12" t="s">
        <v>61</v>
      </c>
      <c r="I605" s="12" t="s">
        <v>62</v>
      </c>
      <c r="J605" s="12" t="s">
        <v>972</v>
      </c>
      <c r="K605" s="12" t="s">
        <v>1022</v>
      </c>
      <c r="L605" s="14"/>
      <c r="M605" s="12" t="s">
        <v>43</v>
      </c>
      <c r="N605" s="12" t="s">
        <v>44</v>
      </c>
      <c r="O605" s="12" t="s">
        <v>2698</v>
      </c>
      <c r="P605" s="12" t="s">
        <v>66</v>
      </c>
      <c r="Q605" s="12" t="s">
        <v>233</v>
      </c>
      <c r="R605" s="12" t="s">
        <v>1024</v>
      </c>
      <c r="S605" s="13">
        <v>197643372417</v>
      </c>
      <c r="T605" s="12" t="s">
        <v>235</v>
      </c>
      <c r="U605" s="13">
        <v>14</v>
      </c>
      <c r="V605" s="12" t="s">
        <v>665</v>
      </c>
      <c r="W605" s="12" t="s">
        <v>284</v>
      </c>
      <c r="X605" s="13">
        <v>0</v>
      </c>
      <c r="Y605" s="12" t="s">
        <v>91</v>
      </c>
      <c r="Z605" s="12" t="s">
        <v>108</v>
      </c>
      <c r="AA605" s="13">
        <v>0</v>
      </c>
      <c r="AB605" s="13">
        <v>0</v>
      </c>
      <c r="AC605" s="15">
        <v>20.5</v>
      </c>
      <c r="AD605" s="15">
        <f>AC605*AG605</f>
        <v>225.5</v>
      </c>
      <c r="AE605" s="15">
        <v>45</v>
      </c>
      <c r="AF605" s="15">
        <f>AE605*AG605</f>
        <v>495</v>
      </c>
      <c r="AG605" s="16">
        <v>11</v>
      </c>
    </row>
    <row r="606" spans="1:33" ht="15" customHeight="1" x14ac:dyDescent="0.2">
      <c r="A606" s="11" t="str">
        <f t="shared" ref="A606:A2151" si="260">HYPERLINK("https://assets.vans.eu/images/VN000MFWUUI-HERO/1","VN000MFWUUI1")</f>
        <v>VN000MFWUUI1</v>
      </c>
      <c r="B606" s="12" t="s">
        <v>2699</v>
      </c>
      <c r="C606" s="12" t="s">
        <v>1338</v>
      </c>
      <c r="D606" s="12" t="s">
        <v>723</v>
      </c>
      <c r="E606" s="12" t="s">
        <v>2700</v>
      </c>
      <c r="F606" s="13">
        <v>4</v>
      </c>
      <c r="G606" s="14"/>
      <c r="H606" s="12" t="s">
        <v>61</v>
      </c>
      <c r="I606" s="12" t="s">
        <v>1340</v>
      </c>
      <c r="J606" s="12" t="s">
        <v>1341</v>
      </c>
      <c r="K606" s="12" t="s">
        <v>1022</v>
      </c>
      <c r="L606" s="14"/>
      <c r="M606" s="12" t="s">
        <v>43</v>
      </c>
      <c r="N606" s="12" t="s">
        <v>44</v>
      </c>
      <c r="O606" s="12" t="s">
        <v>2701</v>
      </c>
      <c r="P606" s="12" t="s">
        <v>66</v>
      </c>
      <c r="Q606" s="12" t="s">
        <v>67</v>
      </c>
      <c r="R606" s="12" t="s">
        <v>730</v>
      </c>
      <c r="S606" s="13">
        <v>197643373025</v>
      </c>
      <c r="T606" s="12" t="s">
        <v>49</v>
      </c>
      <c r="U606" s="13">
        <v>4</v>
      </c>
      <c r="V606" s="12" t="s">
        <v>1343</v>
      </c>
      <c r="W606" s="12" t="s">
        <v>107</v>
      </c>
      <c r="X606" s="13">
        <v>0</v>
      </c>
      <c r="Y606" s="12" t="s">
        <v>91</v>
      </c>
      <c r="Z606" s="12" t="s">
        <v>108</v>
      </c>
      <c r="AA606" s="13">
        <v>0</v>
      </c>
      <c r="AB606" s="13">
        <v>0</v>
      </c>
      <c r="AC606" s="15">
        <v>26.4</v>
      </c>
      <c r="AD606" s="15">
        <f>AC606*AG606</f>
        <v>290.39999999999998</v>
      </c>
      <c r="AE606" s="15">
        <v>58</v>
      </c>
      <c r="AF606" s="15">
        <f>AE606*AG606</f>
        <v>638</v>
      </c>
      <c r="AG606" s="16">
        <v>11</v>
      </c>
    </row>
    <row r="607" spans="1:33" ht="15" customHeight="1" x14ac:dyDescent="0.2">
      <c r="A607" s="11" t="str">
        <f t="shared" ref="A607:A717" si="261">HYPERLINK("https://assets.vans.eu/images/VN000MN07WM-HERO/1","VN000MN07WM1")</f>
        <v>VN000MN07WM1</v>
      </c>
      <c r="B607" s="12" t="s">
        <v>2702</v>
      </c>
      <c r="C607" s="12" t="s">
        <v>1374</v>
      </c>
      <c r="D607" s="12" t="s">
        <v>388</v>
      </c>
      <c r="E607" s="12" t="s">
        <v>2703</v>
      </c>
      <c r="F607" s="13">
        <v>4</v>
      </c>
      <c r="G607" s="14"/>
      <c r="H607" s="12" t="s">
        <v>61</v>
      </c>
      <c r="I607" s="12" t="s">
        <v>1340</v>
      </c>
      <c r="J607" s="12" t="s">
        <v>1376</v>
      </c>
      <c r="K607" s="12" t="s">
        <v>64</v>
      </c>
      <c r="L607" s="14"/>
      <c r="M607" s="12" t="s">
        <v>43</v>
      </c>
      <c r="N607" s="12" t="s">
        <v>44</v>
      </c>
      <c r="O607" s="12" t="s">
        <v>2704</v>
      </c>
      <c r="P607" s="12" t="s">
        <v>66</v>
      </c>
      <c r="Q607" s="12" t="s">
        <v>233</v>
      </c>
      <c r="R607" s="12" t="s">
        <v>974</v>
      </c>
      <c r="S607" s="13">
        <v>197803421863</v>
      </c>
      <c r="T607" s="12" t="s">
        <v>69</v>
      </c>
      <c r="U607" s="13">
        <v>4</v>
      </c>
      <c r="V607" s="12" t="s">
        <v>1378</v>
      </c>
      <c r="W607" s="12" t="s">
        <v>284</v>
      </c>
      <c r="X607" s="13">
        <v>0</v>
      </c>
      <c r="Y607" s="12" t="s">
        <v>91</v>
      </c>
      <c r="Z607" s="12" t="s">
        <v>108</v>
      </c>
      <c r="AA607" s="13">
        <v>0</v>
      </c>
      <c r="AB607" s="13">
        <v>0</v>
      </c>
      <c r="AC607" s="15">
        <v>25</v>
      </c>
      <c r="AD607" s="15">
        <f>AC607*AG607</f>
        <v>275</v>
      </c>
      <c r="AE607" s="15">
        <v>55</v>
      </c>
      <c r="AF607" s="15">
        <f>AE607*AG607</f>
        <v>605</v>
      </c>
      <c r="AG607" s="16">
        <v>11</v>
      </c>
    </row>
    <row r="608" spans="1:33" ht="15" customHeight="1" x14ac:dyDescent="0.2">
      <c r="A608" s="11" t="str">
        <f t="shared" ref="A608:A3251" si="262">HYPERLINK("https://assets.vans.eu/images/VN000P1PCLH-HERO/1","VN000P1PCLH1")</f>
        <v>VN000P1PCLH1</v>
      </c>
      <c r="B608" s="12" t="s">
        <v>2705</v>
      </c>
      <c r="C608" s="12" t="s">
        <v>2706</v>
      </c>
      <c r="D608" s="12" t="s">
        <v>838</v>
      </c>
      <c r="E608" s="12" t="s">
        <v>2707</v>
      </c>
      <c r="F608" s="12" t="s">
        <v>153</v>
      </c>
      <c r="G608" s="14"/>
      <c r="H608" s="12" t="s">
        <v>61</v>
      </c>
      <c r="I608" s="12" t="s">
        <v>230</v>
      </c>
      <c r="J608" s="12" t="s">
        <v>419</v>
      </c>
      <c r="K608" s="12" t="s">
        <v>199</v>
      </c>
      <c r="L608" s="12" t="s">
        <v>83</v>
      </c>
      <c r="M608" s="12" t="s">
        <v>43</v>
      </c>
      <c r="N608" s="12" t="s">
        <v>84</v>
      </c>
      <c r="O608" s="12" t="s">
        <v>2708</v>
      </c>
      <c r="P608" s="12" t="s">
        <v>66</v>
      </c>
      <c r="Q608" s="12" t="s">
        <v>67</v>
      </c>
      <c r="R608" s="12" t="s">
        <v>421</v>
      </c>
      <c r="S608" s="13">
        <v>197804661176</v>
      </c>
      <c r="T608" s="12" t="s">
        <v>422</v>
      </c>
      <c r="U608" s="12" t="s">
        <v>153</v>
      </c>
      <c r="V608" s="12" t="s">
        <v>423</v>
      </c>
      <c r="W608" s="12" t="s">
        <v>118</v>
      </c>
      <c r="X608" s="13">
        <v>0</v>
      </c>
      <c r="Y608" s="12" t="s">
        <v>91</v>
      </c>
      <c r="Z608" s="12" t="s">
        <v>108</v>
      </c>
      <c r="AA608" s="13">
        <v>0</v>
      </c>
      <c r="AB608" s="12" t="s">
        <v>94</v>
      </c>
      <c r="AC608" s="15">
        <v>13.65</v>
      </c>
      <c r="AD608" s="15">
        <f>AC608*AG608</f>
        <v>150.15</v>
      </c>
      <c r="AE608" s="15">
        <v>30</v>
      </c>
      <c r="AF608" s="15">
        <f>AE608*AG608</f>
        <v>330</v>
      </c>
      <c r="AG608" s="16">
        <v>11</v>
      </c>
    </row>
    <row r="609" spans="1:33" ht="15" customHeight="1" x14ac:dyDescent="0.2">
      <c r="A609" s="11" t="str">
        <f t="shared" ref="A609:A720" si="263">HYPERLINK("https://assets.vans.eu/images/VN000P8WPWT-HERO/1","VN000P8WPWT1")</f>
        <v>VN000P8WPWT1</v>
      </c>
      <c r="B609" s="12" t="s">
        <v>2709</v>
      </c>
      <c r="C609" s="12" t="s">
        <v>2710</v>
      </c>
      <c r="D609" s="12" t="s">
        <v>2289</v>
      </c>
      <c r="E609" s="12" t="s">
        <v>2711</v>
      </c>
      <c r="F609" s="12" t="s">
        <v>170</v>
      </c>
      <c r="G609" s="14"/>
      <c r="H609" s="12" t="s">
        <v>61</v>
      </c>
      <c r="I609" s="12" t="s">
        <v>230</v>
      </c>
      <c r="J609" s="12" t="s">
        <v>419</v>
      </c>
      <c r="K609" s="12" t="s">
        <v>199</v>
      </c>
      <c r="L609" s="14"/>
      <c r="M609" s="12" t="s">
        <v>43</v>
      </c>
      <c r="N609" s="12" t="s">
        <v>84</v>
      </c>
      <c r="O609" s="12" t="s">
        <v>2712</v>
      </c>
      <c r="P609" s="12" t="s">
        <v>66</v>
      </c>
      <c r="Q609" s="12" t="s">
        <v>67</v>
      </c>
      <c r="R609" s="12" t="s">
        <v>1500</v>
      </c>
      <c r="S609" s="13">
        <v>197804608317</v>
      </c>
      <c r="T609" s="12" t="s">
        <v>49</v>
      </c>
      <c r="U609" s="12" t="s">
        <v>170</v>
      </c>
      <c r="V609" s="12" t="s">
        <v>665</v>
      </c>
      <c r="W609" s="12" t="s">
        <v>455</v>
      </c>
      <c r="X609" s="14"/>
      <c r="Y609" s="14"/>
      <c r="Z609" s="14"/>
      <c r="AA609" s="14"/>
      <c r="AB609" s="14"/>
      <c r="AC609" s="15">
        <v>29.55</v>
      </c>
      <c r="AD609" s="15">
        <f>AC609*AG609</f>
        <v>325.05</v>
      </c>
      <c r="AE609" s="15">
        <v>65</v>
      </c>
      <c r="AF609" s="15">
        <f>AE609*AG609</f>
        <v>715</v>
      </c>
      <c r="AG609" s="16">
        <v>11</v>
      </c>
    </row>
    <row r="610" spans="1:33" ht="15" customHeight="1" x14ac:dyDescent="0.2">
      <c r="A610" s="11" t="str">
        <f t="shared" si="263"/>
        <v>VN000P8WPWT1</v>
      </c>
      <c r="B610" s="12" t="s">
        <v>2713</v>
      </c>
      <c r="C610" s="12" t="s">
        <v>2710</v>
      </c>
      <c r="D610" s="12" t="s">
        <v>2289</v>
      </c>
      <c r="E610" s="12" t="s">
        <v>2714</v>
      </c>
      <c r="F610" s="12" t="s">
        <v>60</v>
      </c>
      <c r="G610" s="14"/>
      <c r="H610" s="12" t="s">
        <v>61</v>
      </c>
      <c r="I610" s="12" t="s">
        <v>230</v>
      </c>
      <c r="J610" s="12" t="s">
        <v>419</v>
      </c>
      <c r="K610" s="12" t="s">
        <v>199</v>
      </c>
      <c r="L610" s="14"/>
      <c r="M610" s="12" t="s">
        <v>43</v>
      </c>
      <c r="N610" s="12" t="s">
        <v>84</v>
      </c>
      <c r="O610" s="12" t="s">
        <v>2715</v>
      </c>
      <c r="P610" s="12" t="s">
        <v>66</v>
      </c>
      <c r="Q610" s="12" t="s">
        <v>67</v>
      </c>
      <c r="R610" s="12" t="s">
        <v>1500</v>
      </c>
      <c r="S610" s="13">
        <v>197804608669</v>
      </c>
      <c r="T610" s="12" t="s">
        <v>49</v>
      </c>
      <c r="U610" s="12" t="s">
        <v>60</v>
      </c>
      <c r="V610" s="12" t="s">
        <v>665</v>
      </c>
      <c r="W610" s="12" t="s">
        <v>455</v>
      </c>
      <c r="X610" s="14"/>
      <c r="Y610" s="14"/>
      <c r="Z610" s="14"/>
      <c r="AA610" s="14"/>
      <c r="AB610" s="14"/>
      <c r="AC610" s="15">
        <v>29.55</v>
      </c>
      <c r="AD610" s="15">
        <f>AC610*AG610</f>
        <v>325.05</v>
      </c>
      <c r="AE610" s="15">
        <v>65</v>
      </c>
      <c r="AF610" s="15">
        <f>AE610*AG610</f>
        <v>715</v>
      </c>
      <c r="AG610" s="16">
        <v>11</v>
      </c>
    </row>
    <row r="611" spans="1:33" ht="15" customHeight="1" x14ac:dyDescent="0.2">
      <c r="A611" s="11" t="str">
        <f t="shared" si="184"/>
        <v>VN000PA6BLK1</v>
      </c>
      <c r="B611" s="12" t="s">
        <v>2716</v>
      </c>
      <c r="C611" s="12" t="s">
        <v>2063</v>
      </c>
      <c r="D611" s="12" t="s">
        <v>76</v>
      </c>
      <c r="E611" s="12" t="s">
        <v>2717</v>
      </c>
      <c r="F611" s="12" t="s">
        <v>60</v>
      </c>
      <c r="G611" s="14"/>
      <c r="H611" s="12" t="s">
        <v>61</v>
      </c>
      <c r="I611" s="12" t="s">
        <v>230</v>
      </c>
      <c r="J611" s="12" t="s">
        <v>419</v>
      </c>
      <c r="K611" s="12" t="s">
        <v>199</v>
      </c>
      <c r="L611" s="12" t="s">
        <v>42</v>
      </c>
      <c r="M611" s="12" t="s">
        <v>43</v>
      </c>
      <c r="N611" s="12" t="s">
        <v>84</v>
      </c>
      <c r="O611" s="12" t="s">
        <v>2718</v>
      </c>
      <c r="P611" s="12" t="s">
        <v>66</v>
      </c>
      <c r="Q611" s="12" t="s">
        <v>67</v>
      </c>
      <c r="R611" s="12" t="s">
        <v>623</v>
      </c>
      <c r="S611" s="13">
        <v>197804914074</v>
      </c>
      <c r="T611" s="12" t="s">
        <v>709</v>
      </c>
      <c r="U611" s="12" t="s">
        <v>60</v>
      </c>
      <c r="V611" s="12" t="s">
        <v>710</v>
      </c>
      <c r="W611" s="12" t="s">
        <v>51</v>
      </c>
      <c r="X611" s="14"/>
      <c r="Y611" s="14"/>
      <c r="Z611" s="14"/>
      <c r="AA611" s="14"/>
      <c r="AB611" s="14"/>
      <c r="AC611" s="15">
        <v>31.85</v>
      </c>
      <c r="AD611" s="15">
        <f>AC611*AG611</f>
        <v>350.35</v>
      </c>
      <c r="AE611" s="15">
        <v>70</v>
      </c>
      <c r="AF611" s="15">
        <f>AE611*AG611</f>
        <v>770</v>
      </c>
      <c r="AG611" s="16">
        <v>11</v>
      </c>
    </row>
    <row r="612" spans="1:33" ht="15" customHeight="1" x14ac:dyDescent="0.2">
      <c r="A612" s="11" t="str">
        <f t="shared" si="223"/>
        <v>VN000PK1EMW1</v>
      </c>
      <c r="B612" s="12" t="s">
        <v>2719</v>
      </c>
      <c r="C612" s="12" t="s">
        <v>1900</v>
      </c>
      <c r="D612" s="12" t="s">
        <v>147</v>
      </c>
      <c r="E612" s="12" t="s">
        <v>2720</v>
      </c>
      <c r="F612" s="12" t="s">
        <v>170</v>
      </c>
      <c r="G612" s="14"/>
      <c r="H612" s="12" t="s">
        <v>61</v>
      </c>
      <c r="I612" s="12" t="s">
        <v>289</v>
      </c>
      <c r="J612" s="12" t="s">
        <v>984</v>
      </c>
      <c r="K612" s="12" t="s">
        <v>100</v>
      </c>
      <c r="L612" s="14"/>
      <c r="M612" s="12" t="s">
        <v>43</v>
      </c>
      <c r="N612" s="12" t="s">
        <v>84</v>
      </c>
      <c r="O612" s="12" t="s">
        <v>2721</v>
      </c>
      <c r="P612" s="12" t="s">
        <v>66</v>
      </c>
      <c r="Q612" s="12" t="s">
        <v>764</v>
      </c>
      <c r="R612" s="12" t="s">
        <v>986</v>
      </c>
      <c r="S612" s="13">
        <v>197804360505</v>
      </c>
      <c r="T612" s="12" t="s">
        <v>235</v>
      </c>
      <c r="U612" s="12" t="s">
        <v>170</v>
      </c>
      <c r="V612" s="12" t="s">
        <v>90</v>
      </c>
      <c r="W612" s="12" t="s">
        <v>118</v>
      </c>
      <c r="X612" s="14"/>
      <c r="Y612" s="14"/>
      <c r="Z612" s="14"/>
      <c r="AA612" s="14"/>
      <c r="AB612" s="14"/>
      <c r="AC612" s="15">
        <v>56.85</v>
      </c>
      <c r="AD612" s="15">
        <f>AC612*AG612</f>
        <v>625.35</v>
      </c>
      <c r="AE612" s="15">
        <v>125</v>
      </c>
      <c r="AF612" s="15">
        <f>AE612*AG612</f>
        <v>1375</v>
      </c>
      <c r="AG612" s="16">
        <v>11</v>
      </c>
    </row>
    <row r="613" spans="1:33" ht="15" customHeight="1" x14ac:dyDescent="0.2">
      <c r="A613" s="11" t="str">
        <f t="shared" si="186"/>
        <v>VN000PMAEMW1</v>
      </c>
      <c r="B613" s="12" t="s">
        <v>2722</v>
      </c>
      <c r="C613" s="12" t="s">
        <v>2076</v>
      </c>
      <c r="D613" s="12" t="s">
        <v>147</v>
      </c>
      <c r="E613" s="12" t="s">
        <v>2723</v>
      </c>
      <c r="F613" s="12" t="s">
        <v>179</v>
      </c>
      <c r="G613" s="14"/>
      <c r="H613" s="12" t="s">
        <v>61</v>
      </c>
      <c r="I613" s="12" t="s">
        <v>230</v>
      </c>
      <c r="J613" s="12" t="s">
        <v>762</v>
      </c>
      <c r="K613" s="12" t="s">
        <v>199</v>
      </c>
      <c r="L613" s="14"/>
      <c r="M613" s="12" t="s">
        <v>43</v>
      </c>
      <c r="N613" s="12" t="s">
        <v>84</v>
      </c>
      <c r="O613" s="12" t="s">
        <v>2724</v>
      </c>
      <c r="P613" s="12" t="s">
        <v>66</v>
      </c>
      <c r="Q613" s="12" t="s">
        <v>764</v>
      </c>
      <c r="R613" s="12" t="s">
        <v>765</v>
      </c>
      <c r="S613" s="13">
        <v>197804372669</v>
      </c>
      <c r="T613" s="12" t="s">
        <v>49</v>
      </c>
      <c r="U613" s="12" t="s">
        <v>179</v>
      </c>
      <c r="V613" s="12" t="s">
        <v>90</v>
      </c>
      <c r="W613" s="12" t="s">
        <v>118</v>
      </c>
      <c r="X613" s="14"/>
      <c r="Y613" s="14"/>
      <c r="Z613" s="14"/>
      <c r="AA613" s="14"/>
      <c r="AB613" s="14"/>
      <c r="AC613" s="15">
        <v>159.1</v>
      </c>
      <c r="AD613" s="15">
        <f>AC613*AG613</f>
        <v>1750.1</v>
      </c>
      <c r="AE613" s="15">
        <v>350</v>
      </c>
      <c r="AF613" s="15">
        <f>AE613*AG613</f>
        <v>3850</v>
      </c>
      <c r="AG613" s="16">
        <v>11</v>
      </c>
    </row>
    <row r="614" spans="1:33" ht="15" customHeight="1" x14ac:dyDescent="0.2">
      <c r="A614" s="11" t="str">
        <f t="shared" si="203"/>
        <v>VN000PMDEMW1</v>
      </c>
      <c r="B614" s="12" t="s">
        <v>2725</v>
      </c>
      <c r="C614" s="12" t="s">
        <v>2243</v>
      </c>
      <c r="D614" s="12" t="s">
        <v>147</v>
      </c>
      <c r="E614" s="12" t="s">
        <v>2726</v>
      </c>
      <c r="F614" s="12" t="s">
        <v>179</v>
      </c>
      <c r="G614" s="14"/>
      <c r="H614" s="12" t="s">
        <v>61</v>
      </c>
      <c r="I614" s="12" t="s">
        <v>230</v>
      </c>
      <c r="J614" s="12" t="s">
        <v>762</v>
      </c>
      <c r="K614" s="12" t="s">
        <v>199</v>
      </c>
      <c r="L614" s="14"/>
      <c r="M614" s="12" t="s">
        <v>43</v>
      </c>
      <c r="N614" s="12" t="s">
        <v>84</v>
      </c>
      <c r="O614" s="12" t="s">
        <v>2727</v>
      </c>
      <c r="P614" s="12" t="s">
        <v>66</v>
      </c>
      <c r="Q614" s="12" t="s">
        <v>764</v>
      </c>
      <c r="R614" s="12" t="s">
        <v>765</v>
      </c>
      <c r="S614" s="13">
        <v>197804581658</v>
      </c>
      <c r="T614" s="12" t="s">
        <v>49</v>
      </c>
      <c r="U614" s="12" t="s">
        <v>179</v>
      </c>
      <c r="V614" s="12" t="s">
        <v>90</v>
      </c>
      <c r="W614" s="12" t="s">
        <v>118</v>
      </c>
      <c r="X614" s="14"/>
      <c r="Y614" s="14"/>
      <c r="Z614" s="14"/>
      <c r="AA614" s="14"/>
      <c r="AB614" s="14"/>
      <c r="AC614" s="15">
        <v>136.4</v>
      </c>
      <c r="AD614" s="15">
        <f>AC614*AG614</f>
        <v>1500.4</v>
      </c>
      <c r="AE614" s="15">
        <v>300</v>
      </c>
      <c r="AF614" s="15">
        <f>AE614*AG614</f>
        <v>3300</v>
      </c>
      <c r="AG614" s="16">
        <v>11</v>
      </c>
    </row>
    <row r="615" spans="1:33" ht="15" customHeight="1" x14ac:dyDescent="0.2">
      <c r="A615" s="11" t="str">
        <f t="shared" ref="A615:A814" si="264">HYPERLINK("https://assets.vans.eu/images/VN000PXEEMS-HERO/1","VN000PXEEMS1")</f>
        <v>VN000PXEEMS1</v>
      </c>
      <c r="B615" s="12" t="s">
        <v>2728</v>
      </c>
      <c r="C615" s="12" t="s">
        <v>2729</v>
      </c>
      <c r="D615" s="12" t="s">
        <v>863</v>
      </c>
      <c r="E615" s="12" t="s">
        <v>2730</v>
      </c>
      <c r="F615" s="12" t="s">
        <v>170</v>
      </c>
      <c r="G615" s="14"/>
      <c r="H615" s="12" t="s">
        <v>61</v>
      </c>
      <c r="I615" s="12" t="s">
        <v>62</v>
      </c>
      <c r="J615" s="12" t="s">
        <v>63</v>
      </c>
      <c r="K615" s="12" t="s">
        <v>64</v>
      </c>
      <c r="L615" s="14"/>
      <c r="M615" s="12" t="s">
        <v>43</v>
      </c>
      <c r="N615" s="12" t="s">
        <v>84</v>
      </c>
      <c r="O615" s="12" t="s">
        <v>2731</v>
      </c>
      <c r="P615" s="12" t="s">
        <v>66</v>
      </c>
      <c r="Q615" s="12" t="s">
        <v>67</v>
      </c>
      <c r="R615" s="12" t="s">
        <v>730</v>
      </c>
      <c r="S615" s="13">
        <v>197804365562</v>
      </c>
      <c r="T615" s="12" t="s">
        <v>709</v>
      </c>
      <c r="U615" s="12" t="s">
        <v>170</v>
      </c>
      <c r="V615" s="12" t="s">
        <v>710</v>
      </c>
      <c r="W615" s="12" t="s">
        <v>107</v>
      </c>
      <c r="X615" s="14"/>
      <c r="Y615" s="14"/>
      <c r="Z615" s="14"/>
      <c r="AA615" s="14"/>
      <c r="AB615" s="14"/>
      <c r="AC615" s="15">
        <v>29.55</v>
      </c>
      <c r="AD615" s="15">
        <f>AC615*AG615</f>
        <v>325.05</v>
      </c>
      <c r="AE615" s="15">
        <v>65</v>
      </c>
      <c r="AF615" s="15">
        <f>AE615*AG615</f>
        <v>715</v>
      </c>
      <c r="AG615" s="16">
        <v>11</v>
      </c>
    </row>
    <row r="616" spans="1:33" ht="15" customHeight="1" x14ac:dyDescent="0.2">
      <c r="A616" s="11" t="str">
        <f t="shared" ref="A616:A904" si="265">HYPERLINK("https://assets.vans.eu/images/VN000PXS6JL-HERO/1","VN000PXS6JL1")</f>
        <v>VN000PXS6JL1</v>
      </c>
      <c r="B616" s="12" t="s">
        <v>2732</v>
      </c>
      <c r="C616" s="12" t="s">
        <v>976</v>
      </c>
      <c r="D616" s="12" t="s">
        <v>2733</v>
      </c>
      <c r="E616" s="12" t="s">
        <v>2734</v>
      </c>
      <c r="F616" s="12" t="s">
        <v>179</v>
      </c>
      <c r="G616" s="14"/>
      <c r="H616" s="12" t="s">
        <v>61</v>
      </c>
      <c r="I616" s="12" t="s">
        <v>62</v>
      </c>
      <c r="J616" s="12" t="s">
        <v>63</v>
      </c>
      <c r="K616" s="12" t="s">
        <v>64</v>
      </c>
      <c r="L616" s="14"/>
      <c r="M616" s="12" t="s">
        <v>43</v>
      </c>
      <c r="N616" s="12" t="s">
        <v>84</v>
      </c>
      <c r="O616" s="12" t="s">
        <v>2735</v>
      </c>
      <c r="P616" s="12" t="s">
        <v>66</v>
      </c>
      <c r="Q616" s="12" t="s">
        <v>67</v>
      </c>
      <c r="R616" s="12" t="s">
        <v>68</v>
      </c>
      <c r="S616" s="13">
        <v>197804365494</v>
      </c>
      <c r="T616" s="12" t="s">
        <v>915</v>
      </c>
      <c r="U616" s="12" t="s">
        <v>179</v>
      </c>
      <c r="V616" s="12" t="s">
        <v>1028</v>
      </c>
      <c r="W616" s="12" t="s">
        <v>118</v>
      </c>
      <c r="X616" s="14"/>
      <c r="Y616" s="14"/>
      <c r="Z616" s="14"/>
      <c r="AA616" s="14"/>
      <c r="AB616" s="14"/>
      <c r="AC616" s="15">
        <v>13.65</v>
      </c>
      <c r="AD616" s="15">
        <f>AC616*AG616</f>
        <v>150.15</v>
      </c>
      <c r="AE616" s="15">
        <v>30</v>
      </c>
      <c r="AF616" s="15">
        <f>AE616*AG616</f>
        <v>330</v>
      </c>
      <c r="AG616" s="16">
        <v>11</v>
      </c>
    </row>
    <row r="617" spans="1:33" ht="15" customHeight="1" x14ac:dyDescent="0.2">
      <c r="A617" s="11" t="str">
        <f t="shared" ref="A617:A731" si="266">HYPERLINK("https://assets.vans.eu/images/VN000Q0PEMP-HERO/1","VN000Q0PEMP1")</f>
        <v>VN000Q0PEMP1</v>
      </c>
      <c r="B617" s="12" t="s">
        <v>2736</v>
      </c>
      <c r="C617" s="12" t="s">
        <v>2737</v>
      </c>
      <c r="D617" s="12" t="s">
        <v>704</v>
      </c>
      <c r="E617" s="12" t="s">
        <v>2738</v>
      </c>
      <c r="F617" s="12" t="s">
        <v>138</v>
      </c>
      <c r="G617" s="14"/>
      <c r="H617" s="12" t="s">
        <v>61</v>
      </c>
      <c r="I617" s="12" t="s">
        <v>289</v>
      </c>
      <c r="J617" s="12" t="s">
        <v>706</v>
      </c>
      <c r="K617" s="12" t="s">
        <v>100</v>
      </c>
      <c r="L617" s="14"/>
      <c r="M617" s="12" t="s">
        <v>43</v>
      </c>
      <c r="N617" s="12" t="s">
        <v>84</v>
      </c>
      <c r="O617" s="12" t="s">
        <v>2739</v>
      </c>
      <c r="P617" s="12" t="s">
        <v>66</v>
      </c>
      <c r="Q617" s="12" t="s">
        <v>67</v>
      </c>
      <c r="R617" s="12" t="s">
        <v>1200</v>
      </c>
      <c r="S617" s="13">
        <v>197804582921</v>
      </c>
      <c r="T617" s="12" t="s">
        <v>49</v>
      </c>
      <c r="U617" s="12" t="s">
        <v>138</v>
      </c>
      <c r="V617" s="12" t="s">
        <v>665</v>
      </c>
      <c r="W617" s="12" t="s">
        <v>186</v>
      </c>
      <c r="X617" s="14"/>
      <c r="Y617" s="14"/>
      <c r="Z617" s="14"/>
      <c r="AA617" s="14"/>
      <c r="AB617" s="14"/>
      <c r="AC617" s="15">
        <v>20.5</v>
      </c>
      <c r="AD617" s="15">
        <f>AC617*AG617</f>
        <v>225.5</v>
      </c>
      <c r="AE617" s="15">
        <v>45</v>
      </c>
      <c r="AF617" s="15">
        <f>AE617*AG617</f>
        <v>495</v>
      </c>
      <c r="AG617" s="16">
        <v>11</v>
      </c>
    </row>
    <row r="618" spans="1:33" ht="15" customHeight="1" x14ac:dyDescent="0.2">
      <c r="A618" s="11" t="str">
        <f t="shared" ref="A618:A669" si="267">HYPERLINK("https://assets.vans.eu/images/VN000R03WHT-HERO/1","VN000R03WHT1")</f>
        <v>VN000R03WHT1</v>
      </c>
      <c r="B618" s="12" t="s">
        <v>2740</v>
      </c>
      <c r="C618" s="12" t="s">
        <v>2741</v>
      </c>
      <c r="D618" s="12" t="s">
        <v>168</v>
      </c>
      <c r="E618" s="12" t="s">
        <v>2742</v>
      </c>
      <c r="F618" s="12" t="s">
        <v>60</v>
      </c>
      <c r="G618" s="14"/>
      <c r="H618" s="12" t="s">
        <v>61</v>
      </c>
      <c r="I618" s="12" t="s">
        <v>62</v>
      </c>
      <c r="J618" s="12" t="s">
        <v>63</v>
      </c>
      <c r="K618" s="12" t="s">
        <v>64</v>
      </c>
      <c r="L618" s="14"/>
      <c r="M618" s="12" t="s">
        <v>43</v>
      </c>
      <c r="N618" s="12" t="s">
        <v>84</v>
      </c>
      <c r="O618" s="12" t="s">
        <v>2743</v>
      </c>
      <c r="P618" s="12" t="s">
        <v>66</v>
      </c>
      <c r="Q618" s="12" t="s">
        <v>67</v>
      </c>
      <c r="R618" s="12" t="s">
        <v>68</v>
      </c>
      <c r="S618" s="13">
        <v>197804585243</v>
      </c>
      <c r="T618" s="12" t="s">
        <v>915</v>
      </c>
      <c r="U618" s="12" t="s">
        <v>60</v>
      </c>
      <c r="V618" s="12" t="s">
        <v>1028</v>
      </c>
      <c r="W618" s="12" t="s">
        <v>175</v>
      </c>
      <c r="X618" s="14"/>
      <c r="Y618" s="14"/>
      <c r="Z618" s="14"/>
      <c r="AA618" s="14"/>
      <c r="AB618" s="14"/>
      <c r="AC618" s="15">
        <v>15.95</v>
      </c>
      <c r="AD618" s="15">
        <f>AC618*AG618</f>
        <v>175.45</v>
      </c>
      <c r="AE618" s="15">
        <v>35</v>
      </c>
      <c r="AF618" s="15">
        <f>AE618*AG618</f>
        <v>385</v>
      </c>
      <c r="AG618" s="16">
        <v>11</v>
      </c>
    </row>
    <row r="619" spans="1:33" ht="15" customHeight="1" x14ac:dyDescent="0.2">
      <c r="A619" s="11" t="str">
        <f t="shared" ref="A619:A819" si="268">HYPERLINK("https://assets.vans.eu/images/VN000R04BLK-HERO/1","VN000R04BLK1")</f>
        <v>VN000R04BLK1</v>
      </c>
      <c r="B619" s="12" t="s">
        <v>2744</v>
      </c>
      <c r="C619" s="12" t="s">
        <v>1740</v>
      </c>
      <c r="D619" s="12" t="s">
        <v>76</v>
      </c>
      <c r="E619" s="12" t="s">
        <v>2745</v>
      </c>
      <c r="F619" s="12" t="s">
        <v>60</v>
      </c>
      <c r="G619" s="14"/>
      <c r="H619" s="12" t="s">
        <v>61</v>
      </c>
      <c r="I619" s="12" t="s">
        <v>62</v>
      </c>
      <c r="J619" s="12" t="s">
        <v>63</v>
      </c>
      <c r="K619" s="12" t="s">
        <v>64</v>
      </c>
      <c r="L619" s="14"/>
      <c r="M619" s="12" t="s">
        <v>43</v>
      </c>
      <c r="N619" s="12" t="s">
        <v>84</v>
      </c>
      <c r="O619" s="12" t="s">
        <v>2746</v>
      </c>
      <c r="P619" s="12" t="s">
        <v>66</v>
      </c>
      <c r="Q619" s="12" t="s">
        <v>67</v>
      </c>
      <c r="R619" s="12" t="s">
        <v>68</v>
      </c>
      <c r="S619" s="13">
        <v>197804585212</v>
      </c>
      <c r="T619" s="12" t="s">
        <v>915</v>
      </c>
      <c r="U619" s="12" t="s">
        <v>60</v>
      </c>
      <c r="V619" s="12" t="s">
        <v>1028</v>
      </c>
      <c r="W619" s="12" t="s">
        <v>51</v>
      </c>
      <c r="X619" s="14"/>
      <c r="Y619" s="14"/>
      <c r="Z619" s="14"/>
      <c r="AA619" s="14"/>
      <c r="AB619" s="14"/>
      <c r="AC619" s="15">
        <v>13.65</v>
      </c>
      <c r="AD619" s="15">
        <f>AC619*AG619</f>
        <v>150.15</v>
      </c>
      <c r="AE619" s="15">
        <v>30</v>
      </c>
      <c r="AF619" s="15">
        <f>AE619*AG619</f>
        <v>330</v>
      </c>
      <c r="AG619" s="16">
        <v>11</v>
      </c>
    </row>
    <row r="620" spans="1:33" ht="15" customHeight="1" x14ac:dyDescent="0.2">
      <c r="A620" s="11" t="str">
        <f t="shared" ref="A620:A1040" si="269">HYPERLINK("https://assets.vans.eu/images/VN000R7AYB2-HERO/1","VN000R7AYB21")</f>
        <v>VN000R7AYB21</v>
      </c>
      <c r="B620" s="12" t="s">
        <v>2747</v>
      </c>
      <c r="C620" s="12" t="s">
        <v>2748</v>
      </c>
      <c r="D620" s="12" t="s">
        <v>1138</v>
      </c>
      <c r="E620" s="12" t="s">
        <v>2749</v>
      </c>
      <c r="F620" s="12" t="s">
        <v>60</v>
      </c>
      <c r="G620" s="14"/>
      <c r="H620" s="12" t="s">
        <v>61</v>
      </c>
      <c r="I620" s="12" t="s">
        <v>230</v>
      </c>
      <c r="J620" s="12" t="s">
        <v>419</v>
      </c>
      <c r="K620" s="12" t="s">
        <v>199</v>
      </c>
      <c r="L620" s="12" t="s">
        <v>83</v>
      </c>
      <c r="M620" s="12" t="s">
        <v>43</v>
      </c>
      <c r="N620" s="12" t="s">
        <v>84</v>
      </c>
      <c r="O620" s="12" t="s">
        <v>2750</v>
      </c>
      <c r="P620" s="12" t="s">
        <v>66</v>
      </c>
      <c r="Q620" s="12" t="s">
        <v>67</v>
      </c>
      <c r="R620" s="12" t="s">
        <v>421</v>
      </c>
      <c r="S620" s="13">
        <v>197804324453</v>
      </c>
      <c r="T620" s="12" t="s">
        <v>422</v>
      </c>
      <c r="U620" s="12" t="s">
        <v>60</v>
      </c>
      <c r="V620" s="12" t="s">
        <v>70</v>
      </c>
      <c r="W620" s="12" t="s">
        <v>175</v>
      </c>
      <c r="X620" s="14"/>
      <c r="Y620" s="14"/>
      <c r="Z620" s="14"/>
      <c r="AA620" s="14"/>
      <c r="AB620" s="14"/>
      <c r="AC620" s="15">
        <v>20.5</v>
      </c>
      <c r="AD620" s="15">
        <f>AC620*AG620</f>
        <v>225.5</v>
      </c>
      <c r="AE620" s="15">
        <v>45</v>
      </c>
      <c r="AF620" s="15">
        <f>AE620*AG620</f>
        <v>495</v>
      </c>
      <c r="AG620" s="16">
        <v>11</v>
      </c>
    </row>
    <row r="621" spans="1:33" ht="15" customHeight="1" x14ac:dyDescent="0.2">
      <c r="A621" s="11" t="str">
        <f t="shared" ref="A621:A3591" si="270">HYPERLINK("https://assets.vans.eu/images/VN000RD5EMP-HERO/1","VN000RD5EMP1")</f>
        <v>VN000RD5EMP1</v>
      </c>
      <c r="B621" s="12" t="s">
        <v>2751</v>
      </c>
      <c r="C621" s="12" t="s">
        <v>2752</v>
      </c>
      <c r="D621" s="12" t="s">
        <v>704</v>
      </c>
      <c r="E621" s="12" t="s">
        <v>2753</v>
      </c>
      <c r="F621" s="12" t="s">
        <v>403</v>
      </c>
      <c r="G621" s="14"/>
      <c r="H621" s="12" t="s">
        <v>61</v>
      </c>
      <c r="I621" s="12" t="s">
        <v>230</v>
      </c>
      <c r="J621" s="12" t="s">
        <v>419</v>
      </c>
      <c r="K621" s="12" t="s">
        <v>199</v>
      </c>
      <c r="L621" s="12" t="s">
        <v>83</v>
      </c>
      <c r="M621" s="12" t="s">
        <v>43</v>
      </c>
      <c r="N621" s="12" t="s">
        <v>84</v>
      </c>
      <c r="O621" s="12" t="s">
        <v>2754</v>
      </c>
      <c r="P621" s="12" t="s">
        <v>66</v>
      </c>
      <c r="Q621" s="12" t="s">
        <v>67</v>
      </c>
      <c r="R621" s="12" t="s">
        <v>623</v>
      </c>
      <c r="S621" s="13">
        <v>197804326396</v>
      </c>
      <c r="T621" s="12" t="s">
        <v>69</v>
      </c>
      <c r="U621" s="12" t="s">
        <v>403</v>
      </c>
      <c r="V621" s="12" t="s">
        <v>70</v>
      </c>
      <c r="W621" s="12" t="s">
        <v>186</v>
      </c>
      <c r="X621" s="14"/>
      <c r="Y621" s="14"/>
      <c r="Z621" s="14"/>
      <c r="AA621" s="14"/>
      <c r="AB621" s="14"/>
      <c r="AC621" s="15">
        <v>38.65</v>
      </c>
      <c r="AD621" s="15">
        <f>AC621*AG621</f>
        <v>425.15</v>
      </c>
      <c r="AE621" s="15">
        <v>85</v>
      </c>
      <c r="AF621" s="15">
        <f>AE621*AG621</f>
        <v>935</v>
      </c>
      <c r="AG621" s="16">
        <v>11</v>
      </c>
    </row>
    <row r="622" spans="1:33" ht="15" customHeight="1" x14ac:dyDescent="0.2">
      <c r="A622" s="11" t="str">
        <f t="shared" ref="A622:A3601" si="271">HYPERLINK("https://assets.vans.eu/images/VN000RG4BLK-HERO/1","VN000RG4BLK1")</f>
        <v>VN000RG4BLK1</v>
      </c>
      <c r="B622" s="12" t="s">
        <v>2755</v>
      </c>
      <c r="C622" s="12" t="s">
        <v>417</v>
      </c>
      <c r="D622" s="12" t="s">
        <v>76</v>
      </c>
      <c r="E622" s="12" t="s">
        <v>2756</v>
      </c>
      <c r="F622" s="12" t="s">
        <v>403</v>
      </c>
      <c r="G622" s="14"/>
      <c r="H622" s="12" t="s">
        <v>61</v>
      </c>
      <c r="I622" s="12" t="s">
        <v>230</v>
      </c>
      <c r="J622" s="12" t="s">
        <v>419</v>
      </c>
      <c r="K622" s="12" t="s">
        <v>199</v>
      </c>
      <c r="L622" s="12" t="s">
        <v>83</v>
      </c>
      <c r="M622" s="12" t="s">
        <v>43</v>
      </c>
      <c r="N622" s="12" t="s">
        <v>84</v>
      </c>
      <c r="O622" s="12" t="s">
        <v>2757</v>
      </c>
      <c r="P622" s="12" t="s">
        <v>66</v>
      </c>
      <c r="Q622" s="12" t="s">
        <v>67</v>
      </c>
      <c r="R622" s="12" t="s">
        <v>421</v>
      </c>
      <c r="S622" s="13">
        <v>197804328277</v>
      </c>
      <c r="T622" s="12" t="s">
        <v>422</v>
      </c>
      <c r="U622" s="12" t="s">
        <v>403</v>
      </c>
      <c r="V622" s="12" t="s">
        <v>423</v>
      </c>
      <c r="W622" s="12" t="s">
        <v>51</v>
      </c>
      <c r="X622" s="14"/>
      <c r="Y622" s="14"/>
      <c r="Z622" s="14"/>
      <c r="AA622" s="14"/>
      <c r="AB622" s="14"/>
      <c r="AC622" s="15">
        <v>20.5</v>
      </c>
      <c r="AD622" s="15">
        <f>AC622*AG622</f>
        <v>225.5</v>
      </c>
      <c r="AE622" s="15">
        <v>45</v>
      </c>
      <c r="AF622" s="15">
        <f>AE622*AG622</f>
        <v>495</v>
      </c>
      <c r="AG622" s="16">
        <v>11</v>
      </c>
    </row>
    <row r="623" spans="1:33" ht="15" customHeight="1" x14ac:dyDescent="0.2">
      <c r="A623" s="11" t="str">
        <f>HYPERLINK("https://assets.vans.eu/images/VN001098NVY-HERO/1","VN001098NVY1")</f>
        <v>VN001098NVY1</v>
      </c>
      <c r="B623" s="12" t="s">
        <v>2758</v>
      </c>
      <c r="C623" s="12" t="s">
        <v>2759</v>
      </c>
      <c r="D623" s="12" t="s">
        <v>2760</v>
      </c>
      <c r="E623" s="12" t="s">
        <v>2761</v>
      </c>
      <c r="F623" s="12" t="s">
        <v>179</v>
      </c>
      <c r="G623" s="14"/>
      <c r="H623" s="12" t="s">
        <v>61</v>
      </c>
      <c r="I623" s="12" t="s">
        <v>230</v>
      </c>
      <c r="J623" s="12" t="s">
        <v>419</v>
      </c>
      <c r="K623" s="12" t="s">
        <v>199</v>
      </c>
      <c r="L623" s="14"/>
      <c r="M623" s="12" t="s">
        <v>43</v>
      </c>
      <c r="N623" s="12" t="s">
        <v>84</v>
      </c>
      <c r="O623" s="12" t="s">
        <v>2762</v>
      </c>
      <c r="P623" s="12" t="s">
        <v>66</v>
      </c>
      <c r="Q623" s="12" t="s">
        <v>67</v>
      </c>
      <c r="R623" s="12" t="s">
        <v>421</v>
      </c>
      <c r="S623" s="13">
        <v>198268842385</v>
      </c>
      <c r="T623" s="12" t="s">
        <v>1065</v>
      </c>
      <c r="U623" s="12" t="s">
        <v>179</v>
      </c>
      <c r="V623" s="12" t="s">
        <v>70</v>
      </c>
      <c r="W623" s="12" t="s">
        <v>284</v>
      </c>
      <c r="X623" s="14"/>
      <c r="Y623" s="14"/>
      <c r="Z623" s="14"/>
      <c r="AA623" s="14"/>
      <c r="AB623" s="14"/>
      <c r="AC623" s="15">
        <v>18.2</v>
      </c>
      <c r="AD623" s="15">
        <f>AC623*AG623</f>
        <v>200.2</v>
      </c>
      <c r="AE623" s="15">
        <v>40</v>
      </c>
      <c r="AF623" s="15">
        <f>AE623*AG623</f>
        <v>440</v>
      </c>
      <c r="AG623" s="16">
        <v>11</v>
      </c>
    </row>
    <row r="624" spans="1:33" ht="15" customHeight="1" x14ac:dyDescent="0.2">
      <c r="A624" s="11" t="str">
        <f>HYPERLINK("https://assets.vans.eu/images/VN0A2ZXXLVB-HERO/1","VN0A2ZXXLVB1")</f>
        <v>VN0A2ZXXLVB1</v>
      </c>
      <c r="B624" s="12" t="s">
        <v>2763</v>
      </c>
      <c r="C624" s="12" t="s">
        <v>2764</v>
      </c>
      <c r="D624" s="12" t="s">
        <v>2643</v>
      </c>
      <c r="E624" s="12" t="s">
        <v>2765</v>
      </c>
      <c r="F624" s="12" t="s">
        <v>78</v>
      </c>
      <c r="G624" s="14"/>
      <c r="H624" s="12" t="s">
        <v>441</v>
      </c>
      <c r="I624" s="12" t="s">
        <v>442</v>
      </c>
      <c r="J624" s="12" t="s">
        <v>1291</v>
      </c>
      <c r="K624" s="12" t="s">
        <v>82</v>
      </c>
      <c r="L624" s="14"/>
      <c r="M624" s="12" t="s">
        <v>43</v>
      </c>
      <c r="N624" s="12" t="s">
        <v>84</v>
      </c>
      <c r="O624" s="12" t="s">
        <v>2766</v>
      </c>
      <c r="P624" s="12" t="s">
        <v>445</v>
      </c>
      <c r="Q624" s="12" t="s">
        <v>446</v>
      </c>
      <c r="R624" s="12" t="s">
        <v>1293</v>
      </c>
      <c r="S624" s="13">
        <v>197804680603</v>
      </c>
      <c r="T624" s="12" t="s">
        <v>130</v>
      </c>
      <c r="U624" s="12" t="s">
        <v>78</v>
      </c>
      <c r="V624" s="12" t="s">
        <v>2767</v>
      </c>
      <c r="W624" s="12" t="s">
        <v>51</v>
      </c>
      <c r="X624" s="14"/>
      <c r="Y624" s="14"/>
      <c r="Z624" s="14"/>
      <c r="AA624" s="14"/>
      <c r="AB624" s="14"/>
      <c r="AC624" s="15">
        <v>19.100000000000001</v>
      </c>
      <c r="AD624" s="15">
        <f>AC624*AG624</f>
        <v>210.10000000000002</v>
      </c>
      <c r="AE624" s="15">
        <v>42</v>
      </c>
      <c r="AF624" s="15">
        <f>AE624*AG624</f>
        <v>462</v>
      </c>
      <c r="AG624" s="16">
        <v>11</v>
      </c>
    </row>
    <row r="625" spans="1:33" ht="15" customHeight="1" x14ac:dyDescent="0.2">
      <c r="A625" s="11" t="str">
        <f t="shared" ref="A625:A1440" si="272">HYPERLINK("https://assets.vans.eu/images/VN000BCE2N1-HERO/1","VN000BCE2N11")</f>
        <v>VN000BCE2N11</v>
      </c>
      <c r="B625" s="12" t="s">
        <v>2768</v>
      </c>
      <c r="C625" s="12" t="s">
        <v>1103</v>
      </c>
      <c r="D625" s="12" t="s">
        <v>1082</v>
      </c>
      <c r="E625" s="12" t="s">
        <v>2769</v>
      </c>
      <c r="F625" s="13">
        <v>130</v>
      </c>
      <c r="G625" s="14"/>
      <c r="H625" s="12" t="s">
        <v>38</v>
      </c>
      <c r="I625" s="12" t="s">
        <v>159</v>
      </c>
      <c r="J625" s="12" t="s">
        <v>255</v>
      </c>
      <c r="K625" s="12" t="s">
        <v>82</v>
      </c>
      <c r="L625" s="14"/>
      <c r="M625" s="12" t="s">
        <v>43</v>
      </c>
      <c r="N625" s="12" t="s">
        <v>84</v>
      </c>
      <c r="O625" s="12" t="s">
        <v>2770</v>
      </c>
      <c r="P625" s="12" t="s">
        <v>46</v>
      </c>
      <c r="Q625" s="12" t="s">
        <v>47</v>
      </c>
      <c r="R625" s="12" t="s">
        <v>163</v>
      </c>
      <c r="S625" s="13">
        <v>197804505869</v>
      </c>
      <c r="T625" s="12" t="s">
        <v>49</v>
      </c>
      <c r="U625" s="13">
        <v>47</v>
      </c>
      <c r="V625" s="12" t="s">
        <v>50</v>
      </c>
      <c r="W625" s="12" t="s">
        <v>580</v>
      </c>
      <c r="X625" s="14"/>
      <c r="Y625" s="14"/>
      <c r="Z625" s="14"/>
      <c r="AA625" s="14"/>
      <c r="AB625" s="14"/>
      <c r="AC625" s="15">
        <v>59.1</v>
      </c>
      <c r="AD625" s="15">
        <f>AC625*AG625</f>
        <v>650.1</v>
      </c>
      <c r="AE625" s="15">
        <v>130</v>
      </c>
      <c r="AF625" s="15">
        <f>AE625*AG625</f>
        <v>1430</v>
      </c>
      <c r="AG625" s="16">
        <v>11</v>
      </c>
    </row>
    <row r="626" spans="1:33" ht="15" customHeight="1" x14ac:dyDescent="0.2">
      <c r="A626" s="11" t="str">
        <f t="shared" si="157"/>
        <v>VN000BCEBA21</v>
      </c>
      <c r="B626" s="12" t="s">
        <v>2771</v>
      </c>
      <c r="C626" s="12" t="s">
        <v>1103</v>
      </c>
      <c r="D626" s="12" t="s">
        <v>1844</v>
      </c>
      <c r="E626" s="12" t="s">
        <v>2772</v>
      </c>
      <c r="F626" s="13">
        <v>50</v>
      </c>
      <c r="G626" s="14"/>
      <c r="H626" s="12" t="s">
        <v>38</v>
      </c>
      <c r="I626" s="12" t="s">
        <v>159</v>
      </c>
      <c r="J626" s="12" t="s">
        <v>255</v>
      </c>
      <c r="K626" s="12" t="s">
        <v>82</v>
      </c>
      <c r="L626" s="14"/>
      <c r="M626" s="12" t="s">
        <v>43</v>
      </c>
      <c r="N626" s="12" t="s">
        <v>84</v>
      </c>
      <c r="O626" s="12" t="s">
        <v>2773</v>
      </c>
      <c r="P626" s="12" t="s">
        <v>46</v>
      </c>
      <c r="Q626" s="12" t="s">
        <v>47</v>
      </c>
      <c r="R626" s="12" t="s">
        <v>163</v>
      </c>
      <c r="S626" s="13">
        <v>196573431942</v>
      </c>
      <c r="T626" s="12" t="s">
        <v>49</v>
      </c>
      <c r="U626" s="13">
        <v>36.5</v>
      </c>
      <c r="V626" s="12" t="s">
        <v>50</v>
      </c>
      <c r="W626" s="12" t="s">
        <v>51</v>
      </c>
      <c r="X626" s="14"/>
      <c r="Y626" s="12" t="s">
        <v>91</v>
      </c>
      <c r="Z626" s="12" t="s">
        <v>165</v>
      </c>
      <c r="AA626" s="14"/>
      <c r="AB626" s="14"/>
      <c r="AC626" s="15">
        <v>59.1</v>
      </c>
      <c r="AD626" s="15">
        <f>AC626*AG626</f>
        <v>650.1</v>
      </c>
      <c r="AE626" s="15">
        <v>130</v>
      </c>
      <c r="AF626" s="15">
        <f>AE626*AG626</f>
        <v>1430</v>
      </c>
      <c r="AG626" s="16">
        <v>11</v>
      </c>
    </row>
    <row r="627" spans="1:33" ht="15" customHeight="1" x14ac:dyDescent="0.2">
      <c r="A627" s="11" t="str">
        <f t="shared" si="158"/>
        <v>VN000CQRYLZ1</v>
      </c>
      <c r="B627" s="12" t="s">
        <v>2774</v>
      </c>
      <c r="C627" s="12" t="s">
        <v>1458</v>
      </c>
      <c r="D627" s="12" t="s">
        <v>458</v>
      </c>
      <c r="E627" s="12" t="s">
        <v>2775</v>
      </c>
      <c r="F627" s="13">
        <v>130</v>
      </c>
      <c r="G627" s="12" t="s">
        <v>1852</v>
      </c>
      <c r="H627" s="12" t="s">
        <v>38</v>
      </c>
      <c r="I627" s="12" t="s">
        <v>113</v>
      </c>
      <c r="J627" s="12" t="s">
        <v>529</v>
      </c>
      <c r="K627" s="12" t="s">
        <v>82</v>
      </c>
      <c r="L627" s="14"/>
      <c r="M627" s="12" t="s">
        <v>43</v>
      </c>
      <c r="N627" s="12" t="s">
        <v>44</v>
      </c>
      <c r="O627" s="12" t="s">
        <v>2776</v>
      </c>
      <c r="P627" s="12" t="s">
        <v>46</v>
      </c>
      <c r="Q627" s="12" t="s">
        <v>47</v>
      </c>
      <c r="R627" s="12" t="s">
        <v>117</v>
      </c>
      <c r="S627" s="13">
        <v>197643240129</v>
      </c>
      <c r="T627" s="12" t="s">
        <v>49</v>
      </c>
      <c r="U627" s="13">
        <v>47</v>
      </c>
      <c r="V627" s="12" t="s">
        <v>50</v>
      </c>
      <c r="W627" s="12" t="s">
        <v>299</v>
      </c>
      <c r="X627" s="14"/>
      <c r="Y627" s="12" t="s">
        <v>53</v>
      </c>
      <c r="Z627" s="12" t="s">
        <v>1462</v>
      </c>
      <c r="AA627" s="14"/>
      <c r="AB627" s="14"/>
      <c r="AC627" s="15">
        <v>43.2</v>
      </c>
      <c r="AD627" s="15">
        <f>AC627*AG627</f>
        <v>475.20000000000005</v>
      </c>
      <c r="AE627" s="15">
        <v>95</v>
      </c>
      <c r="AF627" s="15">
        <f>AE627*AG627</f>
        <v>1045</v>
      </c>
      <c r="AG627" s="16">
        <v>11</v>
      </c>
    </row>
    <row r="628" spans="1:33" ht="15" customHeight="1" x14ac:dyDescent="0.2">
      <c r="A628" s="11" t="str">
        <f t="shared" ref="A628:A1216" si="273">HYPERLINK("https://assets.vans.eu/images/VN000CR5FS8-HERO/1","VN000CR5FS81")</f>
        <v>VN000CR5FS81</v>
      </c>
      <c r="B628" s="12" t="s">
        <v>2777</v>
      </c>
      <c r="C628" s="12" t="s">
        <v>34</v>
      </c>
      <c r="D628" s="12" t="s">
        <v>239</v>
      </c>
      <c r="E628" s="12" t="s">
        <v>2778</v>
      </c>
      <c r="F628" s="13">
        <v>40</v>
      </c>
      <c r="G628" s="12" t="s">
        <v>2779</v>
      </c>
      <c r="H628" s="12" t="s">
        <v>38</v>
      </c>
      <c r="I628" s="12" t="s">
        <v>159</v>
      </c>
      <c r="J628" s="12" t="s">
        <v>160</v>
      </c>
      <c r="K628" s="12" t="s">
        <v>82</v>
      </c>
      <c r="L628" s="14"/>
      <c r="M628" s="12" t="s">
        <v>43</v>
      </c>
      <c r="N628" s="12" t="s">
        <v>44</v>
      </c>
      <c r="O628" s="12" t="s">
        <v>2780</v>
      </c>
      <c r="P628" s="12" t="s">
        <v>46</v>
      </c>
      <c r="Q628" s="12" t="s">
        <v>47</v>
      </c>
      <c r="R628" s="12" t="s">
        <v>163</v>
      </c>
      <c r="S628" s="13">
        <v>197643237648</v>
      </c>
      <c r="T628" s="12" t="s">
        <v>105</v>
      </c>
      <c r="U628" s="13">
        <v>35</v>
      </c>
      <c r="V628" s="12" t="s">
        <v>50</v>
      </c>
      <c r="W628" s="12" t="s">
        <v>175</v>
      </c>
      <c r="X628" s="14"/>
      <c r="Y628" s="12" t="s">
        <v>53</v>
      </c>
      <c r="Z628" s="12" t="s">
        <v>165</v>
      </c>
      <c r="AA628" s="14"/>
      <c r="AB628" s="14"/>
      <c r="AC628" s="15">
        <v>43.2</v>
      </c>
      <c r="AD628" s="15">
        <f>AC628*AG628</f>
        <v>475.20000000000005</v>
      </c>
      <c r="AE628" s="15">
        <v>95</v>
      </c>
      <c r="AF628" s="15">
        <f>AE628*AG628</f>
        <v>1045</v>
      </c>
      <c r="AG628" s="16">
        <v>11</v>
      </c>
    </row>
    <row r="629" spans="1:33" ht="15" customHeight="1" x14ac:dyDescent="0.2">
      <c r="A629" s="11" t="str">
        <f t="shared" ref="A629:A1066" si="274">HYPERLINK("https://assets.vans.eu/images/VN000CWDCRM-HERO/1","VN000CWDCRM1")</f>
        <v>VN000CWDCRM1</v>
      </c>
      <c r="B629" s="12" t="s">
        <v>2781</v>
      </c>
      <c r="C629" s="12" t="s">
        <v>2782</v>
      </c>
      <c r="D629" s="12" t="s">
        <v>2783</v>
      </c>
      <c r="E629" s="12" t="s">
        <v>2784</v>
      </c>
      <c r="F629" s="13">
        <v>40</v>
      </c>
      <c r="G629" s="12" t="s">
        <v>2785</v>
      </c>
      <c r="H629" s="12" t="s">
        <v>38</v>
      </c>
      <c r="I629" s="12" t="s">
        <v>113</v>
      </c>
      <c r="J629" s="12" t="s">
        <v>529</v>
      </c>
      <c r="K629" s="12" t="s">
        <v>82</v>
      </c>
      <c r="L629" s="14"/>
      <c r="M629" s="12" t="s">
        <v>43</v>
      </c>
      <c r="N629" s="12" t="s">
        <v>161</v>
      </c>
      <c r="O629" s="12" t="s">
        <v>2786</v>
      </c>
      <c r="P629" s="12" t="s">
        <v>46</v>
      </c>
      <c r="Q629" s="12" t="s">
        <v>47</v>
      </c>
      <c r="R629" s="12" t="s">
        <v>117</v>
      </c>
      <c r="S629" s="13">
        <v>197065664091</v>
      </c>
      <c r="T629" s="12" t="s">
        <v>49</v>
      </c>
      <c r="U629" s="13">
        <v>35</v>
      </c>
      <c r="V629" s="12" t="s">
        <v>50</v>
      </c>
      <c r="W629" s="12" t="s">
        <v>580</v>
      </c>
      <c r="X629" s="14"/>
      <c r="Y629" s="12" t="s">
        <v>91</v>
      </c>
      <c r="Z629" s="12" t="s">
        <v>165</v>
      </c>
      <c r="AA629" s="14"/>
      <c r="AB629" s="14"/>
      <c r="AC629" s="15">
        <v>54.55</v>
      </c>
      <c r="AD629" s="15">
        <f>AC629*AG629</f>
        <v>600.04999999999995</v>
      </c>
      <c r="AE629" s="15">
        <v>120</v>
      </c>
      <c r="AF629" s="15">
        <f>AE629*AG629</f>
        <v>1320</v>
      </c>
      <c r="AG629" s="16">
        <v>11</v>
      </c>
    </row>
    <row r="630" spans="1:33" ht="15" customHeight="1" x14ac:dyDescent="0.2">
      <c r="A630" s="11" t="str">
        <f>HYPERLINK("https://assets.vans.eu/images/VN000CWELZZ-HERO/1","VN000CWELZZ1")</f>
        <v>VN000CWELZZ1</v>
      </c>
      <c r="B630" s="12" t="s">
        <v>2787</v>
      </c>
      <c r="C630" s="12" t="s">
        <v>1248</v>
      </c>
      <c r="D630" s="12" t="s">
        <v>2788</v>
      </c>
      <c r="E630" s="12" t="s">
        <v>2789</v>
      </c>
      <c r="F630" s="13">
        <v>80</v>
      </c>
      <c r="G630" s="14"/>
      <c r="H630" s="12" t="s">
        <v>38</v>
      </c>
      <c r="I630" s="12" t="s">
        <v>159</v>
      </c>
      <c r="J630" s="12" t="s">
        <v>255</v>
      </c>
      <c r="K630" s="12" t="s">
        <v>82</v>
      </c>
      <c r="L630" s="14"/>
      <c r="M630" s="12" t="s">
        <v>43</v>
      </c>
      <c r="N630" s="12" t="s">
        <v>44</v>
      </c>
      <c r="O630" s="12" t="s">
        <v>2790</v>
      </c>
      <c r="P630" s="12" t="s">
        <v>46</v>
      </c>
      <c r="Q630" s="12" t="s">
        <v>47</v>
      </c>
      <c r="R630" s="12" t="s">
        <v>163</v>
      </c>
      <c r="S630" s="13">
        <v>197643251293</v>
      </c>
      <c r="T630" s="12" t="s">
        <v>49</v>
      </c>
      <c r="U630" s="13">
        <v>40.5</v>
      </c>
      <c r="V630" s="12" t="s">
        <v>50</v>
      </c>
      <c r="W630" s="12" t="s">
        <v>284</v>
      </c>
      <c r="X630" s="14"/>
      <c r="Y630" s="12" t="s">
        <v>91</v>
      </c>
      <c r="Z630" s="12" t="s">
        <v>165</v>
      </c>
      <c r="AA630" s="14"/>
      <c r="AB630" s="14"/>
      <c r="AC630" s="15">
        <v>59.1</v>
      </c>
      <c r="AD630" s="15">
        <f>AC630*AG630</f>
        <v>650.1</v>
      </c>
      <c r="AE630" s="15">
        <v>130</v>
      </c>
      <c r="AF630" s="15">
        <f>AE630*AG630</f>
        <v>1430</v>
      </c>
      <c r="AG630" s="16">
        <v>11</v>
      </c>
    </row>
    <row r="631" spans="1:33" ht="15" customHeight="1" x14ac:dyDescent="0.2">
      <c r="A631" s="11" t="str">
        <f t="shared" si="210"/>
        <v>VN000D0HBMV1</v>
      </c>
      <c r="B631" s="12" t="s">
        <v>2791</v>
      </c>
      <c r="C631" s="12" t="s">
        <v>1108</v>
      </c>
      <c r="D631" s="12" t="s">
        <v>2276</v>
      </c>
      <c r="E631" s="12" t="s">
        <v>2792</v>
      </c>
      <c r="F631" s="13">
        <v>125</v>
      </c>
      <c r="G631" s="12" t="s">
        <v>528</v>
      </c>
      <c r="H631" s="12" t="s">
        <v>38</v>
      </c>
      <c r="I631" s="12" t="s">
        <v>39</v>
      </c>
      <c r="J631" s="12" t="s">
        <v>40</v>
      </c>
      <c r="K631" s="12" t="s">
        <v>41</v>
      </c>
      <c r="L631" s="14"/>
      <c r="M631" s="12" t="s">
        <v>43</v>
      </c>
      <c r="N631" s="12" t="s">
        <v>84</v>
      </c>
      <c r="O631" s="12" t="s">
        <v>2793</v>
      </c>
      <c r="P631" s="12" t="s">
        <v>46</v>
      </c>
      <c r="Q631" s="12" t="s">
        <v>47</v>
      </c>
      <c r="R631" s="12" t="s">
        <v>780</v>
      </c>
      <c r="S631" s="13">
        <v>197804436484</v>
      </c>
      <c r="T631" s="12" t="s">
        <v>105</v>
      </c>
      <c r="U631" s="13">
        <v>30</v>
      </c>
      <c r="V631" s="12" t="s">
        <v>50</v>
      </c>
      <c r="W631" s="12" t="s">
        <v>51</v>
      </c>
      <c r="X631" s="14"/>
      <c r="Y631" s="14"/>
      <c r="Z631" s="14"/>
      <c r="AA631" s="14"/>
      <c r="AB631" s="14"/>
      <c r="AC631" s="15">
        <v>34.1</v>
      </c>
      <c r="AD631" s="15">
        <f>AC631*AG631</f>
        <v>375.1</v>
      </c>
      <c r="AE631" s="15">
        <v>75</v>
      </c>
      <c r="AF631" s="15">
        <f>AE631*AG631</f>
        <v>825</v>
      </c>
      <c r="AG631" s="16">
        <v>11</v>
      </c>
    </row>
    <row r="632" spans="1:33" ht="15" customHeight="1" x14ac:dyDescent="0.2">
      <c r="A632" s="11" t="str">
        <f t="shared" ref="A632:A689" si="275">HYPERLINK("https://assets.vans.eu/images/VN000D2VEMY-HERO/1","VN000D2VEMY1")</f>
        <v>VN000D2VEMY1</v>
      </c>
      <c r="B632" s="12" t="s">
        <v>2794</v>
      </c>
      <c r="C632" s="12" t="s">
        <v>34</v>
      </c>
      <c r="D632" s="12" t="s">
        <v>1155</v>
      </c>
      <c r="E632" s="12" t="s">
        <v>2795</v>
      </c>
      <c r="F632" s="13">
        <v>45</v>
      </c>
      <c r="G632" s="14"/>
      <c r="H632" s="12" t="s">
        <v>38</v>
      </c>
      <c r="I632" s="12" t="s">
        <v>205</v>
      </c>
      <c r="J632" s="12" t="s">
        <v>206</v>
      </c>
      <c r="K632" s="12" t="s">
        <v>207</v>
      </c>
      <c r="L632" s="14"/>
      <c r="M632" s="12" t="s">
        <v>43</v>
      </c>
      <c r="N632" s="12" t="s">
        <v>84</v>
      </c>
      <c r="O632" s="12" t="s">
        <v>2796</v>
      </c>
      <c r="P632" s="12" t="s">
        <v>46</v>
      </c>
      <c r="Q632" s="12" t="s">
        <v>47</v>
      </c>
      <c r="R632" s="12" t="s">
        <v>48</v>
      </c>
      <c r="S632" s="13">
        <v>197804527311</v>
      </c>
      <c r="T632" s="12" t="s">
        <v>164</v>
      </c>
      <c r="U632" s="13">
        <v>36</v>
      </c>
      <c r="V632" s="12" t="s">
        <v>50</v>
      </c>
      <c r="W632" s="12" t="s">
        <v>107</v>
      </c>
      <c r="X632" s="14"/>
      <c r="Y632" s="14"/>
      <c r="Z632" s="14"/>
      <c r="AA632" s="14"/>
      <c r="AB632" s="14"/>
      <c r="AC632" s="15">
        <v>29.55</v>
      </c>
      <c r="AD632" s="15">
        <f>AC632*AG632</f>
        <v>325.05</v>
      </c>
      <c r="AE632" s="15">
        <v>65</v>
      </c>
      <c r="AF632" s="15">
        <f>AE632*AG632</f>
        <v>715</v>
      </c>
      <c r="AG632" s="16">
        <v>11</v>
      </c>
    </row>
    <row r="633" spans="1:33" ht="15" customHeight="1" x14ac:dyDescent="0.2">
      <c r="A633" s="11" t="str">
        <f t="shared" si="275"/>
        <v>VN000D2VEMY1</v>
      </c>
      <c r="B633" s="12" t="s">
        <v>2797</v>
      </c>
      <c r="C633" s="12" t="s">
        <v>34</v>
      </c>
      <c r="D633" s="12" t="s">
        <v>1155</v>
      </c>
      <c r="E633" s="12" t="s">
        <v>2798</v>
      </c>
      <c r="F633" s="13">
        <v>55</v>
      </c>
      <c r="G633" s="14"/>
      <c r="H633" s="12" t="s">
        <v>38</v>
      </c>
      <c r="I633" s="12" t="s">
        <v>205</v>
      </c>
      <c r="J633" s="12" t="s">
        <v>206</v>
      </c>
      <c r="K633" s="12" t="s">
        <v>207</v>
      </c>
      <c r="L633" s="14"/>
      <c r="M633" s="12" t="s">
        <v>43</v>
      </c>
      <c r="N633" s="12" t="s">
        <v>84</v>
      </c>
      <c r="O633" s="12" t="s">
        <v>2799</v>
      </c>
      <c r="P633" s="12" t="s">
        <v>46</v>
      </c>
      <c r="Q633" s="12" t="s">
        <v>47</v>
      </c>
      <c r="R633" s="12" t="s">
        <v>48</v>
      </c>
      <c r="S633" s="13">
        <v>197804527397</v>
      </c>
      <c r="T633" s="12" t="s">
        <v>164</v>
      </c>
      <c r="U633" s="13">
        <v>37</v>
      </c>
      <c r="V633" s="12" t="s">
        <v>50</v>
      </c>
      <c r="W633" s="12" t="s">
        <v>107</v>
      </c>
      <c r="X633" s="14"/>
      <c r="Y633" s="14"/>
      <c r="Z633" s="14"/>
      <c r="AA633" s="14"/>
      <c r="AB633" s="14"/>
      <c r="AC633" s="15">
        <v>29.55</v>
      </c>
      <c r="AD633" s="15">
        <f>AC633*AG633</f>
        <v>325.05</v>
      </c>
      <c r="AE633" s="15">
        <v>65</v>
      </c>
      <c r="AF633" s="15">
        <f>AE633*AG633</f>
        <v>715</v>
      </c>
      <c r="AG633" s="16">
        <v>11</v>
      </c>
    </row>
    <row r="634" spans="1:33" ht="15" customHeight="1" x14ac:dyDescent="0.2">
      <c r="A634" s="11" t="str">
        <f t="shared" ref="A634:A2614" si="276">HYPERLINK("https://assets.vans.eu/images/VN000D4MYB2-HERO/1","VN000D4MYB21")</f>
        <v>VN000D4MYB21</v>
      </c>
      <c r="B634" s="12" t="s">
        <v>2800</v>
      </c>
      <c r="C634" s="12" t="s">
        <v>1608</v>
      </c>
      <c r="D634" s="12" t="s">
        <v>1138</v>
      </c>
      <c r="E634" s="12" t="s">
        <v>2801</v>
      </c>
      <c r="F634" s="13">
        <v>60</v>
      </c>
      <c r="G634" s="14"/>
      <c r="H634" s="12" t="s">
        <v>38</v>
      </c>
      <c r="I634" s="12" t="s">
        <v>242</v>
      </c>
      <c r="J634" s="12" t="s">
        <v>1611</v>
      </c>
      <c r="K634" s="12" t="s">
        <v>244</v>
      </c>
      <c r="L634" s="14"/>
      <c r="M634" s="12" t="s">
        <v>43</v>
      </c>
      <c r="N634" s="12" t="s">
        <v>84</v>
      </c>
      <c r="O634" s="12" t="s">
        <v>2802</v>
      </c>
      <c r="P634" s="12" t="s">
        <v>46</v>
      </c>
      <c r="Q634" s="12" t="s">
        <v>47</v>
      </c>
      <c r="R634" s="12" t="s">
        <v>48</v>
      </c>
      <c r="S634" s="13">
        <v>197643358305</v>
      </c>
      <c r="T634" s="12" t="s">
        <v>49</v>
      </c>
      <c r="U634" s="13">
        <v>22</v>
      </c>
      <c r="V634" s="12" t="s">
        <v>1468</v>
      </c>
      <c r="W634" s="12" t="s">
        <v>175</v>
      </c>
      <c r="X634" s="14"/>
      <c r="Y634" s="12" t="s">
        <v>91</v>
      </c>
      <c r="Z634" s="12" t="s">
        <v>165</v>
      </c>
      <c r="AA634" s="14"/>
      <c r="AB634" s="14"/>
      <c r="AC634" s="15">
        <v>25</v>
      </c>
      <c r="AD634" s="15">
        <f>AC634*AG634</f>
        <v>275</v>
      </c>
      <c r="AE634" s="15">
        <v>55</v>
      </c>
      <c r="AF634" s="15">
        <f>AE634*AG634</f>
        <v>605</v>
      </c>
      <c r="AG634" s="16">
        <v>11</v>
      </c>
    </row>
    <row r="635" spans="1:33" ht="15" customHeight="1" x14ac:dyDescent="0.2">
      <c r="A635" s="11" t="str">
        <f t="shared" ref="A635:A848" si="277">HYPERLINK("https://assets.vans.eu/images/VN000D4SCFL-HERO/1","VN000D4SCFL1")</f>
        <v>VN000D4SCFL1</v>
      </c>
      <c r="B635" s="12" t="s">
        <v>2803</v>
      </c>
      <c r="C635" s="12" t="s">
        <v>1257</v>
      </c>
      <c r="D635" s="12" t="s">
        <v>1258</v>
      </c>
      <c r="E635" s="12" t="s">
        <v>2804</v>
      </c>
      <c r="F635" s="13">
        <v>40</v>
      </c>
      <c r="G635" s="14"/>
      <c r="H635" s="12" t="s">
        <v>38</v>
      </c>
      <c r="I635" s="12" t="s">
        <v>242</v>
      </c>
      <c r="J635" s="12" t="s">
        <v>243</v>
      </c>
      <c r="K635" s="12" t="s">
        <v>244</v>
      </c>
      <c r="L635" s="14"/>
      <c r="M635" s="12" t="s">
        <v>43</v>
      </c>
      <c r="N635" s="12" t="s">
        <v>84</v>
      </c>
      <c r="O635" s="12" t="s">
        <v>2805</v>
      </c>
      <c r="P635" s="12" t="s">
        <v>46</v>
      </c>
      <c r="Q635" s="12" t="s">
        <v>47</v>
      </c>
      <c r="R635" s="12" t="s">
        <v>48</v>
      </c>
      <c r="S635" s="13">
        <v>197804530700</v>
      </c>
      <c r="T635" s="12" t="s">
        <v>105</v>
      </c>
      <c r="U635" s="13">
        <v>19</v>
      </c>
      <c r="V635" s="12" t="s">
        <v>50</v>
      </c>
      <c r="W635" s="12" t="s">
        <v>284</v>
      </c>
      <c r="X635" s="14"/>
      <c r="Y635" s="14"/>
      <c r="Z635" s="14"/>
      <c r="AA635" s="14"/>
      <c r="AB635" s="14"/>
      <c r="AC635" s="15">
        <v>22.75</v>
      </c>
      <c r="AD635" s="15">
        <f>AC635*AG635</f>
        <v>250.25</v>
      </c>
      <c r="AE635" s="15">
        <v>50</v>
      </c>
      <c r="AF635" s="15">
        <f>AE635*AG635</f>
        <v>550</v>
      </c>
      <c r="AG635" s="16">
        <v>11</v>
      </c>
    </row>
    <row r="636" spans="1:33" ht="15" customHeight="1" x14ac:dyDescent="0.2">
      <c r="A636" s="11" t="str">
        <f t="shared" ref="A636:A1515" si="278">HYPERLINK("https://assets.vans.eu/images/VN000D6WEMG-HERO/1","VN000D6WEMG1")</f>
        <v>VN000D6WEMG1</v>
      </c>
      <c r="B636" s="12" t="s">
        <v>2806</v>
      </c>
      <c r="C636" s="12" t="s">
        <v>34</v>
      </c>
      <c r="D636" s="12" t="s">
        <v>2807</v>
      </c>
      <c r="E636" s="12" t="s">
        <v>2808</v>
      </c>
      <c r="F636" s="13">
        <v>65</v>
      </c>
      <c r="G636" s="12" t="s">
        <v>2809</v>
      </c>
      <c r="H636" s="12" t="s">
        <v>38</v>
      </c>
      <c r="I636" s="12" t="s">
        <v>113</v>
      </c>
      <c r="J636" s="12" t="s">
        <v>114</v>
      </c>
      <c r="K636" s="12" t="s">
        <v>82</v>
      </c>
      <c r="L636" s="14"/>
      <c r="M636" s="12" t="s">
        <v>43</v>
      </c>
      <c r="N636" s="12" t="s">
        <v>84</v>
      </c>
      <c r="O636" s="12" t="s">
        <v>2810</v>
      </c>
      <c r="P636" s="12" t="s">
        <v>46</v>
      </c>
      <c r="Q636" s="12" t="s">
        <v>47</v>
      </c>
      <c r="R636" s="12" t="s">
        <v>117</v>
      </c>
      <c r="S636" s="13">
        <v>197804540501</v>
      </c>
      <c r="T636" s="12" t="s">
        <v>164</v>
      </c>
      <c r="U636" s="13">
        <v>38.5</v>
      </c>
      <c r="V636" s="12" t="s">
        <v>50</v>
      </c>
      <c r="W636" s="12" t="s">
        <v>284</v>
      </c>
      <c r="X636" s="14"/>
      <c r="Y636" s="14"/>
      <c r="Z636" s="14"/>
      <c r="AA636" s="14"/>
      <c r="AB636" s="14"/>
      <c r="AC636" s="15">
        <v>38.65</v>
      </c>
      <c r="AD636" s="15">
        <f>AC636*AG636</f>
        <v>425.15</v>
      </c>
      <c r="AE636" s="15">
        <v>85</v>
      </c>
      <c r="AF636" s="15">
        <f>AE636*AG636</f>
        <v>935</v>
      </c>
      <c r="AG636" s="16">
        <v>11</v>
      </c>
    </row>
    <row r="637" spans="1:33" ht="15" customHeight="1" x14ac:dyDescent="0.2">
      <c r="A637" s="11" t="str">
        <f>HYPERLINK("https://assets.vans.eu/images/VN000D7UGWT-HERO/1","VN000D7UGWT1")</f>
        <v>VN000D7UGWT1</v>
      </c>
      <c r="B637" s="12" t="s">
        <v>2811</v>
      </c>
      <c r="C637" s="12" t="s">
        <v>950</v>
      </c>
      <c r="D637" s="12" t="s">
        <v>2812</v>
      </c>
      <c r="E637" s="12" t="s">
        <v>2813</v>
      </c>
      <c r="F637" s="13">
        <v>60</v>
      </c>
      <c r="G637" s="12" t="s">
        <v>2814</v>
      </c>
      <c r="H637" s="12" t="s">
        <v>38</v>
      </c>
      <c r="I637" s="12" t="s">
        <v>113</v>
      </c>
      <c r="J637" s="12" t="s">
        <v>114</v>
      </c>
      <c r="K637" s="12" t="s">
        <v>100</v>
      </c>
      <c r="L637" s="14"/>
      <c r="M637" s="12" t="s">
        <v>43</v>
      </c>
      <c r="N637" s="12" t="s">
        <v>84</v>
      </c>
      <c r="O637" s="12" t="s">
        <v>2815</v>
      </c>
      <c r="P637" s="12" t="s">
        <v>46</v>
      </c>
      <c r="Q637" s="12" t="s">
        <v>47</v>
      </c>
      <c r="R637" s="12" t="s">
        <v>117</v>
      </c>
      <c r="S637" s="13">
        <v>197804460021</v>
      </c>
      <c r="T637" s="12" t="s">
        <v>49</v>
      </c>
      <c r="U637" s="13">
        <v>36</v>
      </c>
      <c r="V637" s="12" t="s">
        <v>50</v>
      </c>
      <c r="W637" s="12" t="s">
        <v>186</v>
      </c>
      <c r="X637" s="14"/>
      <c r="Y637" s="14"/>
      <c r="Z637" s="14"/>
      <c r="AA637" s="14"/>
      <c r="AB637" s="14"/>
      <c r="AC637" s="15">
        <v>38.1</v>
      </c>
      <c r="AD637" s="15">
        <f>AC637*AG637</f>
        <v>419.1</v>
      </c>
      <c r="AE637" s="15">
        <v>80</v>
      </c>
      <c r="AF637" s="15">
        <f>AE637*AG637</f>
        <v>880</v>
      </c>
      <c r="AG637" s="16">
        <v>11</v>
      </c>
    </row>
    <row r="638" spans="1:33" ht="15" customHeight="1" x14ac:dyDescent="0.2">
      <c r="A638" s="11" t="str">
        <f t="shared" ref="A638:A694" si="279">HYPERLINK("https://assets.vans.eu/images/VN000DAQ1MG-HERO/1","VN000DAQ1MG1")</f>
        <v>VN000DAQ1MG1</v>
      </c>
      <c r="B638" s="12" t="s">
        <v>2816</v>
      </c>
      <c r="C638" s="12" t="s">
        <v>2817</v>
      </c>
      <c r="D638" s="12" t="s">
        <v>2818</v>
      </c>
      <c r="E638" s="12" t="s">
        <v>2819</v>
      </c>
      <c r="F638" s="13">
        <v>50</v>
      </c>
      <c r="G638" s="14"/>
      <c r="H638" s="12" t="s">
        <v>38</v>
      </c>
      <c r="I638" s="12" t="s">
        <v>113</v>
      </c>
      <c r="J638" s="12" t="s">
        <v>114</v>
      </c>
      <c r="K638" s="12" t="s">
        <v>82</v>
      </c>
      <c r="L638" s="14"/>
      <c r="M638" s="12" t="s">
        <v>43</v>
      </c>
      <c r="N638" s="12" t="s">
        <v>84</v>
      </c>
      <c r="O638" s="12" t="s">
        <v>2820</v>
      </c>
      <c r="P638" s="12" t="s">
        <v>46</v>
      </c>
      <c r="Q638" s="12" t="s">
        <v>47</v>
      </c>
      <c r="R638" s="12" t="s">
        <v>948</v>
      </c>
      <c r="S638" s="13">
        <v>197804555796</v>
      </c>
      <c r="T638" s="12" t="s">
        <v>49</v>
      </c>
      <c r="U638" s="13">
        <v>36.5</v>
      </c>
      <c r="V638" s="12" t="s">
        <v>50</v>
      </c>
      <c r="W638" s="12" t="s">
        <v>455</v>
      </c>
      <c r="X638" s="14"/>
      <c r="Y638" s="14"/>
      <c r="Z638" s="14"/>
      <c r="AA638" s="14"/>
      <c r="AB638" s="14"/>
      <c r="AC638" s="15">
        <v>65.95</v>
      </c>
      <c r="AD638" s="15">
        <f>AC638*AG638</f>
        <v>725.45</v>
      </c>
      <c r="AE638" s="15">
        <v>145</v>
      </c>
      <c r="AF638" s="15">
        <f>AE638*AG638</f>
        <v>1595</v>
      </c>
      <c r="AG638" s="16">
        <v>11</v>
      </c>
    </row>
    <row r="639" spans="1:33" ht="15" customHeight="1" x14ac:dyDescent="0.2">
      <c r="A639" s="11" t="str">
        <f t="shared" ref="A639:A4603" si="280">HYPERLINK("https://assets.vans.eu/images/VN000E86BA2-HERO/1","VN000E86BA21")</f>
        <v>VN000E86BA21</v>
      </c>
      <c r="B639" s="12" t="s">
        <v>2821</v>
      </c>
      <c r="C639" s="12" t="s">
        <v>2822</v>
      </c>
      <c r="D639" s="12" t="s">
        <v>1844</v>
      </c>
      <c r="E639" s="12" t="s">
        <v>2823</v>
      </c>
      <c r="F639" s="13">
        <v>130</v>
      </c>
      <c r="G639" s="12" t="s">
        <v>2437</v>
      </c>
      <c r="H639" s="12" t="s">
        <v>38</v>
      </c>
      <c r="I639" s="12" t="s">
        <v>113</v>
      </c>
      <c r="J639" s="12" t="s">
        <v>114</v>
      </c>
      <c r="K639" s="12" t="s">
        <v>82</v>
      </c>
      <c r="L639" s="12" t="s">
        <v>115</v>
      </c>
      <c r="M639" s="12" t="s">
        <v>43</v>
      </c>
      <c r="N639" s="12" t="s">
        <v>84</v>
      </c>
      <c r="O639" s="12" t="s">
        <v>2824</v>
      </c>
      <c r="P639" s="12" t="s">
        <v>46</v>
      </c>
      <c r="Q639" s="12" t="s">
        <v>47</v>
      </c>
      <c r="R639" s="12" t="s">
        <v>117</v>
      </c>
      <c r="S639" s="13">
        <v>197805861797</v>
      </c>
      <c r="T639" s="12" t="s">
        <v>49</v>
      </c>
      <c r="U639" s="13">
        <v>47</v>
      </c>
      <c r="V639" s="12" t="s">
        <v>209</v>
      </c>
      <c r="W639" s="12" t="s">
        <v>51</v>
      </c>
      <c r="X639" s="14"/>
      <c r="Y639" s="14"/>
      <c r="Z639" s="14"/>
      <c r="AA639" s="14"/>
      <c r="AB639" s="14"/>
      <c r="AC639" s="15">
        <v>40.950000000000003</v>
      </c>
      <c r="AD639" s="15">
        <f>AC639*AG639</f>
        <v>450.45000000000005</v>
      </c>
      <c r="AE639" s="15">
        <v>90</v>
      </c>
      <c r="AF639" s="15">
        <f>AE639*AG639</f>
        <v>990</v>
      </c>
      <c r="AG639" s="16">
        <v>11</v>
      </c>
    </row>
    <row r="640" spans="1:33" ht="15" customHeight="1" x14ac:dyDescent="0.2">
      <c r="A640" s="11" t="str">
        <f t="shared" si="167"/>
        <v>VN000E9YLBR1</v>
      </c>
      <c r="B640" s="12" t="s">
        <v>2825</v>
      </c>
      <c r="C640" s="12" t="s">
        <v>34</v>
      </c>
      <c r="D640" s="12" t="s">
        <v>1923</v>
      </c>
      <c r="E640" s="12" t="s">
        <v>2826</v>
      </c>
      <c r="F640" s="13">
        <v>60</v>
      </c>
      <c r="G640" s="14"/>
      <c r="H640" s="12" t="s">
        <v>38</v>
      </c>
      <c r="I640" s="12" t="s">
        <v>205</v>
      </c>
      <c r="J640" s="12" t="s">
        <v>206</v>
      </c>
      <c r="K640" s="12" t="s">
        <v>207</v>
      </c>
      <c r="L640" s="12" t="s">
        <v>260</v>
      </c>
      <c r="M640" s="12" t="s">
        <v>43</v>
      </c>
      <c r="N640" s="12" t="s">
        <v>84</v>
      </c>
      <c r="O640" s="12" t="s">
        <v>2827</v>
      </c>
      <c r="P640" s="12" t="s">
        <v>46</v>
      </c>
      <c r="Q640" s="12" t="s">
        <v>47</v>
      </c>
      <c r="R640" s="12" t="s">
        <v>48</v>
      </c>
      <c r="S640" s="13">
        <v>197804872800</v>
      </c>
      <c r="T640" s="12" t="s">
        <v>164</v>
      </c>
      <c r="U640" s="13">
        <v>38</v>
      </c>
      <c r="V640" s="12" t="s">
        <v>50</v>
      </c>
      <c r="W640" s="12" t="s">
        <v>186</v>
      </c>
      <c r="X640" s="14"/>
      <c r="Y640" s="14"/>
      <c r="Z640" s="14"/>
      <c r="AA640" s="14"/>
      <c r="AB640" s="14"/>
      <c r="AC640" s="15">
        <v>29.55</v>
      </c>
      <c r="AD640" s="15">
        <f>AC640*AG640</f>
        <v>325.05</v>
      </c>
      <c r="AE640" s="15">
        <v>65</v>
      </c>
      <c r="AF640" s="15">
        <f>AE640*AG640</f>
        <v>715</v>
      </c>
      <c r="AG640" s="16">
        <v>11</v>
      </c>
    </row>
    <row r="641" spans="1:33" ht="15" customHeight="1" x14ac:dyDescent="0.2">
      <c r="A641" s="11" t="str">
        <f t="shared" ref="A641:A974" si="281">HYPERLINK("https://assets.vans.eu/images/VN000EC4DJR-HERO/1","VN000EC4DJR1")</f>
        <v>VN000EC4DJR1</v>
      </c>
      <c r="B641" s="12" t="s">
        <v>2828</v>
      </c>
      <c r="C641" s="12" t="s">
        <v>251</v>
      </c>
      <c r="D641" s="12" t="s">
        <v>2829</v>
      </c>
      <c r="E641" s="12" t="s">
        <v>2830</v>
      </c>
      <c r="F641" s="13">
        <v>50</v>
      </c>
      <c r="G641" s="12" t="s">
        <v>2831</v>
      </c>
      <c r="H641" s="12" t="s">
        <v>38</v>
      </c>
      <c r="I641" s="12" t="s">
        <v>113</v>
      </c>
      <c r="J641" s="12" t="s">
        <v>529</v>
      </c>
      <c r="K641" s="12" t="s">
        <v>82</v>
      </c>
      <c r="L641" s="12" t="s">
        <v>115</v>
      </c>
      <c r="M641" s="12" t="s">
        <v>43</v>
      </c>
      <c r="N641" s="12" t="s">
        <v>84</v>
      </c>
      <c r="O641" s="12" t="s">
        <v>2832</v>
      </c>
      <c r="P641" s="12" t="s">
        <v>46</v>
      </c>
      <c r="Q641" s="12" t="s">
        <v>47</v>
      </c>
      <c r="R641" s="12" t="s">
        <v>117</v>
      </c>
      <c r="S641" s="13">
        <v>197805772444</v>
      </c>
      <c r="T641" s="12" t="s">
        <v>105</v>
      </c>
      <c r="U641" s="13">
        <v>36.5</v>
      </c>
      <c r="V641" s="12" t="s">
        <v>209</v>
      </c>
      <c r="W641" s="12" t="s">
        <v>175</v>
      </c>
      <c r="X641" s="14"/>
      <c r="Y641" s="14"/>
      <c r="Z641" s="14"/>
      <c r="AA641" s="14"/>
      <c r="AB641" s="14"/>
      <c r="AC641" s="15">
        <v>47.75</v>
      </c>
      <c r="AD641" s="15">
        <f>AC641*AG641</f>
        <v>525.25</v>
      </c>
      <c r="AE641" s="15">
        <v>105</v>
      </c>
      <c r="AF641" s="15">
        <f>AE641*AG641</f>
        <v>1155</v>
      </c>
      <c r="AG641" s="16">
        <v>11</v>
      </c>
    </row>
    <row r="642" spans="1:33" ht="15" customHeight="1" x14ac:dyDescent="0.2">
      <c r="A642" s="11" t="str">
        <f t="shared" ref="A642:A4670" si="282">HYPERLINK("https://assets.vans.eu/images/VN000EK9BO5-HERO/1","VN000EK9BO51")</f>
        <v>VN000EK9BO51</v>
      </c>
      <c r="B642" s="12" t="s">
        <v>2833</v>
      </c>
      <c r="C642" s="12" t="s">
        <v>2834</v>
      </c>
      <c r="D642" s="12" t="s">
        <v>2835</v>
      </c>
      <c r="E642" s="12" t="s">
        <v>2836</v>
      </c>
      <c r="F642" s="13">
        <v>130</v>
      </c>
      <c r="G642" s="14"/>
      <c r="H642" s="12" t="s">
        <v>38</v>
      </c>
      <c r="I642" s="12" t="s">
        <v>113</v>
      </c>
      <c r="J642" s="12" t="s">
        <v>529</v>
      </c>
      <c r="K642" s="12" t="s">
        <v>82</v>
      </c>
      <c r="L642" s="12" t="s">
        <v>115</v>
      </c>
      <c r="M642" s="12" t="s">
        <v>43</v>
      </c>
      <c r="N642" s="12" t="s">
        <v>84</v>
      </c>
      <c r="O642" s="12" t="s">
        <v>2837</v>
      </c>
      <c r="P642" s="12" t="s">
        <v>46</v>
      </c>
      <c r="Q642" s="12" t="s">
        <v>47</v>
      </c>
      <c r="R642" s="12" t="s">
        <v>117</v>
      </c>
      <c r="S642" s="13">
        <v>197805788308</v>
      </c>
      <c r="T642" s="12" t="s">
        <v>105</v>
      </c>
      <c r="U642" s="13">
        <v>47</v>
      </c>
      <c r="V642" s="12" t="s">
        <v>50</v>
      </c>
      <c r="W642" s="12" t="s">
        <v>598</v>
      </c>
      <c r="X642" s="14"/>
      <c r="Y642" s="14"/>
      <c r="Z642" s="14"/>
      <c r="AA642" s="14"/>
      <c r="AB642" s="14"/>
      <c r="AC642" s="15">
        <v>50</v>
      </c>
      <c r="AD642" s="15">
        <f>AC642*AG642</f>
        <v>550</v>
      </c>
      <c r="AE642" s="15">
        <v>110</v>
      </c>
      <c r="AF642" s="15">
        <f>AE642*AG642</f>
        <v>1210</v>
      </c>
      <c r="AG642" s="16">
        <v>11</v>
      </c>
    </row>
    <row r="643" spans="1:33" ht="15" customHeight="1" x14ac:dyDescent="0.2">
      <c r="A643" s="11" t="str">
        <f t="shared" si="198"/>
        <v>VN0A5FCB1N61</v>
      </c>
      <c r="B643" s="12" t="s">
        <v>2838</v>
      </c>
      <c r="C643" s="12" t="s">
        <v>996</v>
      </c>
      <c r="D643" s="12" t="s">
        <v>2181</v>
      </c>
      <c r="E643" s="12" t="s">
        <v>2839</v>
      </c>
      <c r="F643" s="13">
        <v>90</v>
      </c>
      <c r="G643" s="14"/>
      <c r="H643" s="12" t="s">
        <v>38</v>
      </c>
      <c r="I643" s="12" t="s">
        <v>159</v>
      </c>
      <c r="J643" s="12" t="s">
        <v>341</v>
      </c>
      <c r="K643" s="12" t="s">
        <v>199</v>
      </c>
      <c r="L643" s="14"/>
      <c r="M643" s="12" t="s">
        <v>43</v>
      </c>
      <c r="N643" s="12" t="s">
        <v>84</v>
      </c>
      <c r="O643" s="12" t="s">
        <v>2840</v>
      </c>
      <c r="P643" s="12" t="s">
        <v>46</v>
      </c>
      <c r="Q643" s="12" t="s">
        <v>47</v>
      </c>
      <c r="R643" s="12" t="s">
        <v>163</v>
      </c>
      <c r="S643" s="13">
        <v>197063314912</v>
      </c>
      <c r="T643" s="12" t="s">
        <v>49</v>
      </c>
      <c r="U643" s="13">
        <v>42</v>
      </c>
      <c r="V643" s="12" t="s">
        <v>50</v>
      </c>
      <c r="W643" s="12" t="s">
        <v>455</v>
      </c>
      <c r="X643" s="14"/>
      <c r="Y643" s="12" t="s">
        <v>91</v>
      </c>
      <c r="Z643" s="12" t="s">
        <v>344</v>
      </c>
      <c r="AA643" s="14"/>
      <c r="AB643" s="14"/>
      <c r="AC643" s="15">
        <v>38.65</v>
      </c>
      <c r="AD643" s="15">
        <f>AC643*AG643</f>
        <v>425.15</v>
      </c>
      <c r="AE643" s="15">
        <v>85</v>
      </c>
      <c r="AF643" s="15">
        <f>AE643*AG643</f>
        <v>935</v>
      </c>
      <c r="AG643" s="16">
        <v>11</v>
      </c>
    </row>
    <row r="644" spans="1:33" ht="15" customHeight="1" x14ac:dyDescent="0.2">
      <c r="A644" s="11" t="str">
        <f>HYPERLINK("https://assets.vans.eu/images/VN000HSUF0U-HERO/1","VN000HSUF0U1")</f>
        <v>VN000HSUF0U1</v>
      </c>
      <c r="B644" s="12" t="s">
        <v>2841</v>
      </c>
      <c r="C644" s="12" t="s">
        <v>2842</v>
      </c>
      <c r="D644" s="12" t="s">
        <v>2843</v>
      </c>
      <c r="E644" s="12" t="s">
        <v>2844</v>
      </c>
      <c r="F644" s="12" t="s">
        <v>78</v>
      </c>
      <c r="G644" s="14"/>
      <c r="H644" s="12" t="s">
        <v>79</v>
      </c>
      <c r="I644" s="12" t="s">
        <v>80</v>
      </c>
      <c r="J644" s="12" t="s">
        <v>349</v>
      </c>
      <c r="K644" s="12" t="s">
        <v>82</v>
      </c>
      <c r="L644" s="14"/>
      <c r="M644" s="12" t="s">
        <v>43</v>
      </c>
      <c r="N644" s="12" t="s">
        <v>84</v>
      </c>
      <c r="O644" s="12" t="s">
        <v>2845</v>
      </c>
      <c r="P644" s="12" t="s">
        <v>86</v>
      </c>
      <c r="Q644" s="12" t="s">
        <v>128</v>
      </c>
      <c r="R644" s="12" t="s">
        <v>352</v>
      </c>
      <c r="S644" s="13">
        <v>197804385324</v>
      </c>
      <c r="T644" s="12" t="s">
        <v>130</v>
      </c>
      <c r="U644" s="12" t="s">
        <v>78</v>
      </c>
      <c r="V644" s="12" t="s">
        <v>454</v>
      </c>
      <c r="W644" s="12" t="s">
        <v>51</v>
      </c>
      <c r="X644" s="14"/>
      <c r="Y644" s="14"/>
      <c r="Z644" s="14"/>
      <c r="AA644" s="14"/>
      <c r="AB644" s="14"/>
      <c r="AC644" s="15">
        <v>12.75</v>
      </c>
      <c r="AD644" s="15">
        <f>AC644*AG644</f>
        <v>127.5</v>
      </c>
      <c r="AE644" s="15">
        <v>28</v>
      </c>
      <c r="AF644" s="15">
        <f>AE644*AG644</f>
        <v>280</v>
      </c>
      <c r="AG644" s="16">
        <v>10</v>
      </c>
    </row>
    <row r="645" spans="1:33" ht="15" customHeight="1" x14ac:dyDescent="0.2">
      <c r="A645" s="11" t="str">
        <f>HYPERLINK("https://assets.vans.eu/images/VN000JRK97I-HERO/1","VN000JRK97I1")</f>
        <v>VN000JRK97I1</v>
      </c>
      <c r="B645" s="12" t="s">
        <v>2846</v>
      </c>
      <c r="C645" s="12" t="s">
        <v>2847</v>
      </c>
      <c r="D645" s="12" t="s">
        <v>1990</v>
      </c>
      <c r="E645" s="12" t="s">
        <v>2848</v>
      </c>
      <c r="F645" s="12" t="s">
        <v>78</v>
      </c>
      <c r="G645" s="14"/>
      <c r="H645" s="12" t="s">
        <v>79</v>
      </c>
      <c r="I645" s="12" t="s">
        <v>125</v>
      </c>
      <c r="J645" s="12" t="s">
        <v>2849</v>
      </c>
      <c r="K645" s="12" t="s">
        <v>41</v>
      </c>
      <c r="L645" s="14"/>
      <c r="M645" s="12" t="s">
        <v>43</v>
      </c>
      <c r="N645" s="12" t="s">
        <v>161</v>
      </c>
      <c r="O645" s="12" t="s">
        <v>2850</v>
      </c>
      <c r="P645" s="12" t="s">
        <v>86</v>
      </c>
      <c r="Q645" s="12" t="s">
        <v>103</v>
      </c>
      <c r="R645" s="12" t="s">
        <v>2851</v>
      </c>
      <c r="S645" s="13">
        <v>197065467548</v>
      </c>
      <c r="T645" s="12" t="s">
        <v>49</v>
      </c>
      <c r="U645" s="12" t="s">
        <v>78</v>
      </c>
      <c r="V645" s="12" t="s">
        <v>2852</v>
      </c>
      <c r="W645" s="12" t="s">
        <v>51</v>
      </c>
      <c r="X645" s="13">
        <v>0</v>
      </c>
      <c r="Y645" s="12" t="s">
        <v>71</v>
      </c>
      <c r="Z645" s="12" t="s">
        <v>108</v>
      </c>
      <c r="AA645" s="13">
        <v>0</v>
      </c>
      <c r="AB645" s="13">
        <v>0</v>
      </c>
      <c r="AC645" s="15">
        <v>10</v>
      </c>
      <c r="AD645" s="15">
        <f>AC645*AG645</f>
        <v>100</v>
      </c>
      <c r="AE645" s="15">
        <v>22</v>
      </c>
      <c r="AF645" s="15">
        <f>AE645*AG645</f>
        <v>220</v>
      </c>
      <c r="AG645" s="16">
        <v>10</v>
      </c>
    </row>
    <row r="646" spans="1:33" ht="15" customHeight="1" x14ac:dyDescent="0.2">
      <c r="A646" s="11" t="str">
        <f>HYPERLINK("https://assets.vans.eu/images/VN000KYHBLK-HERO/1","VN000KYHBLK1")</f>
        <v>VN000KYHBLK1</v>
      </c>
      <c r="B646" s="12" t="s">
        <v>2853</v>
      </c>
      <c r="C646" s="12" t="s">
        <v>2854</v>
      </c>
      <c r="D646" s="12" t="s">
        <v>76</v>
      </c>
      <c r="E646" s="12" t="s">
        <v>2855</v>
      </c>
      <c r="F646" s="12" t="s">
        <v>78</v>
      </c>
      <c r="G646" s="14"/>
      <c r="H646" s="12" t="s">
        <v>79</v>
      </c>
      <c r="I646" s="12" t="s">
        <v>80</v>
      </c>
      <c r="J646" s="12" t="s">
        <v>99</v>
      </c>
      <c r="K646" s="12" t="s">
        <v>82</v>
      </c>
      <c r="L646" s="14"/>
      <c r="M646" s="12" t="s">
        <v>43</v>
      </c>
      <c r="N646" s="12" t="s">
        <v>44</v>
      </c>
      <c r="O646" s="12" t="s">
        <v>2856</v>
      </c>
      <c r="P646" s="12" t="s">
        <v>86</v>
      </c>
      <c r="Q646" s="12" t="s">
        <v>103</v>
      </c>
      <c r="R646" s="12" t="s">
        <v>104</v>
      </c>
      <c r="S646" s="13">
        <v>197643542100</v>
      </c>
      <c r="T646" s="12" t="s">
        <v>49</v>
      </c>
      <c r="U646" s="12" t="s">
        <v>78</v>
      </c>
      <c r="V646" s="12" t="s">
        <v>2857</v>
      </c>
      <c r="W646" s="12" t="s">
        <v>51</v>
      </c>
      <c r="X646" s="12" t="s">
        <v>500</v>
      </c>
      <c r="Y646" s="12" t="s">
        <v>91</v>
      </c>
      <c r="Z646" s="12" t="s">
        <v>108</v>
      </c>
      <c r="AA646" s="13">
        <v>0</v>
      </c>
      <c r="AB646" s="13">
        <v>0</v>
      </c>
      <c r="AC646" s="15">
        <v>16.399999999999999</v>
      </c>
      <c r="AD646" s="15">
        <f>AC646*AG646</f>
        <v>164</v>
      </c>
      <c r="AE646" s="15">
        <v>36</v>
      </c>
      <c r="AF646" s="15">
        <f>AE646*AG646</f>
        <v>360</v>
      </c>
      <c r="AG646" s="16">
        <v>10</v>
      </c>
    </row>
    <row r="647" spans="1:33" ht="15" customHeight="1" x14ac:dyDescent="0.2">
      <c r="A647" s="11" t="str">
        <f>HYPERLINK("https://assets.vans.eu/images/VN000PNVBLK-HERO/1","VN000PNVBLK1")</f>
        <v>VN000PNVBLK1</v>
      </c>
      <c r="B647" s="12" t="s">
        <v>2858</v>
      </c>
      <c r="C647" s="12" t="s">
        <v>2859</v>
      </c>
      <c r="D647" s="12" t="s">
        <v>76</v>
      </c>
      <c r="E647" s="12" t="s">
        <v>2860</v>
      </c>
      <c r="F647" s="12" t="s">
        <v>78</v>
      </c>
      <c r="G647" s="14"/>
      <c r="H647" s="12" t="s">
        <v>79</v>
      </c>
      <c r="I647" s="12" t="s">
        <v>80</v>
      </c>
      <c r="J647" s="12" t="s">
        <v>349</v>
      </c>
      <c r="K647" s="12" t="s">
        <v>82</v>
      </c>
      <c r="L647" s="14"/>
      <c r="M647" s="12" t="s">
        <v>43</v>
      </c>
      <c r="N647" s="12" t="s">
        <v>84</v>
      </c>
      <c r="O647" s="12" t="s">
        <v>2861</v>
      </c>
      <c r="P647" s="12" t="s">
        <v>86</v>
      </c>
      <c r="Q647" s="12" t="s">
        <v>128</v>
      </c>
      <c r="R647" s="12" t="s">
        <v>352</v>
      </c>
      <c r="S647" s="13">
        <v>197804610310</v>
      </c>
      <c r="T647" s="12" t="s">
        <v>130</v>
      </c>
      <c r="U647" s="12" t="s">
        <v>78</v>
      </c>
      <c r="V647" s="12" t="s">
        <v>131</v>
      </c>
      <c r="W647" s="12" t="s">
        <v>51</v>
      </c>
      <c r="X647" s="14"/>
      <c r="Y647" s="14"/>
      <c r="Z647" s="14"/>
      <c r="AA647" s="14"/>
      <c r="AB647" s="14"/>
      <c r="AC647" s="15">
        <v>15.95</v>
      </c>
      <c r="AD647" s="15">
        <f>AC647*AG647</f>
        <v>159.5</v>
      </c>
      <c r="AE647" s="15">
        <v>35</v>
      </c>
      <c r="AF647" s="15">
        <f>AE647*AG647</f>
        <v>350</v>
      </c>
      <c r="AG647" s="16">
        <v>10</v>
      </c>
    </row>
    <row r="648" spans="1:33" ht="15" customHeight="1" x14ac:dyDescent="0.2">
      <c r="A648" s="11" t="str">
        <f t="shared" ref="A648:A1306" si="283">HYPERLINK("https://assets.vans.eu/images/VN00000D1LE-HERO/1","VN00000D1LE1")</f>
        <v>VN00000D1LE1</v>
      </c>
      <c r="B648" s="12" t="s">
        <v>2862</v>
      </c>
      <c r="C648" s="12" t="s">
        <v>2863</v>
      </c>
      <c r="D648" s="12" t="s">
        <v>2864</v>
      </c>
      <c r="E648" s="12" t="s">
        <v>2865</v>
      </c>
      <c r="F648" s="12" t="s">
        <v>403</v>
      </c>
      <c r="G648" s="14"/>
      <c r="H648" s="12" t="s">
        <v>61</v>
      </c>
      <c r="I648" s="12" t="s">
        <v>230</v>
      </c>
      <c r="J648" s="12" t="s">
        <v>231</v>
      </c>
      <c r="K648" s="12" t="s">
        <v>199</v>
      </c>
      <c r="L648" s="14"/>
      <c r="M648" s="12" t="s">
        <v>43</v>
      </c>
      <c r="N648" s="12" t="s">
        <v>84</v>
      </c>
      <c r="O648" s="12" t="s">
        <v>2866</v>
      </c>
      <c r="P648" s="12" t="s">
        <v>66</v>
      </c>
      <c r="Q648" s="12" t="s">
        <v>233</v>
      </c>
      <c r="R648" s="12" t="s">
        <v>361</v>
      </c>
      <c r="S648" s="13">
        <v>196244918826</v>
      </c>
      <c r="T648" s="12" t="s">
        <v>235</v>
      </c>
      <c r="U648" s="12" t="s">
        <v>403</v>
      </c>
      <c r="V648" s="12" t="s">
        <v>423</v>
      </c>
      <c r="W648" s="12" t="s">
        <v>51</v>
      </c>
      <c r="X648" s="13">
        <v>0</v>
      </c>
      <c r="Y648" s="12" t="s">
        <v>91</v>
      </c>
      <c r="Z648" s="12" t="s">
        <v>108</v>
      </c>
      <c r="AA648" s="13">
        <v>0</v>
      </c>
      <c r="AB648" s="13">
        <v>0</v>
      </c>
      <c r="AC648" s="15">
        <v>31.85</v>
      </c>
      <c r="AD648" s="15">
        <f>AC648*AG648</f>
        <v>318.5</v>
      </c>
      <c r="AE648" s="15">
        <v>70</v>
      </c>
      <c r="AF648" s="15">
        <f>AE648*AG648</f>
        <v>700</v>
      </c>
      <c r="AG648" s="16">
        <v>10</v>
      </c>
    </row>
    <row r="649" spans="1:33" ht="15" customHeight="1" x14ac:dyDescent="0.2">
      <c r="A649" s="11" t="str">
        <f t="shared" si="256"/>
        <v>VN000G75BL21</v>
      </c>
      <c r="B649" s="12" t="s">
        <v>2867</v>
      </c>
      <c r="C649" s="12" t="s">
        <v>1188</v>
      </c>
      <c r="D649" s="12" t="s">
        <v>686</v>
      </c>
      <c r="E649" s="12" t="s">
        <v>2868</v>
      </c>
      <c r="F649" s="12" t="s">
        <v>403</v>
      </c>
      <c r="G649" s="14"/>
      <c r="H649" s="12" t="s">
        <v>61</v>
      </c>
      <c r="I649" s="12" t="s">
        <v>230</v>
      </c>
      <c r="J649" s="12" t="s">
        <v>557</v>
      </c>
      <c r="K649" s="12" t="s">
        <v>199</v>
      </c>
      <c r="L649" s="14"/>
      <c r="M649" s="12" t="s">
        <v>43</v>
      </c>
      <c r="N649" s="12" t="s">
        <v>44</v>
      </c>
      <c r="O649" s="12" t="s">
        <v>2869</v>
      </c>
      <c r="P649" s="12" t="s">
        <v>66</v>
      </c>
      <c r="Q649" s="12" t="s">
        <v>559</v>
      </c>
      <c r="R649" s="12" t="s">
        <v>560</v>
      </c>
      <c r="S649" s="13">
        <v>197643554172</v>
      </c>
      <c r="T649" s="12" t="s">
        <v>49</v>
      </c>
      <c r="U649" s="12" t="s">
        <v>403</v>
      </c>
      <c r="V649" s="12" t="s">
        <v>1191</v>
      </c>
      <c r="W649" s="12" t="s">
        <v>186</v>
      </c>
      <c r="X649" s="12" t="s">
        <v>500</v>
      </c>
      <c r="Y649" s="12" t="s">
        <v>91</v>
      </c>
      <c r="Z649" s="12" t="s">
        <v>108</v>
      </c>
      <c r="AA649" s="13">
        <v>0</v>
      </c>
      <c r="AB649" s="13">
        <v>0</v>
      </c>
      <c r="AC649" s="15">
        <v>25</v>
      </c>
      <c r="AD649" s="15">
        <f>AC649*AG649</f>
        <v>250</v>
      </c>
      <c r="AE649" s="15">
        <v>55</v>
      </c>
      <c r="AF649" s="15">
        <f>AE649*AG649</f>
        <v>550</v>
      </c>
      <c r="AG649" s="16">
        <v>10</v>
      </c>
    </row>
    <row r="650" spans="1:33" ht="15" customHeight="1" x14ac:dyDescent="0.2">
      <c r="A650" s="11" t="str">
        <f t="shared" ref="A650:A787" si="284">HYPERLINK("https://assets.vans.eu/images/VN000H2AEN6-HERO/1","VN000H2AEN61")</f>
        <v>VN000H2AEN61</v>
      </c>
      <c r="B650" s="12" t="s">
        <v>2870</v>
      </c>
      <c r="C650" s="12" t="s">
        <v>2871</v>
      </c>
      <c r="D650" s="12" t="s">
        <v>189</v>
      </c>
      <c r="E650" s="12" t="s">
        <v>2872</v>
      </c>
      <c r="F650" s="12" t="s">
        <v>403</v>
      </c>
      <c r="G650" s="14"/>
      <c r="H650" s="12" t="s">
        <v>61</v>
      </c>
      <c r="I650" s="12" t="s">
        <v>289</v>
      </c>
      <c r="J650" s="12" t="s">
        <v>706</v>
      </c>
      <c r="K650" s="12" t="s">
        <v>100</v>
      </c>
      <c r="L650" s="12" t="s">
        <v>115</v>
      </c>
      <c r="M650" s="12" t="s">
        <v>43</v>
      </c>
      <c r="N650" s="12" t="s">
        <v>84</v>
      </c>
      <c r="O650" s="12" t="s">
        <v>2873</v>
      </c>
      <c r="P650" s="12" t="s">
        <v>66</v>
      </c>
      <c r="Q650" s="12" t="s">
        <v>67</v>
      </c>
      <c r="R650" s="12" t="s">
        <v>708</v>
      </c>
      <c r="S650" s="13">
        <v>198266982533</v>
      </c>
      <c r="T650" s="12" t="s">
        <v>69</v>
      </c>
      <c r="U650" s="12" t="s">
        <v>403</v>
      </c>
      <c r="V650" s="12" t="s">
        <v>1378</v>
      </c>
      <c r="W650" s="12" t="s">
        <v>118</v>
      </c>
      <c r="X650" s="14"/>
      <c r="Y650" s="14"/>
      <c r="Z650" s="14"/>
      <c r="AA650" s="14"/>
      <c r="AB650" s="14"/>
      <c r="AC650" s="15">
        <v>34.1</v>
      </c>
      <c r="AD650" s="15">
        <f>AC650*AG650</f>
        <v>341</v>
      </c>
      <c r="AE650" s="15">
        <v>75</v>
      </c>
      <c r="AF650" s="15">
        <f>AE650*AG650</f>
        <v>750</v>
      </c>
      <c r="AG650" s="16">
        <v>10</v>
      </c>
    </row>
    <row r="651" spans="1:33" ht="15" customHeight="1" x14ac:dyDescent="0.2">
      <c r="A651" s="11" t="str">
        <f>HYPERLINK("https://assets.vans.eu/images/VN000HNAC9J-HERO/1","VN000HNAC9J1")</f>
        <v>VN000HNAC9J1</v>
      </c>
      <c r="B651" s="12" t="s">
        <v>2874</v>
      </c>
      <c r="C651" s="12" t="s">
        <v>2875</v>
      </c>
      <c r="D651" s="12" t="s">
        <v>2876</v>
      </c>
      <c r="E651" s="12" t="s">
        <v>2877</v>
      </c>
      <c r="F651" s="12" t="s">
        <v>170</v>
      </c>
      <c r="G651" s="14"/>
      <c r="H651" s="12" t="s">
        <v>61</v>
      </c>
      <c r="I651" s="12" t="s">
        <v>230</v>
      </c>
      <c r="J651" s="12" t="s">
        <v>762</v>
      </c>
      <c r="K651" s="12" t="s">
        <v>199</v>
      </c>
      <c r="L651" s="14"/>
      <c r="M651" s="12" t="s">
        <v>43</v>
      </c>
      <c r="N651" s="12" t="s">
        <v>161</v>
      </c>
      <c r="O651" s="12" t="s">
        <v>2878</v>
      </c>
      <c r="P651" s="12" t="s">
        <v>66</v>
      </c>
      <c r="Q651" s="12" t="s">
        <v>764</v>
      </c>
      <c r="R651" s="12" t="s">
        <v>765</v>
      </c>
      <c r="S651" s="13">
        <v>197065459581</v>
      </c>
      <c r="T651" s="12" t="s">
        <v>49</v>
      </c>
      <c r="U651" s="12" t="s">
        <v>170</v>
      </c>
      <c r="V651" s="13">
        <v>0</v>
      </c>
      <c r="W651" s="13">
        <v>0</v>
      </c>
      <c r="X651" s="14"/>
      <c r="Y651" s="14"/>
      <c r="Z651" s="14"/>
      <c r="AA651" s="14"/>
      <c r="AB651" s="14"/>
      <c r="AC651" s="15">
        <v>0</v>
      </c>
      <c r="AD651" s="15">
        <f>AC651*AG651</f>
        <v>0</v>
      </c>
      <c r="AE651" s="15">
        <v>0</v>
      </c>
      <c r="AF651" s="15">
        <f>AE651*AG651</f>
        <v>0</v>
      </c>
      <c r="AG651" s="16">
        <v>10</v>
      </c>
    </row>
    <row r="652" spans="1:33" ht="15" customHeight="1" x14ac:dyDescent="0.2">
      <c r="A652" s="11" t="str">
        <f t="shared" si="257"/>
        <v>VN000HZCBLK1</v>
      </c>
      <c r="B652" s="12" t="s">
        <v>2879</v>
      </c>
      <c r="C652" s="12" t="s">
        <v>1567</v>
      </c>
      <c r="D652" s="12" t="s">
        <v>76</v>
      </c>
      <c r="E652" s="12" t="s">
        <v>2880</v>
      </c>
      <c r="F652" s="13">
        <v>32</v>
      </c>
      <c r="G652" s="14"/>
      <c r="H652" s="12" t="s">
        <v>61</v>
      </c>
      <c r="I652" s="12" t="s">
        <v>230</v>
      </c>
      <c r="J652" s="12" t="s">
        <v>231</v>
      </c>
      <c r="K652" s="12" t="s">
        <v>199</v>
      </c>
      <c r="L652" s="14"/>
      <c r="M652" s="12" t="s">
        <v>43</v>
      </c>
      <c r="N652" s="12" t="s">
        <v>84</v>
      </c>
      <c r="O652" s="12" t="s">
        <v>2881</v>
      </c>
      <c r="P652" s="12" t="s">
        <v>66</v>
      </c>
      <c r="Q652" s="12" t="s">
        <v>233</v>
      </c>
      <c r="R652" s="12" t="s">
        <v>361</v>
      </c>
      <c r="S652" s="13">
        <v>197065840020</v>
      </c>
      <c r="T652" s="12" t="s">
        <v>235</v>
      </c>
      <c r="U652" s="13">
        <v>32</v>
      </c>
      <c r="V652" s="12" t="s">
        <v>1570</v>
      </c>
      <c r="W652" s="12" t="s">
        <v>51</v>
      </c>
      <c r="X652" s="13">
        <v>0</v>
      </c>
      <c r="Y652" s="12" t="s">
        <v>91</v>
      </c>
      <c r="Z652" s="12" t="s">
        <v>108</v>
      </c>
      <c r="AA652" s="13">
        <v>0</v>
      </c>
      <c r="AB652" s="13">
        <v>0</v>
      </c>
      <c r="AC652" s="15">
        <v>34.1</v>
      </c>
      <c r="AD652" s="15">
        <f>AC652*AG652</f>
        <v>341</v>
      </c>
      <c r="AE652" s="15">
        <v>75</v>
      </c>
      <c r="AF652" s="15">
        <f>AE652*AG652</f>
        <v>750</v>
      </c>
      <c r="AG652" s="16">
        <v>10</v>
      </c>
    </row>
    <row r="653" spans="1:33" ht="15" customHeight="1" x14ac:dyDescent="0.2">
      <c r="A653" s="11" t="str">
        <f>HYPERLINK("https://assets.vans.eu/images/VN000J79BLK-HERO/1","VN000J79BLK1")</f>
        <v>VN000J79BLK1</v>
      </c>
      <c r="B653" s="12" t="s">
        <v>2882</v>
      </c>
      <c r="C653" s="12" t="s">
        <v>1788</v>
      </c>
      <c r="D653" s="12" t="s">
        <v>76</v>
      </c>
      <c r="E653" s="12" t="s">
        <v>2883</v>
      </c>
      <c r="F653" s="12" t="s">
        <v>403</v>
      </c>
      <c r="G653" s="14"/>
      <c r="H653" s="12" t="s">
        <v>61</v>
      </c>
      <c r="I653" s="12" t="s">
        <v>62</v>
      </c>
      <c r="J653" s="12" t="s">
        <v>63</v>
      </c>
      <c r="K653" s="12" t="s">
        <v>1022</v>
      </c>
      <c r="L653" s="14"/>
      <c r="M653" s="12" t="s">
        <v>43</v>
      </c>
      <c r="N653" s="12" t="s">
        <v>44</v>
      </c>
      <c r="O653" s="12" t="s">
        <v>2884</v>
      </c>
      <c r="P653" s="12" t="s">
        <v>66</v>
      </c>
      <c r="Q653" s="12" t="s">
        <v>67</v>
      </c>
      <c r="R653" s="12" t="s">
        <v>1791</v>
      </c>
      <c r="S653" s="13">
        <v>197643565680</v>
      </c>
      <c r="T653" s="12" t="s">
        <v>49</v>
      </c>
      <c r="U653" s="12" t="s">
        <v>403</v>
      </c>
      <c r="V653" s="12" t="s">
        <v>665</v>
      </c>
      <c r="W653" s="12" t="s">
        <v>51</v>
      </c>
      <c r="X653" s="13">
        <v>0</v>
      </c>
      <c r="Y653" s="12" t="s">
        <v>91</v>
      </c>
      <c r="Z653" s="12" t="s">
        <v>108</v>
      </c>
      <c r="AA653" s="13">
        <v>0</v>
      </c>
      <c r="AB653" s="13">
        <v>0</v>
      </c>
      <c r="AC653" s="15">
        <v>10</v>
      </c>
      <c r="AD653" s="15">
        <f>AC653*AG653</f>
        <v>100</v>
      </c>
      <c r="AE653" s="15">
        <v>22</v>
      </c>
      <c r="AF653" s="15">
        <f>AE653*AG653</f>
        <v>220</v>
      </c>
      <c r="AG653" s="16">
        <v>10</v>
      </c>
    </row>
    <row r="654" spans="1:33" ht="15" customHeight="1" x14ac:dyDescent="0.2">
      <c r="A654" s="11" t="str">
        <f t="shared" si="171"/>
        <v>VN000KUR7WM1</v>
      </c>
      <c r="B654" s="12" t="s">
        <v>2885</v>
      </c>
      <c r="C654" s="12" t="s">
        <v>1949</v>
      </c>
      <c r="D654" s="12" t="s">
        <v>388</v>
      </c>
      <c r="E654" s="12" t="s">
        <v>2886</v>
      </c>
      <c r="F654" s="12" t="s">
        <v>403</v>
      </c>
      <c r="G654" s="14"/>
      <c r="H654" s="12" t="s">
        <v>61</v>
      </c>
      <c r="I654" s="12" t="s">
        <v>230</v>
      </c>
      <c r="J654" s="12" t="s">
        <v>419</v>
      </c>
      <c r="K654" s="12" t="s">
        <v>199</v>
      </c>
      <c r="L654" s="14"/>
      <c r="M654" s="12" t="s">
        <v>43</v>
      </c>
      <c r="N654" s="12" t="s">
        <v>44</v>
      </c>
      <c r="O654" s="12" t="s">
        <v>2887</v>
      </c>
      <c r="P654" s="12" t="s">
        <v>66</v>
      </c>
      <c r="Q654" s="12" t="s">
        <v>67</v>
      </c>
      <c r="R654" s="12" t="s">
        <v>1490</v>
      </c>
      <c r="S654" s="13">
        <v>197643402671</v>
      </c>
      <c r="T654" s="12" t="s">
        <v>105</v>
      </c>
      <c r="U654" s="12" t="s">
        <v>403</v>
      </c>
      <c r="V654" s="12" t="s">
        <v>423</v>
      </c>
      <c r="W654" s="12" t="s">
        <v>284</v>
      </c>
      <c r="X654" s="13">
        <v>0</v>
      </c>
      <c r="Y654" s="12" t="s">
        <v>53</v>
      </c>
      <c r="Z654" s="12" t="s">
        <v>108</v>
      </c>
      <c r="AA654" s="13">
        <v>0</v>
      </c>
      <c r="AB654" s="13">
        <v>0</v>
      </c>
      <c r="AC654" s="15">
        <v>45.5</v>
      </c>
      <c r="AD654" s="15">
        <f>AC654*AG654</f>
        <v>455</v>
      </c>
      <c r="AE654" s="15">
        <v>100</v>
      </c>
      <c r="AF654" s="15">
        <f>AE654*AG654</f>
        <v>1000</v>
      </c>
      <c r="AG654" s="16">
        <v>10</v>
      </c>
    </row>
    <row r="655" spans="1:33" ht="15" customHeight="1" x14ac:dyDescent="0.2">
      <c r="A655" s="11" t="str">
        <f t="shared" ref="A655:A1005" si="285">HYPERLINK("https://assets.vans.eu/images/VN000M77Y7U-HERO/1","VN000M77Y7U1")</f>
        <v>VN000M77Y7U1</v>
      </c>
      <c r="B655" s="12" t="s">
        <v>2888</v>
      </c>
      <c r="C655" s="12" t="s">
        <v>1796</v>
      </c>
      <c r="D655" s="12" t="s">
        <v>740</v>
      </c>
      <c r="E655" s="12" t="s">
        <v>2889</v>
      </c>
      <c r="F655" s="12" t="s">
        <v>170</v>
      </c>
      <c r="G655" s="14"/>
      <c r="H655" s="12" t="s">
        <v>61</v>
      </c>
      <c r="I655" s="12" t="s">
        <v>289</v>
      </c>
      <c r="J655" s="12" t="s">
        <v>706</v>
      </c>
      <c r="K655" s="12" t="s">
        <v>100</v>
      </c>
      <c r="L655" s="14"/>
      <c r="M655" s="12" t="s">
        <v>43</v>
      </c>
      <c r="N655" s="12" t="s">
        <v>44</v>
      </c>
      <c r="O655" s="12" t="s">
        <v>2890</v>
      </c>
      <c r="P655" s="12" t="s">
        <v>66</v>
      </c>
      <c r="Q655" s="12" t="s">
        <v>67</v>
      </c>
      <c r="R655" s="12" t="s">
        <v>1200</v>
      </c>
      <c r="S655" s="13">
        <v>197643360629</v>
      </c>
      <c r="T655" s="12" t="s">
        <v>49</v>
      </c>
      <c r="U655" s="12" t="s">
        <v>170</v>
      </c>
      <c r="V655" s="12" t="s">
        <v>70</v>
      </c>
      <c r="W655" s="12" t="s">
        <v>455</v>
      </c>
      <c r="X655" s="13">
        <v>0</v>
      </c>
      <c r="Y655" s="12" t="s">
        <v>91</v>
      </c>
      <c r="Z655" s="12" t="s">
        <v>108</v>
      </c>
      <c r="AA655" s="13">
        <v>0</v>
      </c>
      <c r="AB655" s="13">
        <v>0</v>
      </c>
      <c r="AC655" s="15">
        <v>14.55</v>
      </c>
      <c r="AD655" s="15">
        <f>AC655*AG655</f>
        <v>145.5</v>
      </c>
      <c r="AE655" s="15">
        <v>32</v>
      </c>
      <c r="AF655" s="15">
        <f>AE655*AG655</f>
        <v>320</v>
      </c>
      <c r="AG655" s="16">
        <v>10</v>
      </c>
    </row>
    <row r="656" spans="1:33" ht="15" customHeight="1" x14ac:dyDescent="0.2">
      <c r="A656" s="11" t="str">
        <f t="shared" ref="A656:A657" si="286">HYPERLINK("https://assets.vans.eu/images/VN000M8EBL2-HERO/1","VN000M8EBL21")</f>
        <v>VN000M8EBL21</v>
      </c>
      <c r="B656" s="12" t="s">
        <v>2891</v>
      </c>
      <c r="C656" s="12" t="s">
        <v>685</v>
      </c>
      <c r="D656" s="12" t="s">
        <v>686</v>
      </c>
      <c r="E656" s="12" t="s">
        <v>2892</v>
      </c>
      <c r="F656" s="13">
        <v>29</v>
      </c>
      <c r="G656" s="14"/>
      <c r="H656" s="12" t="s">
        <v>61</v>
      </c>
      <c r="I656" s="12" t="s">
        <v>230</v>
      </c>
      <c r="J656" s="12" t="s">
        <v>557</v>
      </c>
      <c r="K656" s="12" t="s">
        <v>199</v>
      </c>
      <c r="L656" s="14"/>
      <c r="M656" s="12" t="s">
        <v>43</v>
      </c>
      <c r="N656" s="12" t="s">
        <v>44</v>
      </c>
      <c r="O656" s="12" t="s">
        <v>2893</v>
      </c>
      <c r="P656" s="12" t="s">
        <v>66</v>
      </c>
      <c r="Q656" s="12" t="s">
        <v>559</v>
      </c>
      <c r="R656" s="12" t="s">
        <v>560</v>
      </c>
      <c r="S656" s="13">
        <v>197643538271</v>
      </c>
      <c r="T656" s="12" t="s">
        <v>49</v>
      </c>
      <c r="U656" s="13">
        <v>29</v>
      </c>
      <c r="V656" s="12" t="s">
        <v>689</v>
      </c>
      <c r="W656" s="12" t="s">
        <v>186</v>
      </c>
      <c r="X656" s="13">
        <v>0</v>
      </c>
      <c r="Y656" s="12" t="s">
        <v>53</v>
      </c>
      <c r="Z656" s="12" t="s">
        <v>108</v>
      </c>
      <c r="AA656" s="13">
        <v>0</v>
      </c>
      <c r="AB656" s="13">
        <v>0</v>
      </c>
      <c r="AC656" s="15">
        <v>29.55</v>
      </c>
      <c r="AD656" s="15">
        <f>AC656*AG656</f>
        <v>295.5</v>
      </c>
      <c r="AE656" s="15">
        <v>65</v>
      </c>
      <c r="AF656" s="15">
        <f>AE656*AG656</f>
        <v>650</v>
      </c>
      <c r="AG656" s="16">
        <v>10</v>
      </c>
    </row>
    <row r="657" spans="1:33" ht="15" customHeight="1" x14ac:dyDescent="0.2">
      <c r="A657" s="11" t="str">
        <f t="shared" si="286"/>
        <v>VN000M8EBL21</v>
      </c>
      <c r="B657" s="12" t="s">
        <v>2894</v>
      </c>
      <c r="C657" s="12" t="s">
        <v>685</v>
      </c>
      <c r="D657" s="12" t="s">
        <v>686</v>
      </c>
      <c r="E657" s="12" t="s">
        <v>2895</v>
      </c>
      <c r="F657" s="13">
        <v>34</v>
      </c>
      <c r="G657" s="14"/>
      <c r="H657" s="12" t="s">
        <v>61</v>
      </c>
      <c r="I657" s="12" t="s">
        <v>230</v>
      </c>
      <c r="J657" s="12" t="s">
        <v>557</v>
      </c>
      <c r="K657" s="12" t="s">
        <v>199</v>
      </c>
      <c r="L657" s="14"/>
      <c r="M657" s="12" t="s">
        <v>43</v>
      </c>
      <c r="N657" s="12" t="s">
        <v>44</v>
      </c>
      <c r="O657" s="12" t="s">
        <v>2896</v>
      </c>
      <c r="P657" s="12" t="s">
        <v>66</v>
      </c>
      <c r="Q657" s="12" t="s">
        <v>559</v>
      </c>
      <c r="R657" s="12" t="s">
        <v>560</v>
      </c>
      <c r="S657" s="13">
        <v>197643538776</v>
      </c>
      <c r="T657" s="12" t="s">
        <v>49</v>
      </c>
      <c r="U657" s="13">
        <v>34</v>
      </c>
      <c r="V657" s="12" t="s">
        <v>689</v>
      </c>
      <c r="W657" s="12" t="s">
        <v>186</v>
      </c>
      <c r="X657" s="13">
        <v>0</v>
      </c>
      <c r="Y657" s="12" t="s">
        <v>53</v>
      </c>
      <c r="Z657" s="12" t="s">
        <v>108</v>
      </c>
      <c r="AA657" s="13">
        <v>0</v>
      </c>
      <c r="AB657" s="13">
        <v>0</v>
      </c>
      <c r="AC657" s="15">
        <v>29.55</v>
      </c>
      <c r="AD657" s="15">
        <f>AC657*AG657</f>
        <v>295.5</v>
      </c>
      <c r="AE657" s="15">
        <v>65</v>
      </c>
      <c r="AF657" s="15">
        <f>AE657*AG657</f>
        <v>650</v>
      </c>
      <c r="AG657" s="16">
        <v>10</v>
      </c>
    </row>
    <row r="658" spans="1:33" ht="15" customHeight="1" x14ac:dyDescent="0.2">
      <c r="A658" s="11" t="str">
        <f t="shared" ref="A658:A1348" si="287">HYPERLINK("https://assets.vans.eu/images/VN000MC0ZUJ-HERO/1","VN000MC0ZUJ1")</f>
        <v>VN000MC0ZUJ1</v>
      </c>
      <c r="B658" s="12" t="s">
        <v>2897</v>
      </c>
      <c r="C658" s="12" t="s">
        <v>2898</v>
      </c>
      <c r="D658" s="12" t="s">
        <v>2899</v>
      </c>
      <c r="E658" s="12" t="s">
        <v>2900</v>
      </c>
      <c r="F658" s="12" t="s">
        <v>403</v>
      </c>
      <c r="G658" s="14"/>
      <c r="H658" s="12" t="s">
        <v>61</v>
      </c>
      <c r="I658" s="12" t="s">
        <v>289</v>
      </c>
      <c r="J658" s="12" t="s">
        <v>706</v>
      </c>
      <c r="K658" s="12" t="s">
        <v>100</v>
      </c>
      <c r="L658" s="14"/>
      <c r="M658" s="12" t="s">
        <v>43</v>
      </c>
      <c r="N658" s="12" t="s">
        <v>44</v>
      </c>
      <c r="O658" s="12" t="s">
        <v>2901</v>
      </c>
      <c r="P658" s="12" t="s">
        <v>66</v>
      </c>
      <c r="Q658" s="12" t="s">
        <v>67</v>
      </c>
      <c r="R658" s="12" t="s">
        <v>1146</v>
      </c>
      <c r="S658" s="13">
        <v>197643369325</v>
      </c>
      <c r="T658" s="12" t="s">
        <v>49</v>
      </c>
      <c r="U658" s="12" t="s">
        <v>403</v>
      </c>
      <c r="V658" s="12" t="s">
        <v>2556</v>
      </c>
      <c r="W658" s="12" t="s">
        <v>598</v>
      </c>
      <c r="X658" s="13">
        <v>0</v>
      </c>
      <c r="Y658" s="12" t="s">
        <v>91</v>
      </c>
      <c r="Z658" s="12" t="s">
        <v>108</v>
      </c>
      <c r="AA658" s="13">
        <v>0</v>
      </c>
      <c r="AB658" s="13">
        <v>0</v>
      </c>
      <c r="AC658" s="15">
        <v>15.5</v>
      </c>
      <c r="AD658" s="15">
        <f>AC658*AG658</f>
        <v>155</v>
      </c>
      <c r="AE658" s="15">
        <v>34</v>
      </c>
      <c r="AF658" s="15">
        <f>AE658*AG658</f>
        <v>340</v>
      </c>
      <c r="AG658" s="16">
        <v>10</v>
      </c>
    </row>
    <row r="659" spans="1:33" ht="15" customHeight="1" x14ac:dyDescent="0.2">
      <c r="A659" s="11" t="str">
        <f t="shared" ref="A659:A795" si="288">HYPERLINK("https://assets.vans.eu/images/VN000MJJCDX-HERO/1","VN000MJJCDX1")</f>
        <v>VN000MJJCDX1</v>
      </c>
      <c r="B659" s="12" t="s">
        <v>2902</v>
      </c>
      <c r="C659" s="12" t="s">
        <v>970</v>
      </c>
      <c r="D659" s="12" t="s">
        <v>760</v>
      </c>
      <c r="E659" s="12" t="s">
        <v>2903</v>
      </c>
      <c r="F659" s="13">
        <v>26</v>
      </c>
      <c r="G659" s="14"/>
      <c r="H659" s="12" t="s">
        <v>61</v>
      </c>
      <c r="I659" s="12" t="s">
        <v>62</v>
      </c>
      <c r="J659" s="12" t="s">
        <v>972</v>
      </c>
      <c r="K659" s="12" t="s">
        <v>64</v>
      </c>
      <c r="L659" s="14"/>
      <c r="M659" s="12" t="s">
        <v>43</v>
      </c>
      <c r="N659" s="12" t="s">
        <v>44</v>
      </c>
      <c r="O659" s="12" t="s">
        <v>2904</v>
      </c>
      <c r="P659" s="12" t="s">
        <v>66</v>
      </c>
      <c r="Q659" s="12" t="s">
        <v>233</v>
      </c>
      <c r="R659" s="12" t="s">
        <v>974</v>
      </c>
      <c r="S659" s="13">
        <v>197643374718</v>
      </c>
      <c r="T659" s="12" t="s">
        <v>235</v>
      </c>
      <c r="U659" s="13">
        <v>26</v>
      </c>
      <c r="V659" s="12" t="s">
        <v>665</v>
      </c>
      <c r="W659" s="12" t="s">
        <v>284</v>
      </c>
      <c r="X659" s="13">
        <v>0</v>
      </c>
      <c r="Y659" s="12" t="s">
        <v>53</v>
      </c>
      <c r="Z659" s="12" t="s">
        <v>108</v>
      </c>
      <c r="AA659" s="13">
        <v>0</v>
      </c>
      <c r="AB659" s="13">
        <v>0</v>
      </c>
      <c r="AC659" s="15">
        <v>31.85</v>
      </c>
      <c r="AD659" s="15">
        <f>AC659*AG659</f>
        <v>318.5</v>
      </c>
      <c r="AE659" s="15">
        <v>70</v>
      </c>
      <c r="AF659" s="15">
        <f>AE659*AG659</f>
        <v>700</v>
      </c>
      <c r="AG659" s="16">
        <v>10</v>
      </c>
    </row>
    <row r="660" spans="1:33" ht="15" customHeight="1" x14ac:dyDescent="0.2">
      <c r="A660" s="11" t="str">
        <f t="shared" si="240"/>
        <v>VN000MMTBLK1</v>
      </c>
      <c r="B660" s="12" t="s">
        <v>2905</v>
      </c>
      <c r="C660" s="12" t="s">
        <v>2515</v>
      </c>
      <c r="D660" s="12" t="s">
        <v>76</v>
      </c>
      <c r="E660" s="12" t="s">
        <v>2906</v>
      </c>
      <c r="F660" s="13">
        <v>6</v>
      </c>
      <c r="G660" s="14"/>
      <c r="H660" s="12" t="s">
        <v>61</v>
      </c>
      <c r="I660" s="12" t="s">
        <v>1340</v>
      </c>
      <c r="J660" s="12" t="s">
        <v>1341</v>
      </c>
      <c r="K660" s="12" t="s">
        <v>64</v>
      </c>
      <c r="L660" s="14"/>
      <c r="M660" s="12" t="s">
        <v>43</v>
      </c>
      <c r="N660" s="12" t="s">
        <v>44</v>
      </c>
      <c r="O660" s="12" t="s">
        <v>2907</v>
      </c>
      <c r="P660" s="12" t="s">
        <v>66</v>
      </c>
      <c r="Q660" s="12" t="s">
        <v>67</v>
      </c>
      <c r="R660" s="12" t="s">
        <v>68</v>
      </c>
      <c r="S660" s="13">
        <v>197643376965</v>
      </c>
      <c r="T660" s="12" t="s">
        <v>422</v>
      </c>
      <c r="U660" s="13">
        <v>6</v>
      </c>
      <c r="V660" s="12" t="s">
        <v>70</v>
      </c>
      <c r="W660" s="12" t="s">
        <v>51</v>
      </c>
      <c r="X660" s="13">
        <v>0</v>
      </c>
      <c r="Y660" s="12" t="s">
        <v>91</v>
      </c>
      <c r="Z660" s="12" t="s">
        <v>108</v>
      </c>
      <c r="AA660" s="13">
        <v>0</v>
      </c>
      <c r="AB660" s="13">
        <v>0</v>
      </c>
      <c r="AC660" s="15">
        <v>10.95</v>
      </c>
      <c r="AD660" s="15">
        <f>AC660*AG660</f>
        <v>109.5</v>
      </c>
      <c r="AE660" s="15">
        <v>24</v>
      </c>
      <c r="AF660" s="15">
        <f>AE660*AG660</f>
        <v>240</v>
      </c>
      <c r="AG660" s="16">
        <v>10</v>
      </c>
    </row>
    <row r="661" spans="1:33" ht="15" customHeight="1" x14ac:dyDescent="0.2">
      <c r="A661" s="11" t="str">
        <f t="shared" ref="A661:A3406" si="289">HYPERLINK("https://assets.vans.eu/images/VN000PHHLVB-HERO/1","VN000PHHLVB1")</f>
        <v>VN000PHHLVB1</v>
      </c>
      <c r="B661" s="12" t="s">
        <v>2908</v>
      </c>
      <c r="C661" s="12" t="s">
        <v>1281</v>
      </c>
      <c r="D661" s="12" t="s">
        <v>2643</v>
      </c>
      <c r="E661" s="12" t="s">
        <v>2909</v>
      </c>
      <c r="F661" s="13">
        <v>34</v>
      </c>
      <c r="G661" s="14"/>
      <c r="H661" s="12" t="s">
        <v>61</v>
      </c>
      <c r="I661" s="12" t="s">
        <v>230</v>
      </c>
      <c r="J661" s="12" t="s">
        <v>231</v>
      </c>
      <c r="K661" s="12" t="s">
        <v>199</v>
      </c>
      <c r="L661" s="14"/>
      <c r="M661" s="12" t="s">
        <v>43</v>
      </c>
      <c r="N661" s="12" t="s">
        <v>84</v>
      </c>
      <c r="O661" s="12" t="s">
        <v>2910</v>
      </c>
      <c r="P661" s="12" t="s">
        <v>66</v>
      </c>
      <c r="Q661" s="12" t="s">
        <v>233</v>
      </c>
      <c r="R661" s="12" t="s">
        <v>361</v>
      </c>
      <c r="S661" s="13">
        <v>197804580125</v>
      </c>
      <c r="T661" s="12" t="s">
        <v>235</v>
      </c>
      <c r="U661" s="13">
        <v>34</v>
      </c>
      <c r="V661" s="12" t="s">
        <v>665</v>
      </c>
      <c r="W661" s="12" t="s">
        <v>51</v>
      </c>
      <c r="X661" s="14"/>
      <c r="Y661" s="14"/>
      <c r="Z661" s="14"/>
      <c r="AA661" s="14"/>
      <c r="AB661" s="14"/>
      <c r="AC661" s="15">
        <v>40.950000000000003</v>
      </c>
      <c r="AD661" s="15">
        <f>AC661*AG661</f>
        <v>409.5</v>
      </c>
      <c r="AE661" s="15">
        <v>90</v>
      </c>
      <c r="AF661" s="15">
        <f>AE661*AG661</f>
        <v>900</v>
      </c>
      <c r="AG661" s="16">
        <v>10</v>
      </c>
    </row>
    <row r="662" spans="1:33" ht="15" customHeight="1" x14ac:dyDescent="0.2">
      <c r="A662" s="11" t="str">
        <f t="shared" ref="A662:A1175" si="290">HYPERLINK("https://assets.vans.eu/images/VN000PK1EMZ-HERO/1","VN000PK1EMZ1")</f>
        <v>VN000PK1EMZ1</v>
      </c>
      <c r="B662" s="12" t="s">
        <v>2911</v>
      </c>
      <c r="C662" s="12" t="s">
        <v>1900</v>
      </c>
      <c r="D662" s="12" t="s">
        <v>2912</v>
      </c>
      <c r="E662" s="12" t="s">
        <v>2913</v>
      </c>
      <c r="F662" s="12" t="s">
        <v>170</v>
      </c>
      <c r="G662" s="14"/>
      <c r="H662" s="12" t="s">
        <v>61</v>
      </c>
      <c r="I662" s="12" t="s">
        <v>289</v>
      </c>
      <c r="J662" s="12" t="s">
        <v>984</v>
      </c>
      <c r="K662" s="12" t="s">
        <v>100</v>
      </c>
      <c r="L662" s="14"/>
      <c r="M662" s="12" t="s">
        <v>43</v>
      </c>
      <c r="N662" s="12" t="s">
        <v>84</v>
      </c>
      <c r="O662" s="12" t="s">
        <v>2914</v>
      </c>
      <c r="P662" s="12" t="s">
        <v>66</v>
      </c>
      <c r="Q662" s="12" t="s">
        <v>764</v>
      </c>
      <c r="R662" s="12" t="s">
        <v>986</v>
      </c>
      <c r="S662" s="13">
        <v>197804360550</v>
      </c>
      <c r="T662" s="12" t="s">
        <v>235</v>
      </c>
      <c r="U662" s="12" t="s">
        <v>170</v>
      </c>
      <c r="V662" s="12" t="s">
        <v>90</v>
      </c>
      <c r="W662" s="12" t="s">
        <v>118</v>
      </c>
      <c r="X662" s="14"/>
      <c r="Y662" s="14"/>
      <c r="Z662" s="14"/>
      <c r="AA662" s="14"/>
      <c r="AB662" s="14"/>
      <c r="AC662" s="15">
        <v>56.85</v>
      </c>
      <c r="AD662" s="15">
        <f>AC662*AG662</f>
        <v>568.5</v>
      </c>
      <c r="AE662" s="15">
        <v>125</v>
      </c>
      <c r="AF662" s="15">
        <f>AE662*AG662</f>
        <v>1250</v>
      </c>
      <c r="AG662" s="16">
        <v>10</v>
      </c>
    </row>
    <row r="663" spans="1:33" ht="15" customHeight="1" x14ac:dyDescent="0.2">
      <c r="A663" s="11" t="str">
        <f t="shared" ref="A663:A810" si="291">HYPERLINK("https://assets.vans.eu/images/VN000PMHENB-HERO/1","VN000PMHENB1")</f>
        <v>VN000PMHENB1</v>
      </c>
      <c r="B663" s="12" t="s">
        <v>2915</v>
      </c>
      <c r="C663" s="12" t="s">
        <v>2916</v>
      </c>
      <c r="D663" s="12" t="s">
        <v>2917</v>
      </c>
      <c r="E663" s="12" t="s">
        <v>2918</v>
      </c>
      <c r="F663" s="12" t="s">
        <v>170</v>
      </c>
      <c r="G663" s="14"/>
      <c r="H663" s="12" t="s">
        <v>61</v>
      </c>
      <c r="I663" s="12" t="s">
        <v>230</v>
      </c>
      <c r="J663" s="12" t="s">
        <v>762</v>
      </c>
      <c r="K663" s="12" t="s">
        <v>199</v>
      </c>
      <c r="L663" s="14"/>
      <c r="M663" s="12" t="s">
        <v>43</v>
      </c>
      <c r="N663" s="12" t="s">
        <v>84</v>
      </c>
      <c r="O663" s="12" t="s">
        <v>2919</v>
      </c>
      <c r="P663" s="12" t="s">
        <v>66</v>
      </c>
      <c r="Q663" s="12" t="s">
        <v>764</v>
      </c>
      <c r="R663" s="12" t="s">
        <v>765</v>
      </c>
      <c r="S663" s="13">
        <v>197804678761</v>
      </c>
      <c r="T663" s="12" t="s">
        <v>49</v>
      </c>
      <c r="U663" s="12" t="s">
        <v>170</v>
      </c>
      <c r="V663" s="12" t="s">
        <v>1811</v>
      </c>
      <c r="W663" s="12" t="s">
        <v>186</v>
      </c>
      <c r="X663" s="14"/>
      <c r="Y663" s="14"/>
      <c r="Z663" s="14"/>
      <c r="AA663" s="14"/>
      <c r="AB663" s="14"/>
      <c r="AC663" s="15">
        <v>95.5</v>
      </c>
      <c r="AD663" s="15">
        <f>AC663*AG663</f>
        <v>955</v>
      </c>
      <c r="AE663" s="15">
        <v>210</v>
      </c>
      <c r="AF663" s="15">
        <f>AE663*AG663</f>
        <v>2100</v>
      </c>
      <c r="AG663" s="16">
        <v>10</v>
      </c>
    </row>
    <row r="664" spans="1:33" ht="15" customHeight="1" x14ac:dyDescent="0.2">
      <c r="A664" s="11" t="str">
        <f>HYPERLINK("https://assets.vans.eu/images/VN000PQHE90-HERO/1","VN000PQHE901")</f>
        <v>VN000PQHE901</v>
      </c>
      <c r="B664" s="12" t="s">
        <v>2920</v>
      </c>
      <c r="C664" s="12" t="s">
        <v>2921</v>
      </c>
      <c r="D664" s="12" t="s">
        <v>2922</v>
      </c>
      <c r="E664" s="12" t="s">
        <v>2923</v>
      </c>
      <c r="F664" s="13">
        <v>33</v>
      </c>
      <c r="G664" s="14"/>
      <c r="H664" s="12" t="s">
        <v>61</v>
      </c>
      <c r="I664" s="12" t="s">
        <v>230</v>
      </c>
      <c r="J664" s="12" t="s">
        <v>231</v>
      </c>
      <c r="K664" s="12" t="s">
        <v>199</v>
      </c>
      <c r="L664" s="14"/>
      <c r="M664" s="12" t="s">
        <v>43</v>
      </c>
      <c r="N664" s="12" t="s">
        <v>84</v>
      </c>
      <c r="O664" s="12" t="s">
        <v>2924</v>
      </c>
      <c r="P664" s="12" t="s">
        <v>66</v>
      </c>
      <c r="Q664" s="12" t="s">
        <v>233</v>
      </c>
      <c r="R664" s="12" t="s">
        <v>361</v>
      </c>
      <c r="S664" s="13">
        <v>197804582815</v>
      </c>
      <c r="T664" s="12" t="s">
        <v>235</v>
      </c>
      <c r="U664" s="13">
        <v>33</v>
      </c>
      <c r="V664" s="12" t="s">
        <v>665</v>
      </c>
      <c r="W664" s="12" t="s">
        <v>598</v>
      </c>
      <c r="X664" s="14"/>
      <c r="Y664" s="14"/>
      <c r="Z664" s="14"/>
      <c r="AA664" s="14"/>
      <c r="AB664" s="14"/>
      <c r="AC664" s="15">
        <v>36.4</v>
      </c>
      <c r="AD664" s="15">
        <f>AC664*AG664</f>
        <v>364</v>
      </c>
      <c r="AE664" s="15">
        <v>80</v>
      </c>
      <c r="AF664" s="15">
        <f>AE664*AG664</f>
        <v>800</v>
      </c>
      <c r="AG664" s="16">
        <v>10</v>
      </c>
    </row>
    <row r="665" spans="1:33" ht="15" customHeight="1" x14ac:dyDescent="0.2">
      <c r="A665" s="11" t="str">
        <f t="shared" ref="A665:A813" si="292">HYPERLINK("https://assets.vans.eu/images/VN000PR3EN9-HERO/1","VN000PR3EN91")</f>
        <v>VN000PR3EN91</v>
      </c>
      <c r="B665" s="12" t="s">
        <v>2925</v>
      </c>
      <c r="C665" s="12" t="s">
        <v>2926</v>
      </c>
      <c r="D665" s="12" t="s">
        <v>982</v>
      </c>
      <c r="E665" s="12" t="s">
        <v>2927</v>
      </c>
      <c r="F665" s="12" t="s">
        <v>179</v>
      </c>
      <c r="G665" s="14"/>
      <c r="H665" s="12" t="s">
        <v>61</v>
      </c>
      <c r="I665" s="12" t="s">
        <v>289</v>
      </c>
      <c r="J665" s="12" t="s">
        <v>706</v>
      </c>
      <c r="K665" s="12" t="s">
        <v>100</v>
      </c>
      <c r="L665" s="14"/>
      <c r="M665" s="12" t="s">
        <v>43</v>
      </c>
      <c r="N665" s="12" t="s">
        <v>84</v>
      </c>
      <c r="O665" s="12" t="s">
        <v>2928</v>
      </c>
      <c r="P665" s="12" t="s">
        <v>66</v>
      </c>
      <c r="Q665" s="12" t="s">
        <v>67</v>
      </c>
      <c r="R665" s="12" t="s">
        <v>1146</v>
      </c>
      <c r="S665" s="13">
        <v>197804393596</v>
      </c>
      <c r="T665" s="12" t="s">
        <v>709</v>
      </c>
      <c r="U665" s="12" t="s">
        <v>179</v>
      </c>
      <c r="V665" s="12" t="s">
        <v>665</v>
      </c>
      <c r="W665" s="12" t="s">
        <v>455</v>
      </c>
      <c r="X665" s="14"/>
      <c r="Y665" s="14"/>
      <c r="Z665" s="14"/>
      <c r="AA665" s="14"/>
      <c r="AB665" s="14"/>
      <c r="AC665" s="15">
        <v>15.95</v>
      </c>
      <c r="AD665" s="15">
        <f>AC665*AG665</f>
        <v>159.5</v>
      </c>
      <c r="AE665" s="15">
        <v>35</v>
      </c>
      <c r="AF665" s="15">
        <f>AE665*AG665</f>
        <v>350</v>
      </c>
      <c r="AG665" s="16">
        <v>10</v>
      </c>
    </row>
    <row r="666" spans="1:33" ht="15" customHeight="1" x14ac:dyDescent="0.2">
      <c r="A666" s="11" t="str">
        <f t="shared" ref="A666:A2306" si="293">HYPERLINK("https://assets.vans.eu/images/VN000PX3BLK-HERO/1","VN000PX3BLK1")</f>
        <v>VN000PX3BLK1</v>
      </c>
      <c r="B666" s="12" t="s">
        <v>2929</v>
      </c>
      <c r="C666" s="12" t="s">
        <v>1345</v>
      </c>
      <c r="D666" s="12" t="s">
        <v>76</v>
      </c>
      <c r="E666" s="12" t="s">
        <v>2930</v>
      </c>
      <c r="F666" s="12" t="s">
        <v>60</v>
      </c>
      <c r="G666" s="14"/>
      <c r="H666" s="12" t="s">
        <v>61</v>
      </c>
      <c r="I666" s="12" t="s">
        <v>62</v>
      </c>
      <c r="J666" s="12" t="s">
        <v>63</v>
      </c>
      <c r="K666" s="12" t="s">
        <v>64</v>
      </c>
      <c r="L666" s="14"/>
      <c r="M666" s="12" t="s">
        <v>43</v>
      </c>
      <c r="N666" s="12" t="s">
        <v>84</v>
      </c>
      <c r="O666" s="12" t="s">
        <v>2931</v>
      </c>
      <c r="P666" s="12" t="s">
        <v>66</v>
      </c>
      <c r="Q666" s="12" t="s">
        <v>67</v>
      </c>
      <c r="R666" s="12" t="s">
        <v>730</v>
      </c>
      <c r="S666" s="13">
        <v>197804582358</v>
      </c>
      <c r="T666" s="12" t="s">
        <v>49</v>
      </c>
      <c r="U666" s="12" t="s">
        <v>60</v>
      </c>
      <c r="V666" s="12" t="s">
        <v>710</v>
      </c>
      <c r="W666" s="12" t="s">
        <v>51</v>
      </c>
      <c r="X666" s="14"/>
      <c r="Y666" s="14"/>
      <c r="Z666" s="14"/>
      <c r="AA666" s="14"/>
      <c r="AB666" s="14"/>
      <c r="AC666" s="15">
        <v>31.85</v>
      </c>
      <c r="AD666" s="15">
        <f>AC666*AG666</f>
        <v>318.5</v>
      </c>
      <c r="AE666" s="15">
        <v>70</v>
      </c>
      <c r="AF666" s="15">
        <f>AE666*AG666</f>
        <v>700</v>
      </c>
      <c r="AG666" s="16">
        <v>10</v>
      </c>
    </row>
    <row r="667" spans="1:33" ht="15" customHeight="1" x14ac:dyDescent="0.2">
      <c r="A667" s="11" t="str">
        <f t="shared" si="73"/>
        <v>VN000PXG02F1</v>
      </c>
      <c r="B667" s="12" t="s">
        <v>2932</v>
      </c>
      <c r="C667" s="12" t="s">
        <v>1089</v>
      </c>
      <c r="D667" s="12" t="s">
        <v>857</v>
      </c>
      <c r="E667" s="12" t="s">
        <v>2933</v>
      </c>
      <c r="F667" s="12" t="s">
        <v>60</v>
      </c>
      <c r="G667" s="14"/>
      <c r="H667" s="12" t="s">
        <v>61</v>
      </c>
      <c r="I667" s="12" t="s">
        <v>62</v>
      </c>
      <c r="J667" s="12" t="s">
        <v>63</v>
      </c>
      <c r="K667" s="12" t="s">
        <v>64</v>
      </c>
      <c r="L667" s="14"/>
      <c r="M667" s="12" t="s">
        <v>43</v>
      </c>
      <c r="N667" s="12" t="s">
        <v>84</v>
      </c>
      <c r="O667" s="12" t="s">
        <v>2934</v>
      </c>
      <c r="P667" s="12" t="s">
        <v>66</v>
      </c>
      <c r="Q667" s="12" t="s">
        <v>67</v>
      </c>
      <c r="R667" s="12" t="s">
        <v>730</v>
      </c>
      <c r="S667" s="13">
        <v>197804365470</v>
      </c>
      <c r="T667" s="12" t="s">
        <v>709</v>
      </c>
      <c r="U667" s="12" t="s">
        <v>60</v>
      </c>
      <c r="V667" s="12" t="s">
        <v>1092</v>
      </c>
      <c r="W667" s="12" t="s">
        <v>455</v>
      </c>
      <c r="X667" s="14"/>
      <c r="Y667" s="14"/>
      <c r="Z667" s="14"/>
      <c r="AA667" s="14"/>
      <c r="AB667" s="14"/>
      <c r="AC667" s="15">
        <v>25</v>
      </c>
      <c r="AD667" s="15">
        <f>AC667*AG667</f>
        <v>250</v>
      </c>
      <c r="AE667" s="15">
        <v>55</v>
      </c>
      <c r="AF667" s="15">
        <f>AE667*AG667</f>
        <v>550</v>
      </c>
      <c r="AG667" s="16">
        <v>10</v>
      </c>
    </row>
    <row r="668" spans="1:33" ht="15" customHeight="1" x14ac:dyDescent="0.2">
      <c r="A668" s="11" t="str">
        <f t="shared" ref="A668:A816" si="294">HYPERLINK("https://assets.vans.eu/images/VN000QDEY28-HERO/1","VN000QDEY281")</f>
        <v>VN000QDEY281</v>
      </c>
      <c r="B668" s="12" t="s">
        <v>2935</v>
      </c>
      <c r="C668" s="12" t="s">
        <v>2936</v>
      </c>
      <c r="D668" s="12" t="s">
        <v>58</v>
      </c>
      <c r="E668" s="12" t="s">
        <v>2937</v>
      </c>
      <c r="F668" s="12" t="s">
        <v>170</v>
      </c>
      <c r="G668" s="14"/>
      <c r="H668" s="12" t="s">
        <v>61</v>
      </c>
      <c r="I668" s="12" t="s">
        <v>62</v>
      </c>
      <c r="J668" s="12" t="s">
        <v>2938</v>
      </c>
      <c r="K668" s="12" t="s">
        <v>64</v>
      </c>
      <c r="L668" s="14"/>
      <c r="M668" s="12" t="s">
        <v>43</v>
      </c>
      <c r="N668" s="12" t="s">
        <v>84</v>
      </c>
      <c r="O668" s="12" t="s">
        <v>2939</v>
      </c>
      <c r="P668" s="12" t="s">
        <v>66</v>
      </c>
      <c r="Q668" s="12" t="s">
        <v>764</v>
      </c>
      <c r="R668" s="12" t="s">
        <v>2940</v>
      </c>
      <c r="S668" s="13">
        <v>197804369232</v>
      </c>
      <c r="T668" s="12" t="s">
        <v>235</v>
      </c>
      <c r="U668" s="12" t="s">
        <v>170</v>
      </c>
      <c r="V668" s="12" t="s">
        <v>1811</v>
      </c>
      <c r="W668" s="12" t="s">
        <v>51</v>
      </c>
      <c r="X668" s="14"/>
      <c r="Y668" s="14"/>
      <c r="Z668" s="14"/>
      <c r="AA668" s="14"/>
      <c r="AB668" s="14"/>
      <c r="AC668" s="15">
        <v>29.55</v>
      </c>
      <c r="AD668" s="15">
        <f>AC668*AG668</f>
        <v>295.5</v>
      </c>
      <c r="AE668" s="15">
        <v>65</v>
      </c>
      <c r="AF668" s="15">
        <f>AE668*AG668</f>
        <v>650</v>
      </c>
      <c r="AG668" s="16">
        <v>10</v>
      </c>
    </row>
    <row r="669" spans="1:33" ht="15" customHeight="1" x14ac:dyDescent="0.2">
      <c r="A669" s="11" t="str">
        <f t="shared" si="267"/>
        <v>VN000R03WHT1</v>
      </c>
      <c r="B669" s="12" t="s">
        <v>2941</v>
      </c>
      <c r="C669" s="12" t="s">
        <v>2741</v>
      </c>
      <c r="D669" s="12" t="s">
        <v>168</v>
      </c>
      <c r="E669" s="12" t="s">
        <v>2942</v>
      </c>
      <c r="F669" s="12" t="s">
        <v>179</v>
      </c>
      <c r="G669" s="14"/>
      <c r="H669" s="12" t="s">
        <v>61</v>
      </c>
      <c r="I669" s="12" t="s">
        <v>62</v>
      </c>
      <c r="J669" s="12" t="s">
        <v>63</v>
      </c>
      <c r="K669" s="12" t="s">
        <v>64</v>
      </c>
      <c r="L669" s="14"/>
      <c r="M669" s="12" t="s">
        <v>43</v>
      </c>
      <c r="N669" s="12" t="s">
        <v>84</v>
      </c>
      <c r="O669" s="12" t="s">
        <v>2943</v>
      </c>
      <c r="P669" s="12" t="s">
        <v>66</v>
      </c>
      <c r="Q669" s="12" t="s">
        <v>67</v>
      </c>
      <c r="R669" s="12" t="s">
        <v>68</v>
      </c>
      <c r="S669" s="13">
        <v>197804584932</v>
      </c>
      <c r="T669" s="12" t="s">
        <v>915</v>
      </c>
      <c r="U669" s="12" t="s">
        <v>179</v>
      </c>
      <c r="V669" s="12" t="s">
        <v>1028</v>
      </c>
      <c r="W669" s="12" t="s">
        <v>175</v>
      </c>
      <c r="X669" s="14"/>
      <c r="Y669" s="14"/>
      <c r="Z669" s="14"/>
      <c r="AA669" s="14"/>
      <c r="AB669" s="14"/>
      <c r="AC669" s="15">
        <v>15.95</v>
      </c>
      <c r="AD669" s="15">
        <f>AC669*AG669</f>
        <v>159.5</v>
      </c>
      <c r="AE669" s="15">
        <v>35</v>
      </c>
      <c r="AF669" s="15">
        <f>AE669*AG669</f>
        <v>350</v>
      </c>
      <c r="AG669" s="16">
        <v>10</v>
      </c>
    </row>
    <row r="670" spans="1:33" ht="15" customHeight="1" x14ac:dyDescent="0.2">
      <c r="A670" s="11" t="str">
        <f t="shared" ref="A670:A823" si="295">HYPERLINK("https://assets.vans.eu/images/VN000RARFS8-HERO/1","VN000RARFS81")</f>
        <v>VN000RARFS81</v>
      </c>
      <c r="B670" s="12" t="s">
        <v>2944</v>
      </c>
      <c r="C670" s="12" t="s">
        <v>2945</v>
      </c>
      <c r="D670" s="12" t="s">
        <v>239</v>
      </c>
      <c r="E670" s="12" t="s">
        <v>2946</v>
      </c>
      <c r="F670" s="12" t="s">
        <v>179</v>
      </c>
      <c r="G670" s="14"/>
      <c r="H670" s="12" t="s">
        <v>61</v>
      </c>
      <c r="I670" s="12" t="s">
        <v>230</v>
      </c>
      <c r="J670" s="12" t="s">
        <v>419</v>
      </c>
      <c r="K670" s="12" t="s">
        <v>199</v>
      </c>
      <c r="L670" s="12" t="s">
        <v>83</v>
      </c>
      <c r="M670" s="12" t="s">
        <v>43</v>
      </c>
      <c r="N670" s="12" t="s">
        <v>84</v>
      </c>
      <c r="O670" s="12" t="s">
        <v>2947</v>
      </c>
      <c r="P670" s="12" t="s">
        <v>66</v>
      </c>
      <c r="Q670" s="12" t="s">
        <v>67</v>
      </c>
      <c r="R670" s="12" t="s">
        <v>623</v>
      </c>
      <c r="S670" s="13">
        <v>197804350193</v>
      </c>
      <c r="T670" s="12" t="s">
        <v>69</v>
      </c>
      <c r="U670" s="12" t="s">
        <v>179</v>
      </c>
      <c r="V670" s="12" t="s">
        <v>70</v>
      </c>
      <c r="W670" s="12" t="s">
        <v>175</v>
      </c>
      <c r="X670" s="13">
        <v>0</v>
      </c>
      <c r="Y670" s="12" t="s">
        <v>91</v>
      </c>
      <c r="Z670" s="12" t="s">
        <v>92</v>
      </c>
      <c r="AA670" s="12" t="s">
        <v>626</v>
      </c>
      <c r="AB670" s="12" t="s">
        <v>94</v>
      </c>
      <c r="AC670" s="15">
        <v>38.65</v>
      </c>
      <c r="AD670" s="15">
        <f>AC670*AG670</f>
        <v>386.5</v>
      </c>
      <c r="AE670" s="15">
        <v>85</v>
      </c>
      <c r="AF670" s="15">
        <f>AE670*AG670</f>
        <v>850</v>
      </c>
      <c r="AG670" s="16">
        <v>10</v>
      </c>
    </row>
    <row r="671" spans="1:33" ht="15" customHeight="1" x14ac:dyDescent="0.2">
      <c r="A671" s="11" t="str">
        <f t="shared" ref="A671:A824" si="296">HYPERLINK("https://assets.vans.eu/images/VN000RCHWHT-HERO/1","VN000RCHWHT1")</f>
        <v>VN000RCHWHT1</v>
      </c>
      <c r="B671" s="12" t="s">
        <v>2948</v>
      </c>
      <c r="C671" s="12" t="s">
        <v>2949</v>
      </c>
      <c r="D671" s="12" t="s">
        <v>168</v>
      </c>
      <c r="E671" s="12" t="s">
        <v>2950</v>
      </c>
      <c r="F671" s="12" t="s">
        <v>403</v>
      </c>
      <c r="G671" s="14"/>
      <c r="H671" s="12" t="s">
        <v>61</v>
      </c>
      <c r="I671" s="12" t="s">
        <v>289</v>
      </c>
      <c r="J671" s="12" t="s">
        <v>706</v>
      </c>
      <c r="K671" s="12" t="s">
        <v>100</v>
      </c>
      <c r="L671" s="14"/>
      <c r="M671" s="12" t="s">
        <v>43</v>
      </c>
      <c r="N671" s="12" t="s">
        <v>84</v>
      </c>
      <c r="O671" s="12" t="s">
        <v>2951</v>
      </c>
      <c r="P671" s="12" t="s">
        <v>66</v>
      </c>
      <c r="Q671" s="12" t="s">
        <v>67</v>
      </c>
      <c r="R671" s="12" t="s">
        <v>1146</v>
      </c>
      <c r="S671" s="13">
        <v>197804667130</v>
      </c>
      <c r="T671" s="12" t="s">
        <v>709</v>
      </c>
      <c r="U671" s="12" t="s">
        <v>403</v>
      </c>
      <c r="V671" s="12" t="s">
        <v>665</v>
      </c>
      <c r="W671" s="12" t="s">
        <v>175</v>
      </c>
      <c r="X671" s="14"/>
      <c r="Y671" s="14"/>
      <c r="Z671" s="14"/>
      <c r="AA671" s="14"/>
      <c r="AB671" s="14"/>
      <c r="AC671" s="15">
        <v>20.5</v>
      </c>
      <c r="AD671" s="15">
        <f>AC671*AG671</f>
        <v>205</v>
      </c>
      <c r="AE671" s="15">
        <v>45</v>
      </c>
      <c r="AF671" s="15">
        <f>AE671*AG671</f>
        <v>450</v>
      </c>
      <c r="AG671" s="16">
        <v>10</v>
      </c>
    </row>
    <row r="672" spans="1:33" ht="15" customHeight="1" x14ac:dyDescent="0.2">
      <c r="A672" s="11" t="str">
        <f t="shared" ref="A672:A1047" si="297">HYPERLINK("https://assets.vans.eu/images/VN000RG0EMS-HERO/1","VN000RG0EMS1")</f>
        <v>VN000RG0EMS1</v>
      </c>
      <c r="B672" s="12" t="s">
        <v>2952</v>
      </c>
      <c r="C672" s="12" t="s">
        <v>2953</v>
      </c>
      <c r="D672" s="12" t="s">
        <v>863</v>
      </c>
      <c r="E672" s="12" t="s">
        <v>2954</v>
      </c>
      <c r="F672" s="12" t="s">
        <v>403</v>
      </c>
      <c r="G672" s="14"/>
      <c r="H672" s="12" t="s">
        <v>61</v>
      </c>
      <c r="I672" s="12" t="s">
        <v>230</v>
      </c>
      <c r="J672" s="12" t="s">
        <v>419</v>
      </c>
      <c r="K672" s="12" t="s">
        <v>199</v>
      </c>
      <c r="L672" s="12" t="s">
        <v>83</v>
      </c>
      <c r="M672" s="12" t="s">
        <v>43</v>
      </c>
      <c r="N672" s="12" t="s">
        <v>84</v>
      </c>
      <c r="O672" s="12" t="s">
        <v>2955</v>
      </c>
      <c r="P672" s="12" t="s">
        <v>66</v>
      </c>
      <c r="Q672" s="12" t="s">
        <v>67</v>
      </c>
      <c r="R672" s="12" t="s">
        <v>623</v>
      </c>
      <c r="S672" s="13">
        <v>197804327935</v>
      </c>
      <c r="T672" s="12" t="s">
        <v>69</v>
      </c>
      <c r="U672" s="12" t="s">
        <v>403</v>
      </c>
      <c r="V672" s="12" t="s">
        <v>70</v>
      </c>
      <c r="W672" s="12" t="s">
        <v>107</v>
      </c>
      <c r="X672" s="14"/>
      <c r="Y672" s="14"/>
      <c r="Z672" s="14"/>
      <c r="AA672" s="14"/>
      <c r="AB672" s="14"/>
      <c r="AC672" s="15">
        <v>45.5</v>
      </c>
      <c r="AD672" s="15">
        <f>AC672*AG672</f>
        <v>455</v>
      </c>
      <c r="AE672" s="15">
        <v>100</v>
      </c>
      <c r="AF672" s="15">
        <f>AE672*AG672</f>
        <v>1000</v>
      </c>
      <c r="AG672" s="16">
        <v>10</v>
      </c>
    </row>
    <row r="673" spans="1:33" ht="15" customHeight="1" x14ac:dyDescent="0.2">
      <c r="A673" s="11" t="str">
        <f t="shared" si="86"/>
        <v>VN000XCUWHT1</v>
      </c>
      <c r="B673" s="12" t="s">
        <v>2956</v>
      </c>
      <c r="C673" s="12" t="s">
        <v>1203</v>
      </c>
      <c r="D673" s="12" t="s">
        <v>168</v>
      </c>
      <c r="E673" s="12" t="s">
        <v>2957</v>
      </c>
      <c r="F673" s="12" t="s">
        <v>170</v>
      </c>
      <c r="G673" s="14"/>
      <c r="H673" s="12" t="s">
        <v>61</v>
      </c>
      <c r="I673" s="12" t="s">
        <v>230</v>
      </c>
      <c r="J673" s="12" t="s">
        <v>419</v>
      </c>
      <c r="K673" s="12" t="s">
        <v>199</v>
      </c>
      <c r="L673" s="12" t="s">
        <v>115</v>
      </c>
      <c r="M673" s="12" t="s">
        <v>43</v>
      </c>
      <c r="N673" s="12" t="s">
        <v>84</v>
      </c>
      <c r="O673" s="12" t="s">
        <v>2958</v>
      </c>
      <c r="P673" s="12" t="s">
        <v>66</v>
      </c>
      <c r="Q673" s="12" t="s">
        <v>67</v>
      </c>
      <c r="R673" s="12" t="s">
        <v>421</v>
      </c>
      <c r="S673" s="13">
        <v>198268244776</v>
      </c>
      <c r="T673" s="12" t="s">
        <v>422</v>
      </c>
      <c r="U673" s="12" t="s">
        <v>170</v>
      </c>
      <c r="V673" s="12" t="s">
        <v>423</v>
      </c>
      <c r="W673" s="12" t="s">
        <v>175</v>
      </c>
      <c r="X673" s="14"/>
      <c r="Y673" s="14"/>
      <c r="Z673" s="14"/>
      <c r="AA673" s="14"/>
      <c r="AB673" s="14"/>
      <c r="AC673" s="15">
        <v>20.5</v>
      </c>
      <c r="AD673" s="15">
        <f>AC673*AG673</f>
        <v>205</v>
      </c>
      <c r="AE673" s="15">
        <v>45</v>
      </c>
      <c r="AF673" s="15">
        <f>AE673*AG673</f>
        <v>450</v>
      </c>
      <c r="AG673" s="16">
        <v>10</v>
      </c>
    </row>
    <row r="674" spans="1:33" ht="15" customHeight="1" x14ac:dyDescent="0.2">
      <c r="A674" s="11" t="str">
        <f>HYPERLINK("https://assets.vans.eu/images/VN0A5FJJ3N1-HERO/1","VN0A5FJJ3N11")</f>
        <v>VN0A5FJJ3N11</v>
      </c>
      <c r="B674" s="12" t="s">
        <v>2959</v>
      </c>
      <c r="C674" s="12" t="s">
        <v>2960</v>
      </c>
      <c r="D674" s="12" t="s">
        <v>2961</v>
      </c>
      <c r="E674" s="12" t="s">
        <v>2962</v>
      </c>
      <c r="F674" s="12" t="s">
        <v>153</v>
      </c>
      <c r="G674" s="14"/>
      <c r="H674" s="12" t="s">
        <v>61</v>
      </c>
      <c r="I674" s="12" t="s">
        <v>230</v>
      </c>
      <c r="J674" s="12" t="s">
        <v>231</v>
      </c>
      <c r="K674" s="12" t="s">
        <v>199</v>
      </c>
      <c r="L674" s="14"/>
      <c r="M674" s="12" t="s">
        <v>43</v>
      </c>
      <c r="N674" s="12" t="s">
        <v>84</v>
      </c>
      <c r="O674" s="12" t="s">
        <v>2963</v>
      </c>
      <c r="P674" s="12" t="s">
        <v>66</v>
      </c>
      <c r="Q674" s="12" t="s">
        <v>233</v>
      </c>
      <c r="R674" s="12" t="s">
        <v>361</v>
      </c>
      <c r="S674" s="13">
        <v>196244924759</v>
      </c>
      <c r="T674" s="12" t="s">
        <v>235</v>
      </c>
      <c r="U674" s="12" t="s">
        <v>153</v>
      </c>
      <c r="V674" s="12" t="s">
        <v>2964</v>
      </c>
      <c r="W674" s="12" t="s">
        <v>186</v>
      </c>
      <c r="X674" s="14"/>
      <c r="Y674" s="14"/>
      <c r="Z674" s="14"/>
      <c r="AA674" s="14"/>
      <c r="AB674" s="14"/>
      <c r="AC674" s="15">
        <v>31.85</v>
      </c>
      <c r="AD674" s="15">
        <f>AC674*AG674</f>
        <v>318.5</v>
      </c>
      <c r="AE674" s="15">
        <v>70</v>
      </c>
      <c r="AF674" s="15">
        <f>AE674*AG674</f>
        <v>700</v>
      </c>
      <c r="AG674" s="16">
        <v>10</v>
      </c>
    </row>
    <row r="675" spans="1:33" ht="15" customHeight="1" x14ac:dyDescent="0.2">
      <c r="A675" s="11" t="str">
        <f t="shared" si="120"/>
        <v>VN0A7YUTWHT1</v>
      </c>
      <c r="B675" s="12" t="s">
        <v>2965</v>
      </c>
      <c r="C675" s="12" t="s">
        <v>1519</v>
      </c>
      <c r="D675" s="12" t="s">
        <v>168</v>
      </c>
      <c r="E675" s="12" t="s">
        <v>2966</v>
      </c>
      <c r="F675" s="12" t="s">
        <v>60</v>
      </c>
      <c r="G675" s="12" t="s">
        <v>1521</v>
      </c>
      <c r="H675" s="12" t="s">
        <v>61</v>
      </c>
      <c r="I675" s="12" t="s">
        <v>289</v>
      </c>
      <c r="J675" s="12" t="s">
        <v>706</v>
      </c>
      <c r="K675" s="12" t="s">
        <v>100</v>
      </c>
      <c r="L675" s="12" t="s">
        <v>83</v>
      </c>
      <c r="M675" s="12" t="s">
        <v>43</v>
      </c>
      <c r="N675" s="12" t="s">
        <v>84</v>
      </c>
      <c r="O675" s="12" t="s">
        <v>2967</v>
      </c>
      <c r="P675" s="12" t="s">
        <v>66</v>
      </c>
      <c r="Q675" s="12" t="s">
        <v>67</v>
      </c>
      <c r="R675" s="12" t="s">
        <v>1146</v>
      </c>
      <c r="S675" s="13">
        <v>196244355355</v>
      </c>
      <c r="T675" s="12" t="s">
        <v>422</v>
      </c>
      <c r="U675" s="12" t="s">
        <v>60</v>
      </c>
      <c r="V675" s="12" t="s">
        <v>423</v>
      </c>
      <c r="W675" s="12" t="s">
        <v>175</v>
      </c>
      <c r="X675" s="13">
        <v>0</v>
      </c>
      <c r="Y675" s="12" t="s">
        <v>91</v>
      </c>
      <c r="Z675" s="12" t="s">
        <v>108</v>
      </c>
      <c r="AA675" s="13">
        <v>0</v>
      </c>
      <c r="AB675" s="13">
        <v>0</v>
      </c>
      <c r="AC675" s="15">
        <v>15.95</v>
      </c>
      <c r="AD675" s="15">
        <f>AC675*AG675</f>
        <v>159.5</v>
      </c>
      <c r="AE675" s="15">
        <v>35</v>
      </c>
      <c r="AF675" s="15">
        <f>AE675*AG675</f>
        <v>350</v>
      </c>
      <c r="AG675" s="16">
        <v>10</v>
      </c>
    </row>
    <row r="676" spans="1:33" ht="15" customHeight="1" x14ac:dyDescent="0.2">
      <c r="A676" s="11" t="str">
        <f>HYPERLINK("https://assets.vans.eu/images/VN000HRJEMX-HERO/1","VN000HRJEMX1")</f>
        <v>VN000HRJEMX1</v>
      </c>
      <c r="B676" s="12" t="s">
        <v>2968</v>
      </c>
      <c r="C676" s="12" t="s">
        <v>2263</v>
      </c>
      <c r="D676" s="12" t="s">
        <v>2969</v>
      </c>
      <c r="E676" s="12" t="s">
        <v>2970</v>
      </c>
      <c r="F676" s="12" t="s">
        <v>78</v>
      </c>
      <c r="G676" s="14"/>
      <c r="H676" s="12" t="s">
        <v>441</v>
      </c>
      <c r="I676" s="12" t="s">
        <v>442</v>
      </c>
      <c r="J676" s="12" t="s">
        <v>443</v>
      </c>
      <c r="K676" s="12" t="s">
        <v>82</v>
      </c>
      <c r="L676" s="14"/>
      <c r="M676" s="12" t="s">
        <v>43</v>
      </c>
      <c r="N676" s="12" t="s">
        <v>84</v>
      </c>
      <c r="O676" s="12" t="s">
        <v>2971</v>
      </c>
      <c r="P676" s="12" t="s">
        <v>445</v>
      </c>
      <c r="Q676" s="12" t="s">
        <v>446</v>
      </c>
      <c r="R676" s="12" t="s">
        <v>447</v>
      </c>
      <c r="S676" s="13">
        <v>197804385188</v>
      </c>
      <c r="T676" s="12" t="s">
        <v>130</v>
      </c>
      <c r="U676" s="12" t="s">
        <v>78</v>
      </c>
      <c r="V676" s="12" t="s">
        <v>2972</v>
      </c>
      <c r="W676" s="12" t="s">
        <v>625</v>
      </c>
      <c r="X676" s="14"/>
      <c r="Y676" s="14"/>
      <c r="Z676" s="14"/>
      <c r="AA676" s="14"/>
      <c r="AB676" s="14"/>
      <c r="AC676" s="15">
        <v>25</v>
      </c>
      <c r="AD676" s="15">
        <f>AC676*AG676</f>
        <v>250</v>
      </c>
      <c r="AE676" s="15">
        <v>55</v>
      </c>
      <c r="AF676" s="15">
        <f>AE676*AG676</f>
        <v>550</v>
      </c>
      <c r="AG676" s="16">
        <v>10</v>
      </c>
    </row>
    <row r="677" spans="1:33" ht="15" customHeight="1" x14ac:dyDescent="0.2">
      <c r="A677" s="11" t="str">
        <f t="shared" ref="A677:A1057" si="298">HYPERLINK("https://assets.vans.eu/images/VN0007P9CL2-HERO/1","VN0007P9CL21")</f>
        <v>VN0007P9CL21</v>
      </c>
      <c r="B677" s="12" t="s">
        <v>2973</v>
      </c>
      <c r="C677" s="12" t="s">
        <v>883</v>
      </c>
      <c r="D677" s="12" t="s">
        <v>1296</v>
      </c>
      <c r="E677" s="12" t="s">
        <v>2974</v>
      </c>
      <c r="F677" s="13">
        <v>80</v>
      </c>
      <c r="G677" s="12" t="s">
        <v>886</v>
      </c>
      <c r="H677" s="12" t="s">
        <v>38</v>
      </c>
      <c r="I677" s="12" t="s">
        <v>113</v>
      </c>
      <c r="J677" s="12" t="s">
        <v>529</v>
      </c>
      <c r="K677" s="12" t="s">
        <v>100</v>
      </c>
      <c r="L677" s="12" t="s">
        <v>350</v>
      </c>
      <c r="M677" s="12" t="s">
        <v>43</v>
      </c>
      <c r="N677" s="12" t="s">
        <v>84</v>
      </c>
      <c r="O677" s="12" t="s">
        <v>2975</v>
      </c>
      <c r="P677" s="12" t="s">
        <v>46</v>
      </c>
      <c r="Q677" s="12" t="s">
        <v>47</v>
      </c>
      <c r="R677" s="12" t="s">
        <v>117</v>
      </c>
      <c r="S677" s="13">
        <v>197063417255</v>
      </c>
      <c r="T677" s="12" t="s">
        <v>49</v>
      </c>
      <c r="U677" s="13">
        <v>38.5</v>
      </c>
      <c r="V677" s="12" t="s">
        <v>50</v>
      </c>
      <c r="W677" s="12" t="s">
        <v>299</v>
      </c>
      <c r="X677" s="14"/>
      <c r="Y677" s="12" t="s">
        <v>71</v>
      </c>
      <c r="Z677" s="12" t="s">
        <v>376</v>
      </c>
      <c r="AA677" s="14"/>
      <c r="AB677" s="14"/>
      <c r="AC677" s="15">
        <v>40.5</v>
      </c>
      <c r="AD677" s="15">
        <f>AC677*AG677</f>
        <v>405</v>
      </c>
      <c r="AE677" s="15">
        <v>85</v>
      </c>
      <c r="AF677" s="15">
        <f>AE677*AG677</f>
        <v>850</v>
      </c>
      <c r="AG677" s="16">
        <v>10</v>
      </c>
    </row>
    <row r="678" spans="1:33" ht="15" customHeight="1" x14ac:dyDescent="0.2">
      <c r="A678" s="11" t="str">
        <f t="shared" ref="A678:A2413" si="299">HYPERLINK("https://assets.vans.eu/images/VN0007P9EN9-HERO/1","VN0007P9EN91")</f>
        <v>VN0007P9EN91</v>
      </c>
      <c r="B678" s="12" t="s">
        <v>2976</v>
      </c>
      <c r="C678" s="12" t="s">
        <v>883</v>
      </c>
      <c r="D678" s="12" t="s">
        <v>982</v>
      </c>
      <c r="E678" s="12" t="s">
        <v>2977</v>
      </c>
      <c r="F678" s="13">
        <v>60</v>
      </c>
      <c r="G678" s="12" t="s">
        <v>2978</v>
      </c>
      <c r="H678" s="12" t="s">
        <v>38</v>
      </c>
      <c r="I678" s="12" t="s">
        <v>113</v>
      </c>
      <c r="J678" s="12" t="s">
        <v>529</v>
      </c>
      <c r="K678" s="12" t="s">
        <v>100</v>
      </c>
      <c r="L678" s="14"/>
      <c r="M678" s="12" t="s">
        <v>43</v>
      </c>
      <c r="N678" s="12" t="s">
        <v>84</v>
      </c>
      <c r="O678" s="12" t="s">
        <v>2979</v>
      </c>
      <c r="P678" s="12" t="s">
        <v>46</v>
      </c>
      <c r="Q678" s="12" t="s">
        <v>47</v>
      </c>
      <c r="R678" s="12" t="s">
        <v>117</v>
      </c>
      <c r="S678" s="13">
        <v>197804423385</v>
      </c>
      <c r="T678" s="12" t="s">
        <v>49</v>
      </c>
      <c r="U678" s="13">
        <v>36</v>
      </c>
      <c r="V678" s="12" t="s">
        <v>50</v>
      </c>
      <c r="W678" s="12" t="s">
        <v>455</v>
      </c>
      <c r="X678" s="14"/>
      <c r="Y678" s="14"/>
      <c r="Z678" s="14"/>
      <c r="AA678" s="14"/>
      <c r="AB678" s="14"/>
      <c r="AC678" s="15">
        <v>42.9</v>
      </c>
      <c r="AD678" s="15">
        <f>AC678*AG678</f>
        <v>429</v>
      </c>
      <c r="AE678" s="15">
        <v>90</v>
      </c>
      <c r="AF678" s="15">
        <f>AE678*AG678</f>
        <v>900</v>
      </c>
      <c r="AG678" s="16">
        <v>10</v>
      </c>
    </row>
    <row r="679" spans="1:33" ht="15" customHeight="1" x14ac:dyDescent="0.2">
      <c r="A679" s="11" t="str">
        <f t="shared" ref="A679:A1452" si="300">HYPERLINK("https://assets.vans.eu/images/VN000CQRYLW-HERO/1","VN000CQRYLW1")</f>
        <v>VN000CQRYLW1</v>
      </c>
      <c r="B679" s="12" t="s">
        <v>2980</v>
      </c>
      <c r="C679" s="12" t="s">
        <v>1458</v>
      </c>
      <c r="D679" s="12" t="s">
        <v>2981</v>
      </c>
      <c r="E679" s="12" t="s">
        <v>2982</v>
      </c>
      <c r="F679" s="13">
        <v>40</v>
      </c>
      <c r="G679" s="12" t="s">
        <v>2983</v>
      </c>
      <c r="H679" s="12" t="s">
        <v>38</v>
      </c>
      <c r="I679" s="12" t="s">
        <v>113</v>
      </c>
      <c r="J679" s="12" t="s">
        <v>529</v>
      </c>
      <c r="K679" s="12" t="s">
        <v>82</v>
      </c>
      <c r="L679" s="14"/>
      <c r="M679" s="12" t="s">
        <v>43</v>
      </c>
      <c r="N679" s="12" t="s">
        <v>161</v>
      </c>
      <c r="O679" s="12" t="s">
        <v>2984</v>
      </c>
      <c r="P679" s="12" t="s">
        <v>46</v>
      </c>
      <c r="Q679" s="12" t="s">
        <v>47</v>
      </c>
      <c r="R679" s="12" t="s">
        <v>117</v>
      </c>
      <c r="S679" s="13">
        <v>197065639396</v>
      </c>
      <c r="T679" s="12" t="s">
        <v>105</v>
      </c>
      <c r="U679" s="13">
        <v>35</v>
      </c>
      <c r="V679" s="12" t="s">
        <v>50</v>
      </c>
      <c r="W679" s="12" t="s">
        <v>625</v>
      </c>
      <c r="X679" s="14"/>
      <c r="Y679" s="12" t="s">
        <v>53</v>
      </c>
      <c r="Z679" s="12" t="s">
        <v>263</v>
      </c>
      <c r="AA679" s="14"/>
      <c r="AB679" s="14"/>
      <c r="AC679" s="15">
        <v>40.950000000000003</v>
      </c>
      <c r="AD679" s="15">
        <f>AC679*AG679</f>
        <v>409.5</v>
      </c>
      <c r="AE679" s="15">
        <v>90</v>
      </c>
      <c r="AF679" s="15">
        <f>AE679*AG679</f>
        <v>900</v>
      </c>
      <c r="AG679" s="16">
        <v>10</v>
      </c>
    </row>
    <row r="680" spans="1:33" ht="15" customHeight="1" x14ac:dyDescent="0.2">
      <c r="A680" s="11" t="str">
        <f t="shared" ref="A680:A1063" si="301">HYPERLINK("https://assets.vans.eu/images/VN000CTNJBW-HERO/1","VN000CTNJBW1")</f>
        <v>VN000CTNJBW1</v>
      </c>
      <c r="B680" s="12" t="s">
        <v>2985</v>
      </c>
      <c r="C680" s="12" t="s">
        <v>1464</v>
      </c>
      <c r="D680" s="12" t="s">
        <v>464</v>
      </c>
      <c r="E680" s="12" t="s">
        <v>2986</v>
      </c>
      <c r="F680" s="13">
        <v>110</v>
      </c>
      <c r="G680" s="12" t="s">
        <v>2987</v>
      </c>
      <c r="H680" s="12" t="s">
        <v>38</v>
      </c>
      <c r="I680" s="12" t="s">
        <v>159</v>
      </c>
      <c r="J680" s="12" t="s">
        <v>255</v>
      </c>
      <c r="K680" s="12" t="s">
        <v>82</v>
      </c>
      <c r="L680" s="14"/>
      <c r="M680" s="12" t="s">
        <v>43</v>
      </c>
      <c r="N680" s="12" t="s">
        <v>161</v>
      </c>
      <c r="O680" s="12" t="s">
        <v>2988</v>
      </c>
      <c r="P680" s="12" t="s">
        <v>46</v>
      </c>
      <c r="Q680" s="12" t="s">
        <v>47</v>
      </c>
      <c r="R680" s="12" t="s">
        <v>163</v>
      </c>
      <c r="S680" s="13">
        <v>197065652432</v>
      </c>
      <c r="T680" s="12" t="s">
        <v>49</v>
      </c>
      <c r="U680" s="13">
        <v>44.5</v>
      </c>
      <c r="V680" s="12" t="s">
        <v>50</v>
      </c>
      <c r="W680" s="12" t="s">
        <v>175</v>
      </c>
      <c r="X680" s="14"/>
      <c r="Y680" s="12" t="s">
        <v>53</v>
      </c>
      <c r="Z680" s="12" t="s">
        <v>165</v>
      </c>
      <c r="AA680" s="14"/>
      <c r="AB680" s="14"/>
      <c r="AC680" s="15">
        <v>45.5</v>
      </c>
      <c r="AD680" s="15">
        <f>AC680*AG680</f>
        <v>455</v>
      </c>
      <c r="AE680" s="15">
        <v>100</v>
      </c>
      <c r="AF680" s="15">
        <f>AE680*AG680</f>
        <v>1000</v>
      </c>
      <c r="AG680" s="16">
        <v>10</v>
      </c>
    </row>
    <row r="681" spans="1:33" ht="15" customHeight="1" x14ac:dyDescent="0.2">
      <c r="A681" s="11" t="str">
        <f t="shared" si="248"/>
        <v>VN000CVTWHP1</v>
      </c>
      <c r="B681" s="12" t="s">
        <v>2989</v>
      </c>
      <c r="C681" s="12" t="s">
        <v>944</v>
      </c>
      <c r="D681" s="12" t="s">
        <v>945</v>
      </c>
      <c r="E681" s="12" t="s">
        <v>2990</v>
      </c>
      <c r="F681" s="13">
        <v>55</v>
      </c>
      <c r="G681" s="14"/>
      <c r="H681" s="12" t="s">
        <v>38</v>
      </c>
      <c r="I681" s="12" t="s">
        <v>113</v>
      </c>
      <c r="J681" s="12" t="s">
        <v>114</v>
      </c>
      <c r="K681" s="12" t="s">
        <v>82</v>
      </c>
      <c r="L681" s="14"/>
      <c r="M681" s="12" t="s">
        <v>43</v>
      </c>
      <c r="N681" s="12" t="s">
        <v>161</v>
      </c>
      <c r="O681" s="12" t="s">
        <v>2991</v>
      </c>
      <c r="P681" s="12" t="s">
        <v>46</v>
      </c>
      <c r="Q681" s="12" t="s">
        <v>47</v>
      </c>
      <c r="R681" s="12" t="s">
        <v>948</v>
      </c>
      <c r="S681" s="13">
        <v>197065566753</v>
      </c>
      <c r="T681" s="12" t="s">
        <v>49</v>
      </c>
      <c r="U681" s="13">
        <v>37</v>
      </c>
      <c r="V681" s="12" t="s">
        <v>50</v>
      </c>
      <c r="W681" s="12" t="s">
        <v>175</v>
      </c>
      <c r="X681" s="14"/>
      <c r="Y681" s="12" t="s">
        <v>91</v>
      </c>
      <c r="Z681" s="12" t="s">
        <v>165</v>
      </c>
      <c r="AA681" s="14"/>
      <c r="AB681" s="14"/>
      <c r="AC681" s="15">
        <v>65.95</v>
      </c>
      <c r="AD681" s="15">
        <f>AC681*AG681</f>
        <v>659.5</v>
      </c>
      <c r="AE681" s="15">
        <v>145</v>
      </c>
      <c r="AF681" s="15">
        <f>AE681*AG681</f>
        <v>1450</v>
      </c>
      <c r="AG681" s="16">
        <v>10</v>
      </c>
    </row>
    <row r="682" spans="1:33" ht="15" customHeight="1" x14ac:dyDescent="0.2">
      <c r="A682" s="11" t="str">
        <f t="shared" ref="A682:A2501" si="302">HYPERLINK("https://assets.vans.eu/images/VN000CVUOLV-HERO/1","VN000CVUOLV1")</f>
        <v>VN000CVUOLV1</v>
      </c>
      <c r="B682" s="12" t="s">
        <v>2992</v>
      </c>
      <c r="C682" s="12" t="s">
        <v>2993</v>
      </c>
      <c r="D682" s="12" t="s">
        <v>2994</v>
      </c>
      <c r="E682" s="12" t="s">
        <v>2995</v>
      </c>
      <c r="F682" s="13">
        <v>50</v>
      </c>
      <c r="G682" s="14"/>
      <c r="H682" s="12" t="s">
        <v>38</v>
      </c>
      <c r="I682" s="12" t="s">
        <v>159</v>
      </c>
      <c r="J682" s="12" t="s">
        <v>255</v>
      </c>
      <c r="K682" s="12" t="s">
        <v>82</v>
      </c>
      <c r="L682" s="14"/>
      <c r="M682" s="12" t="s">
        <v>43</v>
      </c>
      <c r="N682" s="12" t="s">
        <v>161</v>
      </c>
      <c r="O682" s="12" t="s">
        <v>2996</v>
      </c>
      <c r="P682" s="12" t="s">
        <v>46</v>
      </c>
      <c r="Q682" s="12" t="s">
        <v>47</v>
      </c>
      <c r="R682" s="12" t="s">
        <v>343</v>
      </c>
      <c r="S682" s="13">
        <v>197065569907</v>
      </c>
      <c r="T682" s="12" t="s">
        <v>49</v>
      </c>
      <c r="U682" s="13">
        <v>36.5</v>
      </c>
      <c r="V682" s="12" t="s">
        <v>278</v>
      </c>
      <c r="W682" s="12" t="s">
        <v>118</v>
      </c>
      <c r="X682" s="14"/>
      <c r="Y682" s="12" t="s">
        <v>91</v>
      </c>
      <c r="Z682" s="12" t="s">
        <v>165</v>
      </c>
      <c r="AA682" s="14"/>
      <c r="AB682" s="14"/>
      <c r="AC682" s="15">
        <v>63.65</v>
      </c>
      <c r="AD682" s="15">
        <f>AC682*AG682</f>
        <v>636.5</v>
      </c>
      <c r="AE682" s="15">
        <v>140</v>
      </c>
      <c r="AF682" s="15">
        <f>AE682*AG682</f>
        <v>1400</v>
      </c>
      <c r="AG682" s="16">
        <v>10</v>
      </c>
    </row>
    <row r="683" spans="1:33" ht="15" customHeight="1" x14ac:dyDescent="0.2">
      <c r="A683" s="11" t="str">
        <f t="shared" ref="A683:A840" si="303">HYPERLINK("https://assets.vans.eu/images/VN000CYUEN6-HERO/1","VN000CYUEN61")</f>
        <v>VN000CYUEN61</v>
      </c>
      <c r="B683" s="12" t="s">
        <v>2997</v>
      </c>
      <c r="C683" s="12" t="s">
        <v>110</v>
      </c>
      <c r="D683" s="12" t="s">
        <v>189</v>
      </c>
      <c r="E683" s="12" t="s">
        <v>2998</v>
      </c>
      <c r="F683" s="13">
        <v>120</v>
      </c>
      <c r="G683" s="14"/>
      <c r="H683" s="12" t="s">
        <v>38</v>
      </c>
      <c r="I683" s="12" t="s">
        <v>39</v>
      </c>
      <c r="J683" s="12" t="s">
        <v>40</v>
      </c>
      <c r="K683" s="12" t="s">
        <v>41</v>
      </c>
      <c r="L683" s="14"/>
      <c r="M683" s="12" t="s">
        <v>43</v>
      </c>
      <c r="N683" s="12" t="s">
        <v>84</v>
      </c>
      <c r="O683" s="12" t="s">
        <v>2999</v>
      </c>
      <c r="P683" s="12" t="s">
        <v>46</v>
      </c>
      <c r="Q683" s="12" t="s">
        <v>47</v>
      </c>
      <c r="R683" s="12" t="s">
        <v>48</v>
      </c>
      <c r="S683" s="13">
        <v>197804434817</v>
      </c>
      <c r="T683" s="12" t="s">
        <v>105</v>
      </c>
      <c r="U683" s="13">
        <v>29</v>
      </c>
      <c r="V683" s="12" t="s">
        <v>50</v>
      </c>
      <c r="W683" s="12" t="s">
        <v>118</v>
      </c>
      <c r="X683" s="14"/>
      <c r="Y683" s="14"/>
      <c r="Z683" s="14"/>
      <c r="AA683" s="14"/>
      <c r="AB683" s="14"/>
      <c r="AC683" s="15">
        <v>29.55</v>
      </c>
      <c r="AD683" s="15">
        <f>AC683*AG683</f>
        <v>295.5</v>
      </c>
      <c r="AE683" s="15">
        <v>65</v>
      </c>
      <c r="AF683" s="15">
        <f>AE683*AG683</f>
        <v>650</v>
      </c>
      <c r="AG683" s="16">
        <v>10</v>
      </c>
    </row>
    <row r="684" spans="1:33" ht="15" customHeight="1" x14ac:dyDescent="0.2">
      <c r="A684" s="11" t="str">
        <f t="shared" ref="A684:A842" si="304">HYPERLINK("https://assets.vans.eu/images/VN000CYVENA-HERO/1","VN000CYVENA1")</f>
        <v>VN000CYVENA1</v>
      </c>
      <c r="B684" s="12" t="s">
        <v>3000</v>
      </c>
      <c r="C684" s="12" t="s">
        <v>34</v>
      </c>
      <c r="D684" s="12" t="s">
        <v>280</v>
      </c>
      <c r="E684" s="12" t="s">
        <v>3001</v>
      </c>
      <c r="F684" s="13">
        <v>130</v>
      </c>
      <c r="G684" s="12" t="s">
        <v>3002</v>
      </c>
      <c r="H684" s="12" t="s">
        <v>38</v>
      </c>
      <c r="I684" s="12" t="s">
        <v>39</v>
      </c>
      <c r="J684" s="12" t="s">
        <v>40</v>
      </c>
      <c r="K684" s="12" t="s">
        <v>41</v>
      </c>
      <c r="L684" s="14"/>
      <c r="M684" s="12" t="s">
        <v>43</v>
      </c>
      <c r="N684" s="12" t="s">
        <v>84</v>
      </c>
      <c r="O684" s="12" t="s">
        <v>3003</v>
      </c>
      <c r="P684" s="12" t="s">
        <v>46</v>
      </c>
      <c r="Q684" s="12" t="s">
        <v>47</v>
      </c>
      <c r="R684" s="12" t="s">
        <v>48</v>
      </c>
      <c r="S684" s="13">
        <v>197804518425</v>
      </c>
      <c r="T684" s="12" t="s">
        <v>105</v>
      </c>
      <c r="U684" s="13">
        <v>30.5</v>
      </c>
      <c r="V684" s="12" t="s">
        <v>50</v>
      </c>
      <c r="W684" s="12" t="s">
        <v>284</v>
      </c>
      <c r="X684" s="14"/>
      <c r="Y684" s="14"/>
      <c r="Z684" s="14"/>
      <c r="AA684" s="14"/>
      <c r="AB684" s="14"/>
      <c r="AC684" s="15">
        <v>25</v>
      </c>
      <c r="AD684" s="15">
        <f>AC684*AG684</f>
        <v>250</v>
      </c>
      <c r="AE684" s="15">
        <v>55</v>
      </c>
      <c r="AF684" s="15">
        <f>AE684*AG684</f>
        <v>550</v>
      </c>
      <c r="AG684" s="16">
        <v>10</v>
      </c>
    </row>
    <row r="685" spans="1:33" ht="15" customHeight="1" x14ac:dyDescent="0.2">
      <c r="A685" s="11" t="str">
        <f t="shared" ref="A685:A943" si="305">HYPERLINK("https://assets.vans.eu/images/VN000D0HBZW-HERO/1","VN000D0HBZW1")</f>
        <v>VN000D0HBZW1</v>
      </c>
      <c r="B685" s="12" t="s">
        <v>3004</v>
      </c>
      <c r="C685" s="12" t="s">
        <v>1108</v>
      </c>
      <c r="D685" s="12" t="s">
        <v>58</v>
      </c>
      <c r="E685" s="12" t="s">
        <v>3005</v>
      </c>
      <c r="F685" s="13">
        <v>105</v>
      </c>
      <c r="G685" s="14"/>
      <c r="H685" s="12" t="s">
        <v>38</v>
      </c>
      <c r="I685" s="12" t="s">
        <v>39</v>
      </c>
      <c r="J685" s="12" t="s">
        <v>40</v>
      </c>
      <c r="K685" s="12" t="s">
        <v>41</v>
      </c>
      <c r="L685" s="14"/>
      <c r="M685" s="12" t="s">
        <v>43</v>
      </c>
      <c r="N685" s="12" t="s">
        <v>84</v>
      </c>
      <c r="O685" s="12" t="s">
        <v>3006</v>
      </c>
      <c r="P685" s="12" t="s">
        <v>46</v>
      </c>
      <c r="Q685" s="12" t="s">
        <v>47</v>
      </c>
      <c r="R685" s="12" t="s">
        <v>780</v>
      </c>
      <c r="S685" s="13">
        <v>197804435920</v>
      </c>
      <c r="T685" s="12" t="s">
        <v>49</v>
      </c>
      <c r="U685" s="13">
        <v>27</v>
      </c>
      <c r="V685" s="12" t="s">
        <v>50</v>
      </c>
      <c r="W685" s="12" t="s">
        <v>51</v>
      </c>
      <c r="X685" s="14"/>
      <c r="Y685" s="14"/>
      <c r="Z685" s="14"/>
      <c r="AA685" s="14"/>
      <c r="AB685" s="14"/>
      <c r="AC685" s="15">
        <v>34.1</v>
      </c>
      <c r="AD685" s="15">
        <f>AC685*AG685</f>
        <v>341</v>
      </c>
      <c r="AE685" s="15">
        <v>75</v>
      </c>
      <c r="AF685" s="15">
        <f>AE685*AG685</f>
        <v>750</v>
      </c>
      <c r="AG685" s="16">
        <v>10</v>
      </c>
    </row>
    <row r="686" spans="1:33" ht="15" customHeight="1" x14ac:dyDescent="0.2">
      <c r="A686" s="11" t="str">
        <f t="shared" ref="A686:A756" si="306">HYPERLINK("https://assets.vans.eu/images/VN000D0MKCZ-HERO/1","VN000D0MKCZ1")</f>
        <v>VN000D0MKCZ1</v>
      </c>
      <c r="B686" s="12" t="s">
        <v>3007</v>
      </c>
      <c r="C686" s="12" t="s">
        <v>1763</v>
      </c>
      <c r="D686" s="12" t="s">
        <v>1109</v>
      </c>
      <c r="E686" s="12" t="s">
        <v>3008</v>
      </c>
      <c r="F686" s="13">
        <v>55</v>
      </c>
      <c r="G686" s="12" t="s">
        <v>1111</v>
      </c>
      <c r="H686" s="12" t="s">
        <v>38</v>
      </c>
      <c r="I686" s="12" t="s">
        <v>242</v>
      </c>
      <c r="J686" s="12" t="s">
        <v>243</v>
      </c>
      <c r="K686" s="12" t="s">
        <v>244</v>
      </c>
      <c r="L686" s="14"/>
      <c r="M686" s="12" t="s">
        <v>43</v>
      </c>
      <c r="N686" s="12" t="s">
        <v>84</v>
      </c>
      <c r="O686" s="12" t="s">
        <v>3009</v>
      </c>
      <c r="P686" s="12" t="s">
        <v>46</v>
      </c>
      <c r="Q686" s="12" t="s">
        <v>47</v>
      </c>
      <c r="R686" s="12" t="s">
        <v>780</v>
      </c>
      <c r="S686" s="13">
        <v>197804438389</v>
      </c>
      <c r="T686" s="12" t="s">
        <v>105</v>
      </c>
      <c r="U686" s="13">
        <v>21.5</v>
      </c>
      <c r="V686" s="12" t="s">
        <v>50</v>
      </c>
      <c r="W686" s="12" t="s">
        <v>118</v>
      </c>
      <c r="X686" s="14"/>
      <c r="Y686" s="14"/>
      <c r="Z686" s="14"/>
      <c r="AA686" s="14"/>
      <c r="AB686" s="14"/>
      <c r="AC686" s="15">
        <v>29.55</v>
      </c>
      <c r="AD686" s="15">
        <f>AC686*AG686</f>
        <v>295.5</v>
      </c>
      <c r="AE686" s="15">
        <v>65</v>
      </c>
      <c r="AF686" s="15">
        <f>AE686*AG686</f>
        <v>650</v>
      </c>
      <c r="AG686" s="16">
        <v>10</v>
      </c>
    </row>
    <row r="687" spans="1:33" ht="15" customHeight="1" x14ac:dyDescent="0.2">
      <c r="A687" s="11" t="str">
        <f t="shared" si="306"/>
        <v>VN000D0MKCZ1</v>
      </c>
      <c r="B687" s="12" t="s">
        <v>3010</v>
      </c>
      <c r="C687" s="12" t="s">
        <v>1763</v>
      </c>
      <c r="D687" s="12" t="s">
        <v>1109</v>
      </c>
      <c r="E687" s="12" t="s">
        <v>3011</v>
      </c>
      <c r="F687" s="13">
        <v>65</v>
      </c>
      <c r="G687" s="12" t="s">
        <v>1111</v>
      </c>
      <c r="H687" s="12" t="s">
        <v>38</v>
      </c>
      <c r="I687" s="12" t="s">
        <v>242</v>
      </c>
      <c r="J687" s="12" t="s">
        <v>243</v>
      </c>
      <c r="K687" s="12" t="s">
        <v>244</v>
      </c>
      <c r="L687" s="14"/>
      <c r="M687" s="12" t="s">
        <v>43</v>
      </c>
      <c r="N687" s="12" t="s">
        <v>84</v>
      </c>
      <c r="O687" s="12" t="s">
        <v>3012</v>
      </c>
      <c r="P687" s="12" t="s">
        <v>46</v>
      </c>
      <c r="Q687" s="12" t="s">
        <v>47</v>
      </c>
      <c r="R687" s="12" t="s">
        <v>780</v>
      </c>
      <c r="S687" s="13">
        <v>197804438662</v>
      </c>
      <c r="T687" s="12" t="s">
        <v>105</v>
      </c>
      <c r="U687" s="13">
        <v>22.5</v>
      </c>
      <c r="V687" s="12" t="s">
        <v>50</v>
      </c>
      <c r="W687" s="12" t="s">
        <v>118</v>
      </c>
      <c r="X687" s="14"/>
      <c r="Y687" s="14"/>
      <c r="Z687" s="14"/>
      <c r="AA687" s="14"/>
      <c r="AB687" s="14"/>
      <c r="AC687" s="15">
        <v>29.55</v>
      </c>
      <c r="AD687" s="15">
        <f>AC687*AG687</f>
        <v>295.5</v>
      </c>
      <c r="AE687" s="15">
        <v>65</v>
      </c>
      <c r="AF687" s="15">
        <f>AE687*AG687</f>
        <v>650</v>
      </c>
      <c r="AG687" s="16">
        <v>10</v>
      </c>
    </row>
    <row r="688" spans="1:33" ht="15" customHeight="1" x14ac:dyDescent="0.2">
      <c r="A688" s="11" t="str">
        <f t="shared" ref="A688:A953" si="307">HYPERLINK("https://assets.vans.eu/images/VN000D1JBO9-HERO/1","VN000D1JBO91")</f>
        <v>VN000D1JBO91</v>
      </c>
      <c r="B688" s="12" t="s">
        <v>3013</v>
      </c>
      <c r="C688" s="12" t="s">
        <v>251</v>
      </c>
      <c r="D688" s="12" t="s">
        <v>3014</v>
      </c>
      <c r="E688" s="12" t="s">
        <v>3015</v>
      </c>
      <c r="F688" s="13">
        <v>130</v>
      </c>
      <c r="G688" s="14"/>
      <c r="H688" s="12" t="s">
        <v>38</v>
      </c>
      <c r="I688" s="12" t="s">
        <v>113</v>
      </c>
      <c r="J688" s="12" t="s">
        <v>529</v>
      </c>
      <c r="K688" s="12" t="s">
        <v>82</v>
      </c>
      <c r="L688" s="12" t="s">
        <v>260</v>
      </c>
      <c r="M688" s="12" t="s">
        <v>43</v>
      </c>
      <c r="N688" s="12" t="s">
        <v>84</v>
      </c>
      <c r="O688" s="12" t="s">
        <v>3016</v>
      </c>
      <c r="P688" s="12" t="s">
        <v>46</v>
      </c>
      <c r="Q688" s="12" t="s">
        <v>47</v>
      </c>
      <c r="R688" s="12" t="s">
        <v>117</v>
      </c>
      <c r="S688" s="13">
        <v>197804838325</v>
      </c>
      <c r="T688" s="12" t="s">
        <v>49</v>
      </c>
      <c r="U688" s="13">
        <v>47</v>
      </c>
      <c r="V688" s="12" t="s">
        <v>50</v>
      </c>
      <c r="W688" s="12" t="s">
        <v>299</v>
      </c>
      <c r="X688" s="14"/>
      <c r="Y688" s="14"/>
      <c r="Z688" s="14"/>
      <c r="AA688" s="14"/>
      <c r="AB688" s="14"/>
      <c r="AC688" s="15">
        <v>50</v>
      </c>
      <c r="AD688" s="15">
        <f>AC688*AG688</f>
        <v>500</v>
      </c>
      <c r="AE688" s="15">
        <v>110</v>
      </c>
      <c r="AF688" s="15">
        <f>AE688*AG688</f>
        <v>1100</v>
      </c>
      <c r="AG688" s="16">
        <v>10</v>
      </c>
    </row>
    <row r="689" spans="1:33" ht="15" customHeight="1" x14ac:dyDescent="0.2">
      <c r="A689" s="11" t="str">
        <f t="shared" si="275"/>
        <v>VN000D2VEMY1</v>
      </c>
      <c r="B689" s="12" t="s">
        <v>3017</v>
      </c>
      <c r="C689" s="12" t="s">
        <v>34</v>
      </c>
      <c r="D689" s="12" t="s">
        <v>1155</v>
      </c>
      <c r="E689" s="12" t="s">
        <v>3018</v>
      </c>
      <c r="F689" s="13">
        <v>70</v>
      </c>
      <c r="G689" s="14"/>
      <c r="H689" s="12" t="s">
        <v>38</v>
      </c>
      <c r="I689" s="12" t="s">
        <v>205</v>
      </c>
      <c r="J689" s="12" t="s">
        <v>206</v>
      </c>
      <c r="K689" s="12" t="s">
        <v>207</v>
      </c>
      <c r="L689" s="14"/>
      <c r="M689" s="12" t="s">
        <v>43</v>
      </c>
      <c r="N689" s="12" t="s">
        <v>84</v>
      </c>
      <c r="O689" s="12" t="s">
        <v>3019</v>
      </c>
      <c r="P689" s="12" t="s">
        <v>46</v>
      </c>
      <c r="Q689" s="12" t="s">
        <v>47</v>
      </c>
      <c r="R689" s="12" t="s">
        <v>48</v>
      </c>
      <c r="S689" s="13">
        <v>197804527700</v>
      </c>
      <c r="T689" s="12" t="s">
        <v>164</v>
      </c>
      <c r="U689" s="13">
        <v>39</v>
      </c>
      <c r="V689" s="12" t="s">
        <v>50</v>
      </c>
      <c r="W689" s="12" t="s">
        <v>107</v>
      </c>
      <c r="X689" s="14"/>
      <c r="Y689" s="14"/>
      <c r="Z689" s="14"/>
      <c r="AA689" s="14"/>
      <c r="AB689" s="14"/>
      <c r="AC689" s="15">
        <v>29.55</v>
      </c>
      <c r="AD689" s="15">
        <f>AC689*AG689</f>
        <v>295.5</v>
      </c>
      <c r="AE689" s="15">
        <v>65</v>
      </c>
      <c r="AF689" s="15">
        <f>AE689*AG689</f>
        <v>650</v>
      </c>
      <c r="AG689" s="16">
        <v>10</v>
      </c>
    </row>
    <row r="690" spans="1:33" ht="15" customHeight="1" x14ac:dyDescent="0.2">
      <c r="A690" s="11" t="str">
        <f t="shared" ref="A690:A852" si="308">HYPERLINK("https://assets.vans.eu/images/VN000D6W203-HERO/1","VN000D6W2031")</f>
        <v>VN000D6W2031</v>
      </c>
      <c r="B690" s="12" t="s">
        <v>3020</v>
      </c>
      <c r="C690" s="12" t="s">
        <v>34</v>
      </c>
      <c r="D690" s="12" t="s">
        <v>3021</v>
      </c>
      <c r="E690" s="12" t="s">
        <v>3022</v>
      </c>
      <c r="F690" s="13">
        <v>50</v>
      </c>
      <c r="G690" s="12" t="s">
        <v>3023</v>
      </c>
      <c r="H690" s="12" t="s">
        <v>38</v>
      </c>
      <c r="I690" s="12" t="s">
        <v>113</v>
      </c>
      <c r="J690" s="12" t="s">
        <v>114</v>
      </c>
      <c r="K690" s="12" t="s">
        <v>82</v>
      </c>
      <c r="L690" s="14"/>
      <c r="M690" s="12" t="s">
        <v>43</v>
      </c>
      <c r="N690" s="12" t="s">
        <v>84</v>
      </c>
      <c r="O690" s="12" t="s">
        <v>3024</v>
      </c>
      <c r="P690" s="12" t="s">
        <v>46</v>
      </c>
      <c r="Q690" s="12" t="s">
        <v>47</v>
      </c>
      <c r="R690" s="12" t="s">
        <v>117</v>
      </c>
      <c r="S690" s="13">
        <v>197804538737</v>
      </c>
      <c r="T690" s="12" t="s">
        <v>105</v>
      </c>
      <c r="U690" s="13">
        <v>36.5</v>
      </c>
      <c r="V690" s="12" t="s">
        <v>50</v>
      </c>
      <c r="W690" s="12" t="s">
        <v>118</v>
      </c>
      <c r="X690" s="14"/>
      <c r="Y690" s="14"/>
      <c r="Z690" s="14"/>
      <c r="AA690" s="14"/>
      <c r="AB690" s="14"/>
      <c r="AC690" s="15">
        <v>43.2</v>
      </c>
      <c r="AD690" s="15">
        <f>AC690*AG690</f>
        <v>432</v>
      </c>
      <c r="AE690" s="15">
        <v>95</v>
      </c>
      <c r="AF690" s="15">
        <f>AE690*AG690</f>
        <v>950</v>
      </c>
      <c r="AG690" s="16">
        <v>10</v>
      </c>
    </row>
    <row r="691" spans="1:33" ht="15" customHeight="1" x14ac:dyDescent="0.2">
      <c r="A691" s="11" t="str">
        <f t="shared" si="213"/>
        <v>VN000D6ZO3N1</v>
      </c>
      <c r="B691" s="12" t="s">
        <v>3025</v>
      </c>
      <c r="C691" s="12" t="s">
        <v>110</v>
      </c>
      <c r="D691" s="12" t="s">
        <v>744</v>
      </c>
      <c r="E691" s="12" t="s">
        <v>3026</v>
      </c>
      <c r="F691" s="13">
        <v>50</v>
      </c>
      <c r="G691" s="12" t="s">
        <v>1460</v>
      </c>
      <c r="H691" s="12" t="s">
        <v>38</v>
      </c>
      <c r="I691" s="12" t="s">
        <v>113</v>
      </c>
      <c r="J691" s="12" t="s">
        <v>114</v>
      </c>
      <c r="K691" s="12" t="s">
        <v>82</v>
      </c>
      <c r="L691" s="14"/>
      <c r="M691" s="12" t="s">
        <v>43</v>
      </c>
      <c r="N691" s="12" t="s">
        <v>44</v>
      </c>
      <c r="O691" s="12" t="s">
        <v>3027</v>
      </c>
      <c r="P691" s="12" t="s">
        <v>46</v>
      </c>
      <c r="Q691" s="12" t="s">
        <v>47</v>
      </c>
      <c r="R691" s="12" t="s">
        <v>117</v>
      </c>
      <c r="S691" s="13">
        <v>197643214144</v>
      </c>
      <c r="T691" s="12" t="s">
        <v>49</v>
      </c>
      <c r="U691" s="13">
        <v>36.5</v>
      </c>
      <c r="V691" s="12" t="s">
        <v>50</v>
      </c>
      <c r="W691" s="12" t="s">
        <v>299</v>
      </c>
      <c r="X691" s="14"/>
      <c r="Y691" s="12" t="s">
        <v>91</v>
      </c>
      <c r="Z691" s="12" t="s">
        <v>165</v>
      </c>
      <c r="AA691" s="14"/>
      <c r="AB691" s="14"/>
      <c r="AC691" s="15">
        <v>43.2</v>
      </c>
      <c r="AD691" s="15">
        <f>AC691*AG691</f>
        <v>432</v>
      </c>
      <c r="AE691" s="15">
        <v>95</v>
      </c>
      <c r="AF691" s="15">
        <f>AE691*AG691</f>
        <v>950</v>
      </c>
      <c r="AG691" s="16">
        <v>10</v>
      </c>
    </row>
    <row r="692" spans="1:33" ht="15" customHeight="1" x14ac:dyDescent="0.2">
      <c r="A692" s="11" t="str">
        <f t="shared" ref="A692:A855" si="309">HYPERLINK("https://assets.vans.eu/images/VN000D7J52K-HERO/1","VN000D7J52K1")</f>
        <v>VN000D7J52K1</v>
      </c>
      <c r="B692" s="12" t="s">
        <v>3028</v>
      </c>
      <c r="C692" s="12" t="s">
        <v>2304</v>
      </c>
      <c r="D692" s="12" t="s">
        <v>929</v>
      </c>
      <c r="E692" s="12" t="s">
        <v>3029</v>
      </c>
      <c r="F692" s="13">
        <v>130</v>
      </c>
      <c r="G692" s="14"/>
      <c r="H692" s="12" t="s">
        <v>38</v>
      </c>
      <c r="I692" s="12" t="s">
        <v>159</v>
      </c>
      <c r="J692" s="12" t="s">
        <v>255</v>
      </c>
      <c r="K692" s="12" t="s">
        <v>199</v>
      </c>
      <c r="L692" s="14"/>
      <c r="M692" s="12" t="s">
        <v>43</v>
      </c>
      <c r="N692" s="12" t="s">
        <v>44</v>
      </c>
      <c r="O692" s="12" t="s">
        <v>3030</v>
      </c>
      <c r="P692" s="12" t="s">
        <v>46</v>
      </c>
      <c r="Q692" s="12" t="s">
        <v>276</v>
      </c>
      <c r="R692" s="12" t="s">
        <v>277</v>
      </c>
      <c r="S692" s="13">
        <v>197643292630</v>
      </c>
      <c r="T692" s="12" t="s">
        <v>49</v>
      </c>
      <c r="U692" s="13">
        <v>47</v>
      </c>
      <c r="V692" s="12" t="s">
        <v>278</v>
      </c>
      <c r="W692" s="12" t="s">
        <v>933</v>
      </c>
      <c r="X692" s="14"/>
      <c r="Y692" s="12" t="s">
        <v>91</v>
      </c>
      <c r="Z692" s="12" t="s">
        <v>165</v>
      </c>
      <c r="AA692" s="14"/>
      <c r="AB692" s="14"/>
      <c r="AC692" s="15">
        <v>25</v>
      </c>
      <c r="AD692" s="15">
        <f>AC692*AG692</f>
        <v>250</v>
      </c>
      <c r="AE692" s="15">
        <v>55</v>
      </c>
      <c r="AF692" s="15">
        <f>AE692*AG692</f>
        <v>550</v>
      </c>
      <c r="AG692" s="16">
        <v>10</v>
      </c>
    </row>
    <row r="693" spans="1:33" ht="15" customHeight="1" x14ac:dyDescent="0.2">
      <c r="A693" s="11" t="str">
        <f t="shared" ref="A693:A1082" si="310">HYPERLINK("https://assets.vans.eu/images/VN000DA2YY0-HERO/1","VN000DA2YY01")</f>
        <v>VN000DA2YY01</v>
      </c>
      <c r="B693" s="12" t="s">
        <v>3031</v>
      </c>
      <c r="C693" s="12" t="s">
        <v>3032</v>
      </c>
      <c r="D693" s="12" t="s">
        <v>3033</v>
      </c>
      <c r="E693" s="12" t="s">
        <v>3034</v>
      </c>
      <c r="F693" s="13">
        <v>90</v>
      </c>
      <c r="G693" s="14"/>
      <c r="H693" s="12" t="s">
        <v>38</v>
      </c>
      <c r="I693" s="12" t="s">
        <v>159</v>
      </c>
      <c r="J693" s="12" t="s">
        <v>341</v>
      </c>
      <c r="K693" s="12" t="s">
        <v>199</v>
      </c>
      <c r="L693" s="14"/>
      <c r="M693" s="12" t="s">
        <v>43</v>
      </c>
      <c r="N693" s="12" t="s">
        <v>84</v>
      </c>
      <c r="O693" s="12" t="s">
        <v>3035</v>
      </c>
      <c r="P693" s="12" t="s">
        <v>46</v>
      </c>
      <c r="Q693" s="12" t="s">
        <v>47</v>
      </c>
      <c r="R693" s="12" t="s">
        <v>163</v>
      </c>
      <c r="S693" s="13">
        <v>197804555123</v>
      </c>
      <c r="T693" s="12" t="s">
        <v>105</v>
      </c>
      <c r="U693" s="13">
        <v>42</v>
      </c>
      <c r="V693" s="12" t="s">
        <v>50</v>
      </c>
      <c r="W693" s="12" t="s">
        <v>284</v>
      </c>
      <c r="X693" s="14"/>
      <c r="Y693" s="14"/>
      <c r="Z693" s="14"/>
      <c r="AA693" s="14"/>
      <c r="AB693" s="14"/>
      <c r="AC693" s="15">
        <v>40.950000000000003</v>
      </c>
      <c r="AD693" s="15">
        <f>AC693*AG693</f>
        <v>409.5</v>
      </c>
      <c r="AE693" s="15">
        <v>90</v>
      </c>
      <c r="AF693" s="15">
        <f>AE693*AG693</f>
        <v>900</v>
      </c>
      <c r="AG693" s="16">
        <v>10</v>
      </c>
    </row>
    <row r="694" spans="1:33" ht="15" customHeight="1" x14ac:dyDescent="0.2">
      <c r="A694" s="11" t="str">
        <f t="shared" si="279"/>
        <v>VN000DAQ1MG1</v>
      </c>
      <c r="B694" s="12" t="s">
        <v>3036</v>
      </c>
      <c r="C694" s="12" t="s">
        <v>2817</v>
      </c>
      <c r="D694" s="12" t="s">
        <v>2818</v>
      </c>
      <c r="E694" s="12" t="s">
        <v>3037</v>
      </c>
      <c r="F694" s="13">
        <v>65</v>
      </c>
      <c r="G694" s="14"/>
      <c r="H694" s="12" t="s">
        <v>38</v>
      </c>
      <c r="I694" s="12" t="s">
        <v>113</v>
      </c>
      <c r="J694" s="12" t="s">
        <v>114</v>
      </c>
      <c r="K694" s="12" t="s">
        <v>82</v>
      </c>
      <c r="L694" s="14"/>
      <c r="M694" s="12" t="s">
        <v>43</v>
      </c>
      <c r="N694" s="12" t="s">
        <v>84</v>
      </c>
      <c r="O694" s="12" t="s">
        <v>3038</v>
      </c>
      <c r="P694" s="12" t="s">
        <v>46</v>
      </c>
      <c r="Q694" s="12" t="s">
        <v>47</v>
      </c>
      <c r="R694" s="12" t="s">
        <v>948</v>
      </c>
      <c r="S694" s="13">
        <v>197804556199</v>
      </c>
      <c r="T694" s="12" t="s">
        <v>49</v>
      </c>
      <c r="U694" s="13">
        <v>38.5</v>
      </c>
      <c r="V694" s="12" t="s">
        <v>50</v>
      </c>
      <c r="W694" s="12" t="s">
        <v>455</v>
      </c>
      <c r="X694" s="14"/>
      <c r="Y694" s="14"/>
      <c r="Z694" s="14"/>
      <c r="AA694" s="14"/>
      <c r="AB694" s="14"/>
      <c r="AC694" s="15">
        <v>65.95</v>
      </c>
      <c r="AD694" s="15">
        <f>AC694*AG694</f>
        <v>659.5</v>
      </c>
      <c r="AE694" s="15">
        <v>145</v>
      </c>
      <c r="AF694" s="15">
        <f>AE694*AG694</f>
        <v>1450</v>
      </c>
      <c r="AG694" s="16">
        <v>10</v>
      </c>
    </row>
    <row r="695" spans="1:33" ht="15" customHeight="1" x14ac:dyDescent="0.2">
      <c r="A695" s="11" t="str">
        <f t="shared" si="232"/>
        <v>VN000DCJGRN1</v>
      </c>
      <c r="B695" s="12" t="s">
        <v>3039</v>
      </c>
      <c r="C695" s="12" t="s">
        <v>2427</v>
      </c>
      <c r="D695" s="12" t="s">
        <v>2428</v>
      </c>
      <c r="E695" s="12" t="s">
        <v>3040</v>
      </c>
      <c r="F695" s="13">
        <v>25</v>
      </c>
      <c r="G695" s="14"/>
      <c r="H695" s="12" t="s">
        <v>38</v>
      </c>
      <c r="I695" s="12" t="s">
        <v>39</v>
      </c>
      <c r="J695" s="12" t="s">
        <v>2430</v>
      </c>
      <c r="K695" s="12" t="s">
        <v>373</v>
      </c>
      <c r="L695" s="14"/>
      <c r="M695" s="12" t="s">
        <v>43</v>
      </c>
      <c r="N695" s="12" t="s">
        <v>84</v>
      </c>
      <c r="O695" s="12" t="s">
        <v>3041</v>
      </c>
      <c r="P695" s="12" t="s">
        <v>46</v>
      </c>
      <c r="Q695" s="12" t="s">
        <v>2432</v>
      </c>
      <c r="R695" s="12" t="s">
        <v>2433</v>
      </c>
      <c r="S695" s="13">
        <v>197804564309</v>
      </c>
      <c r="T695" s="12" t="s">
        <v>49</v>
      </c>
      <c r="U695" s="13">
        <v>33</v>
      </c>
      <c r="V695" s="12" t="s">
        <v>50</v>
      </c>
      <c r="W695" s="12" t="s">
        <v>118</v>
      </c>
      <c r="X695" s="14"/>
      <c r="Y695" s="14"/>
      <c r="Z695" s="14"/>
      <c r="AA695" s="14"/>
      <c r="AB695" s="14"/>
      <c r="AC695" s="15">
        <v>31.85</v>
      </c>
      <c r="AD695" s="15">
        <f>AC695*AG695</f>
        <v>318.5</v>
      </c>
      <c r="AE695" s="15">
        <v>70</v>
      </c>
      <c r="AF695" s="15">
        <f>AE695*AG695</f>
        <v>700</v>
      </c>
      <c r="AG695" s="16">
        <v>10</v>
      </c>
    </row>
    <row r="696" spans="1:33" ht="15" customHeight="1" x14ac:dyDescent="0.2">
      <c r="A696" s="11" t="str">
        <f t="shared" ref="A696:A2778" si="311">HYPERLINK("https://assets.vans.eu/images/VN000E8CGMU-HERO/1","VN000E8CGMU1")</f>
        <v>VN000E8CGMU1</v>
      </c>
      <c r="B696" s="12" t="s">
        <v>3042</v>
      </c>
      <c r="C696" s="12" t="s">
        <v>2309</v>
      </c>
      <c r="D696" s="12" t="s">
        <v>3043</v>
      </c>
      <c r="E696" s="12" t="s">
        <v>3044</v>
      </c>
      <c r="F696" s="13">
        <v>130</v>
      </c>
      <c r="G696" s="12" t="s">
        <v>2273</v>
      </c>
      <c r="H696" s="12" t="s">
        <v>38</v>
      </c>
      <c r="I696" s="12" t="s">
        <v>113</v>
      </c>
      <c r="J696" s="12" t="s">
        <v>114</v>
      </c>
      <c r="K696" s="12" t="s">
        <v>82</v>
      </c>
      <c r="L696" s="12" t="s">
        <v>42</v>
      </c>
      <c r="M696" s="12" t="s">
        <v>43</v>
      </c>
      <c r="N696" s="12" t="s">
        <v>84</v>
      </c>
      <c r="O696" s="12" t="s">
        <v>3045</v>
      </c>
      <c r="P696" s="12" t="s">
        <v>46</v>
      </c>
      <c r="Q696" s="12" t="s">
        <v>47</v>
      </c>
      <c r="R696" s="12" t="s">
        <v>117</v>
      </c>
      <c r="S696" s="13">
        <v>197805861681</v>
      </c>
      <c r="T696" s="12" t="s">
        <v>49</v>
      </c>
      <c r="U696" s="13">
        <v>47</v>
      </c>
      <c r="V696" s="12" t="s">
        <v>209</v>
      </c>
      <c r="W696" s="12" t="s">
        <v>580</v>
      </c>
      <c r="X696" s="14"/>
      <c r="Y696" s="14"/>
      <c r="Z696" s="14"/>
      <c r="AA696" s="14"/>
      <c r="AB696" s="14"/>
      <c r="AC696" s="15">
        <v>43.2</v>
      </c>
      <c r="AD696" s="15">
        <f>AC696*AG696</f>
        <v>432</v>
      </c>
      <c r="AE696" s="15">
        <v>95</v>
      </c>
      <c r="AF696" s="15">
        <f>AE696*AG696</f>
        <v>950</v>
      </c>
      <c r="AG696" s="16">
        <v>10</v>
      </c>
    </row>
    <row r="697" spans="1:33" ht="15" customHeight="1" x14ac:dyDescent="0.2">
      <c r="A697" s="11" t="str">
        <f t="shared" si="59"/>
        <v>VN000E8JQPT1</v>
      </c>
      <c r="B697" s="12" t="s">
        <v>3046</v>
      </c>
      <c r="C697" s="12" t="s">
        <v>956</v>
      </c>
      <c r="D697" s="12" t="s">
        <v>957</v>
      </c>
      <c r="E697" s="12" t="s">
        <v>3047</v>
      </c>
      <c r="F697" s="13">
        <v>90</v>
      </c>
      <c r="G697" s="14"/>
      <c r="H697" s="12" t="s">
        <v>38</v>
      </c>
      <c r="I697" s="12" t="s">
        <v>159</v>
      </c>
      <c r="J697" s="12" t="s">
        <v>341</v>
      </c>
      <c r="K697" s="12" t="s">
        <v>199</v>
      </c>
      <c r="L697" s="14"/>
      <c r="M697" s="12" t="s">
        <v>43</v>
      </c>
      <c r="N697" s="12" t="s">
        <v>84</v>
      </c>
      <c r="O697" s="12" t="s">
        <v>3048</v>
      </c>
      <c r="P697" s="12" t="s">
        <v>46</v>
      </c>
      <c r="Q697" s="12" t="s">
        <v>47</v>
      </c>
      <c r="R697" s="12" t="s">
        <v>163</v>
      </c>
      <c r="S697" s="13">
        <v>197805952594</v>
      </c>
      <c r="T697" s="12" t="s">
        <v>49</v>
      </c>
      <c r="U697" s="13">
        <v>42</v>
      </c>
      <c r="V697" s="12" t="s">
        <v>50</v>
      </c>
      <c r="W697" s="12" t="s">
        <v>51</v>
      </c>
      <c r="X697" s="14"/>
      <c r="Y697" s="14"/>
      <c r="Z697" s="14"/>
      <c r="AA697" s="14"/>
      <c r="AB697" s="14"/>
      <c r="AC697" s="15">
        <v>45.5</v>
      </c>
      <c r="AD697" s="15">
        <f>AC697*AG697</f>
        <v>455</v>
      </c>
      <c r="AE697" s="15">
        <v>100</v>
      </c>
      <c r="AF697" s="15">
        <f>AE697*AG697</f>
        <v>1000</v>
      </c>
      <c r="AG697" s="16">
        <v>10</v>
      </c>
    </row>
    <row r="698" spans="1:33" ht="15" customHeight="1" x14ac:dyDescent="0.2">
      <c r="A698" s="11" t="str">
        <f t="shared" ref="A698:A864" si="312">HYPERLINK("https://assets.vans.eu/images/VN000KI5186-HERO/1","VN000KI51861")</f>
        <v>VN000KI51861</v>
      </c>
      <c r="B698" s="12" t="s">
        <v>3049</v>
      </c>
      <c r="C698" s="12" t="s">
        <v>369</v>
      </c>
      <c r="D698" s="12" t="s">
        <v>370</v>
      </c>
      <c r="E698" s="12" t="s">
        <v>3050</v>
      </c>
      <c r="F698" s="13">
        <v>30</v>
      </c>
      <c r="G698" s="12" t="s">
        <v>372</v>
      </c>
      <c r="H698" s="12" t="s">
        <v>38</v>
      </c>
      <c r="I698" s="12" t="s">
        <v>39</v>
      </c>
      <c r="J698" s="12" t="s">
        <v>40</v>
      </c>
      <c r="K698" s="12" t="s">
        <v>373</v>
      </c>
      <c r="L698" s="14"/>
      <c r="M698" s="12" t="s">
        <v>43</v>
      </c>
      <c r="N698" s="12" t="s">
        <v>84</v>
      </c>
      <c r="O698" s="12" t="s">
        <v>3051</v>
      </c>
      <c r="P698" s="12" t="s">
        <v>46</v>
      </c>
      <c r="Q698" s="12" t="s">
        <v>47</v>
      </c>
      <c r="R698" s="12" t="s">
        <v>48</v>
      </c>
      <c r="S698" s="13">
        <v>766182060477</v>
      </c>
      <c r="T698" s="12" t="s">
        <v>105</v>
      </c>
      <c r="U698" s="13">
        <v>34</v>
      </c>
      <c r="V698" s="12" t="s">
        <v>375</v>
      </c>
      <c r="W698" s="12" t="s">
        <v>51</v>
      </c>
      <c r="X698" s="14"/>
      <c r="Y698" s="12" t="s">
        <v>71</v>
      </c>
      <c r="Z698" s="12" t="s">
        <v>376</v>
      </c>
      <c r="AA698" s="14"/>
      <c r="AB698" s="14"/>
      <c r="AC698" s="15">
        <v>19.05</v>
      </c>
      <c r="AD698" s="15">
        <f>AC698*AG698</f>
        <v>190.5</v>
      </c>
      <c r="AE698" s="15">
        <v>40</v>
      </c>
      <c r="AF698" s="15">
        <f>AE698*AG698</f>
        <v>400</v>
      </c>
      <c r="AG698" s="16">
        <v>10</v>
      </c>
    </row>
    <row r="699" spans="1:33" ht="15" customHeight="1" x14ac:dyDescent="0.2">
      <c r="A699" s="11" t="str">
        <f t="shared" ref="A699:A1992" si="313">HYPERLINK("https://assets.vans.eu/images/VN0A2Z4CEL7-HERO/1","VN0A2Z4CEL71")</f>
        <v>VN0A2Z4CEL71</v>
      </c>
      <c r="B699" s="12" t="s">
        <v>3052</v>
      </c>
      <c r="C699" s="12" t="s">
        <v>3053</v>
      </c>
      <c r="D699" s="12" t="s">
        <v>3054</v>
      </c>
      <c r="E699" s="12" t="s">
        <v>3055</v>
      </c>
      <c r="F699" s="13">
        <v>95</v>
      </c>
      <c r="G699" s="12" t="s">
        <v>953</v>
      </c>
      <c r="H699" s="12" t="s">
        <v>38</v>
      </c>
      <c r="I699" s="12" t="s">
        <v>113</v>
      </c>
      <c r="J699" s="12" t="s">
        <v>529</v>
      </c>
      <c r="K699" s="12" t="s">
        <v>100</v>
      </c>
      <c r="L699" s="14"/>
      <c r="M699" s="12" t="s">
        <v>43</v>
      </c>
      <c r="N699" s="12" t="s">
        <v>44</v>
      </c>
      <c r="O699" s="12" t="s">
        <v>3056</v>
      </c>
      <c r="P699" s="12" t="s">
        <v>46</v>
      </c>
      <c r="Q699" s="12" t="s">
        <v>47</v>
      </c>
      <c r="R699" s="12" t="s">
        <v>117</v>
      </c>
      <c r="S699" s="13">
        <v>197643311256</v>
      </c>
      <c r="T699" s="12" t="s">
        <v>49</v>
      </c>
      <c r="U699" s="13">
        <v>40.5</v>
      </c>
      <c r="V699" s="12" t="s">
        <v>375</v>
      </c>
      <c r="W699" s="12" t="s">
        <v>186</v>
      </c>
      <c r="X699" s="14"/>
      <c r="Y699" s="12" t="s">
        <v>71</v>
      </c>
      <c r="Z699" s="12" t="s">
        <v>376</v>
      </c>
      <c r="AA699" s="14"/>
      <c r="AB699" s="14"/>
      <c r="AC699" s="15">
        <v>35.75</v>
      </c>
      <c r="AD699" s="15">
        <f>AC699*AG699</f>
        <v>357.5</v>
      </c>
      <c r="AE699" s="15">
        <v>75</v>
      </c>
      <c r="AF699" s="15">
        <f>AE699*AG699</f>
        <v>750</v>
      </c>
      <c r="AG699" s="16">
        <v>10</v>
      </c>
    </row>
    <row r="700" spans="1:33" ht="15" customHeight="1" x14ac:dyDescent="0.2">
      <c r="A700" s="11" t="str">
        <f>HYPERLINK("https://assets.vans.eu/images/VN0A54F4BD5-HERO/1","VN0A54F4BD51")</f>
        <v>VN0A54F4BD51</v>
      </c>
      <c r="B700" s="12" t="s">
        <v>3057</v>
      </c>
      <c r="C700" s="12" t="s">
        <v>3058</v>
      </c>
      <c r="D700" s="12" t="s">
        <v>3059</v>
      </c>
      <c r="E700" s="12" t="s">
        <v>3060</v>
      </c>
      <c r="F700" s="13">
        <v>50</v>
      </c>
      <c r="G700" s="12" t="s">
        <v>3061</v>
      </c>
      <c r="H700" s="12" t="s">
        <v>38</v>
      </c>
      <c r="I700" s="12" t="s">
        <v>3062</v>
      </c>
      <c r="J700" s="12" t="s">
        <v>3063</v>
      </c>
      <c r="K700" s="12" t="s">
        <v>82</v>
      </c>
      <c r="L700" s="14"/>
      <c r="M700" s="12" t="s">
        <v>43</v>
      </c>
      <c r="N700" s="12" t="s">
        <v>3064</v>
      </c>
      <c r="O700" s="12" t="s">
        <v>3065</v>
      </c>
      <c r="P700" s="12" t="s">
        <v>46</v>
      </c>
      <c r="Q700" s="12" t="s">
        <v>47</v>
      </c>
      <c r="R700" s="12" t="s">
        <v>2123</v>
      </c>
      <c r="S700" s="13">
        <v>196244786890</v>
      </c>
      <c r="T700" s="12" t="s">
        <v>49</v>
      </c>
      <c r="U700" s="13">
        <v>36.5</v>
      </c>
      <c r="V700" s="12" t="s">
        <v>209</v>
      </c>
      <c r="W700" s="12" t="s">
        <v>107</v>
      </c>
      <c r="X700" s="14"/>
      <c r="Y700" s="12" t="s">
        <v>91</v>
      </c>
      <c r="Z700" s="12" t="s">
        <v>2600</v>
      </c>
      <c r="AA700" s="14"/>
      <c r="AB700" s="13">
        <v>0</v>
      </c>
      <c r="AC700" s="15">
        <v>40.9</v>
      </c>
      <c r="AD700" s="15">
        <f>AC700*AG700</f>
        <v>409</v>
      </c>
      <c r="AE700" s="15">
        <v>90</v>
      </c>
      <c r="AF700" s="15">
        <f>AE700*AG700</f>
        <v>900</v>
      </c>
      <c r="AG700" s="16">
        <v>10</v>
      </c>
    </row>
    <row r="701" spans="1:33" ht="15" customHeight="1" x14ac:dyDescent="0.2">
      <c r="A701" s="11" t="str">
        <f>HYPERLINK("https://assets.vans.eu/images/VN000KYCBLK-HERO/1","VN000KYCBLK1")</f>
        <v>VN000KYCBLK1</v>
      </c>
      <c r="B701" s="12" t="s">
        <v>3066</v>
      </c>
      <c r="C701" s="12" t="s">
        <v>3067</v>
      </c>
      <c r="D701" s="12" t="s">
        <v>76</v>
      </c>
      <c r="E701" s="12" t="s">
        <v>3068</v>
      </c>
      <c r="F701" s="12" t="s">
        <v>78</v>
      </c>
      <c r="G701" s="14"/>
      <c r="H701" s="12" t="s">
        <v>79</v>
      </c>
      <c r="I701" s="12" t="s">
        <v>80</v>
      </c>
      <c r="J701" s="12" t="s">
        <v>349</v>
      </c>
      <c r="K701" s="12" t="s">
        <v>82</v>
      </c>
      <c r="L701" s="14"/>
      <c r="M701" s="12" t="s">
        <v>43</v>
      </c>
      <c r="N701" s="12" t="s">
        <v>44</v>
      </c>
      <c r="O701" s="12" t="s">
        <v>3069</v>
      </c>
      <c r="P701" s="12" t="s">
        <v>86</v>
      </c>
      <c r="Q701" s="12" t="s">
        <v>128</v>
      </c>
      <c r="R701" s="12" t="s">
        <v>352</v>
      </c>
      <c r="S701" s="13">
        <v>197643536727</v>
      </c>
      <c r="T701" s="12" t="s">
        <v>130</v>
      </c>
      <c r="U701" s="12" t="s">
        <v>78</v>
      </c>
      <c r="V701" s="12" t="s">
        <v>391</v>
      </c>
      <c r="W701" s="12" t="s">
        <v>51</v>
      </c>
      <c r="X701" s="13">
        <v>0</v>
      </c>
      <c r="Y701" s="12" t="s">
        <v>91</v>
      </c>
      <c r="Z701" s="12" t="s">
        <v>108</v>
      </c>
      <c r="AA701" s="13">
        <v>0</v>
      </c>
      <c r="AB701" s="13">
        <v>0</v>
      </c>
      <c r="AC701" s="15">
        <v>14.55</v>
      </c>
      <c r="AD701" s="15">
        <f>AC701*AG701</f>
        <v>130.95000000000002</v>
      </c>
      <c r="AE701" s="15">
        <v>32</v>
      </c>
      <c r="AF701" s="15">
        <f>AE701*AG701</f>
        <v>288</v>
      </c>
      <c r="AG701" s="16">
        <v>9</v>
      </c>
    </row>
    <row r="702" spans="1:33" ht="15" customHeight="1" x14ac:dyDescent="0.2">
      <c r="A702" s="11" t="str">
        <f>HYPERLINK("https://assets.vans.eu/images/VN000LC0CVQ-HERO/1","VN000LC0CVQ1")</f>
        <v>VN000LC0CVQ1</v>
      </c>
      <c r="B702" s="12" t="s">
        <v>3070</v>
      </c>
      <c r="C702" s="12" t="s">
        <v>712</v>
      </c>
      <c r="D702" s="12" t="s">
        <v>3071</v>
      </c>
      <c r="E702" s="12" t="s">
        <v>3072</v>
      </c>
      <c r="F702" s="12" t="s">
        <v>78</v>
      </c>
      <c r="G702" s="14"/>
      <c r="H702" s="12" t="s">
        <v>79</v>
      </c>
      <c r="I702" s="12" t="s">
        <v>80</v>
      </c>
      <c r="J702" s="12" t="s">
        <v>99</v>
      </c>
      <c r="K702" s="12" t="s">
        <v>199</v>
      </c>
      <c r="L702" s="14"/>
      <c r="M702" s="12" t="s">
        <v>43</v>
      </c>
      <c r="N702" s="12" t="s">
        <v>84</v>
      </c>
      <c r="O702" s="12" t="s">
        <v>3073</v>
      </c>
      <c r="P702" s="12" t="s">
        <v>86</v>
      </c>
      <c r="Q702" s="12" t="s">
        <v>716</v>
      </c>
      <c r="R702" s="12" t="s">
        <v>717</v>
      </c>
      <c r="S702" s="13">
        <v>827399406899</v>
      </c>
      <c r="T702" s="12" t="s">
        <v>143</v>
      </c>
      <c r="U702" s="12" t="s">
        <v>78</v>
      </c>
      <c r="V702" s="12" t="s">
        <v>718</v>
      </c>
      <c r="W702" s="12" t="s">
        <v>51</v>
      </c>
      <c r="X702" s="13">
        <v>0</v>
      </c>
      <c r="Y702" s="12" t="s">
        <v>71</v>
      </c>
      <c r="Z702" s="12" t="s">
        <v>108</v>
      </c>
      <c r="AA702" s="13">
        <v>0</v>
      </c>
      <c r="AB702" s="13">
        <v>0</v>
      </c>
      <c r="AC702" s="15">
        <v>8.1999999999999993</v>
      </c>
      <c r="AD702" s="15">
        <f>AC702*AG702</f>
        <v>73.8</v>
      </c>
      <c r="AE702" s="15">
        <v>18</v>
      </c>
      <c r="AF702" s="15">
        <f>AE702*AG702</f>
        <v>162</v>
      </c>
      <c r="AG702" s="16">
        <v>9</v>
      </c>
    </row>
    <row r="703" spans="1:33" ht="15" customHeight="1" x14ac:dyDescent="0.2">
      <c r="A703" s="11" t="str">
        <f t="shared" si="133"/>
        <v>VN000QAQEMU1</v>
      </c>
      <c r="B703" s="12" t="s">
        <v>3074</v>
      </c>
      <c r="C703" s="12" t="s">
        <v>1626</v>
      </c>
      <c r="D703" s="12" t="s">
        <v>1319</v>
      </c>
      <c r="E703" s="12" t="s">
        <v>3075</v>
      </c>
      <c r="F703" s="12" t="s">
        <v>853</v>
      </c>
      <c r="G703" s="14"/>
      <c r="H703" s="12" t="s">
        <v>79</v>
      </c>
      <c r="I703" s="12" t="s">
        <v>80</v>
      </c>
      <c r="J703" s="12" t="s">
        <v>349</v>
      </c>
      <c r="K703" s="12" t="s">
        <v>82</v>
      </c>
      <c r="L703" s="14"/>
      <c r="M703" s="12" t="s">
        <v>43</v>
      </c>
      <c r="N703" s="12" t="s">
        <v>84</v>
      </c>
      <c r="O703" s="12" t="s">
        <v>3076</v>
      </c>
      <c r="P703" s="12" t="s">
        <v>86</v>
      </c>
      <c r="Q703" s="12" t="s">
        <v>128</v>
      </c>
      <c r="R703" s="12" t="s">
        <v>352</v>
      </c>
      <c r="S703" s="13">
        <v>197804375035</v>
      </c>
      <c r="T703" s="12" t="s">
        <v>164</v>
      </c>
      <c r="U703" s="12" t="s">
        <v>853</v>
      </c>
      <c r="V703" s="12" t="s">
        <v>1629</v>
      </c>
      <c r="W703" s="12" t="s">
        <v>118</v>
      </c>
      <c r="X703" s="14"/>
      <c r="Y703" s="14"/>
      <c r="Z703" s="14"/>
      <c r="AA703" s="14"/>
      <c r="AB703" s="14"/>
      <c r="AC703" s="15">
        <v>20.5</v>
      </c>
      <c r="AD703" s="15">
        <f>AC703*AG703</f>
        <v>184.5</v>
      </c>
      <c r="AE703" s="15">
        <v>45</v>
      </c>
      <c r="AF703" s="15">
        <f>AE703*AG703</f>
        <v>405</v>
      </c>
      <c r="AG703" s="16">
        <v>9</v>
      </c>
    </row>
    <row r="704" spans="1:33" ht="15" customHeight="1" x14ac:dyDescent="0.2">
      <c r="A704" s="11" t="str">
        <f>HYPERLINK("https://assets.vans.eu/images/VN000QAWBLK-HERO/1","VN000QAWBLK1")</f>
        <v>VN000QAWBLK1</v>
      </c>
      <c r="B704" s="12" t="s">
        <v>3077</v>
      </c>
      <c r="C704" s="12" t="s">
        <v>2029</v>
      </c>
      <c r="D704" s="12" t="s">
        <v>76</v>
      </c>
      <c r="E704" s="12" t="s">
        <v>3078</v>
      </c>
      <c r="F704" s="12" t="s">
        <v>78</v>
      </c>
      <c r="G704" s="14"/>
      <c r="H704" s="12" t="s">
        <v>79</v>
      </c>
      <c r="I704" s="12" t="s">
        <v>80</v>
      </c>
      <c r="J704" s="12" t="s">
        <v>349</v>
      </c>
      <c r="K704" s="12" t="s">
        <v>82</v>
      </c>
      <c r="L704" s="14"/>
      <c r="M704" s="12" t="s">
        <v>43</v>
      </c>
      <c r="N704" s="12" t="s">
        <v>84</v>
      </c>
      <c r="O704" s="12" t="s">
        <v>3079</v>
      </c>
      <c r="P704" s="12" t="s">
        <v>86</v>
      </c>
      <c r="Q704" s="12" t="s">
        <v>128</v>
      </c>
      <c r="R704" s="12" t="s">
        <v>352</v>
      </c>
      <c r="S704" s="13">
        <v>197804375097</v>
      </c>
      <c r="T704" s="12" t="s">
        <v>164</v>
      </c>
      <c r="U704" s="12" t="s">
        <v>78</v>
      </c>
      <c r="V704" s="12" t="s">
        <v>2032</v>
      </c>
      <c r="W704" s="12" t="s">
        <v>51</v>
      </c>
      <c r="X704" s="14"/>
      <c r="Y704" s="14"/>
      <c r="Z704" s="14"/>
      <c r="AA704" s="14"/>
      <c r="AB704" s="14"/>
      <c r="AC704" s="15">
        <v>12.75</v>
      </c>
      <c r="AD704" s="15">
        <f>AC704*AG704</f>
        <v>114.75</v>
      </c>
      <c r="AE704" s="15">
        <v>28</v>
      </c>
      <c r="AF704" s="15">
        <f>AE704*AG704</f>
        <v>252</v>
      </c>
      <c r="AG704" s="16">
        <v>9</v>
      </c>
    </row>
    <row r="705" spans="1:33" ht="15" customHeight="1" x14ac:dyDescent="0.2">
      <c r="A705" s="11" t="str">
        <f>HYPERLINK("https://assets.vans.eu/images/VN000QBFEN6-HERO/1","VN000QBFEN61")</f>
        <v>VN000QBFEN61</v>
      </c>
      <c r="B705" s="12" t="s">
        <v>3080</v>
      </c>
      <c r="C705" s="12" t="s">
        <v>3081</v>
      </c>
      <c r="D705" s="12" t="s">
        <v>189</v>
      </c>
      <c r="E705" s="12" t="s">
        <v>3082</v>
      </c>
      <c r="F705" s="12" t="s">
        <v>179</v>
      </c>
      <c r="G705" s="14"/>
      <c r="H705" s="12" t="s">
        <v>79</v>
      </c>
      <c r="I705" s="12" t="s">
        <v>80</v>
      </c>
      <c r="J705" s="12" t="s">
        <v>171</v>
      </c>
      <c r="K705" s="12" t="s">
        <v>82</v>
      </c>
      <c r="L705" s="14"/>
      <c r="M705" s="12" t="s">
        <v>43</v>
      </c>
      <c r="N705" s="12" t="s">
        <v>84</v>
      </c>
      <c r="O705" s="12" t="s">
        <v>3083</v>
      </c>
      <c r="P705" s="12" t="s">
        <v>86</v>
      </c>
      <c r="Q705" s="12" t="s">
        <v>141</v>
      </c>
      <c r="R705" s="12" t="s">
        <v>173</v>
      </c>
      <c r="S705" s="13">
        <v>197804394548</v>
      </c>
      <c r="T705" s="12" t="s">
        <v>143</v>
      </c>
      <c r="U705" s="12" t="s">
        <v>179</v>
      </c>
      <c r="V705" s="12" t="s">
        <v>3084</v>
      </c>
      <c r="W705" s="12" t="s">
        <v>118</v>
      </c>
      <c r="X705" s="14"/>
      <c r="Y705" s="14"/>
      <c r="Z705" s="14"/>
      <c r="AA705" s="14"/>
      <c r="AB705" s="14"/>
      <c r="AC705" s="15">
        <v>9.1</v>
      </c>
      <c r="AD705" s="15">
        <f>AC705*AG705</f>
        <v>81.899999999999991</v>
      </c>
      <c r="AE705" s="15">
        <v>20</v>
      </c>
      <c r="AF705" s="15">
        <f>AE705*AG705</f>
        <v>180</v>
      </c>
      <c r="AG705" s="16">
        <v>9</v>
      </c>
    </row>
    <row r="706" spans="1:33" ht="15" customHeight="1" x14ac:dyDescent="0.2">
      <c r="A706" s="11" t="str">
        <f>HYPERLINK("https://assets.vans.eu/images/VN000QCMBLK-HERO/1","VN000QCMBLK1")</f>
        <v>VN000QCMBLK1</v>
      </c>
      <c r="B706" s="12" t="s">
        <v>3085</v>
      </c>
      <c r="C706" s="12" t="s">
        <v>1547</v>
      </c>
      <c r="D706" s="12" t="s">
        <v>76</v>
      </c>
      <c r="E706" s="12" t="s">
        <v>3086</v>
      </c>
      <c r="F706" s="13">
        <v>32</v>
      </c>
      <c r="G706" s="14"/>
      <c r="H706" s="12" t="s">
        <v>79</v>
      </c>
      <c r="I706" s="12" t="s">
        <v>80</v>
      </c>
      <c r="J706" s="12" t="s">
        <v>99</v>
      </c>
      <c r="K706" s="12" t="s">
        <v>82</v>
      </c>
      <c r="L706" s="14"/>
      <c r="M706" s="12" t="s">
        <v>43</v>
      </c>
      <c r="N706" s="12" t="s">
        <v>84</v>
      </c>
      <c r="O706" s="12" t="s">
        <v>3087</v>
      </c>
      <c r="P706" s="12" t="s">
        <v>86</v>
      </c>
      <c r="Q706" s="12" t="s">
        <v>103</v>
      </c>
      <c r="R706" s="12" t="s">
        <v>104</v>
      </c>
      <c r="S706" s="13">
        <v>197804375516</v>
      </c>
      <c r="T706" s="12" t="s">
        <v>49</v>
      </c>
      <c r="U706" s="13">
        <v>32</v>
      </c>
      <c r="V706" s="12" t="s">
        <v>1550</v>
      </c>
      <c r="W706" s="12" t="s">
        <v>51</v>
      </c>
      <c r="X706" s="14"/>
      <c r="Y706" s="14"/>
      <c r="Z706" s="14"/>
      <c r="AA706" s="14"/>
      <c r="AB706" s="14"/>
      <c r="AC706" s="15">
        <v>22.75</v>
      </c>
      <c r="AD706" s="15">
        <f>AC706*AG706</f>
        <v>204.75</v>
      </c>
      <c r="AE706" s="15">
        <v>50</v>
      </c>
      <c r="AF706" s="15">
        <f>AE706*AG706</f>
        <v>450</v>
      </c>
      <c r="AG706" s="16">
        <v>9</v>
      </c>
    </row>
    <row r="707" spans="1:33" ht="15" customHeight="1" x14ac:dyDescent="0.2">
      <c r="A707" s="11" t="str">
        <f t="shared" si="255"/>
        <v>VN0A31J6DRB1</v>
      </c>
      <c r="B707" s="12" t="s">
        <v>3088</v>
      </c>
      <c r="C707" s="12" t="s">
        <v>2662</v>
      </c>
      <c r="D707" s="12" t="s">
        <v>2663</v>
      </c>
      <c r="E707" s="12" t="s">
        <v>3089</v>
      </c>
      <c r="F707" s="13">
        <v>38</v>
      </c>
      <c r="G707" s="14"/>
      <c r="H707" s="12" t="s">
        <v>79</v>
      </c>
      <c r="I707" s="12" t="s">
        <v>80</v>
      </c>
      <c r="J707" s="12" t="s">
        <v>99</v>
      </c>
      <c r="K707" s="12" t="s">
        <v>199</v>
      </c>
      <c r="L707" s="14"/>
      <c r="M707" s="12" t="s">
        <v>43</v>
      </c>
      <c r="N707" s="12" t="s">
        <v>467</v>
      </c>
      <c r="O707" s="12" t="s">
        <v>3090</v>
      </c>
      <c r="P707" s="12" t="s">
        <v>86</v>
      </c>
      <c r="Q707" s="12" t="s">
        <v>103</v>
      </c>
      <c r="R707" s="12" t="s">
        <v>104</v>
      </c>
      <c r="S707" s="13">
        <v>191163132650</v>
      </c>
      <c r="T707" s="12" t="s">
        <v>49</v>
      </c>
      <c r="U707" s="13">
        <v>38</v>
      </c>
      <c r="V707" s="12" t="s">
        <v>2666</v>
      </c>
      <c r="W707" s="12" t="s">
        <v>186</v>
      </c>
      <c r="X707" s="13">
        <v>0</v>
      </c>
      <c r="Y707" s="12" t="s">
        <v>71</v>
      </c>
      <c r="Z707" s="12" t="s">
        <v>1180</v>
      </c>
      <c r="AA707" s="13">
        <v>0</v>
      </c>
      <c r="AB707" s="13">
        <v>0</v>
      </c>
      <c r="AC707" s="15">
        <v>16.399999999999999</v>
      </c>
      <c r="AD707" s="15">
        <f>AC707*AG707</f>
        <v>147.6</v>
      </c>
      <c r="AE707" s="15">
        <v>36</v>
      </c>
      <c r="AF707" s="15">
        <f>AE707*AG707</f>
        <v>324</v>
      </c>
      <c r="AG707" s="16">
        <v>9</v>
      </c>
    </row>
    <row r="708" spans="1:33" ht="15" customHeight="1" x14ac:dyDescent="0.2">
      <c r="A708" s="11" t="str">
        <f t="shared" si="219"/>
        <v>VN000G75D6Z1</v>
      </c>
      <c r="B708" s="12" t="s">
        <v>3091</v>
      </c>
      <c r="C708" s="12" t="s">
        <v>1188</v>
      </c>
      <c r="D708" s="12" t="s">
        <v>1277</v>
      </c>
      <c r="E708" s="12" t="s">
        <v>3092</v>
      </c>
      <c r="F708" s="12" t="s">
        <v>170</v>
      </c>
      <c r="G708" s="14"/>
      <c r="H708" s="12" t="s">
        <v>61</v>
      </c>
      <c r="I708" s="12" t="s">
        <v>230</v>
      </c>
      <c r="J708" s="12" t="s">
        <v>557</v>
      </c>
      <c r="K708" s="12" t="s">
        <v>199</v>
      </c>
      <c r="L708" s="14"/>
      <c r="M708" s="12" t="s">
        <v>43</v>
      </c>
      <c r="N708" s="12" t="s">
        <v>44</v>
      </c>
      <c r="O708" s="12" t="s">
        <v>3093</v>
      </c>
      <c r="P708" s="12" t="s">
        <v>66</v>
      </c>
      <c r="Q708" s="12" t="s">
        <v>559</v>
      </c>
      <c r="R708" s="12" t="s">
        <v>560</v>
      </c>
      <c r="S708" s="13">
        <v>197643554363</v>
      </c>
      <c r="T708" s="12" t="s">
        <v>49</v>
      </c>
      <c r="U708" s="12" t="s">
        <v>170</v>
      </c>
      <c r="V708" s="12" t="s">
        <v>1191</v>
      </c>
      <c r="W708" s="12" t="s">
        <v>299</v>
      </c>
      <c r="X708" s="12" t="s">
        <v>500</v>
      </c>
      <c r="Y708" s="12" t="s">
        <v>91</v>
      </c>
      <c r="Z708" s="12" t="s">
        <v>108</v>
      </c>
      <c r="AA708" s="13">
        <v>0</v>
      </c>
      <c r="AB708" s="13">
        <v>0</v>
      </c>
      <c r="AC708" s="15">
        <v>25</v>
      </c>
      <c r="AD708" s="15">
        <f>AC708*AG708</f>
        <v>225</v>
      </c>
      <c r="AE708" s="15">
        <v>55</v>
      </c>
      <c r="AF708" s="15">
        <f>AE708*AG708</f>
        <v>495</v>
      </c>
      <c r="AG708" s="16">
        <v>9</v>
      </c>
    </row>
    <row r="709" spans="1:33" ht="15" customHeight="1" x14ac:dyDescent="0.2">
      <c r="A709" s="11" t="str">
        <f t="shared" ref="A709:A874" si="314">HYPERLINK("https://assets.vans.eu/images/VN000GGGYB2-HERO/1","VN000GGGYB21")</f>
        <v>VN000GGGYB21</v>
      </c>
      <c r="B709" s="12" t="s">
        <v>3094</v>
      </c>
      <c r="C709" s="12" t="s">
        <v>3095</v>
      </c>
      <c r="D709" s="12" t="s">
        <v>1138</v>
      </c>
      <c r="E709" s="12" t="s">
        <v>3096</v>
      </c>
      <c r="F709" s="12" t="s">
        <v>60</v>
      </c>
      <c r="G709" s="14"/>
      <c r="H709" s="12" t="s">
        <v>61</v>
      </c>
      <c r="I709" s="12" t="s">
        <v>230</v>
      </c>
      <c r="J709" s="12" t="s">
        <v>419</v>
      </c>
      <c r="K709" s="12" t="s">
        <v>199</v>
      </c>
      <c r="L709" s="14"/>
      <c r="M709" s="12" t="s">
        <v>43</v>
      </c>
      <c r="N709" s="12" t="s">
        <v>44</v>
      </c>
      <c r="O709" s="12" t="s">
        <v>3097</v>
      </c>
      <c r="P709" s="12" t="s">
        <v>66</v>
      </c>
      <c r="Q709" s="12" t="s">
        <v>67</v>
      </c>
      <c r="R709" s="12" t="s">
        <v>421</v>
      </c>
      <c r="S709" s="13">
        <v>732075993122</v>
      </c>
      <c r="T709" s="12" t="s">
        <v>422</v>
      </c>
      <c r="U709" s="12" t="s">
        <v>60</v>
      </c>
      <c r="V709" s="12" t="s">
        <v>70</v>
      </c>
      <c r="W709" s="12" t="s">
        <v>175</v>
      </c>
      <c r="X709" s="13">
        <v>0</v>
      </c>
      <c r="Y709" s="12" t="s">
        <v>91</v>
      </c>
      <c r="Z709" s="12" t="s">
        <v>108</v>
      </c>
      <c r="AA709" s="13">
        <v>0</v>
      </c>
      <c r="AB709" s="13">
        <v>0</v>
      </c>
      <c r="AC709" s="15">
        <v>14.55</v>
      </c>
      <c r="AD709" s="15">
        <f>AC709*AG709</f>
        <v>130.95000000000002</v>
      </c>
      <c r="AE709" s="15">
        <v>32</v>
      </c>
      <c r="AF709" s="15">
        <f>AE709*AG709</f>
        <v>288</v>
      </c>
      <c r="AG709" s="16">
        <v>9</v>
      </c>
    </row>
    <row r="710" spans="1:33" ht="15" customHeight="1" x14ac:dyDescent="0.2">
      <c r="A710" s="11" t="str">
        <f t="shared" ref="A710:A1123" si="315">HYPERLINK("https://assets.vans.eu/images/VN000HZABLK-HERO/1","VN000HZABLK1")</f>
        <v>VN000HZABLK1</v>
      </c>
      <c r="B710" s="12" t="s">
        <v>3098</v>
      </c>
      <c r="C710" s="12" t="s">
        <v>1413</v>
      </c>
      <c r="D710" s="12" t="s">
        <v>76</v>
      </c>
      <c r="E710" s="12" t="s">
        <v>3099</v>
      </c>
      <c r="F710" s="13">
        <v>27</v>
      </c>
      <c r="G710" s="14"/>
      <c r="H710" s="12" t="s">
        <v>61</v>
      </c>
      <c r="I710" s="12" t="s">
        <v>230</v>
      </c>
      <c r="J710" s="12" t="s">
        <v>231</v>
      </c>
      <c r="K710" s="12" t="s">
        <v>199</v>
      </c>
      <c r="L710" s="14"/>
      <c r="M710" s="12" t="s">
        <v>43</v>
      </c>
      <c r="N710" s="12" t="s">
        <v>84</v>
      </c>
      <c r="O710" s="12" t="s">
        <v>3100</v>
      </c>
      <c r="P710" s="12" t="s">
        <v>66</v>
      </c>
      <c r="Q710" s="12" t="s">
        <v>233</v>
      </c>
      <c r="R710" s="12" t="s">
        <v>361</v>
      </c>
      <c r="S710" s="13">
        <v>197065838317</v>
      </c>
      <c r="T710" s="12" t="s">
        <v>235</v>
      </c>
      <c r="U710" s="13">
        <v>27</v>
      </c>
      <c r="V710" s="12" t="s">
        <v>1416</v>
      </c>
      <c r="W710" s="12" t="s">
        <v>51</v>
      </c>
      <c r="X710" s="13">
        <v>0</v>
      </c>
      <c r="Y710" s="12" t="s">
        <v>91</v>
      </c>
      <c r="Z710" s="12" t="s">
        <v>108</v>
      </c>
      <c r="AA710" s="13">
        <v>0</v>
      </c>
      <c r="AB710" s="13">
        <v>0</v>
      </c>
      <c r="AC710" s="15">
        <v>34.1</v>
      </c>
      <c r="AD710" s="15">
        <f>AC710*AG710</f>
        <v>306.90000000000003</v>
      </c>
      <c r="AE710" s="15">
        <v>75</v>
      </c>
      <c r="AF710" s="15">
        <f>AE710*AG710</f>
        <v>675</v>
      </c>
      <c r="AG710" s="16">
        <v>9</v>
      </c>
    </row>
    <row r="711" spans="1:33" ht="15" customHeight="1" x14ac:dyDescent="0.2">
      <c r="A711" s="11" t="str">
        <f t="shared" ref="A711:A1628" si="316">HYPERLINK("https://assets.vans.eu/images/VN000HZBBLK-HERO/1","VN000HZBBLK1")</f>
        <v>VN000HZBBLK1</v>
      </c>
      <c r="B711" s="12" t="s">
        <v>3101</v>
      </c>
      <c r="C711" s="12" t="s">
        <v>357</v>
      </c>
      <c r="D711" s="12" t="s">
        <v>76</v>
      </c>
      <c r="E711" s="12" t="s">
        <v>3102</v>
      </c>
      <c r="F711" s="13">
        <v>33</v>
      </c>
      <c r="G711" s="14"/>
      <c r="H711" s="12" t="s">
        <v>61</v>
      </c>
      <c r="I711" s="12" t="s">
        <v>230</v>
      </c>
      <c r="J711" s="12" t="s">
        <v>231</v>
      </c>
      <c r="K711" s="12" t="s">
        <v>199</v>
      </c>
      <c r="L711" s="14"/>
      <c r="M711" s="12" t="s">
        <v>43</v>
      </c>
      <c r="N711" s="12" t="s">
        <v>84</v>
      </c>
      <c r="O711" s="12" t="s">
        <v>3103</v>
      </c>
      <c r="P711" s="12" t="s">
        <v>66</v>
      </c>
      <c r="Q711" s="12" t="s">
        <v>233</v>
      </c>
      <c r="R711" s="12" t="s">
        <v>361</v>
      </c>
      <c r="S711" s="13">
        <v>197065840211</v>
      </c>
      <c r="T711" s="12" t="s">
        <v>235</v>
      </c>
      <c r="U711" s="13">
        <v>33</v>
      </c>
      <c r="V711" s="12" t="s">
        <v>362</v>
      </c>
      <c r="W711" s="12" t="s">
        <v>51</v>
      </c>
      <c r="X711" s="13">
        <v>0</v>
      </c>
      <c r="Y711" s="12" t="s">
        <v>91</v>
      </c>
      <c r="Z711" s="12" t="s">
        <v>108</v>
      </c>
      <c r="AA711" s="13">
        <v>0</v>
      </c>
      <c r="AB711" s="13">
        <v>0</v>
      </c>
      <c r="AC711" s="15">
        <v>34.1</v>
      </c>
      <c r="AD711" s="15">
        <f>AC711*AG711</f>
        <v>306.90000000000003</v>
      </c>
      <c r="AE711" s="15">
        <v>75</v>
      </c>
      <c r="AF711" s="15">
        <f>AE711*AG711</f>
        <v>675</v>
      </c>
      <c r="AG711" s="16">
        <v>9</v>
      </c>
    </row>
    <row r="712" spans="1:33" ht="15" customHeight="1" x14ac:dyDescent="0.2">
      <c r="A712" s="11" t="str">
        <f t="shared" ref="A712:A2125" si="317">HYPERLINK("https://assets.vans.eu/images/VN000M99CFL-HERO/1","VN000M99CFL1")</f>
        <v>VN000M99CFL1</v>
      </c>
      <c r="B712" s="12" t="s">
        <v>3104</v>
      </c>
      <c r="C712" s="12" t="s">
        <v>3105</v>
      </c>
      <c r="D712" s="12" t="s">
        <v>1258</v>
      </c>
      <c r="E712" s="12" t="s">
        <v>3106</v>
      </c>
      <c r="F712" s="12" t="s">
        <v>153</v>
      </c>
      <c r="G712" s="14"/>
      <c r="H712" s="12" t="s">
        <v>61</v>
      </c>
      <c r="I712" s="12" t="s">
        <v>289</v>
      </c>
      <c r="J712" s="12" t="s">
        <v>706</v>
      </c>
      <c r="K712" s="12" t="s">
        <v>100</v>
      </c>
      <c r="L712" s="14"/>
      <c r="M712" s="12" t="s">
        <v>43</v>
      </c>
      <c r="N712" s="12" t="s">
        <v>44</v>
      </c>
      <c r="O712" s="12" t="s">
        <v>3107</v>
      </c>
      <c r="P712" s="12" t="s">
        <v>66</v>
      </c>
      <c r="Q712" s="12" t="s">
        <v>67</v>
      </c>
      <c r="R712" s="12" t="s">
        <v>1200</v>
      </c>
      <c r="S712" s="13">
        <v>197643362630</v>
      </c>
      <c r="T712" s="12" t="s">
        <v>49</v>
      </c>
      <c r="U712" s="12" t="s">
        <v>153</v>
      </c>
      <c r="V712" s="12" t="s">
        <v>1092</v>
      </c>
      <c r="W712" s="12" t="s">
        <v>284</v>
      </c>
      <c r="X712" s="13">
        <v>0</v>
      </c>
      <c r="Y712" s="12" t="s">
        <v>91</v>
      </c>
      <c r="Z712" s="12" t="s">
        <v>108</v>
      </c>
      <c r="AA712" s="13">
        <v>0</v>
      </c>
      <c r="AB712" s="13">
        <v>0</v>
      </c>
      <c r="AC712" s="15">
        <v>25</v>
      </c>
      <c r="AD712" s="15">
        <f>AC712*AG712</f>
        <v>225</v>
      </c>
      <c r="AE712" s="15">
        <v>55</v>
      </c>
      <c r="AF712" s="15">
        <f>AE712*AG712</f>
        <v>495</v>
      </c>
      <c r="AG712" s="16">
        <v>9</v>
      </c>
    </row>
    <row r="713" spans="1:33" ht="15" customHeight="1" x14ac:dyDescent="0.2">
      <c r="A713" s="11" t="str">
        <f t="shared" si="201"/>
        <v>VN000M9SBLK1</v>
      </c>
      <c r="B713" s="12" t="s">
        <v>3108</v>
      </c>
      <c r="C713" s="12" t="s">
        <v>2222</v>
      </c>
      <c r="D713" s="12" t="s">
        <v>76</v>
      </c>
      <c r="E713" s="12" t="s">
        <v>3109</v>
      </c>
      <c r="F713" s="12" t="s">
        <v>138</v>
      </c>
      <c r="G713" s="14"/>
      <c r="H713" s="12" t="s">
        <v>61</v>
      </c>
      <c r="I713" s="12" t="s">
        <v>289</v>
      </c>
      <c r="J713" s="12" t="s">
        <v>706</v>
      </c>
      <c r="K713" s="12" t="s">
        <v>100</v>
      </c>
      <c r="L713" s="14"/>
      <c r="M713" s="12" t="s">
        <v>43</v>
      </c>
      <c r="N713" s="12" t="s">
        <v>84</v>
      </c>
      <c r="O713" s="12" t="s">
        <v>3110</v>
      </c>
      <c r="P713" s="12" t="s">
        <v>66</v>
      </c>
      <c r="Q713" s="12" t="s">
        <v>67</v>
      </c>
      <c r="R713" s="12" t="s">
        <v>708</v>
      </c>
      <c r="S713" s="13">
        <v>197804387571</v>
      </c>
      <c r="T713" s="12" t="s">
        <v>709</v>
      </c>
      <c r="U713" s="12" t="s">
        <v>138</v>
      </c>
      <c r="V713" s="12" t="s">
        <v>2225</v>
      </c>
      <c r="W713" s="12" t="s">
        <v>51</v>
      </c>
      <c r="X713" s="14"/>
      <c r="Y713" s="14"/>
      <c r="Z713" s="14"/>
      <c r="AA713" s="14"/>
      <c r="AB713" s="14"/>
      <c r="AC713" s="15">
        <v>34.1</v>
      </c>
      <c r="AD713" s="15">
        <f>AC713*AG713</f>
        <v>306.90000000000003</v>
      </c>
      <c r="AE713" s="15">
        <v>75</v>
      </c>
      <c r="AF713" s="15">
        <f>AE713*AG713</f>
        <v>675</v>
      </c>
      <c r="AG713" s="16">
        <v>9</v>
      </c>
    </row>
    <row r="714" spans="1:33" ht="15" customHeight="1" x14ac:dyDescent="0.2">
      <c r="A714" s="11" t="str">
        <f t="shared" ref="A714:A886" si="318">HYPERLINK("https://assets.vans.eu/images/VN000MB2EB2-HERO/1","VN000MB2EB21")</f>
        <v>VN000MB2EB21</v>
      </c>
      <c r="B714" s="12" t="s">
        <v>3111</v>
      </c>
      <c r="C714" s="12" t="s">
        <v>3112</v>
      </c>
      <c r="D714" s="12" t="s">
        <v>2693</v>
      </c>
      <c r="E714" s="12" t="s">
        <v>3113</v>
      </c>
      <c r="F714" s="13">
        <v>28</v>
      </c>
      <c r="G714" s="14"/>
      <c r="H714" s="12" t="s">
        <v>61</v>
      </c>
      <c r="I714" s="12" t="s">
        <v>289</v>
      </c>
      <c r="J714" s="12" t="s">
        <v>290</v>
      </c>
      <c r="K714" s="12" t="s">
        <v>100</v>
      </c>
      <c r="L714" s="14"/>
      <c r="M714" s="12" t="s">
        <v>43</v>
      </c>
      <c r="N714" s="12" t="s">
        <v>44</v>
      </c>
      <c r="O714" s="12" t="s">
        <v>3114</v>
      </c>
      <c r="P714" s="12" t="s">
        <v>66</v>
      </c>
      <c r="Q714" s="12" t="s">
        <v>233</v>
      </c>
      <c r="R714" s="12" t="s">
        <v>664</v>
      </c>
      <c r="S714" s="13">
        <v>197643366836</v>
      </c>
      <c r="T714" s="12" t="s">
        <v>235</v>
      </c>
      <c r="U714" s="13">
        <v>28</v>
      </c>
      <c r="V714" s="12" t="s">
        <v>665</v>
      </c>
      <c r="W714" s="12" t="s">
        <v>51</v>
      </c>
      <c r="X714" s="13">
        <v>0</v>
      </c>
      <c r="Y714" s="12" t="s">
        <v>53</v>
      </c>
      <c r="Z714" s="12" t="s">
        <v>108</v>
      </c>
      <c r="AA714" s="13">
        <v>0</v>
      </c>
      <c r="AB714" s="13">
        <v>0</v>
      </c>
      <c r="AC714" s="15">
        <v>36.4</v>
      </c>
      <c r="AD714" s="15">
        <f>AC714*AG714</f>
        <v>327.59999999999997</v>
      </c>
      <c r="AE714" s="15">
        <v>80</v>
      </c>
      <c r="AF714" s="15">
        <f>AE714*AG714</f>
        <v>720</v>
      </c>
      <c r="AG714" s="16">
        <v>9</v>
      </c>
    </row>
    <row r="715" spans="1:33" ht="15" customHeight="1" x14ac:dyDescent="0.2">
      <c r="A715" s="11" t="str">
        <f t="shared" ref="A715:A1146" si="319">HYPERLINK("https://assets.vans.eu/images/VN000MC0WHT-HERO/1","VN000MC0WHT1")</f>
        <v>VN000MC0WHT1</v>
      </c>
      <c r="B715" s="12" t="s">
        <v>3115</v>
      </c>
      <c r="C715" s="12" t="s">
        <v>2898</v>
      </c>
      <c r="D715" s="12" t="s">
        <v>168</v>
      </c>
      <c r="E715" s="12" t="s">
        <v>3116</v>
      </c>
      <c r="F715" s="12" t="s">
        <v>403</v>
      </c>
      <c r="G715" s="14"/>
      <c r="H715" s="12" t="s">
        <v>61</v>
      </c>
      <c r="I715" s="12" t="s">
        <v>289</v>
      </c>
      <c r="J715" s="12" t="s">
        <v>706</v>
      </c>
      <c r="K715" s="12" t="s">
        <v>100</v>
      </c>
      <c r="L715" s="14"/>
      <c r="M715" s="12" t="s">
        <v>43</v>
      </c>
      <c r="N715" s="12" t="s">
        <v>44</v>
      </c>
      <c r="O715" s="12" t="s">
        <v>3117</v>
      </c>
      <c r="P715" s="12" t="s">
        <v>66</v>
      </c>
      <c r="Q715" s="12" t="s">
        <v>67</v>
      </c>
      <c r="R715" s="12" t="s">
        <v>1146</v>
      </c>
      <c r="S715" s="13">
        <v>197643369219</v>
      </c>
      <c r="T715" s="12" t="s">
        <v>49</v>
      </c>
      <c r="U715" s="12" t="s">
        <v>403</v>
      </c>
      <c r="V715" s="12" t="s">
        <v>2556</v>
      </c>
      <c r="W715" s="12" t="s">
        <v>175</v>
      </c>
      <c r="X715" s="13">
        <v>0</v>
      </c>
      <c r="Y715" s="12" t="s">
        <v>91</v>
      </c>
      <c r="Z715" s="12" t="s">
        <v>108</v>
      </c>
      <c r="AA715" s="13">
        <v>0</v>
      </c>
      <c r="AB715" s="13">
        <v>0</v>
      </c>
      <c r="AC715" s="15">
        <v>15.5</v>
      </c>
      <c r="AD715" s="15">
        <f>AC715*AG715</f>
        <v>139.5</v>
      </c>
      <c r="AE715" s="15">
        <v>34</v>
      </c>
      <c r="AF715" s="15">
        <f>AE715*AG715</f>
        <v>306</v>
      </c>
      <c r="AG715" s="16">
        <v>9</v>
      </c>
    </row>
    <row r="716" spans="1:33" ht="15" customHeight="1" x14ac:dyDescent="0.2">
      <c r="A716" s="11" t="str">
        <f>HYPERLINK("https://assets.vans.eu/images/VN000MK1WHT-HERO/1","VN000MK1WHT1")</f>
        <v>VN000MK1WHT1</v>
      </c>
      <c r="B716" s="12" t="s">
        <v>3118</v>
      </c>
      <c r="C716" s="12" t="s">
        <v>3119</v>
      </c>
      <c r="D716" s="12" t="s">
        <v>168</v>
      </c>
      <c r="E716" s="12" t="s">
        <v>3120</v>
      </c>
      <c r="F716" s="12" t="s">
        <v>60</v>
      </c>
      <c r="G716" s="14"/>
      <c r="H716" s="12" t="s">
        <v>61</v>
      </c>
      <c r="I716" s="12" t="s">
        <v>62</v>
      </c>
      <c r="J716" s="12" t="s">
        <v>63</v>
      </c>
      <c r="K716" s="12" t="s">
        <v>64</v>
      </c>
      <c r="L716" s="14"/>
      <c r="M716" s="12" t="s">
        <v>43</v>
      </c>
      <c r="N716" s="12" t="s">
        <v>44</v>
      </c>
      <c r="O716" s="12" t="s">
        <v>3121</v>
      </c>
      <c r="P716" s="12" t="s">
        <v>66</v>
      </c>
      <c r="Q716" s="12" t="s">
        <v>67</v>
      </c>
      <c r="R716" s="12" t="s">
        <v>68</v>
      </c>
      <c r="S716" s="13">
        <v>197803401650</v>
      </c>
      <c r="T716" s="12" t="s">
        <v>422</v>
      </c>
      <c r="U716" s="12" t="s">
        <v>60</v>
      </c>
      <c r="V716" s="12" t="s">
        <v>70</v>
      </c>
      <c r="W716" s="12" t="s">
        <v>175</v>
      </c>
      <c r="X716" s="13">
        <v>0</v>
      </c>
      <c r="Y716" s="12" t="s">
        <v>91</v>
      </c>
      <c r="Z716" s="12" t="s">
        <v>108</v>
      </c>
      <c r="AA716" s="13">
        <v>0</v>
      </c>
      <c r="AB716" s="13">
        <v>0</v>
      </c>
      <c r="AC716" s="15">
        <v>13.65</v>
      </c>
      <c r="AD716" s="15">
        <f>AC716*AG716</f>
        <v>122.85000000000001</v>
      </c>
      <c r="AE716" s="15">
        <v>30</v>
      </c>
      <c r="AF716" s="15">
        <f>AE716*AG716</f>
        <v>270</v>
      </c>
      <c r="AG716" s="16">
        <v>9</v>
      </c>
    </row>
    <row r="717" spans="1:33" ht="15" customHeight="1" x14ac:dyDescent="0.2">
      <c r="A717" s="11" t="str">
        <f t="shared" si="261"/>
        <v>VN000MN07WM1</v>
      </c>
      <c r="B717" s="12" t="s">
        <v>3122</v>
      </c>
      <c r="C717" s="12" t="s">
        <v>1374</v>
      </c>
      <c r="D717" s="12" t="s">
        <v>388</v>
      </c>
      <c r="E717" s="12" t="s">
        <v>3123</v>
      </c>
      <c r="F717" s="13">
        <v>6</v>
      </c>
      <c r="G717" s="14"/>
      <c r="H717" s="12" t="s">
        <v>61</v>
      </c>
      <c r="I717" s="12" t="s">
        <v>1340</v>
      </c>
      <c r="J717" s="12" t="s">
        <v>1376</v>
      </c>
      <c r="K717" s="12" t="s">
        <v>64</v>
      </c>
      <c r="L717" s="14"/>
      <c r="M717" s="12" t="s">
        <v>43</v>
      </c>
      <c r="N717" s="12" t="s">
        <v>44</v>
      </c>
      <c r="O717" s="12" t="s">
        <v>3124</v>
      </c>
      <c r="P717" s="12" t="s">
        <v>66</v>
      </c>
      <c r="Q717" s="12" t="s">
        <v>233</v>
      </c>
      <c r="R717" s="12" t="s">
        <v>974</v>
      </c>
      <c r="S717" s="13">
        <v>197803421955</v>
      </c>
      <c r="T717" s="12" t="s">
        <v>69</v>
      </c>
      <c r="U717" s="13">
        <v>6</v>
      </c>
      <c r="V717" s="12" t="s">
        <v>1378</v>
      </c>
      <c r="W717" s="12" t="s">
        <v>284</v>
      </c>
      <c r="X717" s="13">
        <v>0</v>
      </c>
      <c r="Y717" s="12" t="s">
        <v>91</v>
      </c>
      <c r="Z717" s="12" t="s">
        <v>108</v>
      </c>
      <c r="AA717" s="13">
        <v>0</v>
      </c>
      <c r="AB717" s="13">
        <v>0</v>
      </c>
      <c r="AC717" s="15">
        <v>25</v>
      </c>
      <c r="AD717" s="15">
        <f>AC717*AG717</f>
        <v>225</v>
      </c>
      <c r="AE717" s="15">
        <v>55</v>
      </c>
      <c r="AF717" s="15">
        <f>AE717*AG717</f>
        <v>495</v>
      </c>
      <c r="AG717" s="16">
        <v>9</v>
      </c>
    </row>
    <row r="718" spans="1:33" ht="15" customHeight="1" x14ac:dyDescent="0.2">
      <c r="A718" s="11" t="str">
        <f t="shared" ref="A718:A888" si="320">HYPERLINK("https://assets.vans.eu/images/VN000P1PEML-HERO/1","VN000P1PEML1")</f>
        <v>VN000P1PEML1</v>
      </c>
      <c r="B718" s="12" t="s">
        <v>3125</v>
      </c>
      <c r="C718" s="12" t="s">
        <v>2706</v>
      </c>
      <c r="D718" s="12" t="s">
        <v>3126</v>
      </c>
      <c r="E718" s="12" t="s">
        <v>3127</v>
      </c>
      <c r="F718" s="12" t="s">
        <v>621</v>
      </c>
      <c r="G718" s="14"/>
      <c r="H718" s="12" t="s">
        <v>61</v>
      </c>
      <c r="I718" s="12" t="s">
        <v>230</v>
      </c>
      <c r="J718" s="12" t="s">
        <v>419</v>
      </c>
      <c r="K718" s="12" t="s">
        <v>199</v>
      </c>
      <c r="L718" s="12" t="s">
        <v>83</v>
      </c>
      <c r="M718" s="12" t="s">
        <v>43</v>
      </c>
      <c r="N718" s="12" t="s">
        <v>84</v>
      </c>
      <c r="O718" s="12" t="s">
        <v>3128</v>
      </c>
      <c r="P718" s="12" t="s">
        <v>66</v>
      </c>
      <c r="Q718" s="12" t="s">
        <v>67</v>
      </c>
      <c r="R718" s="12" t="s">
        <v>421</v>
      </c>
      <c r="S718" s="13">
        <v>197804295135</v>
      </c>
      <c r="T718" s="12" t="s">
        <v>422</v>
      </c>
      <c r="U718" s="12" t="s">
        <v>621</v>
      </c>
      <c r="V718" s="12" t="s">
        <v>70</v>
      </c>
      <c r="W718" s="12" t="s">
        <v>284</v>
      </c>
      <c r="X718" s="14"/>
      <c r="Y718" s="14"/>
      <c r="Z718" s="14"/>
      <c r="AA718" s="14"/>
      <c r="AB718" s="14"/>
      <c r="AC718" s="15">
        <v>13.65</v>
      </c>
      <c r="AD718" s="15">
        <f>AC718*AG718</f>
        <v>122.85000000000001</v>
      </c>
      <c r="AE718" s="15">
        <v>30</v>
      </c>
      <c r="AF718" s="15">
        <f>AE718*AG718</f>
        <v>270</v>
      </c>
      <c r="AG718" s="16">
        <v>9</v>
      </c>
    </row>
    <row r="719" spans="1:33" ht="15" customHeight="1" x14ac:dyDescent="0.2">
      <c r="A719" s="11" t="str">
        <f t="shared" ref="A719:A1363" si="321">HYPERLINK("https://assets.vans.eu/images/VN000P5WCFL-HERO/1","VN000P5WCFL1")</f>
        <v>VN000P5WCFL1</v>
      </c>
      <c r="B719" s="12" t="s">
        <v>3129</v>
      </c>
      <c r="C719" s="12" t="s">
        <v>3130</v>
      </c>
      <c r="D719" s="12" t="s">
        <v>1258</v>
      </c>
      <c r="E719" s="12" t="s">
        <v>3131</v>
      </c>
      <c r="F719" s="12" t="s">
        <v>170</v>
      </c>
      <c r="G719" s="14"/>
      <c r="H719" s="12" t="s">
        <v>61</v>
      </c>
      <c r="I719" s="12" t="s">
        <v>289</v>
      </c>
      <c r="J719" s="12" t="s">
        <v>706</v>
      </c>
      <c r="K719" s="12" t="s">
        <v>100</v>
      </c>
      <c r="L719" s="12" t="s">
        <v>83</v>
      </c>
      <c r="M719" s="12" t="s">
        <v>43</v>
      </c>
      <c r="N719" s="12" t="s">
        <v>44</v>
      </c>
      <c r="O719" s="12" t="s">
        <v>3132</v>
      </c>
      <c r="P719" s="12" t="s">
        <v>66</v>
      </c>
      <c r="Q719" s="12" t="s">
        <v>67</v>
      </c>
      <c r="R719" s="12" t="s">
        <v>1146</v>
      </c>
      <c r="S719" s="13">
        <v>197803407027</v>
      </c>
      <c r="T719" s="12" t="s">
        <v>499</v>
      </c>
      <c r="U719" s="12" t="s">
        <v>170</v>
      </c>
      <c r="V719" s="12" t="s">
        <v>3133</v>
      </c>
      <c r="W719" s="12" t="s">
        <v>284</v>
      </c>
      <c r="X719" s="13">
        <v>0</v>
      </c>
      <c r="Y719" s="12" t="s">
        <v>53</v>
      </c>
      <c r="Z719" s="12" t="s">
        <v>108</v>
      </c>
      <c r="AA719" s="13">
        <v>0</v>
      </c>
      <c r="AB719" s="12" t="s">
        <v>616</v>
      </c>
      <c r="AC719" s="15">
        <v>13.65</v>
      </c>
      <c r="AD719" s="15">
        <f>AC719*AG719</f>
        <v>122.85000000000001</v>
      </c>
      <c r="AE719" s="15">
        <v>30</v>
      </c>
      <c r="AF719" s="15">
        <f>AE719*AG719</f>
        <v>270</v>
      </c>
      <c r="AG719" s="16">
        <v>9</v>
      </c>
    </row>
    <row r="720" spans="1:33" ht="15" customHeight="1" x14ac:dyDescent="0.2">
      <c r="A720" s="11" t="str">
        <f t="shared" si="263"/>
        <v>VN000P8WPWT1</v>
      </c>
      <c r="B720" s="12" t="s">
        <v>3134</v>
      </c>
      <c r="C720" s="12" t="s">
        <v>2710</v>
      </c>
      <c r="D720" s="12" t="s">
        <v>2289</v>
      </c>
      <c r="E720" s="12" t="s">
        <v>3135</v>
      </c>
      <c r="F720" s="12" t="s">
        <v>153</v>
      </c>
      <c r="G720" s="14"/>
      <c r="H720" s="12" t="s">
        <v>61</v>
      </c>
      <c r="I720" s="12" t="s">
        <v>230</v>
      </c>
      <c r="J720" s="12" t="s">
        <v>419</v>
      </c>
      <c r="K720" s="12" t="s">
        <v>199</v>
      </c>
      <c r="L720" s="14"/>
      <c r="M720" s="12" t="s">
        <v>43</v>
      </c>
      <c r="N720" s="12" t="s">
        <v>84</v>
      </c>
      <c r="O720" s="12" t="s">
        <v>3136</v>
      </c>
      <c r="P720" s="12" t="s">
        <v>66</v>
      </c>
      <c r="Q720" s="12" t="s">
        <v>67</v>
      </c>
      <c r="R720" s="12" t="s">
        <v>1500</v>
      </c>
      <c r="S720" s="13">
        <v>197804608775</v>
      </c>
      <c r="T720" s="12" t="s">
        <v>49</v>
      </c>
      <c r="U720" s="12" t="s">
        <v>153</v>
      </c>
      <c r="V720" s="12" t="s">
        <v>665</v>
      </c>
      <c r="W720" s="12" t="s">
        <v>455</v>
      </c>
      <c r="X720" s="14"/>
      <c r="Y720" s="14"/>
      <c r="Z720" s="14"/>
      <c r="AA720" s="14"/>
      <c r="AB720" s="14"/>
      <c r="AC720" s="15">
        <v>29.55</v>
      </c>
      <c r="AD720" s="15">
        <f>AC720*AG720</f>
        <v>265.95</v>
      </c>
      <c r="AE720" s="15">
        <v>65</v>
      </c>
      <c r="AF720" s="15">
        <f>AE720*AG720</f>
        <v>585</v>
      </c>
      <c r="AG720" s="16">
        <v>9</v>
      </c>
    </row>
    <row r="721" spans="1:33" ht="15" customHeight="1" x14ac:dyDescent="0.2">
      <c r="A721" s="11" t="str">
        <f t="shared" ref="A721:A1161" si="322">HYPERLINK("https://assets.vans.eu/images/VN000PAUBLK-HERO/1","VN000PAUBLK1")</f>
        <v>VN000PAUBLK1</v>
      </c>
      <c r="B721" s="12" t="s">
        <v>3137</v>
      </c>
      <c r="C721" s="12" t="s">
        <v>1089</v>
      </c>
      <c r="D721" s="12" t="s">
        <v>76</v>
      </c>
      <c r="E721" s="12" t="s">
        <v>3138</v>
      </c>
      <c r="F721" s="12" t="s">
        <v>170</v>
      </c>
      <c r="G721" s="14"/>
      <c r="H721" s="12" t="s">
        <v>61</v>
      </c>
      <c r="I721" s="12" t="s">
        <v>230</v>
      </c>
      <c r="J721" s="12" t="s">
        <v>419</v>
      </c>
      <c r="K721" s="12" t="s">
        <v>199</v>
      </c>
      <c r="L721" s="14"/>
      <c r="M721" s="12" t="s">
        <v>43</v>
      </c>
      <c r="N721" s="12" t="s">
        <v>84</v>
      </c>
      <c r="O721" s="12" t="s">
        <v>3139</v>
      </c>
      <c r="P721" s="12" t="s">
        <v>66</v>
      </c>
      <c r="Q721" s="12" t="s">
        <v>67</v>
      </c>
      <c r="R721" s="12" t="s">
        <v>623</v>
      </c>
      <c r="S721" s="13">
        <v>197804354092</v>
      </c>
      <c r="T721" s="12" t="s">
        <v>49</v>
      </c>
      <c r="U721" s="12" t="s">
        <v>170</v>
      </c>
      <c r="V721" s="12" t="s">
        <v>1973</v>
      </c>
      <c r="W721" s="12" t="s">
        <v>51</v>
      </c>
      <c r="X721" s="14"/>
      <c r="Y721" s="14"/>
      <c r="Z721" s="14"/>
      <c r="AA721" s="14"/>
      <c r="AB721" s="14"/>
      <c r="AC721" s="15">
        <v>36.4</v>
      </c>
      <c r="AD721" s="15">
        <f>AC721*AG721</f>
        <v>327.59999999999997</v>
      </c>
      <c r="AE721" s="15">
        <v>80</v>
      </c>
      <c r="AF721" s="15">
        <f>AE721*AG721</f>
        <v>720</v>
      </c>
      <c r="AG721" s="16">
        <v>9</v>
      </c>
    </row>
    <row r="722" spans="1:33" ht="15" customHeight="1" x14ac:dyDescent="0.2">
      <c r="A722" s="11" t="str">
        <f t="shared" ref="A722:A2258" si="323">HYPERLINK("https://assets.vans.eu/images/VN000PJU7WM-HERO/1","VN000PJU7WM1")</f>
        <v>VN000PJU7WM1</v>
      </c>
      <c r="B722" s="12" t="s">
        <v>3140</v>
      </c>
      <c r="C722" s="12" t="s">
        <v>3141</v>
      </c>
      <c r="D722" s="12" t="s">
        <v>388</v>
      </c>
      <c r="E722" s="12" t="s">
        <v>3142</v>
      </c>
      <c r="F722" s="12" t="s">
        <v>179</v>
      </c>
      <c r="G722" s="14"/>
      <c r="H722" s="12" t="s">
        <v>61</v>
      </c>
      <c r="I722" s="12" t="s">
        <v>230</v>
      </c>
      <c r="J722" s="12" t="s">
        <v>419</v>
      </c>
      <c r="K722" s="12" t="s">
        <v>199</v>
      </c>
      <c r="L722" s="14"/>
      <c r="M722" s="12" t="s">
        <v>43</v>
      </c>
      <c r="N722" s="12" t="s">
        <v>84</v>
      </c>
      <c r="O722" s="12" t="s">
        <v>3143</v>
      </c>
      <c r="P722" s="12" t="s">
        <v>66</v>
      </c>
      <c r="Q722" s="12" t="s">
        <v>67</v>
      </c>
      <c r="R722" s="12" t="s">
        <v>421</v>
      </c>
      <c r="S722" s="13">
        <v>197804360352</v>
      </c>
      <c r="T722" s="12" t="s">
        <v>49</v>
      </c>
      <c r="U722" s="12" t="s">
        <v>179</v>
      </c>
      <c r="V722" s="12" t="s">
        <v>665</v>
      </c>
      <c r="W722" s="12" t="s">
        <v>284</v>
      </c>
      <c r="X722" s="14"/>
      <c r="Y722" s="14"/>
      <c r="Z722" s="14"/>
      <c r="AA722" s="14"/>
      <c r="AB722" s="14"/>
      <c r="AC722" s="15">
        <v>22.75</v>
      </c>
      <c r="AD722" s="15">
        <f>AC722*AG722</f>
        <v>204.75</v>
      </c>
      <c r="AE722" s="15">
        <v>50</v>
      </c>
      <c r="AF722" s="15">
        <f>AE722*AG722</f>
        <v>450</v>
      </c>
      <c r="AG722" s="16">
        <v>9</v>
      </c>
    </row>
    <row r="723" spans="1:33" ht="15" customHeight="1" x14ac:dyDescent="0.2">
      <c r="A723" s="11" t="str">
        <f t="shared" ref="A723:A806" si="324">HYPERLINK("https://assets.vans.eu/images/VN000PK1BLK-HERO/1","VN000PK1BLK1")</f>
        <v>VN000PK1BLK1</v>
      </c>
      <c r="B723" s="12" t="s">
        <v>3144</v>
      </c>
      <c r="C723" s="12" t="s">
        <v>1900</v>
      </c>
      <c r="D723" s="12" t="s">
        <v>76</v>
      </c>
      <c r="E723" s="12" t="s">
        <v>3145</v>
      </c>
      <c r="F723" s="12" t="s">
        <v>621</v>
      </c>
      <c r="G723" s="14"/>
      <c r="H723" s="12" t="s">
        <v>61</v>
      </c>
      <c r="I723" s="12" t="s">
        <v>289</v>
      </c>
      <c r="J723" s="12" t="s">
        <v>984</v>
      </c>
      <c r="K723" s="12" t="s">
        <v>100</v>
      </c>
      <c r="L723" s="14"/>
      <c r="M723" s="12" t="s">
        <v>43</v>
      </c>
      <c r="N723" s="12" t="s">
        <v>84</v>
      </c>
      <c r="O723" s="12" t="s">
        <v>3146</v>
      </c>
      <c r="P723" s="12" t="s">
        <v>66</v>
      </c>
      <c r="Q723" s="12" t="s">
        <v>764</v>
      </c>
      <c r="R723" s="12" t="s">
        <v>986</v>
      </c>
      <c r="S723" s="13">
        <v>197804360956</v>
      </c>
      <c r="T723" s="12" t="s">
        <v>235</v>
      </c>
      <c r="U723" s="12" t="s">
        <v>621</v>
      </c>
      <c r="V723" s="12" t="s">
        <v>90</v>
      </c>
      <c r="W723" s="12" t="s">
        <v>51</v>
      </c>
      <c r="X723" s="14"/>
      <c r="Y723" s="14"/>
      <c r="Z723" s="14"/>
      <c r="AA723" s="14"/>
      <c r="AB723" s="14"/>
      <c r="AC723" s="15">
        <v>56.85</v>
      </c>
      <c r="AD723" s="15">
        <f>AC723*AG723</f>
        <v>511.65000000000003</v>
      </c>
      <c r="AE723" s="15">
        <v>125</v>
      </c>
      <c r="AF723" s="15">
        <f>AE723*AG723</f>
        <v>1125</v>
      </c>
      <c r="AG723" s="16">
        <v>9</v>
      </c>
    </row>
    <row r="724" spans="1:33" ht="15" customHeight="1" x14ac:dyDescent="0.2">
      <c r="A724" s="11" t="str">
        <f t="shared" ref="A724:A1386" si="325">HYPERLINK("https://assets.vans.eu/images/VN000PMFEB2-HERO/1","VN000PMFEB21")</f>
        <v>VN000PMFEB21</v>
      </c>
      <c r="B724" s="12" t="s">
        <v>3147</v>
      </c>
      <c r="C724" s="12" t="s">
        <v>3148</v>
      </c>
      <c r="D724" s="12" t="s">
        <v>2693</v>
      </c>
      <c r="E724" s="12" t="s">
        <v>3149</v>
      </c>
      <c r="F724" s="12" t="s">
        <v>170</v>
      </c>
      <c r="G724" s="14"/>
      <c r="H724" s="12" t="s">
        <v>61</v>
      </c>
      <c r="I724" s="12" t="s">
        <v>230</v>
      </c>
      <c r="J724" s="12" t="s">
        <v>762</v>
      </c>
      <c r="K724" s="12" t="s">
        <v>199</v>
      </c>
      <c r="L724" s="14"/>
      <c r="M724" s="12" t="s">
        <v>43</v>
      </c>
      <c r="N724" s="12" t="s">
        <v>84</v>
      </c>
      <c r="O724" s="12" t="s">
        <v>3150</v>
      </c>
      <c r="P724" s="12" t="s">
        <v>66</v>
      </c>
      <c r="Q724" s="12" t="s">
        <v>764</v>
      </c>
      <c r="R724" s="12" t="s">
        <v>765</v>
      </c>
      <c r="S724" s="13">
        <v>197804372737</v>
      </c>
      <c r="T724" s="12" t="s">
        <v>49</v>
      </c>
      <c r="U724" s="12" t="s">
        <v>170</v>
      </c>
      <c r="V724" s="12" t="s">
        <v>1811</v>
      </c>
      <c r="W724" s="12" t="s">
        <v>51</v>
      </c>
      <c r="X724" s="14"/>
      <c r="Y724" s="14"/>
      <c r="Z724" s="14"/>
      <c r="AA724" s="14"/>
      <c r="AB724" s="14"/>
      <c r="AC724" s="15">
        <v>136.4</v>
      </c>
      <c r="AD724" s="15">
        <f>AC724*AG724</f>
        <v>1227.6000000000001</v>
      </c>
      <c r="AE724" s="15">
        <v>300</v>
      </c>
      <c r="AF724" s="15">
        <f>AE724*AG724</f>
        <v>2700</v>
      </c>
      <c r="AG724" s="16">
        <v>9</v>
      </c>
    </row>
    <row r="725" spans="1:33" ht="15" customHeight="1" x14ac:dyDescent="0.2">
      <c r="A725" s="11" t="str">
        <f t="shared" si="135"/>
        <v>VN000PPMBLK1</v>
      </c>
      <c r="B725" s="12" t="s">
        <v>3151</v>
      </c>
      <c r="C725" s="12" t="s">
        <v>1649</v>
      </c>
      <c r="D725" s="12" t="s">
        <v>76</v>
      </c>
      <c r="E725" s="12" t="s">
        <v>3152</v>
      </c>
      <c r="F725" s="12" t="s">
        <v>403</v>
      </c>
      <c r="G725" s="14"/>
      <c r="H725" s="12" t="s">
        <v>61</v>
      </c>
      <c r="I725" s="12" t="s">
        <v>62</v>
      </c>
      <c r="J725" s="12" t="s">
        <v>63</v>
      </c>
      <c r="K725" s="12" t="s">
        <v>1022</v>
      </c>
      <c r="L725" s="14"/>
      <c r="M725" s="12" t="s">
        <v>43</v>
      </c>
      <c r="N725" s="12" t="s">
        <v>84</v>
      </c>
      <c r="O725" s="12" t="s">
        <v>3153</v>
      </c>
      <c r="P725" s="12" t="s">
        <v>66</v>
      </c>
      <c r="Q725" s="12" t="s">
        <v>67</v>
      </c>
      <c r="R725" s="12" t="s">
        <v>730</v>
      </c>
      <c r="S725" s="13">
        <v>197804363254</v>
      </c>
      <c r="T725" s="12" t="s">
        <v>709</v>
      </c>
      <c r="U725" s="12" t="s">
        <v>403</v>
      </c>
      <c r="V725" s="12" t="s">
        <v>710</v>
      </c>
      <c r="W725" s="12" t="s">
        <v>51</v>
      </c>
      <c r="X725" s="14"/>
      <c r="Y725" s="14"/>
      <c r="Z725" s="14"/>
      <c r="AA725" s="14"/>
      <c r="AB725" s="14"/>
      <c r="AC725" s="15">
        <v>31.85</v>
      </c>
      <c r="AD725" s="15">
        <f>AC725*AG725</f>
        <v>286.65000000000003</v>
      </c>
      <c r="AE725" s="15">
        <v>70</v>
      </c>
      <c r="AF725" s="15">
        <f>AE725*AG725</f>
        <v>630</v>
      </c>
      <c r="AG725" s="16">
        <v>9</v>
      </c>
    </row>
    <row r="726" spans="1:33" ht="15" customHeight="1" x14ac:dyDescent="0.2">
      <c r="A726" s="11" t="str">
        <f t="shared" si="292"/>
        <v>VN000PR3EN91</v>
      </c>
      <c r="B726" s="12" t="s">
        <v>3154</v>
      </c>
      <c r="C726" s="12" t="s">
        <v>2926</v>
      </c>
      <c r="D726" s="12" t="s">
        <v>982</v>
      </c>
      <c r="E726" s="12" t="s">
        <v>3155</v>
      </c>
      <c r="F726" s="12" t="s">
        <v>170</v>
      </c>
      <c r="G726" s="14"/>
      <c r="H726" s="12" t="s">
        <v>61</v>
      </c>
      <c r="I726" s="12" t="s">
        <v>289</v>
      </c>
      <c r="J726" s="12" t="s">
        <v>706</v>
      </c>
      <c r="K726" s="12" t="s">
        <v>100</v>
      </c>
      <c r="L726" s="14"/>
      <c r="M726" s="12" t="s">
        <v>43</v>
      </c>
      <c r="N726" s="12" t="s">
        <v>84</v>
      </c>
      <c r="O726" s="12" t="s">
        <v>3156</v>
      </c>
      <c r="P726" s="12" t="s">
        <v>66</v>
      </c>
      <c r="Q726" s="12" t="s">
        <v>67</v>
      </c>
      <c r="R726" s="12" t="s">
        <v>1146</v>
      </c>
      <c r="S726" s="13">
        <v>197804393640</v>
      </c>
      <c r="T726" s="12" t="s">
        <v>709</v>
      </c>
      <c r="U726" s="12" t="s">
        <v>170</v>
      </c>
      <c r="V726" s="12" t="s">
        <v>665</v>
      </c>
      <c r="W726" s="12" t="s">
        <v>455</v>
      </c>
      <c r="X726" s="14"/>
      <c r="Y726" s="14"/>
      <c r="Z726" s="14"/>
      <c r="AA726" s="14"/>
      <c r="AB726" s="14"/>
      <c r="AC726" s="15">
        <v>15.95</v>
      </c>
      <c r="AD726" s="15">
        <f>AC726*AG726</f>
        <v>143.54999999999998</v>
      </c>
      <c r="AE726" s="15">
        <v>35</v>
      </c>
      <c r="AF726" s="15">
        <f>AE726*AG726</f>
        <v>315</v>
      </c>
      <c r="AG726" s="16">
        <v>9</v>
      </c>
    </row>
    <row r="727" spans="1:33" ht="15" customHeight="1" x14ac:dyDescent="0.2">
      <c r="A727" s="11" t="str">
        <f t="shared" si="292"/>
        <v>VN000PR3EN91</v>
      </c>
      <c r="B727" s="12" t="s">
        <v>3157</v>
      </c>
      <c r="C727" s="12" t="s">
        <v>2926</v>
      </c>
      <c r="D727" s="12" t="s">
        <v>982</v>
      </c>
      <c r="E727" s="12" t="s">
        <v>3158</v>
      </c>
      <c r="F727" s="12" t="s">
        <v>60</v>
      </c>
      <c r="G727" s="14"/>
      <c r="H727" s="12" t="s">
        <v>61</v>
      </c>
      <c r="I727" s="12" t="s">
        <v>289</v>
      </c>
      <c r="J727" s="12" t="s">
        <v>706</v>
      </c>
      <c r="K727" s="12" t="s">
        <v>100</v>
      </c>
      <c r="L727" s="14"/>
      <c r="M727" s="12" t="s">
        <v>43</v>
      </c>
      <c r="N727" s="12" t="s">
        <v>84</v>
      </c>
      <c r="O727" s="12" t="s">
        <v>3159</v>
      </c>
      <c r="P727" s="12" t="s">
        <v>66</v>
      </c>
      <c r="Q727" s="12" t="s">
        <v>67</v>
      </c>
      <c r="R727" s="12" t="s">
        <v>1146</v>
      </c>
      <c r="S727" s="13">
        <v>197804393817</v>
      </c>
      <c r="T727" s="12" t="s">
        <v>709</v>
      </c>
      <c r="U727" s="12" t="s">
        <v>60</v>
      </c>
      <c r="V727" s="12" t="s">
        <v>665</v>
      </c>
      <c r="W727" s="12" t="s">
        <v>455</v>
      </c>
      <c r="X727" s="14"/>
      <c r="Y727" s="14"/>
      <c r="Z727" s="14"/>
      <c r="AA727" s="14"/>
      <c r="AB727" s="14"/>
      <c r="AC727" s="15">
        <v>15.95</v>
      </c>
      <c r="AD727" s="15">
        <f>AC727*AG727</f>
        <v>143.54999999999998</v>
      </c>
      <c r="AE727" s="15">
        <v>35</v>
      </c>
      <c r="AF727" s="15">
        <f>AE727*AG727</f>
        <v>315</v>
      </c>
      <c r="AG727" s="16">
        <v>9</v>
      </c>
    </row>
    <row r="728" spans="1:33" ht="15" customHeight="1" x14ac:dyDescent="0.2">
      <c r="A728" s="11" t="str">
        <f t="shared" ref="A728:A1189" si="326">HYPERLINK("https://assets.vans.eu/images/VN000PXSBLK-HERO/1","VN000PXSBLK1")</f>
        <v>VN000PXSBLK1</v>
      </c>
      <c r="B728" s="12" t="s">
        <v>3160</v>
      </c>
      <c r="C728" s="12" t="s">
        <v>976</v>
      </c>
      <c r="D728" s="12" t="s">
        <v>76</v>
      </c>
      <c r="E728" s="12" t="s">
        <v>3161</v>
      </c>
      <c r="F728" s="12" t="s">
        <v>170</v>
      </c>
      <c r="G728" s="14"/>
      <c r="H728" s="12" t="s">
        <v>61</v>
      </c>
      <c r="I728" s="12" t="s">
        <v>62</v>
      </c>
      <c r="J728" s="12" t="s">
        <v>63</v>
      </c>
      <c r="K728" s="12" t="s">
        <v>64</v>
      </c>
      <c r="L728" s="14"/>
      <c r="M728" s="12" t="s">
        <v>43</v>
      </c>
      <c r="N728" s="12" t="s">
        <v>84</v>
      </c>
      <c r="O728" s="12" t="s">
        <v>3162</v>
      </c>
      <c r="P728" s="12" t="s">
        <v>66</v>
      </c>
      <c r="Q728" s="12" t="s">
        <v>67</v>
      </c>
      <c r="R728" s="12" t="s">
        <v>68</v>
      </c>
      <c r="S728" s="13">
        <v>197804365777</v>
      </c>
      <c r="T728" s="12" t="s">
        <v>915</v>
      </c>
      <c r="U728" s="12" t="s">
        <v>170</v>
      </c>
      <c r="V728" s="12" t="s">
        <v>1028</v>
      </c>
      <c r="W728" s="12" t="s">
        <v>51</v>
      </c>
      <c r="X728" s="14"/>
      <c r="Y728" s="14"/>
      <c r="Z728" s="14"/>
      <c r="AA728" s="14"/>
      <c r="AB728" s="14"/>
      <c r="AC728" s="15">
        <v>13.65</v>
      </c>
      <c r="AD728" s="15">
        <f>AC728*AG728</f>
        <v>122.85000000000001</v>
      </c>
      <c r="AE728" s="15">
        <v>30</v>
      </c>
      <c r="AF728" s="15">
        <f>AE728*AG728</f>
        <v>270</v>
      </c>
      <c r="AG728" s="16">
        <v>9</v>
      </c>
    </row>
    <row r="729" spans="1:33" ht="15" customHeight="1" x14ac:dyDescent="0.2">
      <c r="A729" s="11" t="str">
        <f t="shared" ref="A729:A1397" si="327">HYPERLINK("https://assets.vans.eu/images/VN000PXWWHT-HERO/1","VN000PXWWHT1")</f>
        <v>VN000PXWWHT1</v>
      </c>
      <c r="B729" s="12" t="s">
        <v>3163</v>
      </c>
      <c r="C729" s="12" t="s">
        <v>3164</v>
      </c>
      <c r="D729" s="12" t="s">
        <v>168</v>
      </c>
      <c r="E729" s="12" t="s">
        <v>3165</v>
      </c>
      <c r="F729" s="12" t="s">
        <v>179</v>
      </c>
      <c r="G729" s="14"/>
      <c r="H729" s="12" t="s">
        <v>61</v>
      </c>
      <c r="I729" s="12" t="s">
        <v>62</v>
      </c>
      <c r="J729" s="12" t="s">
        <v>63</v>
      </c>
      <c r="K729" s="12" t="s">
        <v>64</v>
      </c>
      <c r="L729" s="14"/>
      <c r="M729" s="12" t="s">
        <v>43</v>
      </c>
      <c r="N729" s="12" t="s">
        <v>84</v>
      </c>
      <c r="O729" s="12" t="s">
        <v>3166</v>
      </c>
      <c r="P729" s="12" t="s">
        <v>66</v>
      </c>
      <c r="Q729" s="12" t="s">
        <v>67</v>
      </c>
      <c r="R729" s="12" t="s">
        <v>68</v>
      </c>
      <c r="S729" s="13">
        <v>197804765966</v>
      </c>
      <c r="T729" s="12" t="s">
        <v>915</v>
      </c>
      <c r="U729" s="12" t="s">
        <v>179</v>
      </c>
      <c r="V729" s="12" t="s">
        <v>1028</v>
      </c>
      <c r="W729" s="12" t="s">
        <v>175</v>
      </c>
      <c r="X729" s="14"/>
      <c r="Y729" s="14"/>
      <c r="Z729" s="14"/>
      <c r="AA729" s="14"/>
      <c r="AB729" s="14"/>
      <c r="AC729" s="15">
        <v>15.95</v>
      </c>
      <c r="AD729" s="15">
        <f>AC729*AG729</f>
        <v>143.54999999999998</v>
      </c>
      <c r="AE729" s="15">
        <v>35</v>
      </c>
      <c r="AF729" s="15">
        <f>AE729*AG729</f>
        <v>315</v>
      </c>
      <c r="AG729" s="16">
        <v>9</v>
      </c>
    </row>
    <row r="730" spans="1:33" ht="15" customHeight="1" x14ac:dyDescent="0.2">
      <c r="A730" s="11" t="str">
        <f t="shared" ref="A730:A1030" si="328">HYPERLINK("https://assets.vans.eu/images/VN000PY4WHT-HERO/1","VN000PY4WHT1")</f>
        <v>VN000PY4WHT1</v>
      </c>
      <c r="B730" s="12" t="s">
        <v>3167</v>
      </c>
      <c r="C730" s="12" t="s">
        <v>3168</v>
      </c>
      <c r="D730" s="12" t="s">
        <v>168</v>
      </c>
      <c r="E730" s="12" t="s">
        <v>3169</v>
      </c>
      <c r="F730" s="12" t="s">
        <v>179</v>
      </c>
      <c r="G730" s="14"/>
      <c r="H730" s="12" t="s">
        <v>61</v>
      </c>
      <c r="I730" s="12" t="s">
        <v>62</v>
      </c>
      <c r="J730" s="12" t="s">
        <v>63</v>
      </c>
      <c r="K730" s="12" t="s">
        <v>64</v>
      </c>
      <c r="L730" s="14"/>
      <c r="M730" s="12" t="s">
        <v>43</v>
      </c>
      <c r="N730" s="12" t="s">
        <v>84</v>
      </c>
      <c r="O730" s="12" t="s">
        <v>3170</v>
      </c>
      <c r="P730" s="12" t="s">
        <v>66</v>
      </c>
      <c r="Q730" s="12" t="s">
        <v>67</v>
      </c>
      <c r="R730" s="12" t="s">
        <v>68</v>
      </c>
      <c r="S730" s="13">
        <v>197804582419</v>
      </c>
      <c r="T730" s="12" t="s">
        <v>915</v>
      </c>
      <c r="U730" s="12" t="s">
        <v>179</v>
      </c>
      <c r="V730" s="12" t="s">
        <v>1028</v>
      </c>
      <c r="W730" s="12" t="s">
        <v>175</v>
      </c>
      <c r="X730" s="14"/>
      <c r="Y730" s="14"/>
      <c r="Z730" s="14"/>
      <c r="AA730" s="14"/>
      <c r="AB730" s="14"/>
      <c r="AC730" s="15">
        <v>13.65</v>
      </c>
      <c r="AD730" s="15">
        <f>AC730*AG730</f>
        <v>122.85000000000001</v>
      </c>
      <c r="AE730" s="15">
        <v>30</v>
      </c>
      <c r="AF730" s="15">
        <f>AE730*AG730</f>
        <v>270</v>
      </c>
      <c r="AG730" s="16">
        <v>9</v>
      </c>
    </row>
    <row r="731" spans="1:33" ht="15" customHeight="1" x14ac:dyDescent="0.2">
      <c r="A731" s="11" t="str">
        <f t="shared" si="266"/>
        <v>VN000Q0PEMP1</v>
      </c>
      <c r="B731" s="12" t="s">
        <v>3171</v>
      </c>
      <c r="C731" s="12" t="s">
        <v>2737</v>
      </c>
      <c r="D731" s="12" t="s">
        <v>704</v>
      </c>
      <c r="E731" s="12" t="s">
        <v>3172</v>
      </c>
      <c r="F731" s="12" t="s">
        <v>153</v>
      </c>
      <c r="G731" s="14"/>
      <c r="H731" s="12" t="s">
        <v>61</v>
      </c>
      <c r="I731" s="12" t="s">
        <v>289</v>
      </c>
      <c r="J731" s="12" t="s">
        <v>706</v>
      </c>
      <c r="K731" s="12" t="s">
        <v>100</v>
      </c>
      <c r="L731" s="14"/>
      <c r="M731" s="12" t="s">
        <v>43</v>
      </c>
      <c r="N731" s="12" t="s">
        <v>84</v>
      </c>
      <c r="O731" s="12" t="s">
        <v>3173</v>
      </c>
      <c r="P731" s="12" t="s">
        <v>66</v>
      </c>
      <c r="Q731" s="12" t="s">
        <v>67</v>
      </c>
      <c r="R731" s="12" t="s">
        <v>1200</v>
      </c>
      <c r="S731" s="13">
        <v>197804582495</v>
      </c>
      <c r="T731" s="12" t="s">
        <v>49</v>
      </c>
      <c r="U731" s="12" t="s">
        <v>153</v>
      </c>
      <c r="V731" s="12" t="s">
        <v>665</v>
      </c>
      <c r="W731" s="12" t="s">
        <v>186</v>
      </c>
      <c r="X731" s="14"/>
      <c r="Y731" s="14"/>
      <c r="Z731" s="14"/>
      <c r="AA731" s="14"/>
      <c r="AB731" s="14"/>
      <c r="AC731" s="15">
        <v>20.5</v>
      </c>
      <c r="AD731" s="15">
        <f>AC731*AG731</f>
        <v>184.5</v>
      </c>
      <c r="AE731" s="15">
        <v>45</v>
      </c>
      <c r="AF731" s="15">
        <f>AE731*AG731</f>
        <v>405</v>
      </c>
      <c r="AG731" s="16">
        <v>9</v>
      </c>
    </row>
    <row r="732" spans="1:33" ht="15" customHeight="1" x14ac:dyDescent="0.2">
      <c r="A732" s="11" t="str">
        <f>HYPERLINK("https://assets.vans.eu/images/VN000Q33EMF-HERO/1","VN000Q33EMF1")</f>
        <v>VN000Q33EMF1</v>
      </c>
      <c r="B732" s="12" t="s">
        <v>3174</v>
      </c>
      <c r="C732" s="12" t="s">
        <v>3175</v>
      </c>
      <c r="D732" s="12" t="s">
        <v>1282</v>
      </c>
      <c r="E732" s="12" t="s">
        <v>3176</v>
      </c>
      <c r="F732" s="12" t="s">
        <v>138</v>
      </c>
      <c r="G732" s="14"/>
      <c r="H732" s="12" t="s">
        <v>61</v>
      </c>
      <c r="I732" s="12" t="s">
        <v>289</v>
      </c>
      <c r="J732" s="12" t="s">
        <v>706</v>
      </c>
      <c r="K732" s="12" t="s">
        <v>100</v>
      </c>
      <c r="L732" s="14"/>
      <c r="M732" s="12" t="s">
        <v>43</v>
      </c>
      <c r="N732" s="12" t="s">
        <v>84</v>
      </c>
      <c r="O732" s="12" t="s">
        <v>3177</v>
      </c>
      <c r="P732" s="12" t="s">
        <v>66</v>
      </c>
      <c r="Q732" s="12" t="s">
        <v>67</v>
      </c>
      <c r="R732" s="12" t="s">
        <v>708</v>
      </c>
      <c r="S732" s="13">
        <v>197804368709</v>
      </c>
      <c r="T732" s="12" t="s">
        <v>49</v>
      </c>
      <c r="U732" s="12" t="s">
        <v>138</v>
      </c>
      <c r="V732" s="12" t="s">
        <v>1726</v>
      </c>
      <c r="W732" s="12" t="s">
        <v>118</v>
      </c>
      <c r="X732" s="14"/>
      <c r="Y732" s="14"/>
      <c r="Z732" s="14"/>
      <c r="AA732" s="14"/>
      <c r="AB732" s="14"/>
      <c r="AC732" s="15">
        <v>36.4</v>
      </c>
      <c r="AD732" s="15">
        <f>AC732*AG732</f>
        <v>327.59999999999997</v>
      </c>
      <c r="AE732" s="15">
        <v>80</v>
      </c>
      <c r="AF732" s="15">
        <f>AE732*AG732</f>
        <v>720</v>
      </c>
      <c r="AG732" s="16">
        <v>9</v>
      </c>
    </row>
    <row r="733" spans="1:33" ht="15" customHeight="1" x14ac:dyDescent="0.2">
      <c r="A733" s="11" t="str">
        <f t="shared" si="204"/>
        <v>VN000R04EMF1</v>
      </c>
      <c r="B733" s="12" t="s">
        <v>3178</v>
      </c>
      <c r="C733" s="12" t="s">
        <v>1740</v>
      </c>
      <c r="D733" s="12" t="s">
        <v>1282</v>
      </c>
      <c r="E733" s="12" t="s">
        <v>3179</v>
      </c>
      <c r="F733" s="12" t="s">
        <v>170</v>
      </c>
      <c r="G733" s="14"/>
      <c r="H733" s="12" t="s">
        <v>61</v>
      </c>
      <c r="I733" s="12" t="s">
        <v>62</v>
      </c>
      <c r="J733" s="12" t="s">
        <v>63</v>
      </c>
      <c r="K733" s="12" t="s">
        <v>64</v>
      </c>
      <c r="L733" s="14"/>
      <c r="M733" s="12" t="s">
        <v>43</v>
      </c>
      <c r="N733" s="12" t="s">
        <v>84</v>
      </c>
      <c r="O733" s="12" t="s">
        <v>3180</v>
      </c>
      <c r="P733" s="12" t="s">
        <v>66</v>
      </c>
      <c r="Q733" s="12" t="s">
        <v>67</v>
      </c>
      <c r="R733" s="12" t="s">
        <v>68</v>
      </c>
      <c r="S733" s="13">
        <v>197804585120</v>
      </c>
      <c r="T733" s="12" t="s">
        <v>915</v>
      </c>
      <c r="U733" s="12" t="s">
        <v>170</v>
      </c>
      <c r="V733" s="12" t="s">
        <v>1028</v>
      </c>
      <c r="W733" s="12" t="s">
        <v>118</v>
      </c>
      <c r="X733" s="14"/>
      <c r="Y733" s="14"/>
      <c r="Z733" s="14"/>
      <c r="AA733" s="14"/>
      <c r="AB733" s="14"/>
      <c r="AC733" s="15">
        <v>13.65</v>
      </c>
      <c r="AD733" s="15">
        <f>AC733*AG733</f>
        <v>122.85000000000001</v>
      </c>
      <c r="AE733" s="15">
        <v>30</v>
      </c>
      <c r="AF733" s="15">
        <f>AE733*AG733</f>
        <v>270</v>
      </c>
      <c r="AG733" s="16">
        <v>9</v>
      </c>
    </row>
    <row r="734" spans="1:33" ht="15" customHeight="1" x14ac:dyDescent="0.2">
      <c r="A734" s="11" t="str">
        <f t="shared" ref="A734:A913" si="329">HYPERLINK("https://assets.vans.eu/images/VN000R05WHT-HERO/1","VN000R05WHT1")</f>
        <v>VN000R05WHT1</v>
      </c>
      <c r="B734" s="12" t="s">
        <v>3181</v>
      </c>
      <c r="C734" s="12" t="s">
        <v>3182</v>
      </c>
      <c r="D734" s="12" t="s">
        <v>168</v>
      </c>
      <c r="E734" s="12" t="s">
        <v>3183</v>
      </c>
      <c r="F734" s="12" t="s">
        <v>403</v>
      </c>
      <c r="G734" s="14"/>
      <c r="H734" s="12" t="s">
        <v>61</v>
      </c>
      <c r="I734" s="12" t="s">
        <v>62</v>
      </c>
      <c r="J734" s="12" t="s">
        <v>63</v>
      </c>
      <c r="K734" s="12" t="s">
        <v>64</v>
      </c>
      <c r="L734" s="14"/>
      <c r="M734" s="12" t="s">
        <v>43</v>
      </c>
      <c r="N734" s="12" t="s">
        <v>84</v>
      </c>
      <c r="O734" s="12" t="s">
        <v>3184</v>
      </c>
      <c r="P734" s="12" t="s">
        <v>66</v>
      </c>
      <c r="Q734" s="12" t="s">
        <v>67</v>
      </c>
      <c r="R734" s="12" t="s">
        <v>68</v>
      </c>
      <c r="S734" s="13">
        <v>197804585175</v>
      </c>
      <c r="T734" s="12" t="s">
        <v>915</v>
      </c>
      <c r="U734" s="12" t="s">
        <v>403</v>
      </c>
      <c r="V734" s="12" t="s">
        <v>1028</v>
      </c>
      <c r="W734" s="12" t="s">
        <v>175</v>
      </c>
      <c r="X734" s="14"/>
      <c r="Y734" s="14"/>
      <c r="Z734" s="14"/>
      <c r="AA734" s="14"/>
      <c r="AB734" s="14"/>
      <c r="AC734" s="15">
        <v>13.65</v>
      </c>
      <c r="AD734" s="15">
        <f>AC734*AG734</f>
        <v>122.85000000000001</v>
      </c>
      <c r="AE734" s="15">
        <v>30</v>
      </c>
      <c r="AF734" s="15">
        <f>AE734*AG734</f>
        <v>270</v>
      </c>
      <c r="AG734" s="16">
        <v>9</v>
      </c>
    </row>
    <row r="735" spans="1:33" ht="15" customHeight="1" x14ac:dyDescent="0.2">
      <c r="A735" s="11" t="str">
        <f t="shared" ref="A735:A914" si="330">HYPERLINK("https://assets.vans.eu/images/VN000R4Z7D6-HERO/1","VN000R4Z7D61")</f>
        <v>VN000R4Z7D61</v>
      </c>
      <c r="B735" s="12" t="s">
        <v>3185</v>
      </c>
      <c r="C735" s="12" t="s">
        <v>3186</v>
      </c>
      <c r="D735" s="12" t="s">
        <v>1231</v>
      </c>
      <c r="E735" s="12" t="s">
        <v>3187</v>
      </c>
      <c r="F735" s="13">
        <v>31</v>
      </c>
      <c r="G735" s="14"/>
      <c r="H735" s="12" t="s">
        <v>61</v>
      </c>
      <c r="I735" s="12" t="s">
        <v>230</v>
      </c>
      <c r="J735" s="12" t="s">
        <v>231</v>
      </c>
      <c r="K735" s="12" t="s">
        <v>199</v>
      </c>
      <c r="L735" s="14"/>
      <c r="M735" s="12" t="s">
        <v>43</v>
      </c>
      <c r="N735" s="12" t="s">
        <v>84</v>
      </c>
      <c r="O735" s="12" t="s">
        <v>3188</v>
      </c>
      <c r="P735" s="12" t="s">
        <v>66</v>
      </c>
      <c r="Q735" s="12" t="s">
        <v>233</v>
      </c>
      <c r="R735" s="12" t="s">
        <v>361</v>
      </c>
      <c r="S735" s="13">
        <v>197804585731</v>
      </c>
      <c r="T735" s="12" t="s">
        <v>235</v>
      </c>
      <c r="U735" s="13">
        <v>31</v>
      </c>
      <c r="V735" s="12" t="s">
        <v>665</v>
      </c>
      <c r="W735" s="12" t="s">
        <v>186</v>
      </c>
      <c r="X735" s="14"/>
      <c r="Y735" s="14"/>
      <c r="Z735" s="14"/>
      <c r="AA735" s="14"/>
      <c r="AB735" s="14"/>
      <c r="AC735" s="15">
        <v>34.1</v>
      </c>
      <c r="AD735" s="15">
        <f>AC735*AG735</f>
        <v>306.90000000000003</v>
      </c>
      <c r="AE735" s="15">
        <v>75</v>
      </c>
      <c r="AF735" s="15">
        <f>AE735*AG735</f>
        <v>675</v>
      </c>
      <c r="AG735" s="16">
        <v>9</v>
      </c>
    </row>
    <row r="736" spans="1:33" ht="15" customHeight="1" x14ac:dyDescent="0.2">
      <c r="A736" s="11" t="str">
        <f t="shared" si="330"/>
        <v>VN000R4Z7D61</v>
      </c>
      <c r="B736" s="12" t="s">
        <v>3189</v>
      </c>
      <c r="C736" s="12" t="s">
        <v>3186</v>
      </c>
      <c r="D736" s="12" t="s">
        <v>1231</v>
      </c>
      <c r="E736" s="12" t="s">
        <v>3190</v>
      </c>
      <c r="F736" s="13">
        <v>32</v>
      </c>
      <c r="G736" s="14"/>
      <c r="H736" s="12" t="s">
        <v>61</v>
      </c>
      <c r="I736" s="12" t="s">
        <v>230</v>
      </c>
      <c r="J736" s="12" t="s">
        <v>231</v>
      </c>
      <c r="K736" s="12" t="s">
        <v>199</v>
      </c>
      <c r="L736" s="14"/>
      <c r="M736" s="12" t="s">
        <v>43</v>
      </c>
      <c r="N736" s="12" t="s">
        <v>84</v>
      </c>
      <c r="O736" s="12" t="s">
        <v>3191</v>
      </c>
      <c r="P736" s="12" t="s">
        <v>66</v>
      </c>
      <c r="Q736" s="12" t="s">
        <v>233</v>
      </c>
      <c r="R736" s="12" t="s">
        <v>361</v>
      </c>
      <c r="S736" s="13">
        <v>197804585786</v>
      </c>
      <c r="T736" s="12" t="s">
        <v>235</v>
      </c>
      <c r="U736" s="13">
        <v>32</v>
      </c>
      <c r="V736" s="12" t="s">
        <v>665</v>
      </c>
      <c r="W736" s="12" t="s">
        <v>186</v>
      </c>
      <c r="X736" s="14"/>
      <c r="Y736" s="14"/>
      <c r="Z736" s="14"/>
      <c r="AA736" s="14"/>
      <c r="AB736" s="14"/>
      <c r="AC736" s="15">
        <v>34.1</v>
      </c>
      <c r="AD736" s="15">
        <f>AC736*AG736</f>
        <v>306.90000000000003</v>
      </c>
      <c r="AE736" s="15">
        <v>75</v>
      </c>
      <c r="AF736" s="15">
        <f>AE736*AG736</f>
        <v>675</v>
      </c>
      <c r="AG736" s="16">
        <v>9</v>
      </c>
    </row>
    <row r="737" spans="1:33" ht="15" customHeight="1" x14ac:dyDescent="0.2">
      <c r="A737" s="11" t="str">
        <f t="shared" si="330"/>
        <v>VN000R4Z7D61</v>
      </c>
      <c r="B737" s="12" t="s">
        <v>3192</v>
      </c>
      <c r="C737" s="12" t="s">
        <v>3186</v>
      </c>
      <c r="D737" s="12" t="s">
        <v>1231</v>
      </c>
      <c r="E737" s="12" t="s">
        <v>3193</v>
      </c>
      <c r="F737" s="13">
        <v>33</v>
      </c>
      <c r="G737" s="14"/>
      <c r="H737" s="12" t="s">
        <v>61</v>
      </c>
      <c r="I737" s="12" t="s">
        <v>230</v>
      </c>
      <c r="J737" s="12" t="s">
        <v>231</v>
      </c>
      <c r="K737" s="12" t="s">
        <v>199</v>
      </c>
      <c r="L737" s="14"/>
      <c r="M737" s="12" t="s">
        <v>43</v>
      </c>
      <c r="N737" s="12" t="s">
        <v>84</v>
      </c>
      <c r="O737" s="12" t="s">
        <v>3194</v>
      </c>
      <c r="P737" s="12" t="s">
        <v>66</v>
      </c>
      <c r="Q737" s="12" t="s">
        <v>233</v>
      </c>
      <c r="R737" s="12" t="s">
        <v>361</v>
      </c>
      <c r="S737" s="13">
        <v>197804585922</v>
      </c>
      <c r="T737" s="12" t="s">
        <v>235</v>
      </c>
      <c r="U737" s="13">
        <v>33</v>
      </c>
      <c r="V737" s="12" t="s">
        <v>665</v>
      </c>
      <c r="W737" s="12" t="s">
        <v>186</v>
      </c>
      <c r="X737" s="14"/>
      <c r="Y737" s="14"/>
      <c r="Z737" s="14"/>
      <c r="AA737" s="14"/>
      <c r="AB737" s="14"/>
      <c r="AC737" s="15">
        <v>34.1</v>
      </c>
      <c r="AD737" s="15">
        <f>AC737*AG737</f>
        <v>306.90000000000003</v>
      </c>
      <c r="AE737" s="15">
        <v>75</v>
      </c>
      <c r="AF737" s="15">
        <f>AE737*AG737</f>
        <v>675</v>
      </c>
      <c r="AG737" s="16">
        <v>9</v>
      </c>
    </row>
    <row r="738" spans="1:33" ht="15" customHeight="1" x14ac:dyDescent="0.2">
      <c r="A738" s="11" t="str">
        <f t="shared" si="247"/>
        <v>VN000R742N11</v>
      </c>
      <c r="B738" s="12" t="s">
        <v>3195</v>
      </c>
      <c r="C738" s="12" t="s">
        <v>2553</v>
      </c>
      <c r="D738" s="12" t="s">
        <v>1082</v>
      </c>
      <c r="E738" s="12" t="s">
        <v>3196</v>
      </c>
      <c r="F738" s="12" t="s">
        <v>621</v>
      </c>
      <c r="G738" s="14"/>
      <c r="H738" s="12" t="s">
        <v>61</v>
      </c>
      <c r="I738" s="12" t="s">
        <v>289</v>
      </c>
      <c r="J738" s="12" t="s">
        <v>706</v>
      </c>
      <c r="K738" s="12" t="s">
        <v>100</v>
      </c>
      <c r="L738" s="12" t="s">
        <v>83</v>
      </c>
      <c r="M738" s="12" t="s">
        <v>43</v>
      </c>
      <c r="N738" s="12" t="s">
        <v>84</v>
      </c>
      <c r="O738" s="12" t="s">
        <v>3197</v>
      </c>
      <c r="P738" s="12" t="s">
        <v>66</v>
      </c>
      <c r="Q738" s="12" t="s">
        <v>67</v>
      </c>
      <c r="R738" s="12" t="s">
        <v>1146</v>
      </c>
      <c r="S738" s="13">
        <v>197804297276</v>
      </c>
      <c r="T738" s="12" t="s">
        <v>69</v>
      </c>
      <c r="U738" s="12" t="s">
        <v>621</v>
      </c>
      <c r="V738" s="12" t="s">
        <v>2556</v>
      </c>
      <c r="W738" s="12" t="s">
        <v>580</v>
      </c>
      <c r="X738" s="14"/>
      <c r="Y738" s="14"/>
      <c r="Z738" s="14"/>
      <c r="AA738" s="14"/>
      <c r="AB738" s="14"/>
      <c r="AC738" s="15">
        <v>18.2</v>
      </c>
      <c r="AD738" s="15">
        <f>AC738*AG738</f>
        <v>163.79999999999998</v>
      </c>
      <c r="AE738" s="15">
        <v>40</v>
      </c>
      <c r="AF738" s="15">
        <f>AE738*AG738</f>
        <v>360</v>
      </c>
      <c r="AG738" s="16">
        <v>9</v>
      </c>
    </row>
    <row r="739" spans="1:33" ht="15" customHeight="1" x14ac:dyDescent="0.2">
      <c r="A739" s="11" t="str">
        <f t="shared" ref="A739:A920" si="331">HYPERLINK("https://assets.vans.eu/images/VN000RBCEML-HERO/1","VN000RBCEML1")</f>
        <v>VN000RBCEML1</v>
      </c>
      <c r="B739" s="12" t="s">
        <v>3198</v>
      </c>
      <c r="C739" s="12" t="s">
        <v>3199</v>
      </c>
      <c r="D739" s="12" t="s">
        <v>3126</v>
      </c>
      <c r="E739" s="12" t="s">
        <v>3200</v>
      </c>
      <c r="F739" s="12" t="s">
        <v>60</v>
      </c>
      <c r="G739" s="14"/>
      <c r="H739" s="12" t="s">
        <v>61</v>
      </c>
      <c r="I739" s="12" t="s">
        <v>62</v>
      </c>
      <c r="J739" s="12" t="s">
        <v>63</v>
      </c>
      <c r="K739" s="12" t="s">
        <v>64</v>
      </c>
      <c r="L739" s="12" t="s">
        <v>83</v>
      </c>
      <c r="M739" s="12" t="s">
        <v>43</v>
      </c>
      <c r="N739" s="12" t="s">
        <v>84</v>
      </c>
      <c r="O739" s="12" t="s">
        <v>3201</v>
      </c>
      <c r="P739" s="12" t="s">
        <v>66</v>
      </c>
      <c r="Q739" s="12" t="s">
        <v>67</v>
      </c>
      <c r="R739" s="12" t="s">
        <v>68</v>
      </c>
      <c r="S739" s="13">
        <v>197804325887</v>
      </c>
      <c r="T739" s="12" t="s">
        <v>422</v>
      </c>
      <c r="U739" s="12" t="s">
        <v>60</v>
      </c>
      <c r="V739" s="12" t="s">
        <v>423</v>
      </c>
      <c r="W739" s="12" t="s">
        <v>284</v>
      </c>
      <c r="X739" s="14"/>
      <c r="Y739" s="14"/>
      <c r="Z739" s="14"/>
      <c r="AA739" s="14"/>
      <c r="AB739" s="14"/>
      <c r="AC739" s="15">
        <v>11.4</v>
      </c>
      <c r="AD739" s="15">
        <f>AC739*AG739</f>
        <v>102.60000000000001</v>
      </c>
      <c r="AE739" s="15">
        <v>25</v>
      </c>
      <c r="AF739" s="15">
        <f>AE739*AG739</f>
        <v>225</v>
      </c>
      <c r="AG739" s="16">
        <v>9</v>
      </c>
    </row>
    <row r="740" spans="1:33" ht="15" customHeight="1" x14ac:dyDescent="0.2">
      <c r="A740" s="11" t="str">
        <f t="shared" ref="A740:A1045" si="332">HYPERLINK("https://assets.vans.eu/images/VN000RDFBLK-HERO/1","VN000RDFBLK1")</f>
        <v>VN000RDFBLK1</v>
      </c>
      <c r="B740" s="12" t="s">
        <v>3202</v>
      </c>
      <c r="C740" s="12" t="s">
        <v>3203</v>
      </c>
      <c r="D740" s="12" t="s">
        <v>76</v>
      </c>
      <c r="E740" s="12" t="s">
        <v>3204</v>
      </c>
      <c r="F740" s="12" t="s">
        <v>153</v>
      </c>
      <c r="G740" s="14"/>
      <c r="H740" s="12" t="s">
        <v>61</v>
      </c>
      <c r="I740" s="12" t="s">
        <v>289</v>
      </c>
      <c r="J740" s="12" t="s">
        <v>706</v>
      </c>
      <c r="K740" s="12" t="s">
        <v>100</v>
      </c>
      <c r="L740" s="12" t="s">
        <v>83</v>
      </c>
      <c r="M740" s="12" t="s">
        <v>43</v>
      </c>
      <c r="N740" s="12" t="s">
        <v>84</v>
      </c>
      <c r="O740" s="12" t="s">
        <v>3205</v>
      </c>
      <c r="P740" s="12" t="s">
        <v>66</v>
      </c>
      <c r="Q740" s="12" t="s">
        <v>67</v>
      </c>
      <c r="R740" s="12" t="s">
        <v>708</v>
      </c>
      <c r="S740" s="13">
        <v>197804299164</v>
      </c>
      <c r="T740" s="12" t="s">
        <v>69</v>
      </c>
      <c r="U740" s="12" t="s">
        <v>153</v>
      </c>
      <c r="V740" s="12" t="s">
        <v>1386</v>
      </c>
      <c r="W740" s="12" t="s">
        <v>51</v>
      </c>
      <c r="X740" s="14"/>
      <c r="Y740" s="14"/>
      <c r="Z740" s="14"/>
      <c r="AA740" s="14"/>
      <c r="AB740" s="14"/>
      <c r="AC740" s="15">
        <v>38.65</v>
      </c>
      <c r="AD740" s="15">
        <f>AC740*AG740</f>
        <v>347.84999999999997</v>
      </c>
      <c r="AE740" s="15">
        <v>85</v>
      </c>
      <c r="AF740" s="15">
        <f>AE740*AG740</f>
        <v>765</v>
      </c>
      <c r="AG740" s="16">
        <v>9</v>
      </c>
    </row>
    <row r="741" spans="1:33" ht="15" customHeight="1" x14ac:dyDescent="0.2">
      <c r="A741" s="11" t="str">
        <f t="shared" ref="A741:A1202" si="333">HYPERLINK("https://assets.vans.eu/images/VN000REMBLK-HERO/1","VN000REMBLK1")</f>
        <v>VN000REMBLK1</v>
      </c>
      <c r="B741" s="12" t="s">
        <v>3206</v>
      </c>
      <c r="C741" s="12" t="s">
        <v>3207</v>
      </c>
      <c r="D741" s="12" t="s">
        <v>76</v>
      </c>
      <c r="E741" s="12" t="s">
        <v>3208</v>
      </c>
      <c r="F741" s="12" t="s">
        <v>138</v>
      </c>
      <c r="G741" s="14"/>
      <c r="H741" s="12" t="s">
        <v>61</v>
      </c>
      <c r="I741" s="12" t="s">
        <v>289</v>
      </c>
      <c r="J741" s="12" t="s">
        <v>706</v>
      </c>
      <c r="K741" s="12" t="s">
        <v>100</v>
      </c>
      <c r="L741" s="12" t="s">
        <v>83</v>
      </c>
      <c r="M741" s="12" t="s">
        <v>43</v>
      </c>
      <c r="N741" s="12" t="s">
        <v>84</v>
      </c>
      <c r="O741" s="12" t="s">
        <v>3209</v>
      </c>
      <c r="P741" s="12" t="s">
        <v>66</v>
      </c>
      <c r="Q741" s="12" t="s">
        <v>67</v>
      </c>
      <c r="R741" s="12" t="s">
        <v>708</v>
      </c>
      <c r="S741" s="13">
        <v>197804299539</v>
      </c>
      <c r="T741" s="12" t="s">
        <v>69</v>
      </c>
      <c r="U741" s="12" t="s">
        <v>138</v>
      </c>
      <c r="V741" s="12" t="s">
        <v>1386</v>
      </c>
      <c r="W741" s="12" t="s">
        <v>51</v>
      </c>
      <c r="X741" s="14"/>
      <c r="Y741" s="14"/>
      <c r="Z741" s="14"/>
      <c r="AA741" s="14"/>
      <c r="AB741" s="14"/>
      <c r="AC741" s="15">
        <v>38.65</v>
      </c>
      <c r="AD741" s="15">
        <f>AC741*AG741</f>
        <v>347.84999999999997</v>
      </c>
      <c r="AE741" s="15">
        <v>85</v>
      </c>
      <c r="AF741" s="15">
        <f>AE741*AG741</f>
        <v>765</v>
      </c>
      <c r="AG741" s="16">
        <v>9</v>
      </c>
    </row>
    <row r="742" spans="1:33" ht="15" customHeight="1" x14ac:dyDescent="0.2">
      <c r="A742" s="11" t="str">
        <f>HYPERLINK("https://assets.vans.eu/images/VN0A5FNVBLK-HERO/1","VN0A5FNVBLK1")</f>
        <v>VN0A5FNVBLK1</v>
      </c>
      <c r="B742" s="12" t="s">
        <v>3210</v>
      </c>
      <c r="C742" s="12" t="s">
        <v>3211</v>
      </c>
      <c r="D742" s="12" t="s">
        <v>76</v>
      </c>
      <c r="E742" s="12" t="s">
        <v>3212</v>
      </c>
      <c r="F742" s="12" t="s">
        <v>60</v>
      </c>
      <c r="G742" s="14"/>
      <c r="H742" s="12" t="s">
        <v>61</v>
      </c>
      <c r="I742" s="12" t="s">
        <v>62</v>
      </c>
      <c r="J742" s="12" t="s">
        <v>2938</v>
      </c>
      <c r="K742" s="12" t="s">
        <v>64</v>
      </c>
      <c r="L742" s="14"/>
      <c r="M742" s="12" t="s">
        <v>43</v>
      </c>
      <c r="N742" s="12" t="s">
        <v>161</v>
      </c>
      <c r="O742" s="12" t="s">
        <v>3213</v>
      </c>
      <c r="P742" s="12" t="s">
        <v>66</v>
      </c>
      <c r="Q742" s="12" t="s">
        <v>764</v>
      </c>
      <c r="R742" s="12" t="s">
        <v>2940</v>
      </c>
      <c r="S742" s="13">
        <v>195441385813</v>
      </c>
      <c r="T742" s="12" t="s">
        <v>49</v>
      </c>
      <c r="U742" s="12" t="s">
        <v>60</v>
      </c>
      <c r="V742" s="12" t="s">
        <v>3214</v>
      </c>
      <c r="W742" s="12" t="s">
        <v>51</v>
      </c>
      <c r="X742" s="13">
        <v>0</v>
      </c>
      <c r="Y742" s="12" t="s">
        <v>91</v>
      </c>
      <c r="Z742" s="12" t="s">
        <v>108</v>
      </c>
      <c r="AA742" s="13">
        <v>0</v>
      </c>
      <c r="AB742" s="13">
        <v>0</v>
      </c>
      <c r="AC742" s="15">
        <v>28.2</v>
      </c>
      <c r="AD742" s="15">
        <f>AC742*AG742</f>
        <v>253.79999999999998</v>
      </c>
      <c r="AE742" s="15">
        <v>62</v>
      </c>
      <c r="AF742" s="15">
        <f>AE742*AG742</f>
        <v>558</v>
      </c>
      <c r="AG742" s="16">
        <v>9</v>
      </c>
    </row>
    <row r="743" spans="1:33" ht="15" customHeight="1" x14ac:dyDescent="0.2">
      <c r="A743" s="11" t="str">
        <f>HYPERLINK("https://assets.vans.eu/images/VN000MP6EMJ-HERO/1","VN000MP6EMJ1")</f>
        <v>VN000MP6EMJ1</v>
      </c>
      <c r="B743" s="12" t="s">
        <v>3215</v>
      </c>
      <c r="C743" s="12" t="s">
        <v>3216</v>
      </c>
      <c r="D743" s="12" t="s">
        <v>768</v>
      </c>
      <c r="E743" s="12" t="s">
        <v>3217</v>
      </c>
      <c r="F743" s="12" t="s">
        <v>78</v>
      </c>
      <c r="G743" s="14"/>
      <c r="H743" s="12" t="s">
        <v>441</v>
      </c>
      <c r="I743" s="12" t="s">
        <v>442</v>
      </c>
      <c r="J743" s="12" t="s">
        <v>1291</v>
      </c>
      <c r="K743" s="12" t="s">
        <v>82</v>
      </c>
      <c r="L743" s="14"/>
      <c r="M743" s="12" t="s">
        <v>43</v>
      </c>
      <c r="N743" s="12" t="s">
        <v>84</v>
      </c>
      <c r="O743" s="12" t="s">
        <v>3218</v>
      </c>
      <c r="P743" s="12" t="s">
        <v>445</v>
      </c>
      <c r="Q743" s="12" t="s">
        <v>446</v>
      </c>
      <c r="R743" s="12" t="s">
        <v>1293</v>
      </c>
      <c r="S743" s="13">
        <v>197804387823</v>
      </c>
      <c r="T743" s="12" t="s">
        <v>130</v>
      </c>
      <c r="U743" s="12" t="s">
        <v>78</v>
      </c>
      <c r="V743" s="12" t="s">
        <v>3219</v>
      </c>
      <c r="W743" s="12" t="s">
        <v>625</v>
      </c>
      <c r="X743" s="14"/>
      <c r="Y743" s="14"/>
      <c r="Z743" s="14"/>
      <c r="AA743" s="14"/>
      <c r="AB743" s="14"/>
      <c r="AC743" s="15">
        <v>13.65</v>
      </c>
      <c r="AD743" s="15">
        <f>AC743*AG743</f>
        <v>122.85000000000001</v>
      </c>
      <c r="AE743" s="15">
        <v>30</v>
      </c>
      <c r="AF743" s="15">
        <f>AE743*AG743</f>
        <v>270</v>
      </c>
      <c r="AG743" s="16">
        <v>9</v>
      </c>
    </row>
    <row r="744" spans="1:33" ht="15" customHeight="1" x14ac:dyDescent="0.2">
      <c r="A744" s="11" t="str">
        <f t="shared" ref="A744:A1443" si="334">HYPERLINK("https://assets.vans.eu/images/VN000BVXKAQ-HERO/1","VN000BVXKAQ1")</f>
        <v>VN000BVXKAQ1</v>
      </c>
      <c r="B744" s="12" t="s">
        <v>3220</v>
      </c>
      <c r="C744" s="12" t="s">
        <v>3221</v>
      </c>
      <c r="D744" s="12" t="s">
        <v>2408</v>
      </c>
      <c r="E744" s="12" t="s">
        <v>3222</v>
      </c>
      <c r="F744" s="13">
        <v>50</v>
      </c>
      <c r="G744" s="12" t="s">
        <v>551</v>
      </c>
      <c r="H744" s="12" t="s">
        <v>38</v>
      </c>
      <c r="I744" s="12" t="s">
        <v>159</v>
      </c>
      <c r="J744" s="12" t="s">
        <v>160</v>
      </c>
      <c r="K744" s="12" t="s">
        <v>82</v>
      </c>
      <c r="L744" s="12" t="s">
        <v>42</v>
      </c>
      <c r="M744" s="12" t="s">
        <v>43</v>
      </c>
      <c r="N744" s="12" t="s">
        <v>274</v>
      </c>
      <c r="O744" s="12" t="s">
        <v>3223</v>
      </c>
      <c r="P744" s="12" t="s">
        <v>46</v>
      </c>
      <c r="Q744" s="12" t="s">
        <v>47</v>
      </c>
      <c r="R744" s="12" t="s">
        <v>163</v>
      </c>
      <c r="S744" s="13">
        <v>197063263456</v>
      </c>
      <c r="T744" s="12" t="s">
        <v>49</v>
      </c>
      <c r="U744" s="13">
        <v>36.5</v>
      </c>
      <c r="V744" s="12" t="s">
        <v>50</v>
      </c>
      <c r="W744" s="12" t="s">
        <v>455</v>
      </c>
      <c r="X744" s="14"/>
      <c r="Y744" s="12" t="s">
        <v>53</v>
      </c>
      <c r="Z744" s="12" t="s">
        <v>92</v>
      </c>
      <c r="AA744" s="12" t="s">
        <v>3224</v>
      </c>
      <c r="AB744" s="12" t="s">
        <v>55</v>
      </c>
      <c r="AC744" s="15">
        <v>38.65</v>
      </c>
      <c r="AD744" s="15">
        <f>AC744*AG744</f>
        <v>347.84999999999997</v>
      </c>
      <c r="AE744" s="15">
        <v>85</v>
      </c>
      <c r="AF744" s="15">
        <f>AE744*AG744</f>
        <v>765</v>
      </c>
      <c r="AG744" s="16">
        <v>9</v>
      </c>
    </row>
    <row r="745" spans="1:33" ht="15" customHeight="1" x14ac:dyDescent="0.2">
      <c r="A745" s="11" t="str">
        <f>HYPERLINK("https://assets.vans.eu/images/VN000CQRB9M-HERO/1","VN000CQRB9M1")</f>
        <v>VN000CQRB9M1</v>
      </c>
      <c r="B745" s="12" t="s">
        <v>3225</v>
      </c>
      <c r="C745" s="12" t="s">
        <v>1458</v>
      </c>
      <c r="D745" s="12" t="s">
        <v>339</v>
      </c>
      <c r="E745" s="12" t="s">
        <v>3226</v>
      </c>
      <c r="F745" s="13">
        <v>35</v>
      </c>
      <c r="G745" s="14"/>
      <c r="H745" s="12" t="s">
        <v>38</v>
      </c>
      <c r="I745" s="12" t="s">
        <v>113</v>
      </c>
      <c r="J745" s="12" t="s">
        <v>529</v>
      </c>
      <c r="K745" s="12" t="s">
        <v>82</v>
      </c>
      <c r="L745" s="14"/>
      <c r="M745" s="12" t="s">
        <v>43</v>
      </c>
      <c r="N745" s="12" t="s">
        <v>84</v>
      </c>
      <c r="O745" s="12" t="s">
        <v>3227</v>
      </c>
      <c r="P745" s="12" t="s">
        <v>46</v>
      </c>
      <c r="Q745" s="12" t="s">
        <v>47</v>
      </c>
      <c r="R745" s="12" t="s">
        <v>117</v>
      </c>
      <c r="S745" s="13">
        <v>196575345841</v>
      </c>
      <c r="T745" s="12" t="s">
        <v>164</v>
      </c>
      <c r="U745" s="13">
        <v>34.5</v>
      </c>
      <c r="V745" s="12" t="s">
        <v>50</v>
      </c>
      <c r="W745" s="12" t="s">
        <v>51</v>
      </c>
      <c r="X745" s="14"/>
      <c r="Y745" s="12" t="s">
        <v>91</v>
      </c>
      <c r="Z745" s="12" t="s">
        <v>263</v>
      </c>
      <c r="AA745" s="14"/>
      <c r="AB745" s="14"/>
      <c r="AC745" s="15">
        <v>43.2</v>
      </c>
      <c r="AD745" s="15">
        <f>AC745*AG745</f>
        <v>388.8</v>
      </c>
      <c r="AE745" s="15">
        <v>95</v>
      </c>
      <c r="AF745" s="15">
        <f>AE745*AG745</f>
        <v>855</v>
      </c>
      <c r="AG745" s="16">
        <v>9</v>
      </c>
    </row>
    <row r="746" spans="1:33" ht="15" customHeight="1" x14ac:dyDescent="0.2">
      <c r="A746" s="11" t="str">
        <f t="shared" ref="A746:A1061" si="335">HYPERLINK("https://assets.vans.eu/images/VN000CQRYLZ-HERO/1","VN000CQRYLZ1")</f>
        <v>VN000CQRYLZ1</v>
      </c>
      <c r="B746" s="12" t="s">
        <v>3228</v>
      </c>
      <c r="C746" s="12" t="s">
        <v>1458</v>
      </c>
      <c r="D746" s="12" t="s">
        <v>458</v>
      </c>
      <c r="E746" s="12" t="s">
        <v>3229</v>
      </c>
      <c r="F746" s="13">
        <v>80</v>
      </c>
      <c r="G746" s="12" t="s">
        <v>1852</v>
      </c>
      <c r="H746" s="12" t="s">
        <v>38</v>
      </c>
      <c r="I746" s="12" t="s">
        <v>113</v>
      </c>
      <c r="J746" s="12" t="s">
        <v>529</v>
      </c>
      <c r="K746" s="12" t="s">
        <v>82</v>
      </c>
      <c r="L746" s="14"/>
      <c r="M746" s="12" t="s">
        <v>43</v>
      </c>
      <c r="N746" s="12" t="s">
        <v>44</v>
      </c>
      <c r="O746" s="12" t="s">
        <v>3230</v>
      </c>
      <c r="P746" s="12" t="s">
        <v>46</v>
      </c>
      <c r="Q746" s="12" t="s">
        <v>47</v>
      </c>
      <c r="R746" s="12" t="s">
        <v>117</v>
      </c>
      <c r="S746" s="13">
        <v>197643238737</v>
      </c>
      <c r="T746" s="12" t="s">
        <v>49</v>
      </c>
      <c r="U746" s="13">
        <v>40.5</v>
      </c>
      <c r="V746" s="12" t="s">
        <v>50</v>
      </c>
      <c r="W746" s="12" t="s">
        <v>299</v>
      </c>
      <c r="X746" s="14"/>
      <c r="Y746" s="12" t="s">
        <v>53</v>
      </c>
      <c r="Z746" s="12" t="s">
        <v>1462</v>
      </c>
      <c r="AA746" s="14"/>
      <c r="AB746" s="14"/>
      <c r="AC746" s="15">
        <v>43.2</v>
      </c>
      <c r="AD746" s="15">
        <f>AC746*AG746</f>
        <v>388.8</v>
      </c>
      <c r="AE746" s="15">
        <v>95</v>
      </c>
      <c r="AF746" s="15">
        <f>AE746*AG746</f>
        <v>855</v>
      </c>
      <c r="AG746" s="16">
        <v>9</v>
      </c>
    </row>
    <row r="747" spans="1:33" ht="15" customHeight="1" x14ac:dyDescent="0.2">
      <c r="A747" s="11" t="str">
        <f t="shared" si="208"/>
        <v>VN000CTG7VF1</v>
      </c>
      <c r="B747" s="12" t="s">
        <v>3231</v>
      </c>
      <c r="C747" s="12" t="s">
        <v>238</v>
      </c>
      <c r="D747" s="12" t="s">
        <v>641</v>
      </c>
      <c r="E747" s="12" t="s">
        <v>3232</v>
      </c>
      <c r="F747" s="13">
        <v>25</v>
      </c>
      <c r="G747" s="12" t="s">
        <v>643</v>
      </c>
      <c r="H747" s="12" t="s">
        <v>38</v>
      </c>
      <c r="I747" s="12" t="s">
        <v>242</v>
      </c>
      <c r="J747" s="12" t="s">
        <v>243</v>
      </c>
      <c r="K747" s="12" t="s">
        <v>244</v>
      </c>
      <c r="L747" s="14"/>
      <c r="M747" s="12" t="s">
        <v>43</v>
      </c>
      <c r="N747" s="12" t="s">
        <v>84</v>
      </c>
      <c r="O747" s="12" t="s">
        <v>3233</v>
      </c>
      <c r="P747" s="12" t="s">
        <v>46</v>
      </c>
      <c r="Q747" s="12" t="s">
        <v>47</v>
      </c>
      <c r="R747" s="12" t="s">
        <v>48</v>
      </c>
      <c r="S747" s="13">
        <v>197804510665</v>
      </c>
      <c r="T747" s="12" t="s">
        <v>49</v>
      </c>
      <c r="U747" s="13">
        <v>17.5</v>
      </c>
      <c r="V747" s="12" t="s">
        <v>278</v>
      </c>
      <c r="W747" s="12" t="s">
        <v>455</v>
      </c>
      <c r="X747" s="14"/>
      <c r="Y747" s="14"/>
      <c r="Z747" s="14"/>
      <c r="AA747" s="14"/>
      <c r="AB747" s="14"/>
      <c r="AC747" s="15">
        <v>25</v>
      </c>
      <c r="AD747" s="15">
        <f>AC747*AG747</f>
        <v>225</v>
      </c>
      <c r="AE747" s="15">
        <v>55</v>
      </c>
      <c r="AF747" s="15">
        <f>AE747*AG747</f>
        <v>495</v>
      </c>
      <c r="AG747" s="16">
        <v>9</v>
      </c>
    </row>
    <row r="748" spans="1:33" ht="15" customHeight="1" x14ac:dyDescent="0.2">
      <c r="A748" s="11" t="str">
        <f>HYPERLINK("https://assets.vans.eu/images/VN000CTG7VF-HERO/1","VN000CTG7VF1")</f>
        <v>VN000CTG7VF1</v>
      </c>
      <c r="B748" s="12" t="s">
        <v>3234</v>
      </c>
      <c r="C748" s="12" t="s">
        <v>238</v>
      </c>
      <c r="D748" s="12" t="s">
        <v>641</v>
      </c>
      <c r="E748" s="12" t="s">
        <v>3235</v>
      </c>
      <c r="F748" s="13">
        <v>40</v>
      </c>
      <c r="G748" s="12" t="s">
        <v>643</v>
      </c>
      <c r="H748" s="12" t="s">
        <v>38</v>
      </c>
      <c r="I748" s="12" t="s">
        <v>242</v>
      </c>
      <c r="J748" s="12" t="s">
        <v>243</v>
      </c>
      <c r="K748" s="12" t="s">
        <v>244</v>
      </c>
      <c r="L748" s="14"/>
      <c r="M748" s="12" t="s">
        <v>43</v>
      </c>
      <c r="N748" s="12" t="s">
        <v>84</v>
      </c>
      <c r="O748" s="12" t="s">
        <v>3236</v>
      </c>
      <c r="P748" s="12" t="s">
        <v>46</v>
      </c>
      <c r="Q748" s="12" t="s">
        <v>47</v>
      </c>
      <c r="R748" s="12" t="s">
        <v>48</v>
      </c>
      <c r="S748" s="13">
        <v>197804511143</v>
      </c>
      <c r="T748" s="12" t="s">
        <v>49</v>
      </c>
      <c r="U748" s="13">
        <v>19</v>
      </c>
      <c r="V748" s="12" t="s">
        <v>278</v>
      </c>
      <c r="W748" s="12" t="s">
        <v>455</v>
      </c>
      <c r="X748" s="14"/>
      <c r="Y748" s="14"/>
      <c r="Z748" s="14"/>
      <c r="AA748" s="14"/>
      <c r="AB748" s="14"/>
      <c r="AC748" s="15">
        <v>25</v>
      </c>
      <c r="AD748" s="15">
        <f>AC748*AG748</f>
        <v>225</v>
      </c>
      <c r="AE748" s="15">
        <v>55</v>
      </c>
      <c r="AF748" s="15">
        <f>AE748*AG748</f>
        <v>495</v>
      </c>
      <c r="AG748" s="16">
        <v>9</v>
      </c>
    </row>
    <row r="749" spans="1:33" ht="15" customHeight="1" x14ac:dyDescent="0.2">
      <c r="A749" s="11" t="str">
        <f>HYPERLINK("https://assets.vans.eu/images/VN000CVV1O7-HERO/1","VN000CVV1O71")</f>
        <v>VN000CVV1O71</v>
      </c>
      <c r="B749" s="12" t="s">
        <v>3237</v>
      </c>
      <c r="C749" s="12" t="s">
        <v>2407</v>
      </c>
      <c r="D749" s="12" t="s">
        <v>637</v>
      </c>
      <c r="E749" s="12" t="s">
        <v>3238</v>
      </c>
      <c r="F749" s="13">
        <v>65</v>
      </c>
      <c r="G749" s="14"/>
      <c r="H749" s="12" t="s">
        <v>38</v>
      </c>
      <c r="I749" s="12" t="s">
        <v>159</v>
      </c>
      <c r="J749" s="12" t="s">
        <v>255</v>
      </c>
      <c r="K749" s="12" t="s">
        <v>82</v>
      </c>
      <c r="L749" s="14"/>
      <c r="M749" s="12" t="s">
        <v>43</v>
      </c>
      <c r="N749" s="12" t="s">
        <v>161</v>
      </c>
      <c r="O749" s="12" t="s">
        <v>3239</v>
      </c>
      <c r="P749" s="12" t="s">
        <v>46</v>
      </c>
      <c r="Q749" s="12" t="s">
        <v>47</v>
      </c>
      <c r="R749" s="12" t="s">
        <v>163</v>
      </c>
      <c r="S749" s="13">
        <v>197065570439</v>
      </c>
      <c r="T749" s="12" t="s">
        <v>49</v>
      </c>
      <c r="U749" s="13">
        <v>38.5</v>
      </c>
      <c r="V749" s="12" t="s">
        <v>278</v>
      </c>
      <c r="W749" s="12" t="s">
        <v>455</v>
      </c>
      <c r="X749" s="14"/>
      <c r="Y749" s="12" t="s">
        <v>91</v>
      </c>
      <c r="Z749" s="12" t="s">
        <v>165</v>
      </c>
      <c r="AA749" s="14"/>
      <c r="AB749" s="14"/>
      <c r="AC749" s="15">
        <v>68.2</v>
      </c>
      <c r="AD749" s="15">
        <f>AC749*AG749</f>
        <v>613.80000000000007</v>
      </c>
      <c r="AE749" s="15">
        <v>150</v>
      </c>
      <c r="AF749" s="15">
        <f>AE749*AG749</f>
        <v>1350</v>
      </c>
      <c r="AG749" s="16">
        <v>9</v>
      </c>
    </row>
    <row r="750" spans="1:33" ht="15" customHeight="1" x14ac:dyDescent="0.2">
      <c r="A750" s="11" t="str">
        <f t="shared" si="303"/>
        <v>VN000CYUEN61</v>
      </c>
      <c r="B750" s="12" t="s">
        <v>3240</v>
      </c>
      <c r="C750" s="12" t="s">
        <v>110</v>
      </c>
      <c r="D750" s="12" t="s">
        <v>189</v>
      </c>
      <c r="E750" s="12" t="s">
        <v>3241</v>
      </c>
      <c r="F750" s="13">
        <v>105</v>
      </c>
      <c r="G750" s="14"/>
      <c r="H750" s="12" t="s">
        <v>38</v>
      </c>
      <c r="I750" s="12" t="s">
        <v>39</v>
      </c>
      <c r="J750" s="12" t="s">
        <v>40</v>
      </c>
      <c r="K750" s="12" t="s">
        <v>41</v>
      </c>
      <c r="L750" s="14"/>
      <c r="M750" s="12" t="s">
        <v>43</v>
      </c>
      <c r="N750" s="12" t="s">
        <v>84</v>
      </c>
      <c r="O750" s="12" t="s">
        <v>3242</v>
      </c>
      <c r="P750" s="12" t="s">
        <v>46</v>
      </c>
      <c r="Q750" s="12" t="s">
        <v>47</v>
      </c>
      <c r="R750" s="12" t="s">
        <v>48</v>
      </c>
      <c r="S750" s="13">
        <v>197804434466</v>
      </c>
      <c r="T750" s="12" t="s">
        <v>105</v>
      </c>
      <c r="U750" s="13">
        <v>27</v>
      </c>
      <c r="V750" s="12" t="s">
        <v>50</v>
      </c>
      <c r="W750" s="12" t="s">
        <v>118</v>
      </c>
      <c r="X750" s="14"/>
      <c r="Y750" s="14"/>
      <c r="Z750" s="14"/>
      <c r="AA750" s="14"/>
      <c r="AB750" s="14"/>
      <c r="AC750" s="15">
        <v>29.55</v>
      </c>
      <c r="AD750" s="15">
        <f>AC750*AG750</f>
        <v>265.95</v>
      </c>
      <c r="AE750" s="15">
        <v>65</v>
      </c>
      <c r="AF750" s="15">
        <f>AE750*AG750</f>
        <v>585</v>
      </c>
      <c r="AG750" s="16">
        <v>9</v>
      </c>
    </row>
    <row r="751" spans="1:33" ht="15" customHeight="1" x14ac:dyDescent="0.2">
      <c r="A751" s="11" t="str">
        <f t="shared" ref="A751:A1859" si="336">HYPERLINK("https://assets.vans.eu/images/VN000D0CY33-HERO/1","VN000D0CY331")</f>
        <v>VN000D0CY331</v>
      </c>
      <c r="B751" s="12" t="s">
        <v>3243</v>
      </c>
      <c r="C751" s="12" t="s">
        <v>695</v>
      </c>
      <c r="D751" s="12" t="s">
        <v>3244</v>
      </c>
      <c r="E751" s="12" t="s">
        <v>3245</v>
      </c>
      <c r="F751" s="13">
        <v>70</v>
      </c>
      <c r="G751" s="12" t="s">
        <v>3246</v>
      </c>
      <c r="H751" s="12" t="s">
        <v>38</v>
      </c>
      <c r="I751" s="12" t="s">
        <v>39</v>
      </c>
      <c r="J751" s="12" t="s">
        <v>40</v>
      </c>
      <c r="K751" s="12" t="s">
        <v>373</v>
      </c>
      <c r="L751" s="12" t="s">
        <v>350</v>
      </c>
      <c r="M751" s="12" t="s">
        <v>43</v>
      </c>
      <c r="N751" s="12" t="s">
        <v>84</v>
      </c>
      <c r="O751" s="12" t="s">
        <v>3247</v>
      </c>
      <c r="P751" s="12" t="s">
        <v>46</v>
      </c>
      <c r="Q751" s="12" t="s">
        <v>47</v>
      </c>
      <c r="R751" s="12" t="s">
        <v>780</v>
      </c>
      <c r="S751" s="13">
        <v>197065757519</v>
      </c>
      <c r="T751" s="12" t="s">
        <v>49</v>
      </c>
      <c r="U751" s="13">
        <v>39</v>
      </c>
      <c r="V751" s="12" t="s">
        <v>50</v>
      </c>
      <c r="W751" s="12" t="s">
        <v>118</v>
      </c>
      <c r="X751" s="14"/>
      <c r="Y751" s="12" t="s">
        <v>71</v>
      </c>
      <c r="Z751" s="12" t="s">
        <v>376</v>
      </c>
      <c r="AA751" s="14"/>
      <c r="AB751" s="14"/>
      <c r="AC751" s="15">
        <v>31</v>
      </c>
      <c r="AD751" s="15">
        <f>AC751*AG751</f>
        <v>279</v>
      </c>
      <c r="AE751" s="15">
        <v>65</v>
      </c>
      <c r="AF751" s="15">
        <f>AE751*AG751</f>
        <v>585</v>
      </c>
      <c r="AG751" s="16">
        <v>9</v>
      </c>
    </row>
    <row r="752" spans="1:33" ht="15" customHeight="1" x14ac:dyDescent="0.2">
      <c r="A752" s="11" t="str">
        <f t="shared" ref="A752:A1070" si="337">HYPERLINK("https://assets.vans.eu/images/VN000D0HBMV-HERO/1","VN000D0HBMV1")</f>
        <v>VN000D0HBMV1</v>
      </c>
      <c r="B752" s="12" t="s">
        <v>3248</v>
      </c>
      <c r="C752" s="12" t="s">
        <v>1108</v>
      </c>
      <c r="D752" s="12" t="s">
        <v>2276</v>
      </c>
      <c r="E752" s="12" t="s">
        <v>3249</v>
      </c>
      <c r="F752" s="13">
        <v>115</v>
      </c>
      <c r="G752" s="12" t="s">
        <v>528</v>
      </c>
      <c r="H752" s="12" t="s">
        <v>38</v>
      </c>
      <c r="I752" s="12" t="s">
        <v>39</v>
      </c>
      <c r="J752" s="12" t="s">
        <v>40</v>
      </c>
      <c r="K752" s="12" t="s">
        <v>41</v>
      </c>
      <c r="L752" s="14"/>
      <c r="M752" s="12" t="s">
        <v>43</v>
      </c>
      <c r="N752" s="12" t="s">
        <v>84</v>
      </c>
      <c r="O752" s="12" t="s">
        <v>3250</v>
      </c>
      <c r="P752" s="12" t="s">
        <v>46</v>
      </c>
      <c r="Q752" s="12" t="s">
        <v>47</v>
      </c>
      <c r="R752" s="12" t="s">
        <v>780</v>
      </c>
      <c r="S752" s="13">
        <v>197804436125</v>
      </c>
      <c r="T752" s="12" t="s">
        <v>105</v>
      </c>
      <c r="U752" s="13">
        <v>28</v>
      </c>
      <c r="V752" s="12" t="s">
        <v>50</v>
      </c>
      <c r="W752" s="12" t="s">
        <v>51</v>
      </c>
      <c r="X752" s="14"/>
      <c r="Y752" s="14"/>
      <c r="Z752" s="14"/>
      <c r="AA752" s="14"/>
      <c r="AB752" s="14"/>
      <c r="AC752" s="15">
        <v>34.1</v>
      </c>
      <c r="AD752" s="15">
        <f>AC752*AG752</f>
        <v>306.90000000000003</v>
      </c>
      <c r="AE752" s="15">
        <v>75</v>
      </c>
      <c r="AF752" s="15">
        <f>AE752*AG752</f>
        <v>675</v>
      </c>
      <c r="AG752" s="16">
        <v>9</v>
      </c>
    </row>
    <row r="753" spans="1:33" ht="15" customHeight="1" x14ac:dyDescent="0.2">
      <c r="A753" s="11" t="str">
        <f t="shared" si="229"/>
        <v>VN000D0HEMY1</v>
      </c>
      <c r="B753" s="12" t="s">
        <v>3251</v>
      </c>
      <c r="C753" s="12" t="s">
        <v>1108</v>
      </c>
      <c r="D753" s="12" t="s">
        <v>1155</v>
      </c>
      <c r="E753" s="12" t="s">
        <v>3252</v>
      </c>
      <c r="F753" s="13">
        <v>115</v>
      </c>
      <c r="G753" s="12" t="s">
        <v>2417</v>
      </c>
      <c r="H753" s="12" t="s">
        <v>38</v>
      </c>
      <c r="I753" s="12" t="s">
        <v>39</v>
      </c>
      <c r="J753" s="12" t="s">
        <v>40</v>
      </c>
      <c r="K753" s="12" t="s">
        <v>41</v>
      </c>
      <c r="L753" s="14"/>
      <c r="M753" s="12" t="s">
        <v>43</v>
      </c>
      <c r="N753" s="12" t="s">
        <v>84</v>
      </c>
      <c r="O753" s="12" t="s">
        <v>3253</v>
      </c>
      <c r="P753" s="12" t="s">
        <v>46</v>
      </c>
      <c r="Q753" s="12" t="s">
        <v>47</v>
      </c>
      <c r="R753" s="12" t="s">
        <v>780</v>
      </c>
      <c r="S753" s="13">
        <v>197804436347</v>
      </c>
      <c r="T753" s="12" t="s">
        <v>105</v>
      </c>
      <c r="U753" s="13">
        <v>28</v>
      </c>
      <c r="V753" s="12" t="s">
        <v>50</v>
      </c>
      <c r="W753" s="12" t="s">
        <v>107</v>
      </c>
      <c r="X753" s="14"/>
      <c r="Y753" s="14"/>
      <c r="Z753" s="14"/>
      <c r="AA753" s="14"/>
      <c r="AB753" s="14"/>
      <c r="AC753" s="15">
        <v>34.1</v>
      </c>
      <c r="AD753" s="15">
        <f>AC753*AG753</f>
        <v>306.90000000000003</v>
      </c>
      <c r="AE753" s="15">
        <v>75</v>
      </c>
      <c r="AF753" s="15">
        <f>AE753*AG753</f>
        <v>675</v>
      </c>
      <c r="AG753" s="16">
        <v>9</v>
      </c>
    </row>
    <row r="754" spans="1:33" ht="15" customHeight="1" x14ac:dyDescent="0.2">
      <c r="A754" s="11" t="str">
        <f t="shared" ref="A754:A2550" si="338">HYPERLINK("https://assets.vans.eu/images/VN000D0M11E-HERO/1","VN000D0M11E1")</f>
        <v>VN000D0M11E1</v>
      </c>
      <c r="B754" s="12" t="s">
        <v>3254</v>
      </c>
      <c r="C754" s="12" t="s">
        <v>1763</v>
      </c>
      <c r="D754" s="12" t="s">
        <v>1148</v>
      </c>
      <c r="E754" s="12" t="s">
        <v>3255</v>
      </c>
      <c r="F754" s="13">
        <v>95</v>
      </c>
      <c r="G754" s="12" t="s">
        <v>1111</v>
      </c>
      <c r="H754" s="12" t="s">
        <v>38</v>
      </c>
      <c r="I754" s="12" t="s">
        <v>242</v>
      </c>
      <c r="J754" s="12" t="s">
        <v>243</v>
      </c>
      <c r="K754" s="12" t="s">
        <v>244</v>
      </c>
      <c r="L754" s="14"/>
      <c r="M754" s="12" t="s">
        <v>43</v>
      </c>
      <c r="N754" s="12" t="s">
        <v>84</v>
      </c>
      <c r="O754" s="12" t="s">
        <v>3256</v>
      </c>
      <c r="P754" s="12" t="s">
        <v>46</v>
      </c>
      <c r="Q754" s="12" t="s">
        <v>47</v>
      </c>
      <c r="R754" s="12" t="s">
        <v>780</v>
      </c>
      <c r="S754" s="13">
        <v>197804439393</v>
      </c>
      <c r="T754" s="12" t="s">
        <v>105</v>
      </c>
      <c r="U754" s="13">
        <v>26</v>
      </c>
      <c r="V754" s="12" t="s">
        <v>50</v>
      </c>
      <c r="W754" s="12" t="s">
        <v>107</v>
      </c>
      <c r="X754" s="14"/>
      <c r="Y754" s="14"/>
      <c r="Z754" s="14"/>
      <c r="AA754" s="14"/>
      <c r="AB754" s="14"/>
      <c r="AC754" s="15">
        <v>29.55</v>
      </c>
      <c r="AD754" s="15">
        <f>AC754*AG754</f>
        <v>265.95</v>
      </c>
      <c r="AE754" s="15">
        <v>65</v>
      </c>
      <c r="AF754" s="15">
        <f>AE754*AG754</f>
        <v>585</v>
      </c>
      <c r="AG754" s="16">
        <v>9</v>
      </c>
    </row>
    <row r="755" spans="1:33" ht="15" customHeight="1" x14ac:dyDescent="0.2">
      <c r="A755" s="11" t="str">
        <f t="shared" si="145"/>
        <v>VN000D0MBZW1</v>
      </c>
      <c r="B755" s="12" t="s">
        <v>3257</v>
      </c>
      <c r="C755" s="12" t="s">
        <v>1763</v>
      </c>
      <c r="D755" s="12" t="s">
        <v>58</v>
      </c>
      <c r="E755" s="12" t="s">
        <v>3258</v>
      </c>
      <c r="F755" s="13">
        <v>55</v>
      </c>
      <c r="G755" s="14"/>
      <c r="H755" s="12" t="s">
        <v>38</v>
      </c>
      <c r="I755" s="12" t="s">
        <v>242</v>
      </c>
      <c r="J755" s="12" t="s">
        <v>243</v>
      </c>
      <c r="K755" s="12" t="s">
        <v>244</v>
      </c>
      <c r="L755" s="14"/>
      <c r="M755" s="12" t="s">
        <v>43</v>
      </c>
      <c r="N755" s="12" t="s">
        <v>84</v>
      </c>
      <c r="O755" s="12" t="s">
        <v>3259</v>
      </c>
      <c r="P755" s="12" t="s">
        <v>46</v>
      </c>
      <c r="Q755" s="12" t="s">
        <v>47</v>
      </c>
      <c r="R755" s="12" t="s">
        <v>780</v>
      </c>
      <c r="S755" s="13">
        <v>197804438617</v>
      </c>
      <c r="T755" s="12" t="s">
        <v>49</v>
      </c>
      <c r="U755" s="13">
        <v>21.5</v>
      </c>
      <c r="V755" s="12" t="s">
        <v>50</v>
      </c>
      <c r="W755" s="12" t="s">
        <v>51</v>
      </c>
      <c r="X755" s="14"/>
      <c r="Y755" s="14"/>
      <c r="Z755" s="14"/>
      <c r="AA755" s="14"/>
      <c r="AB755" s="14"/>
      <c r="AC755" s="15">
        <v>29.55</v>
      </c>
      <c r="AD755" s="15">
        <f>AC755*AG755</f>
        <v>265.95</v>
      </c>
      <c r="AE755" s="15">
        <v>65</v>
      </c>
      <c r="AF755" s="15">
        <f>AE755*AG755</f>
        <v>585</v>
      </c>
      <c r="AG755" s="16">
        <v>9</v>
      </c>
    </row>
    <row r="756" spans="1:33" ht="15" customHeight="1" x14ac:dyDescent="0.2">
      <c r="A756" s="11" t="str">
        <f t="shared" si="306"/>
        <v>VN000D0MKCZ1</v>
      </c>
      <c r="B756" s="12" t="s">
        <v>3260</v>
      </c>
      <c r="C756" s="12" t="s">
        <v>1763</v>
      </c>
      <c r="D756" s="12" t="s">
        <v>1109</v>
      </c>
      <c r="E756" s="12" t="s">
        <v>3261</v>
      </c>
      <c r="F756" s="13">
        <v>60</v>
      </c>
      <c r="G756" s="12" t="s">
        <v>1111</v>
      </c>
      <c r="H756" s="12" t="s">
        <v>38</v>
      </c>
      <c r="I756" s="12" t="s">
        <v>242</v>
      </c>
      <c r="J756" s="12" t="s">
        <v>243</v>
      </c>
      <c r="K756" s="12" t="s">
        <v>244</v>
      </c>
      <c r="L756" s="14"/>
      <c r="M756" s="12" t="s">
        <v>43</v>
      </c>
      <c r="N756" s="12" t="s">
        <v>84</v>
      </c>
      <c r="O756" s="12" t="s">
        <v>3262</v>
      </c>
      <c r="P756" s="12" t="s">
        <v>46</v>
      </c>
      <c r="Q756" s="12" t="s">
        <v>47</v>
      </c>
      <c r="R756" s="12" t="s">
        <v>780</v>
      </c>
      <c r="S756" s="13">
        <v>197804438471</v>
      </c>
      <c r="T756" s="12" t="s">
        <v>105</v>
      </c>
      <c r="U756" s="13">
        <v>22</v>
      </c>
      <c r="V756" s="12" t="s">
        <v>50</v>
      </c>
      <c r="W756" s="12" t="s">
        <v>118</v>
      </c>
      <c r="X756" s="14"/>
      <c r="Y756" s="14"/>
      <c r="Z756" s="14"/>
      <c r="AA756" s="14"/>
      <c r="AB756" s="14"/>
      <c r="AC756" s="15">
        <v>29.55</v>
      </c>
      <c r="AD756" s="15">
        <f>AC756*AG756</f>
        <v>265.95</v>
      </c>
      <c r="AE756" s="15">
        <v>65</v>
      </c>
      <c r="AF756" s="15">
        <f>AE756*AG756</f>
        <v>585</v>
      </c>
      <c r="AG756" s="16">
        <v>9</v>
      </c>
    </row>
    <row r="757" spans="1:33" ht="15" customHeight="1" x14ac:dyDescent="0.2">
      <c r="A757" s="11" t="str">
        <f t="shared" ref="A757:A1243" si="339">HYPERLINK("https://assets.vans.eu/images/VN000D0SYJ7-HERO/1","VN000D0SYJ71")</f>
        <v>VN000D0SYJ71</v>
      </c>
      <c r="B757" s="12" t="s">
        <v>3263</v>
      </c>
      <c r="C757" s="12" t="s">
        <v>2280</v>
      </c>
      <c r="D757" s="12" t="s">
        <v>1300</v>
      </c>
      <c r="E757" s="12" t="s">
        <v>3264</v>
      </c>
      <c r="F757" s="13">
        <v>50</v>
      </c>
      <c r="G757" s="12" t="s">
        <v>1302</v>
      </c>
      <c r="H757" s="12" t="s">
        <v>38</v>
      </c>
      <c r="I757" s="12" t="s">
        <v>242</v>
      </c>
      <c r="J757" s="12" t="s">
        <v>243</v>
      </c>
      <c r="K757" s="12" t="s">
        <v>244</v>
      </c>
      <c r="L757" s="14"/>
      <c r="M757" s="12" t="s">
        <v>43</v>
      </c>
      <c r="N757" s="12" t="s">
        <v>84</v>
      </c>
      <c r="O757" s="12" t="s">
        <v>3265</v>
      </c>
      <c r="P757" s="12" t="s">
        <v>46</v>
      </c>
      <c r="Q757" s="12" t="s">
        <v>47</v>
      </c>
      <c r="R757" s="12" t="s">
        <v>48</v>
      </c>
      <c r="S757" s="13">
        <v>197804522019</v>
      </c>
      <c r="T757" s="12" t="s">
        <v>164</v>
      </c>
      <c r="U757" s="13">
        <v>21</v>
      </c>
      <c r="V757" s="12" t="s">
        <v>375</v>
      </c>
      <c r="W757" s="12" t="s">
        <v>51</v>
      </c>
      <c r="X757" s="14"/>
      <c r="Y757" s="14"/>
      <c r="Z757" s="14"/>
      <c r="AA757" s="14"/>
      <c r="AB757" s="14"/>
      <c r="AC757" s="15">
        <v>22.75</v>
      </c>
      <c r="AD757" s="15">
        <f>AC757*AG757</f>
        <v>204.75</v>
      </c>
      <c r="AE757" s="15">
        <v>50</v>
      </c>
      <c r="AF757" s="15">
        <f>AE757*AG757</f>
        <v>450</v>
      </c>
      <c r="AG757" s="16">
        <v>9</v>
      </c>
    </row>
    <row r="758" spans="1:33" ht="15" customHeight="1" x14ac:dyDescent="0.2">
      <c r="A758" s="11" t="str">
        <f t="shared" si="192"/>
        <v>VN000D11N1Z1</v>
      </c>
      <c r="B758" s="12" t="s">
        <v>3266</v>
      </c>
      <c r="C758" s="12" t="s">
        <v>2136</v>
      </c>
      <c r="D758" s="12" t="s">
        <v>1656</v>
      </c>
      <c r="E758" s="12" t="s">
        <v>3267</v>
      </c>
      <c r="F758" s="13">
        <v>45</v>
      </c>
      <c r="G758" s="12" t="s">
        <v>528</v>
      </c>
      <c r="H758" s="12" t="s">
        <v>38</v>
      </c>
      <c r="I758" s="12" t="s">
        <v>242</v>
      </c>
      <c r="J758" s="12" t="s">
        <v>243</v>
      </c>
      <c r="K758" s="12" t="s">
        <v>244</v>
      </c>
      <c r="L758" s="14"/>
      <c r="M758" s="12" t="s">
        <v>43</v>
      </c>
      <c r="N758" s="12" t="s">
        <v>84</v>
      </c>
      <c r="O758" s="12" t="s">
        <v>3268</v>
      </c>
      <c r="P758" s="12" t="s">
        <v>46</v>
      </c>
      <c r="Q758" s="12" t="s">
        <v>47</v>
      </c>
      <c r="R758" s="12" t="s">
        <v>313</v>
      </c>
      <c r="S758" s="13">
        <v>197804523412</v>
      </c>
      <c r="T758" s="12" t="s">
        <v>49</v>
      </c>
      <c r="U758" s="13">
        <v>20</v>
      </c>
      <c r="V758" s="12" t="s">
        <v>50</v>
      </c>
      <c r="W758" s="12" t="s">
        <v>186</v>
      </c>
      <c r="X758" s="14"/>
      <c r="Y758" s="14"/>
      <c r="Z758" s="14"/>
      <c r="AA758" s="14"/>
      <c r="AB758" s="14"/>
      <c r="AC758" s="15">
        <v>27.3</v>
      </c>
      <c r="AD758" s="15">
        <f>AC758*AG758</f>
        <v>245.70000000000002</v>
      </c>
      <c r="AE758" s="15">
        <v>60</v>
      </c>
      <c r="AF758" s="15">
        <f>AE758*AG758</f>
        <v>540</v>
      </c>
      <c r="AG758" s="16">
        <v>9</v>
      </c>
    </row>
    <row r="759" spans="1:33" ht="15" customHeight="1" x14ac:dyDescent="0.2">
      <c r="A759" s="11" t="str">
        <f>HYPERLINK("https://assets.vans.eu/images/VN000D1JO3N-HERO/1","VN000D1JO3N1")</f>
        <v>VN000D1JO3N1</v>
      </c>
      <c r="B759" s="12" t="s">
        <v>3269</v>
      </c>
      <c r="C759" s="12" t="s">
        <v>251</v>
      </c>
      <c r="D759" s="12" t="s">
        <v>744</v>
      </c>
      <c r="E759" s="12" t="s">
        <v>3270</v>
      </c>
      <c r="F759" s="13">
        <v>50</v>
      </c>
      <c r="G759" s="14"/>
      <c r="H759" s="12" t="s">
        <v>38</v>
      </c>
      <c r="I759" s="12" t="s">
        <v>113</v>
      </c>
      <c r="J759" s="12" t="s">
        <v>529</v>
      </c>
      <c r="K759" s="12" t="s">
        <v>82</v>
      </c>
      <c r="L759" s="14"/>
      <c r="M759" s="12" t="s">
        <v>43</v>
      </c>
      <c r="N759" s="12" t="s">
        <v>44</v>
      </c>
      <c r="O759" s="12" t="s">
        <v>3271</v>
      </c>
      <c r="P759" s="12" t="s">
        <v>46</v>
      </c>
      <c r="Q759" s="12" t="s">
        <v>47</v>
      </c>
      <c r="R759" s="12" t="s">
        <v>117</v>
      </c>
      <c r="S759" s="13">
        <v>197643179306</v>
      </c>
      <c r="T759" s="12" t="s">
        <v>49</v>
      </c>
      <c r="U759" s="13">
        <v>36.5</v>
      </c>
      <c r="V759" s="12" t="s">
        <v>50</v>
      </c>
      <c r="W759" s="12" t="s">
        <v>299</v>
      </c>
      <c r="X759" s="14"/>
      <c r="Y759" s="12" t="s">
        <v>53</v>
      </c>
      <c r="Z759" s="12" t="s">
        <v>165</v>
      </c>
      <c r="AA759" s="14"/>
      <c r="AB759" s="14"/>
      <c r="AC759" s="15">
        <v>45.5</v>
      </c>
      <c r="AD759" s="15">
        <f>AC759*AG759</f>
        <v>409.5</v>
      </c>
      <c r="AE759" s="15">
        <v>100</v>
      </c>
      <c r="AF759" s="15">
        <f>AE759*AG759</f>
        <v>900</v>
      </c>
      <c r="AG759" s="16">
        <v>9</v>
      </c>
    </row>
    <row r="760" spans="1:33" ht="15" customHeight="1" x14ac:dyDescent="0.2">
      <c r="A760" s="11" t="str">
        <f t="shared" ref="A760:A1499" si="340">HYPERLINK("https://assets.vans.eu/images/VN000D1PDJR-HERO/1","VN000D1PDJR1")</f>
        <v>VN000D1PDJR1</v>
      </c>
      <c r="B760" s="12" t="s">
        <v>3272</v>
      </c>
      <c r="C760" s="12" t="s">
        <v>1458</v>
      </c>
      <c r="D760" s="12" t="s">
        <v>2829</v>
      </c>
      <c r="E760" s="12" t="s">
        <v>3273</v>
      </c>
      <c r="F760" s="13">
        <v>65</v>
      </c>
      <c r="G760" s="14"/>
      <c r="H760" s="12" t="s">
        <v>38</v>
      </c>
      <c r="I760" s="12" t="s">
        <v>113</v>
      </c>
      <c r="J760" s="12" t="s">
        <v>529</v>
      </c>
      <c r="K760" s="12" t="s">
        <v>82</v>
      </c>
      <c r="L760" s="14"/>
      <c r="M760" s="12" t="s">
        <v>43</v>
      </c>
      <c r="N760" s="12" t="s">
        <v>44</v>
      </c>
      <c r="O760" s="12" t="s">
        <v>3274</v>
      </c>
      <c r="P760" s="12" t="s">
        <v>46</v>
      </c>
      <c r="Q760" s="12" t="s">
        <v>47</v>
      </c>
      <c r="R760" s="12" t="s">
        <v>117</v>
      </c>
      <c r="S760" s="13">
        <v>197643267515</v>
      </c>
      <c r="T760" s="12" t="s">
        <v>105</v>
      </c>
      <c r="U760" s="13">
        <v>38.5</v>
      </c>
      <c r="V760" s="12" t="s">
        <v>50</v>
      </c>
      <c r="W760" s="12" t="s">
        <v>175</v>
      </c>
      <c r="X760" s="14"/>
      <c r="Y760" s="12" t="s">
        <v>53</v>
      </c>
      <c r="Z760" s="12" t="s">
        <v>1462</v>
      </c>
      <c r="AA760" s="14"/>
      <c r="AB760" s="14"/>
      <c r="AC760" s="15">
        <v>43.2</v>
      </c>
      <c r="AD760" s="15">
        <f>AC760*AG760</f>
        <v>388.8</v>
      </c>
      <c r="AE760" s="15">
        <v>95</v>
      </c>
      <c r="AF760" s="15">
        <f>AE760*AG760</f>
        <v>855</v>
      </c>
      <c r="AG760" s="16">
        <v>9</v>
      </c>
    </row>
    <row r="761" spans="1:33" ht="15" customHeight="1" x14ac:dyDescent="0.2">
      <c r="A761" s="11" t="str">
        <f t="shared" si="231"/>
        <v>VN000D2VZ3R1</v>
      </c>
      <c r="B761" s="12" t="s">
        <v>3275</v>
      </c>
      <c r="C761" s="12" t="s">
        <v>34</v>
      </c>
      <c r="D761" s="12" t="s">
        <v>2423</v>
      </c>
      <c r="E761" s="12" t="s">
        <v>3276</v>
      </c>
      <c r="F761" s="13">
        <v>45</v>
      </c>
      <c r="G761" s="14"/>
      <c r="H761" s="12" t="s">
        <v>38</v>
      </c>
      <c r="I761" s="12" t="s">
        <v>205</v>
      </c>
      <c r="J761" s="12" t="s">
        <v>206</v>
      </c>
      <c r="K761" s="12" t="s">
        <v>207</v>
      </c>
      <c r="L761" s="12" t="s">
        <v>260</v>
      </c>
      <c r="M761" s="12" t="s">
        <v>43</v>
      </c>
      <c r="N761" s="12" t="s">
        <v>84</v>
      </c>
      <c r="O761" s="12" t="s">
        <v>3277</v>
      </c>
      <c r="P761" s="12" t="s">
        <v>46</v>
      </c>
      <c r="Q761" s="12" t="s">
        <v>47</v>
      </c>
      <c r="R761" s="12" t="s">
        <v>48</v>
      </c>
      <c r="S761" s="13">
        <v>197804612154</v>
      </c>
      <c r="T761" s="12" t="s">
        <v>105</v>
      </c>
      <c r="U761" s="13">
        <v>36</v>
      </c>
      <c r="V761" s="12" t="s">
        <v>50</v>
      </c>
      <c r="W761" s="12" t="s">
        <v>118</v>
      </c>
      <c r="X761" s="14"/>
      <c r="Y761" s="14"/>
      <c r="Z761" s="14"/>
      <c r="AA761" s="14"/>
      <c r="AB761" s="14"/>
      <c r="AC761" s="15">
        <v>31.85</v>
      </c>
      <c r="AD761" s="15">
        <f>AC761*AG761</f>
        <v>286.65000000000003</v>
      </c>
      <c r="AE761" s="15">
        <v>70</v>
      </c>
      <c r="AF761" s="15">
        <f>AE761*AG761</f>
        <v>630</v>
      </c>
      <c r="AG761" s="16">
        <v>9</v>
      </c>
    </row>
    <row r="762" spans="1:33" ht="15" customHeight="1" x14ac:dyDescent="0.2">
      <c r="A762" s="11" t="str">
        <f t="shared" si="277"/>
        <v>VN000D4SCFL1</v>
      </c>
      <c r="B762" s="12" t="s">
        <v>3278</v>
      </c>
      <c r="C762" s="12" t="s">
        <v>1257</v>
      </c>
      <c r="D762" s="12" t="s">
        <v>1258</v>
      </c>
      <c r="E762" s="12" t="s">
        <v>3279</v>
      </c>
      <c r="F762" s="13">
        <v>20</v>
      </c>
      <c r="G762" s="14"/>
      <c r="H762" s="12" t="s">
        <v>38</v>
      </c>
      <c r="I762" s="12" t="s">
        <v>242</v>
      </c>
      <c r="J762" s="12" t="s">
        <v>243</v>
      </c>
      <c r="K762" s="12" t="s">
        <v>244</v>
      </c>
      <c r="L762" s="14"/>
      <c r="M762" s="12" t="s">
        <v>43</v>
      </c>
      <c r="N762" s="12" t="s">
        <v>84</v>
      </c>
      <c r="O762" s="12" t="s">
        <v>3280</v>
      </c>
      <c r="P762" s="12" t="s">
        <v>46</v>
      </c>
      <c r="Q762" s="12" t="s">
        <v>47</v>
      </c>
      <c r="R762" s="12" t="s">
        <v>48</v>
      </c>
      <c r="S762" s="13">
        <v>197804530243</v>
      </c>
      <c r="T762" s="12" t="s">
        <v>105</v>
      </c>
      <c r="U762" s="13">
        <v>17</v>
      </c>
      <c r="V762" s="12" t="s">
        <v>50</v>
      </c>
      <c r="W762" s="12" t="s">
        <v>284</v>
      </c>
      <c r="X762" s="14"/>
      <c r="Y762" s="14"/>
      <c r="Z762" s="14"/>
      <c r="AA762" s="14"/>
      <c r="AB762" s="14"/>
      <c r="AC762" s="15">
        <v>22.75</v>
      </c>
      <c r="AD762" s="15">
        <f>AC762*AG762</f>
        <v>204.75</v>
      </c>
      <c r="AE762" s="15">
        <v>50</v>
      </c>
      <c r="AF762" s="15">
        <f>AE762*AG762</f>
        <v>450</v>
      </c>
      <c r="AG762" s="16">
        <v>9</v>
      </c>
    </row>
    <row r="763" spans="1:33" ht="15" customHeight="1" x14ac:dyDescent="0.2">
      <c r="A763" s="11" t="str">
        <f t="shared" si="214"/>
        <v>VN000D7JCKP1</v>
      </c>
      <c r="B763" s="12" t="s">
        <v>3281</v>
      </c>
      <c r="C763" s="12" t="s">
        <v>2304</v>
      </c>
      <c r="D763" s="12" t="s">
        <v>2305</v>
      </c>
      <c r="E763" s="12" t="s">
        <v>3282</v>
      </c>
      <c r="F763" s="13">
        <v>130</v>
      </c>
      <c r="G763" s="14"/>
      <c r="H763" s="12" t="s">
        <v>38</v>
      </c>
      <c r="I763" s="12" t="s">
        <v>159</v>
      </c>
      <c r="J763" s="12" t="s">
        <v>255</v>
      </c>
      <c r="K763" s="12" t="s">
        <v>199</v>
      </c>
      <c r="L763" s="14"/>
      <c r="M763" s="12" t="s">
        <v>43</v>
      </c>
      <c r="N763" s="12" t="s">
        <v>44</v>
      </c>
      <c r="O763" s="12" t="s">
        <v>3283</v>
      </c>
      <c r="P763" s="12" t="s">
        <v>46</v>
      </c>
      <c r="Q763" s="12" t="s">
        <v>276</v>
      </c>
      <c r="R763" s="12" t="s">
        <v>277</v>
      </c>
      <c r="S763" s="13">
        <v>197643292678</v>
      </c>
      <c r="T763" s="12" t="s">
        <v>49</v>
      </c>
      <c r="U763" s="13">
        <v>47</v>
      </c>
      <c r="V763" s="12" t="s">
        <v>278</v>
      </c>
      <c r="W763" s="12" t="s">
        <v>118</v>
      </c>
      <c r="X763" s="14"/>
      <c r="Y763" s="12" t="s">
        <v>91</v>
      </c>
      <c r="Z763" s="12" t="s">
        <v>165</v>
      </c>
      <c r="AA763" s="14"/>
      <c r="AB763" s="14"/>
      <c r="AC763" s="15">
        <v>25</v>
      </c>
      <c r="AD763" s="15">
        <f>AC763*AG763</f>
        <v>225</v>
      </c>
      <c r="AE763" s="15">
        <v>55</v>
      </c>
      <c r="AF763" s="15">
        <f>AE763*AG763</f>
        <v>495</v>
      </c>
      <c r="AG763" s="16">
        <v>9</v>
      </c>
    </row>
    <row r="764" spans="1:33" ht="15" customHeight="1" x14ac:dyDescent="0.2">
      <c r="A764" s="11" t="str">
        <f t="shared" si="194"/>
        <v>VN000D9ACJ71</v>
      </c>
      <c r="B764" s="12" t="s">
        <v>3284</v>
      </c>
      <c r="C764" s="12" t="s">
        <v>2143</v>
      </c>
      <c r="D764" s="12" t="s">
        <v>2144</v>
      </c>
      <c r="E764" s="12" t="s">
        <v>3285</v>
      </c>
      <c r="F764" s="13">
        <v>100</v>
      </c>
      <c r="G764" s="12" t="s">
        <v>2146</v>
      </c>
      <c r="H764" s="12" t="s">
        <v>38</v>
      </c>
      <c r="I764" s="12" t="s">
        <v>113</v>
      </c>
      <c r="J764" s="12" t="s">
        <v>529</v>
      </c>
      <c r="K764" s="12" t="s">
        <v>82</v>
      </c>
      <c r="L764" s="14"/>
      <c r="M764" s="12" t="s">
        <v>43</v>
      </c>
      <c r="N764" s="12" t="s">
        <v>84</v>
      </c>
      <c r="O764" s="12" t="s">
        <v>3286</v>
      </c>
      <c r="P764" s="12" t="s">
        <v>46</v>
      </c>
      <c r="Q764" s="12" t="s">
        <v>47</v>
      </c>
      <c r="R764" s="12" t="s">
        <v>117</v>
      </c>
      <c r="S764" s="13">
        <v>197804549931</v>
      </c>
      <c r="T764" s="12" t="s">
        <v>49</v>
      </c>
      <c r="U764" s="13">
        <v>43</v>
      </c>
      <c r="V764" s="12" t="s">
        <v>50</v>
      </c>
      <c r="W764" s="12" t="s">
        <v>175</v>
      </c>
      <c r="X764" s="14"/>
      <c r="Y764" s="14"/>
      <c r="Z764" s="14"/>
      <c r="AA764" s="14"/>
      <c r="AB764" s="14"/>
      <c r="AC764" s="15">
        <v>40.950000000000003</v>
      </c>
      <c r="AD764" s="15">
        <f>AC764*AG764</f>
        <v>368.55</v>
      </c>
      <c r="AE764" s="15">
        <v>90</v>
      </c>
      <c r="AF764" s="15">
        <f>AE764*AG764</f>
        <v>810</v>
      </c>
      <c r="AG764" s="16">
        <v>9</v>
      </c>
    </row>
    <row r="765" spans="1:33" ht="15" customHeight="1" x14ac:dyDescent="0.2">
      <c r="A765" s="11" t="str">
        <f t="shared" ref="A765:A967" si="341">HYPERLINK("https://assets.vans.eu/images/VN000D9ACJ7-HERO/1","VN000D9ACJ71")</f>
        <v>VN000D9ACJ71</v>
      </c>
      <c r="B765" s="12" t="s">
        <v>3287</v>
      </c>
      <c r="C765" s="12" t="s">
        <v>2143</v>
      </c>
      <c r="D765" s="12" t="s">
        <v>2144</v>
      </c>
      <c r="E765" s="12" t="s">
        <v>3288</v>
      </c>
      <c r="F765" s="13">
        <v>110</v>
      </c>
      <c r="G765" s="12" t="s">
        <v>2146</v>
      </c>
      <c r="H765" s="12" t="s">
        <v>38</v>
      </c>
      <c r="I765" s="12" t="s">
        <v>113</v>
      </c>
      <c r="J765" s="12" t="s">
        <v>529</v>
      </c>
      <c r="K765" s="12" t="s">
        <v>82</v>
      </c>
      <c r="L765" s="14"/>
      <c r="M765" s="12" t="s">
        <v>43</v>
      </c>
      <c r="N765" s="12" t="s">
        <v>84</v>
      </c>
      <c r="O765" s="12" t="s">
        <v>3289</v>
      </c>
      <c r="P765" s="12" t="s">
        <v>46</v>
      </c>
      <c r="Q765" s="12" t="s">
        <v>47</v>
      </c>
      <c r="R765" s="12" t="s">
        <v>117</v>
      </c>
      <c r="S765" s="13">
        <v>197804550104</v>
      </c>
      <c r="T765" s="12" t="s">
        <v>49</v>
      </c>
      <c r="U765" s="13">
        <v>44.5</v>
      </c>
      <c r="V765" s="12" t="s">
        <v>50</v>
      </c>
      <c r="W765" s="12" t="s">
        <v>175</v>
      </c>
      <c r="X765" s="14"/>
      <c r="Y765" s="14"/>
      <c r="Z765" s="14"/>
      <c r="AA765" s="14"/>
      <c r="AB765" s="14"/>
      <c r="AC765" s="15">
        <v>40.950000000000003</v>
      </c>
      <c r="AD765" s="15">
        <f>AC765*AG765</f>
        <v>368.55</v>
      </c>
      <c r="AE765" s="15">
        <v>90</v>
      </c>
      <c r="AF765" s="15">
        <f>AE765*AG765</f>
        <v>810</v>
      </c>
      <c r="AG765" s="16">
        <v>9</v>
      </c>
    </row>
    <row r="766" spans="1:33" ht="15" customHeight="1" x14ac:dyDescent="0.2">
      <c r="A766" s="11" t="str">
        <f t="shared" ref="A766:A1964" si="342">HYPERLINK("https://assets.vans.eu/images/VN000E7UTC4-HERO/1","VN000E7UTC41")</f>
        <v>VN000E7UTC41</v>
      </c>
      <c r="B766" s="12" t="s">
        <v>3290</v>
      </c>
      <c r="C766" s="12" t="s">
        <v>1614</v>
      </c>
      <c r="D766" s="12" t="s">
        <v>3291</v>
      </c>
      <c r="E766" s="12" t="s">
        <v>3292</v>
      </c>
      <c r="F766" s="13">
        <v>50</v>
      </c>
      <c r="G766" s="14"/>
      <c r="H766" s="12" t="s">
        <v>38</v>
      </c>
      <c r="I766" s="12" t="s">
        <v>159</v>
      </c>
      <c r="J766" s="12" t="s">
        <v>255</v>
      </c>
      <c r="K766" s="12" t="s">
        <v>82</v>
      </c>
      <c r="L766" s="12" t="s">
        <v>115</v>
      </c>
      <c r="M766" s="12" t="s">
        <v>43</v>
      </c>
      <c r="N766" s="12" t="s">
        <v>84</v>
      </c>
      <c r="O766" s="12" t="s">
        <v>3293</v>
      </c>
      <c r="P766" s="12" t="s">
        <v>46</v>
      </c>
      <c r="Q766" s="12" t="s">
        <v>47</v>
      </c>
      <c r="R766" s="12" t="s">
        <v>163</v>
      </c>
      <c r="S766" s="13">
        <v>197805903213</v>
      </c>
      <c r="T766" s="12" t="s">
        <v>49</v>
      </c>
      <c r="U766" s="13">
        <v>36.5</v>
      </c>
      <c r="V766" s="12" t="s">
        <v>50</v>
      </c>
      <c r="W766" s="12" t="s">
        <v>455</v>
      </c>
      <c r="X766" s="14"/>
      <c r="Y766" s="14"/>
      <c r="Z766" s="14"/>
      <c r="AA766" s="14"/>
      <c r="AB766" s="14"/>
      <c r="AC766" s="15">
        <v>52.3</v>
      </c>
      <c r="AD766" s="15">
        <f>AC766*AG766</f>
        <v>470.7</v>
      </c>
      <c r="AE766" s="15">
        <v>115</v>
      </c>
      <c r="AF766" s="15">
        <f>AE766*AG766</f>
        <v>1035</v>
      </c>
      <c r="AG766" s="16">
        <v>9</v>
      </c>
    </row>
    <row r="767" spans="1:33" ht="15" customHeight="1" x14ac:dyDescent="0.2">
      <c r="A767" s="11" t="str">
        <f t="shared" ref="A767:A768" si="343">HYPERLINK("https://assets.vans.eu/images/VN000E9XCJK-HERO/1","VN000E9XCJK1")</f>
        <v>VN000E9XCJK1</v>
      </c>
      <c r="B767" s="12" t="s">
        <v>3294</v>
      </c>
      <c r="C767" s="12" t="s">
        <v>110</v>
      </c>
      <c r="D767" s="12" t="s">
        <v>919</v>
      </c>
      <c r="E767" s="12" t="s">
        <v>3295</v>
      </c>
      <c r="F767" s="13">
        <v>70</v>
      </c>
      <c r="G767" s="12" t="s">
        <v>3296</v>
      </c>
      <c r="H767" s="12" t="s">
        <v>38</v>
      </c>
      <c r="I767" s="12" t="s">
        <v>113</v>
      </c>
      <c r="J767" s="12" t="s">
        <v>114</v>
      </c>
      <c r="K767" s="12" t="s">
        <v>82</v>
      </c>
      <c r="L767" s="14"/>
      <c r="M767" s="12" t="s">
        <v>43</v>
      </c>
      <c r="N767" s="12" t="s">
        <v>84</v>
      </c>
      <c r="O767" s="12" t="s">
        <v>3297</v>
      </c>
      <c r="P767" s="12" t="s">
        <v>46</v>
      </c>
      <c r="Q767" s="12" t="s">
        <v>47</v>
      </c>
      <c r="R767" s="12" t="s">
        <v>117</v>
      </c>
      <c r="S767" s="13">
        <v>197805951696</v>
      </c>
      <c r="T767" s="12" t="s">
        <v>49</v>
      </c>
      <c r="U767" s="13">
        <v>39</v>
      </c>
      <c r="V767" s="12" t="s">
        <v>50</v>
      </c>
      <c r="W767" s="12" t="s">
        <v>51</v>
      </c>
      <c r="X767" s="14"/>
      <c r="Y767" s="14"/>
      <c r="Z767" s="14"/>
      <c r="AA767" s="14"/>
      <c r="AB767" s="14"/>
      <c r="AC767" s="15">
        <v>47.75</v>
      </c>
      <c r="AD767" s="15">
        <f>AC767*AG767</f>
        <v>429.75</v>
      </c>
      <c r="AE767" s="15">
        <v>105</v>
      </c>
      <c r="AF767" s="15">
        <f>AE767*AG767</f>
        <v>945</v>
      </c>
      <c r="AG767" s="16">
        <v>9</v>
      </c>
    </row>
    <row r="768" spans="1:33" ht="15" customHeight="1" x14ac:dyDescent="0.2">
      <c r="A768" s="11" t="str">
        <f t="shared" si="343"/>
        <v>VN000E9XCJK1</v>
      </c>
      <c r="B768" s="12" t="s">
        <v>3298</v>
      </c>
      <c r="C768" s="12" t="s">
        <v>110</v>
      </c>
      <c r="D768" s="12" t="s">
        <v>919</v>
      </c>
      <c r="E768" s="12" t="s">
        <v>3299</v>
      </c>
      <c r="F768" s="13">
        <v>75</v>
      </c>
      <c r="G768" s="12" t="s">
        <v>3296</v>
      </c>
      <c r="H768" s="12" t="s">
        <v>38</v>
      </c>
      <c r="I768" s="12" t="s">
        <v>113</v>
      </c>
      <c r="J768" s="12" t="s">
        <v>114</v>
      </c>
      <c r="K768" s="12" t="s">
        <v>82</v>
      </c>
      <c r="L768" s="14"/>
      <c r="M768" s="12" t="s">
        <v>43</v>
      </c>
      <c r="N768" s="12" t="s">
        <v>84</v>
      </c>
      <c r="O768" s="12" t="s">
        <v>3300</v>
      </c>
      <c r="P768" s="12" t="s">
        <v>46</v>
      </c>
      <c r="Q768" s="12" t="s">
        <v>47</v>
      </c>
      <c r="R768" s="12" t="s">
        <v>117</v>
      </c>
      <c r="S768" s="13">
        <v>197805951795</v>
      </c>
      <c r="T768" s="12" t="s">
        <v>49</v>
      </c>
      <c r="U768" s="13">
        <v>40</v>
      </c>
      <c r="V768" s="12" t="s">
        <v>50</v>
      </c>
      <c r="W768" s="12" t="s">
        <v>51</v>
      </c>
      <c r="X768" s="14"/>
      <c r="Y768" s="14"/>
      <c r="Z768" s="14"/>
      <c r="AA768" s="14"/>
      <c r="AB768" s="14"/>
      <c r="AC768" s="15">
        <v>47.75</v>
      </c>
      <c r="AD768" s="15">
        <f>AC768*AG768</f>
        <v>429.75</v>
      </c>
      <c r="AE768" s="15">
        <v>105</v>
      </c>
      <c r="AF768" s="15">
        <f>AE768*AG768</f>
        <v>945</v>
      </c>
      <c r="AG768" s="16">
        <v>9</v>
      </c>
    </row>
    <row r="769" spans="1:33" ht="15" customHeight="1" x14ac:dyDescent="0.2">
      <c r="A769" s="11" t="str">
        <f t="shared" ref="A769:A1278" si="344">HYPERLINK("https://assets.vans.eu/images/VN000E9YBGP-HERO/1","VN000E9YBGP1")</f>
        <v>VN000E9YBGP1</v>
      </c>
      <c r="B769" s="12" t="s">
        <v>3301</v>
      </c>
      <c r="C769" s="12" t="s">
        <v>34</v>
      </c>
      <c r="D769" s="12" t="s">
        <v>1119</v>
      </c>
      <c r="E769" s="12" t="s">
        <v>3302</v>
      </c>
      <c r="F769" s="13">
        <v>50</v>
      </c>
      <c r="G769" s="14"/>
      <c r="H769" s="12" t="s">
        <v>38</v>
      </c>
      <c r="I769" s="12" t="s">
        <v>205</v>
      </c>
      <c r="J769" s="12" t="s">
        <v>206</v>
      </c>
      <c r="K769" s="12" t="s">
        <v>207</v>
      </c>
      <c r="L769" s="12" t="s">
        <v>260</v>
      </c>
      <c r="M769" s="12" t="s">
        <v>43</v>
      </c>
      <c r="N769" s="12" t="s">
        <v>84</v>
      </c>
      <c r="O769" s="12" t="s">
        <v>3303</v>
      </c>
      <c r="P769" s="12" t="s">
        <v>46</v>
      </c>
      <c r="Q769" s="12" t="s">
        <v>47</v>
      </c>
      <c r="R769" s="12" t="s">
        <v>48</v>
      </c>
      <c r="S769" s="13">
        <v>197804872459</v>
      </c>
      <c r="T769" s="12" t="s">
        <v>164</v>
      </c>
      <c r="U769" s="13">
        <v>36.5</v>
      </c>
      <c r="V769" s="12" t="s">
        <v>50</v>
      </c>
      <c r="W769" s="12" t="s">
        <v>284</v>
      </c>
      <c r="X769" s="14"/>
      <c r="Y769" s="14"/>
      <c r="Z769" s="14"/>
      <c r="AA769" s="14"/>
      <c r="AB769" s="14"/>
      <c r="AC769" s="15">
        <v>29.55</v>
      </c>
      <c r="AD769" s="15">
        <f>AC769*AG769</f>
        <v>265.95</v>
      </c>
      <c r="AE769" s="15">
        <v>65</v>
      </c>
      <c r="AF769" s="15">
        <f>AE769*AG769</f>
        <v>585</v>
      </c>
      <c r="AG769" s="16">
        <v>9</v>
      </c>
    </row>
    <row r="770" spans="1:33" ht="15" customHeight="1" x14ac:dyDescent="0.2">
      <c r="A770" s="11" t="str">
        <f t="shared" si="234"/>
        <v>VN000E9ZYF51</v>
      </c>
      <c r="B770" s="12" t="s">
        <v>3304</v>
      </c>
      <c r="C770" s="12" t="s">
        <v>110</v>
      </c>
      <c r="D770" s="12" t="s">
        <v>924</v>
      </c>
      <c r="E770" s="12" t="s">
        <v>3305</v>
      </c>
      <c r="F770" s="13">
        <v>50</v>
      </c>
      <c r="G770" s="14"/>
      <c r="H770" s="12" t="s">
        <v>38</v>
      </c>
      <c r="I770" s="12" t="s">
        <v>205</v>
      </c>
      <c r="J770" s="12" t="s">
        <v>206</v>
      </c>
      <c r="K770" s="12" t="s">
        <v>207</v>
      </c>
      <c r="L770" s="12" t="s">
        <v>260</v>
      </c>
      <c r="M770" s="12" t="s">
        <v>43</v>
      </c>
      <c r="N770" s="12" t="s">
        <v>84</v>
      </c>
      <c r="O770" s="12" t="s">
        <v>3306</v>
      </c>
      <c r="P770" s="12" t="s">
        <v>46</v>
      </c>
      <c r="Q770" s="12" t="s">
        <v>47</v>
      </c>
      <c r="R770" s="12" t="s">
        <v>48</v>
      </c>
      <c r="S770" s="13">
        <v>197804867097</v>
      </c>
      <c r="T770" s="12" t="s">
        <v>105</v>
      </c>
      <c r="U770" s="13">
        <v>36.5</v>
      </c>
      <c r="V770" s="12" t="s">
        <v>50</v>
      </c>
      <c r="W770" s="12" t="s">
        <v>284</v>
      </c>
      <c r="X770" s="14"/>
      <c r="Y770" s="14"/>
      <c r="Z770" s="14"/>
      <c r="AA770" s="14"/>
      <c r="AB770" s="14"/>
      <c r="AC770" s="15">
        <v>34.1</v>
      </c>
      <c r="AD770" s="15">
        <f>AC770*AG770</f>
        <v>306.90000000000003</v>
      </c>
      <c r="AE770" s="15">
        <v>75</v>
      </c>
      <c r="AF770" s="15">
        <f>AE770*AG770</f>
        <v>675</v>
      </c>
      <c r="AG770" s="16">
        <v>9</v>
      </c>
    </row>
    <row r="771" spans="1:33" ht="15" customHeight="1" x14ac:dyDescent="0.2">
      <c r="A771" s="11" t="str">
        <f t="shared" ref="A771:A1089" si="345">HYPERLINK("https://assets.vans.eu/images/VN000EE1I6Y-HERO/1","VN000EE1I6Y1")</f>
        <v>VN000EE1I6Y1</v>
      </c>
      <c r="B771" s="12" t="s">
        <v>3307</v>
      </c>
      <c r="C771" s="12" t="s">
        <v>238</v>
      </c>
      <c r="D771" s="12" t="s">
        <v>1927</v>
      </c>
      <c r="E771" s="12" t="s">
        <v>3308</v>
      </c>
      <c r="F771" s="13">
        <v>85</v>
      </c>
      <c r="G771" s="14"/>
      <c r="H771" s="12" t="s">
        <v>38</v>
      </c>
      <c r="I771" s="12" t="s">
        <v>242</v>
      </c>
      <c r="J771" s="12" t="s">
        <v>243</v>
      </c>
      <c r="K771" s="12" t="s">
        <v>244</v>
      </c>
      <c r="L771" s="12" t="s">
        <v>115</v>
      </c>
      <c r="M771" s="12" t="s">
        <v>43</v>
      </c>
      <c r="N771" s="12" t="s">
        <v>84</v>
      </c>
      <c r="O771" s="12" t="s">
        <v>3309</v>
      </c>
      <c r="P771" s="12" t="s">
        <v>46</v>
      </c>
      <c r="Q771" s="12" t="s">
        <v>47</v>
      </c>
      <c r="R771" s="12" t="s">
        <v>48</v>
      </c>
      <c r="S771" s="13">
        <v>197805787905</v>
      </c>
      <c r="T771" s="12" t="s">
        <v>164</v>
      </c>
      <c r="U771" s="13">
        <v>25</v>
      </c>
      <c r="V771" s="12" t="s">
        <v>50</v>
      </c>
      <c r="W771" s="12" t="s">
        <v>625</v>
      </c>
      <c r="X771" s="14"/>
      <c r="Y771" s="14"/>
      <c r="Z771" s="14"/>
      <c r="AA771" s="14"/>
      <c r="AB771" s="14"/>
      <c r="AC771" s="15">
        <v>20.5</v>
      </c>
      <c r="AD771" s="15">
        <f>AC771*AG771</f>
        <v>184.5</v>
      </c>
      <c r="AE771" s="15">
        <v>45</v>
      </c>
      <c r="AF771" s="15">
        <f>AE771*AG771</f>
        <v>405</v>
      </c>
      <c r="AG771" s="16">
        <v>9</v>
      </c>
    </row>
    <row r="772" spans="1:33" ht="15" customHeight="1" x14ac:dyDescent="0.2">
      <c r="A772" s="11" t="str">
        <f>HYPERLINK("https://assets.vans.eu/images/VN000EF3RAS-HERO/1","VN000EF3RAS1")</f>
        <v>VN000EF3RAS1</v>
      </c>
      <c r="B772" s="12" t="s">
        <v>3310</v>
      </c>
      <c r="C772" s="12" t="s">
        <v>3311</v>
      </c>
      <c r="D772" s="12" t="s">
        <v>3312</v>
      </c>
      <c r="E772" s="12" t="s">
        <v>3313</v>
      </c>
      <c r="F772" s="13">
        <v>65</v>
      </c>
      <c r="G772" s="12" t="s">
        <v>2273</v>
      </c>
      <c r="H772" s="12" t="s">
        <v>38</v>
      </c>
      <c r="I772" s="12" t="s">
        <v>113</v>
      </c>
      <c r="J772" s="12" t="s">
        <v>114</v>
      </c>
      <c r="K772" s="12" t="s">
        <v>82</v>
      </c>
      <c r="L772" s="14"/>
      <c r="M772" s="12" t="s">
        <v>43</v>
      </c>
      <c r="N772" s="12" t="s">
        <v>84</v>
      </c>
      <c r="O772" s="12" t="s">
        <v>3314</v>
      </c>
      <c r="P772" s="12" t="s">
        <v>46</v>
      </c>
      <c r="Q772" s="12" t="s">
        <v>47</v>
      </c>
      <c r="R772" s="12" t="s">
        <v>117</v>
      </c>
      <c r="S772" s="13">
        <v>197804930722</v>
      </c>
      <c r="T772" s="12" t="s">
        <v>49</v>
      </c>
      <c r="U772" s="13">
        <v>38.5</v>
      </c>
      <c r="V772" s="12" t="s">
        <v>209</v>
      </c>
      <c r="W772" s="12" t="s">
        <v>262</v>
      </c>
      <c r="X772" s="14"/>
      <c r="Y772" s="14"/>
      <c r="Z772" s="14"/>
      <c r="AA772" s="14"/>
      <c r="AB772" s="14"/>
      <c r="AC772" s="15">
        <v>43.2</v>
      </c>
      <c r="AD772" s="15">
        <f>AC772*AG772</f>
        <v>388.8</v>
      </c>
      <c r="AE772" s="15">
        <v>95</v>
      </c>
      <c r="AF772" s="15">
        <f>AE772*AG772</f>
        <v>855</v>
      </c>
      <c r="AG772" s="16">
        <v>9</v>
      </c>
    </row>
    <row r="773" spans="1:33" ht="15" customHeight="1" x14ac:dyDescent="0.2">
      <c r="A773" s="11" t="str">
        <f>HYPERLINK("https://assets.vans.eu/images/VN0A5JLGWHT-HERO/1","VN0A5JLGWHT1")</f>
        <v>VN0A5JLGWHT1</v>
      </c>
      <c r="B773" s="12" t="s">
        <v>3315</v>
      </c>
      <c r="C773" s="12" t="s">
        <v>3316</v>
      </c>
      <c r="D773" s="12" t="s">
        <v>168</v>
      </c>
      <c r="E773" s="12" t="s">
        <v>3317</v>
      </c>
      <c r="F773" s="13">
        <v>90</v>
      </c>
      <c r="G773" s="12" t="s">
        <v>372</v>
      </c>
      <c r="H773" s="12" t="s">
        <v>38</v>
      </c>
      <c r="I773" s="12" t="s">
        <v>113</v>
      </c>
      <c r="J773" s="12" t="s">
        <v>114</v>
      </c>
      <c r="K773" s="12" t="s">
        <v>100</v>
      </c>
      <c r="L773" s="14"/>
      <c r="M773" s="12" t="s">
        <v>43</v>
      </c>
      <c r="N773" s="12" t="s">
        <v>274</v>
      </c>
      <c r="O773" s="12" t="s">
        <v>3318</v>
      </c>
      <c r="P773" s="12" t="s">
        <v>46</v>
      </c>
      <c r="Q773" s="12" t="s">
        <v>47</v>
      </c>
      <c r="R773" s="12" t="s">
        <v>117</v>
      </c>
      <c r="S773" s="13">
        <v>196571168192</v>
      </c>
      <c r="T773" s="12" t="s">
        <v>49</v>
      </c>
      <c r="U773" s="13">
        <v>40</v>
      </c>
      <c r="V773" s="12" t="s">
        <v>209</v>
      </c>
      <c r="W773" s="12" t="s">
        <v>175</v>
      </c>
      <c r="X773" s="14"/>
      <c r="Y773" s="12" t="s">
        <v>71</v>
      </c>
      <c r="Z773" s="12" t="s">
        <v>376</v>
      </c>
      <c r="AA773" s="14"/>
      <c r="AB773" s="14"/>
      <c r="AC773" s="15">
        <v>45.25</v>
      </c>
      <c r="AD773" s="15">
        <f>AC773*AG773</f>
        <v>407.25</v>
      </c>
      <c r="AE773" s="15">
        <v>95</v>
      </c>
      <c r="AF773" s="15">
        <f>AE773*AG773</f>
        <v>855</v>
      </c>
      <c r="AG773" s="16">
        <v>9</v>
      </c>
    </row>
    <row r="774" spans="1:33" ht="15" customHeight="1" x14ac:dyDescent="0.2">
      <c r="A774" s="11" t="str">
        <f>HYPERLINK("https://assets.vans.eu/images/VN0008NNLKZ-HERO/1","VN0008NNLKZ1")</f>
        <v>VN0008NNLKZ1</v>
      </c>
      <c r="B774" s="12" t="s">
        <v>3319</v>
      </c>
      <c r="C774" s="12" t="s">
        <v>3320</v>
      </c>
      <c r="D774" s="12" t="s">
        <v>1213</v>
      </c>
      <c r="E774" s="12" t="s">
        <v>3321</v>
      </c>
      <c r="F774" s="13">
        <v>659</v>
      </c>
      <c r="G774" s="14"/>
      <c r="H774" s="12" t="s">
        <v>79</v>
      </c>
      <c r="I774" s="12" t="s">
        <v>80</v>
      </c>
      <c r="J774" s="12" t="s">
        <v>171</v>
      </c>
      <c r="K774" s="12" t="s">
        <v>199</v>
      </c>
      <c r="L774" s="14"/>
      <c r="M774" s="12" t="s">
        <v>43</v>
      </c>
      <c r="N774" s="12" t="s">
        <v>101</v>
      </c>
      <c r="O774" s="12" t="s">
        <v>3322</v>
      </c>
      <c r="P774" s="12" t="s">
        <v>86</v>
      </c>
      <c r="Q774" s="12" t="s">
        <v>141</v>
      </c>
      <c r="R774" s="12" t="s">
        <v>173</v>
      </c>
      <c r="S774" s="13">
        <v>196573746169</v>
      </c>
      <c r="T774" s="12" t="s">
        <v>143</v>
      </c>
      <c r="U774" s="12" t="s">
        <v>2023</v>
      </c>
      <c r="V774" s="12" t="s">
        <v>3323</v>
      </c>
      <c r="W774" s="12" t="s">
        <v>284</v>
      </c>
      <c r="X774" s="13">
        <v>0</v>
      </c>
      <c r="Y774" s="12" t="s">
        <v>53</v>
      </c>
      <c r="Z774" s="12" t="s">
        <v>108</v>
      </c>
      <c r="AA774" s="13">
        <v>0</v>
      </c>
      <c r="AB774" s="13">
        <v>0</v>
      </c>
      <c r="AC774" s="15">
        <v>10</v>
      </c>
      <c r="AD774" s="15">
        <f>AC774*AG774</f>
        <v>80</v>
      </c>
      <c r="AE774" s="15">
        <v>22</v>
      </c>
      <c r="AF774" s="15">
        <f>AE774*AG774</f>
        <v>176</v>
      </c>
      <c r="AG774" s="16">
        <v>8</v>
      </c>
    </row>
    <row r="775" spans="1:33" ht="15" customHeight="1" x14ac:dyDescent="0.2">
      <c r="A775" s="11" t="str">
        <f>HYPERLINK("https://assets.vans.eu/images/VN000EZ1BLK-HERO/1","VN000EZ1BLK1")</f>
        <v>VN000EZ1BLK1</v>
      </c>
      <c r="B775" s="12" t="s">
        <v>3324</v>
      </c>
      <c r="C775" s="12" t="s">
        <v>3325</v>
      </c>
      <c r="D775" s="12" t="s">
        <v>76</v>
      </c>
      <c r="E775" s="12" t="s">
        <v>3326</v>
      </c>
      <c r="F775" s="13">
        <v>101</v>
      </c>
      <c r="G775" s="14"/>
      <c r="H775" s="12" t="s">
        <v>79</v>
      </c>
      <c r="I775" s="12" t="s">
        <v>125</v>
      </c>
      <c r="J775" s="12" t="s">
        <v>139</v>
      </c>
      <c r="K775" s="12" t="s">
        <v>64</v>
      </c>
      <c r="L775" s="14"/>
      <c r="M775" s="12" t="s">
        <v>43</v>
      </c>
      <c r="N775" s="12" t="s">
        <v>44</v>
      </c>
      <c r="O775" s="12" t="s">
        <v>3327</v>
      </c>
      <c r="P775" s="12" t="s">
        <v>86</v>
      </c>
      <c r="Q775" s="12" t="s">
        <v>141</v>
      </c>
      <c r="R775" s="12" t="s">
        <v>142</v>
      </c>
      <c r="S775" s="13">
        <v>196574906654</v>
      </c>
      <c r="T775" s="12" t="s">
        <v>69</v>
      </c>
      <c r="U775" s="12" t="s">
        <v>517</v>
      </c>
      <c r="V775" s="12" t="s">
        <v>3328</v>
      </c>
      <c r="W775" s="12" t="s">
        <v>51</v>
      </c>
      <c r="X775" s="13">
        <v>0</v>
      </c>
      <c r="Y775" s="12" t="s">
        <v>91</v>
      </c>
      <c r="Z775" s="12" t="s">
        <v>108</v>
      </c>
      <c r="AA775" s="13">
        <v>0</v>
      </c>
      <c r="AB775" s="13">
        <v>0</v>
      </c>
      <c r="AC775" s="15">
        <v>8.1999999999999993</v>
      </c>
      <c r="AD775" s="15">
        <f>AC775*AG775</f>
        <v>65.599999999999994</v>
      </c>
      <c r="AE775" s="15">
        <v>18</v>
      </c>
      <c r="AF775" s="15">
        <f>AE775*AG775</f>
        <v>144</v>
      </c>
      <c r="AG775" s="16">
        <v>8</v>
      </c>
    </row>
    <row r="776" spans="1:33" ht="15" customHeight="1" x14ac:dyDescent="0.2">
      <c r="A776" s="11" t="str">
        <f>HYPERLINK("https://assets.vans.eu/images/VN000F0U5QJ-HERO/1","VN000F0U5QJ1")</f>
        <v>VN000F0U5QJ1</v>
      </c>
      <c r="B776" s="12" t="s">
        <v>3329</v>
      </c>
      <c r="C776" s="12" t="s">
        <v>146</v>
      </c>
      <c r="D776" s="12" t="s">
        <v>3330</v>
      </c>
      <c r="E776" s="12" t="s">
        <v>3331</v>
      </c>
      <c r="F776" s="13">
        <v>951</v>
      </c>
      <c r="G776" s="14"/>
      <c r="H776" s="12" t="s">
        <v>79</v>
      </c>
      <c r="I776" s="12" t="s">
        <v>80</v>
      </c>
      <c r="J776" s="12" t="s">
        <v>171</v>
      </c>
      <c r="K776" s="12" t="s">
        <v>199</v>
      </c>
      <c r="L776" s="14"/>
      <c r="M776" s="12" t="s">
        <v>43</v>
      </c>
      <c r="N776" s="12" t="s">
        <v>274</v>
      </c>
      <c r="O776" s="12" t="s">
        <v>3332</v>
      </c>
      <c r="P776" s="12" t="s">
        <v>86</v>
      </c>
      <c r="Q776" s="12" t="s">
        <v>141</v>
      </c>
      <c r="R776" s="12" t="s">
        <v>173</v>
      </c>
      <c r="S776" s="13">
        <v>197063465966</v>
      </c>
      <c r="T776" s="12" t="s">
        <v>143</v>
      </c>
      <c r="U776" s="12" t="s">
        <v>1402</v>
      </c>
      <c r="V776" s="12" t="s">
        <v>1545</v>
      </c>
      <c r="W776" s="12" t="s">
        <v>186</v>
      </c>
      <c r="X776" s="13">
        <v>0</v>
      </c>
      <c r="Y776" s="12" t="s">
        <v>91</v>
      </c>
      <c r="Z776" s="12" t="s">
        <v>108</v>
      </c>
      <c r="AA776" s="13">
        <v>0</v>
      </c>
      <c r="AB776" s="13">
        <v>0</v>
      </c>
      <c r="AC776" s="15">
        <v>9.1</v>
      </c>
      <c r="AD776" s="15">
        <f>AC776*AG776</f>
        <v>72.8</v>
      </c>
      <c r="AE776" s="15">
        <v>20</v>
      </c>
      <c r="AF776" s="15">
        <f>AE776*AG776</f>
        <v>160</v>
      </c>
      <c r="AG776" s="16">
        <v>8</v>
      </c>
    </row>
    <row r="777" spans="1:33" ht="15" customHeight="1" x14ac:dyDescent="0.2">
      <c r="A777" s="11" t="str">
        <f t="shared" ref="A777:A1292" si="346">HYPERLINK("https://assets.vans.eu/images/VN000HSMVVL-HERO/1","VN000HSMVVL1")</f>
        <v>VN000HSMVVL1</v>
      </c>
      <c r="B777" s="12" t="s">
        <v>3333</v>
      </c>
      <c r="C777" s="12" t="s">
        <v>3334</v>
      </c>
      <c r="D777" s="12" t="s">
        <v>3335</v>
      </c>
      <c r="E777" s="12" t="s">
        <v>3336</v>
      </c>
      <c r="F777" s="12" t="s">
        <v>491</v>
      </c>
      <c r="G777" s="14"/>
      <c r="H777" s="12" t="s">
        <v>79</v>
      </c>
      <c r="I777" s="12" t="s">
        <v>80</v>
      </c>
      <c r="J777" s="12" t="s">
        <v>349</v>
      </c>
      <c r="K777" s="12" t="s">
        <v>82</v>
      </c>
      <c r="L777" s="14"/>
      <c r="M777" s="12" t="s">
        <v>43</v>
      </c>
      <c r="N777" s="12" t="s">
        <v>161</v>
      </c>
      <c r="O777" s="12" t="s">
        <v>3337</v>
      </c>
      <c r="P777" s="12" t="s">
        <v>86</v>
      </c>
      <c r="Q777" s="12" t="s">
        <v>128</v>
      </c>
      <c r="R777" s="12" t="s">
        <v>352</v>
      </c>
      <c r="S777" s="13">
        <v>197065712907</v>
      </c>
      <c r="T777" s="12" t="s">
        <v>164</v>
      </c>
      <c r="U777" s="12" t="s">
        <v>491</v>
      </c>
      <c r="V777" s="12" t="s">
        <v>3338</v>
      </c>
      <c r="W777" s="12" t="s">
        <v>933</v>
      </c>
      <c r="X777" s="13">
        <v>0</v>
      </c>
      <c r="Y777" s="12" t="s">
        <v>53</v>
      </c>
      <c r="Z777" s="12" t="s">
        <v>108</v>
      </c>
      <c r="AA777" s="13">
        <v>0</v>
      </c>
      <c r="AB777" s="13">
        <v>0</v>
      </c>
      <c r="AC777" s="15">
        <v>20.5</v>
      </c>
      <c r="AD777" s="15">
        <f>AC777*AG777</f>
        <v>164</v>
      </c>
      <c r="AE777" s="15">
        <v>45</v>
      </c>
      <c r="AF777" s="15">
        <f>AE777*AG777</f>
        <v>360</v>
      </c>
      <c r="AG777" s="16">
        <v>8</v>
      </c>
    </row>
    <row r="778" spans="1:33" ht="15" customHeight="1" x14ac:dyDescent="0.2">
      <c r="A778" s="11" t="str">
        <f>HYPERLINK("https://assets.vans.eu/images/VN000JEPBLK-HERO/1","VN000JEPBLK1")</f>
        <v>VN000JEPBLK1</v>
      </c>
      <c r="B778" s="12" t="s">
        <v>3339</v>
      </c>
      <c r="C778" s="12" t="s">
        <v>3340</v>
      </c>
      <c r="D778" s="12" t="s">
        <v>76</v>
      </c>
      <c r="E778" s="12" t="s">
        <v>3341</v>
      </c>
      <c r="F778" s="12" t="s">
        <v>78</v>
      </c>
      <c r="G778" s="14"/>
      <c r="H778" s="12" t="s">
        <v>79</v>
      </c>
      <c r="I778" s="12" t="s">
        <v>80</v>
      </c>
      <c r="J778" s="12" t="s">
        <v>349</v>
      </c>
      <c r="K778" s="12" t="s">
        <v>82</v>
      </c>
      <c r="L778" s="14"/>
      <c r="M778" s="12" t="s">
        <v>43</v>
      </c>
      <c r="N778" s="12" t="s">
        <v>161</v>
      </c>
      <c r="O778" s="12" t="s">
        <v>3342</v>
      </c>
      <c r="P778" s="12" t="s">
        <v>86</v>
      </c>
      <c r="Q778" s="12" t="s">
        <v>128</v>
      </c>
      <c r="R778" s="12" t="s">
        <v>352</v>
      </c>
      <c r="S778" s="13">
        <v>197065466015</v>
      </c>
      <c r="T778" s="12" t="s">
        <v>1065</v>
      </c>
      <c r="U778" s="12" t="s">
        <v>78</v>
      </c>
      <c r="V778" s="12" t="s">
        <v>3343</v>
      </c>
      <c r="W778" s="12" t="s">
        <v>51</v>
      </c>
      <c r="X778" s="13">
        <v>0</v>
      </c>
      <c r="Y778" s="12" t="s">
        <v>91</v>
      </c>
      <c r="Z778" s="12" t="s">
        <v>108</v>
      </c>
      <c r="AA778" s="13">
        <v>0</v>
      </c>
      <c r="AB778" s="13">
        <v>0</v>
      </c>
      <c r="AC778" s="15">
        <v>15.95</v>
      </c>
      <c r="AD778" s="15">
        <f>AC778*AG778</f>
        <v>127.6</v>
      </c>
      <c r="AE778" s="15">
        <v>35</v>
      </c>
      <c r="AF778" s="15">
        <f>AE778*AG778</f>
        <v>280</v>
      </c>
      <c r="AG778" s="16">
        <v>8</v>
      </c>
    </row>
    <row r="779" spans="1:33" ht="15" customHeight="1" x14ac:dyDescent="0.2">
      <c r="A779" s="11" t="str">
        <f>HYPERLINK("https://assets.vans.eu/images/VN000ND7BLK-HERO/1","VN000ND7BLK1")</f>
        <v>VN000ND7BLK1</v>
      </c>
      <c r="B779" s="12" t="s">
        <v>3344</v>
      </c>
      <c r="C779" s="12" t="s">
        <v>894</v>
      </c>
      <c r="D779" s="12" t="s">
        <v>76</v>
      </c>
      <c r="E779" s="12" t="s">
        <v>3345</v>
      </c>
      <c r="F779" s="12" t="s">
        <v>78</v>
      </c>
      <c r="G779" s="14"/>
      <c r="H779" s="12" t="s">
        <v>79</v>
      </c>
      <c r="I779" s="12" t="s">
        <v>80</v>
      </c>
      <c r="J779" s="12" t="s">
        <v>99</v>
      </c>
      <c r="K779" s="12" t="s">
        <v>82</v>
      </c>
      <c r="L779" s="14"/>
      <c r="M779" s="12" t="s">
        <v>43</v>
      </c>
      <c r="N779" s="12" t="s">
        <v>84</v>
      </c>
      <c r="O779" s="12" t="s">
        <v>3346</v>
      </c>
      <c r="P779" s="12" t="s">
        <v>86</v>
      </c>
      <c r="Q779" s="12" t="s">
        <v>716</v>
      </c>
      <c r="R779" s="12" t="s">
        <v>717</v>
      </c>
      <c r="S779" s="13">
        <v>197643467830</v>
      </c>
      <c r="T779" s="12" t="s">
        <v>143</v>
      </c>
      <c r="U779" s="12" t="s">
        <v>78</v>
      </c>
      <c r="V779" s="12" t="s">
        <v>718</v>
      </c>
      <c r="W779" s="12" t="s">
        <v>51</v>
      </c>
      <c r="X779" s="13">
        <v>0</v>
      </c>
      <c r="Y779" s="12" t="s">
        <v>91</v>
      </c>
      <c r="Z779" s="12" t="s">
        <v>108</v>
      </c>
      <c r="AA779" s="13">
        <v>0</v>
      </c>
      <c r="AB779" s="13">
        <v>0</v>
      </c>
      <c r="AC779" s="15">
        <v>12.75</v>
      </c>
      <c r="AD779" s="15">
        <f>AC779*AG779</f>
        <v>102</v>
      </c>
      <c r="AE779" s="15">
        <v>28</v>
      </c>
      <c r="AF779" s="15">
        <f>AE779*AG779</f>
        <v>224</v>
      </c>
      <c r="AG779" s="16">
        <v>8</v>
      </c>
    </row>
    <row r="780" spans="1:33" ht="15" customHeight="1" x14ac:dyDescent="0.2">
      <c r="A780" s="11" t="str">
        <f>HYPERLINK("https://assets.vans.eu/images/VN000QABEMU-HERO/1","VN000QABEMU1")</f>
        <v>VN000QABEMU1</v>
      </c>
      <c r="B780" s="12" t="s">
        <v>3347</v>
      </c>
      <c r="C780" s="12" t="s">
        <v>3348</v>
      </c>
      <c r="D780" s="12" t="s">
        <v>1319</v>
      </c>
      <c r="E780" s="12" t="s">
        <v>3349</v>
      </c>
      <c r="F780" s="12" t="s">
        <v>78</v>
      </c>
      <c r="G780" s="14"/>
      <c r="H780" s="12" t="s">
        <v>79</v>
      </c>
      <c r="I780" s="12" t="s">
        <v>80</v>
      </c>
      <c r="J780" s="12" t="s">
        <v>349</v>
      </c>
      <c r="K780" s="12" t="s">
        <v>82</v>
      </c>
      <c r="L780" s="14"/>
      <c r="M780" s="12" t="s">
        <v>43</v>
      </c>
      <c r="N780" s="12" t="s">
        <v>84</v>
      </c>
      <c r="O780" s="12" t="s">
        <v>3350</v>
      </c>
      <c r="P780" s="12" t="s">
        <v>86</v>
      </c>
      <c r="Q780" s="12" t="s">
        <v>128</v>
      </c>
      <c r="R780" s="12" t="s">
        <v>352</v>
      </c>
      <c r="S780" s="13">
        <v>197804374717</v>
      </c>
      <c r="T780" s="12" t="s">
        <v>143</v>
      </c>
      <c r="U780" s="12" t="s">
        <v>78</v>
      </c>
      <c r="V780" s="12" t="s">
        <v>3351</v>
      </c>
      <c r="W780" s="12" t="s">
        <v>118</v>
      </c>
      <c r="X780" s="14"/>
      <c r="Y780" s="14"/>
      <c r="Z780" s="14"/>
      <c r="AA780" s="14"/>
      <c r="AB780" s="14"/>
      <c r="AC780" s="15">
        <v>16.399999999999999</v>
      </c>
      <c r="AD780" s="15">
        <f>AC780*AG780</f>
        <v>131.19999999999999</v>
      </c>
      <c r="AE780" s="15">
        <v>36</v>
      </c>
      <c r="AF780" s="15">
        <f>AE780*AG780</f>
        <v>288</v>
      </c>
      <c r="AG780" s="16">
        <v>8</v>
      </c>
    </row>
    <row r="781" spans="1:33" ht="15" customHeight="1" x14ac:dyDescent="0.2">
      <c r="A781" s="11" t="str">
        <f>HYPERLINK("https://assets.vans.eu/images/VN000QB9LKZ-HERO/1","VN000QB9LKZ1")</f>
        <v>VN000QB9LKZ1</v>
      </c>
      <c r="B781" s="12" t="s">
        <v>3352</v>
      </c>
      <c r="C781" s="12" t="s">
        <v>806</v>
      </c>
      <c r="D781" s="12" t="s">
        <v>1213</v>
      </c>
      <c r="E781" s="12" t="s">
        <v>3353</v>
      </c>
      <c r="F781" s="12" t="s">
        <v>179</v>
      </c>
      <c r="G781" s="14"/>
      <c r="H781" s="12" t="s">
        <v>79</v>
      </c>
      <c r="I781" s="12" t="s">
        <v>80</v>
      </c>
      <c r="J781" s="12" t="s">
        <v>171</v>
      </c>
      <c r="K781" s="12" t="s">
        <v>82</v>
      </c>
      <c r="L781" s="14"/>
      <c r="M781" s="12" t="s">
        <v>43</v>
      </c>
      <c r="N781" s="12" t="s">
        <v>84</v>
      </c>
      <c r="O781" s="12" t="s">
        <v>3354</v>
      </c>
      <c r="P781" s="12" t="s">
        <v>86</v>
      </c>
      <c r="Q781" s="12" t="s">
        <v>141</v>
      </c>
      <c r="R781" s="12" t="s">
        <v>173</v>
      </c>
      <c r="S781" s="13">
        <v>197804394210</v>
      </c>
      <c r="T781" s="12" t="s">
        <v>105</v>
      </c>
      <c r="U781" s="12" t="s">
        <v>179</v>
      </c>
      <c r="V781" s="12" t="s">
        <v>181</v>
      </c>
      <c r="W781" s="12" t="s">
        <v>284</v>
      </c>
      <c r="X781" s="14"/>
      <c r="Y781" s="14"/>
      <c r="Z781" s="14"/>
      <c r="AA781" s="14"/>
      <c r="AB781" s="14"/>
      <c r="AC781" s="15">
        <v>7.3</v>
      </c>
      <c r="AD781" s="15">
        <f>AC781*AG781</f>
        <v>58.4</v>
      </c>
      <c r="AE781" s="15">
        <v>16</v>
      </c>
      <c r="AF781" s="15">
        <f>AE781*AG781</f>
        <v>128</v>
      </c>
      <c r="AG781" s="16">
        <v>8</v>
      </c>
    </row>
    <row r="782" spans="1:33" ht="15" customHeight="1" x14ac:dyDescent="0.2">
      <c r="A782" s="11" t="str">
        <f t="shared" ref="A782:A987" si="347">HYPERLINK("https://assets.vans.eu/images/VN000QBQWHT-HERO/1","VN000QBQWHT1")</f>
        <v>VN000QBQWHT1</v>
      </c>
      <c r="B782" s="12" t="s">
        <v>3355</v>
      </c>
      <c r="C782" s="12" t="s">
        <v>2338</v>
      </c>
      <c r="D782" s="12" t="s">
        <v>168</v>
      </c>
      <c r="E782" s="12" t="s">
        <v>3356</v>
      </c>
      <c r="F782" s="12" t="s">
        <v>170</v>
      </c>
      <c r="G782" s="14"/>
      <c r="H782" s="12" t="s">
        <v>79</v>
      </c>
      <c r="I782" s="12" t="s">
        <v>80</v>
      </c>
      <c r="J782" s="12" t="s">
        <v>171</v>
      </c>
      <c r="K782" s="12" t="s">
        <v>82</v>
      </c>
      <c r="L782" s="14"/>
      <c r="M782" s="12" t="s">
        <v>43</v>
      </c>
      <c r="N782" s="12" t="s">
        <v>84</v>
      </c>
      <c r="O782" s="12" t="s">
        <v>3357</v>
      </c>
      <c r="P782" s="12" t="s">
        <v>86</v>
      </c>
      <c r="Q782" s="12" t="s">
        <v>141</v>
      </c>
      <c r="R782" s="12" t="s">
        <v>173</v>
      </c>
      <c r="S782" s="13">
        <v>197804395279</v>
      </c>
      <c r="T782" s="12" t="s">
        <v>143</v>
      </c>
      <c r="U782" s="12" t="s">
        <v>170</v>
      </c>
      <c r="V782" s="12" t="s">
        <v>3358</v>
      </c>
      <c r="W782" s="12" t="s">
        <v>175</v>
      </c>
      <c r="X782" s="14"/>
      <c r="Y782" s="14"/>
      <c r="Z782" s="14"/>
      <c r="AA782" s="14"/>
      <c r="AB782" s="14"/>
      <c r="AC782" s="15">
        <v>7.3</v>
      </c>
      <c r="AD782" s="15">
        <f>AC782*AG782</f>
        <v>58.4</v>
      </c>
      <c r="AE782" s="15">
        <v>16</v>
      </c>
      <c r="AF782" s="15">
        <f>AE782*AG782</f>
        <v>128</v>
      </c>
      <c r="AG782" s="16">
        <v>8</v>
      </c>
    </row>
    <row r="783" spans="1:33" ht="15" customHeight="1" x14ac:dyDescent="0.2">
      <c r="A783" s="11" t="str">
        <f t="shared" si="255"/>
        <v>VN0A31J6DRB1</v>
      </c>
      <c r="B783" s="12" t="s">
        <v>3359</v>
      </c>
      <c r="C783" s="12" t="s">
        <v>2662</v>
      </c>
      <c r="D783" s="12" t="s">
        <v>2663</v>
      </c>
      <c r="E783" s="12" t="s">
        <v>3360</v>
      </c>
      <c r="F783" s="13">
        <v>32</v>
      </c>
      <c r="G783" s="14"/>
      <c r="H783" s="12" t="s">
        <v>79</v>
      </c>
      <c r="I783" s="12" t="s">
        <v>80</v>
      </c>
      <c r="J783" s="12" t="s">
        <v>99</v>
      </c>
      <c r="K783" s="12" t="s">
        <v>199</v>
      </c>
      <c r="L783" s="14"/>
      <c r="M783" s="12" t="s">
        <v>43</v>
      </c>
      <c r="N783" s="12" t="s">
        <v>467</v>
      </c>
      <c r="O783" s="12" t="s">
        <v>3361</v>
      </c>
      <c r="P783" s="12" t="s">
        <v>86</v>
      </c>
      <c r="Q783" s="12" t="s">
        <v>103</v>
      </c>
      <c r="R783" s="12" t="s">
        <v>104</v>
      </c>
      <c r="S783" s="13">
        <v>191163132537</v>
      </c>
      <c r="T783" s="12" t="s">
        <v>49</v>
      </c>
      <c r="U783" s="13">
        <v>32</v>
      </c>
      <c r="V783" s="12" t="s">
        <v>2666</v>
      </c>
      <c r="W783" s="12" t="s">
        <v>186</v>
      </c>
      <c r="X783" s="13">
        <v>0</v>
      </c>
      <c r="Y783" s="12" t="s">
        <v>71</v>
      </c>
      <c r="Z783" s="12" t="s">
        <v>1180</v>
      </c>
      <c r="AA783" s="13">
        <v>0</v>
      </c>
      <c r="AB783" s="13">
        <v>0</v>
      </c>
      <c r="AC783" s="15">
        <v>16.399999999999999</v>
      </c>
      <c r="AD783" s="15">
        <f>AC783*AG783</f>
        <v>131.19999999999999</v>
      </c>
      <c r="AE783" s="15">
        <v>36</v>
      </c>
      <c r="AF783" s="15">
        <f>AE783*AG783</f>
        <v>288</v>
      </c>
      <c r="AG783" s="16">
        <v>8</v>
      </c>
    </row>
    <row r="784" spans="1:33" ht="15" customHeight="1" x14ac:dyDescent="0.2">
      <c r="A784" s="11" t="str">
        <f t="shared" si="114"/>
        <v>VN00046QE2W1</v>
      </c>
      <c r="B784" s="12" t="s">
        <v>3362</v>
      </c>
      <c r="C784" s="12" t="s">
        <v>1475</v>
      </c>
      <c r="D784" s="12" t="s">
        <v>1476</v>
      </c>
      <c r="E784" s="12" t="s">
        <v>3363</v>
      </c>
      <c r="F784" s="12" t="s">
        <v>170</v>
      </c>
      <c r="G784" s="14"/>
      <c r="H784" s="12" t="s">
        <v>61</v>
      </c>
      <c r="I784" s="12" t="s">
        <v>289</v>
      </c>
      <c r="J784" s="12" t="s">
        <v>900</v>
      </c>
      <c r="K784" s="12" t="s">
        <v>100</v>
      </c>
      <c r="L784" s="12" t="s">
        <v>83</v>
      </c>
      <c r="M784" s="12" t="s">
        <v>43</v>
      </c>
      <c r="N784" s="12" t="s">
        <v>44</v>
      </c>
      <c r="O784" s="12" t="s">
        <v>3364</v>
      </c>
      <c r="P784" s="12" t="s">
        <v>66</v>
      </c>
      <c r="Q784" s="12" t="s">
        <v>233</v>
      </c>
      <c r="R784" s="12" t="s">
        <v>902</v>
      </c>
      <c r="S784" s="13">
        <v>197803398677</v>
      </c>
      <c r="T784" s="12" t="s">
        <v>69</v>
      </c>
      <c r="U784" s="12" t="s">
        <v>170</v>
      </c>
      <c r="V784" s="12" t="s">
        <v>423</v>
      </c>
      <c r="W784" s="12" t="s">
        <v>284</v>
      </c>
      <c r="X784" s="13">
        <v>0</v>
      </c>
      <c r="Y784" s="12" t="s">
        <v>53</v>
      </c>
      <c r="Z784" s="12" t="s">
        <v>108</v>
      </c>
      <c r="AA784" s="13">
        <v>0</v>
      </c>
      <c r="AB784" s="12" t="s">
        <v>616</v>
      </c>
      <c r="AC784" s="15">
        <v>22.75</v>
      </c>
      <c r="AD784" s="15">
        <f>AC784*AG784</f>
        <v>182</v>
      </c>
      <c r="AE784" s="15">
        <v>50</v>
      </c>
      <c r="AF784" s="15">
        <f>AE784*AG784</f>
        <v>400</v>
      </c>
      <c r="AG784" s="16">
        <v>8</v>
      </c>
    </row>
    <row r="785" spans="1:33" ht="15" customHeight="1" x14ac:dyDescent="0.2">
      <c r="A785" s="11" t="str">
        <f t="shared" ref="A785:A2976" si="348">HYPERLINK("https://assets.vans.eu/images/VN000GFFWHT-HERO/1","VN000GFFWHT1")</f>
        <v>VN000GFFWHT1</v>
      </c>
      <c r="B785" s="12" t="s">
        <v>3365</v>
      </c>
      <c r="C785" s="12" t="s">
        <v>3366</v>
      </c>
      <c r="D785" s="12" t="s">
        <v>168</v>
      </c>
      <c r="E785" s="12" t="s">
        <v>3367</v>
      </c>
      <c r="F785" s="12" t="s">
        <v>403</v>
      </c>
      <c r="G785" s="14"/>
      <c r="H785" s="12" t="s">
        <v>61</v>
      </c>
      <c r="I785" s="12" t="s">
        <v>289</v>
      </c>
      <c r="J785" s="12" t="s">
        <v>706</v>
      </c>
      <c r="K785" s="12" t="s">
        <v>100</v>
      </c>
      <c r="L785" s="12" t="s">
        <v>83</v>
      </c>
      <c r="M785" s="12" t="s">
        <v>43</v>
      </c>
      <c r="N785" s="12" t="s">
        <v>44</v>
      </c>
      <c r="O785" s="12" t="s">
        <v>3368</v>
      </c>
      <c r="P785" s="12" t="s">
        <v>66</v>
      </c>
      <c r="Q785" s="12" t="s">
        <v>67</v>
      </c>
      <c r="R785" s="12" t="s">
        <v>1146</v>
      </c>
      <c r="S785" s="13">
        <v>197063517221</v>
      </c>
      <c r="T785" s="12" t="s">
        <v>422</v>
      </c>
      <c r="U785" s="12" t="s">
        <v>403</v>
      </c>
      <c r="V785" s="12" t="s">
        <v>70</v>
      </c>
      <c r="W785" s="12" t="s">
        <v>175</v>
      </c>
      <c r="X785" s="13">
        <v>0</v>
      </c>
      <c r="Y785" s="12" t="s">
        <v>91</v>
      </c>
      <c r="Z785" s="12" t="s">
        <v>108</v>
      </c>
      <c r="AA785" s="13">
        <v>0</v>
      </c>
      <c r="AB785" s="13">
        <v>0</v>
      </c>
      <c r="AC785" s="15">
        <v>12.75</v>
      </c>
      <c r="AD785" s="15">
        <f>AC785*AG785</f>
        <v>102</v>
      </c>
      <c r="AE785" s="15">
        <v>28</v>
      </c>
      <c r="AF785" s="15">
        <f>AE785*AG785</f>
        <v>224</v>
      </c>
      <c r="AG785" s="16">
        <v>8</v>
      </c>
    </row>
    <row r="786" spans="1:33" ht="15" customHeight="1" x14ac:dyDescent="0.2">
      <c r="A786" s="11" t="str">
        <f t="shared" ref="A786:A1119" si="349">HYPERLINK("https://assets.vans.eu/images/VN000GGGY28-HERO/1","VN000GGGY281")</f>
        <v>VN000GGGY281</v>
      </c>
      <c r="B786" s="12" t="s">
        <v>3369</v>
      </c>
      <c r="C786" s="12" t="s">
        <v>3095</v>
      </c>
      <c r="D786" s="12" t="s">
        <v>58</v>
      </c>
      <c r="E786" s="12" t="s">
        <v>3370</v>
      </c>
      <c r="F786" s="12" t="s">
        <v>403</v>
      </c>
      <c r="G786" s="14"/>
      <c r="H786" s="12" t="s">
        <v>61</v>
      </c>
      <c r="I786" s="12" t="s">
        <v>230</v>
      </c>
      <c r="J786" s="12" t="s">
        <v>419</v>
      </c>
      <c r="K786" s="12" t="s">
        <v>199</v>
      </c>
      <c r="L786" s="14"/>
      <c r="M786" s="12" t="s">
        <v>43</v>
      </c>
      <c r="N786" s="12" t="s">
        <v>44</v>
      </c>
      <c r="O786" s="12" t="s">
        <v>3371</v>
      </c>
      <c r="P786" s="12" t="s">
        <v>66</v>
      </c>
      <c r="Q786" s="12" t="s">
        <v>67</v>
      </c>
      <c r="R786" s="12" t="s">
        <v>421</v>
      </c>
      <c r="S786" s="13">
        <v>732075992750</v>
      </c>
      <c r="T786" s="12" t="s">
        <v>422</v>
      </c>
      <c r="U786" s="12" t="s">
        <v>403</v>
      </c>
      <c r="V786" s="12" t="s">
        <v>70</v>
      </c>
      <c r="W786" s="12" t="s">
        <v>51</v>
      </c>
      <c r="X786" s="13">
        <v>0</v>
      </c>
      <c r="Y786" s="12" t="s">
        <v>91</v>
      </c>
      <c r="Z786" s="12" t="s">
        <v>108</v>
      </c>
      <c r="AA786" s="13">
        <v>0</v>
      </c>
      <c r="AB786" s="13">
        <v>0</v>
      </c>
      <c r="AC786" s="15">
        <v>14.55</v>
      </c>
      <c r="AD786" s="15">
        <f>AC786*AG786</f>
        <v>116.4</v>
      </c>
      <c r="AE786" s="15">
        <v>32</v>
      </c>
      <c r="AF786" s="15">
        <f>AE786*AG786</f>
        <v>256</v>
      </c>
      <c r="AG786" s="16">
        <v>8</v>
      </c>
    </row>
    <row r="787" spans="1:33" ht="15" customHeight="1" x14ac:dyDescent="0.2">
      <c r="A787" s="11" t="str">
        <f t="shared" si="284"/>
        <v>VN000H2AEN61</v>
      </c>
      <c r="B787" s="12" t="s">
        <v>3372</v>
      </c>
      <c r="C787" s="12" t="s">
        <v>2871</v>
      </c>
      <c r="D787" s="12" t="s">
        <v>189</v>
      </c>
      <c r="E787" s="12" t="s">
        <v>3373</v>
      </c>
      <c r="F787" s="12" t="s">
        <v>138</v>
      </c>
      <c r="G787" s="14"/>
      <c r="H787" s="12" t="s">
        <v>61</v>
      </c>
      <c r="I787" s="12" t="s">
        <v>289</v>
      </c>
      <c r="J787" s="12" t="s">
        <v>706</v>
      </c>
      <c r="K787" s="12" t="s">
        <v>100</v>
      </c>
      <c r="L787" s="12" t="s">
        <v>115</v>
      </c>
      <c r="M787" s="12" t="s">
        <v>43</v>
      </c>
      <c r="N787" s="12" t="s">
        <v>84</v>
      </c>
      <c r="O787" s="12" t="s">
        <v>3374</v>
      </c>
      <c r="P787" s="12" t="s">
        <v>66</v>
      </c>
      <c r="Q787" s="12" t="s">
        <v>67</v>
      </c>
      <c r="R787" s="12" t="s">
        <v>708</v>
      </c>
      <c r="S787" s="13">
        <v>198266982779</v>
      </c>
      <c r="T787" s="12" t="s">
        <v>69</v>
      </c>
      <c r="U787" s="12" t="s">
        <v>138</v>
      </c>
      <c r="V787" s="12" t="s">
        <v>1378</v>
      </c>
      <c r="W787" s="12" t="s">
        <v>118</v>
      </c>
      <c r="X787" s="14"/>
      <c r="Y787" s="14"/>
      <c r="Z787" s="14"/>
      <c r="AA787" s="14"/>
      <c r="AB787" s="14"/>
      <c r="AC787" s="15">
        <v>34.1</v>
      </c>
      <c r="AD787" s="15">
        <f>AC787*AG787</f>
        <v>272.8</v>
      </c>
      <c r="AE787" s="15">
        <v>75</v>
      </c>
      <c r="AF787" s="15">
        <f>AE787*AG787</f>
        <v>600</v>
      </c>
      <c r="AG787" s="16">
        <v>8</v>
      </c>
    </row>
    <row r="788" spans="1:33" ht="15" customHeight="1" x14ac:dyDescent="0.2">
      <c r="A788" s="11" t="str">
        <f t="shared" si="237"/>
        <v>VN000HZBYEH1</v>
      </c>
      <c r="B788" s="12" t="s">
        <v>3375</v>
      </c>
      <c r="C788" s="12" t="s">
        <v>357</v>
      </c>
      <c r="D788" s="12" t="s">
        <v>358</v>
      </c>
      <c r="E788" s="12" t="s">
        <v>3376</v>
      </c>
      <c r="F788" s="13">
        <v>26</v>
      </c>
      <c r="G788" s="14"/>
      <c r="H788" s="12" t="s">
        <v>61</v>
      </c>
      <c r="I788" s="12" t="s">
        <v>230</v>
      </c>
      <c r="J788" s="12" t="s">
        <v>231</v>
      </c>
      <c r="K788" s="12" t="s">
        <v>199</v>
      </c>
      <c r="L788" s="14"/>
      <c r="M788" s="12" t="s">
        <v>43</v>
      </c>
      <c r="N788" s="12" t="s">
        <v>84</v>
      </c>
      <c r="O788" s="12" t="s">
        <v>3377</v>
      </c>
      <c r="P788" s="12" t="s">
        <v>66</v>
      </c>
      <c r="Q788" s="12" t="s">
        <v>233</v>
      </c>
      <c r="R788" s="12" t="s">
        <v>361</v>
      </c>
      <c r="S788" s="13">
        <v>197065838454</v>
      </c>
      <c r="T788" s="12" t="s">
        <v>235</v>
      </c>
      <c r="U788" s="13">
        <v>26</v>
      </c>
      <c r="V788" s="12" t="s">
        <v>362</v>
      </c>
      <c r="W788" s="12" t="s">
        <v>186</v>
      </c>
      <c r="X788" s="13">
        <v>0</v>
      </c>
      <c r="Y788" s="12" t="s">
        <v>91</v>
      </c>
      <c r="Z788" s="12" t="s">
        <v>108</v>
      </c>
      <c r="AA788" s="13">
        <v>0</v>
      </c>
      <c r="AB788" s="13">
        <v>0</v>
      </c>
      <c r="AC788" s="15">
        <v>34.1</v>
      </c>
      <c r="AD788" s="15">
        <f>AC788*AG788</f>
        <v>272.8</v>
      </c>
      <c r="AE788" s="15">
        <v>75</v>
      </c>
      <c r="AF788" s="15">
        <f>AE788*AG788</f>
        <v>600</v>
      </c>
      <c r="AG788" s="16">
        <v>8</v>
      </c>
    </row>
    <row r="789" spans="1:33" ht="15" customHeight="1" x14ac:dyDescent="0.2">
      <c r="A789" s="11" t="str">
        <f>HYPERLINK("https://assets.vans.eu/images/VN000JBMENA-HERO/1","VN000JBMENA1")</f>
        <v>VN000JBMENA1</v>
      </c>
      <c r="B789" s="12" t="s">
        <v>3378</v>
      </c>
      <c r="C789" s="12" t="s">
        <v>3379</v>
      </c>
      <c r="D789" s="12" t="s">
        <v>280</v>
      </c>
      <c r="E789" s="12" t="s">
        <v>3380</v>
      </c>
      <c r="F789" s="12" t="s">
        <v>179</v>
      </c>
      <c r="G789" s="14"/>
      <c r="H789" s="12" t="s">
        <v>61</v>
      </c>
      <c r="I789" s="12" t="s">
        <v>62</v>
      </c>
      <c r="J789" s="12" t="s">
        <v>63</v>
      </c>
      <c r="K789" s="12" t="s">
        <v>64</v>
      </c>
      <c r="L789" s="12" t="s">
        <v>83</v>
      </c>
      <c r="M789" s="12" t="s">
        <v>43</v>
      </c>
      <c r="N789" s="12" t="s">
        <v>84</v>
      </c>
      <c r="O789" s="12" t="s">
        <v>3381</v>
      </c>
      <c r="P789" s="12" t="s">
        <v>66</v>
      </c>
      <c r="Q789" s="12" t="s">
        <v>67</v>
      </c>
      <c r="R789" s="12" t="s">
        <v>730</v>
      </c>
      <c r="S789" s="13">
        <v>197805926380</v>
      </c>
      <c r="T789" s="12" t="s">
        <v>499</v>
      </c>
      <c r="U789" s="12" t="s">
        <v>179</v>
      </c>
      <c r="V789" s="12" t="s">
        <v>1378</v>
      </c>
      <c r="W789" s="12" t="s">
        <v>284</v>
      </c>
      <c r="X789" s="14"/>
      <c r="Y789" s="14"/>
      <c r="Z789" s="14"/>
      <c r="AA789" s="14"/>
      <c r="AB789" s="14"/>
      <c r="AC789" s="15">
        <v>27.3</v>
      </c>
      <c r="AD789" s="15">
        <f>AC789*AG789</f>
        <v>218.4</v>
      </c>
      <c r="AE789" s="15">
        <v>60</v>
      </c>
      <c r="AF789" s="15">
        <f>AE789*AG789</f>
        <v>480</v>
      </c>
      <c r="AG789" s="16">
        <v>8</v>
      </c>
    </row>
    <row r="790" spans="1:33" ht="15" customHeight="1" x14ac:dyDescent="0.2">
      <c r="A790" s="11" t="str">
        <f t="shared" si="200"/>
        <v>VN000KXMY7U1</v>
      </c>
      <c r="B790" s="12" t="s">
        <v>3382</v>
      </c>
      <c r="C790" s="12" t="s">
        <v>739</v>
      </c>
      <c r="D790" s="12" t="s">
        <v>740</v>
      </c>
      <c r="E790" s="12" t="s">
        <v>3383</v>
      </c>
      <c r="F790" s="13">
        <v>32</v>
      </c>
      <c r="G790" s="14"/>
      <c r="H790" s="12" t="s">
        <v>61</v>
      </c>
      <c r="I790" s="12" t="s">
        <v>230</v>
      </c>
      <c r="J790" s="12" t="s">
        <v>231</v>
      </c>
      <c r="K790" s="12" t="s">
        <v>199</v>
      </c>
      <c r="L790" s="14"/>
      <c r="M790" s="12" t="s">
        <v>43</v>
      </c>
      <c r="N790" s="12" t="s">
        <v>84</v>
      </c>
      <c r="O790" s="12" t="s">
        <v>3384</v>
      </c>
      <c r="P790" s="12" t="s">
        <v>66</v>
      </c>
      <c r="Q790" s="12" t="s">
        <v>233</v>
      </c>
      <c r="R790" s="12" t="s">
        <v>361</v>
      </c>
      <c r="S790" s="13">
        <v>197643404514</v>
      </c>
      <c r="T790" s="12" t="s">
        <v>235</v>
      </c>
      <c r="U790" s="13">
        <v>32</v>
      </c>
      <c r="V790" s="12" t="s">
        <v>665</v>
      </c>
      <c r="W790" s="12" t="s">
        <v>455</v>
      </c>
      <c r="X790" s="13">
        <v>0</v>
      </c>
      <c r="Y790" s="12" t="s">
        <v>91</v>
      </c>
      <c r="Z790" s="12" t="s">
        <v>108</v>
      </c>
      <c r="AA790" s="13">
        <v>0</v>
      </c>
      <c r="AB790" s="13">
        <v>0</v>
      </c>
      <c r="AC790" s="15">
        <v>34.1</v>
      </c>
      <c r="AD790" s="15">
        <f>AC790*AG790</f>
        <v>272.8</v>
      </c>
      <c r="AE790" s="15">
        <v>75</v>
      </c>
      <c r="AF790" s="15">
        <f>AE790*AG790</f>
        <v>600</v>
      </c>
      <c r="AG790" s="16">
        <v>8</v>
      </c>
    </row>
    <row r="791" spans="1:33" ht="15" customHeight="1" x14ac:dyDescent="0.2">
      <c r="A791" s="11" t="str">
        <f>HYPERLINK("https://assets.vans.eu/images/VN000M26CDX-HERO/1","VN000M26CDX1")</f>
        <v>VN000M26CDX1</v>
      </c>
      <c r="B791" s="12" t="s">
        <v>3385</v>
      </c>
      <c r="C791" s="12" t="s">
        <v>3386</v>
      </c>
      <c r="D791" s="12" t="s">
        <v>760</v>
      </c>
      <c r="E791" s="12" t="s">
        <v>3387</v>
      </c>
      <c r="F791" s="13">
        <v>34</v>
      </c>
      <c r="G791" s="14"/>
      <c r="H791" s="12" t="s">
        <v>61</v>
      </c>
      <c r="I791" s="12" t="s">
        <v>230</v>
      </c>
      <c r="J791" s="12" t="s">
        <v>231</v>
      </c>
      <c r="K791" s="12" t="s">
        <v>199</v>
      </c>
      <c r="L791" s="14"/>
      <c r="M791" s="12" t="s">
        <v>43</v>
      </c>
      <c r="N791" s="12" t="s">
        <v>44</v>
      </c>
      <c r="O791" s="12" t="s">
        <v>3388</v>
      </c>
      <c r="P791" s="12" t="s">
        <v>66</v>
      </c>
      <c r="Q791" s="12" t="s">
        <v>233</v>
      </c>
      <c r="R791" s="12" t="s">
        <v>361</v>
      </c>
      <c r="S791" s="13">
        <v>197643409311</v>
      </c>
      <c r="T791" s="12" t="s">
        <v>235</v>
      </c>
      <c r="U791" s="13">
        <v>34</v>
      </c>
      <c r="V791" s="12" t="s">
        <v>665</v>
      </c>
      <c r="W791" s="12" t="s">
        <v>284</v>
      </c>
      <c r="X791" s="13">
        <v>0</v>
      </c>
      <c r="Y791" s="12" t="s">
        <v>53</v>
      </c>
      <c r="Z791" s="12" t="s">
        <v>108</v>
      </c>
      <c r="AA791" s="13">
        <v>0</v>
      </c>
      <c r="AB791" s="13">
        <v>0</v>
      </c>
      <c r="AC791" s="15">
        <v>36.4</v>
      </c>
      <c r="AD791" s="15">
        <f>AC791*AG791</f>
        <v>291.2</v>
      </c>
      <c r="AE791" s="15">
        <v>80</v>
      </c>
      <c r="AF791" s="15">
        <f>AE791*AG791</f>
        <v>640</v>
      </c>
      <c r="AG791" s="16">
        <v>8</v>
      </c>
    </row>
    <row r="792" spans="1:33" ht="15" customHeight="1" x14ac:dyDescent="0.2">
      <c r="A792" s="11" t="str">
        <f>HYPERLINK("https://assets.vans.eu/images/VN000M371O7-HERO/1","VN000M371O71")</f>
        <v>VN000M371O71</v>
      </c>
      <c r="B792" s="12" t="s">
        <v>3389</v>
      </c>
      <c r="C792" s="12" t="s">
        <v>3390</v>
      </c>
      <c r="D792" s="12" t="s">
        <v>637</v>
      </c>
      <c r="E792" s="12" t="s">
        <v>3391</v>
      </c>
      <c r="F792" s="13">
        <v>31</v>
      </c>
      <c r="G792" s="14"/>
      <c r="H792" s="12" t="s">
        <v>61</v>
      </c>
      <c r="I792" s="12" t="s">
        <v>230</v>
      </c>
      <c r="J792" s="12" t="s">
        <v>231</v>
      </c>
      <c r="K792" s="12" t="s">
        <v>199</v>
      </c>
      <c r="L792" s="14"/>
      <c r="M792" s="12" t="s">
        <v>43</v>
      </c>
      <c r="N792" s="12" t="s">
        <v>44</v>
      </c>
      <c r="O792" s="12" t="s">
        <v>3392</v>
      </c>
      <c r="P792" s="12" t="s">
        <v>66</v>
      </c>
      <c r="Q792" s="12" t="s">
        <v>233</v>
      </c>
      <c r="R792" s="12" t="s">
        <v>234</v>
      </c>
      <c r="S792" s="13">
        <v>197643411697</v>
      </c>
      <c r="T792" s="12" t="s">
        <v>235</v>
      </c>
      <c r="U792" s="13">
        <v>31</v>
      </c>
      <c r="V792" s="12" t="s">
        <v>665</v>
      </c>
      <c r="W792" s="12" t="s">
        <v>455</v>
      </c>
      <c r="X792" s="13">
        <v>0</v>
      </c>
      <c r="Y792" s="12" t="s">
        <v>53</v>
      </c>
      <c r="Z792" s="12" t="s">
        <v>108</v>
      </c>
      <c r="AA792" s="13">
        <v>0</v>
      </c>
      <c r="AB792" s="13">
        <v>0</v>
      </c>
      <c r="AC792" s="15">
        <v>31.85</v>
      </c>
      <c r="AD792" s="15">
        <f>AC792*AG792</f>
        <v>254.8</v>
      </c>
      <c r="AE792" s="15">
        <v>70</v>
      </c>
      <c r="AF792" s="15">
        <f>AE792*AG792</f>
        <v>560</v>
      </c>
      <c r="AG792" s="16">
        <v>8</v>
      </c>
    </row>
    <row r="793" spans="1:33" ht="15" customHeight="1" x14ac:dyDescent="0.2">
      <c r="A793" s="11" t="str">
        <f>HYPERLINK("https://assets.vans.eu/images/VN000M9RWHT-HERO/1","VN000M9RWHT1")</f>
        <v>VN000M9RWHT1</v>
      </c>
      <c r="B793" s="12" t="s">
        <v>3393</v>
      </c>
      <c r="C793" s="12" t="s">
        <v>3394</v>
      </c>
      <c r="D793" s="12" t="s">
        <v>168</v>
      </c>
      <c r="E793" s="12" t="s">
        <v>3395</v>
      </c>
      <c r="F793" s="12" t="s">
        <v>138</v>
      </c>
      <c r="G793" s="14"/>
      <c r="H793" s="12" t="s">
        <v>61</v>
      </c>
      <c r="I793" s="12" t="s">
        <v>289</v>
      </c>
      <c r="J793" s="12" t="s">
        <v>290</v>
      </c>
      <c r="K793" s="12" t="s">
        <v>100</v>
      </c>
      <c r="L793" s="14"/>
      <c r="M793" s="12" t="s">
        <v>43</v>
      </c>
      <c r="N793" s="12" t="s">
        <v>44</v>
      </c>
      <c r="O793" s="12" t="s">
        <v>3396</v>
      </c>
      <c r="P793" s="12" t="s">
        <v>66</v>
      </c>
      <c r="Q793" s="12" t="s">
        <v>233</v>
      </c>
      <c r="R793" s="12" t="s">
        <v>2073</v>
      </c>
      <c r="S793" s="13">
        <v>197643364276</v>
      </c>
      <c r="T793" s="12" t="s">
        <v>235</v>
      </c>
      <c r="U793" s="12" t="s">
        <v>138</v>
      </c>
      <c r="V793" s="12" t="s">
        <v>3397</v>
      </c>
      <c r="W793" s="12" t="s">
        <v>175</v>
      </c>
      <c r="X793" s="13">
        <v>0</v>
      </c>
      <c r="Y793" s="12" t="s">
        <v>91</v>
      </c>
      <c r="Z793" s="12" t="s">
        <v>108</v>
      </c>
      <c r="AA793" s="13">
        <v>0</v>
      </c>
      <c r="AB793" s="13">
        <v>0</v>
      </c>
      <c r="AC793" s="15">
        <v>32.75</v>
      </c>
      <c r="AD793" s="15">
        <f>AC793*AG793</f>
        <v>262</v>
      </c>
      <c r="AE793" s="15">
        <v>72</v>
      </c>
      <c r="AF793" s="15">
        <f>AE793*AG793</f>
        <v>576</v>
      </c>
      <c r="AG793" s="16">
        <v>8</v>
      </c>
    </row>
    <row r="794" spans="1:33" ht="15" customHeight="1" x14ac:dyDescent="0.2">
      <c r="A794" s="11" t="str">
        <f t="shared" ref="A794:A3202" si="350">HYPERLINK("https://assets.vans.eu/images/VN000MEPJDU-HERO/1","VN000MEPJDU1")</f>
        <v>VN000MEPJDU1</v>
      </c>
      <c r="B794" s="12" t="s">
        <v>3398</v>
      </c>
      <c r="C794" s="12" t="s">
        <v>1020</v>
      </c>
      <c r="D794" s="12" t="s">
        <v>814</v>
      </c>
      <c r="E794" s="12" t="s">
        <v>3399</v>
      </c>
      <c r="F794" s="13">
        <v>16</v>
      </c>
      <c r="G794" s="14"/>
      <c r="H794" s="12" t="s">
        <v>61</v>
      </c>
      <c r="I794" s="12" t="s">
        <v>62</v>
      </c>
      <c r="J794" s="12" t="s">
        <v>972</v>
      </c>
      <c r="K794" s="12" t="s">
        <v>1022</v>
      </c>
      <c r="L794" s="14"/>
      <c r="M794" s="12" t="s">
        <v>43</v>
      </c>
      <c r="N794" s="12" t="s">
        <v>44</v>
      </c>
      <c r="O794" s="12" t="s">
        <v>3400</v>
      </c>
      <c r="P794" s="12" t="s">
        <v>66</v>
      </c>
      <c r="Q794" s="12" t="s">
        <v>233</v>
      </c>
      <c r="R794" s="12" t="s">
        <v>1024</v>
      </c>
      <c r="S794" s="13">
        <v>197643372431</v>
      </c>
      <c r="T794" s="12" t="s">
        <v>235</v>
      </c>
      <c r="U794" s="12" t="s">
        <v>517</v>
      </c>
      <c r="V794" s="12" t="s">
        <v>665</v>
      </c>
      <c r="W794" s="12" t="s">
        <v>284</v>
      </c>
      <c r="X794" s="13">
        <v>0</v>
      </c>
      <c r="Y794" s="12" t="s">
        <v>91</v>
      </c>
      <c r="Z794" s="12" t="s">
        <v>108</v>
      </c>
      <c r="AA794" s="13">
        <v>0</v>
      </c>
      <c r="AB794" s="13">
        <v>0</v>
      </c>
      <c r="AC794" s="15">
        <v>20.5</v>
      </c>
      <c r="AD794" s="15">
        <f>AC794*AG794</f>
        <v>164</v>
      </c>
      <c r="AE794" s="15">
        <v>45</v>
      </c>
      <c r="AF794" s="15">
        <f>AE794*AG794</f>
        <v>360</v>
      </c>
      <c r="AG794" s="16">
        <v>8</v>
      </c>
    </row>
    <row r="795" spans="1:33" ht="15" customHeight="1" x14ac:dyDescent="0.2">
      <c r="A795" s="11" t="str">
        <f t="shared" si="288"/>
        <v>VN000MJJCDX1</v>
      </c>
      <c r="B795" s="12" t="s">
        <v>3401</v>
      </c>
      <c r="C795" s="12" t="s">
        <v>970</v>
      </c>
      <c r="D795" s="12" t="s">
        <v>760</v>
      </c>
      <c r="E795" s="12" t="s">
        <v>3402</v>
      </c>
      <c r="F795" s="13">
        <v>25</v>
      </c>
      <c r="G795" s="14"/>
      <c r="H795" s="12" t="s">
        <v>61</v>
      </c>
      <c r="I795" s="12" t="s">
        <v>62</v>
      </c>
      <c r="J795" s="12" t="s">
        <v>972</v>
      </c>
      <c r="K795" s="12" t="s">
        <v>64</v>
      </c>
      <c r="L795" s="14"/>
      <c r="M795" s="12" t="s">
        <v>43</v>
      </c>
      <c r="N795" s="12" t="s">
        <v>44</v>
      </c>
      <c r="O795" s="12" t="s">
        <v>3403</v>
      </c>
      <c r="P795" s="12" t="s">
        <v>66</v>
      </c>
      <c r="Q795" s="12" t="s">
        <v>233</v>
      </c>
      <c r="R795" s="12" t="s">
        <v>974</v>
      </c>
      <c r="S795" s="13">
        <v>197643374589</v>
      </c>
      <c r="T795" s="12" t="s">
        <v>235</v>
      </c>
      <c r="U795" s="13">
        <v>25</v>
      </c>
      <c r="V795" s="12" t="s">
        <v>665</v>
      </c>
      <c r="W795" s="12" t="s">
        <v>284</v>
      </c>
      <c r="X795" s="13">
        <v>0</v>
      </c>
      <c r="Y795" s="12" t="s">
        <v>53</v>
      </c>
      <c r="Z795" s="12" t="s">
        <v>108</v>
      </c>
      <c r="AA795" s="13">
        <v>0</v>
      </c>
      <c r="AB795" s="13">
        <v>0</v>
      </c>
      <c r="AC795" s="15">
        <v>31.85</v>
      </c>
      <c r="AD795" s="15">
        <f>AC795*AG795</f>
        <v>254.8</v>
      </c>
      <c r="AE795" s="15">
        <v>70</v>
      </c>
      <c r="AF795" s="15">
        <f>AE795*AG795</f>
        <v>560</v>
      </c>
      <c r="AG795" s="16">
        <v>8</v>
      </c>
    </row>
    <row r="796" spans="1:33" ht="15" customHeight="1" x14ac:dyDescent="0.2">
      <c r="A796" s="11" t="str">
        <f>HYPERLINK("https://assets.vans.eu/images/VN000MK6WHT-HERO/1","VN000MK6WHT1")</f>
        <v>VN000MK6WHT1</v>
      </c>
      <c r="B796" s="12" t="s">
        <v>3404</v>
      </c>
      <c r="C796" s="12" t="s">
        <v>3405</v>
      </c>
      <c r="D796" s="12" t="s">
        <v>168</v>
      </c>
      <c r="E796" s="12" t="s">
        <v>3406</v>
      </c>
      <c r="F796" s="12" t="s">
        <v>60</v>
      </c>
      <c r="G796" s="14"/>
      <c r="H796" s="12" t="s">
        <v>61</v>
      </c>
      <c r="I796" s="12" t="s">
        <v>62</v>
      </c>
      <c r="J796" s="12" t="s">
        <v>63</v>
      </c>
      <c r="K796" s="12" t="s">
        <v>64</v>
      </c>
      <c r="L796" s="14"/>
      <c r="M796" s="12" t="s">
        <v>43</v>
      </c>
      <c r="N796" s="12" t="s">
        <v>44</v>
      </c>
      <c r="O796" s="12" t="s">
        <v>3407</v>
      </c>
      <c r="P796" s="12" t="s">
        <v>66</v>
      </c>
      <c r="Q796" s="12" t="s">
        <v>67</v>
      </c>
      <c r="R796" s="12" t="s">
        <v>68</v>
      </c>
      <c r="S796" s="13">
        <v>197643375197</v>
      </c>
      <c r="T796" s="12" t="s">
        <v>422</v>
      </c>
      <c r="U796" s="12" t="s">
        <v>60</v>
      </c>
      <c r="V796" s="12" t="s">
        <v>70</v>
      </c>
      <c r="W796" s="12" t="s">
        <v>175</v>
      </c>
      <c r="X796" s="13">
        <v>0</v>
      </c>
      <c r="Y796" s="12" t="s">
        <v>91</v>
      </c>
      <c r="Z796" s="12" t="s">
        <v>108</v>
      </c>
      <c r="AA796" s="13">
        <v>0</v>
      </c>
      <c r="AB796" s="13">
        <v>0</v>
      </c>
      <c r="AC796" s="15">
        <v>13.65</v>
      </c>
      <c r="AD796" s="15">
        <f>AC796*AG796</f>
        <v>109.2</v>
      </c>
      <c r="AE796" s="15">
        <v>30</v>
      </c>
      <c r="AF796" s="15">
        <f>AE796*AG796</f>
        <v>240</v>
      </c>
      <c r="AG796" s="16">
        <v>8</v>
      </c>
    </row>
    <row r="797" spans="1:33" ht="15" customHeight="1" x14ac:dyDescent="0.2">
      <c r="A797" s="11" t="str">
        <f t="shared" si="240"/>
        <v>VN000MMTBLK1</v>
      </c>
      <c r="B797" s="12" t="s">
        <v>3408</v>
      </c>
      <c r="C797" s="12" t="s">
        <v>2515</v>
      </c>
      <c r="D797" s="12" t="s">
        <v>76</v>
      </c>
      <c r="E797" s="12" t="s">
        <v>3409</v>
      </c>
      <c r="F797" s="13">
        <v>5</v>
      </c>
      <c r="G797" s="14"/>
      <c r="H797" s="12" t="s">
        <v>61</v>
      </c>
      <c r="I797" s="12" t="s">
        <v>1340</v>
      </c>
      <c r="J797" s="12" t="s">
        <v>1341</v>
      </c>
      <c r="K797" s="12" t="s">
        <v>64</v>
      </c>
      <c r="L797" s="14"/>
      <c r="M797" s="12" t="s">
        <v>43</v>
      </c>
      <c r="N797" s="12" t="s">
        <v>44</v>
      </c>
      <c r="O797" s="12" t="s">
        <v>3410</v>
      </c>
      <c r="P797" s="12" t="s">
        <v>66</v>
      </c>
      <c r="Q797" s="12" t="s">
        <v>67</v>
      </c>
      <c r="R797" s="12" t="s">
        <v>68</v>
      </c>
      <c r="S797" s="13">
        <v>197643376934</v>
      </c>
      <c r="T797" s="12" t="s">
        <v>422</v>
      </c>
      <c r="U797" s="13">
        <v>5</v>
      </c>
      <c r="V797" s="12" t="s">
        <v>70</v>
      </c>
      <c r="W797" s="12" t="s">
        <v>51</v>
      </c>
      <c r="X797" s="13">
        <v>0</v>
      </c>
      <c r="Y797" s="12" t="s">
        <v>91</v>
      </c>
      <c r="Z797" s="12" t="s">
        <v>108</v>
      </c>
      <c r="AA797" s="13">
        <v>0</v>
      </c>
      <c r="AB797" s="13">
        <v>0</v>
      </c>
      <c r="AC797" s="15">
        <v>10.95</v>
      </c>
      <c r="AD797" s="15">
        <f>AC797*AG797</f>
        <v>87.6</v>
      </c>
      <c r="AE797" s="15">
        <v>24</v>
      </c>
      <c r="AF797" s="15">
        <f>AE797*AG797</f>
        <v>192</v>
      </c>
      <c r="AG797" s="16">
        <v>8</v>
      </c>
    </row>
    <row r="798" spans="1:33" ht="15" customHeight="1" x14ac:dyDescent="0.2">
      <c r="A798" s="11" t="str">
        <f t="shared" ref="A798:A1351" si="351">HYPERLINK("https://assets.vans.eu/images/VN000NWQWHT-HERO/1","VN000NWQWHT1")</f>
        <v>VN000NWQWHT1</v>
      </c>
      <c r="B798" s="12" t="s">
        <v>3411</v>
      </c>
      <c r="C798" s="12" t="s">
        <v>3412</v>
      </c>
      <c r="D798" s="12" t="s">
        <v>168</v>
      </c>
      <c r="E798" s="12" t="s">
        <v>3413</v>
      </c>
      <c r="F798" s="12" t="s">
        <v>179</v>
      </c>
      <c r="G798" s="14"/>
      <c r="H798" s="12" t="s">
        <v>61</v>
      </c>
      <c r="I798" s="12" t="s">
        <v>62</v>
      </c>
      <c r="J798" s="12" t="s">
        <v>63</v>
      </c>
      <c r="K798" s="12" t="s">
        <v>64</v>
      </c>
      <c r="L798" s="12" t="s">
        <v>83</v>
      </c>
      <c r="M798" s="12" t="s">
        <v>43</v>
      </c>
      <c r="N798" s="12" t="s">
        <v>44</v>
      </c>
      <c r="O798" s="12" t="s">
        <v>3414</v>
      </c>
      <c r="P798" s="12" t="s">
        <v>66</v>
      </c>
      <c r="Q798" s="12" t="s">
        <v>67</v>
      </c>
      <c r="R798" s="12" t="s">
        <v>68</v>
      </c>
      <c r="S798" s="13">
        <v>197803403968</v>
      </c>
      <c r="T798" s="12" t="s">
        <v>422</v>
      </c>
      <c r="U798" s="12" t="s">
        <v>179</v>
      </c>
      <c r="V798" s="12" t="s">
        <v>70</v>
      </c>
      <c r="W798" s="12" t="s">
        <v>175</v>
      </c>
      <c r="X798" s="13">
        <v>0</v>
      </c>
      <c r="Y798" s="12" t="s">
        <v>91</v>
      </c>
      <c r="Z798" s="12" t="s">
        <v>108</v>
      </c>
      <c r="AA798" s="13">
        <v>0</v>
      </c>
      <c r="AB798" s="12" t="s">
        <v>616</v>
      </c>
      <c r="AC798" s="15">
        <v>14.55</v>
      </c>
      <c r="AD798" s="15">
        <f>AC798*AG798</f>
        <v>116.4</v>
      </c>
      <c r="AE798" s="15">
        <v>32</v>
      </c>
      <c r="AF798" s="15">
        <f>AE798*AG798</f>
        <v>256</v>
      </c>
      <c r="AG798" s="16">
        <v>8</v>
      </c>
    </row>
    <row r="799" spans="1:33" ht="15" customHeight="1" x14ac:dyDescent="0.2">
      <c r="A799" s="11" t="str">
        <f t="shared" si="320"/>
        <v>VN000P1PEML1</v>
      </c>
      <c r="B799" s="12" t="s">
        <v>3415</v>
      </c>
      <c r="C799" s="12" t="s">
        <v>2706</v>
      </c>
      <c r="D799" s="12" t="s">
        <v>3126</v>
      </c>
      <c r="E799" s="12" t="s">
        <v>3416</v>
      </c>
      <c r="F799" s="12" t="s">
        <v>179</v>
      </c>
      <c r="G799" s="14"/>
      <c r="H799" s="12" t="s">
        <v>61</v>
      </c>
      <c r="I799" s="12" t="s">
        <v>230</v>
      </c>
      <c r="J799" s="12" t="s">
        <v>419</v>
      </c>
      <c r="K799" s="12" t="s">
        <v>199</v>
      </c>
      <c r="L799" s="12" t="s">
        <v>83</v>
      </c>
      <c r="M799" s="12" t="s">
        <v>43</v>
      </c>
      <c r="N799" s="12" t="s">
        <v>84</v>
      </c>
      <c r="O799" s="12" t="s">
        <v>3417</v>
      </c>
      <c r="P799" s="12" t="s">
        <v>66</v>
      </c>
      <c r="Q799" s="12" t="s">
        <v>67</v>
      </c>
      <c r="R799" s="12" t="s">
        <v>421</v>
      </c>
      <c r="S799" s="13">
        <v>197804294206</v>
      </c>
      <c r="T799" s="12" t="s">
        <v>422</v>
      </c>
      <c r="U799" s="12" t="s">
        <v>179</v>
      </c>
      <c r="V799" s="12" t="s">
        <v>70</v>
      </c>
      <c r="W799" s="12" t="s">
        <v>284</v>
      </c>
      <c r="X799" s="14"/>
      <c r="Y799" s="14"/>
      <c r="Z799" s="14"/>
      <c r="AA799" s="14"/>
      <c r="AB799" s="14"/>
      <c r="AC799" s="15">
        <v>13.65</v>
      </c>
      <c r="AD799" s="15">
        <f>AC799*AG799</f>
        <v>109.2</v>
      </c>
      <c r="AE799" s="15">
        <v>30</v>
      </c>
      <c r="AF799" s="15">
        <f>AE799*AG799</f>
        <v>240</v>
      </c>
      <c r="AG799" s="16">
        <v>8</v>
      </c>
    </row>
    <row r="800" spans="1:33" ht="15" customHeight="1" x14ac:dyDescent="0.2">
      <c r="A800" s="11" t="str">
        <f t="shared" ref="A800:A890" si="352">HYPERLINK("https://assets.vans.eu/images/VN000P59E2Z-HERO/1","VN000P59E2Z1")</f>
        <v>VN000P59E2Z1</v>
      </c>
      <c r="B800" s="12" t="s">
        <v>3418</v>
      </c>
      <c r="C800" s="12" t="s">
        <v>3419</v>
      </c>
      <c r="D800" s="12" t="s">
        <v>3420</v>
      </c>
      <c r="E800" s="12" t="s">
        <v>3421</v>
      </c>
      <c r="F800" s="12" t="s">
        <v>153</v>
      </c>
      <c r="G800" s="14"/>
      <c r="H800" s="12" t="s">
        <v>61</v>
      </c>
      <c r="I800" s="12" t="s">
        <v>230</v>
      </c>
      <c r="J800" s="12" t="s">
        <v>419</v>
      </c>
      <c r="K800" s="12" t="s">
        <v>199</v>
      </c>
      <c r="L800" s="12" t="s">
        <v>83</v>
      </c>
      <c r="M800" s="12" t="s">
        <v>43</v>
      </c>
      <c r="N800" s="12" t="s">
        <v>44</v>
      </c>
      <c r="O800" s="12" t="s">
        <v>3422</v>
      </c>
      <c r="P800" s="12" t="s">
        <v>66</v>
      </c>
      <c r="Q800" s="12" t="s">
        <v>67</v>
      </c>
      <c r="R800" s="12" t="s">
        <v>623</v>
      </c>
      <c r="S800" s="13">
        <v>197803420583</v>
      </c>
      <c r="T800" s="12" t="s">
        <v>499</v>
      </c>
      <c r="U800" s="12" t="s">
        <v>153</v>
      </c>
      <c r="V800" s="12" t="s">
        <v>423</v>
      </c>
      <c r="W800" s="12" t="s">
        <v>262</v>
      </c>
      <c r="X800" s="13">
        <v>0</v>
      </c>
      <c r="Y800" s="12" t="s">
        <v>91</v>
      </c>
      <c r="Z800" s="12" t="s">
        <v>108</v>
      </c>
      <c r="AA800" s="13">
        <v>0</v>
      </c>
      <c r="AB800" s="12" t="s">
        <v>616</v>
      </c>
      <c r="AC800" s="15">
        <v>31.85</v>
      </c>
      <c r="AD800" s="15">
        <f>AC800*AG800</f>
        <v>254.8</v>
      </c>
      <c r="AE800" s="15">
        <v>70</v>
      </c>
      <c r="AF800" s="15">
        <f>AE800*AG800</f>
        <v>560</v>
      </c>
      <c r="AG800" s="16">
        <v>8</v>
      </c>
    </row>
    <row r="801" spans="1:33" ht="15" customHeight="1" x14ac:dyDescent="0.2">
      <c r="A801" s="11" t="str">
        <f t="shared" ref="A801:A1359" si="353">HYPERLINK("https://assets.vans.eu/images/VN000P5GBLK-HERO/1","VN000P5GBLK1")</f>
        <v>VN000P5GBLK1</v>
      </c>
      <c r="B801" s="12" t="s">
        <v>3423</v>
      </c>
      <c r="C801" s="12" t="s">
        <v>3424</v>
      </c>
      <c r="D801" s="12" t="s">
        <v>76</v>
      </c>
      <c r="E801" s="12" t="s">
        <v>3425</v>
      </c>
      <c r="F801" s="12" t="s">
        <v>170</v>
      </c>
      <c r="G801" s="14"/>
      <c r="H801" s="12" t="s">
        <v>61</v>
      </c>
      <c r="I801" s="12" t="s">
        <v>230</v>
      </c>
      <c r="J801" s="12" t="s">
        <v>231</v>
      </c>
      <c r="K801" s="12" t="s">
        <v>199</v>
      </c>
      <c r="L801" s="14"/>
      <c r="M801" s="12" t="s">
        <v>43</v>
      </c>
      <c r="N801" s="12" t="s">
        <v>44</v>
      </c>
      <c r="O801" s="12" t="s">
        <v>3426</v>
      </c>
      <c r="P801" s="12" t="s">
        <v>66</v>
      </c>
      <c r="Q801" s="12" t="s">
        <v>233</v>
      </c>
      <c r="R801" s="12" t="s">
        <v>234</v>
      </c>
      <c r="S801" s="13">
        <v>197643541776</v>
      </c>
      <c r="T801" s="12" t="s">
        <v>49</v>
      </c>
      <c r="U801" s="12" t="s">
        <v>170</v>
      </c>
      <c r="V801" s="12" t="s">
        <v>3427</v>
      </c>
      <c r="W801" s="12" t="s">
        <v>51</v>
      </c>
      <c r="X801" s="13">
        <v>0</v>
      </c>
      <c r="Y801" s="12" t="s">
        <v>53</v>
      </c>
      <c r="Z801" s="12" t="s">
        <v>108</v>
      </c>
      <c r="AA801" s="13">
        <v>0</v>
      </c>
      <c r="AB801" s="13">
        <v>0</v>
      </c>
      <c r="AC801" s="15">
        <v>29.55</v>
      </c>
      <c r="AD801" s="15">
        <f>AC801*AG801</f>
        <v>236.4</v>
      </c>
      <c r="AE801" s="15">
        <v>65</v>
      </c>
      <c r="AF801" s="15">
        <f>AE801*AG801</f>
        <v>520</v>
      </c>
      <c r="AG801" s="16">
        <v>8</v>
      </c>
    </row>
    <row r="802" spans="1:33" ht="15" customHeight="1" x14ac:dyDescent="0.2">
      <c r="A802" s="11" t="str">
        <f>HYPERLINK("https://assets.vans.eu/images/VN000P5QC9L-HERO/1","VN000P5QC9L1")</f>
        <v>VN000P5QC9L1</v>
      </c>
      <c r="B802" s="12" t="s">
        <v>3428</v>
      </c>
      <c r="C802" s="12" t="s">
        <v>1892</v>
      </c>
      <c r="D802" s="12" t="s">
        <v>890</v>
      </c>
      <c r="E802" s="12" t="s">
        <v>3429</v>
      </c>
      <c r="F802" s="12" t="s">
        <v>170</v>
      </c>
      <c r="G802" s="14"/>
      <c r="H802" s="12" t="s">
        <v>61</v>
      </c>
      <c r="I802" s="12" t="s">
        <v>289</v>
      </c>
      <c r="J802" s="12" t="s">
        <v>706</v>
      </c>
      <c r="K802" s="12" t="s">
        <v>100</v>
      </c>
      <c r="L802" s="12" t="s">
        <v>83</v>
      </c>
      <c r="M802" s="12" t="s">
        <v>43</v>
      </c>
      <c r="N802" s="12" t="s">
        <v>44</v>
      </c>
      <c r="O802" s="12" t="s">
        <v>3430</v>
      </c>
      <c r="P802" s="12" t="s">
        <v>66</v>
      </c>
      <c r="Q802" s="12" t="s">
        <v>67</v>
      </c>
      <c r="R802" s="12" t="s">
        <v>1146</v>
      </c>
      <c r="S802" s="13">
        <v>197803421139</v>
      </c>
      <c r="T802" s="12" t="s">
        <v>499</v>
      </c>
      <c r="U802" s="12" t="s">
        <v>170</v>
      </c>
      <c r="V802" s="12" t="s">
        <v>423</v>
      </c>
      <c r="W802" s="12" t="s">
        <v>262</v>
      </c>
      <c r="X802" s="13">
        <v>0</v>
      </c>
      <c r="Y802" s="12" t="s">
        <v>91</v>
      </c>
      <c r="Z802" s="12" t="s">
        <v>108</v>
      </c>
      <c r="AA802" s="13">
        <v>0</v>
      </c>
      <c r="AB802" s="12" t="s">
        <v>616</v>
      </c>
      <c r="AC802" s="15">
        <v>13.65</v>
      </c>
      <c r="AD802" s="15">
        <f>AC802*AG802</f>
        <v>109.2</v>
      </c>
      <c r="AE802" s="15">
        <v>30</v>
      </c>
      <c r="AF802" s="15">
        <f>AE802*AG802</f>
        <v>240</v>
      </c>
      <c r="AG802" s="16">
        <v>8</v>
      </c>
    </row>
    <row r="803" spans="1:33" ht="15" customHeight="1" x14ac:dyDescent="0.2">
      <c r="A803" s="11" t="str">
        <f t="shared" si="162"/>
        <v>VN000P5QO3N1</v>
      </c>
      <c r="B803" s="12" t="s">
        <v>3431</v>
      </c>
      <c r="C803" s="12" t="s">
        <v>1892</v>
      </c>
      <c r="D803" s="12" t="s">
        <v>744</v>
      </c>
      <c r="E803" s="12" t="s">
        <v>3432</v>
      </c>
      <c r="F803" s="12" t="s">
        <v>621</v>
      </c>
      <c r="G803" s="14"/>
      <c r="H803" s="12" t="s">
        <v>61</v>
      </c>
      <c r="I803" s="12" t="s">
        <v>289</v>
      </c>
      <c r="J803" s="12" t="s">
        <v>706</v>
      </c>
      <c r="K803" s="12" t="s">
        <v>100</v>
      </c>
      <c r="L803" s="12" t="s">
        <v>83</v>
      </c>
      <c r="M803" s="12" t="s">
        <v>43</v>
      </c>
      <c r="N803" s="12" t="s">
        <v>84</v>
      </c>
      <c r="O803" s="12" t="s">
        <v>3433</v>
      </c>
      <c r="P803" s="12" t="s">
        <v>66</v>
      </c>
      <c r="Q803" s="12" t="s">
        <v>67</v>
      </c>
      <c r="R803" s="12" t="s">
        <v>1146</v>
      </c>
      <c r="S803" s="13">
        <v>197804297320</v>
      </c>
      <c r="T803" s="12" t="s">
        <v>499</v>
      </c>
      <c r="U803" s="12" t="s">
        <v>621</v>
      </c>
      <c r="V803" s="12" t="s">
        <v>70</v>
      </c>
      <c r="W803" s="12" t="s">
        <v>299</v>
      </c>
      <c r="X803" s="14"/>
      <c r="Y803" s="14"/>
      <c r="Z803" s="14"/>
      <c r="AA803" s="14"/>
      <c r="AB803" s="14"/>
      <c r="AC803" s="15">
        <v>13.65</v>
      </c>
      <c r="AD803" s="15">
        <f>AC803*AG803</f>
        <v>109.2</v>
      </c>
      <c r="AE803" s="15">
        <v>30</v>
      </c>
      <c r="AF803" s="15">
        <f>AE803*AG803</f>
        <v>240</v>
      </c>
      <c r="AG803" s="16">
        <v>8</v>
      </c>
    </row>
    <row r="804" spans="1:33" ht="15" customHeight="1" x14ac:dyDescent="0.2">
      <c r="A804" s="11" t="str">
        <f t="shared" ref="A804:A891" si="354">HYPERLINK("https://assets.vans.eu/images/VN000P78BLK-HERO/1","VN000P78BLK1")</f>
        <v>VN000P78BLK1</v>
      </c>
      <c r="B804" s="12" t="s">
        <v>3434</v>
      </c>
      <c r="C804" s="12" t="s">
        <v>3435</v>
      </c>
      <c r="D804" s="12" t="s">
        <v>76</v>
      </c>
      <c r="E804" s="12" t="s">
        <v>3436</v>
      </c>
      <c r="F804" s="12" t="s">
        <v>179</v>
      </c>
      <c r="G804" s="14"/>
      <c r="H804" s="12" t="s">
        <v>61</v>
      </c>
      <c r="I804" s="12" t="s">
        <v>230</v>
      </c>
      <c r="J804" s="12" t="s">
        <v>762</v>
      </c>
      <c r="K804" s="12" t="s">
        <v>199</v>
      </c>
      <c r="L804" s="14"/>
      <c r="M804" s="12" t="s">
        <v>43</v>
      </c>
      <c r="N804" s="12" t="s">
        <v>84</v>
      </c>
      <c r="O804" s="12" t="s">
        <v>3437</v>
      </c>
      <c r="P804" s="12" t="s">
        <v>66</v>
      </c>
      <c r="Q804" s="12" t="s">
        <v>764</v>
      </c>
      <c r="R804" s="12" t="s">
        <v>765</v>
      </c>
      <c r="S804" s="13">
        <v>197804350476</v>
      </c>
      <c r="T804" s="12" t="s">
        <v>235</v>
      </c>
      <c r="U804" s="12" t="s">
        <v>179</v>
      </c>
      <c r="V804" s="12" t="s">
        <v>1811</v>
      </c>
      <c r="W804" s="12" t="s">
        <v>51</v>
      </c>
      <c r="X804" s="14"/>
      <c r="Y804" s="14"/>
      <c r="Z804" s="14"/>
      <c r="AA804" s="14"/>
      <c r="AB804" s="14"/>
      <c r="AC804" s="15">
        <v>59.1</v>
      </c>
      <c r="AD804" s="15">
        <f>AC804*AG804</f>
        <v>472.8</v>
      </c>
      <c r="AE804" s="15">
        <v>130</v>
      </c>
      <c r="AF804" s="15">
        <f>AE804*AG804</f>
        <v>1040</v>
      </c>
      <c r="AG804" s="16">
        <v>8</v>
      </c>
    </row>
    <row r="805" spans="1:33" ht="15" customHeight="1" x14ac:dyDescent="0.2">
      <c r="A805" s="11" t="str">
        <f t="shared" si="127"/>
        <v>VN000PFBEMU1</v>
      </c>
      <c r="B805" s="12" t="s">
        <v>3438</v>
      </c>
      <c r="C805" s="12" t="s">
        <v>1588</v>
      </c>
      <c r="D805" s="12" t="s">
        <v>1319</v>
      </c>
      <c r="E805" s="12" t="s">
        <v>3439</v>
      </c>
      <c r="F805" s="12" t="s">
        <v>179</v>
      </c>
      <c r="G805" s="14"/>
      <c r="H805" s="12" t="s">
        <v>61</v>
      </c>
      <c r="I805" s="12" t="s">
        <v>230</v>
      </c>
      <c r="J805" s="12" t="s">
        <v>419</v>
      </c>
      <c r="K805" s="12" t="s">
        <v>199</v>
      </c>
      <c r="L805" s="14"/>
      <c r="M805" s="12" t="s">
        <v>43</v>
      </c>
      <c r="N805" s="12" t="s">
        <v>84</v>
      </c>
      <c r="O805" s="12" t="s">
        <v>3440</v>
      </c>
      <c r="P805" s="12" t="s">
        <v>66</v>
      </c>
      <c r="Q805" s="12" t="s">
        <v>67</v>
      </c>
      <c r="R805" s="12" t="s">
        <v>421</v>
      </c>
      <c r="S805" s="13">
        <v>197804383535</v>
      </c>
      <c r="T805" s="12" t="s">
        <v>49</v>
      </c>
      <c r="U805" s="12" t="s">
        <v>179</v>
      </c>
      <c r="V805" s="12" t="s">
        <v>665</v>
      </c>
      <c r="W805" s="12" t="s">
        <v>118</v>
      </c>
      <c r="X805" s="14"/>
      <c r="Y805" s="14"/>
      <c r="Z805" s="14"/>
      <c r="AA805" s="14"/>
      <c r="AB805" s="14"/>
      <c r="AC805" s="15">
        <v>20.5</v>
      </c>
      <c r="AD805" s="15">
        <f>AC805*AG805</f>
        <v>164</v>
      </c>
      <c r="AE805" s="15">
        <v>45</v>
      </c>
      <c r="AF805" s="15">
        <f>AE805*AG805</f>
        <v>360</v>
      </c>
      <c r="AG805" s="16">
        <v>8</v>
      </c>
    </row>
    <row r="806" spans="1:33" ht="15" customHeight="1" x14ac:dyDescent="0.2">
      <c r="A806" s="11" t="str">
        <f t="shared" si="324"/>
        <v>VN000PK1BLK1</v>
      </c>
      <c r="B806" s="12" t="s">
        <v>3441</v>
      </c>
      <c r="C806" s="12" t="s">
        <v>1900</v>
      </c>
      <c r="D806" s="12" t="s">
        <v>76</v>
      </c>
      <c r="E806" s="12" t="s">
        <v>3442</v>
      </c>
      <c r="F806" s="12" t="s">
        <v>403</v>
      </c>
      <c r="G806" s="14"/>
      <c r="H806" s="12" t="s">
        <v>61</v>
      </c>
      <c r="I806" s="12" t="s">
        <v>289</v>
      </c>
      <c r="J806" s="12" t="s">
        <v>984</v>
      </c>
      <c r="K806" s="12" t="s">
        <v>100</v>
      </c>
      <c r="L806" s="14"/>
      <c r="M806" s="12" t="s">
        <v>43</v>
      </c>
      <c r="N806" s="12" t="s">
        <v>84</v>
      </c>
      <c r="O806" s="12" t="s">
        <v>3443</v>
      </c>
      <c r="P806" s="12" t="s">
        <v>66</v>
      </c>
      <c r="Q806" s="12" t="s">
        <v>764</v>
      </c>
      <c r="R806" s="12" t="s">
        <v>986</v>
      </c>
      <c r="S806" s="13">
        <v>197804360628</v>
      </c>
      <c r="T806" s="12" t="s">
        <v>235</v>
      </c>
      <c r="U806" s="12" t="s">
        <v>403</v>
      </c>
      <c r="V806" s="12" t="s">
        <v>90</v>
      </c>
      <c r="W806" s="12" t="s">
        <v>51</v>
      </c>
      <c r="X806" s="14"/>
      <c r="Y806" s="14"/>
      <c r="Z806" s="14"/>
      <c r="AA806" s="14"/>
      <c r="AB806" s="14"/>
      <c r="AC806" s="15">
        <v>56.85</v>
      </c>
      <c r="AD806" s="15">
        <f>AC806*AG806</f>
        <v>454.8</v>
      </c>
      <c r="AE806" s="15">
        <v>125</v>
      </c>
      <c r="AF806" s="15">
        <f>AE806*AG806</f>
        <v>1000</v>
      </c>
      <c r="AG806" s="16">
        <v>8</v>
      </c>
    </row>
    <row r="807" spans="1:33" ht="15" customHeight="1" x14ac:dyDescent="0.2">
      <c r="A807" s="11" t="str">
        <f t="shared" ref="A807:A2263" si="355">HYPERLINK("https://assets.vans.eu/images/VN000PK8BLK-HERO/1","VN000PK8BLK1")</f>
        <v>VN000PK8BLK1</v>
      </c>
      <c r="B807" s="12" t="s">
        <v>3444</v>
      </c>
      <c r="C807" s="12" t="s">
        <v>2070</v>
      </c>
      <c r="D807" s="12" t="s">
        <v>76</v>
      </c>
      <c r="E807" s="12" t="s">
        <v>3445</v>
      </c>
      <c r="F807" s="12" t="s">
        <v>403</v>
      </c>
      <c r="G807" s="14"/>
      <c r="H807" s="12" t="s">
        <v>61</v>
      </c>
      <c r="I807" s="12" t="s">
        <v>289</v>
      </c>
      <c r="J807" s="12" t="s">
        <v>290</v>
      </c>
      <c r="K807" s="12" t="s">
        <v>100</v>
      </c>
      <c r="L807" s="14"/>
      <c r="M807" s="12" t="s">
        <v>43</v>
      </c>
      <c r="N807" s="12" t="s">
        <v>84</v>
      </c>
      <c r="O807" s="12" t="s">
        <v>3446</v>
      </c>
      <c r="P807" s="12" t="s">
        <v>66</v>
      </c>
      <c r="Q807" s="12" t="s">
        <v>233</v>
      </c>
      <c r="R807" s="12" t="s">
        <v>2073</v>
      </c>
      <c r="S807" s="13">
        <v>197804579440</v>
      </c>
      <c r="T807" s="12" t="s">
        <v>49</v>
      </c>
      <c r="U807" s="12" t="s">
        <v>403</v>
      </c>
      <c r="V807" s="12" t="s">
        <v>2074</v>
      </c>
      <c r="W807" s="12" t="s">
        <v>51</v>
      </c>
      <c r="X807" s="14"/>
      <c r="Y807" s="14"/>
      <c r="Z807" s="14"/>
      <c r="AA807" s="14"/>
      <c r="AB807" s="14"/>
      <c r="AC807" s="15">
        <v>40.950000000000003</v>
      </c>
      <c r="AD807" s="15">
        <f>AC807*AG807</f>
        <v>327.60000000000002</v>
      </c>
      <c r="AE807" s="15">
        <v>90</v>
      </c>
      <c r="AF807" s="15">
        <f>AE807*AG807</f>
        <v>720</v>
      </c>
      <c r="AG807" s="16">
        <v>8</v>
      </c>
    </row>
    <row r="808" spans="1:33" ht="15" customHeight="1" x14ac:dyDescent="0.2">
      <c r="A808" s="11" t="str">
        <f t="shared" ref="A808:A901" si="356">HYPERLINK("https://assets.vans.eu/images/VN000PMABLK-HERO/1","VN000PMABLK1")</f>
        <v>VN000PMABLK1</v>
      </c>
      <c r="B808" s="12" t="s">
        <v>3447</v>
      </c>
      <c r="C808" s="12" t="s">
        <v>2076</v>
      </c>
      <c r="D808" s="12" t="s">
        <v>76</v>
      </c>
      <c r="E808" s="12" t="s">
        <v>3448</v>
      </c>
      <c r="F808" s="12" t="s">
        <v>170</v>
      </c>
      <c r="G808" s="14"/>
      <c r="H808" s="12" t="s">
        <v>61</v>
      </c>
      <c r="I808" s="12" t="s">
        <v>230</v>
      </c>
      <c r="J808" s="12" t="s">
        <v>762</v>
      </c>
      <c r="K808" s="12" t="s">
        <v>199</v>
      </c>
      <c r="L808" s="14"/>
      <c r="M808" s="12" t="s">
        <v>43</v>
      </c>
      <c r="N808" s="12" t="s">
        <v>84</v>
      </c>
      <c r="O808" s="12" t="s">
        <v>3449</v>
      </c>
      <c r="P808" s="12" t="s">
        <v>66</v>
      </c>
      <c r="Q808" s="12" t="s">
        <v>764</v>
      </c>
      <c r="R808" s="12" t="s">
        <v>765</v>
      </c>
      <c r="S808" s="13">
        <v>197804372591</v>
      </c>
      <c r="T808" s="12" t="s">
        <v>49</v>
      </c>
      <c r="U808" s="12" t="s">
        <v>170</v>
      </c>
      <c r="V808" s="12" t="s">
        <v>90</v>
      </c>
      <c r="W808" s="12" t="s">
        <v>51</v>
      </c>
      <c r="X808" s="14"/>
      <c r="Y808" s="14"/>
      <c r="Z808" s="14"/>
      <c r="AA808" s="14"/>
      <c r="AB808" s="14"/>
      <c r="AC808" s="15">
        <v>159.1</v>
      </c>
      <c r="AD808" s="15">
        <f>AC808*AG808</f>
        <v>1272.8</v>
      </c>
      <c r="AE808" s="15">
        <v>350</v>
      </c>
      <c r="AF808" s="15">
        <f>AE808*AG808</f>
        <v>2800</v>
      </c>
      <c r="AG808" s="16">
        <v>8</v>
      </c>
    </row>
    <row r="809" spans="1:33" ht="15" customHeight="1" x14ac:dyDescent="0.2">
      <c r="A809" s="11" t="str">
        <f t="shared" ref="A809:A1025" si="357">HYPERLINK("https://assets.vans.eu/images/VN000PMFENB-HERO/1","VN000PMFENB1")</f>
        <v>VN000PMFENB1</v>
      </c>
      <c r="B809" s="12" t="s">
        <v>3450</v>
      </c>
      <c r="C809" s="12" t="s">
        <v>3148</v>
      </c>
      <c r="D809" s="12" t="s">
        <v>2917</v>
      </c>
      <c r="E809" s="12" t="s">
        <v>3451</v>
      </c>
      <c r="F809" s="12" t="s">
        <v>170</v>
      </c>
      <c r="G809" s="14"/>
      <c r="H809" s="12" t="s">
        <v>61</v>
      </c>
      <c r="I809" s="12" t="s">
        <v>230</v>
      </c>
      <c r="J809" s="12" t="s">
        <v>762</v>
      </c>
      <c r="K809" s="12" t="s">
        <v>199</v>
      </c>
      <c r="L809" s="14"/>
      <c r="M809" s="12" t="s">
        <v>43</v>
      </c>
      <c r="N809" s="12" t="s">
        <v>84</v>
      </c>
      <c r="O809" s="12" t="s">
        <v>3452</v>
      </c>
      <c r="P809" s="12" t="s">
        <v>66</v>
      </c>
      <c r="Q809" s="12" t="s">
        <v>764</v>
      </c>
      <c r="R809" s="12" t="s">
        <v>765</v>
      </c>
      <c r="S809" s="13">
        <v>197804372775</v>
      </c>
      <c r="T809" s="12" t="s">
        <v>49</v>
      </c>
      <c r="U809" s="12" t="s">
        <v>170</v>
      </c>
      <c r="V809" s="12" t="s">
        <v>1811</v>
      </c>
      <c r="W809" s="12" t="s">
        <v>186</v>
      </c>
      <c r="X809" s="14"/>
      <c r="Y809" s="14"/>
      <c r="Z809" s="14"/>
      <c r="AA809" s="14"/>
      <c r="AB809" s="14"/>
      <c r="AC809" s="15">
        <v>136.4</v>
      </c>
      <c r="AD809" s="15">
        <f>AC809*AG809</f>
        <v>1091.2</v>
      </c>
      <c r="AE809" s="15">
        <v>300</v>
      </c>
      <c r="AF809" s="15">
        <f>AE809*AG809</f>
        <v>2400</v>
      </c>
      <c r="AG809" s="16">
        <v>8</v>
      </c>
    </row>
    <row r="810" spans="1:33" ht="15" customHeight="1" x14ac:dyDescent="0.2">
      <c r="A810" s="11" t="str">
        <f t="shared" si="291"/>
        <v>VN000PMHENB1</v>
      </c>
      <c r="B810" s="12" t="s">
        <v>3453</v>
      </c>
      <c r="C810" s="12" t="s">
        <v>2916</v>
      </c>
      <c r="D810" s="12" t="s">
        <v>2917</v>
      </c>
      <c r="E810" s="12" t="s">
        <v>3454</v>
      </c>
      <c r="F810" s="12" t="s">
        <v>179</v>
      </c>
      <c r="G810" s="14"/>
      <c r="H810" s="12" t="s">
        <v>61</v>
      </c>
      <c r="I810" s="12" t="s">
        <v>230</v>
      </c>
      <c r="J810" s="12" t="s">
        <v>762</v>
      </c>
      <c r="K810" s="12" t="s">
        <v>199</v>
      </c>
      <c r="L810" s="14"/>
      <c r="M810" s="12" t="s">
        <v>43</v>
      </c>
      <c r="N810" s="12" t="s">
        <v>84</v>
      </c>
      <c r="O810" s="12" t="s">
        <v>3455</v>
      </c>
      <c r="P810" s="12" t="s">
        <v>66</v>
      </c>
      <c r="Q810" s="12" t="s">
        <v>764</v>
      </c>
      <c r="R810" s="12" t="s">
        <v>765</v>
      </c>
      <c r="S810" s="13">
        <v>197804678723</v>
      </c>
      <c r="T810" s="12" t="s">
        <v>49</v>
      </c>
      <c r="U810" s="12" t="s">
        <v>179</v>
      </c>
      <c r="V810" s="12" t="s">
        <v>1811</v>
      </c>
      <c r="W810" s="12" t="s">
        <v>186</v>
      </c>
      <c r="X810" s="14"/>
      <c r="Y810" s="14"/>
      <c r="Z810" s="14"/>
      <c r="AA810" s="14"/>
      <c r="AB810" s="14"/>
      <c r="AC810" s="15">
        <v>95.5</v>
      </c>
      <c r="AD810" s="15">
        <f>AC810*AG810</f>
        <v>764</v>
      </c>
      <c r="AE810" s="15">
        <v>210</v>
      </c>
      <c r="AF810" s="15">
        <f>AE810*AG810</f>
        <v>1680</v>
      </c>
      <c r="AG810" s="16">
        <v>8</v>
      </c>
    </row>
    <row r="811" spans="1:33" ht="15" customHeight="1" x14ac:dyDescent="0.2">
      <c r="A811" s="11" t="str">
        <f t="shared" ref="A811:A1184" si="358">HYPERLINK("https://assets.vans.eu/images/VN000PN9ZX7-HERO/1","VN000PN9ZX71")</f>
        <v>VN000PN9ZX71</v>
      </c>
      <c r="B811" s="12" t="s">
        <v>3456</v>
      </c>
      <c r="C811" s="12" t="s">
        <v>3457</v>
      </c>
      <c r="D811" s="12" t="s">
        <v>3458</v>
      </c>
      <c r="E811" s="12" t="s">
        <v>3459</v>
      </c>
      <c r="F811" s="12" t="s">
        <v>621</v>
      </c>
      <c r="G811" s="14"/>
      <c r="H811" s="12" t="s">
        <v>61</v>
      </c>
      <c r="I811" s="12" t="s">
        <v>230</v>
      </c>
      <c r="J811" s="12" t="s">
        <v>419</v>
      </c>
      <c r="K811" s="12" t="s">
        <v>199</v>
      </c>
      <c r="L811" s="14"/>
      <c r="M811" s="12" t="s">
        <v>43</v>
      </c>
      <c r="N811" s="12" t="s">
        <v>84</v>
      </c>
      <c r="O811" s="12" t="s">
        <v>3460</v>
      </c>
      <c r="P811" s="12" t="s">
        <v>66</v>
      </c>
      <c r="Q811" s="12" t="s">
        <v>67</v>
      </c>
      <c r="R811" s="12" t="s">
        <v>421</v>
      </c>
      <c r="S811" s="13">
        <v>197804362912</v>
      </c>
      <c r="T811" s="12" t="s">
        <v>49</v>
      </c>
      <c r="U811" s="12" t="s">
        <v>621</v>
      </c>
      <c r="V811" s="12" t="s">
        <v>665</v>
      </c>
      <c r="W811" s="12" t="s">
        <v>625</v>
      </c>
      <c r="X811" s="14"/>
      <c r="Y811" s="14"/>
      <c r="Z811" s="14"/>
      <c r="AA811" s="14"/>
      <c r="AB811" s="14"/>
      <c r="AC811" s="15">
        <v>19.100000000000001</v>
      </c>
      <c r="AD811" s="15">
        <f>AC811*AG811</f>
        <v>152.80000000000001</v>
      </c>
      <c r="AE811" s="15">
        <v>42</v>
      </c>
      <c r="AF811" s="15">
        <f>AE811*AG811</f>
        <v>336</v>
      </c>
      <c r="AG811" s="16">
        <v>8</v>
      </c>
    </row>
    <row r="812" spans="1:33" ht="15" customHeight="1" x14ac:dyDescent="0.2">
      <c r="A812" s="11" t="str">
        <f t="shared" ref="A812:A1738" si="359">HYPERLINK("https://assets.vans.eu/images/VN000PPJ02F-HERO/1","VN000PPJ02F1")</f>
        <v>VN000PPJ02F1</v>
      </c>
      <c r="B812" s="12" t="s">
        <v>3461</v>
      </c>
      <c r="C812" s="12" t="s">
        <v>3462</v>
      </c>
      <c r="D812" s="12" t="s">
        <v>857</v>
      </c>
      <c r="E812" s="12" t="s">
        <v>3463</v>
      </c>
      <c r="F812" s="12" t="s">
        <v>170</v>
      </c>
      <c r="G812" s="14"/>
      <c r="H812" s="12" t="s">
        <v>61</v>
      </c>
      <c r="I812" s="12" t="s">
        <v>62</v>
      </c>
      <c r="J812" s="12" t="s">
        <v>63</v>
      </c>
      <c r="K812" s="12" t="s">
        <v>1022</v>
      </c>
      <c r="L812" s="14"/>
      <c r="M812" s="12" t="s">
        <v>43</v>
      </c>
      <c r="N812" s="12" t="s">
        <v>84</v>
      </c>
      <c r="O812" s="12" t="s">
        <v>3464</v>
      </c>
      <c r="P812" s="12" t="s">
        <v>66</v>
      </c>
      <c r="Q812" s="12" t="s">
        <v>67</v>
      </c>
      <c r="R812" s="12" t="s">
        <v>730</v>
      </c>
      <c r="S812" s="13">
        <v>197804363018</v>
      </c>
      <c r="T812" s="12" t="s">
        <v>709</v>
      </c>
      <c r="U812" s="12" t="s">
        <v>170</v>
      </c>
      <c r="V812" s="12" t="s">
        <v>1092</v>
      </c>
      <c r="W812" s="12" t="s">
        <v>455</v>
      </c>
      <c r="X812" s="14"/>
      <c r="Y812" s="14"/>
      <c r="Z812" s="14"/>
      <c r="AA812" s="14"/>
      <c r="AB812" s="14"/>
      <c r="AC812" s="15">
        <v>31.85</v>
      </c>
      <c r="AD812" s="15">
        <f>AC812*AG812</f>
        <v>254.8</v>
      </c>
      <c r="AE812" s="15">
        <v>70</v>
      </c>
      <c r="AF812" s="15">
        <f>AE812*AG812</f>
        <v>560</v>
      </c>
      <c r="AG812" s="16">
        <v>8</v>
      </c>
    </row>
    <row r="813" spans="1:33" ht="15" customHeight="1" x14ac:dyDescent="0.2">
      <c r="A813" s="11" t="str">
        <f t="shared" si="292"/>
        <v>VN000PR3EN91</v>
      </c>
      <c r="B813" s="12" t="s">
        <v>3465</v>
      </c>
      <c r="C813" s="12" t="s">
        <v>2926</v>
      </c>
      <c r="D813" s="12" t="s">
        <v>982</v>
      </c>
      <c r="E813" s="12" t="s">
        <v>3466</v>
      </c>
      <c r="F813" s="12" t="s">
        <v>403</v>
      </c>
      <c r="G813" s="14"/>
      <c r="H813" s="12" t="s">
        <v>61</v>
      </c>
      <c r="I813" s="12" t="s">
        <v>289</v>
      </c>
      <c r="J813" s="12" t="s">
        <v>706</v>
      </c>
      <c r="K813" s="12" t="s">
        <v>100</v>
      </c>
      <c r="L813" s="14"/>
      <c r="M813" s="12" t="s">
        <v>43</v>
      </c>
      <c r="N813" s="12" t="s">
        <v>84</v>
      </c>
      <c r="O813" s="12" t="s">
        <v>3467</v>
      </c>
      <c r="P813" s="12" t="s">
        <v>66</v>
      </c>
      <c r="Q813" s="12" t="s">
        <v>67</v>
      </c>
      <c r="R813" s="12" t="s">
        <v>1146</v>
      </c>
      <c r="S813" s="13">
        <v>197804393688</v>
      </c>
      <c r="T813" s="12" t="s">
        <v>709</v>
      </c>
      <c r="U813" s="12" t="s">
        <v>403</v>
      </c>
      <c r="V813" s="12" t="s">
        <v>665</v>
      </c>
      <c r="W813" s="12" t="s">
        <v>455</v>
      </c>
      <c r="X813" s="14"/>
      <c r="Y813" s="14"/>
      <c r="Z813" s="14"/>
      <c r="AA813" s="14"/>
      <c r="AB813" s="14"/>
      <c r="AC813" s="15">
        <v>15.95</v>
      </c>
      <c r="AD813" s="15">
        <f>AC813*AG813</f>
        <v>127.6</v>
      </c>
      <c r="AE813" s="15">
        <v>35</v>
      </c>
      <c r="AF813" s="15">
        <f>AE813*AG813</f>
        <v>280</v>
      </c>
      <c r="AG813" s="16">
        <v>8</v>
      </c>
    </row>
    <row r="814" spans="1:33" ht="15" customHeight="1" x14ac:dyDescent="0.2">
      <c r="A814" s="11" t="str">
        <f t="shared" si="264"/>
        <v>VN000PXEEMS1</v>
      </c>
      <c r="B814" s="12" t="s">
        <v>3468</v>
      </c>
      <c r="C814" s="12" t="s">
        <v>2729</v>
      </c>
      <c r="D814" s="12" t="s">
        <v>863</v>
      </c>
      <c r="E814" s="12" t="s">
        <v>3469</v>
      </c>
      <c r="F814" s="12" t="s">
        <v>179</v>
      </c>
      <c r="G814" s="14"/>
      <c r="H814" s="12" t="s">
        <v>61</v>
      </c>
      <c r="I814" s="12" t="s">
        <v>62</v>
      </c>
      <c r="J814" s="12" t="s">
        <v>63</v>
      </c>
      <c r="K814" s="12" t="s">
        <v>64</v>
      </c>
      <c r="L814" s="14"/>
      <c r="M814" s="12" t="s">
        <v>43</v>
      </c>
      <c r="N814" s="12" t="s">
        <v>84</v>
      </c>
      <c r="O814" s="12" t="s">
        <v>3470</v>
      </c>
      <c r="P814" s="12" t="s">
        <v>66</v>
      </c>
      <c r="Q814" s="12" t="s">
        <v>67</v>
      </c>
      <c r="R814" s="12" t="s">
        <v>730</v>
      </c>
      <c r="S814" s="13">
        <v>197804365524</v>
      </c>
      <c r="T814" s="12" t="s">
        <v>709</v>
      </c>
      <c r="U814" s="12" t="s">
        <v>179</v>
      </c>
      <c r="V814" s="12" t="s">
        <v>710</v>
      </c>
      <c r="W814" s="12" t="s">
        <v>107</v>
      </c>
      <c r="X814" s="14"/>
      <c r="Y814" s="14"/>
      <c r="Z814" s="14"/>
      <c r="AA814" s="14"/>
      <c r="AB814" s="14"/>
      <c r="AC814" s="15">
        <v>29.55</v>
      </c>
      <c r="AD814" s="15">
        <f>AC814*AG814</f>
        <v>236.4</v>
      </c>
      <c r="AE814" s="15">
        <v>65</v>
      </c>
      <c r="AF814" s="15">
        <f>AE814*AG814</f>
        <v>520</v>
      </c>
      <c r="AG814" s="16">
        <v>8</v>
      </c>
    </row>
    <row r="815" spans="1:33" ht="15" customHeight="1" x14ac:dyDescent="0.2">
      <c r="A815" s="11" t="str">
        <f t="shared" ref="A815:A1402" si="360">HYPERLINK("https://assets.vans.eu/images/VN000Q30BLK-HERO/1","VN000Q30BLK1")</f>
        <v>VN000Q30BLK1</v>
      </c>
      <c r="B815" s="12" t="s">
        <v>3471</v>
      </c>
      <c r="C815" s="12" t="s">
        <v>3472</v>
      </c>
      <c r="D815" s="12" t="s">
        <v>76</v>
      </c>
      <c r="E815" s="12" t="s">
        <v>3473</v>
      </c>
      <c r="F815" s="12" t="s">
        <v>153</v>
      </c>
      <c r="G815" s="14"/>
      <c r="H815" s="12" t="s">
        <v>61</v>
      </c>
      <c r="I815" s="12" t="s">
        <v>289</v>
      </c>
      <c r="J815" s="12" t="s">
        <v>706</v>
      </c>
      <c r="K815" s="12" t="s">
        <v>100</v>
      </c>
      <c r="L815" s="14"/>
      <c r="M815" s="12" t="s">
        <v>43</v>
      </c>
      <c r="N815" s="12" t="s">
        <v>84</v>
      </c>
      <c r="O815" s="12" t="s">
        <v>3474</v>
      </c>
      <c r="P815" s="12" t="s">
        <v>66</v>
      </c>
      <c r="Q815" s="12" t="s">
        <v>67</v>
      </c>
      <c r="R815" s="12" t="s">
        <v>708</v>
      </c>
      <c r="S815" s="13">
        <v>197804368280</v>
      </c>
      <c r="T815" s="12" t="s">
        <v>709</v>
      </c>
      <c r="U815" s="12" t="s">
        <v>153</v>
      </c>
      <c r="V815" s="12" t="s">
        <v>710</v>
      </c>
      <c r="W815" s="12" t="s">
        <v>51</v>
      </c>
      <c r="X815" s="14"/>
      <c r="Y815" s="14"/>
      <c r="Z815" s="14"/>
      <c r="AA815" s="14"/>
      <c r="AB815" s="14"/>
      <c r="AC815" s="15">
        <v>31.85</v>
      </c>
      <c r="AD815" s="15">
        <f>AC815*AG815</f>
        <v>254.8</v>
      </c>
      <c r="AE815" s="15">
        <v>70</v>
      </c>
      <c r="AF815" s="15">
        <f>AE815*AG815</f>
        <v>560</v>
      </c>
      <c r="AG815" s="16">
        <v>8</v>
      </c>
    </row>
    <row r="816" spans="1:33" ht="15" customHeight="1" x14ac:dyDescent="0.2">
      <c r="A816" s="11" t="str">
        <f t="shared" si="294"/>
        <v>VN000QDEY281</v>
      </c>
      <c r="B816" s="12" t="s">
        <v>3475</v>
      </c>
      <c r="C816" s="12" t="s">
        <v>2936</v>
      </c>
      <c r="D816" s="12" t="s">
        <v>58</v>
      </c>
      <c r="E816" s="12" t="s">
        <v>3476</v>
      </c>
      <c r="F816" s="12" t="s">
        <v>403</v>
      </c>
      <c r="G816" s="14"/>
      <c r="H816" s="12" t="s">
        <v>61</v>
      </c>
      <c r="I816" s="12" t="s">
        <v>62</v>
      </c>
      <c r="J816" s="12" t="s">
        <v>2938</v>
      </c>
      <c r="K816" s="12" t="s">
        <v>64</v>
      </c>
      <c r="L816" s="14"/>
      <c r="M816" s="12" t="s">
        <v>43</v>
      </c>
      <c r="N816" s="12" t="s">
        <v>84</v>
      </c>
      <c r="O816" s="12" t="s">
        <v>3477</v>
      </c>
      <c r="P816" s="12" t="s">
        <v>66</v>
      </c>
      <c r="Q816" s="12" t="s">
        <v>764</v>
      </c>
      <c r="R816" s="12" t="s">
        <v>2940</v>
      </c>
      <c r="S816" s="13">
        <v>197804369270</v>
      </c>
      <c r="T816" s="12" t="s">
        <v>235</v>
      </c>
      <c r="U816" s="12" t="s">
        <v>403</v>
      </c>
      <c r="V816" s="12" t="s">
        <v>1811</v>
      </c>
      <c r="W816" s="12" t="s">
        <v>51</v>
      </c>
      <c r="X816" s="14"/>
      <c r="Y816" s="14"/>
      <c r="Z816" s="14"/>
      <c r="AA816" s="14"/>
      <c r="AB816" s="14"/>
      <c r="AC816" s="15">
        <v>29.55</v>
      </c>
      <c r="AD816" s="15">
        <f>AC816*AG816</f>
        <v>236.4</v>
      </c>
      <c r="AE816" s="15">
        <v>65</v>
      </c>
      <c r="AF816" s="15">
        <f>AE816*AG816</f>
        <v>520</v>
      </c>
      <c r="AG816" s="16">
        <v>8</v>
      </c>
    </row>
    <row r="817" spans="1:33" ht="15" customHeight="1" x14ac:dyDescent="0.2">
      <c r="A817" s="11" t="str">
        <f t="shared" ref="A817:A907" si="361">HYPERLINK("https://assets.vans.eu/images/VN000QDFBLK-HERO/1","VN000QDFBLK1")</f>
        <v>VN000QDFBLK1</v>
      </c>
      <c r="B817" s="12" t="s">
        <v>3478</v>
      </c>
      <c r="C817" s="12" t="s">
        <v>2546</v>
      </c>
      <c r="D817" s="12" t="s">
        <v>76</v>
      </c>
      <c r="E817" s="12" t="s">
        <v>3479</v>
      </c>
      <c r="F817" s="12" t="s">
        <v>179</v>
      </c>
      <c r="G817" s="14"/>
      <c r="H817" s="12" t="s">
        <v>61</v>
      </c>
      <c r="I817" s="12" t="s">
        <v>289</v>
      </c>
      <c r="J817" s="12" t="s">
        <v>706</v>
      </c>
      <c r="K817" s="12" t="s">
        <v>100</v>
      </c>
      <c r="L817" s="14"/>
      <c r="M817" s="12" t="s">
        <v>43</v>
      </c>
      <c r="N817" s="12" t="s">
        <v>84</v>
      </c>
      <c r="O817" s="12" t="s">
        <v>3480</v>
      </c>
      <c r="P817" s="12" t="s">
        <v>66</v>
      </c>
      <c r="Q817" s="12" t="s">
        <v>67</v>
      </c>
      <c r="R817" s="12" t="s">
        <v>1146</v>
      </c>
      <c r="S817" s="13">
        <v>197804395729</v>
      </c>
      <c r="T817" s="12" t="s">
        <v>709</v>
      </c>
      <c r="U817" s="12" t="s">
        <v>179</v>
      </c>
      <c r="V817" s="12" t="s">
        <v>665</v>
      </c>
      <c r="W817" s="12" t="s">
        <v>51</v>
      </c>
      <c r="X817" s="14"/>
      <c r="Y817" s="14"/>
      <c r="Z817" s="14"/>
      <c r="AA817" s="14"/>
      <c r="AB817" s="14"/>
      <c r="AC817" s="15">
        <v>13.65</v>
      </c>
      <c r="AD817" s="15">
        <f>AC817*AG817</f>
        <v>109.2</v>
      </c>
      <c r="AE817" s="15">
        <v>30</v>
      </c>
      <c r="AF817" s="15">
        <f>AE817*AG817</f>
        <v>240</v>
      </c>
      <c r="AG817" s="16">
        <v>8</v>
      </c>
    </row>
    <row r="818" spans="1:33" ht="15" customHeight="1" x14ac:dyDescent="0.2">
      <c r="A818" s="11" t="str">
        <f t="shared" si="119"/>
        <v>VN000QF32N11</v>
      </c>
      <c r="B818" s="12" t="s">
        <v>3481</v>
      </c>
      <c r="C818" s="12" t="s">
        <v>1509</v>
      </c>
      <c r="D818" s="12" t="s">
        <v>1082</v>
      </c>
      <c r="E818" s="12" t="s">
        <v>3482</v>
      </c>
      <c r="F818" s="12" t="s">
        <v>170</v>
      </c>
      <c r="G818" s="14"/>
      <c r="H818" s="12" t="s">
        <v>61</v>
      </c>
      <c r="I818" s="12" t="s">
        <v>289</v>
      </c>
      <c r="J818" s="12" t="s">
        <v>706</v>
      </c>
      <c r="K818" s="12" t="s">
        <v>100</v>
      </c>
      <c r="L818" s="14"/>
      <c r="M818" s="12" t="s">
        <v>43</v>
      </c>
      <c r="N818" s="12" t="s">
        <v>84</v>
      </c>
      <c r="O818" s="12" t="s">
        <v>3483</v>
      </c>
      <c r="P818" s="12" t="s">
        <v>66</v>
      </c>
      <c r="Q818" s="12" t="s">
        <v>67</v>
      </c>
      <c r="R818" s="12" t="s">
        <v>708</v>
      </c>
      <c r="S818" s="13">
        <v>197804369409</v>
      </c>
      <c r="T818" s="12" t="s">
        <v>709</v>
      </c>
      <c r="U818" s="12" t="s">
        <v>170</v>
      </c>
      <c r="V818" s="12" t="s">
        <v>710</v>
      </c>
      <c r="W818" s="12" t="s">
        <v>580</v>
      </c>
      <c r="X818" s="14"/>
      <c r="Y818" s="14"/>
      <c r="Z818" s="14"/>
      <c r="AA818" s="14"/>
      <c r="AB818" s="14"/>
      <c r="AC818" s="15">
        <v>38.65</v>
      </c>
      <c r="AD818" s="15">
        <f>AC818*AG818</f>
        <v>309.2</v>
      </c>
      <c r="AE818" s="15">
        <v>85</v>
      </c>
      <c r="AF818" s="15">
        <f>AE818*AG818</f>
        <v>680</v>
      </c>
      <c r="AG818" s="16">
        <v>8</v>
      </c>
    </row>
    <row r="819" spans="1:33" ht="15" customHeight="1" x14ac:dyDescent="0.2">
      <c r="A819" s="11" t="str">
        <f t="shared" si="268"/>
        <v>VN000R04BLK1</v>
      </c>
      <c r="B819" s="12" t="s">
        <v>3484</v>
      </c>
      <c r="C819" s="12" t="s">
        <v>1740</v>
      </c>
      <c r="D819" s="12" t="s">
        <v>76</v>
      </c>
      <c r="E819" s="12" t="s">
        <v>3485</v>
      </c>
      <c r="F819" s="12" t="s">
        <v>403</v>
      </c>
      <c r="G819" s="14"/>
      <c r="H819" s="12" t="s">
        <v>61</v>
      </c>
      <c r="I819" s="12" t="s">
        <v>62</v>
      </c>
      <c r="J819" s="12" t="s">
        <v>63</v>
      </c>
      <c r="K819" s="12" t="s">
        <v>64</v>
      </c>
      <c r="L819" s="14"/>
      <c r="M819" s="12" t="s">
        <v>43</v>
      </c>
      <c r="N819" s="12" t="s">
        <v>84</v>
      </c>
      <c r="O819" s="12" t="s">
        <v>3486</v>
      </c>
      <c r="P819" s="12" t="s">
        <v>66</v>
      </c>
      <c r="Q819" s="12" t="s">
        <v>67</v>
      </c>
      <c r="R819" s="12" t="s">
        <v>68</v>
      </c>
      <c r="S819" s="13">
        <v>197804584987</v>
      </c>
      <c r="T819" s="12" t="s">
        <v>915</v>
      </c>
      <c r="U819" s="12" t="s">
        <v>403</v>
      </c>
      <c r="V819" s="12" t="s">
        <v>1028</v>
      </c>
      <c r="W819" s="12" t="s">
        <v>51</v>
      </c>
      <c r="X819" s="14"/>
      <c r="Y819" s="14"/>
      <c r="Z819" s="14"/>
      <c r="AA819" s="14"/>
      <c r="AB819" s="14"/>
      <c r="AC819" s="15">
        <v>13.65</v>
      </c>
      <c r="AD819" s="15">
        <f>AC819*AG819</f>
        <v>109.2</v>
      </c>
      <c r="AE819" s="15">
        <v>30</v>
      </c>
      <c r="AF819" s="15">
        <f>AE819*AG819</f>
        <v>240</v>
      </c>
      <c r="AG819" s="16">
        <v>8</v>
      </c>
    </row>
    <row r="820" spans="1:33" ht="15" customHeight="1" x14ac:dyDescent="0.2">
      <c r="A820" s="11" t="str">
        <f t="shared" si="246"/>
        <v>VN000R3UU201</v>
      </c>
      <c r="B820" s="12" t="s">
        <v>3487</v>
      </c>
      <c r="C820" s="12" t="s">
        <v>1196</v>
      </c>
      <c r="D820" s="12" t="s">
        <v>1197</v>
      </c>
      <c r="E820" s="12" t="s">
        <v>3488</v>
      </c>
      <c r="F820" s="12" t="s">
        <v>179</v>
      </c>
      <c r="G820" s="14"/>
      <c r="H820" s="12" t="s">
        <v>61</v>
      </c>
      <c r="I820" s="12" t="s">
        <v>289</v>
      </c>
      <c r="J820" s="12" t="s">
        <v>706</v>
      </c>
      <c r="K820" s="12" t="s">
        <v>100</v>
      </c>
      <c r="L820" s="14"/>
      <c r="M820" s="12" t="s">
        <v>43</v>
      </c>
      <c r="N820" s="12" t="s">
        <v>84</v>
      </c>
      <c r="O820" s="12" t="s">
        <v>3489</v>
      </c>
      <c r="P820" s="12" t="s">
        <v>66</v>
      </c>
      <c r="Q820" s="12" t="s">
        <v>67</v>
      </c>
      <c r="R820" s="12" t="s">
        <v>1200</v>
      </c>
      <c r="S820" s="13">
        <v>197804585328</v>
      </c>
      <c r="T820" s="12" t="s">
        <v>49</v>
      </c>
      <c r="U820" s="12" t="s">
        <v>179</v>
      </c>
      <c r="V820" s="12" t="s">
        <v>1201</v>
      </c>
      <c r="W820" s="12" t="s">
        <v>175</v>
      </c>
      <c r="X820" s="14"/>
      <c r="Y820" s="14"/>
      <c r="Z820" s="14"/>
      <c r="AA820" s="14"/>
      <c r="AB820" s="14"/>
      <c r="AC820" s="15">
        <v>20.5</v>
      </c>
      <c r="AD820" s="15">
        <f>AC820*AG820</f>
        <v>164</v>
      </c>
      <c r="AE820" s="15">
        <v>45</v>
      </c>
      <c r="AF820" s="15">
        <f>AE820*AG820</f>
        <v>360</v>
      </c>
      <c r="AG820" s="16">
        <v>8</v>
      </c>
    </row>
    <row r="821" spans="1:33" ht="15" customHeight="1" x14ac:dyDescent="0.2">
      <c r="A821" s="11" t="str">
        <f t="shared" ref="A821:A1415" si="362">HYPERLINK("https://assets.vans.eu/images/VN000R8XBLK-HERO/1","VN000R8XBLK1")</f>
        <v>VN000R8XBLK1</v>
      </c>
      <c r="B821" s="12" t="s">
        <v>3490</v>
      </c>
      <c r="C821" s="12" t="s">
        <v>3491</v>
      </c>
      <c r="D821" s="12" t="s">
        <v>76</v>
      </c>
      <c r="E821" s="12" t="s">
        <v>3492</v>
      </c>
      <c r="F821" s="12" t="s">
        <v>179</v>
      </c>
      <c r="G821" s="14"/>
      <c r="H821" s="12" t="s">
        <v>61</v>
      </c>
      <c r="I821" s="12" t="s">
        <v>230</v>
      </c>
      <c r="J821" s="12" t="s">
        <v>762</v>
      </c>
      <c r="K821" s="12" t="s">
        <v>199</v>
      </c>
      <c r="L821" s="12" t="s">
        <v>83</v>
      </c>
      <c r="M821" s="12" t="s">
        <v>43</v>
      </c>
      <c r="N821" s="12" t="s">
        <v>84</v>
      </c>
      <c r="O821" s="12" t="s">
        <v>3493</v>
      </c>
      <c r="P821" s="12" t="s">
        <v>66</v>
      </c>
      <c r="Q821" s="12" t="s">
        <v>764</v>
      </c>
      <c r="R821" s="12" t="s">
        <v>765</v>
      </c>
      <c r="S821" s="13">
        <v>197804296590</v>
      </c>
      <c r="T821" s="12" t="s">
        <v>235</v>
      </c>
      <c r="U821" s="12" t="s">
        <v>179</v>
      </c>
      <c r="V821" s="12" t="s">
        <v>3494</v>
      </c>
      <c r="W821" s="12" t="s">
        <v>51</v>
      </c>
      <c r="X821" s="14"/>
      <c r="Y821" s="14"/>
      <c r="Z821" s="14"/>
      <c r="AA821" s="14"/>
      <c r="AB821" s="14"/>
      <c r="AC821" s="15">
        <v>90.95</v>
      </c>
      <c r="AD821" s="15">
        <f>AC821*AG821</f>
        <v>727.6</v>
      </c>
      <c r="AE821" s="15">
        <v>200</v>
      </c>
      <c r="AF821" s="15">
        <f>AE821*AG821</f>
        <v>1600</v>
      </c>
      <c r="AG821" s="16">
        <v>8</v>
      </c>
    </row>
    <row r="822" spans="1:33" ht="15" customHeight="1" x14ac:dyDescent="0.2">
      <c r="A822" s="11" t="str">
        <f t="shared" ref="A822:A917" si="363">HYPERLINK("https://assets.vans.eu/images/VN000R92FBG-HERO/1","VN000R92FBG1")</f>
        <v>VN000R92FBG1</v>
      </c>
      <c r="B822" s="12" t="s">
        <v>3495</v>
      </c>
      <c r="C822" s="12" t="s">
        <v>2250</v>
      </c>
      <c r="D822" s="12" t="s">
        <v>3496</v>
      </c>
      <c r="E822" s="12" t="s">
        <v>3497</v>
      </c>
      <c r="F822" s="12" t="s">
        <v>170</v>
      </c>
      <c r="G822" s="14"/>
      <c r="H822" s="12" t="s">
        <v>61</v>
      </c>
      <c r="I822" s="12" t="s">
        <v>230</v>
      </c>
      <c r="J822" s="12" t="s">
        <v>419</v>
      </c>
      <c r="K822" s="12" t="s">
        <v>199</v>
      </c>
      <c r="L822" s="12" t="s">
        <v>83</v>
      </c>
      <c r="M822" s="12" t="s">
        <v>43</v>
      </c>
      <c r="N822" s="12" t="s">
        <v>84</v>
      </c>
      <c r="O822" s="12" t="s">
        <v>3498</v>
      </c>
      <c r="P822" s="12" t="s">
        <v>66</v>
      </c>
      <c r="Q822" s="12" t="s">
        <v>67</v>
      </c>
      <c r="R822" s="12" t="s">
        <v>1490</v>
      </c>
      <c r="S822" s="13">
        <v>197804664573</v>
      </c>
      <c r="T822" s="12" t="s">
        <v>2253</v>
      </c>
      <c r="U822" s="12" t="s">
        <v>170</v>
      </c>
      <c r="V822" s="12" t="s">
        <v>2254</v>
      </c>
      <c r="W822" s="12" t="s">
        <v>284</v>
      </c>
      <c r="X822" s="14"/>
      <c r="Y822" s="14"/>
      <c r="Z822" s="14"/>
      <c r="AA822" s="14"/>
      <c r="AB822" s="14"/>
      <c r="AC822" s="15">
        <v>63.65</v>
      </c>
      <c r="AD822" s="15">
        <f>AC822*AG822</f>
        <v>509.2</v>
      </c>
      <c r="AE822" s="15">
        <v>140</v>
      </c>
      <c r="AF822" s="15">
        <f>AE822*AG822</f>
        <v>1120</v>
      </c>
      <c r="AG822" s="16">
        <v>8</v>
      </c>
    </row>
    <row r="823" spans="1:33" ht="15" customHeight="1" x14ac:dyDescent="0.2">
      <c r="A823" s="11" t="str">
        <f t="shared" si="295"/>
        <v>VN000RARFS81</v>
      </c>
      <c r="B823" s="12" t="s">
        <v>3499</v>
      </c>
      <c r="C823" s="12" t="s">
        <v>2945</v>
      </c>
      <c r="D823" s="12" t="s">
        <v>239</v>
      </c>
      <c r="E823" s="12" t="s">
        <v>3500</v>
      </c>
      <c r="F823" s="12" t="s">
        <v>170</v>
      </c>
      <c r="G823" s="14"/>
      <c r="H823" s="12" t="s">
        <v>61</v>
      </c>
      <c r="I823" s="12" t="s">
        <v>230</v>
      </c>
      <c r="J823" s="12" t="s">
        <v>419</v>
      </c>
      <c r="K823" s="12" t="s">
        <v>199</v>
      </c>
      <c r="L823" s="12" t="s">
        <v>83</v>
      </c>
      <c r="M823" s="12" t="s">
        <v>43</v>
      </c>
      <c r="N823" s="12" t="s">
        <v>84</v>
      </c>
      <c r="O823" s="12" t="s">
        <v>3501</v>
      </c>
      <c r="P823" s="12" t="s">
        <v>66</v>
      </c>
      <c r="Q823" s="12" t="s">
        <v>67</v>
      </c>
      <c r="R823" s="12" t="s">
        <v>623</v>
      </c>
      <c r="S823" s="13">
        <v>197804350315</v>
      </c>
      <c r="T823" s="12" t="s">
        <v>69</v>
      </c>
      <c r="U823" s="12" t="s">
        <v>170</v>
      </c>
      <c r="V823" s="12" t="s">
        <v>70</v>
      </c>
      <c r="W823" s="12" t="s">
        <v>175</v>
      </c>
      <c r="X823" s="13">
        <v>0</v>
      </c>
      <c r="Y823" s="12" t="s">
        <v>91</v>
      </c>
      <c r="Z823" s="12" t="s">
        <v>92</v>
      </c>
      <c r="AA823" s="12" t="s">
        <v>626</v>
      </c>
      <c r="AB823" s="12" t="s">
        <v>94</v>
      </c>
      <c r="AC823" s="15">
        <v>38.65</v>
      </c>
      <c r="AD823" s="15">
        <f>AC823*AG823</f>
        <v>309.2</v>
      </c>
      <c r="AE823" s="15">
        <v>85</v>
      </c>
      <c r="AF823" s="15">
        <f>AE823*AG823</f>
        <v>680</v>
      </c>
      <c r="AG823" s="16">
        <v>8</v>
      </c>
    </row>
    <row r="824" spans="1:33" ht="15" customHeight="1" x14ac:dyDescent="0.2">
      <c r="A824" s="11" t="str">
        <f t="shared" si="296"/>
        <v>VN000RCHWHT1</v>
      </c>
      <c r="B824" s="12" t="s">
        <v>3502</v>
      </c>
      <c r="C824" s="12" t="s">
        <v>2949</v>
      </c>
      <c r="D824" s="12" t="s">
        <v>168</v>
      </c>
      <c r="E824" s="12" t="s">
        <v>3503</v>
      </c>
      <c r="F824" s="12" t="s">
        <v>170</v>
      </c>
      <c r="G824" s="14"/>
      <c r="H824" s="12" t="s">
        <v>61</v>
      </c>
      <c r="I824" s="12" t="s">
        <v>289</v>
      </c>
      <c r="J824" s="12" t="s">
        <v>706</v>
      </c>
      <c r="K824" s="12" t="s">
        <v>100</v>
      </c>
      <c r="L824" s="14"/>
      <c r="M824" s="12" t="s">
        <v>43</v>
      </c>
      <c r="N824" s="12" t="s">
        <v>84</v>
      </c>
      <c r="O824" s="12" t="s">
        <v>3504</v>
      </c>
      <c r="P824" s="12" t="s">
        <v>66</v>
      </c>
      <c r="Q824" s="12" t="s">
        <v>67</v>
      </c>
      <c r="R824" s="12" t="s">
        <v>1146</v>
      </c>
      <c r="S824" s="13">
        <v>197804667017</v>
      </c>
      <c r="T824" s="12" t="s">
        <v>709</v>
      </c>
      <c r="U824" s="12" t="s">
        <v>170</v>
      </c>
      <c r="V824" s="12" t="s">
        <v>665</v>
      </c>
      <c r="W824" s="12" t="s">
        <v>175</v>
      </c>
      <c r="X824" s="14"/>
      <c r="Y824" s="14"/>
      <c r="Z824" s="14"/>
      <c r="AA824" s="14"/>
      <c r="AB824" s="14"/>
      <c r="AC824" s="15">
        <v>20.5</v>
      </c>
      <c r="AD824" s="15">
        <f>AC824*AG824</f>
        <v>164</v>
      </c>
      <c r="AE824" s="15">
        <v>45</v>
      </c>
      <c r="AF824" s="15">
        <f>AE824*AG824</f>
        <v>360</v>
      </c>
      <c r="AG824" s="16">
        <v>8</v>
      </c>
    </row>
    <row r="825" spans="1:33" ht="15" customHeight="1" x14ac:dyDescent="0.2">
      <c r="A825" s="11" t="str">
        <f t="shared" si="187"/>
        <v>VN000RFMEMV1</v>
      </c>
      <c r="B825" s="12" t="s">
        <v>3505</v>
      </c>
      <c r="C825" s="12" t="s">
        <v>2083</v>
      </c>
      <c r="D825" s="12" t="s">
        <v>1908</v>
      </c>
      <c r="E825" s="12" t="s">
        <v>3506</v>
      </c>
      <c r="F825" s="12" t="s">
        <v>179</v>
      </c>
      <c r="G825" s="14"/>
      <c r="H825" s="12" t="s">
        <v>61</v>
      </c>
      <c r="I825" s="12" t="s">
        <v>230</v>
      </c>
      <c r="J825" s="12" t="s">
        <v>419</v>
      </c>
      <c r="K825" s="12" t="s">
        <v>199</v>
      </c>
      <c r="L825" s="12" t="s">
        <v>83</v>
      </c>
      <c r="M825" s="12" t="s">
        <v>43</v>
      </c>
      <c r="N825" s="12" t="s">
        <v>84</v>
      </c>
      <c r="O825" s="12" t="s">
        <v>3507</v>
      </c>
      <c r="P825" s="12" t="s">
        <v>66</v>
      </c>
      <c r="Q825" s="12" t="s">
        <v>67</v>
      </c>
      <c r="R825" s="12" t="s">
        <v>421</v>
      </c>
      <c r="S825" s="13">
        <v>197804327270</v>
      </c>
      <c r="T825" s="12" t="s">
        <v>422</v>
      </c>
      <c r="U825" s="12" t="s">
        <v>179</v>
      </c>
      <c r="V825" s="12" t="s">
        <v>423</v>
      </c>
      <c r="W825" s="12" t="s">
        <v>51</v>
      </c>
      <c r="X825" s="14"/>
      <c r="Y825" s="14"/>
      <c r="Z825" s="14"/>
      <c r="AA825" s="14"/>
      <c r="AB825" s="14"/>
      <c r="AC825" s="15">
        <v>20.5</v>
      </c>
      <c r="AD825" s="15">
        <f>AC825*AG825</f>
        <v>164</v>
      </c>
      <c r="AE825" s="15">
        <v>45</v>
      </c>
      <c r="AF825" s="15">
        <f>AE825*AG825</f>
        <v>360</v>
      </c>
      <c r="AG825" s="16">
        <v>8</v>
      </c>
    </row>
    <row r="826" spans="1:33" ht="15" customHeight="1" x14ac:dyDescent="0.2">
      <c r="A826" s="11" t="str">
        <f t="shared" ref="A826:A922" si="364">HYPERLINK("https://assets.vans.eu/images/VN000RFUWHT-HERO/1","VN000RFUWHT1")</f>
        <v>VN000RFUWHT1</v>
      </c>
      <c r="B826" s="12" t="s">
        <v>3508</v>
      </c>
      <c r="C826" s="12" t="s">
        <v>3509</v>
      </c>
      <c r="D826" s="12" t="s">
        <v>168</v>
      </c>
      <c r="E826" s="12" t="s">
        <v>3510</v>
      </c>
      <c r="F826" s="12" t="s">
        <v>60</v>
      </c>
      <c r="G826" s="14"/>
      <c r="H826" s="12" t="s">
        <v>61</v>
      </c>
      <c r="I826" s="12" t="s">
        <v>230</v>
      </c>
      <c r="J826" s="12" t="s">
        <v>419</v>
      </c>
      <c r="K826" s="12" t="s">
        <v>199</v>
      </c>
      <c r="L826" s="12" t="s">
        <v>83</v>
      </c>
      <c r="M826" s="12" t="s">
        <v>43</v>
      </c>
      <c r="N826" s="12" t="s">
        <v>84</v>
      </c>
      <c r="O826" s="12" t="s">
        <v>3511</v>
      </c>
      <c r="P826" s="12" t="s">
        <v>66</v>
      </c>
      <c r="Q826" s="12" t="s">
        <v>67</v>
      </c>
      <c r="R826" s="12" t="s">
        <v>421</v>
      </c>
      <c r="S826" s="13">
        <v>197804327942</v>
      </c>
      <c r="T826" s="12" t="s">
        <v>422</v>
      </c>
      <c r="U826" s="12" t="s">
        <v>60</v>
      </c>
      <c r="V826" s="12" t="s">
        <v>423</v>
      </c>
      <c r="W826" s="12" t="s">
        <v>175</v>
      </c>
      <c r="X826" s="14"/>
      <c r="Y826" s="14"/>
      <c r="Z826" s="14"/>
      <c r="AA826" s="14"/>
      <c r="AB826" s="14"/>
      <c r="AC826" s="15">
        <v>20.5</v>
      </c>
      <c r="AD826" s="15">
        <f>AC826*AG826</f>
        <v>164</v>
      </c>
      <c r="AE826" s="15">
        <v>45</v>
      </c>
      <c r="AF826" s="15">
        <f>AE826*AG826</f>
        <v>360</v>
      </c>
      <c r="AG826" s="16">
        <v>8</v>
      </c>
    </row>
    <row r="827" spans="1:33" ht="15" customHeight="1" x14ac:dyDescent="0.2">
      <c r="A827" s="11" t="str">
        <f t="shared" si="364"/>
        <v>VN000RFUWHT1</v>
      </c>
      <c r="B827" s="12" t="s">
        <v>3512</v>
      </c>
      <c r="C827" s="12" t="s">
        <v>3509</v>
      </c>
      <c r="D827" s="12" t="s">
        <v>168</v>
      </c>
      <c r="E827" s="12" t="s">
        <v>3513</v>
      </c>
      <c r="F827" s="12" t="s">
        <v>621</v>
      </c>
      <c r="G827" s="14"/>
      <c r="H827" s="12" t="s">
        <v>61</v>
      </c>
      <c r="I827" s="12" t="s">
        <v>230</v>
      </c>
      <c r="J827" s="12" t="s">
        <v>419</v>
      </c>
      <c r="K827" s="12" t="s">
        <v>199</v>
      </c>
      <c r="L827" s="12" t="s">
        <v>83</v>
      </c>
      <c r="M827" s="12" t="s">
        <v>43</v>
      </c>
      <c r="N827" s="12" t="s">
        <v>84</v>
      </c>
      <c r="O827" s="12" t="s">
        <v>3514</v>
      </c>
      <c r="P827" s="12" t="s">
        <v>66</v>
      </c>
      <c r="Q827" s="12" t="s">
        <v>67</v>
      </c>
      <c r="R827" s="12" t="s">
        <v>421</v>
      </c>
      <c r="S827" s="13">
        <v>197804328178</v>
      </c>
      <c r="T827" s="12" t="s">
        <v>422</v>
      </c>
      <c r="U827" s="12" t="s">
        <v>621</v>
      </c>
      <c r="V827" s="12" t="s">
        <v>423</v>
      </c>
      <c r="W827" s="12" t="s">
        <v>175</v>
      </c>
      <c r="X827" s="14"/>
      <c r="Y827" s="14"/>
      <c r="Z827" s="14"/>
      <c r="AA827" s="14"/>
      <c r="AB827" s="14"/>
      <c r="AC827" s="15">
        <v>20.5</v>
      </c>
      <c r="AD827" s="15">
        <f>AC827*AG827</f>
        <v>164</v>
      </c>
      <c r="AE827" s="15">
        <v>45</v>
      </c>
      <c r="AF827" s="15">
        <f>AE827*AG827</f>
        <v>360</v>
      </c>
      <c r="AG827" s="16">
        <v>8</v>
      </c>
    </row>
    <row r="828" spans="1:33" ht="15" customHeight="1" x14ac:dyDescent="0.2">
      <c r="A828" s="11" t="str">
        <f>HYPERLINK("https://assets.vans.eu/images/VN000RPJ7D6-HERO/1","VN000RPJ7D61")</f>
        <v>VN000RPJ7D61</v>
      </c>
      <c r="B828" s="12" t="s">
        <v>3515</v>
      </c>
      <c r="C828" s="12" t="s">
        <v>286</v>
      </c>
      <c r="D828" s="12" t="s">
        <v>1231</v>
      </c>
      <c r="E828" s="12" t="s">
        <v>3516</v>
      </c>
      <c r="F828" s="12" t="s">
        <v>3517</v>
      </c>
      <c r="G828" s="14"/>
      <c r="H828" s="12" t="s">
        <v>61</v>
      </c>
      <c r="I828" s="12" t="s">
        <v>289</v>
      </c>
      <c r="J828" s="12" t="s">
        <v>290</v>
      </c>
      <c r="K828" s="12" t="s">
        <v>100</v>
      </c>
      <c r="L828" s="14"/>
      <c r="M828" s="12" t="s">
        <v>43</v>
      </c>
      <c r="N828" s="12" t="s">
        <v>84</v>
      </c>
      <c r="O828" s="12" t="s">
        <v>3518</v>
      </c>
      <c r="P828" s="12" t="s">
        <v>66</v>
      </c>
      <c r="Q828" s="12" t="s">
        <v>233</v>
      </c>
      <c r="R828" s="12" t="s">
        <v>664</v>
      </c>
      <c r="S828" s="13">
        <v>197804686759</v>
      </c>
      <c r="T828" s="12" t="s">
        <v>143</v>
      </c>
      <c r="U828" s="12" t="s">
        <v>3517</v>
      </c>
      <c r="V828" s="12" t="s">
        <v>3519</v>
      </c>
      <c r="W828" s="12" t="s">
        <v>186</v>
      </c>
      <c r="X828" s="14"/>
      <c r="Y828" s="14"/>
      <c r="Z828" s="14"/>
      <c r="AA828" s="14"/>
      <c r="AB828" s="14"/>
      <c r="AC828" s="15">
        <v>29.55</v>
      </c>
      <c r="AD828" s="15">
        <f>AC828*AG828</f>
        <v>236.4</v>
      </c>
      <c r="AE828" s="15">
        <v>65</v>
      </c>
      <c r="AF828" s="15">
        <f>AE828*AG828</f>
        <v>520</v>
      </c>
      <c r="AG828" s="16">
        <v>8</v>
      </c>
    </row>
    <row r="829" spans="1:33" ht="15" customHeight="1" x14ac:dyDescent="0.2">
      <c r="A829" s="11" t="str">
        <f>HYPERLINK("https://assets.vans.eu/images/VN000SPARU0-HERO/1","VN000SPARU01")</f>
        <v>VN000SPARU01</v>
      </c>
      <c r="B829" s="12" t="s">
        <v>3520</v>
      </c>
      <c r="C829" s="12" t="s">
        <v>1061</v>
      </c>
      <c r="D829" s="12" t="s">
        <v>3521</v>
      </c>
      <c r="E829" s="12" t="s">
        <v>3522</v>
      </c>
      <c r="F829" s="12" t="s">
        <v>403</v>
      </c>
      <c r="G829" s="14"/>
      <c r="H829" s="12" t="s">
        <v>61</v>
      </c>
      <c r="I829" s="12" t="s">
        <v>230</v>
      </c>
      <c r="J829" s="12" t="s">
        <v>419</v>
      </c>
      <c r="K829" s="12" t="s">
        <v>199</v>
      </c>
      <c r="L829" s="14"/>
      <c r="M829" s="12" t="s">
        <v>43</v>
      </c>
      <c r="N829" s="12" t="s">
        <v>84</v>
      </c>
      <c r="O829" s="12" t="s">
        <v>3523</v>
      </c>
      <c r="P829" s="12" t="s">
        <v>66</v>
      </c>
      <c r="Q829" s="12" t="s">
        <v>67</v>
      </c>
      <c r="R829" s="12" t="s">
        <v>421</v>
      </c>
      <c r="S829" s="13">
        <v>197805969684</v>
      </c>
      <c r="T829" s="12" t="s">
        <v>1065</v>
      </c>
      <c r="U829" s="12" t="s">
        <v>403</v>
      </c>
      <c r="V829" s="12" t="s">
        <v>423</v>
      </c>
      <c r="W829" s="12" t="s">
        <v>284</v>
      </c>
      <c r="X829" s="14"/>
      <c r="Y829" s="14"/>
      <c r="Z829" s="14"/>
      <c r="AA829" s="14"/>
      <c r="AB829" s="14"/>
      <c r="AC829" s="15">
        <v>12.75</v>
      </c>
      <c r="AD829" s="15">
        <f>AC829*AG829</f>
        <v>102</v>
      </c>
      <c r="AE829" s="15">
        <v>28</v>
      </c>
      <c r="AF829" s="15">
        <f>AE829*AG829</f>
        <v>224</v>
      </c>
      <c r="AG829" s="16">
        <v>8</v>
      </c>
    </row>
    <row r="830" spans="1:33" ht="15" customHeight="1" x14ac:dyDescent="0.2">
      <c r="A830" s="11" t="str">
        <f t="shared" ref="A830:A1051" si="365">HYPERLINK("https://assets.vans.eu/images/VN00104UWHT-HERO/1","VN00104UWHT1")</f>
        <v>VN00104UWHT1</v>
      </c>
      <c r="B830" s="12" t="s">
        <v>3524</v>
      </c>
      <c r="C830" s="12" t="s">
        <v>862</v>
      </c>
      <c r="D830" s="12" t="s">
        <v>168</v>
      </c>
      <c r="E830" s="12" t="s">
        <v>3525</v>
      </c>
      <c r="F830" s="12" t="s">
        <v>170</v>
      </c>
      <c r="G830" s="14"/>
      <c r="H830" s="12" t="s">
        <v>61</v>
      </c>
      <c r="I830" s="12" t="s">
        <v>230</v>
      </c>
      <c r="J830" s="12" t="s">
        <v>419</v>
      </c>
      <c r="K830" s="12" t="s">
        <v>199</v>
      </c>
      <c r="L830" s="12" t="s">
        <v>115</v>
      </c>
      <c r="M830" s="12" t="s">
        <v>43</v>
      </c>
      <c r="N830" s="12" t="s">
        <v>84</v>
      </c>
      <c r="O830" s="12" t="s">
        <v>3526</v>
      </c>
      <c r="P830" s="12" t="s">
        <v>66</v>
      </c>
      <c r="Q830" s="12" t="s">
        <v>67</v>
      </c>
      <c r="R830" s="12" t="s">
        <v>421</v>
      </c>
      <c r="S830" s="13">
        <v>198268437451</v>
      </c>
      <c r="T830" s="12" t="s">
        <v>69</v>
      </c>
      <c r="U830" s="12" t="s">
        <v>170</v>
      </c>
      <c r="V830" s="12" t="s">
        <v>70</v>
      </c>
      <c r="W830" s="12" t="s">
        <v>175</v>
      </c>
      <c r="X830" s="14"/>
      <c r="Y830" s="14"/>
      <c r="Z830" s="14"/>
      <c r="AA830" s="14"/>
      <c r="AB830" s="14"/>
      <c r="AC830" s="15">
        <v>18.2</v>
      </c>
      <c r="AD830" s="15">
        <f>AC830*AG830</f>
        <v>145.6</v>
      </c>
      <c r="AE830" s="15">
        <v>40</v>
      </c>
      <c r="AF830" s="15">
        <f>AE830*AG830</f>
        <v>320</v>
      </c>
      <c r="AG830" s="16">
        <v>8</v>
      </c>
    </row>
    <row r="831" spans="1:33" ht="15" customHeight="1" x14ac:dyDescent="0.2">
      <c r="A831" s="11" t="str">
        <f t="shared" si="63"/>
        <v>VN0010J9WHT1</v>
      </c>
      <c r="B831" s="12" t="s">
        <v>3527</v>
      </c>
      <c r="C831" s="12" t="s">
        <v>988</v>
      </c>
      <c r="D831" s="12" t="s">
        <v>168</v>
      </c>
      <c r="E831" s="12" t="s">
        <v>3528</v>
      </c>
      <c r="F831" s="12" t="s">
        <v>621</v>
      </c>
      <c r="G831" s="14"/>
      <c r="H831" s="12" t="s">
        <v>61</v>
      </c>
      <c r="I831" s="12" t="s">
        <v>230</v>
      </c>
      <c r="J831" s="12" t="s">
        <v>419</v>
      </c>
      <c r="K831" s="12" t="s">
        <v>199</v>
      </c>
      <c r="L831" s="12" t="s">
        <v>115</v>
      </c>
      <c r="M831" s="12" t="s">
        <v>43</v>
      </c>
      <c r="N831" s="12" t="s">
        <v>84</v>
      </c>
      <c r="O831" s="12" t="s">
        <v>3529</v>
      </c>
      <c r="P831" s="12" t="s">
        <v>66</v>
      </c>
      <c r="Q831" s="12" t="s">
        <v>67</v>
      </c>
      <c r="R831" s="12" t="s">
        <v>421</v>
      </c>
      <c r="S831" s="13">
        <v>198269183937</v>
      </c>
      <c r="T831" s="12" t="s">
        <v>69</v>
      </c>
      <c r="U831" s="12" t="s">
        <v>621</v>
      </c>
      <c r="V831" s="12" t="s">
        <v>665</v>
      </c>
      <c r="W831" s="12" t="s">
        <v>175</v>
      </c>
      <c r="X831" s="14"/>
      <c r="Y831" s="14"/>
      <c r="Z831" s="14"/>
      <c r="AA831" s="14"/>
      <c r="AB831" s="14"/>
      <c r="AC831" s="15">
        <v>18.2</v>
      </c>
      <c r="AD831" s="15">
        <f>AC831*AG831</f>
        <v>145.6</v>
      </c>
      <c r="AE831" s="15">
        <v>40</v>
      </c>
      <c r="AF831" s="15">
        <f>AE831*AG831</f>
        <v>320</v>
      </c>
      <c r="AG831" s="16">
        <v>8</v>
      </c>
    </row>
    <row r="832" spans="1:33" ht="15" customHeight="1" x14ac:dyDescent="0.2">
      <c r="A832" s="11" t="str">
        <f>HYPERLINK("https://assets.vans.eu/images/VN000HRFBLK-HERO/1","VN000HRFBLK1")</f>
        <v>VN000HRFBLK1</v>
      </c>
      <c r="B832" s="12" t="s">
        <v>3530</v>
      </c>
      <c r="C832" s="12" t="s">
        <v>3531</v>
      </c>
      <c r="D832" s="12" t="s">
        <v>76</v>
      </c>
      <c r="E832" s="12" t="s">
        <v>3532</v>
      </c>
      <c r="F832" s="12" t="s">
        <v>78</v>
      </c>
      <c r="G832" s="14"/>
      <c r="H832" s="12" t="s">
        <v>441</v>
      </c>
      <c r="I832" s="12" t="s">
        <v>442</v>
      </c>
      <c r="J832" s="12" t="s">
        <v>443</v>
      </c>
      <c r="K832" s="12" t="s">
        <v>82</v>
      </c>
      <c r="L832" s="14"/>
      <c r="M832" s="12" t="s">
        <v>43</v>
      </c>
      <c r="N832" s="12" t="s">
        <v>84</v>
      </c>
      <c r="O832" s="12" t="s">
        <v>3533</v>
      </c>
      <c r="P832" s="12" t="s">
        <v>445</v>
      </c>
      <c r="Q832" s="12" t="s">
        <v>446</v>
      </c>
      <c r="R832" s="12" t="s">
        <v>447</v>
      </c>
      <c r="S832" s="13">
        <v>197065461089</v>
      </c>
      <c r="T832" s="12" t="s">
        <v>130</v>
      </c>
      <c r="U832" s="12" t="s">
        <v>78</v>
      </c>
      <c r="V832" s="12" t="s">
        <v>3534</v>
      </c>
      <c r="W832" s="12" t="s">
        <v>51</v>
      </c>
      <c r="X832" s="13">
        <v>0</v>
      </c>
      <c r="Y832" s="12" t="s">
        <v>53</v>
      </c>
      <c r="Z832" s="12" t="s">
        <v>108</v>
      </c>
      <c r="AA832" s="13">
        <v>0</v>
      </c>
      <c r="AB832" s="13">
        <v>0</v>
      </c>
      <c r="AC832" s="15">
        <v>40.950000000000003</v>
      </c>
      <c r="AD832" s="15">
        <f>AC832*AG832</f>
        <v>327.60000000000002</v>
      </c>
      <c r="AE832" s="15">
        <v>90</v>
      </c>
      <c r="AF832" s="15">
        <f>AE832*AG832</f>
        <v>720</v>
      </c>
      <c r="AG832" s="16">
        <v>8</v>
      </c>
    </row>
    <row r="833" spans="1:33" ht="15" customHeight="1" x14ac:dyDescent="0.2">
      <c r="A833" s="11" t="str">
        <f t="shared" ref="A833:A2420" si="366">HYPERLINK("https://assets.vans.eu/images/VN000BCECCZ-HERO/1","VN000BCECCZ1")</f>
        <v>VN000BCECCZ1</v>
      </c>
      <c r="B833" s="12" t="s">
        <v>3535</v>
      </c>
      <c r="C833" s="12" t="s">
        <v>1103</v>
      </c>
      <c r="D833" s="12" t="s">
        <v>1104</v>
      </c>
      <c r="E833" s="12" t="s">
        <v>3536</v>
      </c>
      <c r="F833" s="13">
        <v>120</v>
      </c>
      <c r="G833" s="14"/>
      <c r="H833" s="12" t="s">
        <v>38</v>
      </c>
      <c r="I833" s="12" t="s">
        <v>159</v>
      </c>
      <c r="J833" s="12" t="s">
        <v>255</v>
      </c>
      <c r="K833" s="12" t="s">
        <v>82</v>
      </c>
      <c r="L833" s="14"/>
      <c r="M833" s="12" t="s">
        <v>43</v>
      </c>
      <c r="N833" s="12" t="s">
        <v>84</v>
      </c>
      <c r="O833" s="12" t="s">
        <v>3537</v>
      </c>
      <c r="P833" s="12" t="s">
        <v>46</v>
      </c>
      <c r="Q833" s="12" t="s">
        <v>47</v>
      </c>
      <c r="R833" s="12" t="s">
        <v>163</v>
      </c>
      <c r="S833" s="13">
        <v>197804620883</v>
      </c>
      <c r="T833" s="12" t="s">
        <v>49</v>
      </c>
      <c r="U833" s="13">
        <v>46</v>
      </c>
      <c r="V833" s="12" t="s">
        <v>50</v>
      </c>
      <c r="W833" s="12" t="s">
        <v>175</v>
      </c>
      <c r="X833" s="14"/>
      <c r="Y833" s="14"/>
      <c r="Z833" s="14"/>
      <c r="AA833" s="14"/>
      <c r="AB833" s="14"/>
      <c r="AC833" s="15">
        <v>59.1</v>
      </c>
      <c r="AD833" s="15">
        <f>AC833*AG833</f>
        <v>472.8</v>
      </c>
      <c r="AE833" s="15">
        <v>130</v>
      </c>
      <c r="AF833" s="15">
        <f>AE833*AG833</f>
        <v>1040</v>
      </c>
      <c r="AG833" s="16">
        <v>8</v>
      </c>
    </row>
    <row r="834" spans="1:33" ht="15" customHeight="1" x14ac:dyDescent="0.2">
      <c r="A834" s="11" t="str">
        <f t="shared" ref="A834:A835" si="367">HYPERLINK("https://assets.vans.eu/images/VN000CQRBZW-HERO/1","VN000CQRBZW1")</f>
        <v>VN000CQRBZW1</v>
      </c>
      <c r="B834" s="12" t="s">
        <v>3538</v>
      </c>
      <c r="C834" s="12" t="s">
        <v>1458</v>
      </c>
      <c r="D834" s="12" t="s">
        <v>58</v>
      </c>
      <c r="E834" s="12" t="s">
        <v>3539</v>
      </c>
      <c r="F834" s="13">
        <v>35</v>
      </c>
      <c r="G834" s="14"/>
      <c r="H834" s="12" t="s">
        <v>38</v>
      </c>
      <c r="I834" s="12" t="s">
        <v>113</v>
      </c>
      <c r="J834" s="12" t="s">
        <v>529</v>
      </c>
      <c r="K834" s="12" t="s">
        <v>82</v>
      </c>
      <c r="L834" s="14"/>
      <c r="M834" s="12" t="s">
        <v>43</v>
      </c>
      <c r="N834" s="12" t="s">
        <v>84</v>
      </c>
      <c r="O834" s="12" t="s">
        <v>3540</v>
      </c>
      <c r="P834" s="12" t="s">
        <v>46</v>
      </c>
      <c r="Q834" s="12" t="s">
        <v>47</v>
      </c>
      <c r="R834" s="12" t="s">
        <v>117</v>
      </c>
      <c r="S834" s="13">
        <v>196575345803</v>
      </c>
      <c r="T834" s="12" t="s">
        <v>105</v>
      </c>
      <c r="U834" s="13">
        <v>34.5</v>
      </c>
      <c r="V834" s="12" t="s">
        <v>50</v>
      </c>
      <c r="W834" s="12" t="s">
        <v>51</v>
      </c>
      <c r="X834" s="14"/>
      <c r="Y834" s="12" t="s">
        <v>91</v>
      </c>
      <c r="Z834" s="12" t="s">
        <v>263</v>
      </c>
      <c r="AA834" s="14"/>
      <c r="AB834" s="14"/>
      <c r="AC834" s="15">
        <v>43.2</v>
      </c>
      <c r="AD834" s="15">
        <f>AC834*AG834</f>
        <v>345.6</v>
      </c>
      <c r="AE834" s="15">
        <v>95</v>
      </c>
      <c r="AF834" s="15">
        <f>AE834*AG834</f>
        <v>760</v>
      </c>
      <c r="AG834" s="16">
        <v>8</v>
      </c>
    </row>
    <row r="835" spans="1:33" ht="15" customHeight="1" x14ac:dyDescent="0.2">
      <c r="A835" s="11" t="str">
        <f t="shared" si="367"/>
        <v>VN000CQRBZW1</v>
      </c>
      <c r="B835" s="12" t="s">
        <v>3541</v>
      </c>
      <c r="C835" s="12" t="s">
        <v>1458</v>
      </c>
      <c r="D835" s="12" t="s">
        <v>58</v>
      </c>
      <c r="E835" s="12" t="s">
        <v>3542</v>
      </c>
      <c r="F835" s="13">
        <v>40</v>
      </c>
      <c r="G835" s="14"/>
      <c r="H835" s="12" t="s">
        <v>38</v>
      </c>
      <c r="I835" s="12" t="s">
        <v>113</v>
      </c>
      <c r="J835" s="12" t="s">
        <v>529</v>
      </c>
      <c r="K835" s="12" t="s">
        <v>82</v>
      </c>
      <c r="L835" s="14"/>
      <c r="M835" s="12" t="s">
        <v>43</v>
      </c>
      <c r="N835" s="12" t="s">
        <v>84</v>
      </c>
      <c r="O835" s="12" t="s">
        <v>3543</v>
      </c>
      <c r="P835" s="12" t="s">
        <v>46</v>
      </c>
      <c r="Q835" s="12" t="s">
        <v>47</v>
      </c>
      <c r="R835" s="12" t="s">
        <v>117</v>
      </c>
      <c r="S835" s="13">
        <v>196575346015</v>
      </c>
      <c r="T835" s="12" t="s">
        <v>105</v>
      </c>
      <c r="U835" s="13">
        <v>35</v>
      </c>
      <c r="V835" s="12" t="s">
        <v>50</v>
      </c>
      <c r="W835" s="12" t="s">
        <v>51</v>
      </c>
      <c r="X835" s="14"/>
      <c r="Y835" s="12" t="s">
        <v>91</v>
      </c>
      <c r="Z835" s="12" t="s">
        <v>263</v>
      </c>
      <c r="AA835" s="14"/>
      <c r="AB835" s="14"/>
      <c r="AC835" s="15">
        <v>43.2</v>
      </c>
      <c r="AD835" s="15">
        <f>AC835*AG835</f>
        <v>345.6</v>
      </c>
      <c r="AE835" s="15">
        <v>95</v>
      </c>
      <c r="AF835" s="15">
        <f>AE835*AG835</f>
        <v>760</v>
      </c>
      <c r="AG835" s="16">
        <v>8</v>
      </c>
    </row>
    <row r="836" spans="1:33" ht="15" customHeight="1" x14ac:dyDescent="0.2">
      <c r="A836" s="11" t="str">
        <f t="shared" si="97"/>
        <v>VN000CTGYJ71</v>
      </c>
      <c r="B836" s="12" t="s">
        <v>3544</v>
      </c>
      <c r="C836" s="12" t="s">
        <v>238</v>
      </c>
      <c r="D836" s="12" t="s">
        <v>1300</v>
      </c>
      <c r="E836" s="12" t="s">
        <v>3545</v>
      </c>
      <c r="F836" s="13">
        <v>40</v>
      </c>
      <c r="G836" s="12" t="s">
        <v>1302</v>
      </c>
      <c r="H836" s="12" t="s">
        <v>38</v>
      </c>
      <c r="I836" s="12" t="s">
        <v>242</v>
      </c>
      <c r="J836" s="12" t="s">
        <v>243</v>
      </c>
      <c r="K836" s="12" t="s">
        <v>244</v>
      </c>
      <c r="L836" s="14"/>
      <c r="M836" s="12" t="s">
        <v>43</v>
      </c>
      <c r="N836" s="12" t="s">
        <v>84</v>
      </c>
      <c r="O836" s="12" t="s">
        <v>3546</v>
      </c>
      <c r="P836" s="12" t="s">
        <v>46</v>
      </c>
      <c r="Q836" s="12" t="s">
        <v>47</v>
      </c>
      <c r="R836" s="12" t="s">
        <v>48</v>
      </c>
      <c r="S836" s="13">
        <v>197804513482</v>
      </c>
      <c r="T836" s="12" t="s">
        <v>164</v>
      </c>
      <c r="U836" s="13">
        <v>19</v>
      </c>
      <c r="V836" s="12" t="s">
        <v>50</v>
      </c>
      <c r="W836" s="12" t="s">
        <v>51</v>
      </c>
      <c r="X836" s="14"/>
      <c r="Y836" s="14"/>
      <c r="Z836" s="14"/>
      <c r="AA836" s="14"/>
      <c r="AB836" s="14"/>
      <c r="AC836" s="15">
        <v>22.75</v>
      </c>
      <c r="AD836" s="15">
        <f>AC836*AG836</f>
        <v>182</v>
      </c>
      <c r="AE836" s="15">
        <v>50</v>
      </c>
      <c r="AF836" s="15">
        <f>AE836*AG836</f>
        <v>400</v>
      </c>
      <c r="AG836" s="16">
        <v>8</v>
      </c>
    </row>
    <row r="837" spans="1:33" ht="15" customHeight="1" x14ac:dyDescent="0.2">
      <c r="A837" s="11" t="str">
        <f>HYPERLINK("https://assets.vans.eu/images/VN000CVTWHP-HERO/1","VN000CVTWHP1")</f>
        <v>VN000CVTWHP1</v>
      </c>
      <c r="B837" s="12" t="s">
        <v>3547</v>
      </c>
      <c r="C837" s="12" t="s">
        <v>944</v>
      </c>
      <c r="D837" s="12" t="s">
        <v>945</v>
      </c>
      <c r="E837" s="12" t="s">
        <v>3548</v>
      </c>
      <c r="F837" s="13">
        <v>65</v>
      </c>
      <c r="G837" s="14"/>
      <c r="H837" s="12" t="s">
        <v>38</v>
      </c>
      <c r="I837" s="12" t="s">
        <v>113</v>
      </c>
      <c r="J837" s="12" t="s">
        <v>114</v>
      </c>
      <c r="K837" s="12" t="s">
        <v>82</v>
      </c>
      <c r="L837" s="14"/>
      <c r="M837" s="12" t="s">
        <v>43</v>
      </c>
      <c r="N837" s="12" t="s">
        <v>161</v>
      </c>
      <c r="O837" s="12" t="s">
        <v>3549</v>
      </c>
      <c r="P837" s="12" t="s">
        <v>46</v>
      </c>
      <c r="Q837" s="12" t="s">
        <v>47</v>
      </c>
      <c r="R837" s="12" t="s">
        <v>948</v>
      </c>
      <c r="S837" s="13">
        <v>197065567132</v>
      </c>
      <c r="T837" s="12" t="s">
        <v>49</v>
      </c>
      <c r="U837" s="13">
        <v>38.5</v>
      </c>
      <c r="V837" s="12" t="s">
        <v>50</v>
      </c>
      <c r="W837" s="12" t="s">
        <v>175</v>
      </c>
      <c r="X837" s="14"/>
      <c r="Y837" s="12" t="s">
        <v>91</v>
      </c>
      <c r="Z837" s="12" t="s">
        <v>165</v>
      </c>
      <c r="AA837" s="14"/>
      <c r="AB837" s="14"/>
      <c r="AC837" s="15">
        <v>65.95</v>
      </c>
      <c r="AD837" s="15">
        <f>AC837*AG837</f>
        <v>527.6</v>
      </c>
      <c r="AE837" s="15">
        <v>145</v>
      </c>
      <c r="AF837" s="15">
        <f>AE837*AG837</f>
        <v>1160</v>
      </c>
      <c r="AG837" s="16">
        <v>8</v>
      </c>
    </row>
    <row r="838" spans="1:33" ht="15" customHeight="1" x14ac:dyDescent="0.2">
      <c r="A838" s="11" t="str">
        <f>HYPERLINK("https://assets.vans.eu/images/VN000CVV50K-HERO/1","VN000CVV50K1")</f>
        <v>VN000CVV50K1</v>
      </c>
      <c r="B838" s="12" t="s">
        <v>3550</v>
      </c>
      <c r="C838" s="12" t="s">
        <v>2407</v>
      </c>
      <c r="D838" s="12" t="s">
        <v>1109</v>
      </c>
      <c r="E838" s="12" t="s">
        <v>3551</v>
      </c>
      <c r="F838" s="13">
        <v>65</v>
      </c>
      <c r="G838" s="14"/>
      <c r="H838" s="12" t="s">
        <v>38</v>
      </c>
      <c r="I838" s="12" t="s">
        <v>159</v>
      </c>
      <c r="J838" s="12" t="s">
        <v>255</v>
      </c>
      <c r="K838" s="12" t="s">
        <v>82</v>
      </c>
      <c r="L838" s="14"/>
      <c r="M838" s="12" t="s">
        <v>43</v>
      </c>
      <c r="N838" s="12" t="s">
        <v>44</v>
      </c>
      <c r="O838" s="12" t="s">
        <v>3552</v>
      </c>
      <c r="P838" s="12" t="s">
        <v>46</v>
      </c>
      <c r="Q838" s="12" t="s">
        <v>47</v>
      </c>
      <c r="R838" s="12" t="s">
        <v>163</v>
      </c>
      <c r="S838" s="13">
        <v>197643166412</v>
      </c>
      <c r="T838" s="12" t="s">
        <v>49</v>
      </c>
      <c r="U838" s="13">
        <v>38.5</v>
      </c>
      <c r="V838" s="12" t="s">
        <v>278</v>
      </c>
      <c r="W838" s="12" t="s">
        <v>118</v>
      </c>
      <c r="X838" s="14"/>
      <c r="Y838" s="12" t="s">
        <v>91</v>
      </c>
      <c r="Z838" s="12" t="s">
        <v>165</v>
      </c>
      <c r="AA838" s="14"/>
      <c r="AB838" s="14"/>
      <c r="AC838" s="15">
        <v>68.2</v>
      </c>
      <c r="AD838" s="15">
        <f>AC838*AG838</f>
        <v>545.6</v>
      </c>
      <c r="AE838" s="15">
        <v>150</v>
      </c>
      <c r="AF838" s="15">
        <f>AE838*AG838</f>
        <v>1200</v>
      </c>
      <c r="AG838" s="16">
        <v>8</v>
      </c>
    </row>
    <row r="839" spans="1:33" ht="15" customHeight="1" x14ac:dyDescent="0.2">
      <c r="A839" s="11" t="str">
        <f t="shared" ref="A839:A3983" si="368">HYPERLINK("https://assets.vans.eu/images/VN000CYAYLZ-HERO/1","VN000CYAYLZ1")</f>
        <v>VN000CYAYLZ1</v>
      </c>
      <c r="B839" s="12" t="s">
        <v>3553</v>
      </c>
      <c r="C839" s="12" t="s">
        <v>238</v>
      </c>
      <c r="D839" s="12" t="s">
        <v>458</v>
      </c>
      <c r="E839" s="12" t="s">
        <v>3554</v>
      </c>
      <c r="F839" s="13">
        <v>30</v>
      </c>
      <c r="G839" s="12" t="s">
        <v>775</v>
      </c>
      <c r="H839" s="12" t="s">
        <v>38</v>
      </c>
      <c r="I839" s="12" t="s">
        <v>39</v>
      </c>
      <c r="J839" s="12" t="s">
        <v>40</v>
      </c>
      <c r="K839" s="12" t="s">
        <v>41</v>
      </c>
      <c r="L839" s="14"/>
      <c r="M839" s="12" t="s">
        <v>43</v>
      </c>
      <c r="N839" s="12" t="s">
        <v>84</v>
      </c>
      <c r="O839" s="12" t="s">
        <v>3555</v>
      </c>
      <c r="P839" s="12" t="s">
        <v>46</v>
      </c>
      <c r="Q839" s="12" t="s">
        <v>47</v>
      </c>
      <c r="R839" s="12" t="s">
        <v>48</v>
      </c>
      <c r="S839" s="13">
        <v>197804516247</v>
      </c>
      <c r="T839" s="12" t="s">
        <v>105</v>
      </c>
      <c r="U839" s="13">
        <v>34</v>
      </c>
      <c r="V839" s="12" t="s">
        <v>278</v>
      </c>
      <c r="W839" s="12" t="s">
        <v>299</v>
      </c>
      <c r="X839" s="14"/>
      <c r="Y839" s="14"/>
      <c r="Z839" s="14"/>
      <c r="AA839" s="14"/>
      <c r="AB839" s="14"/>
      <c r="AC839" s="15">
        <v>29.55</v>
      </c>
      <c r="AD839" s="15">
        <f>AC839*AG839</f>
        <v>236.4</v>
      </c>
      <c r="AE839" s="15">
        <v>65</v>
      </c>
      <c r="AF839" s="15">
        <f>AE839*AG839</f>
        <v>520</v>
      </c>
      <c r="AG839" s="16">
        <v>8</v>
      </c>
    </row>
    <row r="840" spans="1:33" ht="15" customHeight="1" x14ac:dyDescent="0.2">
      <c r="A840" s="11" t="str">
        <f t="shared" si="303"/>
        <v>VN000CYUEN61</v>
      </c>
      <c r="B840" s="12" t="s">
        <v>3556</v>
      </c>
      <c r="C840" s="12" t="s">
        <v>110</v>
      </c>
      <c r="D840" s="12" t="s">
        <v>189</v>
      </c>
      <c r="E840" s="12" t="s">
        <v>3557</v>
      </c>
      <c r="F840" s="13">
        <v>125</v>
      </c>
      <c r="G840" s="14"/>
      <c r="H840" s="12" t="s">
        <v>38</v>
      </c>
      <c r="I840" s="12" t="s">
        <v>39</v>
      </c>
      <c r="J840" s="12" t="s">
        <v>40</v>
      </c>
      <c r="K840" s="12" t="s">
        <v>41</v>
      </c>
      <c r="L840" s="14"/>
      <c r="M840" s="12" t="s">
        <v>43</v>
      </c>
      <c r="N840" s="12" t="s">
        <v>84</v>
      </c>
      <c r="O840" s="12" t="s">
        <v>3558</v>
      </c>
      <c r="P840" s="12" t="s">
        <v>46</v>
      </c>
      <c r="Q840" s="12" t="s">
        <v>47</v>
      </c>
      <c r="R840" s="12" t="s">
        <v>48</v>
      </c>
      <c r="S840" s="13">
        <v>197804434824</v>
      </c>
      <c r="T840" s="12" t="s">
        <v>105</v>
      </c>
      <c r="U840" s="13">
        <v>30</v>
      </c>
      <c r="V840" s="12" t="s">
        <v>50</v>
      </c>
      <c r="W840" s="12" t="s">
        <v>118</v>
      </c>
      <c r="X840" s="14"/>
      <c r="Y840" s="14"/>
      <c r="Z840" s="14"/>
      <c r="AA840" s="14"/>
      <c r="AB840" s="14"/>
      <c r="AC840" s="15">
        <v>29.55</v>
      </c>
      <c r="AD840" s="15">
        <f>AC840*AG840</f>
        <v>236.4</v>
      </c>
      <c r="AE840" s="15">
        <v>65</v>
      </c>
      <c r="AF840" s="15">
        <f>AE840*AG840</f>
        <v>520</v>
      </c>
      <c r="AG840" s="16">
        <v>8</v>
      </c>
    </row>
    <row r="841" spans="1:33" ht="15" customHeight="1" x14ac:dyDescent="0.2">
      <c r="A841" s="11" t="str">
        <f>HYPERLINK("https://assets.vans.eu/images/VN000CYVEMY-HERO/1","VN000CYVEMY1")</f>
        <v>VN000CYVEMY1</v>
      </c>
      <c r="B841" s="12" t="s">
        <v>3559</v>
      </c>
      <c r="C841" s="12" t="s">
        <v>34</v>
      </c>
      <c r="D841" s="12" t="s">
        <v>1155</v>
      </c>
      <c r="E841" s="12" t="s">
        <v>3560</v>
      </c>
      <c r="F841" s="13">
        <v>105</v>
      </c>
      <c r="G841" s="14"/>
      <c r="H841" s="12" t="s">
        <v>38</v>
      </c>
      <c r="I841" s="12" t="s">
        <v>39</v>
      </c>
      <c r="J841" s="12" t="s">
        <v>40</v>
      </c>
      <c r="K841" s="12" t="s">
        <v>41</v>
      </c>
      <c r="L841" s="14"/>
      <c r="M841" s="12" t="s">
        <v>43</v>
      </c>
      <c r="N841" s="12" t="s">
        <v>84</v>
      </c>
      <c r="O841" s="12" t="s">
        <v>3561</v>
      </c>
      <c r="P841" s="12" t="s">
        <v>46</v>
      </c>
      <c r="Q841" s="12" t="s">
        <v>47</v>
      </c>
      <c r="R841" s="12" t="s">
        <v>48</v>
      </c>
      <c r="S841" s="13">
        <v>197804517992</v>
      </c>
      <c r="T841" s="12" t="s">
        <v>164</v>
      </c>
      <c r="U841" s="13">
        <v>27</v>
      </c>
      <c r="V841" s="12" t="s">
        <v>50</v>
      </c>
      <c r="W841" s="12" t="s">
        <v>107</v>
      </c>
      <c r="X841" s="14"/>
      <c r="Y841" s="14"/>
      <c r="Z841" s="14"/>
      <c r="AA841" s="14"/>
      <c r="AB841" s="14"/>
      <c r="AC841" s="15">
        <v>25</v>
      </c>
      <c r="AD841" s="15">
        <f>AC841*AG841</f>
        <v>200</v>
      </c>
      <c r="AE841" s="15">
        <v>55</v>
      </c>
      <c r="AF841" s="15">
        <f>AE841*AG841</f>
        <v>440</v>
      </c>
      <c r="AG841" s="16">
        <v>8</v>
      </c>
    </row>
    <row r="842" spans="1:33" ht="15" customHeight="1" x14ac:dyDescent="0.2">
      <c r="A842" s="11" t="str">
        <f t="shared" si="304"/>
        <v>VN000CYVENA1</v>
      </c>
      <c r="B842" s="12" t="s">
        <v>3562</v>
      </c>
      <c r="C842" s="12" t="s">
        <v>34</v>
      </c>
      <c r="D842" s="12" t="s">
        <v>280</v>
      </c>
      <c r="E842" s="12" t="s">
        <v>3563</v>
      </c>
      <c r="F842" s="13">
        <v>135</v>
      </c>
      <c r="G842" s="12" t="s">
        <v>3002</v>
      </c>
      <c r="H842" s="12" t="s">
        <v>38</v>
      </c>
      <c r="I842" s="12" t="s">
        <v>39</v>
      </c>
      <c r="J842" s="12" t="s">
        <v>40</v>
      </c>
      <c r="K842" s="12" t="s">
        <v>41</v>
      </c>
      <c r="L842" s="14"/>
      <c r="M842" s="12" t="s">
        <v>43</v>
      </c>
      <c r="N842" s="12" t="s">
        <v>84</v>
      </c>
      <c r="O842" s="12" t="s">
        <v>3564</v>
      </c>
      <c r="P842" s="12" t="s">
        <v>46</v>
      </c>
      <c r="Q842" s="12" t="s">
        <v>47</v>
      </c>
      <c r="R842" s="12" t="s">
        <v>48</v>
      </c>
      <c r="S842" s="13">
        <v>197804518487</v>
      </c>
      <c r="T842" s="12" t="s">
        <v>105</v>
      </c>
      <c r="U842" s="13">
        <v>31</v>
      </c>
      <c r="V842" s="12" t="s">
        <v>50</v>
      </c>
      <c r="W842" s="12" t="s">
        <v>284</v>
      </c>
      <c r="X842" s="14"/>
      <c r="Y842" s="14"/>
      <c r="Z842" s="14"/>
      <c r="AA842" s="14"/>
      <c r="AB842" s="14"/>
      <c r="AC842" s="15">
        <v>25</v>
      </c>
      <c r="AD842" s="15">
        <f>AC842*AG842</f>
        <v>200</v>
      </c>
      <c r="AE842" s="15">
        <v>55</v>
      </c>
      <c r="AF842" s="15">
        <f>AE842*AG842</f>
        <v>440</v>
      </c>
      <c r="AG842" s="16">
        <v>8</v>
      </c>
    </row>
    <row r="843" spans="1:33" ht="15" customHeight="1" x14ac:dyDescent="0.2">
      <c r="A843" s="11" t="str">
        <f t="shared" ref="A843:A1484" si="369">HYPERLINK("https://assets.vans.eu/images/VN000D0HEMY-HERO/1","VN000D0HEMY1")</f>
        <v>VN000D0HEMY1</v>
      </c>
      <c r="B843" s="12" t="s">
        <v>3565</v>
      </c>
      <c r="C843" s="12" t="s">
        <v>1108</v>
      </c>
      <c r="D843" s="12" t="s">
        <v>1155</v>
      </c>
      <c r="E843" s="12" t="s">
        <v>3566</v>
      </c>
      <c r="F843" s="13">
        <v>105</v>
      </c>
      <c r="G843" s="12" t="s">
        <v>2417</v>
      </c>
      <c r="H843" s="12" t="s">
        <v>38</v>
      </c>
      <c r="I843" s="12" t="s">
        <v>39</v>
      </c>
      <c r="J843" s="12" t="s">
        <v>40</v>
      </c>
      <c r="K843" s="12" t="s">
        <v>41</v>
      </c>
      <c r="L843" s="14"/>
      <c r="M843" s="12" t="s">
        <v>43</v>
      </c>
      <c r="N843" s="12" t="s">
        <v>84</v>
      </c>
      <c r="O843" s="12" t="s">
        <v>3567</v>
      </c>
      <c r="P843" s="12" t="s">
        <v>46</v>
      </c>
      <c r="Q843" s="12" t="s">
        <v>47</v>
      </c>
      <c r="R843" s="12" t="s">
        <v>780</v>
      </c>
      <c r="S843" s="13">
        <v>197804436088</v>
      </c>
      <c r="T843" s="12" t="s">
        <v>105</v>
      </c>
      <c r="U843" s="13">
        <v>27</v>
      </c>
      <c r="V843" s="12" t="s">
        <v>50</v>
      </c>
      <c r="W843" s="12" t="s">
        <v>107</v>
      </c>
      <c r="X843" s="14"/>
      <c r="Y843" s="14"/>
      <c r="Z843" s="14"/>
      <c r="AA843" s="14"/>
      <c r="AB843" s="14"/>
      <c r="AC843" s="15">
        <v>34.1</v>
      </c>
      <c r="AD843" s="15">
        <f>AC843*AG843</f>
        <v>272.8</v>
      </c>
      <c r="AE843" s="15">
        <v>75</v>
      </c>
      <c r="AF843" s="15">
        <f>AE843*AG843</f>
        <v>600</v>
      </c>
      <c r="AG843" s="16">
        <v>8</v>
      </c>
    </row>
    <row r="844" spans="1:33" ht="15" customHeight="1" x14ac:dyDescent="0.2">
      <c r="A844" s="11" t="str">
        <f t="shared" ref="A844:A2569" si="370">HYPERLINK("https://assets.vans.eu/images/VN000D10N1Z-HERO/1","VN000D10N1Z1")</f>
        <v>VN000D10N1Z1</v>
      </c>
      <c r="B844" s="12" t="s">
        <v>3568</v>
      </c>
      <c r="C844" s="12" t="s">
        <v>2136</v>
      </c>
      <c r="D844" s="12" t="s">
        <v>1656</v>
      </c>
      <c r="E844" s="12" t="s">
        <v>3569</v>
      </c>
      <c r="F844" s="13">
        <v>30</v>
      </c>
      <c r="G844" s="12" t="s">
        <v>528</v>
      </c>
      <c r="H844" s="12" t="s">
        <v>38</v>
      </c>
      <c r="I844" s="12" t="s">
        <v>39</v>
      </c>
      <c r="J844" s="12" t="s">
        <v>40</v>
      </c>
      <c r="K844" s="12" t="s">
        <v>41</v>
      </c>
      <c r="L844" s="14"/>
      <c r="M844" s="12" t="s">
        <v>43</v>
      </c>
      <c r="N844" s="12" t="s">
        <v>84</v>
      </c>
      <c r="O844" s="12" t="s">
        <v>3570</v>
      </c>
      <c r="P844" s="12" t="s">
        <v>46</v>
      </c>
      <c r="Q844" s="12" t="s">
        <v>47</v>
      </c>
      <c r="R844" s="12" t="s">
        <v>313</v>
      </c>
      <c r="S844" s="13">
        <v>197804522279</v>
      </c>
      <c r="T844" s="12" t="s">
        <v>49</v>
      </c>
      <c r="U844" s="13">
        <v>34</v>
      </c>
      <c r="V844" s="12" t="s">
        <v>50</v>
      </c>
      <c r="W844" s="12" t="s">
        <v>186</v>
      </c>
      <c r="X844" s="14"/>
      <c r="Y844" s="14"/>
      <c r="Z844" s="14"/>
      <c r="AA844" s="14"/>
      <c r="AB844" s="14"/>
      <c r="AC844" s="15">
        <v>31.85</v>
      </c>
      <c r="AD844" s="15">
        <f>AC844*AG844</f>
        <v>254.8</v>
      </c>
      <c r="AE844" s="15">
        <v>70</v>
      </c>
      <c r="AF844" s="15">
        <f>AE844*AG844</f>
        <v>560</v>
      </c>
      <c r="AG844" s="16">
        <v>8</v>
      </c>
    </row>
    <row r="845" spans="1:33" ht="15" customHeight="1" x14ac:dyDescent="0.2">
      <c r="A845" s="11" t="str">
        <f t="shared" ref="A845:A2577" si="371">HYPERLINK("https://assets.vans.eu/images/VN000D1BEMU-HERO/1","VN000D1BEMU1")</f>
        <v>VN000D1BEMU1</v>
      </c>
      <c r="B845" s="12" t="s">
        <v>3571</v>
      </c>
      <c r="C845" s="12" t="s">
        <v>3572</v>
      </c>
      <c r="D845" s="12" t="s">
        <v>1319</v>
      </c>
      <c r="E845" s="12" t="s">
        <v>3573</v>
      </c>
      <c r="F845" s="13">
        <v>50</v>
      </c>
      <c r="G845" s="12" t="s">
        <v>3574</v>
      </c>
      <c r="H845" s="12" t="s">
        <v>38</v>
      </c>
      <c r="I845" s="12" t="s">
        <v>242</v>
      </c>
      <c r="J845" s="12" t="s">
        <v>243</v>
      </c>
      <c r="K845" s="12" t="s">
        <v>244</v>
      </c>
      <c r="L845" s="14"/>
      <c r="M845" s="12" t="s">
        <v>43</v>
      </c>
      <c r="N845" s="12" t="s">
        <v>84</v>
      </c>
      <c r="O845" s="12" t="s">
        <v>3575</v>
      </c>
      <c r="P845" s="12" t="s">
        <v>46</v>
      </c>
      <c r="Q845" s="12" t="s">
        <v>47</v>
      </c>
      <c r="R845" s="12" t="s">
        <v>48</v>
      </c>
      <c r="S845" s="13">
        <v>197804523535</v>
      </c>
      <c r="T845" s="12" t="s">
        <v>164</v>
      </c>
      <c r="U845" s="13">
        <v>21</v>
      </c>
      <c r="V845" s="12" t="s">
        <v>50</v>
      </c>
      <c r="W845" s="12" t="s">
        <v>118</v>
      </c>
      <c r="X845" s="14"/>
      <c r="Y845" s="14"/>
      <c r="Z845" s="14"/>
      <c r="AA845" s="14"/>
      <c r="AB845" s="14"/>
      <c r="AC845" s="15">
        <v>22.75</v>
      </c>
      <c r="AD845" s="15">
        <f>AC845*AG845</f>
        <v>182</v>
      </c>
      <c r="AE845" s="15">
        <v>50</v>
      </c>
      <c r="AF845" s="15">
        <f>AE845*AG845</f>
        <v>400</v>
      </c>
      <c r="AG845" s="16">
        <v>8</v>
      </c>
    </row>
    <row r="846" spans="1:33" ht="15" customHeight="1" x14ac:dyDescent="0.2">
      <c r="A846" s="11" t="str">
        <f t="shared" si="146"/>
        <v>VN000D26EWR1</v>
      </c>
      <c r="B846" s="12" t="s">
        <v>3576</v>
      </c>
      <c r="C846" s="12" t="s">
        <v>251</v>
      </c>
      <c r="D846" s="12" t="s">
        <v>549</v>
      </c>
      <c r="E846" s="12" t="s">
        <v>3577</v>
      </c>
      <c r="F846" s="13">
        <v>65</v>
      </c>
      <c r="G846" s="12" t="s">
        <v>551</v>
      </c>
      <c r="H846" s="12" t="s">
        <v>38</v>
      </c>
      <c r="I846" s="12" t="s">
        <v>159</v>
      </c>
      <c r="J846" s="12" t="s">
        <v>255</v>
      </c>
      <c r="K846" s="12" t="s">
        <v>82</v>
      </c>
      <c r="L846" s="14"/>
      <c r="M846" s="12" t="s">
        <v>43</v>
      </c>
      <c r="N846" s="12" t="s">
        <v>84</v>
      </c>
      <c r="O846" s="12" t="s">
        <v>3578</v>
      </c>
      <c r="P846" s="12" t="s">
        <v>46</v>
      </c>
      <c r="Q846" s="12" t="s">
        <v>47</v>
      </c>
      <c r="R846" s="12" t="s">
        <v>163</v>
      </c>
      <c r="S846" s="13">
        <v>197804444045</v>
      </c>
      <c r="T846" s="12" t="s">
        <v>49</v>
      </c>
      <c r="U846" s="13">
        <v>38.5</v>
      </c>
      <c r="V846" s="12" t="s">
        <v>50</v>
      </c>
      <c r="W846" s="12" t="s">
        <v>455</v>
      </c>
      <c r="X846" s="14"/>
      <c r="Y846" s="14"/>
      <c r="Z846" s="14"/>
      <c r="AA846" s="14"/>
      <c r="AB846" s="14"/>
      <c r="AC846" s="15">
        <v>45.5</v>
      </c>
      <c r="AD846" s="15">
        <f>AC846*AG846</f>
        <v>364</v>
      </c>
      <c r="AE846" s="15">
        <v>100</v>
      </c>
      <c r="AF846" s="15">
        <f>AE846*AG846</f>
        <v>800</v>
      </c>
      <c r="AG846" s="16">
        <v>8</v>
      </c>
    </row>
    <row r="847" spans="1:33" ht="15" customHeight="1" x14ac:dyDescent="0.2">
      <c r="A847" s="11" t="str">
        <f t="shared" ref="A847:A1074" si="372">HYPERLINK("https://assets.vans.eu/images/VN000D2VZ3R-HERO/1","VN000D2VZ3R1")</f>
        <v>VN000D2VZ3R1</v>
      </c>
      <c r="B847" s="12" t="s">
        <v>3579</v>
      </c>
      <c r="C847" s="12" t="s">
        <v>34</v>
      </c>
      <c r="D847" s="12" t="s">
        <v>2423</v>
      </c>
      <c r="E847" s="12" t="s">
        <v>3580</v>
      </c>
      <c r="F847" s="13">
        <v>55</v>
      </c>
      <c r="G847" s="14"/>
      <c r="H847" s="12" t="s">
        <v>38</v>
      </c>
      <c r="I847" s="12" t="s">
        <v>205</v>
      </c>
      <c r="J847" s="12" t="s">
        <v>206</v>
      </c>
      <c r="K847" s="12" t="s">
        <v>207</v>
      </c>
      <c r="L847" s="12" t="s">
        <v>260</v>
      </c>
      <c r="M847" s="12" t="s">
        <v>43</v>
      </c>
      <c r="N847" s="12" t="s">
        <v>84</v>
      </c>
      <c r="O847" s="12" t="s">
        <v>3581</v>
      </c>
      <c r="P847" s="12" t="s">
        <v>46</v>
      </c>
      <c r="Q847" s="12" t="s">
        <v>47</v>
      </c>
      <c r="R847" s="12" t="s">
        <v>48</v>
      </c>
      <c r="S847" s="13">
        <v>197804612369</v>
      </c>
      <c r="T847" s="12" t="s">
        <v>105</v>
      </c>
      <c r="U847" s="13">
        <v>37</v>
      </c>
      <c r="V847" s="12" t="s">
        <v>50</v>
      </c>
      <c r="W847" s="12" t="s">
        <v>118</v>
      </c>
      <c r="X847" s="14"/>
      <c r="Y847" s="14"/>
      <c r="Z847" s="14"/>
      <c r="AA847" s="14"/>
      <c r="AB847" s="14"/>
      <c r="AC847" s="15">
        <v>31.85</v>
      </c>
      <c r="AD847" s="15">
        <f>AC847*AG847</f>
        <v>254.8</v>
      </c>
      <c r="AE847" s="15">
        <v>70</v>
      </c>
      <c r="AF847" s="15">
        <f>AE847*AG847</f>
        <v>560</v>
      </c>
      <c r="AG847" s="16">
        <v>8</v>
      </c>
    </row>
    <row r="848" spans="1:33" ht="15" customHeight="1" x14ac:dyDescent="0.2">
      <c r="A848" s="11" t="str">
        <f t="shared" si="277"/>
        <v>VN000D4SCFL1</v>
      </c>
      <c r="B848" s="12" t="s">
        <v>3582</v>
      </c>
      <c r="C848" s="12" t="s">
        <v>1257</v>
      </c>
      <c r="D848" s="12" t="s">
        <v>1258</v>
      </c>
      <c r="E848" s="12" t="s">
        <v>3583</v>
      </c>
      <c r="F848" s="13">
        <v>30</v>
      </c>
      <c r="G848" s="14"/>
      <c r="H848" s="12" t="s">
        <v>38</v>
      </c>
      <c r="I848" s="12" t="s">
        <v>242</v>
      </c>
      <c r="J848" s="12" t="s">
        <v>243</v>
      </c>
      <c r="K848" s="12" t="s">
        <v>244</v>
      </c>
      <c r="L848" s="14"/>
      <c r="M848" s="12" t="s">
        <v>43</v>
      </c>
      <c r="N848" s="12" t="s">
        <v>84</v>
      </c>
      <c r="O848" s="12" t="s">
        <v>3584</v>
      </c>
      <c r="P848" s="12" t="s">
        <v>46</v>
      </c>
      <c r="Q848" s="12" t="s">
        <v>47</v>
      </c>
      <c r="R848" s="12" t="s">
        <v>48</v>
      </c>
      <c r="S848" s="13">
        <v>197804530472</v>
      </c>
      <c r="T848" s="12" t="s">
        <v>105</v>
      </c>
      <c r="U848" s="13">
        <v>18</v>
      </c>
      <c r="V848" s="12" t="s">
        <v>50</v>
      </c>
      <c r="W848" s="12" t="s">
        <v>284</v>
      </c>
      <c r="X848" s="14"/>
      <c r="Y848" s="14"/>
      <c r="Z848" s="14"/>
      <c r="AA848" s="14"/>
      <c r="AB848" s="14"/>
      <c r="AC848" s="15">
        <v>22.75</v>
      </c>
      <c r="AD848" s="15">
        <f>AC848*AG848</f>
        <v>182</v>
      </c>
      <c r="AE848" s="15">
        <v>50</v>
      </c>
      <c r="AF848" s="15">
        <f>AE848*AG848</f>
        <v>400</v>
      </c>
      <c r="AG848" s="16">
        <v>8</v>
      </c>
    </row>
    <row r="849" spans="1:33" ht="15" customHeight="1" x14ac:dyDescent="0.2">
      <c r="A849" s="11" t="str">
        <f>HYPERLINK("https://assets.vans.eu/images/VN000D5PUUI-HERO/1","VN000D5PUUI1")</f>
        <v>VN000D5PUUI1</v>
      </c>
      <c r="B849" s="12" t="s">
        <v>3585</v>
      </c>
      <c r="C849" s="12" t="s">
        <v>3586</v>
      </c>
      <c r="D849" s="12" t="s">
        <v>723</v>
      </c>
      <c r="E849" s="12" t="s">
        <v>3587</v>
      </c>
      <c r="F849" s="13">
        <v>80</v>
      </c>
      <c r="G849" s="12" t="s">
        <v>3588</v>
      </c>
      <c r="H849" s="12" t="s">
        <v>38</v>
      </c>
      <c r="I849" s="12" t="s">
        <v>113</v>
      </c>
      <c r="J849" s="12" t="s">
        <v>114</v>
      </c>
      <c r="K849" s="12" t="s">
        <v>82</v>
      </c>
      <c r="L849" s="12" t="s">
        <v>42</v>
      </c>
      <c r="M849" s="12" t="s">
        <v>43</v>
      </c>
      <c r="N849" s="12" t="s">
        <v>44</v>
      </c>
      <c r="O849" s="12" t="s">
        <v>3589</v>
      </c>
      <c r="P849" s="12" t="s">
        <v>46</v>
      </c>
      <c r="Q849" s="12" t="s">
        <v>47</v>
      </c>
      <c r="R849" s="12" t="s">
        <v>117</v>
      </c>
      <c r="S849" s="13">
        <v>197804001576</v>
      </c>
      <c r="T849" s="12" t="s">
        <v>49</v>
      </c>
      <c r="U849" s="13">
        <v>40.5</v>
      </c>
      <c r="V849" s="12" t="s">
        <v>209</v>
      </c>
      <c r="W849" s="12" t="s">
        <v>107</v>
      </c>
      <c r="X849" s="14"/>
      <c r="Y849" s="12" t="s">
        <v>91</v>
      </c>
      <c r="Z849" s="12" t="s">
        <v>92</v>
      </c>
      <c r="AA849" s="12" t="s">
        <v>3224</v>
      </c>
      <c r="AB849" s="12" t="s">
        <v>55</v>
      </c>
      <c r="AC849" s="15">
        <v>38.65</v>
      </c>
      <c r="AD849" s="15">
        <f>AC849*AG849</f>
        <v>309.2</v>
      </c>
      <c r="AE849" s="15">
        <v>85</v>
      </c>
      <c r="AF849" s="15">
        <f>AE849*AG849</f>
        <v>680</v>
      </c>
      <c r="AG849" s="16">
        <v>8</v>
      </c>
    </row>
    <row r="850" spans="1:33" ht="15" customHeight="1" x14ac:dyDescent="0.2">
      <c r="A850" s="11" t="str">
        <f>HYPERLINK("https://assets.vans.eu/images/VN000D61BOC-HERO/1","VN000D61BOC1")</f>
        <v>VN000D61BOC1</v>
      </c>
      <c r="B850" s="12" t="s">
        <v>3590</v>
      </c>
      <c r="C850" s="12" t="s">
        <v>1114</v>
      </c>
      <c r="D850" s="12" t="s">
        <v>1115</v>
      </c>
      <c r="E850" s="12" t="s">
        <v>3591</v>
      </c>
      <c r="F850" s="13">
        <v>45</v>
      </c>
      <c r="G850" s="14"/>
      <c r="H850" s="12" t="s">
        <v>38</v>
      </c>
      <c r="I850" s="12" t="s">
        <v>113</v>
      </c>
      <c r="J850" s="12" t="s">
        <v>529</v>
      </c>
      <c r="K850" s="12" t="s">
        <v>82</v>
      </c>
      <c r="L850" s="14"/>
      <c r="M850" s="12" t="s">
        <v>43</v>
      </c>
      <c r="N850" s="12" t="s">
        <v>44</v>
      </c>
      <c r="O850" s="12" t="s">
        <v>3592</v>
      </c>
      <c r="P850" s="12" t="s">
        <v>46</v>
      </c>
      <c r="Q850" s="12" t="s">
        <v>47</v>
      </c>
      <c r="R850" s="12" t="s">
        <v>117</v>
      </c>
      <c r="S850" s="13">
        <v>197643284512</v>
      </c>
      <c r="T850" s="12" t="s">
        <v>49</v>
      </c>
      <c r="U850" s="13">
        <v>36</v>
      </c>
      <c r="V850" s="12" t="s">
        <v>50</v>
      </c>
      <c r="W850" s="12" t="s">
        <v>118</v>
      </c>
      <c r="X850" s="14"/>
      <c r="Y850" s="12" t="s">
        <v>91</v>
      </c>
      <c r="Z850" s="12" t="s">
        <v>165</v>
      </c>
      <c r="AA850" s="14"/>
      <c r="AB850" s="14"/>
      <c r="AC850" s="15">
        <v>54.55</v>
      </c>
      <c r="AD850" s="15">
        <f>AC850*AG850</f>
        <v>436.4</v>
      </c>
      <c r="AE850" s="15">
        <v>120</v>
      </c>
      <c r="AF850" s="15">
        <f>AE850*AG850</f>
        <v>960</v>
      </c>
      <c r="AG850" s="16">
        <v>8</v>
      </c>
    </row>
    <row r="851" spans="1:33" ht="15" customHeight="1" x14ac:dyDescent="0.2">
      <c r="A851" s="11" t="str">
        <f>HYPERLINK("https://assets.vans.eu/images/VN000D6NBR1-HERO/1","VN000D6NBR11")</f>
        <v>VN000D6NBR11</v>
      </c>
      <c r="B851" s="12" t="s">
        <v>3593</v>
      </c>
      <c r="C851" s="12" t="s">
        <v>1458</v>
      </c>
      <c r="D851" s="12" t="s">
        <v>496</v>
      </c>
      <c r="E851" s="12" t="s">
        <v>3594</v>
      </c>
      <c r="F851" s="13">
        <v>80</v>
      </c>
      <c r="G851" s="14"/>
      <c r="H851" s="12" t="s">
        <v>38</v>
      </c>
      <c r="I851" s="12" t="s">
        <v>159</v>
      </c>
      <c r="J851" s="12" t="s">
        <v>255</v>
      </c>
      <c r="K851" s="12" t="s">
        <v>82</v>
      </c>
      <c r="L851" s="14"/>
      <c r="M851" s="12" t="s">
        <v>43</v>
      </c>
      <c r="N851" s="12" t="s">
        <v>44</v>
      </c>
      <c r="O851" s="12" t="s">
        <v>3595</v>
      </c>
      <c r="P851" s="12" t="s">
        <v>46</v>
      </c>
      <c r="Q851" s="12" t="s">
        <v>47</v>
      </c>
      <c r="R851" s="12" t="s">
        <v>163</v>
      </c>
      <c r="S851" s="13">
        <v>197643286981</v>
      </c>
      <c r="T851" s="12" t="s">
        <v>105</v>
      </c>
      <c r="U851" s="13">
        <v>40.5</v>
      </c>
      <c r="V851" s="12" t="s">
        <v>50</v>
      </c>
      <c r="W851" s="12" t="s">
        <v>118</v>
      </c>
      <c r="X851" s="14"/>
      <c r="Y851" s="12" t="s">
        <v>53</v>
      </c>
      <c r="Z851" s="12" t="s">
        <v>1462</v>
      </c>
      <c r="AA851" s="14"/>
      <c r="AB851" s="14"/>
      <c r="AC851" s="15">
        <v>45.5</v>
      </c>
      <c r="AD851" s="15">
        <f>AC851*AG851</f>
        <v>364</v>
      </c>
      <c r="AE851" s="15">
        <v>100</v>
      </c>
      <c r="AF851" s="15">
        <f>AE851*AG851</f>
        <v>800</v>
      </c>
      <c r="AG851" s="16">
        <v>8</v>
      </c>
    </row>
    <row r="852" spans="1:33" ht="15" customHeight="1" x14ac:dyDescent="0.2">
      <c r="A852" s="11" t="str">
        <f t="shared" si="308"/>
        <v>VN000D6W2031</v>
      </c>
      <c r="B852" s="12" t="s">
        <v>3596</v>
      </c>
      <c r="C852" s="12" t="s">
        <v>34</v>
      </c>
      <c r="D852" s="12" t="s">
        <v>3021</v>
      </c>
      <c r="E852" s="12" t="s">
        <v>3597</v>
      </c>
      <c r="F852" s="13">
        <v>65</v>
      </c>
      <c r="G852" s="12" t="s">
        <v>3023</v>
      </c>
      <c r="H852" s="12" t="s">
        <v>38</v>
      </c>
      <c r="I852" s="12" t="s">
        <v>113</v>
      </c>
      <c r="J852" s="12" t="s">
        <v>114</v>
      </c>
      <c r="K852" s="12" t="s">
        <v>82</v>
      </c>
      <c r="L852" s="14"/>
      <c r="M852" s="12" t="s">
        <v>43</v>
      </c>
      <c r="N852" s="12" t="s">
        <v>84</v>
      </c>
      <c r="O852" s="12" t="s">
        <v>3598</v>
      </c>
      <c r="P852" s="12" t="s">
        <v>46</v>
      </c>
      <c r="Q852" s="12" t="s">
        <v>47</v>
      </c>
      <c r="R852" s="12" t="s">
        <v>117</v>
      </c>
      <c r="S852" s="13">
        <v>197804538799</v>
      </c>
      <c r="T852" s="12" t="s">
        <v>105</v>
      </c>
      <c r="U852" s="13">
        <v>38.5</v>
      </c>
      <c r="V852" s="12" t="s">
        <v>50</v>
      </c>
      <c r="W852" s="12" t="s">
        <v>118</v>
      </c>
      <c r="X852" s="14"/>
      <c r="Y852" s="14"/>
      <c r="Z852" s="14"/>
      <c r="AA852" s="14"/>
      <c r="AB852" s="14"/>
      <c r="AC852" s="15">
        <v>43.2</v>
      </c>
      <c r="AD852" s="15">
        <f>AC852*AG852</f>
        <v>345.6</v>
      </c>
      <c r="AE852" s="15">
        <v>95</v>
      </c>
      <c r="AF852" s="15">
        <f>AE852*AG852</f>
        <v>760</v>
      </c>
      <c r="AG852" s="16">
        <v>8</v>
      </c>
    </row>
    <row r="853" spans="1:33" ht="15" customHeight="1" x14ac:dyDescent="0.2">
      <c r="A853" s="11" t="str">
        <f t="shared" ref="A853:A961" si="373">HYPERLINK("https://assets.vans.eu/images/VN000D6WYY6-HERO/1","VN000D6WYY61")</f>
        <v>VN000D6WYY61</v>
      </c>
      <c r="B853" s="12" t="s">
        <v>3599</v>
      </c>
      <c r="C853" s="12" t="s">
        <v>34</v>
      </c>
      <c r="D853" s="12" t="s">
        <v>1208</v>
      </c>
      <c r="E853" s="12" t="s">
        <v>3600</v>
      </c>
      <c r="F853" s="13">
        <v>130</v>
      </c>
      <c r="G853" s="14"/>
      <c r="H853" s="12" t="s">
        <v>38</v>
      </c>
      <c r="I853" s="12" t="s">
        <v>113</v>
      </c>
      <c r="J853" s="12" t="s">
        <v>114</v>
      </c>
      <c r="K853" s="12" t="s">
        <v>82</v>
      </c>
      <c r="L853" s="12" t="s">
        <v>260</v>
      </c>
      <c r="M853" s="12" t="s">
        <v>43</v>
      </c>
      <c r="N853" s="12" t="s">
        <v>84</v>
      </c>
      <c r="O853" s="12" t="s">
        <v>3601</v>
      </c>
      <c r="P853" s="12" t="s">
        <v>46</v>
      </c>
      <c r="Q853" s="12" t="s">
        <v>47</v>
      </c>
      <c r="R853" s="12" t="s">
        <v>117</v>
      </c>
      <c r="S853" s="13">
        <v>197803962977</v>
      </c>
      <c r="T853" s="12" t="s">
        <v>105</v>
      </c>
      <c r="U853" s="13">
        <v>47</v>
      </c>
      <c r="V853" s="12" t="s">
        <v>50</v>
      </c>
      <c r="W853" s="12" t="s">
        <v>51</v>
      </c>
      <c r="X853" s="14"/>
      <c r="Y853" s="12" t="s">
        <v>53</v>
      </c>
      <c r="Z853" s="12" t="s">
        <v>2600</v>
      </c>
      <c r="AA853" s="14"/>
      <c r="AB853" s="12" t="s">
        <v>264</v>
      </c>
      <c r="AC853" s="15">
        <v>40.950000000000003</v>
      </c>
      <c r="AD853" s="15">
        <f>AC853*AG853</f>
        <v>327.60000000000002</v>
      </c>
      <c r="AE853" s="15">
        <v>90</v>
      </c>
      <c r="AF853" s="15">
        <f>AE853*AG853</f>
        <v>720</v>
      </c>
      <c r="AG853" s="16">
        <v>8</v>
      </c>
    </row>
    <row r="854" spans="1:33" ht="15" customHeight="1" x14ac:dyDescent="0.2">
      <c r="A854" s="11" t="str">
        <f t="shared" ref="A854:A962" si="374">HYPERLINK("https://assets.vans.eu/images/VN000D6YEZI-HERO/1","VN000D6YEZI1")</f>
        <v>VN000D6YEZI1</v>
      </c>
      <c r="B854" s="12" t="s">
        <v>3602</v>
      </c>
      <c r="C854" s="12" t="s">
        <v>3586</v>
      </c>
      <c r="D854" s="12" t="s">
        <v>3603</v>
      </c>
      <c r="E854" s="12" t="s">
        <v>3604</v>
      </c>
      <c r="F854" s="13">
        <v>65</v>
      </c>
      <c r="G854" s="12" t="s">
        <v>3605</v>
      </c>
      <c r="H854" s="12" t="s">
        <v>38</v>
      </c>
      <c r="I854" s="12" t="s">
        <v>113</v>
      </c>
      <c r="J854" s="12" t="s">
        <v>114</v>
      </c>
      <c r="K854" s="12" t="s">
        <v>82</v>
      </c>
      <c r="L854" s="14"/>
      <c r="M854" s="12" t="s">
        <v>43</v>
      </c>
      <c r="N854" s="12" t="s">
        <v>84</v>
      </c>
      <c r="O854" s="12" t="s">
        <v>3606</v>
      </c>
      <c r="P854" s="12" t="s">
        <v>46</v>
      </c>
      <c r="Q854" s="12" t="s">
        <v>47</v>
      </c>
      <c r="R854" s="12" t="s">
        <v>117</v>
      </c>
      <c r="S854" s="13">
        <v>197804454877</v>
      </c>
      <c r="T854" s="12" t="s">
        <v>105</v>
      </c>
      <c r="U854" s="13">
        <v>38.5</v>
      </c>
      <c r="V854" s="12" t="s">
        <v>375</v>
      </c>
      <c r="W854" s="12" t="s">
        <v>51</v>
      </c>
      <c r="X854" s="14"/>
      <c r="Y854" s="14"/>
      <c r="Z854" s="14"/>
      <c r="AA854" s="14"/>
      <c r="AB854" s="14"/>
      <c r="AC854" s="15">
        <v>36.4</v>
      </c>
      <c r="AD854" s="15">
        <f>AC854*AG854</f>
        <v>291.2</v>
      </c>
      <c r="AE854" s="15">
        <v>80</v>
      </c>
      <c r="AF854" s="15">
        <f>AE854*AG854</f>
        <v>640</v>
      </c>
      <c r="AG854" s="16">
        <v>8</v>
      </c>
    </row>
    <row r="855" spans="1:33" ht="15" customHeight="1" x14ac:dyDescent="0.2">
      <c r="A855" s="11" t="str">
        <f t="shared" si="309"/>
        <v>VN000D7J52K1</v>
      </c>
      <c r="B855" s="12" t="s">
        <v>3607</v>
      </c>
      <c r="C855" s="12" t="s">
        <v>2304</v>
      </c>
      <c r="D855" s="12" t="s">
        <v>929</v>
      </c>
      <c r="E855" s="12" t="s">
        <v>3608</v>
      </c>
      <c r="F855" s="13">
        <v>80</v>
      </c>
      <c r="G855" s="14"/>
      <c r="H855" s="12" t="s">
        <v>38</v>
      </c>
      <c r="I855" s="12" t="s">
        <v>159</v>
      </c>
      <c r="J855" s="12" t="s">
        <v>255</v>
      </c>
      <c r="K855" s="12" t="s">
        <v>199</v>
      </c>
      <c r="L855" s="14"/>
      <c r="M855" s="12" t="s">
        <v>43</v>
      </c>
      <c r="N855" s="12" t="s">
        <v>44</v>
      </c>
      <c r="O855" s="12" t="s">
        <v>3609</v>
      </c>
      <c r="P855" s="12" t="s">
        <v>46</v>
      </c>
      <c r="Q855" s="12" t="s">
        <v>276</v>
      </c>
      <c r="R855" s="12" t="s">
        <v>277</v>
      </c>
      <c r="S855" s="13">
        <v>197643292258</v>
      </c>
      <c r="T855" s="12" t="s">
        <v>49</v>
      </c>
      <c r="U855" s="13">
        <v>40.5</v>
      </c>
      <c r="V855" s="12" t="s">
        <v>278</v>
      </c>
      <c r="W855" s="12" t="s">
        <v>933</v>
      </c>
      <c r="X855" s="14"/>
      <c r="Y855" s="12" t="s">
        <v>91</v>
      </c>
      <c r="Z855" s="12" t="s">
        <v>165</v>
      </c>
      <c r="AA855" s="14"/>
      <c r="AB855" s="14"/>
      <c r="AC855" s="15">
        <v>25</v>
      </c>
      <c r="AD855" s="15">
        <f>AC855*AG855</f>
        <v>200</v>
      </c>
      <c r="AE855" s="15">
        <v>55</v>
      </c>
      <c r="AF855" s="15">
        <f>AE855*AG855</f>
        <v>440</v>
      </c>
      <c r="AG855" s="16">
        <v>8</v>
      </c>
    </row>
    <row r="856" spans="1:33" ht="15" customHeight="1" x14ac:dyDescent="0.2">
      <c r="A856" s="11" t="str">
        <f t="shared" ref="A856:A1939" si="375">HYPERLINK("https://assets.vans.eu/images/VN000D83O3N-HERO/1","VN000D83O3N1")</f>
        <v>VN000D83O3N1</v>
      </c>
      <c r="B856" s="12" t="s">
        <v>3610</v>
      </c>
      <c r="C856" s="12" t="s">
        <v>3611</v>
      </c>
      <c r="D856" s="12" t="s">
        <v>744</v>
      </c>
      <c r="E856" s="12" t="s">
        <v>3612</v>
      </c>
      <c r="F856" s="13">
        <v>130</v>
      </c>
      <c r="G856" s="14"/>
      <c r="H856" s="12" t="s">
        <v>38</v>
      </c>
      <c r="I856" s="12" t="s">
        <v>113</v>
      </c>
      <c r="J856" s="12" t="s">
        <v>529</v>
      </c>
      <c r="K856" s="12" t="s">
        <v>82</v>
      </c>
      <c r="L856" s="14"/>
      <c r="M856" s="12" t="s">
        <v>43</v>
      </c>
      <c r="N856" s="12" t="s">
        <v>44</v>
      </c>
      <c r="O856" s="12" t="s">
        <v>3613</v>
      </c>
      <c r="P856" s="12" t="s">
        <v>46</v>
      </c>
      <c r="Q856" s="12" t="s">
        <v>47</v>
      </c>
      <c r="R856" s="12" t="s">
        <v>117</v>
      </c>
      <c r="S856" s="13">
        <v>197643298861</v>
      </c>
      <c r="T856" s="12" t="s">
        <v>49</v>
      </c>
      <c r="U856" s="13">
        <v>47</v>
      </c>
      <c r="V856" s="12" t="s">
        <v>50</v>
      </c>
      <c r="W856" s="12" t="s">
        <v>299</v>
      </c>
      <c r="X856" s="14"/>
      <c r="Y856" s="12" t="s">
        <v>53</v>
      </c>
      <c r="Z856" s="12" t="s">
        <v>263</v>
      </c>
      <c r="AA856" s="14"/>
      <c r="AB856" s="14"/>
      <c r="AC856" s="15">
        <v>43.2</v>
      </c>
      <c r="AD856" s="15">
        <f>AC856*AG856</f>
        <v>345.6</v>
      </c>
      <c r="AE856" s="15">
        <v>95</v>
      </c>
      <c r="AF856" s="15">
        <f>AE856*AG856</f>
        <v>760</v>
      </c>
      <c r="AG856" s="16">
        <v>8</v>
      </c>
    </row>
    <row r="857" spans="1:33" ht="15" customHeight="1" x14ac:dyDescent="0.2">
      <c r="A857" s="11" t="str">
        <f t="shared" si="341"/>
        <v>VN000D9ACJ71</v>
      </c>
      <c r="B857" s="12" t="s">
        <v>3614</v>
      </c>
      <c r="C857" s="12" t="s">
        <v>2143</v>
      </c>
      <c r="D857" s="12" t="s">
        <v>2144</v>
      </c>
      <c r="E857" s="12" t="s">
        <v>3615</v>
      </c>
      <c r="F857" s="13">
        <v>65</v>
      </c>
      <c r="G857" s="12" t="s">
        <v>2146</v>
      </c>
      <c r="H857" s="12" t="s">
        <v>38</v>
      </c>
      <c r="I857" s="12" t="s">
        <v>113</v>
      </c>
      <c r="J857" s="12" t="s">
        <v>529</v>
      </c>
      <c r="K857" s="12" t="s">
        <v>82</v>
      </c>
      <c r="L857" s="14"/>
      <c r="M857" s="12" t="s">
        <v>43</v>
      </c>
      <c r="N857" s="12" t="s">
        <v>84</v>
      </c>
      <c r="O857" s="12" t="s">
        <v>3616</v>
      </c>
      <c r="P857" s="12" t="s">
        <v>46</v>
      </c>
      <c r="Q857" s="12" t="s">
        <v>47</v>
      </c>
      <c r="R857" s="12" t="s">
        <v>117</v>
      </c>
      <c r="S857" s="13">
        <v>197804549092</v>
      </c>
      <c r="T857" s="12" t="s">
        <v>49</v>
      </c>
      <c r="U857" s="13">
        <v>38.5</v>
      </c>
      <c r="V857" s="12" t="s">
        <v>50</v>
      </c>
      <c r="W857" s="12" t="s">
        <v>175</v>
      </c>
      <c r="X857" s="14"/>
      <c r="Y857" s="14"/>
      <c r="Z857" s="14"/>
      <c r="AA857" s="14"/>
      <c r="AB857" s="14"/>
      <c r="AC857" s="15">
        <v>40.950000000000003</v>
      </c>
      <c r="AD857" s="15">
        <f>AC857*AG857</f>
        <v>327.60000000000002</v>
      </c>
      <c r="AE857" s="15">
        <v>90</v>
      </c>
      <c r="AF857" s="15">
        <f>AE857*AG857</f>
        <v>720</v>
      </c>
      <c r="AG857" s="16">
        <v>8</v>
      </c>
    </row>
    <row r="858" spans="1:33" ht="15" customHeight="1" x14ac:dyDescent="0.2">
      <c r="A858" s="11" t="str">
        <f t="shared" si="341"/>
        <v>VN000D9ACJ71</v>
      </c>
      <c r="B858" s="12" t="s">
        <v>3617</v>
      </c>
      <c r="C858" s="12" t="s">
        <v>2143</v>
      </c>
      <c r="D858" s="12" t="s">
        <v>2144</v>
      </c>
      <c r="E858" s="12" t="s">
        <v>3618</v>
      </c>
      <c r="F858" s="13">
        <v>80</v>
      </c>
      <c r="G858" s="12" t="s">
        <v>2146</v>
      </c>
      <c r="H858" s="12" t="s">
        <v>38</v>
      </c>
      <c r="I858" s="12" t="s">
        <v>113</v>
      </c>
      <c r="J858" s="12" t="s">
        <v>529</v>
      </c>
      <c r="K858" s="12" t="s">
        <v>82</v>
      </c>
      <c r="L858" s="14"/>
      <c r="M858" s="12" t="s">
        <v>43</v>
      </c>
      <c r="N858" s="12" t="s">
        <v>84</v>
      </c>
      <c r="O858" s="12" t="s">
        <v>3619</v>
      </c>
      <c r="P858" s="12" t="s">
        <v>46</v>
      </c>
      <c r="Q858" s="12" t="s">
        <v>47</v>
      </c>
      <c r="R858" s="12" t="s">
        <v>117</v>
      </c>
      <c r="S858" s="13">
        <v>197804549542</v>
      </c>
      <c r="T858" s="12" t="s">
        <v>49</v>
      </c>
      <c r="U858" s="13">
        <v>40.5</v>
      </c>
      <c r="V858" s="12" t="s">
        <v>50</v>
      </c>
      <c r="W858" s="12" t="s">
        <v>175</v>
      </c>
      <c r="X858" s="14"/>
      <c r="Y858" s="14"/>
      <c r="Z858" s="14"/>
      <c r="AA858" s="14"/>
      <c r="AB858" s="14"/>
      <c r="AC858" s="15">
        <v>40.950000000000003</v>
      </c>
      <c r="AD858" s="15">
        <f>AC858*AG858</f>
        <v>327.60000000000002</v>
      </c>
      <c r="AE858" s="15">
        <v>90</v>
      </c>
      <c r="AF858" s="15">
        <f>AE858*AG858</f>
        <v>720</v>
      </c>
      <c r="AG858" s="16">
        <v>8</v>
      </c>
    </row>
    <row r="859" spans="1:33" ht="15" customHeight="1" x14ac:dyDescent="0.2">
      <c r="A859" s="11" t="str">
        <f t="shared" ref="A859:A861" si="376">HYPERLINK("https://assets.vans.eu/images/VN000E9YLBR-HERO/1","VN000E9YLBR1")</f>
        <v>VN000E9YLBR1</v>
      </c>
      <c r="B859" s="12" t="s">
        <v>3620</v>
      </c>
      <c r="C859" s="12" t="s">
        <v>34</v>
      </c>
      <c r="D859" s="12" t="s">
        <v>1923</v>
      </c>
      <c r="E859" s="12" t="s">
        <v>3621</v>
      </c>
      <c r="F859" s="13">
        <v>40</v>
      </c>
      <c r="G859" s="14"/>
      <c r="H859" s="12" t="s">
        <v>38</v>
      </c>
      <c r="I859" s="12" t="s">
        <v>205</v>
      </c>
      <c r="J859" s="12" t="s">
        <v>206</v>
      </c>
      <c r="K859" s="12" t="s">
        <v>207</v>
      </c>
      <c r="L859" s="12" t="s">
        <v>260</v>
      </c>
      <c r="M859" s="12" t="s">
        <v>43</v>
      </c>
      <c r="N859" s="12" t="s">
        <v>84</v>
      </c>
      <c r="O859" s="12" t="s">
        <v>3622</v>
      </c>
      <c r="P859" s="12" t="s">
        <v>46</v>
      </c>
      <c r="Q859" s="12" t="s">
        <v>47</v>
      </c>
      <c r="R859" s="12" t="s">
        <v>48</v>
      </c>
      <c r="S859" s="13">
        <v>197804872558</v>
      </c>
      <c r="T859" s="12" t="s">
        <v>164</v>
      </c>
      <c r="U859" s="13">
        <v>35</v>
      </c>
      <c r="V859" s="12" t="s">
        <v>50</v>
      </c>
      <c r="W859" s="12" t="s">
        <v>186</v>
      </c>
      <c r="X859" s="14"/>
      <c r="Y859" s="14"/>
      <c r="Z859" s="14"/>
      <c r="AA859" s="14"/>
      <c r="AB859" s="14"/>
      <c r="AC859" s="15">
        <v>29.55</v>
      </c>
      <c r="AD859" s="15">
        <f>AC859*AG859</f>
        <v>236.4</v>
      </c>
      <c r="AE859" s="15">
        <v>65</v>
      </c>
      <c r="AF859" s="15">
        <f>AE859*AG859</f>
        <v>520</v>
      </c>
      <c r="AG859" s="16">
        <v>8</v>
      </c>
    </row>
    <row r="860" spans="1:33" ht="15" customHeight="1" x14ac:dyDescent="0.2">
      <c r="A860" s="11" t="str">
        <f t="shared" si="376"/>
        <v>VN000E9YLBR1</v>
      </c>
      <c r="B860" s="12" t="s">
        <v>3623</v>
      </c>
      <c r="C860" s="12" t="s">
        <v>34</v>
      </c>
      <c r="D860" s="12" t="s">
        <v>1923</v>
      </c>
      <c r="E860" s="12" t="s">
        <v>3624</v>
      </c>
      <c r="F860" s="13">
        <v>45</v>
      </c>
      <c r="G860" s="14"/>
      <c r="H860" s="12" t="s">
        <v>38</v>
      </c>
      <c r="I860" s="12" t="s">
        <v>205</v>
      </c>
      <c r="J860" s="12" t="s">
        <v>206</v>
      </c>
      <c r="K860" s="12" t="s">
        <v>207</v>
      </c>
      <c r="L860" s="12" t="s">
        <v>260</v>
      </c>
      <c r="M860" s="12" t="s">
        <v>43</v>
      </c>
      <c r="N860" s="12" t="s">
        <v>84</v>
      </c>
      <c r="O860" s="12" t="s">
        <v>3625</v>
      </c>
      <c r="P860" s="12" t="s">
        <v>46</v>
      </c>
      <c r="Q860" s="12" t="s">
        <v>47</v>
      </c>
      <c r="R860" s="12" t="s">
        <v>48</v>
      </c>
      <c r="S860" s="13">
        <v>197804872572</v>
      </c>
      <c r="T860" s="12" t="s">
        <v>164</v>
      </c>
      <c r="U860" s="13">
        <v>36</v>
      </c>
      <c r="V860" s="12" t="s">
        <v>50</v>
      </c>
      <c r="W860" s="12" t="s">
        <v>186</v>
      </c>
      <c r="X860" s="14"/>
      <c r="Y860" s="14"/>
      <c r="Z860" s="14"/>
      <c r="AA860" s="14"/>
      <c r="AB860" s="14"/>
      <c r="AC860" s="15">
        <v>29.55</v>
      </c>
      <c r="AD860" s="15">
        <f>AC860*AG860</f>
        <v>236.4</v>
      </c>
      <c r="AE860" s="15">
        <v>65</v>
      </c>
      <c r="AF860" s="15">
        <f>AE860*AG860</f>
        <v>520</v>
      </c>
      <c r="AG860" s="16">
        <v>8</v>
      </c>
    </row>
    <row r="861" spans="1:33" ht="15" customHeight="1" x14ac:dyDescent="0.2">
      <c r="A861" s="11" t="str">
        <f t="shared" si="376"/>
        <v>VN000E9YLBR1</v>
      </c>
      <c r="B861" s="12" t="s">
        <v>3626</v>
      </c>
      <c r="C861" s="12" t="s">
        <v>34</v>
      </c>
      <c r="D861" s="12" t="s">
        <v>1923</v>
      </c>
      <c r="E861" s="12" t="s">
        <v>3627</v>
      </c>
      <c r="F861" s="13">
        <v>70</v>
      </c>
      <c r="G861" s="14"/>
      <c r="H861" s="12" t="s">
        <v>38</v>
      </c>
      <c r="I861" s="12" t="s">
        <v>205</v>
      </c>
      <c r="J861" s="12" t="s">
        <v>206</v>
      </c>
      <c r="K861" s="12" t="s">
        <v>207</v>
      </c>
      <c r="L861" s="12" t="s">
        <v>260</v>
      </c>
      <c r="M861" s="12" t="s">
        <v>43</v>
      </c>
      <c r="N861" s="12" t="s">
        <v>84</v>
      </c>
      <c r="O861" s="12" t="s">
        <v>3628</v>
      </c>
      <c r="P861" s="12" t="s">
        <v>46</v>
      </c>
      <c r="Q861" s="12" t="s">
        <v>47</v>
      </c>
      <c r="R861" s="12" t="s">
        <v>48</v>
      </c>
      <c r="S861" s="13">
        <v>197804872824</v>
      </c>
      <c r="T861" s="12" t="s">
        <v>164</v>
      </c>
      <c r="U861" s="13">
        <v>39</v>
      </c>
      <c r="V861" s="12" t="s">
        <v>50</v>
      </c>
      <c r="W861" s="12" t="s">
        <v>186</v>
      </c>
      <c r="X861" s="14"/>
      <c r="Y861" s="14"/>
      <c r="Z861" s="14"/>
      <c r="AA861" s="14"/>
      <c r="AB861" s="14"/>
      <c r="AC861" s="15">
        <v>29.55</v>
      </c>
      <c r="AD861" s="15">
        <f>AC861*AG861</f>
        <v>236.4</v>
      </c>
      <c r="AE861" s="15">
        <v>65</v>
      </c>
      <c r="AF861" s="15">
        <f>AE861*AG861</f>
        <v>520</v>
      </c>
      <c r="AG861" s="16">
        <v>8</v>
      </c>
    </row>
    <row r="862" spans="1:33" ht="15" customHeight="1" x14ac:dyDescent="0.2">
      <c r="A862" s="11" t="str">
        <f t="shared" si="110"/>
        <v>VN000ED891K1</v>
      </c>
      <c r="B862" s="12" t="s">
        <v>3629</v>
      </c>
      <c r="C862" s="12" t="s">
        <v>1446</v>
      </c>
      <c r="D862" s="12" t="s">
        <v>1447</v>
      </c>
      <c r="E862" s="12" t="s">
        <v>3630</v>
      </c>
      <c r="F862" s="13">
        <v>120</v>
      </c>
      <c r="G862" s="14"/>
      <c r="H862" s="12" t="s">
        <v>38</v>
      </c>
      <c r="I862" s="12" t="s">
        <v>113</v>
      </c>
      <c r="J862" s="12" t="s">
        <v>114</v>
      </c>
      <c r="K862" s="12" t="s">
        <v>82</v>
      </c>
      <c r="L862" s="12" t="s">
        <v>115</v>
      </c>
      <c r="M862" s="12" t="s">
        <v>43</v>
      </c>
      <c r="N862" s="12" t="s">
        <v>84</v>
      </c>
      <c r="O862" s="12" t="s">
        <v>3631</v>
      </c>
      <c r="P862" s="12" t="s">
        <v>46</v>
      </c>
      <c r="Q862" s="12" t="s">
        <v>47</v>
      </c>
      <c r="R862" s="12" t="s">
        <v>948</v>
      </c>
      <c r="S862" s="13">
        <v>197805786045</v>
      </c>
      <c r="T862" s="12" t="s">
        <v>49</v>
      </c>
      <c r="U862" s="13">
        <v>46</v>
      </c>
      <c r="V862" s="12" t="s">
        <v>209</v>
      </c>
      <c r="W862" s="12" t="s">
        <v>51</v>
      </c>
      <c r="X862" s="14"/>
      <c r="Y862" s="14"/>
      <c r="Z862" s="14"/>
      <c r="AA862" s="14"/>
      <c r="AB862" s="14"/>
      <c r="AC862" s="15">
        <v>65.95</v>
      </c>
      <c r="AD862" s="15">
        <f>AC862*AG862</f>
        <v>527.6</v>
      </c>
      <c r="AE862" s="15">
        <v>145</v>
      </c>
      <c r="AF862" s="15">
        <f>AE862*AG862</f>
        <v>1160</v>
      </c>
      <c r="AG862" s="16">
        <v>8</v>
      </c>
    </row>
    <row r="863" spans="1:33" ht="15" customHeight="1" x14ac:dyDescent="0.2">
      <c r="A863" s="11" t="str">
        <f t="shared" ref="A863:A1088" si="377">HYPERLINK("https://assets.vans.eu/images/VN000EDNAH9-HERO/1","VN000EDNAH91")</f>
        <v>VN000EDNAH91</v>
      </c>
      <c r="B863" s="12" t="s">
        <v>3632</v>
      </c>
      <c r="C863" s="12" t="s">
        <v>996</v>
      </c>
      <c r="D863" s="12" t="s">
        <v>3633</v>
      </c>
      <c r="E863" s="12" t="s">
        <v>3634</v>
      </c>
      <c r="F863" s="13">
        <v>100</v>
      </c>
      <c r="G863" s="14"/>
      <c r="H863" s="12" t="s">
        <v>38</v>
      </c>
      <c r="I863" s="12" t="s">
        <v>159</v>
      </c>
      <c r="J863" s="12" t="s">
        <v>341</v>
      </c>
      <c r="K863" s="12" t="s">
        <v>199</v>
      </c>
      <c r="L863" s="14"/>
      <c r="M863" s="12" t="s">
        <v>43</v>
      </c>
      <c r="N863" s="12" t="s">
        <v>84</v>
      </c>
      <c r="O863" s="12" t="s">
        <v>3635</v>
      </c>
      <c r="P863" s="12" t="s">
        <v>46</v>
      </c>
      <c r="Q863" s="12" t="s">
        <v>47</v>
      </c>
      <c r="R863" s="12" t="s">
        <v>163</v>
      </c>
      <c r="S863" s="13">
        <v>197804567683</v>
      </c>
      <c r="T863" s="12" t="s">
        <v>49</v>
      </c>
      <c r="U863" s="13">
        <v>43</v>
      </c>
      <c r="V863" s="12" t="s">
        <v>50</v>
      </c>
      <c r="W863" s="12" t="s">
        <v>118</v>
      </c>
      <c r="X863" s="14"/>
      <c r="Y863" s="14"/>
      <c r="Z863" s="14"/>
      <c r="AA863" s="14"/>
      <c r="AB863" s="14"/>
      <c r="AC863" s="15">
        <v>38.65</v>
      </c>
      <c r="AD863" s="15">
        <f>AC863*AG863</f>
        <v>309.2</v>
      </c>
      <c r="AE863" s="15">
        <v>85</v>
      </c>
      <c r="AF863" s="15">
        <f>AE863*AG863</f>
        <v>680</v>
      </c>
      <c r="AG863" s="16">
        <v>8</v>
      </c>
    </row>
    <row r="864" spans="1:33" ht="15" customHeight="1" x14ac:dyDescent="0.2">
      <c r="A864" s="11" t="str">
        <f t="shared" si="312"/>
        <v>VN000KI51861</v>
      </c>
      <c r="B864" s="12" t="s">
        <v>3636</v>
      </c>
      <c r="C864" s="12" t="s">
        <v>369</v>
      </c>
      <c r="D864" s="12" t="s">
        <v>370</v>
      </c>
      <c r="E864" s="12" t="s">
        <v>3637</v>
      </c>
      <c r="F864" s="13">
        <v>105</v>
      </c>
      <c r="G864" s="12" t="s">
        <v>372</v>
      </c>
      <c r="H864" s="12" t="s">
        <v>38</v>
      </c>
      <c r="I864" s="12" t="s">
        <v>39</v>
      </c>
      <c r="J864" s="12" t="s">
        <v>40</v>
      </c>
      <c r="K864" s="12" t="s">
        <v>373</v>
      </c>
      <c r="L864" s="14"/>
      <c r="M864" s="12" t="s">
        <v>43</v>
      </c>
      <c r="N864" s="12" t="s">
        <v>84</v>
      </c>
      <c r="O864" s="12" t="s">
        <v>3638</v>
      </c>
      <c r="P864" s="12" t="s">
        <v>46</v>
      </c>
      <c r="Q864" s="12" t="s">
        <v>47</v>
      </c>
      <c r="R864" s="12" t="s">
        <v>48</v>
      </c>
      <c r="S864" s="13">
        <v>766182060590</v>
      </c>
      <c r="T864" s="12" t="s">
        <v>105</v>
      </c>
      <c r="U864" s="13">
        <v>27</v>
      </c>
      <c r="V864" s="12" t="s">
        <v>375</v>
      </c>
      <c r="W864" s="12" t="s">
        <v>51</v>
      </c>
      <c r="X864" s="14"/>
      <c r="Y864" s="12" t="s">
        <v>71</v>
      </c>
      <c r="Z864" s="12" t="s">
        <v>376</v>
      </c>
      <c r="AA864" s="14"/>
      <c r="AB864" s="14"/>
      <c r="AC864" s="15">
        <v>19.05</v>
      </c>
      <c r="AD864" s="15">
        <f>AC864*AG864</f>
        <v>152.4</v>
      </c>
      <c r="AE864" s="15">
        <v>40</v>
      </c>
      <c r="AF864" s="15">
        <f>AE864*AG864</f>
        <v>320</v>
      </c>
      <c r="AG864" s="16">
        <v>8</v>
      </c>
    </row>
    <row r="865" spans="1:33" ht="15" customHeight="1" x14ac:dyDescent="0.2">
      <c r="A865" s="11" t="str">
        <f t="shared" si="254"/>
        <v>VN000ZUVC4R1</v>
      </c>
      <c r="B865" s="12" t="s">
        <v>3639</v>
      </c>
      <c r="C865" s="12" t="s">
        <v>2631</v>
      </c>
      <c r="D865" s="12" t="s">
        <v>2632</v>
      </c>
      <c r="E865" s="12" t="s">
        <v>3640</v>
      </c>
      <c r="F865" s="13">
        <v>85</v>
      </c>
      <c r="G865" s="12" t="s">
        <v>1358</v>
      </c>
      <c r="H865" s="12" t="s">
        <v>38</v>
      </c>
      <c r="I865" s="12" t="s">
        <v>159</v>
      </c>
      <c r="J865" s="12" t="s">
        <v>255</v>
      </c>
      <c r="K865" s="12" t="s">
        <v>199</v>
      </c>
      <c r="L865" s="12" t="s">
        <v>350</v>
      </c>
      <c r="M865" s="12" t="s">
        <v>43</v>
      </c>
      <c r="N865" s="12" t="s">
        <v>84</v>
      </c>
      <c r="O865" s="12" t="s">
        <v>3641</v>
      </c>
      <c r="P865" s="12" t="s">
        <v>46</v>
      </c>
      <c r="Q865" s="12" t="s">
        <v>47</v>
      </c>
      <c r="R865" s="12" t="s">
        <v>163</v>
      </c>
      <c r="S865" s="13">
        <v>888655101408</v>
      </c>
      <c r="T865" s="12" t="s">
        <v>105</v>
      </c>
      <c r="U865" s="13">
        <v>41</v>
      </c>
      <c r="V865" s="12" t="s">
        <v>50</v>
      </c>
      <c r="W865" s="12" t="s">
        <v>51</v>
      </c>
      <c r="X865" s="14"/>
      <c r="Y865" s="12" t="s">
        <v>71</v>
      </c>
      <c r="Z865" s="12" t="s">
        <v>92</v>
      </c>
      <c r="AA865" s="12" t="s">
        <v>354</v>
      </c>
      <c r="AB865" s="12" t="s">
        <v>888</v>
      </c>
      <c r="AC865" s="15">
        <v>35.75</v>
      </c>
      <c r="AD865" s="15">
        <f>AC865*AG865</f>
        <v>286</v>
      </c>
      <c r="AE865" s="15">
        <v>75</v>
      </c>
      <c r="AF865" s="15">
        <f>AE865*AG865</f>
        <v>600</v>
      </c>
      <c r="AG865" s="16">
        <v>8</v>
      </c>
    </row>
    <row r="866" spans="1:33" ht="15" customHeight="1" x14ac:dyDescent="0.2">
      <c r="A866" s="11" t="str">
        <f t="shared" ref="A866:A977" si="378">HYPERLINK("https://assets.vans.eu/images/VN0A5FCB1N6-HERO/1","VN0A5FCB1N61")</f>
        <v>VN0A5FCB1N61</v>
      </c>
      <c r="B866" s="12" t="s">
        <v>3642</v>
      </c>
      <c r="C866" s="12" t="s">
        <v>996</v>
      </c>
      <c r="D866" s="12" t="s">
        <v>2181</v>
      </c>
      <c r="E866" s="12" t="s">
        <v>3643</v>
      </c>
      <c r="F866" s="13">
        <v>75</v>
      </c>
      <c r="G866" s="14"/>
      <c r="H866" s="12" t="s">
        <v>38</v>
      </c>
      <c r="I866" s="12" t="s">
        <v>159</v>
      </c>
      <c r="J866" s="12" t="s">
        <v>341</v>
      </c>
      <c r="K866" s="12" t="s">
        <v>199</v>
      </c>
      <c r="L866" s="14"/>
      <c r="M866" s="12" t="s">
        <v>43</v>
      </c>
      <c r="N866" s="12" t="s">
        <v>84</v>
      </c>
      <c r="O866" s="12" t="s">
        <v>3644</v>
      </c>
      <c r="P866" s="12" t="s">
        <v>46</v>
      </c>
      <c r="Q866" s="12" t="s">
        <v>47</v>
      </c>
      <c r="R866" s="12" t="s">
        <v>163</v>
      </c>
      <c r="S866" s="13">
        <v>197063314561</v>
      </c>
      <c r="T866" s="12" t="s">
        <v>49</v>
      </c>
      <c r="U866" s="13">
        <v>40</v>
      </c>
      <c r="V866" s="12" t="s">
        <v>50</v>
      </c>
      <c r="W866" s="12" t="s">
        <v>455</v>
      </c>
      <c r="X866" s="14"/>
      <c r="Y866" s="12" t="s">
        <v>91</v>
      </c>
      <c r="Z866" s="12" t="s">
        <v>344</v>
      </c>
      <c r="AA866" s="14"/>
      <c r="AB866" s="14"/>
      <c r="AC866" s="15">
        <v>38.65</v>
      </c>
      <c r="AD866" s="15">
        <f>AC866*AG866</f>
        <v>309.2</v>
      </c>
      <c r="AE866" s="15">
        <v>85</v>
      </c>
      <c r="AF866" s="15">
        <f>AE866*AG866</f>
        <v>680</v>
      </c>
      <c r="AG866" s="16">
        <v>8</v>
      </c>
    </row>
    <row r="867" spans="1:33" ht="15" customHeight="1" x14ac:dyDescent="0.2">
      <c r="A867" s="11" t="str">
        <f t="shared" si="235"/>
        <v>VN0A5HYWYOH1</v>
      </c>
      <c r="B867" s="12" t="s">
        <v>3645</v>
      </c>
      <c r="C867" s="12" t="s">
        <v>2449</v>
      </c>
      <c r="D867" s="12" t="s">
        <v>2450</v>
      </c>
      <c r="E867" s="12" t="s">
        <v>3646</v>
      </c>
      <c r="F867" s="13">
        <v>50</v>
      </c>
      <c r="G867" s="12" t="s">
        <v>2452</v>
      </c>
      <c r="H867" s="12" t="s">
        <v>38</v>
      </c>
      <c r="I867" s="12" t="s">
        <v>113</v>
      </c>
      <c r="J867" s="12" t="s">
        <v>529</v>
      </c>
      <c r="K867" s="12" t="s">
        <v>100</v>
      </c>
      <c r="L867" s="12" t="s">
        <v>350</v>
      </c>
      <c r="M867" s="12" t="s">
        <v>43</v>
      </c>
      <c r="N867" s="12" t="s">
        <v>84</v>
      </c>
      <c r="O867" s="12" t="s">
        <v>3647</v>
      </c>
      <c r="P867" s="12" t="s">
        <v>46</v>
      </c>
      <c r="Q867" s="12" t="s">
        <v>47</v>
      </c>
      <c r="R867" s="12" t="s">
        <v>948</v>
      </c>
      <c r="S867" s="13">
        <v>196244864215</v>
      </c>
      <c r="T867" s="12" t="s">
        <v>105</v>
      </c>
      <c r="U867" s="13">
        <v>34.5</v>
      </c>
      <c r="V867" s="12" t="s">
        <v>50</v>
      </c>
      <c r="W867" s="12" t="s">
        <v>186</v>
      </c>
      <c r="X867" s="14"/>
      <c r="Y867" s="12" t="s">
        <v>71</v>
      </c>
      <c r="Z867" s="12" t="s">
        <v>376</v>
      </c>
      <c r="AA867" s="14"/>
      <c r="AB867" s="14"/>
      <c r="AC867" s="15">
        <v>52.4</v>
      </c>
      <c r="AD867" s="15">
        <f>AC867*AG867</f>
        <v>419.2</v>
      </c>
      <c r="AE867" s="15">
        <v>110</v>
      </c>
      <c r="AF867" s="15">
        <f>AE867*AG867</f>
        <v>880</v>
      </c>
      <c r="AG867" s="16">
        <v>8</v>
      </c>
    </row>
    <row r="868" spans="1:33" ht="15" customHeight="1" x14ac:dyDescent="0.2">
      <c r="A868" s="11" t="str">
        <f>HYPERLINK("https://assets.vans.eu/images/VN000A96C89-HERO/1","VN000A96C891")</f>
        <v>VN000A96C891</v>
      </c>
      <c r="B868" s="12" t="s">
        <v>3648</v>
      </c>
      <c r="C868" s="12" t="s">
        <v>3649</v>
      </c>
      <c r="D868" s="12" t="s">
        <v>3650</v>
      </c>
      <c r="E868" s="12" t="s">
        <v>3651</v>
      </c>
      <c r="F868" s="12" t="s">
        <v>78</v>
      </c>
      <c r="G868" s="14"/>
      <c r="H868" s="12" t="s">
        <v>79</v>
      </c>
      <c r="I868" s="12" t="s">
        <v>80</v>
      </c>
      <c r="J868" s="12" t="s">
        <v>349</v>
      </c>
      <c r="K868" s="12" t="s">
        <v>100</v>
      </c>
      <c r="L868" s="14"/>
      <c r="M868" s="12" t="s">
        <v>43</v>
      </c>
      <c r="N868" s="12" t="s">
        <v>101</v>
      </c>
      <c r="O868" s="12" t="s">
        <v>3652</v>
      </c>
      <c r="P868" s="12" t="s">
        <v>86</v>
      </c>
      <c r="Q868" s="12" t="s">
        <v>128</v>
      </c>
      <c r="R868" s="12" t="s">
        <v>352</v>
      </c>
      <c r="S868" s="13">
        <v>196573521049</v>
      </c>
      <c r="T868" s="12" t="s">
        <v>164</v>
      </c>
      <c r="U868" s="12" t="s">
        <v>78</v>
      </c>
      <c r="V868" s="12" t="s">
        <v>3653</v>
      </c>
      <c r="W868" s="12" t="s">
        <v>118</v>
      </c>
      <c r="X868" s="13">
        <v>0</v>
      </c>
      <c r="Y868" s="12" t="s">
        <v>53</v>
      </c>
      <c r="Z868" s="12" t="s">
        <v>108</v>
      </c>
      <c r="AA868" s="13">
        <v>0</v>
      </c>
      <c r="AB868" s="13">
        <v>0</v>
      </c>
      <c r="AC868" s="15">
        <v>19.100000000000001</v>
      </c>
      <c r="AD868" s="15">
        <f>AC868*AG868</f>
        <v>133.70000000000002</v>
      </c>
      <c r="AE868" s="15">
        <v>42</v>
      </c>
      <c r="AF868" s="15">
        <f>AE868*AG868</f>
        <v>294</v>
      </c>
      <c r="AG868" s="16">
        <v>7</v>
      </c>
    </row>
    <row r="869" spans="1:33" ht="15" customHeight="1" x14ac:dyDescent="0.2">
      <c r="A869" s="11" t="str">
        <f t="shared" ref="A869:A870" si="379">HYPERLINK("https://assets.vans.eu/images/VN000R51BLK-HERO/1","VN000R51BLK1")</f>
        <v>VN000R51BLK1</v>
      </c>
      <c r="B869" s="12" t="s">
        <v>3654</v>
      </c>
      <c r="C869" s="12" t="s">
        <v>1631</v>
      </c>
      <c r="D869" s="12" t="s">
        <v>76</v>
      </c>
      <c r="E869" s="12" t="s">
        <v>3655</v>
      </c>
      <c r="F869" s="12" t="s">
        <v>179</v>
      </c>
      <c r="G869" s="14"/>
      <c r="H869" s="12" t="s">
        <v>79</v>
      </c>
      <c r="I869" s="12" t="s">
        <v>80</v>
      </c>
      <c r="J869" s="12" t="s">
        <v>171</v>
      </c>
      <c r="K869" s="12" t="s">
        <v>82</v>
      </c>
      <c r="L869" s="14"/>
      <c r="M869" s="12" t="s">
        <v>43</v>
      </c>
      <c r="N869" s="12" t="s">
        <v>84</v>
      </c>
      <c r="O869" s="12" t="s">
        <v>3656</v>
      </c>
      <c r="P869" s="12" t="s">
        <v>86</v>
      </c>
      <c r="Q869" s="12" t="s">
        <v>141</v>
      </c>
      <c r="R869" s="12" t="s">
        <v>173</v>
      </c>
      <c r="S869" s="13">
        <v>197804617326</v>
      </c>
      <c r="T869" s="12" t="s">
        <v>143</v>
      </c>
      <c r="U869" s="12" t="s">
        <v>179</v>
      </c>
      <c r="V869" s="12" t="s">
        <v>1545</v>
      </c>
      <c r="W869" s="12" t="s">
        <v>51</v>
      </c>
      <c r="X869" s="14"/>
      <c r="Y869" s="14"/>
      <c r="Z869" s="14"/>
      <c r="AA869" s="14"/>
      <c r="AB869" s="14"/>
      <c r="AC869" s="15">
        <v>9.1</v>
      </c>
      <c r="AD869" s="15">
        <f>AC869*AG869</f>
        <v>63.699999999999996</v>
      </c>
      <c r="AE869" s="15">
        <v>20</v>
      </c>
      <c r="AF869" s="15">
        <f>AE869*AG869</f>
        <v>140</v>
      </c>
      <c r="AG869" s="16">
        <v>7</v>
      </c>
    </row>
    <row r="870" spans="1:33" ht="15" customHeight="1" x14ac:dyDescent="0.2">
      <c r="A870" s="11" t="str">
        <f t="shared" si="379"/>
        <v>VN000R51BLK1</v>
      </c>
      <c r="B870" s="12" t="s">
        <v>3657</v>
      </c>
      <c r="C870" s="12" t="s">
        <v>1631</v>
      </c>
      <c r="D870" s="12" t="s">
        <v>76</v>
      </c>
      <c r="E870" s="12" t="s">
        <v>3658</v>
      </c>
      <c r="F870" s="12" t="s">
        <v>403</v>
      </c>
      <c r="G870" s="14"/>
      <c r="H870" s="12" t="s">
        <v>79</v>
      </c>
      <c r="I870" s="12" t="s">
        <v>80</v>
      </c>
      <c r="J870" s="12" t="s">
        <v>171</v>
      </c>
      <c r="K870" s="12" t="s">
        <v>82</v>
      </c>
      <c r="L870" s="14"/>
      <c r="M870" s="12" t="s">
        <v>43</v>
      </c>
      <c r="N870" s="12" t="s">
        <v>84</v>
      </c>
      <c r="O870" s="12" t="s">
        <v>3659</v>
      </c>
      <c r="P870" s="12" t="s">
        <v>86</v>
      </c>
      <c r="Q870" s="12" t="s">
        <v>141</v>
      </c>
      <c r="R870" s="12" t="s">
        <v>173</v>
      </c>
      <c r="S870" s="13">
        <v>197804617579</v>
      </c>
      <c r="T870" s="12" t="s">
        <v>143</v>
      </c>
      <c r="U870" s="12" t="s">
        <v>403</v>
      </c>
      <c r="V870" s="12" t="s">
        <v>1545</v>
      </c>
      <c r="W870" s="12" t="s">
        <v>51</v>
      </c>
      <c r="X870" s="14"/>
      <c r="Y870" s="14"/>
      <c r="Z870" s="14"/>
      <c r="AA870" s="14"/>
      <c r="AB870" s="14"/>
      <c r="AC870" s="15">
        <v>9.1</v>
      </c>
      <c r="AD870" s="15">
        <f>AC870*AG870</f>
        <v>63.699999999999996</v>
      </c>
      <c r="AE870" s="15">
        <v>20</v>
      </c>
      <c r="AF870" s="15">
        <f>AE870*AG870</f>
        <v>140</v>
      </c>
      <c r="AG870" s="16">
        <v>7</v>
      </c>
    </row>
    <row r="871" spans="1:33" ht="15" customHeight="1" x14ac:dyDescent="0.2">
      <c r="A871" s="11" t="str">
        <f>HYPERLINK("https://assets.vans.eu/images/VN0A7PR1BLK-HERO/1","VN0A7PR1BLK1")</f>
        <v>VN0A7PR1BLK1</v>
      </c>
      <c r="B871" s="12" t="s">
        <v>3660</v>
      </c>
      <c r="C871" s="12" t="s">
        <v>3661</v>
      </c>
      <c r="D871" s="12" t="s">
        <v>76</v>
      </c>
      <c r="E871" s="12" t="s">
        <v>3662</v>
      </c>
      <c r="F871" s="12" t="s">
        <v>78</v>
      </c>
      <c r="G871" s="14"/>
      <c r="H871" s="12" t="s">
        <v>79</v>
      </c>
      <c r="I871" s="12" t="s">
        <v>80</v>
      </c>
      <c r="J871" s="12" t="s">
        <v>99</v>
      </c>
      <c r="K871" s="12" t="s">
        <v>199</v>
      </c>
      <c r="L871" s="14"/>
      <c r="M871" s="12" t="s">
        <v>43</v>
      </c>
      <c r="N871" s="12" t="s">
        <v>44</v>
      </c>
      <c r="O871" s="12" t="s">
        <v>3663</v>
      </c>
      <c r="P871" s="12" t="s">
        <v>86</v>
      </c>
      <c r="Q871" s="12" t="s">
        <v>716</v>
      </c>
      <c r="R871" s="12" t="s">
        <v>717</v>
      </c>
      <c r="S871" s="13">
        <v>196571451454</v>
      </c>
      <c r="T871" s="12" t="s">
        <v>143</v>
      </c>
      <c r="U871" s="12" t="s">
        <v>78</v>
      </c>
      <c r="V871" s="12" t="s">
        <v>718</v>
      </c>
      <c r="W871" s="12" t="s">
        <v>51</v>
      </c>
      <c r="X871" s="13">
        <v>0</v>
      </c>
      <c r="Y871" s="12" t="s">
        <v>91</v>
      </c>
      <c r="Z871" s="12" t="s">
        <v>108</v>
      </c>
      <c r="AA871" s="13">
        <v>0</v>
      </c>
      <c r="AB871" s="13">
        <v>0</v>
      </c>
      <c r="AC871" s="15">
        <v>12.75</v>
      </c>
      <c r="AD871" s="15">
        <f>AC871*AG871</f>
        <v>89.25</v>
      </c>
      <c r="AE871" s="15">
        <v>28</v>
      </c>
      <c r="AF871" s="15">
        <f>AE871*AG871</f>
        <v>196</v>
      </c>
      <c r="AG871" s="16">
        <v>7</v>
      </c>
    </row>
    <row r="872" spans="1:33" ht="15" customHeight="1" x14ac:dyDescent="0.2">
      <c r="A872" s="11" t="str">
        <f t="shared" si="236"/>
        <v>VN0008NACDX1</v>
      </c>
      <c r="B872" s="12" t="s">
        <v>3664</v>
      </c>
      <c r="C872" s="12" t="s">
        <v>2477</v>
      </c>
      <c r="D872" s="12" t="s">
        <v>760</v>
      </c>
      <c r="E872" s="12" t="s">
        <v>3665</v>
      </c>
      <c r="F872" s="13">
        <v>36</v>
      </c>
      <c r="G872" s="14"/>
      <c r="H872" s="12" t="s">
        <v>61</v>
      </c>
      <c r="I872" s="12" t="s">
        <v>230</v>
      </c>
      <c r="J872" s="12" t="s">
        <v>231</v>
      </c>
      <c r="K872" s="12" t="s">
        <v>199</v>
      </c>
      <c r="L872" s="14"/>
      <c r="M872" s="12" t="s">
        <v>43</v>
      </c>
      <c r="N872" s="12" t="s">
        <v>44</v>
      </c>
      <c r="O872" s="12" t="s">
        <v>3666</v>
      </c>
      <c r="P872" s="12" t="s">
        <v>66</v>
      </c>
      <c r="Q872" s="12" t="s">
        <v>233</v>
      </c>
      <c r="R872" s="12" t="s">
        <v>361</v>
      </c>
      <c r="S872" s="13">
        <v>196573551602</v>
      </c>
      <c r="T872" s="12" t="s">
        <v>235</v>
      </c>
      <c r="U872" s="13">
        <v>36</v>
      </c>
      <c r="V872" s="12" t="s">
        <v>665</v>
      </c>
      <c r="W872" s="12" t="s">
        <v>284</v>
      </c>
      <c r="X872" s="13">
        <v>0</v>
      </c>
      <c r="Y872" s="12" t="s">
        <v>53</v>
      </c>
      <c r="Z872" s="12" t="s">
        <v>108</v>
      </c>
      <c r="AA872" s="13">
        <v>0</v>
      </c>
      <c r="AB872" s="13">
        <v>0</v>
      </c>
      <c r="AC872" s="15">
        <v>36.4</v>
      </c>
      <c r="AD872" s="15">
        <f>AC872*AG872</f>
        <v>254.79999999999998</v>
      </c>
      <c r="AE872" s="15">
        <v>80</v>
      </c>
      <c r="AF872" s="15">
        <f>AE872*AG872</f>
        <v>560</v>
      </c>
      <c r="AG872" s="16">
        <v>7</v>
      </c>
    </row>
    <row r="873" spans="1:33" ht="15" customHeight="1" x14ac:dyDescent="0.2">
      <c r="A873" s="11" t="str">
        <f>HYPERLINK("https://assets.vans.eu/images/VN000FYHBLH-HERO/1","VN000FYHBLH1")</f>
        <v>VN000FYHBLH1</v>
      </c>
      <c r="B873" s="12" t="s">
        <v>3667</v>
      </c>
      <c r="C873" s="12" t="s">
        <v>3668</v>
      </c>
      <c r="D873" s="12" t="s">
        <v>3669</v>
      </c>
      <c r="E873" s="12" t="s">
        <v>3670</v>
      </c>
      <c r="F873" s="12" t="s">
        <v>138</v>
      </c>
      <c r="G873" s="14"/>
      <c r="H873" s="12" t="s">
        <v>61</v>
      </c>
      <c r="I873" s="12" t="s">
        <v>289</v>
      </c>
      <c r="J873" s="12" t="s">
        <v>706</v>
      </c>
      <c r="K873" s="12" t="s">
        <v>100</v>
      </c>
      <c r="L873" s="12" t="s">
        <v>350</v>
      </c>
      <c r="M873" s="12" t="s">
        <v>43</v>
      </c>
      <c r="N873" s="12" t="s">
        <v>274</v>
      </c>
      <c r="O873" s="12" t="s">
        <v>3671</v>
      </c>
      <c r="P873" s="12" t="s">
        <v>66</v>
      </c>
      <c r="Q873" s="12" t="s">
        <v>67</v>
      </c>
      <c r="R873" s="12" t="s">
        <v>708</v>
      </c>
      <c r="S873" s="13">
        <v>196574044981</v>
      </c>
      <c r="T873" s="12" t="s">
        <v>69</v>
      </c>
      <c r="U873" s="12" t="s">
        <v>138</v>
      </c>
      <c r="V873" s="12" t="s">
        <v>1378</v>
      </c>
      <c r="W873" s="12" t="s">
        <v>299</v>
      </c>
      <c r="X873" s="13">
        <v>0</v>
      </c>
      <c r="Y873" s="12" t="s">
        <v>71</v>
      </c>
      <c r="Z873" s="12" t="s">
        <v>92</v>
      </c>
      <c r="AA873" s="12" t="s">
        <v>354</v>
      </c>
      <c r="AB873" s="12" t="s">
        <v>355</v>
      </c>
      <c r="AC873" s="15">
        <v>36.4</v>
      </c>
      <c r="AD873" s="15">
        <f>AC873*AG873</f>
        <v>254.79999999999998</v>
      </c>
      <c r="AE873" s="15">
        <v>80</v>
      </c>
      <c r="AF873" s="15">
        <f>AE873*AG873</f>
        <v>560</v>
      </c>
      <c r="AG873" s="16">
        <v>7</v>
      </c>
    </row>
    <row r="874" spans="1:33" ht="15" customHeight="1" x14ac:dyDescent="0.2">
      <c r="A874" s="11" t="str">
        <f t="shared" si="314"/>
        <v>VN000GGGYB21</v>
      </c>
      <c r="B874" s="12" t="s">
        <v>3672</v>
      </c>
      <c r="C874" s="12" t="s">
        <v>3095</v>
      </c>
      <c r="D874" s="12" t="s">
        <v>1138</v>
      </c>
      <c r="E874" s="12" t="s">
        <v>3673</v>
      </c>
      <c r="F874" s="12" t="s">
        <v>621</v>
      </c>
      <c r="G874" s="14"/>
      <c r="H874" s="12" t="s">
        <v>61</v>
      </c>
      <c r="I874" s="12" t="s">
        <v>230</v>
      </c>
      <c r="J874" s="12" t="s">
        <v>419</v>
      </c>
      <c r="K874" s="12" t="s">
        <v>199</v>
      </c>
      <c r="L874" s="14"/>
      <c r="M874" s="12" t="s">
        <v>43</v>
      </c>
      <c r="N874" s="12" t="s">
        <v>44</v>
      </c>
      <c r="O874" s="12" t="s">
        <v>3674</v>
      </c>
      <c r="P874" s="12" t="s">
        <v>66</v>
      </c>
      <c r="Q874" s="12" t="s">
        <v>67</v>
      </c>
      <c r="R874" s="12" t="s">
        <v>421</v>
      </c>
      <c r="S874" s="13">
        <v>732075993139</v>
      </c>
      <c r="T874" s="12" t="s">
        <v>422</v>
      </c>
      <c r="U874" s="12" t="s">
        <v>621</v>
      </c>
      <c r="V874" s="12" t="s">
        <v>70</v>
      </c>
      <c r="W874" s="12" t="s">
        <v>175</v>
      </c>
      <c r="X874" s="13">
        <v>0</v>
      </c>
      <c r="Y874" s="12" t="s">
        <v>91</v>
      </c>
      <c r="Z874" s="12" t="s">
        <v>108</v>
      </c>
      <c r="AA874" s="13">
        <v>0</v>
      </c>
      <c r="AB874" s="13">
        <v>0</v>
      </c>
      <c r="AC874" s="15">
        <v>14.55</v>
      </c>
      <c r="AD874" s="15">
        <f>AC874*AG874</f>
        <v>101.85000000000001</v>
      </c>
      <c r="AE874" s="15">
        <v>32</v>
      </c>
      <c r="AF874" s="15">
        <f>AE874*AG874</f>
        <v>224</v>
      </c>
      <c r="AG874" s="16">
        <v>7</v>
      </c>
    </row>
    <row r="875" spans="1:33" ht="15" customHeight="1" x14ac:dyDescent="0.2">
      <c r="A875" s="11" t="str">
        <f t="shared" ref="A875:A1629" si="380">HYPERLINK("https://assets.vans.eu/images/VN000HZBEMP-HERO/1","VN000HZBEMP1")</f>
        <v>VN000HZBEMP1</v>
      </c>
      <c r="B875" s="12" t="s">
        <v>3675</v>
      </c>
      <c r="C875" s="12" t="s">
        <v>357</v>
      </c>
      <c r="D875" s="12" t="s">
        <v>704</v>
      </c>
      <c r="E875" s="12" t="s">
        <v>3676</v>
      </c>
      <c r="F875" s="13">
        <v>29</v>
      </c>
      <c r="G875" s="14"/>
      <c r="H875" s="12" t="s">
        <v>61</v>
      </c>
      <c r="I875" s="12" t="s">
        <v>230</v>
      </c>
      <c r="J875" s="12" t="s">
        <v>231</v>
      </c>
      <c r="K875" s="12" t="s">
        <v>199</v>
      </c>
      <c r="L875" s="14"/>
      <c r="M875" s="12" t="s">
        <v>43</v>
      </c>
      <c r="N875" s="12" t="s">
        <v>84</v>
      </c>
      <c r="O875" s="12" t="s">
        <v>3677</v>
      </c>
      <c r="P875" s="12" t="s">
        <v>66</v>
      </c>
      <c r="Q875" s="12" t="s">
        <v>233</v>
      </c>
      <c r="R875" s="12" t="s">
        <v>361</v>
      </c>
      <c r="S875" s="13">
        <v>197804385829</v>
      </c>
      <c r="T875" s="12" t="s">
        <v>235</v>
      </c>
      <c r="U875" s="13">
        <v>29</v>
      </c>
      <c r="V875" s="12" t="s">
        <v>362</v>
      </c>
      <c r="W875" s="12" t="s">
        <v>186</v>
      </c>
      <c r="X875" s="14"/>
      <c r="Y875" s="14"/>
      <c r="Z875" s="14"/>
      <c r="AA875" s="14"/>
      <c r="AB875" s="14"/>
      <c r="AC875" s="15">
        <v>34.1</v>
      </c>
      <c r="AD875" s="15">
        <f>AC875*AG875</f>
        <v>238.70000000000002</v>
      </c>
      <c r="AE875" s="15">
        <v>75</v>
      </c>
      <c r="AF875" s="15">
        <f>AE875*AG875</f>
        <v>525</v>
      </c>
      <c r="AG875" s="16">
        <v>7</v>
      </c>
    </row>
    <row r="876" spans="1:33" ht="15" customHeight="1" x14ac:dyDescent="0.2">
      <c r="A876" s="11" t="str">
        <f>HYPERLINK("https://assets.vans.eu/images/VN000JBH11E-HERO/1","VN000JBH11E1")</f>
        <v>VN000JBH11E1</v>
      </c>
      <c r="B876" s="12" t="s">
        <v>3678</v>
      </c>
      <c r="C876" s="12" t="s">
        <v>3679</v>
      </c>
      <c r="D876" s="12" t="s">
        <v>1148</v>
      </c>
      <c r="E876" s="12" t="s">
        <v>3680</v>
      </c>
      <c r="F876" s="12" t="s">
        <v>170</v>
      </c>
      <c r="G876" s="14"/>
      <c r="H876" s="12" t="s">
        <v>61</v>
      </c>
      <c r="I876" s="12" t="s">
        <v>62</v>
      </c>
      <c r="J876" s="12" t="s">
        <v>63</v>
      </c>
      <c r="K876" s="12" t="s">
        <v>64</v>
      </c>
      <c r="L876" s="12" t="s">
        <v>83</v>
      </c>
      <c r="M876" s="12" t="s">
        <v>43</v>
      </c>
      <c r="N876" s="12" t="s">
        <v>84</v>
      </c>
      <c r="O876" s="12" t="s">
        <v>3681</v>
      </c>
      <c r="P876" s="12" t="s">
        <v>66</v>
      </c>
      <c r="Q876" s="12" t="s">
        <v>67</v>
      </c>
      <c r="R876" s="12" t="s">
        <v>730</v>
      </c>
      <c r="S876" s="13">
        <v>197065464073</v>
      </c>
      <c r="T876" s="12" t="s">
        <v>499</v>
      </c>
      <c r="U876" s="12" t="s">
        <v>170</v>
      </c>
      <c r="V876" s="12" t="s">
        <v>1378</v>
      </c>
      <c r="W876" s="12" t="s">
        <v>107</v>
      </c>
      <c r="X876" s="13">
        <v>0</v>
      </c>
      <c r="Y876" s="12" t="s">
        <v>91</v>
      </c>
      <c r="Z876" s="12" t="s">
        <v>108</v>
      </c>
      <c r="AA876" s="13">
        <v>0</v>
      </c>
      <c r="AB876" s="13">
        <v>0</v>
      </c>
      <c r="AC876" s="15">
        <v>27.3</v>
      </c>
      <c r="AD876" s="15">
        <f>AC876*AG876</f>
        <v>191.1</v>
      </c>
      <c r="AE876" s="15">
        <v>60</v>
      </c>
      <c r="AF876" s="15">
        <f>AE876*AG876</f>
        <v>420</v>
      </c>
      <c r="AG876" s="16">
        <v>7</v>
      </c>
    </row>
    <row r="877" spans="1:33" ht="15" customHeight="1" x14ac:dyDescent="0.2">
      <c r="A877" s="11" t="str">
        <f t="shared" ref="A877:A1128" si="381">HYPERLINK("https://assets.vans.eu/images/VN000JUABLK-HERO/1","VN000JUABLK1")</f>
        <v>VN000JUABLK1</v>
      </c>
      <c r="B877" s="12" t="s">
        <v>3682</v>
      </c>
      <c r="C877" s="12" t="s">
        <v>3683</v>
      </c>
      <c r="D877" s="12" t="s">
        <v>76</v>
      </c>
      <c r="E877" s="12" t="s">
        <v>3684</v>
      </c>
      <c r="F877" s="12" t="s">
        <v>403</v>
      </c>
      <c r="G877" s="14"/>
      <c r="H877" s="12" t="s">
        <v>61</v>
      </c>
      <c r="I877" s="12" t="s">
        <v>289</v>
      </c>
      <c r="J877" s="12" t="s">
        <v>706</v>
      </c>
      <c r="K877" s="12" t="s">
        <v>100</v>
      </c>
      <c r="L877" s="14"/>
      <c r="M877" s="12" t="s">
        <v>43</v>
      </c>
      <c r="N877" s="12" t="s">
        <v>84</v>
      </c>
      <c r="O877" s="12" t="s">
        <v>3685</v>
      </c>
      <c r="P877" s="12" t="s">
        <v>66</v>
      </c>
      <c r="Q877" s="12" t="s">
        <v>67</v>
      </c>
      <c r="R877" s="12" t="s">
        <v>1146</v>
      </c>
      <c r="S877" s="13">
        <v>197065469696</v>
      </c>
      <c r="T877" s="12" t="s">
        <v>499</v>
      </c>
      <c r="U877" s="12" t="s">
        <v>403</v>
      </c>
      <c r="V877" s="12" t="s">
        <v>979</v>
      </c>
      <c r="W877" s="12" t="s">
        <v>51</v>
      </c>
      <c r="X877" s="13">
        <v>0</v>
      </c>
      <c r="Y877" s="12" t="s">
        <v>91</v>
      </c>
      <c r="Z877" s="12" t="s">
        <v>108</v>
      </c>
      <c r="AA877" s="13">
        <v>0</v>
      </c>
      <c r="AB877" s="13">
        <v>0</v>
      </c>
      <c r="AC877" s="15">
        <v>18.2</v>
      </c>
      <c r="AD877" s="15">
        <f>AC877*AG877</f>
        <v>127.39999999999999</v>
      </c>
      <c r="AE877" s="15">
        <v>40</v>
      </c>
      <c r="AF877" s="15">
        <f>AE877*AG877</f>
        <v>280</v>
      </c>
      <c r="AG877" s="16">
        <v>7</v>
      </c>
    </row>
    <row r="878" spans="1:33" ht="15" customHeight="1" x14ac:dyDescent="0.2">
      <c r="A878" s="11" t="str">
        <f t="shared" ref="A878:A1323" si="382">HYPERLINK("https://assets.vans.eu/images/VN000K42041-HERO/1","VN000K420411")</f>
        <v>VN000K420411</v>
      </c>
      <c r="B878" s="12" t="s">
        <v>3686</v>
      </c>
      <c r="C878" s="12" t="s">
        <v>3687</v>
      </c>
      <c r="D878" s="12" t="s">
        <v>3688</v>
      </c>
      <c r="E878" s="12" t="s">
        <v>3689</v>
      </c>
      <c r="F878" s="12" t="s">
        <v>170</v>
      </c>
      <c r="G878" s="14"/>
      <c r="H878" s="12" t="s">
        <v>61</v>
      </c>
      <c r="I878" s="12" t="s">
        <v>230</v>
      </c>
      <c r="J878" s="12" t="s">
        <v>419</v>
      </c>
      <c r="K878" s="12" t="s">
        <v>199</v>
      </c>
      <c r="L878" s="12" t="s">
        <v>350</v>
      </c>
      <c r="M878" s="12" t="s">
        <v>43</v>
      </c>
      <c r="N878" s="12" t="s">
        <v>44</v>
      </c>
      <c r="O878" s="12" t="s">
        <v>3690</v>
      </c>
      <c r="P878" s="12" t="s">
        <v>66</v>
      </c>
      <c r="Q878" s="12" t="s">
        <v>67</v>
      </c>
      <c r="R878" s="12" t="s">
        <v>421</v>
      </c>
      <c r="S878" s="13">
        <v>197064681143</v>
      </c>
      <c r="T878" s="12" t="s">
        <v>69</v>
      </c>
      <c r="U878" s="12" t="s">
        <v>170</v>
      </c>
      <c r="V878" s="12" t="s">
        <v>70</v>
      </c>
      <c r="W878" s="12" t="s">
        <v>118</v>
      </c>
      <c r="X878" s="13">
        <v>0</v>
      </c>
      <c r="Y878" s="12" t="s">
        <v>53</v>
      </c>
      <c r="Z878" s="12" t="s">
        <v>108</v>
      </c>
      <c r="AA878" s="13">
        <v>0</v>
      </c>
      <c r="AB878" s="12" t="s">
        <v>264</v>
      </c>
      <c r="AC878" s="15">
        <v>19.100000000000001</v>
      </c>
      <c r="AD878" s="15">
        <f>AC878*AG878</f>
        <v>133.70000000000002</v>
      </c>
      <c r="AE878" s="15">
        <v>42</v>
      </c>
      <c r="AF878" s="15">
        <f>AE878*AG878</f>
        <v>294</v>
      </c>
      <c r="AG878" s="16">
        <v>7</v>
      </c>
    </row>
    <row r="879" spans="1:33" ht="15" customHeight="1" x14ac:dyDescent="0.2">
      <c r="A879" s="11" t="str">
        <f>HYPERLINK("https://assets.vans.eu/images/VN000M60FLB-HERO/1","VN000M60FLB1")</f>
        <v>VN000M60FLB1</v>
      </c>
      <c r="B879" s="12" t="s">
        <v>3691</v>
      </c>
      <c r="C879" s="12" t="s">
        <v>3692</v>
      </c>
      <c r="D879" s="12" t="s">
        <v>3693</v>
      </c>
      <c r="E879" s="12" t="s">
        <v>3694</v>
      </c>
      <c r="F879" s="12" t="s">
        <v>621</v>
      </c>
      <c r="G879" s="14"/>
      <c r="H879" s="12" t="s">
        <v>61</v>
      </c>
      <c r="I879" s="12" t="s">
        <v>230</v>
      </c>
      <c r="J879" s="12" t="s">
        <v>419</v>
      </c>
      <c r="K879" s="12" t="s">
        <v>199</v>
      </c>
      <c r="L879" s="14"/>
      <c r="M879" s="12" t="s">
        <v>43</v>
      </c>
      <c r="N879" s="12" t="s">
        <v>84</v>
      </c>
      <c r="O879" s="12" t="s">
        <v>3695</v>
      </c>
      <c r="P879" s="12" t="s">
        <v>66</v>
      </c>
      <c r="Q879" s="12" t="s">
        <v>67</v>
      </c>
      <c r="R879" s="12" t="s">
        <v>421</v>
      </c>
      <c r="S879" s="13">
        <v>197804609178</v>
      </c>
      <c r="T879" s="12" t="s">
        <v>915</v>
      </c>
      <c r="U879" s="12" t="s">
        <v>621</v>
      </c>
      <c r="V879" s="12" t="s">
        <v>979</v>
      </c>
      <c r="W879" s="12" t="s">
        <v>175</v>
      </c>
      <c r="X879" s="14"/>
      <c r="Y879" s="14"/>
      <c r="Z879" s="14"/>
      <c r="AA879" s="14"/>
      <c r="AB879" s="14"/>
      <c r="AC879" s="15">
        <v>15.95</v>
      </c>
      <c r="AD879" s="15">
        <f>AC879*AG879</f>
        <v>111.64999999999999</v>
      </c>
      <c r="AE879" s="15">
        <v>35</v>
      </c>
      <c r="AF879" s="15">
        <f>AE879*AG879</f>
        <v>245</v>
      </c>
      <c r="AG879" s="16">
        <v>7</v>
      </c>
    </row>
    <row r="880" spans="1:33" ht="15" customHeight="1" x14ac:dyDescent="0.2">
      <c r="A880" s="11" t="str">
        <f>HYPERLINK("https://assets.vans.eu/images/VN000M98ZBF-HERO/1","VN000M98ZBF1")</f>
        <v>VN000M98ZBF1</v>
      </c>
      <c r="B880" s="12" t="s">
        <v>3696</v>
      </c>
      <c r="C880" s="12" t="s">
        <v>3697</v>
      </c>
      <c r="D880" s="12" t="s">
        <v>680</v>
      </c>
      <c r="E880" s="12" t="s">
        <v>3698</v>
      </c>
      <c r="F880" s="12" t="s">
        <v>170</v>
      </c>
      <c r="G880" s="14"/>
      <c r="H880" s="12" t="s">
        <v>61</v>
      </c>
      <c r="I880" s="12" t="s">
        <v>289</v>
      </c>
      <c r="J880" s="12" t="s">
        <v>706</v>
      </c>
      <c r="K880" s="12" t="s">
        <v>100</v>
      </c>
      <c r="L880" s="14"/>
      <c r="M880" s="12" t="s">
        <v>43</v>
      </c>
      <c r="N880" s="12" t="s">
        <v>44</v>
      </c>
      <c r="O880" s="12" t="s">
        <v>3699</v>
      </c>
      <c r="P880" s="12" t="s">
        <v>66</v>
      </c>
      <c r="Q880" s="12" t="s">
        <v>67</v>
      </c>
      <c r="R880" s="12" t="s">
        <v>1146</v>
      </c>
      <c r="S880" s="13">
        <v>197643362128</v>
      </c>
      <c r="T880" s="12" t="s">
        <v>709</v>
      </c>
      <c r="U880" s="12" t="s">
        <v>170</v>
      </c>
      <c r="V880" s="12" t="s">
        <v>3700</v>
      </c>
      <c r="W880" s="12" t="s">
        <v>118</v>
      </c>
      <c r="X880" s="13">
        <v>0</v>
      </c>
      <c r="Y880" s="12" t="s">
        <v>91</v>
      </c>
      <c r="Z880" s="12" t="s">
        <v>108</v>
      </c>
      <c r="AA880" s="13">
        <v>0</v>
      </c>
      <c r="AB880" s="13">
        <v>0</v>
      </c>
      <c r="AC880" s="15">
        <v>17.3</v>
      </c>
      <c r="AD880" s="15">
        <f>AC880*AG880</f>
        <v>121.10000000000001</v>
      </c>
      <c r="AE880" s="15">
        <v>38</v>
      </c>
      <c r="AF880" s="15">
        <f>AE880*AG880</f>
        <v>266</v>
      </c>
      <c r="AG880" s="16">
        <v>7</v>
      </c>
    </row>
    <row r="881" spans="1:33" ht="15" customHeight="1" x14ac:dyDescent="0.2">
      <c r="A881" s="11" t="str">
        <f>HYPERLINK("https://assets.vans.eu/images/VN000M9GJDU-HERO/1","VN000M9GJDU1")</f>
        <v>VN000M9GJDU1</v>
      </c>
      <c r="B881" s="12" t="s">
        <v>3701</v>
      </c>
      <c r="C881" s="12" t="s">
        <v>3702</v>
      </c>
      <c r="D881" s="12" t="s">
        <v>814</v>
      </c>
      <c r="E881" s="12" t="s">
        <v>3703</v>
      </c>
      <c r="F881" s="12" t="s">
        <v>60</v>
      </c>
      <c r="G881" s="14"/>
      <c r="H881" s="12" t="s">
        <v>61</v>
      </c>
      <c r="I881" s="12" t="s">
        <v>289</v>
      </c>
      <c r="J881" s="12" t="s">
        <v>706</v>
      </c>
      <c r="K881" s="12" t="s">
        <v>100</v>
      </c>
      <c r="L881" s="14"/>
      <c r="M881" s="12" t="s">
        <v>43</v>
      </c>
      <c r="N881" s="12" t="s">
        <v>44</v>
      </c>
      <c r="O881" s="12" t="s">
        <v>3704</v>
      </c>
      <c r="P881" s="12" t="s">
        <v>66</v>
      </c>
      <c r="Q881" s="12" t="s">
        <v>67</v>
      </c>
      <c r="R881" s="12" t="s">
        <v>1782</v>
      </c>
      <c r="S881" s="13">
        <v>197643363170</v>
      </c>
      <c r="T881" s="12" t="s">
        <v>105</v>
      </c>
      <c r="U881" s="12" t="s">
        <v>60</v>
      </c>
      <c r="V881" s="12" t="s">
        <v>423</v>
      </c>
      <c r="W881" s="12" t="s">
        <v>284</v>
      </c>
      <c r="X881" s="13">
        <v>0</v>
      </c>
      <c r="Y881" s="12" t="s">
        <v>53</v>
      </c>
      <c r="Z881" s="12" t="s">
        <v>108</v>
      </c>
      <c r="AA881" s="13">
        <v>0</v>
      </c>
      <c r="AB881" s="13">
        <v>0</v>
      </c>
      <c r="AC881" s="15">
        <v>34.1</v>
      </c>
      <c r="AD881" s="15">
        <f>AC881*AG881</f>
        <v>238.70000000000002</v>
      </c>
      <c r="AE881" s="15">
        <v>75</v>
      </c>
      <c r="AF881" s="15">
        <f>AE881*AG881</f>
        <v>525</v>
      </c>
      <c r="AG881" s="16">
        <v>7</v>
      </c>
    </row>
    <row r="882" spans="1:33" ht="15" customHeight="1" x14ac:dyDescent="0.2">
      <c r="A882" s="11" t="str">
        <f t="shared" si="259"/>
        <v>VN000M9KEB21</v>
      </c>
      <c r="B882" s="12" t="s">
        <v>3705</v>
      </c>
      <c r="C882" s="12" t="s">
        <v>2692</v>
      </c>
      <c r="D882" s="12" t="s">
        <v>2693</v>
      </c>
      <c r="E882" s="12" t="s">
        <v>3706</v>
      </c>
      <c r="F882" s="13">
        <v>23</v>
      </c>
      <c r="G882" s="14"/>
      <c r="H882" s="12" t="s">
        <v>61</v>
      </c>
      <c r="I882" s="12" t="s">
        <v>289</v>
      </c>
      <c r="J882" s="12" t="s">
        <v>290</v>
      </c>
      <c r="K882" s="12" t="s">
        <v>100</v>
      </c>
      <c r="L882" s="14"/>
      <c r="M882" s="12" t="s">
        <v>43</v>
      </c>
      <c r="N882" s="12" t="s">
        <v>44</v>
      </c>
      <c r="O882" s="12" t="s">
        <v>3707</v>
      </c>
      <c r="P882" s="12" t="s">
        <v>66</v>
      </c>
      <c r="Q882" s="12" t="s">
        <v>233</v>
      </c>
      <c r="R882" s="12" t="s">
        <v>2073</v>
      </c>
      <c r="S882" s="13">
        <v>197643363811</v>
      </c>
      <c r="T882" s="12" t="s">
        <v>235</v>
      </c>
      <c r="U882" s="13">
        <v>23</v>
      </c>
      <c r="V882" s="12" t="s">
        <v>665</v>
      </c>
      <c r="W882" s="12" t="s">
        <v>51</v>
      </c>
      <c r="X882" s="13">
        <v>0</v>
      </c>
      <c r="Y882" s="12" t="s">
        <v>91</v>
      </c>
      <c r="Z882" s="12" t="s">
        <v>108</v>
      </c>
      <c r="AA882" s="13">
        <v>0</v>
      </c>
      <c r="AB882" s="13">
        <v>0</v>
      </c>
      <c r="AC882" s="15">
        <v>30.95</v>
      </c>
      <c r="AD882" s="15">
        <f>AC882*AG882</f>
        <v>216.65</v>
      </c>
      <c r="AE882" s="15">
        <v>68</v>
      </c>
      <c r="AF882" s="15">
        <f>AE882*AG882</f>
        <v>476</v>
      </c>
      <c r="AG882" s="16">
        <v>7</v>
      </c>
    </row>
    <row r="883" spans="1:33" ht="15" customHeight="1" x14ac:dyDescent="0.2">
      <c r="A883" s="11" t="str">
        <f t="shared" ref="A883:A2131" si="383">HYPERLINK("https://assets.vans.eu/images/VN000M9SRV2-HERO/1","VN000M9SRV21")</f>
        <v>VN000M9SRV21</v>
      </c>
      <c r="B883" s="12" t="s">
        <v>3708</v>
      </c>
      <c r="C883" s="12" t="s">
        <v>2222</v>
      </c>
      <c r="D883" s="12" t="s">
        <v>1428</v>
      </c>
      <c r="E883" s="12" t="s">
        <v>3709</v>
      </c>
      <c r="F883" s="12" t="s">
        <v>179</v>
      </c>
      <c r="G883" s="14"/>
      <c r="H883" s="12" t="s">
        <v>61</v>
      </c>
      <c r="I883" s="12" t="s">
        <v>289</v>
      </c>
      <c r="J883" s="12" t="s">
        <v>706</v>
      </c>
      <c r="K883" s="12" t="s">
        <v>100</v>
      </c>
      <c r="L883" s="14"/>
      <c r="M883" s="12" t="s">
        <v>43</v>
      </c>
      <c r="N883" s="12" t="s">
        <v>84</v>
      </c>
      <c r="O883" s="12" t="s">
        <v>3710</v>
      </c>
      <c r="P883" s="12" t="s">
        <v>66</v>
      </c>
      <c r="Q883" s="12" t="s">
        <v>67</v>
      </c>
      <c r="R883" s="12" t="s">
        <v>708</v>
      </c>
      <c r="S883" s="13">
        <v>197804387496</v>
      </c>
      <c r="T883" s="12" t="s">
        <v>709</v>
      </c>
      <c r="U883" s="12" t="s">
        <v>179</v>
      </c>
      <c r="V883" s="12" t="s">
        <v>2225</v>
      </c>
      <c r="W883" s="12" t="s">
        <v>51</v>
      </c>
      <c r="X883" s="14"/>
      <c r="Y883" s="14"/>
      <c r="Z883" s="14"/>
      <c r="AA883" s="14"/>
      <c r="AB883" s="14"/>
      <c r="AC883" s="15">
        <v>34.1</v>
      </c>
      <c r="AD883" s="15">
        <f>AC883*AG883</f>
        <v>238.70000000000002</v>
      </c>
      <c r="AE883" s="15">
        <v>75</v>
      </c>
      <c r="AF883" s="15">
        <f>AE883*AG883</f>
        <v>525</v>
      </c>
      <c r="AG883" s="16">
        <v>7</v>
      </c>
    </row>
    <row r="884" spans="1:33" ht="15" customHeight="1" x14ac:dyDescent="0.2">
      <c r="A884" s="11" t="str">
        <f t="shared" ref="A884:A1664" si="384">HYPERLINK("https://assets.vans.eu/images/VN000MA2EMF-HERO/1","VN000MA2EMF1")</f>
        <v>VN000MA2EMF1</v>
      </c>
      <c r="B884" s="12" t="s">
        <v>3711</v>
      </c>
      <c r="C884" s="12" t="s">
        <v>3712</v>
      </c>
      <c r="D884" s="12" t="s">
        <v>1282</v>
      </c>
      <c r="E884" s="12" t="s">
        <v>3713</v>
      </c>
      <c r="F884" s="12" t="s">
        <v>153</v>
      </c>
      <c r="G884" s="14"/>
      <c r="H884" s="12" t="s">
        <v>61</v>
      </c>
      <c r="I884" s="12" t="s">
        <v>289</v>
      </c>
      <c r="J884" s="12" t="s">
        <v>706</v>
      </c>
      <c r="K884" s="12" t="s">
        <v>100</v>
      </c>
      <c r="L884" s="14"/>
      <c r="M884" s="12" t="s">
        <v>43</v>
      </c>
      <c r="N884" s="12" t="s">
        <v>84</v>
      </c>
      <c r="O884" s="12" t="s">
        <v>3714</v>
      </c>
      <c r="P884" s="12" t="s">
        <v>66</v>
      </c>
      <c r="Q884" s="12" t="s">
        <v>67</v>
      </c>
      <c r="R884" s="12" t="s">
        <v>708</v>
      </c>
      <c r="S884" s="13">
        <v>197804388226</v>
      </c>
      <c r="T884" s="12" t="s">
        <v>49</v>
      </c>
      <c r="U884" s="12" t="s">
        <v>153</v>
      </c>
      <c r="V884" s="12" t="s">
        <v>1726</v>
      </c>
      <c r="W884" s="12" t="s">
        <v>118</v>
      </c>
      <c r="X884" s="14"/>
      <c r="Y884" s="14"/>
      <c r="Z884" s="14"/>
      <c r="AA884" s="14"/>
      <c r="AB884" s="14"/>
      <c r="AC884" s="15">
        <v>36.4</v>
      </c>
      <c r="AD884" s="15">
        <f>AC884*AG884</f>
        <v>254.79999999999998</v>
      </c>
      <c r="AE884" s="15">
        <v>80</v>
      </c>
      <c r="AF884" s="15">
        <f>AE884*AG884</f>
        <v>560</v>
      </c>
      <c r="AG884" s="16">
        <v>7</v>
      </c>
    </row>
    <row r="885" spans="1:33" ht="15" customHeight="1" x14ac:dyDescent="0.2">
      <c r="A885" s="11" t="str">
        <f t="shared" si="318"/>
        <v>VN000MB2EB21</v>
      </c>
      <c r="B885" s="12" t="s">
        <v>3715</v>
      </c>
      <c r="C885" s="12" t="s">
        <v>3112</v>
      </c>
      <c r="D885" s="12" t="s">
        <v>2693</v>
      </c>
      <c r="E885" s="12" t="s">
        <v>3716</v>
      </c>
      <c r="F885" s="13">
        <v>27</v>
      </c>
      <c r="G885" s="14"/>
      <c r="H885" s="12" t="s">
        <v>61</v>
      </c>
      <c r="I885" s="12" t="s">
        <v>289</v>
      </c>
      <c r="J885" s="12" t="s">
        <v>290</v>
      </c>
      <c r="K885" s="12" t="s">
        <v>100</v>
      </c>
      <c r="L885" s="14"/>
      <c r="M885" s="12" t="s">
        <v>43</v>
      </c>
      <c r="N885" s="12" t="s">
        <v>44</v>
      </c>
      <c r="O885" s="12" t="s">
        <v>3717</v>
      </c>
      <c r="P885" s="12" t="s">
        <v>66</v>
      </c>
      <c r="Q885" s="12" t="s">
        <v>233</v>
      </c>
      <c r="R885" s="12" t="s">
        <v>664</v>
      </c>
      <c r="S885" s="13">
        <v>197643366683</v>
      </c>
      <c r="T885" s="12" t="s">
        <v>235</v>
      </c>
      <c r="U885" s="13">
        <v>27</v>
      </c>
      <c r="V885" s="12" t="s">
        <v>665</v>
      </c>
      <c r="W885" s="12" t="s">
        <v>51</v>
      </c>
      <c r="X885" s="13">
        <v>0</v>
      </c>
      <c r="Y885" s="12" t="s">
        <v>53</v>
      </c>
      <c r="Z885" s="12" t="s">
        <v>108</v>
      </c>
      <c r="AA885" s="13">
        <v>0</v>
      </c>
      <c r="AB885" s="13">
        <v>0</v>
      </c>
      <c r="AC885" s="15">
        <v>36.4</v>
      </c>
      <c r="AD885" s="15">
        <f>AC885*AG885</f>
        <v>254.79999999999998</v>
      </c>
      <c r="AE885" s="15">
        <v>80</v>
      </c>
      <c r="AF885" s="15">
        <f>AE885*AG885</f>
        <v>560</v>
      </c>
      <c r="AG885" s="16">
        <v>7</v>
      </c>
    </row>
    <row r="886" spans="1:33" ht="15" customHeight="1" x14ac:dyDescent="0.2">
      <c r="A886" s="11" t="str">
        <f t="shared" si="318"/>
        <v>VN000MB2EB21</v>
      </c>
      <c r="B886" s="12" t="s">
        <v>3718</v>
      </c>
      <c r="C886" s="12" t="s">
        <v>3112</v>
      </c>
      <c r="D886" s="12" t="s">
        <v>2693</v>
      </c>
      <c r="E886" s="12" t="s">
        <v>3719</v>
      </c>
      <c r="F886" s="13">
        <v>29</v>
      </c>
      <c r="G886" s="14"/>
      <c r="H886" s="12" t="s">
        <v>61</v>
      </c>
      <c r="I886" s="12" t="s">
        <v>289</v>
      </c>
      <c r="J886" s="12" t="s">
        <v>290</v>
      </c>
      <c r="K886" s="12" t="s">
        <v>100</v>
      </c>
      <c r="L886" s="14"/>
      <c r="M886" s="12" t="s">
        <v>43</v>
      </c>
      <c r="N886" s="12" t="s">
        <v>44</v>
      </c>
      <c r="O886" s="12" t="s">
        <v>3720</v>
      </c>
      <c r="P886" s="12" t="s">
        <v>66</v>
      </c>
      <c r="Q886" s="12" t="s">
        <v>233</v>
      </c>
      <c r="R886" s="12" t="s">
        <v>664</v>
      </c>
      <c r="S886" s="13">
        <v>197643366881</v>
      </c>
      <c r="T886" s="12" t="s">
        <v>235</v>
      </c>
      <c r="U886" s="13">
        <v>29</v>
      </c>
      <c r="V886" s="12" t="s">
        <v>665</v>
      </c>
      <c r="W886" s="12" t="s">
        <v>51</v>
      </c>
      <c r="X886" s="13">
        <v>0</v>
      </c>
      <c r="Y886" s="12" t="s">
        <v>53</v>
      </c>
      <c r="Z886" s="12" t="s">
        <v>108</v>
      </c>
      <c r="AA886" s="13">
        <v>0</v>
      </c>
      <c r="AB886" s="13">
        <v>0</v>
      </c>
      <c r="AC886" s="15">
        <v>36.4</v>
      </c>
      <c r="AD886" s="15">
        <f>AC886*AG886</f>
        <v>254.79999999999998</v>
      </c>
      <c r="AE886" s="15">
        <v>80</v>
      </c>
      <c r="AF886" s="15">
        <f>AE886*AG886</f>
        <v>560</v>
      </c>
      <c r="AG886" s="16">
        <v>7</v>
      </c>
    </row>
    <row r="887" spans="1:33" ht="15" customHeight="1" x14ac:dyDescent="0.2">
      <c r="A887" s="11" t="str">
        <f t="shared" ref="A887:A1142" si="385">HYPERLINK("https://assets.vans.eu/images/VN000MBCWHT-HERO/1","VN000MBCWHT1")</f>
        <v>VN000MBCWHT1</v>
      </c>
      <c r="B887" s="12" t="s">
        <v>3721</v>
      </c>
      <c r="C887" s="12" t="s">
        <v>1051</v>
      </c>
      <c r="D887" s="12" t="s">
        <v>168</v>
      </c>
      <c r="E887" s="12" t="s">
        <v>3722</v>
      </c>
      <c r="F887" s="12" t="s">
        <v>60</v>
      </c>
      <c r="G887" s="14"/>
      <c r="H887" s="12" t="s">
        <v>61</v>
      </c>
      <c r="I887" s="12" t="s">
        <v>289</v>
      </c>
      <c r="J887" s="12" t="s">
        <v>290</v>
      </c>
      <c r="K887" s="12" t="s">
        <v>100</v>
      </c>
      <c r="L887" s="14"/>
      <c r="M887" s="12" t="s">
        <v>43</v>
      </c>
      <c r="N887" s="12" t="s">
        <v>44</v>
      </c>
      <c r="O887" s="12" t="s">
        <v>3723</v>
      </c>
      <c r="P887" s="12" t="s">
        <v>66</v>
      </c>
      <c r="Q887" s="12" t="s">
        <v>233</v>
      </c>
      <c r="R887" s="12" t="s">
        <v>1054</v>
      </c>
      <c r="S887" s="13">
        <v>197643367864</v>
      </c>
      <c r="T887" s="12" t="s">
        <v>235</v>
      </c>
      <c r="U887" s="12" t="s">
        <v>60</v>
      </c>
      <c r="V887" s="12" t="s">
        <v>1055</v>
      </c>
      <c r="W887" s="12" t="s">
        <v>175</v>
      </c>
      <c r="X887" s="13">
        <v>0</v>
      </c>
      <c r="Y887" s="12" t="s">
        <v>91</v>
      </c>
      <c r="Z887" s="12" t="s">
        <v>108</v>
      </c>
      <c r="AA887" s="13">
        <v>0</v>
      </c>
      <c r="AB887" s="13">
        <v>0</v>
      </c>
      <c r="AC887" s="15">
        <v>17.3</v>
      </c>
      <c r="AD887" s="15">
        <f>AC887*AG887</f>
        <v>121.10000000000001</v>
      </c>
      <c r="AE887" s="15">
        <v>38</v>
      </c>
      <c r="AF887" s="15">
        <f>AE887*AG887</f>
        <v>266</v>
      </c>
      <c r="AG887" s="16">
        <v>7</v>
      </c>
    </row>
    <row r="888" spans="1:33" ht="15" customHeight="1" x14ac:dyDescent="0.2">
      <c r="A888" s="11" t="str">
        <f t="shared" si="320"/>
        <v>VN000P1PEML1</v>
      </c>
      <c r="B888" s="12" t="s">
        <v>3724</v>
      </c>
      <c r="C888" s="12" t="s">
        <v>2706</v>
      </c>
      <c r="D888" s="12" t="s">
        <v>3126</v>
      </c>
      <c r="E888" s="12" t="s">
        <v>3725</v>
      </c>
      <c r="F888" s="12" t="s">
        <v>60</v>
      </c>
      <c r="G888" s="14"/>
      <c r="H888" s="12" t="s">
        <v>61</v>
      </c>
      <c r="I888" s="12" t="s">
        <v>230</v>
      </c>
      <c r="J888" s="12" t="s">
        <v>419</v>
      </c>
      <c r="K888" s="12" t="s">
        <v>199</v>
      </c>
      <c r="L888" s="12" t="s">
        <v>83</v>
      </c>
      <c r="M888" s="12" t="s">
        <v>43</v>
      </c>
      <c r="N888" s="12" t="s">
        <v>84</v>
      </c>
      <c r="O888" s="12" t="s">
        <v>3726</v>
      </c>
      <c r="P888" s="12" t="s">
        <v>66</v>
      </c>
      <c r="Q888" s="12" t="s">
        <v>67</v>
      </c>
      <c r="R888" s="12" t="s">
        <v>421</v>
      </c>
      <c r="S888" s="13">
        <v>197804294749</v>
      </c>
      <c r="T888" s="12" t="s">
        <v>422</v>
      </c>
      <c r="U888" s="12" t="s">
        <v>60</v>
      </c>
      <c r="V888" s="12" t="s">
        <v>70</v>
      </c>
      <c r="W888" s="12" t="s">
        <v>284</v>
      </c>
      <c r="X888" s="14"/>
      <c r="Y888" s="14"/>
      <c r="Z888" s="14"/>
      <c r="AA888" s="14"/>
      <c r="AB888" s="14"/>
      <c r="AC888" s="15">
        <v>13.65</v>
      </c>
      <c r="AD888" s="15">
        <f>AC888*AG888</f>
        <v>95.55</v>
      </c>
      <c r="AE888" s="15">
        <v>30</v>
      </c>
      <c r="AF888" s="15">
        <f>AE888*AG888</f>
        <v>210</v>
      </c>
      <c r="AG888" s="16">
        <v>7</v>
      </c>
    </row>
    <row r="889" spans="1:33" ht="15" customHeight="1" x14ac:dyDescent="0.2">
      <c r="A889" s="11" t="str">
        <f t="shared" ref="A889:A2182" si="386">HYPERLINK("https://assets.vans.eu/images/VN000P21JDU-HERO/1","VN000P21JDU1")</f>
        <v>VN000P21JDU1</v>
      </c>
      <c r="B889" s="12" t="s">
        <v>3727</v>
      </c>
      <c r="C889" s="12" t="s">
        <v>3728</v>
      </c>
      <c r="D889" s="12" t="s">
        <v>814</v>
      </c>
      <c r="E889" s="12" t="s">
        <v>3729</v>
      </c>
      <c r="F889" s="12" t="s">
        <v>153</v>
      </c>
      <c r="G889" s="14"/>
      <c r="H889" s="12" t="s">
        <v>61</v>
      </c>
      <c r="I889" s="12" t="s">
        <v>230</v>
      </c>
      <c r="J889" s="12" t="s">
        <v>419</v>
      </c>
      <c r="K889" s="12" t="s">
        <v>199</v>
      </c>
      <c r="L889" s="12" t="s">
        <v>83</v>
      </c>
      <c r="M889" s="12" t="s">
        <v>43</v>
      </c>
      <c r="N889" s="12" t="s">
        <v>84</v>
      </c>
      <c r="O889" s="12" t="s">
        <v>3730</v>
      </c>
      <c r="P889" s="12" t="s">
        <v>66</v>
      </c>
      <c r="Q889" s="12" t="s">
        <v>67</v>
      </c>
      <c r="R889" s="12" t="s">
        <v>623</v>
      </c>
      <c r="S889" s="13">
        <v>197803497691</v>
      </c>
      <c r="T889" s="12" t="s">
        <v>499</v>
      </c>
      <c r="U889" s="12" t="s">
        <v>153</v>
      </c>
      <c r="V889" s="12" t="s">
        <v>70</v>
      </c>
      <c r="W889" s="12" t="s">
        <v>284</v>
      </c>
      <c r="X889" s="13">
        <v>0</v>
      </c>
      <c r="Y889" s="12" t="s">
        <v>91</v>
      </c>
      <c r="Z889" s="12" t="s">
        <v>108</v>
      </c>
      <c r="AA889" s="13">
        <v>0</v>
      </c>
      <c r="AB889" s="12" t="s">
        <v>616</v>
      </c>
      <c r="AC889" s="15">
        <v>36.4</v>
      </c>
      <c r="AD889" s="15">
        <f>AC889*AG889</f>
        <v>254.79999999999998</v>
      </c>
      <c r="AE889" s="15">
        <v>80</v>
      </c>
      <c r="AF889" s="15">
        <f>AE889*AG889</f>
        <v>560</v>
      </c>
      <c r="AG889" s="16">
        <v>7</v>
      </c>
    </row>
    <row r="890" spans="1:33" ht="15" customHeight="1" x14ac:dyDescent="0.2">
      <c r="A890" s="11" t="str">
        <f t="shared" si="352"/>
        <v>VN000P59E2Z1</v>
      </c>
      <c r="B890" s="12" t="s">
        <v>3731</v>
      </c>
      <c r="C890" s="12" t="s">
        <v>3419</v>
      </c>
      <c r="D890" s="12" t="s">
        <v>3420</v>
      </c>
      <c r="E890" s="12" t="s">
        <v>3732</v>
      </c>
      <c r="F890" s="12" t="s">
        <v>60</v>
      </c>
      <c r="G890" s="14"/>
      <c r="H890" s="12" t="s">
        <v>61</v>
      </c>
      <c r="I890" s="12" t="s">
        <v>230</v>
      </c>
      <c r="J890" s="12" t="s">
        <v>419</v>
      </c>
      <c r="K890" s="12" t="s">
        <v>199</v>
      </c>
      <c r="L890" s="12" t="s">
        <v>83</v>
      </c>
      <c r="M890" s="12" t="s">
        <v>43</v>
      </c>
      <c r="N890" s="12" t="s">
        <v>44</v>
      </c>
      <c r="O890" s="12" t="s">
        <v>3733</v>
      </c>
      <c r="P890" s="12" t="s">
        <v>66</v>
      </c>
      <c r="Q890" s="12" t="s">
        <v>67</v>
      </c>
      <c r="R890" s="12" t="s">
        <v>623</v>
      </c>
      <c r="S890" s="13">
        <v>197803420521</v>
      </c>
      <c r="T890" s="12" t="s">
        <v>499</v>
      </c>
      <c r="U890" s="12" t="s">
        <v>60</v>
      </c>
      <c r="V890" s="12" t="s">
        <v>423</v>
      </c>
      <c r="W890" s="12" t="s">
        <v>262</v>
      </c>
      <c r="X890" s="13">
        <v>0</v>
      </c>
      <c r="Y890" s="12" t="s">
        <v>91</v>
      </c>
      <c r="Z890" s="12" t="s">
        <v>108</v>
      </c>
      <c r="AA890" s="13">
        <v>0</v>
      </c>
      <c r="AB890" s="12" t="s">
        <v>616</v>
      </c>
      <c r="AC890" s="15">
        <v>31.85</v>
      </c>
      <c r="AD890" s="15">
        <f>AC890*AG890</f>
        <v>222.95000000000002</v>
      </c>
      <c r="AE890" s="15">
        <v>70</v>
      </c>
      <c r="AF890" s="15">
        <f>AE890*AG890</f>
        <v>490</v>
      </c>
      <c r="AG890" s="16">
        <v>7</v>
      </c>
    </row>
    <row r="891" spans="1:33" ht="15" customHeight="1" x14ac:dyDescent="0.2">
      <c r="A891" s="11" t="str">
        <f t="shared" si="354"/>
        <v>VN000P78BLK1</v>
      </c>
      <c r="B891" s="12" t="s">
        <v>3734</v>
      </c>
      <c r="C891" s="12" t="s">
        <v>3435</v>
      </c>
      <c r="D891" s="12" t="s">
        <v>76</v>
      </c>
      <c r="E891" s="12" t="s">
        <v>3735</v>
      </c>
      <c r="F891" s="12" t="s">
        <v>60</v>
      </c>
      <c r="G891" s="14"/>
      <c r="H891" s="12" t="s">
        <v>61</v>
      </c>
      <c r="I891" s="12" t="s">
        <v>230</v>
      </c>
      <c r="J891" s="12" t="s">
        <v>762</v>
      </c>
      <c r="K891" s="12" t="s">
        <v>199</v>
      </c>
      <c r="L891" s="14"/>
      <c r="M891" s="12" t="s">
        <v>43</v>
      </c>
      <c r="N891" s="12" t="s">
        <v>84</v>
      </c>
      <c r="O891" s="12" t="s">
        <v>3736</v>
      </c>
      <c r="P891" s="12" t="s">
        <v>66</v>
      </c>
      <c r="Q891" s="12" t="s">
        <v>764</v>
      </c>
      <c r="R891" s="12" t="s">
        <v>765</v>
      </c>
      <c r="S891" s="13">
        <v>197804351046</v>
      </c>
      <c r="T891" s="12" t="s">
        <v>235</v>
      </c>
      <c r="U891" s="12" t="s">
        <v>60</v>
      </c>
      <c r="V891" s="12" t="s">
        <v>1811</v>
      </c>
      <c r="W891" s="12" t="s">
        <v>51</v>
      </c>
      <c r="X891" s="14"/>
      <c r="Y891" s="14"/>
      <c r="Z891" s="14"/>
      <c r="AA891" s="14"/>
      <c r="AB891" s="14"/>
      <c r="AC891" s="15">
        <v>59.1</v>
      </c>
      <c r="AD891" s="15">
        <f>AC891*AG891</f>
        <v>413.7</v>
      </c>
      <c r="AE891" s="15">
        <v>130</v>
      </c>
      <c r="AF891" s="15">
        <f>AE891*AG891</f>
        <v>910</v>
      </c>
      <c r="AG891" s="16">
        <v>7</v>
      </c>
    </row>
    <row r="892" spans="1:33" ht="15" customHeight="1" x14ac:dyDescent="0.2">
      <c r="A892" s="11" t="str">
        <f>HYPERLINK("https://assets.vans.eu/images/VN000PA7BLK-HERO/1","VN000PA7BLK1")</f>
        <v>VN000PA7BLK1</v>
      </c>
      <c r="B892" s="12" t="s">
        <v>3737</v>
      </c>
      <c r="C892" s="12" t="s">
        <v>3738</v>
      </c>
      <c r="D892" s="12" t="s">
        <v>76</v>
      </c>
      <c r="E892" s="12" t="s">
        <v>3739</v>
      </c>
      <c r="F892" s="12" t="s">
        <v>60</v>
      </c>
      <c r="G892" s="14"/>
      <c r="H892" s="12" t="s">
        <v>61</v>
      </c>
      <c r="I892" s="12" t="s">
        <v>230</v>
      </c>
      <c r="J892" s="12" t="s">
        <v>419</v>
      </c>
      <c r="K892" s="12" t="s">
        <v>199</v>
      </c>
      <c r="L892" s="14"/>
      <c r="M892" s="12" t="s">
        <v>43</v>
      </c>
      <c r="N892" s="12" t="s">
        <v>84</v>
      </c>
      <c r="O892" s="12" t="s">
        <v>3740</v>
      </c>
      <c r="P892" s="12" t="s">
        <v>66</v>
      </c>
      <c r="Q892" s="12" t="s">
        <v>67</v>
      </c>
      <c r="R892" s="12" t="s">
        <v>623</v>
      </c>
      <c r="S892" s="13">
        <v>197804353620</v>
      </c>
      <c r="T892" s="12" t="s">
        <v>709</v>
      </c>
      <c r="U892" s="12" t="s">
        <v>60</v>
      </c>
      <c r="V892" s="12" t="s">
        <v>3741</v>
      </c>
      <c r="W892" s="12" t="s">
        <v>51</v>
      </c>
      <c r="X892" s="14"/>
      <c r="Y892" s="14"/>
      <c r="Z892" s="14"/>
      <c r="AA892" s="14"/>
      <c r="AB892" s="14"/>
      <c r="AC892" s="15">
        <v>40.950000000000003</v>
      </c>
      <c r="AD892" s="15">
        <f>AC892*AG892</f>
        <v>286.65000000000003</v>
      </c>
      <c r="AE892" s="15">
        <v>90</v>
      </c>
      <c r="AF892" s="15">
        <f>AE892*AG892</f>
        <v>630</v>
      </c>
      <c r="AG892" s="16">
        <v>7</v>
      </c>
    </row>
    <row r="893" spans="1:33" ht="15" customHeight="1" x14ac:dyDescent="0.2">
      <c r="A893" s="11" t="str">
        <f>HYPERLINK("https://assets.vans.eu/images/VN000PB5EMP-HERO/1","VN000PB5EMP1")</f>
        <v>VN000PB5EMP1</v>
      </c>
      <c r="B893" s="12" t="s">
        <v>3742</v>
      </c>
      <c r="C893" s="12" t="s">
        <v>3743</v>
      </c>
      <c r="D893" s="12" t="s">
        <v>704</v>
      </c>
      <c r="E893" s="12" t="s">
        <v>3744</v>
      </c>
      <c r="F893" s="12" t="s">
        <v>403</v>
      </c>
      <c r="G893" s="14"/>
      <c r="H893" s="12" t="s">
        <v>61</v>
      </c>
      <c r="I893" s="12" t="s">
        <v>230</v>
      </c>
      <c r="J893" s="12" t="s">
        <v>762</v>
      </c>
      <c r="K893" s="12" t="s">
        <v>199</v>
      </c>
      <c r="L893" s="12" t="s">
        <v>115</v>
      </c>
      <c r="M893" s="12" t="s">
        <v>43</v>
      </c>
      <c r="N893" s="12" t="s">
        <v>84</v>
      </c>
      <c r="O893" s="12" t="s">
        <v>3745</v>
      </c>
      <c r="P893" s="12" t="s">
        <v>66</v>
      </c>
      <c r="Q893" s="12" t="s">
        <v>764</v>
      </c>
      <c r="R893" s="12" t="s">
        <v>765</v>
      </c>
      <c r="S893" s="13">
        <v>198266996882</v>
      </c>
      <c r="T893" s="12" t="s">
        <v>235</v>
      </c>
      <c r="U893" s="12" t="s">
        <v>403</v>
      </c>
      <c r="V893" s="12" t="s">
        <v>3746</v>
      </c>
      <c r="W893" s="12" t="s">
        <v>186</v>
      </c>
      <c r="X893" s="14"/>
      <c r="Y893" s="14"/>
      <c r="Z893" s="14"/>
      <c r="AA893" s="14"/>
      <c r="AB893" s="14"/>
      <c r="AC893" s="15">
        <v>54.55</v>
      </c>
      <c r="AD893" s="15">
        <f>AC893*AG893</f>
        <v>381.84999999999997</v>
      </c>
      <c r="AE893" s="15">
        <v>120</v>
      </c>
      <c r="AF893" s="15">
        <f>AE893*AG893</f>
        <v>840</v>
      </c>
      <c r="AG893" s="16">
        <v>7</v>
      </c>
    </row>
    <row r="894" spans="1:33" ht="15" customHeight="1" x14ac:dyDescent="0.2">
      <c r="A894" s="11" t="str">
        <f t="shared" si="241"/>
        <v>VN000PDREN71</v>
      </c>
      <c r="B894" s="12" t="s">
        <v>3747</v>
      </c>
      <c r="C894" s="12" t="s">
        <v>976</v>
      </c>
      <c r="D894" s="12" t="s">
        <v>295</v>
      </c>
      <c r="E894" s="12" t="s">
        <v>3748</v>
      </c>
      <c r="F894" s="12" t="s">
        <v>621</v>
      </c>
      <c r="G894" s="14"/>
      <c r="H894" s="12" t="s">
        <v>61</v>
      </c>
      <c r="I894" s="12" t="s">
        <v>230</v>
      </c>
      <c r="J894" s="12" t="s">
        <v>419</v>
      </c>
      <c r="K894" s="12" t="s">
        <v>199</v>
      </c>
      <c r="L894" s="14"/>
      <c r="M894" s="12" t="s">
        <v>43</v>
      </c>
      <c r="N894" s="12" t="s">
        <v>84</v>
      </c>
      <c r="O894" s="12" t="s">
        <v>3749</v>
      </c>
      <c r="P894" s="12" t="s">
        <v>66</v>
      </c>
      <c r="Q894" s="12" t="s">
        <v>67</v>
      </c>
      <c r="R894" s="12" t="s">
        <v>421</v>
      </c>
      <c r="S894" s="13">
        <v>197804667642</v>
      </c>
      <c r="T894" s="12" t="s">
        <v>915</v>
      </c>
      <c r="U894" s="12" t="s">
        <v>621</v>
      </c>
      <c r="V894" s="12" t="s">
        <v>979</v>
      </c>
      <c r="W894" s="12" t="s">
        <v>299</v>
      </c>
      <c r="X894" s="14"/>
      <c r="Y894" s="14"/>
      <c r="Z894" s="14"/>
      <c r="AA894" s="14"/>
      <c r="AB894" s="14"/>
      <c r="AC894" s="15">
        <v>18.2</v>
      </c>
      <c r="AD894" s="15">
        <f>AC894*AG894</f>
        <v>127.39999999999999</v>
      </c>
      <c r="AE894" s="15">
        <v>40</v>
      </c>
      <c r="AF894" s="15">
        <f>AE894*AG894</f>
        <v>280</v>
      </c>
      <c r="AG894" s="16">
        <v>7</v>
      </c>
    </row>
    <row r="895" spans="1:33" ht="15" customHeight="1" x14ac:dyDescent="0.2">
      <c r="A895" s="11" t="str">
        <f t="shared" ref="A895:A1165" si="387">HYPERLINK("https://assets.vans.eu/images/VN000PDYWHT-HERO/1","VN000PDYWHT1")</f>
        <v>VN000PDYWHT1</v>
      </c>
      <c r="B895" s="12" t="s">
        <v>3750</v>
      </c>
      <c r="C895" s="12" t="s">
        <v>3751</v>
      </c>
      <c r="D895" s="12" t="s">
        <v>168</v>
      </c>
      <c r="E895" s="12" t="s">
        <v>3752</v>
      </c>
      <c r="F895" s="12" t="s">
        <v>60</v>
      </c>
      <c r="G895" s="14"/>
      <c r="H895" s="12" t="s">
        <v>61</v>
      </c>
      <c r="I895" s="12" t="s">
        <v>230</v>
      </c>
      <c r="J895" s="12" t="s">
        <v>419</v>
      </c>
      <c r="K895" s="12" t="s">
        <v>199</v>
      </c>
      <c r="L895" s="14"/>
      <c r="M895" s="12" t="s">
        <v>43</v>
      </c>
      <c r="N895" s="12" t="s">
        <v>84</v>
      </c>
      <c r="O895" s="12" t="s">
        <v>3753</v>
      </c>
      <c r="P895" s="12" t="s">
        <v>66</v>
      </c>
      <c r="Q895" s="12" t="s">
        <v>67</v>
      </c>
      <c r="R895" s="12" t="s">
        <v>421</v>
      </c>
      <c r="S895" s="13">
        <v>197804357314</v>
      </c>
      <c r="T895" s="12" t="s">
        <v>915</v>
      </c>
      <c r="U895" s="12" t="s">
        <v>60</v>
      </c>
      <c r="V895" s="12" t="s">
        <v>979</v>
      </c>
      <c r="W895" s="12" t="s">
        <v>175</v>
      </c>
      <c r="X895" s="14"/>
      <c r="Y895" s="14"/>
      <c r="Z895" s="14"/>
      <c r="AA895" s="14"/>
      <c r="AB895" s="14"/>
      <c r="AC895" s="15">
        <v>18.2</v>
      </c>
      <c r="AD895" s="15">
        <f>AC895*AG895</f>
        <v>127.39999999999999</v>
      </c>
      <c r="AE895" s="15">
        <v>40</v>
      </c>
      <c r="AF895" s="15">
        <f>AE895*AG895</f>
        <v>280</v>
      </c>
      <c r="AG895" s="16">
        <v>7</v>
      </c>
    </row>
    <row r="896" spans="1:33" ht="15" customHeight="1" x14ac:dyDescent="0.2">
      <c r="A896" s="11" t="str">
        <f t="shared" si="79"/>
        <v>VN000PF7YB21</v>
      </c>
      <c r="B896" s="12" t="s">
        <v>3754</v>
      </c>
      <c r="C896" s="12" t="s">
        <v>1137</v>
      </c>
      <c r="D896" s="12" t="s">
        <v>1138</v>
      </c>
      <c r="E896" s="12" t="s">
        <v>3755</v>
      </c>
      <c r="F896" s="12" t="s">
        <v>153</v>
      </c>
      <c r="G896" s="14"/>
      <c r="H896" s="12" t="s">
        <v>61</v>
      </c>
      <c r="I896" s="12" t="s">
        <v>230</v>
      </c>
      <c r="J896" s="12" t="s">
        <v>419</v>
      </c>
      <c r="K896" s="12" t="s">
        <v>199</v>
      </c>
      <c r="L896" s="14"/>
      <c r="M896" s="12" t="s">
        <v>43</v>
      </c>
      <c r="N896" s="12" t="s">
        <v>84</v>
      </c>
      <c r="O896" s="12" t="s">
        <v>3756</v>
      </c>
      <c r="P896" s="12" t="s">
        <v>66</v>
      </c>
      <c r="Q896" s="12" t="s">
        <v>67</v>
      </c>
      <c r="R896" s="12" t="s">
        <v>421</v>
      </c>
      <c r="S896" s="13">
        <v>197804358588</v>
      </c>
      <c r="T896" s="12" t="s">
        <v>49</v>
      </c>
      <c r="U896" s="12" t="s">
        <v>153</v>
      </c>
      <c r="V896" s="12" t="s">
        <v>665</v>
      </c>
      <c r="W896" s="12" t="s">
        <v>175</v>
      </c>
      <c r="X896" s="14"/>
      <c r="Y896" s="14"/>
      <c r="Z896" s="14"/>
      <c r="AA896" s="14"/>
      <c r="AB896" s="14"/>
      <c r="AC896" s="15">
        <v>20.5</v>
      </c>
      <c r="AD896" s="15">
        <f>AC896*AG896</f>
        <v>143.5</v>
      </c>
      <c r="AE896" s="15">
        <v>45</v>
      </c>
      <c r="AF896" s="15">
        <f>AE896*AG896</f>
        <v>315</v>
      </c>
      <c r="AG896" s="16">
        <v>7</v>
      </c>
    </row>
    <row r="897" spans="1:33" ht="15" customHeight="1" x14ac:dyDescent="0.2">
      <c r="A897" s="11" t="str">
        <f t="shared" ref="A897:A1372" si="388">HYPERLINK("https://assets.vans.eu/images/VN000PFBEN9-HERO/1","VN000PFBEN91")</f>
        <v>VN000PFBEN91</v>
      </c>
      <c r="B897" s="12" t="s">
        <v>3757</v>
      </c>
      <c r="C897" s="12" t="s">
        <v>1588</v>
      </c>
      <c r="D897" s="12" t="s">
        <v>982</v>
      </c>
      <c r="E897" s="12" t="s">
        <v>3758</v>
      </c>
      <c r="F897" s="12" t="s">
        <v>60</v>
      </c>
      <c r="G897" s="14"/>
      <c r="H897" s="12" t="s">
        <v>61</v>
      </c>
      <c r="I897" s="12" t="s">
        <v>230</v>
      </c>
      <c r="J897" s="12" t="s">
        <v>419</v>
      </c>
      <c r="K897" s="12" t="s">
        <v>199</v>
      </c>
      <c r="L897" s="14"/>
      <c r="M897" s="12" t="s">
        <v>43</v>
      </c>
      <c r="N897" s="12" t="s">
        <v>84</v>
      </c>
      <c r="O897" s="12" t="s">
        <v>3759</v>
      </c>
      <c r="P897" s="12" t="s">
        <v>66</v>
      </c>
      <c r="Q897" s="12" t="s">
        <v>67</v>
      </c>
      <c r="R897" s="12" t="s">
        <v>421</v>
      </c>
      <c r="S897" s="13">
        <v>197804383856</v>
      </c>
      <c r="T897" s="12" t="s">
        <v>49</v>
      </c>
      <c r="U897" s="12" t="s">
        <v>60</v>
      </c>
      <c r="V897" s="12" t="s">
        <v>665</v>
      </c>
      <c r="W897" s="12" t="s">
        <v>455</v>
      </c>
      <c r="X897" s="14"/>
      <c r="Y897" s="14"/>
      <c r="Z897" s="14"/>
      <c r="AA897" s="14"/>
      <c r="AB897" s="14"/>
      <c r="AC897" s="15">
        <v>20.5</v>
      </c>
      <c r="AD897" s="15">
        <f>AC897*AG897</f>
        <v>143.5</v>
      </c>
      <c r="AE897" s="15">
        <v>45</v>
      </c>
      <c r="AF897" s="15">
        <f>AE897*AG897</f>
        <v>315</v>
      </c>
      <c r="AG897" s="16">
        <v>7</v>
      </c>
    </row>
    <row r="898" spans="1:33" ht="15" customHeight="1" x14ac:dyDescent="0.2">
      <c r="A898" s="11" t="str">
        <f t="shared" ref="A898:A2236" si="389">HYPERLINK("https://assets.vans.eu/images/VN000PGMEMU-HERO/1","VN000PGMEMU1")</f>
        <v>VN000PGMEMU1</v>
      </c>
      <c r="B898" s="12" t="s">
        <v>3760</v>
      </c>
      <c r="C898" s="12" t="s">
        <v>3761</v>
      </c>
      <c r="D898" s="12" t="s">
        <v>1319</v>
      </c>
      <c r="E898" s="12" t="s">
        <v>3762</v>
      </c>
      <c r="F898" s="12" t="s">
        <v>621</v>
      </c>
      <c r="G898" s="14"/>
      <c r="H898" s="12" t="s">
        <v>61</v>
      </c>
      <c r="I898" s="12" t="s">
        <v>230</v>
      </c>
      <c r="J898" s="12" t="s">
        <v>419</v>
      </c>
      <c r="K898" s="12" t="s">
        <v>199</v>
      </c>
      <c r="L898" s="14"/>
      <c r="M898" s="12" t="s">
        <v>43</v>
      </c>
      <c r="N898" s="12" t="s">
        <v>84</v>
      </c>
      <c r="O898" s="12" t="s">
        <v>3763</v>
      </c>
      <c r="P898" s="12" t="s">
        <v>66</v>
      </c>
      <c r="Q898" s="12" t="s">
        <v>67</v>
      </c>
      <c r="R898" s="12" t="s">
        <v>623</v>
      </c>
      <c r="S898" s="13">
        <v>197804791323</v>
      </c>
      <c r="T898" s="12" t="s">
        <v>709</v>
      </c>
      <c r="U898" s="12" t="s">
        <v>621</v>
      </c>
      <c r="V898" s="12" t="s">
        <v>710</v>
      </c>
      <c r="W898" s="12" t="s">
        <v>118</v>
      </c>
      <c r="X898" s="14"/>
      <c r="Y898" s="14"/>
      <c r="Z898" s="14"/>
      <c r="AA898" s="14"/>
      <c r="AB898" s="14"/>
      <c r="AC898" s="15">
        <v>34.1</v>
      </c>
      <c r="AD898" s="15">
        <f>AC898*AG898</f>
        <v>238.70000000000002</v>
      </c>
      <c r="AE898" s="15">
        <v>75</v>
      </c>
      <c r="AF898" s="15">
        <f>AE898*AG898</f>
        <v>525</v>
      </c>
      <c r="AG898" s="16">
        <v>7</v>
      </c>
    </row>
    <row r="899" spans="1:33" ht="15" customHeight="1" x14ac:dyDescent="0.2">
      <c r="A899" s="11" t="str">
        <f t="shared" si="95"/>
        <v>VN000PHDEMF1</v>
      </c>
      <c r="B899" s="12" t="s">
        <v>3764</v>
      </c>
      <c r="C899" s="12" t="s">
        <v>1281</v>
      </c>
      <c r="D899" s="12" t="s">
        <v>1282</v>
      </c>
      <c r="E899" s="12" t="s">
        <v>3765</v>
      </c>
      <c r="F899" s="13">
        <v>34</v>
      </c>
      <c r="G899" s="14"/>
      <c r="H899" s="12" t="s">
        <v>61</v>
      </c>
      <c r="I899" s="12" t="s">
        <v>230</v>
      </c>
      <c r="J899" s="12" t="s">
        <v>231</v>
      </c>
      <c r="K899" s="12" t="s">
        <v>199</v>
      </c>
      <c r="L899" s="14"/>
      <c r="M899" s="12" t="s">
        <v>43</v>
      </c>
      <c r="N899" s="12" t="s">
        <v>84</v>
      </c>
      <c r="O899" s="12" t="s">
        <v>3766</v>
      </c>
      <c r="P899" s="12" t="s">
        <v>66</v>
      </c>
      <c r="Q899" s="12" t="s">
        <v>233</v>
      </c>
      <c r="R899" s="12" t="s">
        <v>361</v>
      </c>
      <c r="S899" s="13">
        <v>197804580101</v>
      </c>
      <c r="T899" s="12" t="s">
        <v>235</v>
      </c>
      <c r="U899" s="13">
        <v>34</v>
      </c>
      <c r="V899" s="12" t="s">
        <v>665</v>
      </c>
      <c r="W899" s="12" t="s">
        <v>118</v>
      </c>
      <c r="X899" s="14"/>
      <c r="Y899" s="14"/>
      <c r="Z899" s="14"/>
      <c r="AA899" s="14"/>
      <c r="AB899" s="14"/>
      <c r="AC899" s="15">
        <v>40.950000000000003</v>
      </c>
      <c r="AD899" s="15">
        <f>AC899*AG899</f>
        <v>286.65000000000003</v>
      </c>
      <c r="AE899" s="15">
        <v>90</v>
      </c>
      <c r="AF899" s="15">
        <f>AE899*AG899</f>
        <v>630</v>
      </c>
      <c r="AG899" s="16">
        <v>7</v>
      </c>
    </row>
    <row r="900" spans="1:33" ht="15" customHeight="1" x14ac:dyDescent="0.2">
      <c r="A900" s="11" t="str">
        <f t="shared" ref="A900:A1718" si="390">HYPERLINK("https://assets.vans.eu/images/VN000PHPAFM-HERO/1","VN000PHPAFM1")</f>
        <v>VN000PHPAFM1</v>
      </c>
      <c r="B900" s="12" t="s">
        <v>3767</v>
      </c>
      <c r="C900" s="12" t="s">
        <v>1281</v>
      </c>
      <c r="D900" s="12" t="s">
        <v>2373</v>
      </c>
      <c r="E900" s="12" t="s">
        <v>3768</v>
      </c>
      <c r="F900" s="13">
        <v>34</v>
      </c>
      <c r="G900" s="14"/>
      <c r="H900" s="12" t="s">
        <v>61</v>
      </c>
      <c r="I900" s="12" t="s">
        <v>230</v>
      </c>
      <c r="J900" s="12" t="s">
        <v>231</v>
      </c>
      <c r="K900" s="12" t="s">
        <v>199</v>
      </c>
      <c r="L900" s="14"/>
      <c r="M900" s="12" t="s">
        <v>43</v>
      </c>
      <c r="N900" s="12" t="s">
        <v>84</v>
      </c>
      <c r="O900" s="12" t="s">
        <v>3769</v>
      </c>
      <c r="P900" s="12" t="s">
        <v>66</v>
      </c>
      <c r="Q900" s="12" t="s">
        <v>233</v>
      </c>
      <c r="R900" s="12" t="s">
        <v>361</v>
      </c>
      <c r="S900" s="13">
        <v>197804656363</v>
      </c>
      <c r="T900" s="12" t="s">
        <v>235</v>
      </c>
      <c r="U900" s="13">
        <v>34</v>
      </c>
      <c r="V900" s="12" t="s">
        <v>665</v>
      </c>
      <c r="W900" s="12" t="s">
        <v>51</v>
      </c>
      <c r="X900" s="14"/>
      <c r="Y900" s="14"/>
      <c r="Z900" s="14"/>
      <c r="AA900" s="14"/>
      <c r="AB900" s="14"/>
      <c r="AC900" s="15">
        <v>36.4</v>
      </c>
      <c r="AD900" s="15">
        <f>AC900*AG900</f>
        <v>254.79999999999998</v>
      </c>
      <c r="AE900" s="15">
        <v>80</v>
      </c>
      <c r="AF900" s="15">
        <f>AE900*AG900</f>
        <v>560</v>
      </c>
      <c r="AG900" s="16">
        <v>7</v>
      </c>
    </row>
    <row r="901" spans="1:33" ht="15" customHeight="1" x14ac:dyDescent="0.2">
      <c r="A901" s="11" t="str">
        <f t="shared" si="356"/>
        <v>VN000PMABLK1</v>
      </c>
      <c r="B901" s="12" t="s">
        <v>3770</v>
      </c>
      <c r="C901" s="12" t="s">
        <v>2076</v>
      </c>
      <c r="D901" s="12" t="s">
        <v>76</v>
      </c>
      <c r="E901" s="12" t="s">
        <v>3771</v>
      </c>
      <c r="F901" s="12" t="s">
        <v>179</v>
      </c>
      <c r="G901" s="14"/>
      <c r="H901" s="12" t="s">
        <v>61</v>
      </c>
      <c r="I901" s="12" t="s">
        <v>230</v>
      </c>
      <c r="J901" s="12" t="s">
        <v>762</v>
      </c>
      <c r="K901" s="12" t="s">
        <v>199</v>
      </c>
      <c r="L901" s="14"/>
      <c r="M901" s="12" t="s">
        <v>43</v>
      </c>
      <c r="N901" s="12" t="s">
        <v>84</v>
      </c>
      <c r="O901" s="12" t="s">
        <v>3772</v>
      </c>
      <c r="P901" s="12" t="s">
        <v>66</v>
      </c>
      <c r="Q901" s="12" t="s">
        <v>764</v>
      </c>
      <c r="R901" s="12" t="s">
        <v>765</v>
      </c>
      <c r="S901" s="13">
        <v>197804372560</v>
      </c>
      <c r="T901" s="12" t="s">
        <v>49</v>
      </c>
      <c r="U901" s="12" t="s">
        <v>179</v>
      </c>
      <c r="V901" s="12" t="s">
        <v>90</v>
      </c>
      <c r="W901" s="12" t="s">
        <v>51</v>
      </c>
      <c r="X901" s="14"/>
      <c r="Y901" s="14"/>
      <c r="Z901" s="14"/>
      <c r="AA901" s="14"/>
      <c r="AB901" s="14"/>
      <c r="AC901" s="15">
        <v>159.1</v>
      </c>
      <c r="AD901" s="15">
        <f>AC901*AG901</f>
        <v>1113.7</v>
      </c>
      <c r="AE901" s="15">
        <v>350</v>
      </c>
      <c r="AF901" s="15">
        <f>AE901*AG901</f>
        <v>2450</v>
      </c>
      <c r="AG901" s="16">
        <v>7</v>
      </c>
    </row>
    <row r="902" spans="1:33" ht="15" customHeight="1" x14ac:dyDescent="0.2">
      <c r="A902" s="11" t="str">
        <f t="shared" ref="A902:A1181" si="391">HYPERLINK("https://assets.vans.eu/images/VN000PMDEMW-HERO/1","VN000PMDEMW1")</f>
        <v>VN000PMDEMW1</v>
      </c>
      <c r="B902" s="12" t="s">
        <v>3773</v>
      </c>
      <c r="C902" s="12" t="s">
        <v>2243</v>
      </c>
      <c r="D902" s="12" t="s">
        <v>147</v>
      </c>
      <c r="E902" s="12" t="s">
        <v>3774</v>
      </c>
      <c r="F902" s="12" t="s">
        <v>403</v>
      </c>
      <c r="G902" s="14"/>
      <c r="H902" s="12" t="s">
        <v>61</v>
      </c>
      <c r="I902" s="12" t="s">
        <v>230</v>
      </c>
      <c r="J902" s="12" t="s">
        <v>762</v>
      </c>
      <c r="K902" s="12" t="s">
        <v>199</v>
      </c>
      <c r="L902" s="14"/>
      <c r="M902" s="12" t="s">
        <v>43</v>
      </c>
      <c r="N902" s="12" t="s">
        <v>84</v>
      </c>
      <c r="O902" s="12" t="s">
        <v>3775</v>
      </c>
      <c r="P902" s="12" t="s">
        <v>66</v>
      </c>
      <c r="Q902" s="12" t="s">
        <v>764</v>
      </c>
      <c r="R902" s="12" t="s">
        <v>765</v>
      </c>
      <c r="S902" s="13">
        <v>197804581818</v>
      </c>
      <c r="T902" s="12" t="s">
        <v>49</v>
      </c>
      <c r="U902" s="12" t="s">
        <v>403</v>
      </c>
      <c r="V902" s="12" t="s">
        <v>90</v>
      </c>
      <c r="W902" s="12" t="s">
        <v>118</v>
      </c>
      <c r="X902" s="14"/>
      <c r="Y902" s="14"/>
      <c r="Z902" s="14"/>
      <c r="AA902" s="14"/>
      <c r="AB902" s="14"/>
      <c r="AC902" s="15">
        <v>136.4</v>
      </c>
      <c r="AD902" s="15">
        <f>AC902*AG902</f>
        <v>954.80000000000007</v>
      </c>
      <c r="AE902" s="15">
        <v>300</v>
      </c>
      <c r="AF902" s="15">
        <f>AE902*AG902</f>
        <v>2100</v>
      </c>
      <c r="AG902" s="16">
        <v>7</v>
      </c>
    </row>
    <row r="903" spans="1:33" ht="15" customHeight="1" x14ac:dyDescent="0.2">
      <c r="A903" s="11" t="str">
        <f t="shared" ref="A903:A3488" si="392">HYPERLINK("https://assets.vans.eu/images/VN000PXEEMS-HERO/1","VN000PXEEMS1")</f>
        <v>VN000PXEEMS1</v>
      </c>
      <c r="B903" s="12" t="s">
        <v>3776</v>
      </c>
      <c r="C903" s="12" t="s">
        <v>2729</v>
      </c>
      <c r="D903" s="12" t="s">
        <v>863</v>
      </c>
      <c r="E903" s="12" t="s">
        <v>3777</v>
      </c>
      <c r="F903" s="12" t="s">
        <v>403</v>
      </c>
      <c r="G903" s="14"/>
      <c r="H903" s="12" t="s">
        <v>61</v>
      </c>
      <c r="I903" s="12" t="s">
        <v>62</v>
      </c>
      <c r="J903" s="12" t="s">
        <v>63</v>
      </c>
      <c r="K903" s="12" t="s">
        <v>64</v>
      </c>
      <c r="L903" s="14"/>
      <c r="M903" s="12" t="s">
        <v>43</v>
      </c>
      <c r="N903" s="12" t="s">
        <v>84</v>
      </c>
      <c r="O903" s="12" t="s">
        <v>3778</v>
      </c>
      <c r="P903" s="12" t="s">
        <v>66</v>
      </c>
      <c r="Q903" s="12" t="s">
        <v>67</v>
      </c>
      <c r="R903" s="12" t="s">
        <v>730</v>
      </c>
      <c r="S903" s="13">
        <v>197804365609</v>
      </c>
      <c r="T903" s="12" t="s">
        <v>709</v>
      </c>
      <c r="U903" s="12" t="s">
        <v>403</v>
      </c>
      <c r="V903" s="12" t="s">
        <v>710</v>
      </c>
      <c r="W903" s="12" t="s">
        <v>107</v>
      </c>
      <c r="X903" s="14"/>
      <c r="Y903" s="14"/>
      <c r="Z903" s="14"/>
      <c r="AA903" s="14"/>
      <c r="AB903" s="14"/>
      <c r="AC903" s="15">
        <v>29.55</v>
      </c>
      <c r="AD903" s="15">
        <f>AC903*AG903</f>
        <v>206.85</v>
      </c>
      <c r="AE903" s="15">
        <v>65</v>
      </c>
      <c r="AF903" s="15">
        <f>AE903*AG903</f>
        <v>455</v>
      </c>
      <c r="AG903" s="16">
        <v>7</v>
      </c>
    </row>
    <row r="904" spans="1:33" ht="15" customHeight="1" x14ac:dyDescent="0.2">
      <c r="A904" s="11" t="str">
        <f t="shared" si="265"/>
        <v>VN000PXS6JL1</v>
      </c>
      <c r="B904" s="12" t="s">
        <v>3779</v>
      </c>
      <c r="C904" s="12" t="s">
        <v>976</v>
      </c>
      <c r="D904" s="12" t="s">
        <v>2733</v>
      </c>
      <c r="E904" s="12" t="s">
        <v>3780</v>
      </c>
      <c r="F904" s="12" t="s">
        <v>403</v>
      </c>
      <c r="G904" s="14"/>
      <c r="H904" s="12" t="s">
        <v>61</v>
      </c>
      <c r="I904" s="12" t="s">
        <v>62</v>
      </c>
      <c r="J904" s="12" t="s">
        <v>63</v>
      </c>
      <c r="K904" s="12" t="s">
        <v>64</v>
      </c>
      <c r="L904" s="14"/>
      <c r="M904" s="12" t="s">
        <v>43</v>
      </c>
      <c r="N904" s="12" t="s">
        <v>84</v>
      </c>
      <c r="O904" s="12" t="s">
        <v>3781</v>
      </c>
      <c r="P904" s="12" t="s">
        <v>66</v>
      </c>
      <c r="Q904" s="12" t="s">
        <v>67</v>
      </c>
      <c r="R904" s="12" t="s">
        <v>68</v>
      </c>
      <c r="S904" s="13">
        <v>197804365890</v>
      </c>
      <c r="T904" s="12" t="s">
        <v>915</v>
      </c>
      <c r="U904" s="12" t="s">
        <v>403</v>
      </c>
      <c r="V904" s="12" t="s">
        <v>1028</v>
      </c>
      <c r="W904" s="12" t="s">
        <v>118</v>
      </c>
      <c r="X904" s="14"/>
      <c r="Y904" s="14"/>
      <c r="Z904" s="14"/>
      <c r="AA904" s="14"/>
      <c r="AB904" s="14"/>
      <c r="AC904" s="15">
        <v>13.65</v>
      </c>
      <c r="AD904" s="15">
        <f>AC904*AG904</f>
        <v>95.55</v>
      </c>
      <c r="AE904" s="15">
        <v>30</v>
      </c>
      <c r="AF904" s="15">
        <f>AE904*AG904</f>
        <v>210</v>
      </c>
      <c r="AG904" s="16">
        <v>7</v>
      </c>
    </row>
    <row r="905" spans="1:33" ht="15" customHeight="1" x14ac:dyDescent="0.2">
      <c r="A905" s="11" t="str">
        <f t="shared" ref="A905:A1773" si="393">HYPERLINK("https://assets.vans.eu/images/VN000Q0VEMS-HERO/1","VN000Q0VEMS1")</f>
        <v>VN000Q0VEMS1</v>
      </c>
      <c r="B905" s="12" t="s">
        <v>3782</v>
      </c>
      <c r="C905" s="12" t="s">
        <v>3783</v>
      </c>
      <c r="D905" s="12" t="s">
        <v>863</v>
      </c>
      <c r="E905" s="12" t="s">
        <v>3784</v>
      </c>
      <c r="F905" s="12" t="s">
        <v>170</v>
      </c>
      <c r="G905" s="14"/>
      <c r="H905" s="12" t="s">
        <v>61</v>
      </c>
      <c r="I905" s="12" t="s">
        <v>289</v>
      </c>
      <c r="J905" s="12" t="s">
        <v>706</v>
      </c>
      <c r="K905" s="12" t="s">
        <v>100</v>
      </c>
      <c r="L905" s="14"/>
      <c r="M905" s="12" t="s">
        <v>43</v>
      </c>
      <c r="N905" s="12" t="s">
        <v>84</v>
      </c>
      <c r="O905" s="12" t="s">
        <v>3785</v>
      </c>
      <c r="P905" s="12" t="s">
        <v>66</v>
      </c>
      <c r="Q905" s="12" t="s">
        <v>67</v>
      </c>
      <c r="R905" s="12" t="s">
        <v>1200</v>
      </c>
      <c r="S905" s="13">
        <v>197804656127</v>
      </c>
      <c r="T905" s="12" t="s">
        <v>49</v>
      </c>
      <c r="U905" s="12" t="s">
        <v>170</v>
      </c>
      <c r="V905" s="12" t="s">
        <v>3786</v>
      </c>
      <c r="W905" s="12" t="s">
        <v>107</v>
      </c>
      <c r="X905" s="14"/>
      <c r="Y905" s="14"/>
      <c r="Z905" s="14"/>
      <c r="AA905" s="14"/>
      <c r="AB905" s="14"/>
      <c r="AC905" s="15">
        <v>20.5</v>
      </c>
      <c r="AD905" s="15">
        <f>AC905*AG905</f>
        <v>143.5</v>
      </c>
      <c r="AE905" s="15">
        <v>45</v>
      </c>
      <c r="AF905" s="15">
        <f>AE905*AG905</f>
        <v>315</v>
      </c>
      <c r="AG905" s="16">
        <v>7</v>
      </c>
    </row>
    <row r="906" spans="1:33" ht="15" customHeight="1" x14ac:dyDescent="0.2">
      <c r="A906" s="11" t="str">
        <f t="shared" ref="A906:A1035" si="394">HYPERLINK("https://assets.vans.eu/images/VN000Q67EMX-HERO/1","VN000Q67EMX1")</f>
        <v>VN000Q67EMX1</v>
      </c>
      <c r="B906" s="12" t="s">
        <v>3787</v>
      </c>
      <c r="C906" s="12" t="s">
        <v>3788</v>
      </c>
      <c r="D906" s="12" t="s">
        <v>2969</v>
      </c>
      <c r="E906" s="12" t="s">
        <v>3789</v>
      </c>
      <c r="F906" s="13">
        <v>27</v>
      </c>
      <c r="G906" s="14"/>
      <c r="H906" s="12" t="s">
        <v>61</v>
      </c>
      <c r="I906" s="12" t="s">
        <v>289</v>
      </c>
      <c r="J906" s="12" t="s">
        <v>290</v>
      </c>
      <c r="K906" s="12" t="s">
        <v>100</v>
      </c>
      <c r="L906" s="14"/>
      <c r="M906" s="12" t="s">
        <v>43</v>
      </c>
      <c r="N906" s="12" t="s">
        <v>84</v>
      </c>
      <c r="O906" s="12" t="s">
        <v>3790</v>
      </c>
      <c r="P906" s="12" t="s">
        <v>66</v>
      </c>
      <c r="Q906" s="12" t="s">
        <v>233</v>
      </c>
      <c r="R906" s="12" t="s">
        <v>664</v>
      </c>
      <c r="S906" s="13">
        <v>197804393312</v>
      </c>
      <c r="T906" s="12" t="s">
        <v>235</v>
      </c>
      <c r="U906" s="13">
        <v>27</v>
      </c>
      <c r="V906" s="12" t="s">
        <v>665</v>
      </c>
      <c r="W906" s="12" t="s">
        <v>625</v>
      </c>
      <c r="X906" s="14"/>
      <c r="Y906" s="14"/>
      <c r="Z906" s="14"/>
      <c r="AA906" s="14"/>
      <c r="AB906" s="14"/>
      <c r="AC906" s="15">
        <v>36.4</v>
      </c>
      <c r="AD906" s="15">
        <f>AC906*AG906</f>
        <v>254.79999999999998</v>
      </c>
      <c r="AE906" s="15">
        <v>80</v>
      </c>
      <c r="AF906" s="15">
        <f>AE906*AG906</f>
        <v>560</v>
      </c>
      <c r="AG906" s="16">
        <v>7</v>
      </c>
    </row>
    <row r="907" spans="1:33" ht="15" customHeight="1" x14ac:dyDescent="0.2">
      <c r="A907" s="11" t="str">
        <f t="shared" si="361"/>
        <v>VN000QDFBLK1</v>
      </c>
      <c r="B907" s="12" t="s">
        <v>3791</v>
      </c>
      <c r="C907" s="12" t="s">
        <v>2546</v>
      </c>
      <c r="D907" s="12" t="s">
        <v>76</v>
      </c>
      <c r="E907" s="12" t="s">
        <v>3792</v>
      </c>
      <c r="F907" s="12" t="s">
        <v>170</v>
      </c>
      <c r="G907" s="14"/>
      <c r="H907" s="12" t="s">
        <v>61</v>
      </c>
      <c r="I907" s="12" t="s">
        <v>289</v>
      </c>
      <c r="J907" s="12" t="s">
        <v>706</v>
      </c>
      <c r="K907" s="12" t="s">
        <v>100</v>
      </c>
      <c r="L907" s="14"/>
      <c r="M907" s="12" t="s">
        <v>43</v>
      </c>
      <c r="N907" s="12" t="s">
        <v>84</v>
      </c>
      <c r="O907" s="12" t="s">
        <v>3793</v>
      </c>
      <c r="P907" s="12" t="s">
        <v>66</v>
      </c>
      <c r="Q907" s="12" t="s">
        <v>67</v>
      </c>
      <c r="R907" s="12" t="s">
        <v>1146</v>
      </c>
      <c r="S907" s="13">
        <v>197804395743</v>
      </c>
      <c r="T907" s="12" t="s">
        <v>709</v>
      </c>
      <c r="U907" s="12" t="s">
        <v>170</v>
      </c>
      <c r="V907" s="12" t="s">
        <v>665</v>
      </c>
      <c r="W907" s="12" t="s">
        <v>51</v>
      </c>
      <c r="X907" s="14"/>
      <c r="Y907" s="14"/>
      <c r="Z907" s="14"/>
      <c r="AA907" s="14"/>
      <c r="AB907" s="14"/>
      <c r="AC907" s="15">
        <v>13.65</v>
      </c>
      <c r="AD907" s="15">
        <f>AC907*AG907</f>
        <v>95.55</v>
      </c>
      <c r="AE907" s="15">
        <v>30</v>
      </c>
      <c r="AF907" s="15">
        <f>AE907*AG907</f>
        <v>210</v>
      </c>
      <c r="AG907" s="16">
        <v>7</v>
      </c>
    </row>
    <row r="908" spans="1:33" ht="15" customHeight="1" x14ac:dyDescent="0.2">
      <c r="A908" s="11" t="str">
        <f t="shared" ref="A908:A1412" si="395">HYPERLINK("https://assets.vans.eu/images/VN000R02WHT-HERO/1","VN000R02WHT1")</f>
        <v>VN000R02WHT1</v>
      </c>
      <c r="B908" s="12" t="s">
        <v>3794</v>
      </c>
      <c r="C908" s="12" t="s">
        <v>3692</v>
      </c>
      <c r="D908" s="12" t="s">
        <v>168</v>
      </c>
      <c r="E908" s="12" t="s">
        <v>3795</v>
      </c>
      <c r="F908" s="12" t="s">
        <v>170</v>
      </c>
      <c r="G908" s="14"/>
      <c r="H908" s="12" t="s">
        <v>61</v>
      </c>
      <c r="I908" s="12" t="s">
        <v>62</v>
      </c>
      <c r="J908" s="12" t="s">
        <v>63</v>
      </c>
      <c r="K908" s="12" t="s">
        <v>64</v>
      </c>
      <c r="L908" s="14"/>
      <c r="M908" s="12" t="s">
        <v>43</v>
      </c>
      <c r="N908" s="12" t="s">
        <v>84</v>
      </c>
      <c r="O908" s="12" t="s">
        <v>3796</v>
      </c>
      <c r="P908" s="12" t="s">
        <v>66</v>
      </c>
      <c r="Q908" s="12" t="s">
        <v>67</v>
      </c>
      <c r="R908" s="12" t="s">
        <v>68</v>
      </c>
      <c r="S908" s="13">
        <v>197804584871</v>
      </c>
      <c r="T908" s="12" t="s">
        <v>915</v>
      </c>
      <c r="U908" s="12" t="s">
        <v>170</v>
      </c>
      <c r="V908" s="12" t="s">
        <v>1028</v>
      </c>
      <c r="W908" s="12" t="s">
        <v>175</v>
      </c>
      <c r="X908" s="14"/>
      <c r="Y908" s="14"/>
      <c r="Z908" s="14"/>
      <c r="AA908" s="14"/>
      <c r="AB908" s="14"/>
      <c r="AC908" s="15">
        <v>15.95</v>
      </c>
      <c r="AD908" s="15">
        <f>AC908*AG908</f>
        <v>111.64999999999999</v>
      </c>
      <c r="AE908" s="15">
        <v>35</v>
      </c>
      <c r="AF908" s="15">
        <f>AE908*AG908</f>
        <v>245</v>
      </c>
      <c r="AG908" s="16">
        <v>7</v>
      </c>
    </row>
    <row r="909" spans="1:33" ht="15" customHeight="1" x14ac:dyDescent="0.2">
      <c r="A909" s="11" t="str">
        <f t="shared" ref="A909:A1783" si="396">HYPERLINK("https://assets.vans.eu/images/VN000R03EN7-HERO/1","VN000R03EN71")</f>
        <v>VN000R03EN71</v>
      </c>
      <c r="B909" s="12" t="s">
        <v>3797</v>
      </c>
      <c r="C909" s="12" t="s">
        <v>2741</v>
      </c>
      <c r="D909" s="12" t="s">
        <v>295</v>
      </c>
      <c r="E909" s="12" t="s">
        <v>3798</v>
      </c>
      <c r="F909" s="12" t="s">
        <v>403</v>
      </c>
      <c r="G909" s="14"/>
      <c r="H909" s="12" t="s">
        <v>61</v>
      </c>
      <c r="I909" s="12" t="s">
        <v>62</v>
      </c>
      <c r="J909" s="12" t="s">
        <v>63</v>
      </c>
      <c r="K909" s="12" t="s">
        <v>64</v>
      </c>
      <c r="L909" s="14"/>
      <c r="M909" s="12" t="s">
        <v>43</v>
      </c>
      <c r="N909" s="12" t="s">
        <v>84</v>
      </c>
      <c r="O909" s="12" t="s">
        <v>3799</v>
      </c>
      <c r="P909" s="12" t="s">
        <v>66</v>
      </c>
      <c r="Q909" s="12" t="s">
        <v>67</v>
      </c>
      <c r="R909" s="12" t="s">
        <v>68</v>
      </c>
      <c r="S909" s="13">
        <v>197804585113</v>
      </c>
      <c r="T909" s="12" t="s">
        <v>915</v>
      </c>
      <c r="U909" s="12" t="s">
        <v>403</v>
      </c>
      <c r="V909" s="12" t="s">
        <v>1028</v>
      </c>
      <c r="W909" s="12" t="s">
        <v>299</v>
      </c>
      <c r="X909" s="14"/>
      <c r="Y909" s="14"/>
      <c r="Z909" s="14"/>
      <c r="AA909" s="14"/>
      <c r="AB909" s="14"/>
      <c r="AC909" s="15">
        <v>15.95</v>
      </c>
      <c r="AD909" s="15">
        <f>AC909*AG909</f>
        <v>111.64999999999999</v>
      </c>
      <c r="AE909" s="15">
        <v>35</v>
      </c>
      <c r="AF909" s="15">
        <f>AE909*AG909</f>
        <v>245</v>
      </c>
      <c r="AG909" s="16">
        <v>7</v>
      </c>
    </row>
    <row r="910" spans="1:33" ht="15" customHeight="1" x14ac:dyDescent="0.2">
      <c r="A910" s="11" t="str">
        <f t="shared" ref="A910:A1195" si="397">HYPERLINK("https://assets.vans.eu/images/VN000R04BLK-HERO/1","VN000R04BLK1")</f>
        <v>VN000R04BLK1</v>
      </c>
      <c r="B910" s="12" t="s">
        <v>3800</v>
      </c>
      <c r="C910" s="12" t="s">
        <v>1740</v>
      </c>
      <c r="D910" s="12" t="s">
        <v>76</v>
      </c>
      <c r="E910" s="12" t="s">
        <v>3801</v>
      </c>
      <c r="F910" s="12" t="s">
        <v>179</v>
      </c>
      <c r="G910" s="14"/>
      <c r="H910" s="12" t="s">
        <v>61</v>
      </c>
      <c r="I910" s="12" t="s">
        <v>62</v>
      </c>
      <c r="J910" s="12" t="s">
        <v>63</v>
      </c>
      <c r="K910" s="12" t="s">
        <v>64</v>
      </c>
      <c r="L910" s="14"/>
      <c r="M910" s="12" t="s">
        <v>43</v>
      </c>
      <c r="N910" s="12" t="s">
        <v>84</v>
      </c>
      <c r="O910" s="12" t="s">
        <v>3802</v>
      </c>
      <c r="P910" s="12" t="s">
        <v>66</v>
      </c>
      <c r="Q910" s="12" t="s">
        <v>67</v>
      </c>
      <c r="R910" s="12" t="s">
        <v>68</v>
      </c>
      <c r="S910" s="13">
        <v>197804584925</v>
      </c>
      <c r="T910" s="12" t="s">
        <v>915</v>
      </c>
      <c r="U910" s="12" t="s">
        <v>179</v>
      </c>
      <c r="V910" s="12" t="s">
        <v>1028</v>
      </c>
      <c r="W910" s="12" t="s">
        <v>51</v>
      </c>
      <c r="X910" s="14"/>
      <c r="Y910" s="14"/>
      <c r="Z910" s="14"/>
      <c r="AA910" s="14"/>
      <c r="AB910" s="14"/>
      <c r="AC910" s="15">
        <v>13.65</v>
      </c>
      <c r="AD910" s="15">
        <f>AC910*AG910</f>
        <v>95.55</v>
      </c>
      <c r="AE910" s="15">
        <v>30</v>
      </c>
      <c r="AF910" s="15">
        <f>AE910*AG910</f>
        <v>210</v>
      </c>
      <c r="AG910" s="16">
        <v>7</v>
      </c>
    </row>
    <row r="911" spans="1:33" ht="15" customHeight="1" x14ac:dyDescent="0.2">
      <c r="A911" s="11" t="str">
        <f t="shared" si="329"/>
        <v>VN000R05WHT1</v>
      </c>
      <c r="B911" s="12" t="s">
        <v>3803</v>
      </c>
      <c r="C911" s="12" t="s">
        <v>3182</v>
      </c>
      <c r="D911" s="12" t="s">
        <v>168</v>
      </c>
      <c r="E911" s="12" t="s">
        <v>3804</v>
      </c>
      <c r="F911" s="12" t="s">
        <v>179</v>
      </c>
      <c r="G911" s="14"/>
      <c r="H911" s="12" t="s">
        <v>61</v>
      </c>
      <c r="I911" s="12" t="s">
        <v>62</v>
      </c>
      <c r="J911" s="12" t="s">
        <v>63</v>
      </c>
      <c r="K911" s="12" t="s">
        <v>64</v>
      </c>
      <c r="L911" s="14"/>
      <c r="M911" s="12" t="s">
        <v>43</v>
      </c>
      <c r="N911" s="12" t="s">
        <v>84</v>
      </c>
      <c r="O911" s="12" t="s">
        <v>3805</v>
      </c>
      <c r="P911" s="12" t="s">
        <v>66</v>
      </c>
      <c r="Q911" s="12" t="s">
        <v>67</v>
      </c>
      <c r="R911" s="12" t="s">
        <v>68</v>
      </c>
      <c r="S911" s="13">
        <v>197804585090</v>
      </c>
      <c r="T911" s="12" t="s">
        <v>915</v>
      </c>
      <c r="U911" s="12" t="s">
        <v>179</v>
      </c>
      <c r="V911" s="12" t="s">
        <v>1028</v>
      </c>
      <c r="W911" s="12" t="s">
        <v>175</v>
      </c>
      <c r="X911" s="14"/>
      <c r="Y911" s="14"/>
      <c r="Z911" s="14"/>
      <c r="AA911" s="14"/>
      <c r="AB911" s="14"/>
      <c r="AC911" s="15">
        <v>13.65</v>
      </c>
      <c r="AD911" s="15">
        <f>AC911*AG911</f>
        <v>95.55</v>
      </c>
      <c r="AE911" s="15">
        <v>30</v>
      </c>
      <c r="AF911" s="15">
        <f>AE911*AG911</f>
        <v>210</v>
      </c>
      <c r="AG911" s="16">
        <v>7</v>
      </c>
    </row>
    <row r="912" spans="1:33" ht="15" customHeight="1" x14ac:dyDescent="0.2">
      <c r="A912" s="11" t="str">
        <f t="shared" si="329"/>
        <v>VN000R05WHT1</v>
      </c>
      <c r="B912" s="12" t="s">
        <v>3806</v>
      </c>
      <c r="C912" s="12" t="s">
        <v>3182</v>
      </c>
      <c r="D912" s="12" t="s">
        <v>168</v>
      </c>
      <c r="E912" s="12" t="s">
        <v>3807</v>
      </c>
      <c r="F912" s="12" t="s">
        <v>170</v>
      </c>
      <c r="G912" s="14"/>
      <c r="H912" s="12" t="s">
        <v>61</v>
      </c>
      <c r="I912" s="12" t="s">
        <v>62</v>
      </c>
      <c r="J912" s="12" t="s">
        <v>63</v>
      </c>
      <c r="K912" s="12" t="s">
        <v>64</v>
      </c>
      <c r="L912" s="14"/>
      <c r="M912" s="12" t="s">
        <v>43</v>
      </c>
      <c r="N912" s="12" t="s">
        <v>84</v>
      </c>
      <c r="O912" s="12" t="s">
        <v>3808</v>
      </c>
      <c r="P912" s="12" t="s">
        <v>66</v>
      </c>
      <c r="Q912" s="12" t="s">
        <v>67</v>
      </c>
      <c r="R912" s="12" t="s">
        <v>68</v>
      </c>
      <c r="S912" s="13">
        <v>197804585137</v>
      </c>
      <c r="T912" s="12" t="s">
        <v>915</v>
      </c>
      <c r="U912" s="12" t="s">
        <v>170</v>
      </c>
      <c r="V912" s="12" t="s">
        <v>1028</v>
      </c>
      <c r="W912" s="12" t="s">
        <v>175</v>
      </c>
      <c r="X912" s="14"/>
      <c r="Y912" s="14"/>
      <c r="Z912" s="14"/>
      <c r="AA912" s="14"/>
      <c r="AB912" s="14"/>
      <c r="AC912" s="15">
        <v>13.65</v>
      </c>
      <c r="AD912" s="15">
        <f>AC912*AG912</f>
        <v>95.55</v>
      </c>
      <c r="AE912" s="15">
        <v>30</v>
      </c>
      <c r="AF912" s="15">
        <f>AE912*AG912</f>
        <v>210</v>
      </c>
      <c r="AG912" s="16">
        <v>7</v>
      </c>
    </row>
    <row r="913" spans="1:33" ht="15" customHeight="1" x14ac:dyDescent="0.2">
      <c r="A913" s="11" t="str">
        <f t="shared" si="329"/>
        <v>VN000R05WHT1</v>
      </c>
      <c r="B913" s="12" t="s">
        <v>3809</v>
      </c>
      <c r="C913" s="12" t="s">
        <v>3182</v>
      </c>
      <c r="D913" s="12" t="s">
        <v>168</v>
      </c>
      <c r="E913" s="12" t="s">
        <v>3810</v>
      </c>
      <c r="F913" s="12" t="s">
        <v>60</v>
      </c>
      <c r="G913" s="14"/>
      <c r="H913" s="12" t="s">
        <v>61</v>
      </c>
      <c r="I913" s="12" t="s">
        <v>62</v>
      </c>
      <c r="J913" s="12" t="s">
        <v>63</v>
      </c>
      <c r="K913" s="12" t="s">
        <v>64</v>
      </c>
      <c r="L913" s="14"/>
      <c r="M913" s="12" t="s">
        <v>43</v>
      </c>
      <c r="N913" s="12" t="s">
        <v>84</v>
      </c>
      <c r="O913" s="12" t="s">
        <v>3811</v>
      </c>
      <c r="P913" s="12" t="s">
        <v>66</v>
      </c>
      <c r="Q913" s="12" t="s">
        <v>67</v>
      </c>
      <c r="R913" s="12" t="s">
        <v>68</v>
      </c>
      <c r="S913" s="13">
        <v>197804585311</v>
      </c>
      <c r="T913" s="12" t="s">
        <v>915</v>
      </c>
      <c r="U913" s="12" t="s">
        <v>60</v>
      </c>
      <c r="V913" s="12" t="s">
        <v>1028</v>
      </c>
      <c r="W913" s="12" t="s">
        <v>175</v>
      </c>
      <c r="X913" s="14"/>
      <c r="Y913" s="14"/>
      <c r="Z913" s="14"/>
      <c r="AA913" s="14"/>
      <c r="AB913" s="14"/>
      <c r="AC913" s="15">
        <v>13.65</v>
      </c>
      <c r="AD913" s="15">
        <f>AC913*AG913</f>
        <v>95.55</v>
      </c>
      <c r="AE913" s="15">
        <v>30</v>
      </c>
      <c r="AF913" s="15">
        <f>AE913*AG913</f>
        <v>210</v>
      </c>
      <c r="AG913" s="16">
        <v>7</v>
      </c>
    </row>
    <row r="914" spans="1:33" ht="15" customHeight="1" x14ac:dyDescent="0.2">
      <c r="A914" s="11" t="str">
        <f t="shared" si="330"/>
        <v>VN000R4Z7D61</v>
      </c>
      <c r="B914" s="12" t="s">
        <v>3812</v>
      </c>
      <c r="C914" s="12" t="s">
        <v>3186</v>
      </c>
      <c r="D914" s="12" t="s">
        <v>1231</v>
      </c>
      <c r="E914" s="12" t="s">
        <v>3813</v>
      </c>
      <c r="F914" s="13">
        <v>34</v>
      </c>
      <c r="G914" s="14"/>
      <c r="H914" s="12" t="s">
        <v>61</v>
      </c>
      <c r="I914" s="12" t="s">
        <v>230</v>
      </c>
      <c r="J914" s="12" t="s">
        <v>231</v>
      </c>
      <c r="K914" s="12" t="s">
        <v>199</v>
      </c>
      <c r="L914" s="14"/>
      <c r="M914" s="12" t="s">
        <v>43</v>
      </c>
      <c r="N914" s="12" t="s">
        <v>84</v>
      </c>
      <c r="O914" s="12" t="s">
        <v>3814</v>
      </c>
      <c r="P914" s="12" t="s">
        <v>66</v>
      </c>
      <c r="Q914" s="12" t="s">
        <v>233</v>
      </c>
      <c r="R914" s="12" t="s">
        <v>361</v>
      </c>
      <c r="S914" s="13">
        <v>197804585977</v>
      </c>
      <c r="T914" s="12" t="s">
        <v>235</v>
      </c>
      <c r="U914" s="13">
        <v>34</v>
      </c>
      <c r="V914" s="12" t="s">
        <v>665</v>
      </c>
      <c r="W914" s="12" t="s">
        <v>186</v>
      </c>
      <c r="X914" s="14"/>
      <c r="Y914" s="14"/>
      <c r="Z914" s="14"/>
      <c r="AA914" s="14"/>
      <c r="AB914" s="14"/>
      <c r="AC914" s="15">
        <v>34.1</v>
      </c>
      <c r="AD914" s="15">
        <f>AC914*AG914</f>
        <v>238.70000000000002</v>
      </c>
      <c r="AE914" s="15">
        <v>75</v>
      </c>
      <c r="AF914" s="15">
        <f>AE914*AG914</f>
        <v>525</v>
      </c>
      <c r="AG914" s="16">
        <v>7</v>
      </c>
    </row>
    <row r="915" spans="1:33" ht="15" customHeight="1" x14ac:dyDescent="0.2">
      <c r="A915" s="11" t="str">
        <f t="shared" ref="A915:A1038" si="398">HYPERLINK("https://assets.vans.eu/images/VN000R742N1-HERO/1","VN000R742N11")</f>
        <v>VN000R742N11</v>
      </c>
      <c r="B915" s="12" t="s">
        <v>3815</v>
      </c>
      <c r="C915" s="12" t="s">
        <v>2553</v>
      </c>
      <c r="D915" s="12" t="s">
        <v>1082</v>
      </c>
      <c r="E915" s="12" t="s">
        <v>3816</v>
      </c>
      <c r="F915" s="12" t="s">
        <v>403</v>
      </c>
      <c r="G915" s="14"/>
      <c r="H915" s="12" t="s">
        <v>61</v>
      </c>
      <c r="I915" s="12" t="s">
        <v>289</v>
      </c>
      <c r="J915" s="12" t="s">
        <v>706</v>
      </c>
      <c r="K915" s="12" t="s">
        <v>100</v>
      </c>
      <c r="L915" s="12" t="s">
        <v>83</v>
      </c>
      <c r="M915" s="12" t="s">
        <v>43</v>
      </c>
      <c r="N915" s="12" t="s">
        <v>84</v>
      </c>
      <c r="O915" s="12" t="s">
        <v>3817</v>
      </c>
      <c r="P915" s="12" t="s">
        <v>66</v>
      </c>
      <c r="Q915" s="12" t="s">
        <v>67</v>
      </c>
      <c r="R915" s="12" t="s">
        <v>1146</v>
      </c>
      <c r="S915" s="13">
        <v>197804296750</v>
      </c>
      <c r="T915" s="12" t="s">
        <v>69</v>
      </c>
      <c r="U915" s="12" t="s">
        <v>403</v>
      </c>
      <c r="V915" s="12" t="s">
        <v>2556</v>
      </c>
      <c r="W915" s="12" t="s">
        <v>580</v>
      </c>
      <c r="X915" s="14"/>
      <c r="Y915" s="14"/>
      <c r="Z915" s="14"/>
      <c r="AA915" s="14"/>
      <c r="AB915" s="14"/>
      <c r="AC915" s="15">
        <v>18.2</v>
      </c>
      <c r="AD915" s="15">
        <f>AC915*AG915</f>
        <v>127.39999999999999</v>
      </c>
      <c r="AE915" s="15">
        <v>40</v>
      </c>
      <c r="AF915" s="15">
        <f>AE915*AG915</f>
        <v>280</v>
      </c>
      <c r="AG915" s="16">
        <v>7</v>
      </c>
    </row>
    <row r="916" spans="1:33" ht="15" customHeight="1" x14ac:dyDescent="0.2">
      <c r="A916" s="11" t="str">
        <f t="shared" si="363"/>
        <v>VN000R92FBG1</v>
      </c>
      <c r="B916" s="12" t="s">
        <v>3818</v>
      </c>
      <c r="C916" s="12" t="s">
        <v>2250</v>
      </c>
      <c r="D916" s="12" t="s">
        <v>3496</v>
      </c>
      <c r="E916" s="12" t="s">
        <v>3819</v>
      </c>
      <c r="F916" s="12" t="s">
        <v>179</v>
      </c>
      <c r="G916" s="14"/>
      <c r="H916" s="12" t="s">
        <v>61</v>
      </c>
      <c r="I916" s="12" t="s">
        <v>230</v>
      </c>
      <c r="J916" s="12" t="s">
        <v>419</v>
      </c>
      <c r="K916" s="12" t="s">
        <v>199</v>
      </c>
      <c r="L916" s="12" t="s">
        <v>83</v>
      </c>
      <c r="M916" s="12" t="s">
        <v>43</v>
      </c>
      <c r="N916" s="12" t="s">
        <v>84</v>
      </c>
      <c r="O916" s="12" t="s">
        <v>3820</v>
      </c>
      <c r="P916" s="12" t="s">
        <v>66</v>
      </c>
      <c r="Q916" s="12" t="s">
        <v>67</v>
      </c>
      <c r="R916" s="12" t="s">
        <v>1490</v>
      </c>
      <c r="S916" s="13">
        <v>197804664511</v>
      </c>
      <c r="T916" s="12" t="s">
        <v>2253</v>
      </c>
      <c r="U916" s="12" t="s">
        <v>179</v>
      </c>
      <c r="V916" s="12" t="s">
        <v>2254</v>
      </c>
      <c r="W916" s="12" t="s">
        <v>284</v>
      </c>
      <c r="X916" s="14"/>
      <c r="Y916" s="14"/>
      <c r="Z916" s="14"/>
      <c r="AA916" s="14"/>
      <c r="AB916" s="14"/>
      <c r="AC916" s="15">
        <v>63.65</v>
      </c>
      <c r="AD916" s="15">
        <f>AC916*AG916</f>
        <v>445.55</v>
      </c>
      <c r="AE916" s="15">
        <v>140</v>
      </c>
      <c r="AF916" s="15">
        <f>AE916*AG916</f>
        <v>980</v>
      </c>
      <c r="AG916" s="16">
        <v>7</v>
      </c>
    </row>
    <row r="917" spans="1:33" ht="15" customHeight="1" x14ac:dyDescent="0.2">
      <c r="A917" s="11" t="str">
        <f t="shared" si="363"/>
        <v>VN000R92FBG1</v>
      </c>
      <c r="B917" s="12" t="s">
        <v>3821</v>
      </c>
      <c r="C917" s="12" t="s">
        <v>2250</v>
      </c>
      <c r="D917" s="12" t="s">
        <v>3496</v>
      </c>
      <c r="E917" s="12" t="s">
        <v>3822</v>
      </c>
      <c r="F917" s="12" t="s">
        <v>403</v>
      </c>
      <c r="G917" s="14"/>
      <c r="H917" s="12" t="s">
        <v>61</v>
      </c>
      <c r="I917" s="12" t="s">
        <v>230</v>
      </c>
      <c r="J917" s="12" t="s">
        <v>419</v>
      </c>
      <c r="K917" s="12" t="s">
        <v>199</v>
      </c>
      <c r="L917" s="12" t="s">
        <v>83</v>
      </c>
      <c r="M917" s="12" t="s">
        <v>43</v>
      </c>
      <c r="N917" s="12" t="s">
        <v>84</v>
      </c>
      <c r="O917" s="12" t="s">
        <v>3823</v>
      </c>
      <c r="P917" s="12" t="s">
        <v>66</v>
      </c>
      <c r="Q917" s="12" t="s">
        <v>67</v>
      </c>
      <c r="R917" s="12" t="s">
        <v>1490</v>
      </c>
      <c r="S917" s="13">
        <v>197804664627</v>
      </c>
      <c r="T917" s="12" t="s">
        <v>2253</v>
      </c>
      <c r="U917" s="12" t="s">
        <v>403</v>
      </c>
      <c r="V917" s="12" t="s">
        <v>2254</v>
      </c>
      <c r="W917" s="12" t="s">
        <v>284</v>
      </c>
      <c r="X917" s="14"/>
      <c r="Y917" s="14"/>
      <c r="Z917" s="14"/>
      <c r="AA917" s="14"/>
      <c r="AB917" s="14"/>
      <c r="AC917" s="15">
        <v>63.65</v>
      </c>
      <c r="AD917" s="15">
        <f>AC917*AG917</f>
        <v>445.55</v>
      </c>
      <c r="AE917" s="15">
        <v>140</v>
      </c>
      <c r="AF917" s="15">
        <f>AE917*AG917</f>
        <v>980</v>
      </c>
      <c r="AG917" s="16">
        <v>7</v>
      </c>
    </row>
    <row r="918" spans="1:33" ht="15" customHeight="1" x14ac:dyDescent="0.2">
      <c r="A918" s="11" t="str">
        <f t="shared" si="178"/>
        <v>VN000R94FS81</v>
      </c>
      <c r="B918" s="12" t="s">
        <v>3824</v>
      </c>
      <c r="C918" s="12" t="s">
        <v>1985</v>
      </c>
      <c r="D918" s="12" t="s">
        <v>239</v>
      </c>
      <c r="E918" s="12" t="s">
        <v>3825</v>
      </c>
      <c r="F918" s="12" t="s">
        <v>179</v>
      </c>
      <c r="G918" s="14"/>
      <c r="H918" s="12" t="s">
        <v>61</v>
      </c>
      <c r="I918" s="12" t="s">
        <v>230</v>
      </c>
      <c r="J918" s="12" t="s">
        <v>419</v>
      </c>
      <c r="K918" s="12" t="s">
        <v>199</v>
      </c>
      <c r="L918" s="12" t="s">
        <v>83</v>
      </c>
      <c r="M918" s="12" t="s">
        <v>43</v>
      </c>
      <c r="N918" s="12" t="s">
        <v>84</v>
      </c>
      <c r="O918" s="12" t="s">
        <v>3826</v>
      </c>
      <c r="P918" s="12" t="s">
        <v>66</v>
      </c>
      <c r="Q918" s="12" t="s">
        <v>67</v>
      </c>
      <c r="R918" s="12" t="s">
        <v>421</v>
      </c>
      <c r="S918" s="13">
        <v>197804296729</v>
      </c>
      <c r="T918" s="12" t="s">
        <v>69</v>
      </c>
      <c r="U918" s="12" t="s">
        <v>179</v>
      </c>
      <c r="V918" s="12" t="s">
        <v>665</v>
      </c>
      <c r="W918" s="12" t="s">
        <v>175</v>
      </c>
      <c r="X918" s="14"/>
      <c r="Y918" s="14"/>
      <c r="Z918" s="14"/>
      <c r="AA918" s="14"/>
      <c r="AB918" s="14"/>
      <c r="AC918" s="15">
        <v>22.75</v>
      </c>
      <c r="AD918" s="15">
        <f>AC918*AG918</f>
        <v>159.25</v>
      </c>
      <c r="AE918" s="15">
        <v>50</v>
      </c>
      <c r="AF918" s="15">
        <f>AE918*AG918</f>
        <v>350</v>
      </c>
      <c r="AG918" s="16">
        <v>7</v>
      </c>
    </row>
    <row r="919" spans="1:33" ht="15" customHeight="1" x14ac:dyDescent="0.2">
      <c r="A919" s="11" t="str">
        <f t="shared" si="331"/>
        <v>VN000RBCEML1</v>
      </c>
      <c r="B919" s="12" t="s">
        <v>3827</v>
      </c>
      <c r="C919" s="12" t="s">
        <v>3199</v>
      </c>
      <c r="D919" s="12" t="s">
        <v>3126</v>
      </c>
      <c r="E919" s="12" t="s">
        <v>3828</v>
      </c>
      <c r="F919" s="12" t="s">
        <v>179</v>
      </c>
      <c r="G919" s="14"/>
      <c r="H919" s="12" t="s">
        <v>61</v>
      </c>
      <c r="I919" s="12" t="s">
        <v>62</v>
      </c>
      <c r="J919" s="12" t="s">
        <v>63</v>
      </c>
      <c r="K919" s="12" t="s">
        <v>64</v>
      </c>
      <c r="L919" s="12" t="s">
        <v>83</v>
      </c>
      <c r="M919" s="12" t="s">
        <v>43</v>
      </c>
      <c r="N919" s="12" t="s">
        <v>84</v>
      </c>
      <c r="O919" s="12" t="s">
        <v>3829</v>
      </c>
      <c r="P919" s="12" t="s">
        <v>66</v>
      </c>
      <c r="Q919" s="12" t="s">
        <v>67</v>
      </c>
      <c r="R919" s="12" t="s">
        <v>68</v>
      </c>
      <c r="S919" s="13">
        <v>197804325412</v>
      </c>
      <c r="T919" s="12" t="s">
        <v>422</v>
      </c>
      <c r="U919" s="12" t="s">
        <v>179</v>
      </c>
      <c r="V919" s="12" t="s">
        <v>423</v>
      </c>
      <c r="W919" s="12" t="s">
        <v>284</v>
      </c>
      <c r="X919" s="14"/>
      <c r="Y919" s="14"/>
      <c r="Z919" s="14"/>
      <c r="AA919" s="14"/>
      <c r="AB919" s="14"/>
      <c r="AC919" s="15">
        <v>11.4</v>
      </c>
      <c r="AD919" s="15">
        <f>AC919*AG919</f>
        <v>79.8</v>
      </c>
      <c r="AE919" s="15">
        <v>25</v>
      </c>
      <c r="AF919" s="15">
        <f>AE919*AG919</f>
        <v>175</v>
      </c>
      <c r="AG919" s="16">
        <v>7</v>
      </c>
    </row>
    <row r="920" spans="1:33" ht="15" customHeight="1" x14ac:dyDescent="0.2">
      <c r="A920" s="11" t="str">
        <f t="shared" si="331"/>
        <v>VN000RBCEML1</v>
      </c>
      <c r="B920" s="12" t="s">
        <v>3830</v>
      </c>
      <c r="C920" s="12" t="s">
        <v>3199</v>
      </c>
      <c r="D920" s="12" t="s">
        <v>3126</v>
      </c>
      <c r="E920" s="12" t="s">
        <v>3831</v>
      </c>
      <c r="F920" s="12" t="s">
        <v>403</v>
      </c>
      <c r="G920" s="14"/>
      <c r="H920" s="12" t="s">
        <v>61</v>
      </c>
      <c r="I920" s="12" t="s">
        <v>62</v>
      </c>
      <c r="J920" s="12" t="s">
        <v>63</v>
      </c>
      <c r="K920" s="12" t="s">
        <v>64</v>
      </c>
      <c r="L920" s="12" t="s">
        <v>83</v>
      </c>
      <c r="M920" s="12" t="s">
        <v>43</v>
      </c>
      <c r="N920" s="12" t="s">
        <v>84</v>
      </c>
      <c r="O920" s="12" t="s">
        <v>3832</v>
      </c>
      <c r="P920" s="12" t="s">
        <v>66</v>
      </c>
      <c r="Q920" s="12" t="s">
        <v>67</v>
      </c>
      <c r="R920" s="12" t="s">
        <v>68</v>
      </c>
      <c r="S920" s="13">
        <v>197804325696</v>
      </c>
      <c r="T920" s="12" t="s">
        <v>422</v>
      </c>
      <c r="U920" s="12" t="s">
        <v>403</v>
      </c>
      <c r="V920" s="12" t="s">
        <v>423</v>
      </c>
      <c r="W920" s="12" t="s">
        <v>284</v>
      </c>
      <c r="X920" s="14"/>
      <c r="Y920" s="14"/>
      <c r="Z920" s="14"/>
      <c r="AA920" s="14"/>
      <c r="AB920" s="14"/>
      <c r="AC920" s="15">
        <v>11.4</v>
      </c>
      <c r="AD920" s="15">
        <f>AC920*AG920</f>
        <v>79.8</v>
      </c>
      <c r="AE920" s="15">
        <v>25</v>
      </c>
      <c r="AF920" s="15">
        <f>AE920*AG920</f>
        <v>175</v>
      </c>
      <c r="AG920" s="16">
        <v>7</v>
      </c>
    </row>
    <row r="921" spans="1:33" ht="15" customHeight="1" x14ac:dyDescent="0.2">
      <c r="A921" s="11" t="str">
        <f t="shared" si="225"/>
        <v>VN000REFWHT1</v>
      </c>
      <c r="B921" s="12" t="s">
        <v>3833</v>
      </c>
      <c r="C921" s="12" t="s">
        <v>2392</v>
      </c>
      <c r="D921" s="12" t="s">
        <v>168</v>
      </c>
      <c r="E921" s="12" t="s">
        <v>3834</v>
      </c>
      <c r="F921" s="12" t="s">
        <v>179</v>
      </c>
      <c r="G921" s="14"/>
      <c r="H921" s="12" t="s">
        <v>61</v>
      </c>
      <c r="I921" s="12" t="s">
        <v>289</v>
      </c>
      <c r="J921" s="12" t="s">
        <v>706</v>
      </c>
      <c r="K921" s="12" t="s">
        <v>100</v>
      </c>
      <c r="L921" s="12" t="s">
        <v>83</v>
      </c>
      <c r="M921" s="12" t="s">
        <v>43</v>
      </c>
      <c r="N921" s="12" t="s">
        <v>84</v>
      </c>
      <c r="O921" s="12" t="s">
        <v>3835</v>
      </c>
      <c r="P921" s="12" t="s">
        <v>66</v>
      </c>
      <c r="Q921" s="12" t="s">
        <v>67</v>
      </c>
      <c r="R921" s="12" t="s">
        <v>1146</v>
      </c>
      <c r="S921" s="13">
        <v>197804298969</v>
      </c>
      <c r="T921" s="12" t="s">
        <v>422</v>
      </c>
      <c r="U921" s="12" t="s">
        <v>179</v>
      </c>
      <c r="V921" s="12" t="s">
        <v>423</v>
      </c>
      <c r="W921" s="12" t="s">
        <v>175</v>
      </c>
      <c r="X921" s="14"/>
      <c r="Y921" s="14"/>
      <c r="Z921" s="14"/>
      <c r="AA921" s="14"/>
      <c r="AB921" s="14"/>
      <c r="AC921" s="15">
        <v>18.2</v>
      </c>
      <c r="AD921" s="15">
        <f>AC921*AG921</f>
        <v>127.39999999999999</v>
      </c>
      <c r="AE921" s="15">
        <v>40</v>
      </c>
      <c r="AF921" s="15">
        <f>AE921*AG921</f>
        <v>280</v>
      </c>
      <c r="AG921" s="16">
        <v>7</v>
      </c>
    </row>
    <row r="922" spans="1:33" ht="15" customHeight="1" x14ac:dyDescent="0.2">
      <c r="A922" s="11" t="str">
        <f t="shared" si="364"/>
        <v>VN000RFUWHT1</v>
      </c>
      <c r="B922" s="12" t="s">
        <v>3836</v>
      </c>
      <c r="C922" s="12" t="s">
        <v>3509</v>
      </c>
      <c r="D922" s="12" t="s">
        <v>168</v>
      </c>
      <c r="E922" s="12" t="s">
        <v>3837</v>
      </c>
      <c r="F922" s="12" t="s">
        <v>153</v>
      </c>
      <c r="G922" s="14"/>
      <c r="H922" s="12" t="s">
        <v>61</v>
      </c>
      <c r="I922" s="12" t="s">
        <v>230</v>
      </c>
      <c r="J922" s="12" t="s">
        <v>419</v>
      </c>
      <c r="K922" s="12" t="s">
        <v>199</v>
      </c>
      <c r="L922" s="12" t="s">
        <v>83</v>
      </c>
      <c r="M922" s="12" t="s">
        <v>43</v>
      </c>
      <c r="N922" s="12" t="s">
        <v>84</v>
      </c>
      <c r="O922" s="12" t="s">
        <v>3838</v>
      </c>
      <c r="P922" s="12" t="s">
        <v>66</v>
      </c>
      <c r="Q922" s="12" t="s">
        <v>67</v>
      </c>
      <c r="R922" s="12" t="s">
        <v>421</v>
      </c>
      <c r="S922" s="13">
        <v>197804328116</v>
      </c>
      <c r="T922" s="12" t="s">
        <v>422</v>
      </c>
      <c r="U922" s="12" t="s">
        <v>153</v>
      </c>
      <c r="V922" s="12" t="s">
        <v>423</v>
      </c>
      <c r="W922" s="12" t="s">
        <v>175</v>
      </c>
      <c r="X922" s="14"/>
      <c r="Y922" s="14"/>
      <c r="Z922" s="14"/>
      <c r="AA922" s="14"/>
      <c r="AB922" s="14"/>
      <c r="AC922" s="15">
        <v>20.5</v>
      </c>
      <c r="AD922" s="15">
        <f>AC922*AG922</f>
        <v>143.5</v>
      </c>
      <c r="AE922" s="15">
        <v>45</v>
      </c>
      <c r="AF922" s="15">
        <f>AE922*AG922</f>
        <v>315</v>
      </c>
      <c r="AG922" s="16">
        <v>7</v>
      </c>
    </row>
    <row r="923" spans="1:33" ht="15" customHeight="1" x14ac:dyDescent="0.2">
      <c r="A923" s="11" t="str">
        <f t="shared" ref="A923:A1046" si="399">HYPERLINK("https://assets.vans.eu/images/VN000RG0EML-HERO/1","VN000RG0EML1")</f>
        <v>VN000RG0EML1</v>
      </c>
      <c r="B923" s="12" t="s">
        <v>3839</v>
      </c>
      <c r="C923" s="12" t="s">
        <v>2953</v>
      </c>
      <c r="D923" s="12" t="s">
        <v>3126</v>
      </c>
      <c r="E923" s="12" t="s">
        <v>3840</v>
      </c>
      <c r="F923" s="12" t="s">
        <v>60</v>
      </c>
      <c r="G923" s="14"/>
      <c r="H923" s="12" t="s">
        <v>61</v>
      </c>
      <c r="I923" s="12" t="s">
        <v>230</v>
      </c>
      <c r="J923" s="12" t="s">
        <v>419</v>
      </c>
      <c r="K923" s="12" t="s">
        <v>199</v>
      </c>
      <c r="L923" s="12" t="s">
        <v>83</v>
      </c>
      <c r="M923" s="12" t="s">
        <v>43</v>
      </c>
      <c r="N923" s="12" t="s">
        <v>84</v>
      </c>
      <c r="O923" s="12" t="s">
        <v>3841</v>
      </c>
      <c r="P923" s="12" t="s">
        <v>66</v>
      </c>
      <c r="Q923" s="12" t="s">
        <v>67</v>
      </c>
      <c r="R923" s="12" t="s">
        <v>623</v>
      </c>
      <c r="S923" s="13">
        <v>197804328048</v>
      </c>
      <c r="T923" s="12" t="s">
        <v>69</v>
      </c>
      <c r="U923" s="12" t="s">
        <v>60</v>
      </c>
      <c r="V923" s="12" t="s">
        <v>70</v>
      </c>
      <c r="W923" s="12" t="s">
        <v>284</v>
      </c>
      <c r="X923" s="14"/>
      <c r="Y923" s="14"/>
      <c r="Z923" s="14"/>
      <c r="AA923" s="14"/>
      <c r="AB923" s="14"/>
      <c r="AC923" s="15">
        <v>45.5</v>
      </c>
      <c r="AD923" s="15">
        <f>AC923*AG923</f>
        <v>318.5</v>
      </c>
      <c r="AE923" s="15">
        <v>100</v>
      </c>
      <c r="AF923" s="15">
        <f>AE923*AG923</f>
        <v>700</v>
      </c>
      <c r="AG923" s="16">
        <v>7</v>
      </c>
    </row>
    <row r="924" spans="1:33" ht="15" customHeight="1" x14ac:dyDescent="0.2">
      <c r="A924" s="11" t="str">
        <f t="shared" ref="A924:A1049" si="400">HYPERLINK("https://assets.vans.eu/images/VN000U2CWHT-HERO/1","VN000U2CWHT1")</f>
        <v>VN000U2CWHT1</v>
      </c>
      <c r="B924" s="12" t="s">
        <v>3842</v>
      </c>
      <c r="C924" s="12" t="s">
        <v>3843</v>
      </c>
      <c r="D924" s="12" t="s">
        <v>168</v>
      </c>
      <c r="E924" s="12" t="s">
        <v>3844</v>
      </c>
      <c r="F924" s="12" t="s">
        <v>179</v>
      </c>
      <c r="G924" s="14"/>
      <c r="H924" s="12" t="s">
        <v>61</v>
      </c>
      <c r="I924" s="12" t="s">
        <v>230</v>
      </c>
      <c r="J924" s="12" t="s">
        <v>419</v>
      </c>
      <c r="K924" s="12" t="s">
        <v>199</v>
      </c>
      <c r="L924" s="12" t="s">
        <v>115</v>
      </c>
      <c r="M924" s="12" t="s">
        <v>43</v>
      </c>
      <c r="N924" s="12" t="s">
        <v>44</v>
      </c>
      <c r="O924" s="12" t="s">
        <v>3845</v>
      </c>
      <c r="P924" s="12" t="s">
        <v>66</v>
      </c>
      <c r="Q924" s="12" t="s">
        <v>67</v>
      </c>
      <c r="R924" s="12" t="s">
        <v>421</v>
      </c>
      <c r="S924" s="13">
        <v>198266020020</v>
      </c>
      <c r="T924" s="12" t="s">
        <v>422</v>
      </c>
      <c r="U924" s="12" t="s">
        <v>179</v>
      </c>
      <c r="V924" s="12" t="s">
        <v>3846</v>
      </c>
      <c r="W924" s="12" t="s">
        <v>175</v>
      </c>
      <c r="X924" s="12" t="s">
        <v>3847</v>
      </c>
      <c r="Y924" s="12" t="s">
        <v>91</v>
      </c>
      <c r="Z924" s="12" t="s">
        <v>54</v>
      </c>
      <c r="AA924" s="12" t="s">
        <v>73</v>
      </c>
      <c r="AB924" s="12" t="s">
        <v>94</v>
      </c>
      <c r="AC924" s="15">
        <v>18.2</v>
      </c>
      <c r="AD924" s="15">
        <f>AC924*AG924</f>
        <v>127.39999999999999</v>
      </c>
      <c r="AE924" s="15">
        <v>40</v>
      </c>
      <c r="AF924" s="15">
        <f>AE924*AG924</f>
        <v>280</v>
      </c>
      <c r="AG924" s="16">
        <v>7</v>
      </c>
    </row>
    <row r="925" spans="1:33" ht="15" customHeight="1" x14ac:dyDescent="0.2">
      <c r="A925" s="11" t="str">
        <f t="shared" ref="A925:A1430" si="401">HYPERLINK("https://assets.vans.eu/images/VN0A3CZEY28-HERO/1","VN0A3CZEY281")</f>
        <v>VN0A3CZEY281</v>
      </c>
      <c r="B925" s="12" t="s">
        <v>3848</v>
      </c>
      <c r="C925" s="12" t="s">
        <v>3849</v>
      </c>
      <c r="D925" s="12" t="s">
        <v>58</v>
      </c>
      <c r="E925" s="12" t="s">
        <v>3850</v>
      </c>
      <c r="F925" s="12" t="s">
        <v>153</v>
      </c>
      <c r="G925" s="14"/>
      <c r="H925" s="12" t="s">
        <v>61</v>
      </c>
      <c r="I925" s="12" t="s">
        <v>230</v>
      </c>
      <c r="J925" s="12" t="s">
        <v>419</v>
      </c>
      <c r="K925" s="12" t="s">
        <v>199</v>
      </c>
      <c r="L925" s="14"/>
      <c r="M925" s="12" t="s">
        <v>43</v>
      </c>
      <c r="N925" s="12" t="s">
        <v>44</v>
      </c>
      <c r="O925" s="12" t="s">
        <v>3851</v>
      </c>
      <c r="P925" s="12" t="s">
        <v>66</v>
      </c>
      <c r="Q925" s="12" t="s">
        <v>67</v>
      </c>
      <c r="R925" s="12" t="s">
        <v>421</v>
      </c>
      <c r="S925" s="13">
        <v>192825010354</v>
      </c>
      <c r="T925" s="12" t="s">
        <v>422</v>
      </c>
      <c r="U925" s="12" t="s">
        <v>153</v>
      </c>
      <c r="V925" s="12" t="s">
        <v>70</v>
      </c>
      <c r="W925" s="12" t="s">
        <v>51</v>
      </c>
      <c r="X925" s="13">
        <v>0</v>
      </c>
      <c r="Y925" s="12" t="s">
        <v>91</v>
      </c>
      <c r="Z925" s="12" t="s">
        <v>108</v>
      </c>
      <c r="AA925" s="13">
        <v>0</v>
      </c>
      <c r="AB925" s="13">
        <v>0</v>
      </c>
      <c r="AC925" s="15">
        <v>10.95</v>
      </c>
      <c r="AD925" s="15">
        <f>AC925*AG925</f>
        <v>76.649999999999991</v>
      </c>
      <c r="AE925" s="15">
        <v>24</v>
      </c>
      <c r="AF925" s="15">
        <f>AE925*AG925</f>
        <v>168</v>
      </c>
      <c r="AG925" s="16">
        <v>7</v>
      </c>
    </row>
    <row r="926" spans="1:33" ht="15" customHeight="1" x14ac:dyDescent="0.2">
      <c r="A926" s="11" t="str">
        <f t="shared" si="226"/>
        <v>VN0A3W76EMY1</v>
      </c>
      <c r="B926" s="12" t="s">
        <v>3852</v>
      </c>
      <c r="C926" s="12" t="s">
        <v>2396</v>
      </c>
      <c r="D926" s="12" t="s">
        <v>1155</v>
      </c>
      <c r="E926" s="12" t="s">
        <v>3853</v>
      </c>
      <c r="F926" s="13">
        <v>4</v>
      </c>
      <c r="G926" s="14"/>
      <c r="H926" s="12" t="s">
        <v>61</v>
      </c>
      <c r="I926" s="12" t="s">
        <v>1340</v>
      </c>
      <c r="J926" s="12" t="s">
        <v>1341</v>
      </c>
      <c r="K926" s="12" t="s">
        <v>64</v>
      </c>
      <c r="L926" s="14"/>
      <c r="M926" s="12" t="s">
        <v>43</v>
      </c>
      <c r="N926" s="12" t="s">
        <v>84</v>
      </c>
      <c r="O926" s="12" t="s">
        <v>3854</v>
      </c>
      <c r="P926" s="12" t="s">
        <v>66</v>
      </c>
      <c r="Q926" s="12" t="s">
        <v>67</v>
      </c>
      <c r="R926" s="12" t="s">
        <v>68</v>
      </c>
      <c r="S926" s="13">
        <v>197804613595</v>
      </c>
      <c r="T926" s="12" t="s">
        <v>422</v>
      </c>
      <c r="U926" s="13">
        <v>4</v>
      </c>
      <c r="V926" s="12" t="s">
        <v>70</v>
      </c>
      <c r="W926" s="12" t="s">
        <v>107</v>
      </c>
      <c r="X926" s="14"/>
      <c r="Y926" s="14"/>
      <c r="Z926" s="14"/>
      <c r="AA926" s="14"/>
      <c r="AB926" s="14"/>
      <c r="AC926" s="15">
        <v>9.1</v>
      </c>
      <c r="AD926" s="15">
        <f>AC926*AG926</f>
        <v>63.699999999999996</v>
      </c>
      <c r="AE926" s="15">
        <v>20</v>
      </c>
      <c r="AF926" s="15">
        <f>AE926*AG926</f>
        <v>140</v>
      </c>
      <c r="AG926" s="16">
        <v>7</v>
      </c>
    </row>
    <row r="927" spans="1:33" ht="15" customHeight="1" x14ac:dyDescent="0.2">
      <c r="A927" s="11" t="str">
        <f>HYPERLINK("https://assets.vans.eu/images/VN0A4MQ35TU-HERO/1","VN0A4MQ35TU1")</f>
        <v>VN0A4MQ35TU1</v>
      </c>
      <c r="B927" s="12" t="s">
        <v>3855</v>
      </c>
      <c r="C927" s="12" t="s">
        <v>1827</v>
      </c>
      <c r="D927" s="12" t="s">
        <v>1356</v>
      </c>
      <c r="E927" s="12" t="s">
        <v>3856</v>
      </c>
      <c r="F927" s="12" t="s">
        <v>403</v>
      </c>
      <c r="G927" s="14"/>
      <c r="H927" s="12" t="s">
        <v>61</v>
      </c>
      <c r="I927" s="12" t="s">
        <v>62</v>
      </c>
      <c r="J927" s="12" t="s">
        <v>63</v>
      </c>
      <c r="K927" s="12" t="s">
        <v>64</v>
      </c>
      <c r="L927" s="12" t="s">
        <v>83</v>
      </c>
      <c r="M927" s="12" t="s">
        <v>43</v>
      </c>
      <c r="N927" s="12" t="s">
        <v>84</v>
      </c>
      <c r="O927" s="12" t="s">
        <v>3857</v>
      </c>
      <c r="P927" s="12" t="s">
        <v>66</v>
      </c>
      <c r="Q927" s="12" t="s">
        <v>67</v>
      </c>
      <c r="R927" s="12" t="s">
        <v>68</v>
      </c>
      <c r="S927" s="13">
        <v>197804299409</v>
      </c>
      <c r="T927" s="12" t="s">
        <v>422</v>
      </c>
      <c r="U927" s="12" t="s">
        <v>403</v>
      </c>
      <c r="V927" s="12" t="s">
        <v>70</v>
      </c>
      <c r="W927" s="12" t="s">
        <v>284</v>
      </c>
      <c r="X927" s="14"/>
      <c r="Y927" s="14"/>
      <c r="Z927" s="14"/>
      <c r="AA927" s="14"/>
      <c r="AB927" s="14"/>
      <c r="AC927" s="15">
        <v>9.1</v>
      </c>
      <c r="AD927" s="15">
        <f>AC927*AG927</f>
        <v>63.699999999999996</v>
      </c>
      <c r="AE927" s="15">
        <v>20</v>
      </c>
      <c r="AF927" s="15">
        <f>AE927*AG927</f>
        <v>140</v>
      </c>
      <c r="AG927" s="16">
        <v>7</v>
      </c>
    </row>
    <row r="928" spans="1:33" ht="15" customHeight="1" x14ac:dyDescent="0.2">
      <c r="A928" s="11" t="str">
        <f>HYPERLINK("https://assets.vans.eu/images/VN0A4MQ35TU-HERO/1","VN0A4MQ35TU1")</f>
        <v>VN0A4MQ35TU1</v>
      </c>
      <c r="B928" s="12" t="s">
        <v>3858</v>
      </c>
      <c r="C928" s="12" t="s">
        <v>1827</v>
      </c>
      <c r="D928" s="12" t="s">
        <v>1356</v>
      </c>
      <c r="E928" s="12" t="s">
        <v>3859</v>
      </c>
      <c r="F928" s="12" t="s">
        <v>60</v>
      </c>
      <c r="G928" s="14"/>
      <c r="H928" s="12" t="s">
        <v>61</v>
      </c>
      <c r="I928" s="12" t="s">
        <v>62</v>
      </c>
      <c r="J928" s="12" t="s">
        <v>63</v>
      </c>
      <c r="K928" s="12" t="s">
        <v>64</v>
      </c>
      <c r="L928" s="12" t="s">
        <v>83</v>
      </c>
      <c r="M928" s="12" t="s">
        <v>43</v>
      </c>
      <c r="N928" s="12" t="s">
        <v>84</v>
      </c>
      <c r="O928" s="12" t="s">
        <v>3860</v>
      </c>
      <c r="P928" s="12" t="s">
        <v>66</v>
      </c>
      <c r="Q928" s="12" t="s">
        <v>67</v>
      </c>
      <c r="R928" s="12" t="s">
        <v>68</v>
      </c>
      <c r="S928" s="13">
        <v>197804299447</v>
      </c>
      <c r="T928" s="12" t="s">
        <v>422</v>
      </c>
      <c r="U928" s="12" t="s">
        <v>60</v>
      </c>
      <c r="V928" s="12" t="s">
        <v>70</v>
      </c>
      <c r="W928" s="12" t="s">
        <v>284</v>
      </c>
      <c r="X928" s="14"/>
      <c r="Y928" s="14"/>
      <c r="Z928" s="14"/>
      <c r="AA928" s="14"/>
      <c r="AB928" s="14"/>
      <c r="AC928" s="15">
        <v>9.1</v>
      </c>
      <c r="AD928" s="15">
        <f>AC928*AG928</f>
        <v>63.699999999999996</v>
      </c>
      <c r="AE928" s="15">
        <v>20</v>
      </c>
      <c r="AF928" s="15">
        <f>AE928*AG928</f>
        <v>140</v>
      </c>
      <c r="AG928" s="16">
        <v>7</v>
      </c>
    </row>
    <row r="929" spans="1:33" ht="15" customHeight="1" x14ac:dyDescent="0.2">
      <c r="A929" s="11" t="str">
        <f>HYPERLINK("https://assets.vans.eu/images/VN000H56ENA-HERO/1","VN000H56ENA1")</f>
        <v>VN000H56ENA1</v>
      </c>
      <c r="B929" s="12" t="s">
        <v>3861</v>
      </c>
      <c r="C929" s="12" t="s">
        <v>3862</v>
      </c>
      <c r="D929" s="12" t="s">
        <v>280</v>
      </c>
      <c r="E929" s="12" t="s">
        <v>3863</v>
      </c>
      <c r="F929" s="12" t="s">
        <v>78</v>
      </c>
      <c r="G929" s="14"/>
      <c r="H929" s="12" t="s">
        <v>441</v>
      </c>
      <c r="I929" s="12" t="s">
        <v>3864</v>
      </c>
      <c r="J929" s="12" t="s">
        <v>3865</v>
      </c>
      <c r="K929" s="12" t="s">
        <v>41</v>
      </c>
      <c r="L929" s="14"/>
      <c r="M929" s="12" t="s">
        <v>43</v>
      </c>
      <c r="N929" s="12" t="s">
        <v>84</v>
      </c>
      <c r="O929" s="12" t="s">
        <v>3866</v>
      </c>
      <c r="P929" s="12" t="s">
        <v>445</v>
      </c>
      <c r="Q929" s="12" t="s">
        <v>3867</v>
      </c>
      <c r="R929" s="12" t="s">
        <v>3868</v>
      </c>
      <c r="S929" s="13">
        <v>197804384723</v>
      </c>
      <c r="T929" s="12" t="s">
        <v>130</v>
      </c>
      <c r="U929" s="12" t="s">
        <v>78</v>
      </c>
      <c r="V929" s="12" t="s">
        <v>3869</v>
      </c>
      <c r="W929" s="12" t="s">
        <v>284</v>
      </c>
      <c r="X929" s="14"/>
      <c r="Y929" s="14"/>
      <c r="Z929" s="14"/>
      <c r="AA929" s="14"/>
      <c r="AB929" s="14"/>
      <c r="AC929" s="15">
        <v>17.3</v>
      </c>
      <c r="AD929" s="15">
        <f>AC929*AG929</f>
        <v>121.10000000000001</v>
      </c>
      <c r="AE929" s="15">
        <v>38</v>
      </c>
      <c r="AF929" s="15">
        <f>AE929*AG929</f>
        <v>266</v>
      </c>
      <c r="AG929" s="16">
        <v>7</v>
      </c>
    </row>
    <row r="930" spans="1:33" ht="15" customHeight="1" x14ac:dyDescent="0.2">
      <c r="A930" s="11" t="str">
        <f>HYPERLINK("https://assets.vans.eu/images/VN000M7MBLK-HERO/1","VN000M7MBLK1")</f>
        <v>VN000M7MBLK1</v>
      </c>
      <c r="B930" s="12" t="s">
        <v>3870</v>
      </c>
      <c r="C930" s="12" t="s">
        <v>3871</v>
      </c>
      <c r="D930" s="12" t="s">
        <v>76</v>
      </c>
      <c r="E930" s="12" t="s">
        <v>3872</v>
      </c>
      <c r="F930" s="12" t="s">
        <v>78</v>
      </c>
      <c r="G930" s="14"/>
      <c r="H930" s="12" t="s">
        <v>441</v>
      </c>
      <c r="I930" s="12" t="s">
        <v>442</v>
      </c>
      <c r="J930" s="12" t="s">
        <v>1291</v>
      </c>
      <c r="K930" s="12" t="s">
        <v>82</v>
      </c>
      <c r="L930" s="14"/>
      <c r="M930" s="12" t="s">
        <v>43</v>
      </c>
      <c r="N930" s="12" t="s">
        <v>44</v>
      </c>
      <c r="O930" s="12" t="s">
        <v>3873</v>
      </c>
      <c r="P930" s="12" t="s">
        <v>445</v>
      </c>
      <c r="Q930" s="12" t="s">
        <v>446</v>
      </c>
      <c r="R930" s="12" t="s">
        <v>1293</v>
      </c>
      <c r="S930" s="13">
        <v>197643467250</v>
      </c>
      <c r="T930" s="12" t="s">
        <v>105</v>
      </c>
      <c r="U930" s="12" t="s">
        <v>78</v>
      </c>
      <c r="V930" s="12" t="s">
        <v>3874</v>
      </c>
      <c r="W930" s="12" t="s">
        <v>51</v>
      </c>
      <c r="X930" s="13">
        <v>0</v>
      </c>
      <c r="Y930" s="12" t="s">
        <v>91</v>
      </c>
      <c r="Z930" s="12" t="s">
        <v>108</v>
      </c>
      <c r="AA930" s="13">
        <v>0</v>
      </c>
      <c r="AB930" s="13">
        <v>0</v>
      </c>
      <c r="AC930" s="15">
        <v>29.55</v>
      </c>
      <c r="AD930" s="15">
        <f>AC930*AG930</f>
        <v>206.85</v>
      </c>
      <c r="AE930" s="15">
        <v>65</v>
      </c>
      <c r="AF930" s="15">
        <f>AE930*AG930</f>
        <v>455</v>
      </c>
      <c r="AG930" s="16">
        <v>7</v>
      </c>
    </row>
    <row r="931" spans="1:33" ht="15" customHeight="1" x14ac:dyDescent="0.2">
      <c r="A931" s="11" t="str">
        <f>HYPERLINK("https://assets.vans.eu/images/VN000M7MEMJ-HERO/1","VN000M7MEMJ1")</f>
        <v>VN000M7MEMJ1</v>
      </c>
      <c r="B931" s="12" t="s">
        <v>3875</v>
      </c>
      <c r="C931" s="12" t="s">
        <v>3871</v>
      </c>
      <c r="D931" s="12" t="s">
        <v>768</v>
      </c>
      <c r="E931" s="12" t="s">
        <v>3876</v>
      </c>
      <c r="F931" s="12" t="s">
        <v>78</v>
      </c>
      <c r="G931" s="14"/>
      <c r="H931" s="12" t="s">
        <v>441</v>
      </c>
      <c r="I931" s="12" t="s">
        <v>442</v>
      </c>
      <c r="J931" s="12" t="s">
        <v>1291</v>
      </c>
      <c r="K931" s="12" t="s">
        <v>82</v>
      </c>
      <c r="L931" s="14"/>
      <c r="M931" s="12" t="s">
        <v>43</v>
      </c>
      <c r="N931" s="12" t="s">
        <v>84</v>
      </c>
      <c r="O931" s="12" t="s">
        <v>3877</v>
      </c>
      <c r="P931" s="12" t="s">
        <v>445</v>
      </c>
      <c r="Q931" s="12" t="s">
        <v>446</v>
      </c>
      <c r="R931" s="12" t="s">
        <v>1293</v>
      </c>
      <c r="S931" s="13">
        <v>197804386970</v>
      </c>
      <c r="T931" s="12" t="s">
        <v>130</v>
      </c>
      <c r="U931" s="12" t="s">
        <v>78</v>
      </c>
      <c r="V931" s="12" t="s">
        <v>3219</v>
      </c>
      <c r="W931" s="12" t="s">
        <v>625</v>
      </c>
      <c r="X931" s="14"/>
      <c r="Y931" s="14"/>
      <c r="Z931" s="14"/>
      <c r="AA931" s="14"/>
      <c r="AB931" s="14"/>
      <c r="AC931" s="15">
        <v>29.55</v>
      </c>
      <c r="AD931" s="15">
        <f>AC931*AG931</f>
        <v>206.85</v>
      </c>
      <c r="AE931" s="15">
        <v>65</v>
      </c>
      <c r="AF931" s="15">
        <f>AE931*AG931</f>
        <v>455</v>
      </c>
      <c r="AG931" s="16">
        <v>7</v>
      </c>
    </row>
    <row r="932" spans="1:33" ht="15" customHeight="1" x14ac:dyDescent="0.2">
      <c r="A932" s="11" t="str">
        <f t="shared" si="136"/>
        <v>VN000CMXN1Z1</v>
      </c>
      <c r="B932" s="12" t="s">
        <v>3878</v>
      </c>
      <c r="C932" s="12" t="s">
        <v>309</v>
      </c>
      <c r="D932" s="12" t="s">
        <v>1656</v>
      </c>
      <c r="E932" s="12" t="s">
        <v>3879</v>
      </c>
      <c r="F932" s="13">
        <v>80</v>
      </c>
      <c r="G932" s="12" t="s">
        <v>1658</v>
      </c>
      <c r="H932" s="12" t="s">
        <v>38</v>
      </c>
      <c r="I932" s="12" t="s">
        <v>159</v>
      </c>
      <c r="J932" s="12" t="s">
        <v>160</v>
      </c>
      <c r="K932" s="12" t="s">
        <v>82</v>
      </c>
      <c r="L932" s="14"/>
      <c r="M932" s="12" t="s">
        <v>43</v>
      </c>
      <c r="N932" s="12" t="s">
        <v>84</v>
      </c>
      <c r="O932" s="12" t="s">
        <v>3880</v>
      </c>
      <c r="P932" s="12" t="s">
        <v>46</v>
      </c>
      <c r="Q932" s="12" t="s">
        <v>47</v>
      </c>
      <c r="R932" s="12" t="s">
        <v>1660</v>
      </c>
      <c r="S932" s="13">
        <v>197065634858</v>
      </c>
      <c r="T932" s="12" t="s">
        <v>164</v>
      </c>
      <c r="U932" s="13">
        <v>40.5</v>
      </c>
      <c r="V932" s="12" t="s">
        <v>50</v>
      </c>
      <c r="W932" s="12" t="s">
        <v>186</v>
      </c>
      <c r="X932" s="14"/>
      <c r="Y932" s="12" t="s">
        <v>91</v>
      </c>
      <c r="Z932" s="12" t="s">
        <v>165</v>
      </c>
      <c r="AA932" s="14"/>
      <c r="AB932" s="14"/>
      <c r="AC932" s="15">
        <v>47.75</v>
      </c>
      <c r="AD932" s="15">
        <f>AC932*AG932</f>
        <v>334.25</v>
      </c>
      <c r="AE932" s="15">
        <v>105</v>
      </c>
      <c r="AF932" s="15">
        <f>AE932*AG932</f>
        <v>735</v>
      </c>
      <c r="AG932" s="16">
        <v>7</v>
      </c>
    </row>
    <row r="933" spans="1:33" ht="15" customHeight="1" x14ac:dyDescent="0.2">
      <c r="A933" s="11" t="str">
        <f t="shared" ref="A933:A1060" si="402">HYPERLINK("https://assets.vans.eu/images/VN000CQRBO5-HERO/1","VN000CQRBO51")</f>
        <v>VN000CQRBO51</v>
      </c>
      <c r="B933" s="12" t="s">
        <v>3881</v>
      </c>
      <c r="C933" s="12" t="s">
        <v>1458</v>
      </c>
      <c r="D933" s="12" t="s">
        <v>2835</v>
      </c>
      <c r="E933" s="12" t="s">
        <v>3882</v>
      </c>
      <c r="F933" s="13">
        <v>50</v>
      </c>
      <c r="G933" s="14"/>
      <c r="H933" s="12" t="s">
        <v>38</v>
      </c>
      <c r="I933" s="12" t="s">
        <v>113</v>
      </c>
      <c r="J933" s="12" t="s">
        <v>529</v>
      </c>
      <c r="K933" s="12" t="s">
        <v>82</v>
      </c>
      <c r="L933" s="14"/>
      <c r="M933" s="12" t="s">
        <v>43</v>
      </c>
      <c r="N933" s="12" t="s">
        <v>84</v>
      </c>
      <c r="O933" s="12" t="s">
        <v>3883</v>
      </c>
      <c r="P933" s="12" t="s">
        <v>46</v>
      </c>
      <c r="Q933" s="12" t="s">
        <v>47</v>
      </c>
      <c r="R933" s="12" t="s">
        <v>117</v>
      </c>
      <c r="S933" s="13">
        <v>196575346534</v>
      </c>
      <c r="T933" s="12" t="s">
        <v>105</v>
      </c>
      <c r="U933" s="13">
        <v>36.5</v>
      </c>
      <c r="V933" s="12" t="s">
        <v>50</v>
      </c>
      <c r="W933" s="12" t="s">
        <v>598</v>
      </c>
      <c r="X933" s="14"/>
      <c r="Y933" s="12" t="s">
        <v>53</v>
      </c>
      <c r="Z933" s="12" t="s">
        <v>3884</v>
      </c>
      <c r="AA933" s="14"/>
      <c r="AB933" s="14"/>
      <c r="AC933" s="15">
        <v>43.2</v>
      </c>
      <c r="AD933" s="15">
        <f>AC933*AG933</f>
        <v>302.40000000000003</v>
      </c>
      <c r="AE933" s="15">
        <v>95</v>
      </c>
      <c r="AF933" s="15">
        <f>AE933*AG933</f>
        <v>665</v>
      </c>
      <c r="AG933" s="16">
        <v>7</v>
      </c>
    </row>
    <row r="934" spans="1:33" ht="15" customHeight="1" x14ac:dyDescent="0.2">
      <c r="A934" s="11" t="str">
        <f t="shared" ref="A934:A1453" si="403">HYPERLINK("https://assets.vans.eu/images/VN000CRRBJ4-HERO/1","VN000CRRBJ41")</f>
        <v>VN000CRRBJ41</v>
      </c>
      <c r="B934" s="12" t="s">
        <v>3885</v>
      </c>
      <c r="C934" s="12" t="s">
        <v>2125</v>
      </c>
      <c r="D934" s="12" t="s">
        <v>3886</v>
      </c>
      <c r="E934" s="12" t="s">
        <v>3887</v>
      </c>
      <c r="F934" s="13">
        <v>70</v>
      </c>
      <c r="G934" s="14"/>
      <c r="H934" s="12" t="s">
        <v>38</v>
      </c>
      <c r="I934" s="12" t="s">
        <v>113</v>
      </c>
      <c r="J934" s="12" t="s">
        <v>529</v>
      </c>
      <c r="K934" s="12" t="s">
        <v>82</v>
      </c>
      <c r="L934" s="14"/>
      <c r="M934" s="12" t="s">
        <v>43</v>
      </c>
      <c r="N934" s="12" t="s">
        <v>84</v>
      </c>
      <c r="O934" s="12" t="s">
        <v>3888</v>
      </c>
      <c r="P934" s="12" t="s">
        <v>46</v>
      </c>
      <c r="Q934" s="12" t="s">
        <v>47</v>
      </c>
      <c r="R934" s="12" t="s">
        <v>117</v>
      </c>
      <c r="S934" s="13">
        <v>197064653539</v>
      </c>
      <c r="T934" s="12" t="s">
        <v>49</v>
      </c>
      <c r="U934" s="13">
        <v>39</v>
      </c>
      <c r="V934" s="12" t="s">
        <v>209</v>
      </c>
      <c r="W934" s="12" t="s">
        <v>51</v>
      </c>
      <c r="X934" s="14"/>
      <c r="Y934" s="12" t="s">
        <v>91</v>
      </c>
      <c r="Z934" s="12" t="s">
        <v>165</v>
      </c>
      <c r="AA934" s="14"/>
      <c r="AB934" s="14"/>
      <c r="AC934" s="15">
        <v>34.1</v>
      </c>
      <c r="AD934" s="15">
        <f>AC934*AG934</f>
        <v>238.70000000000002</v>
      </c>
      <c r="AE934" s="15">
        <v>75</v>
      </c>
      <c r="AF934" s="15">
        <f>AE934*AG934</f>
        <v>525</v>
      </c>
      <c r="AG934" s="16">
        <v>7</v>
      </c>
    </row>
    <row r="935" spans="1:33" ht="15" customHeight="1" x14ac:dyDescent="0.2">
      <c r="A935" s="11" t="str">
        <f t="shared" ref="A935:A1218" si="404">HYPERLINK("https://assets.vans.eu/images/VN000CRRCJJ-HERO/1","VN000CRRCJJ1")</f>
        <v>VN000CRRCJJ1</v>
      </c>
      <c r="B935" s="12" t="s">
        <v>3889</v>
      </c>
      <c r="C935" s="12" t="s">
        <v>2125</v>
      </c>
      <c r="D935" s="12" t="s">
        <v>919</v>
      </c>
      <c r="E935" s="12" t="s">
        <v>3890</v>
      </c>
      <c r="F935" s="13">
        <v>35</v>
      </c>
      <c r="G935" s="12" t="s">
        <v>3891</v>
      </c>
      <c r="H935" s="12" t="s">
        <v>38</v>
      </c>
      <c r="I935" s="12" t="s">
        <v>113</v>
      </c>
      <c r="J935" s="12" t="s">
        <v>529</v>
      </c>
      <c r="K935" s="12" t="s">
        <v>82</v>
      </c>
      <c r="L935" s="14"/>
      <c r="M935" s="12" t="s">
        <v>43</v>
      </c>
      <c r="N935" s="12" t="s">
        <v>44</v>
      </c>
      <c r="O935" s="12" t="s">
        <v>3892</v>
      </c>
      <c r="P935" s="12" t="s">
        <v>46</v>
      </c>
      <c r="Q935" s="12" t="s">
        <v>47</v>
      </c>
      <c r="R935" s="12" t="s">
        <v>117</v>
      </c>
      <c r="S935" s="13">
        <v>197643238881</v>
      </c>
      <c r="T935" s="12" t="s">
        <v>49</v>
      </c>
      <c r="U935" s="13">
        <v>34.5</v>
      </c>
      <c r="V935" s="12" t="s">
        <v>50</v>
      </c>
      <c r="W935" s="12" t="s">
        <v>51</v>
      </c>
      <c r="X935" s="14"/>
      <c r="Y935" s="12" t="s">
        <v>53</v>
      </c>
      <c r="Z935" s="12" t="s">
        <v>263</v>
      </c>
      <c r="AA935" s="14"/>
      <c r="AB935" s="14"/>
      <c r="AC935" s="15">
        <v>38.65</v>
      </c>
      <c r="AD935" s="15">
        <f>AC935*AG935</f>
        <v>270.55</v>
      </c>
      <c r="AE935" s="15">
        <v>85</v>
      </c>
      <c r="AF935" s="15">
        <f>AE935*AG935</f>
        <v>595</v>
      </c>
      <c r="AG935" s="16">
        <v>7</v>
      </c>
    </row>
    <row r="936" spans="1:33" ht="15" customHeight="1" x14ac:dyDescent="0.2">
      <c r="A936" s="11" t="str">
        <f>HYPERLINK("https://assets.vans.eu/images/VN000CS0CX2-HERO/1","VN000CS0CX21")</f>
        <v>VN000CS0CX21</v>
      </c>
      <c r="B936" s="12" t="s">
        <v>3893</v>
      </c>
      <c r="C936" s="12" t="s">
        <v>110</v>
      </c>
      <c r="D936" s="12" t="s">
        <v>3894</v>
      </c>
      <c r="E936" s="12" t="s">
        <v>3895</v>
      </c>
      <c r="F936" s="13">
        <v>95</v>
      </c>
      <c r="G936" s="14"/>
      <c r="H936" s="12" t="s">
        <v>38</v>
      </c>
      <c r="I936" s="12" t="s">
        <v>159</v>
      </c>
      <c r="J936" s="12" t="s">
        <v>160</v>
      </c>
      <c r="K936" s="12" t="s">
        <v>82</v>
      </c>
      <c r="L936" s="14"/>
      <c r="M936" s="12" t="s">
        <v>43</v>
      </c>
      <c r="N936" s="12" t="s">
        <v>84</v>
      </c>
      <c r="O936" s="12" t="s">
        <v>3896</v>
      </c>
      <c r="P936" s="12" t="s">
        <v>46</v>
      </c>
      <c r="Q936" s="12" t="s">
        <v>47</v>
      </c>
      <c r="R936" s="12" t="s">
        <v>163</v>
      </c>
      <c r="S936" s="13">
        <v>197065547165</v>
      </c>
      <c r="T936" s="12" t="s">
        <v>164</v>
      </c>
      <c r="U936" s="13">
        <v>42.5</v>
      </c>
      <c r="V936" s="12" t="s">
        <v>50</v>
      </c>
      <c r="W936" s="12" t="s">
        <v>118</v>
      </c>
      <c r="X936" s="14"/>
      <c r="Y936" s="12" t="s">
        <v>53</v>
      </c>
      <c r="Z936" s="12" t="s">
        <v>165</v>
      </c>
      <c r="AA936" s="14"/>
      <c r="AB936" s="14"/>
      <c r="AC936" s="15">
        <v>45.5</v>
      </c>
      <c r="AD936" s="15">
        <f>AC936*AG936</f>
        <v>318.5</v>
      </c>
      <c r="AE936" s="15">
        <v>100</v>
      </c>
      <c r="AF936" s="15">
        <f>AE936*AG936</f>
        <v>700</v>
      </c>
      <c r="AG936" s="16">
        <v>7</v>
      </c>
    </row>
    <row r="937" spans="1:33" ht="15" customHeight="1" x14ac:dyDescent="0.2">
      <c r="A937" s="11" t="str">
        <f t="shared" ref="A937:A1062" si="405">HYPERLINK("https://assets.vans.eu/images/VN000CTG448-HERO/1","VN000CTG4481")</f>
        <v>VN000CTG4481</v>
      </c>
      <c r="B937" s="12" t="s">
        <v>3897</v>
      </c>
      <c r="C937" s="12" t="s">
        <v>238</v>
      </c>
      <c r="D937" s="12" t="s">
        <v>3898</v>
      </c>
      <c r="E937" s="12" t="s">
        <v>3899</v>
      </c>
      <c r="F937" s="13">
        <v>75</v>
      </c>
      <c r="G937" s="12" t="s">
        <v>3900</v>
      </c>
      <c r="H937" s="12" t="s">
        <v>38</v>
      </c>
      <c r="I937" s="12" t="s">
        <v>242</v>
      </c>
      <c r="J937" s="12" t="s">
        <v>243</v>
      </c>
      <c r="K937" s="12" t="s">
        <v>244</v>
      </c>
      <c r="L937" s="14"/>
      <c r="M937" s="12" t="s">
        <v>43</v>
      </c>
      <c r="N937" s="12" t="s">
        <v>84</v>
      </c>
      <c r="O937" s="12" t="s">
        <v>3901</v>
      </c>
      <c r="P937" s="12" t="s">
        <v>46</v>
      </c>
      <c r="Q937" s="12" t="s">
        <v>47</v>
      </c>
      <c r="R937" s="12" t="s">
        <v>48</v>
      </c>
      <c r="S937" s="13">
        <v>197804670574</v>
      </c>
      <c r="T937" s="12" t="s">
        <v>49</v>
      </c>
      <c r="U937" s="13">
        <v>24</v>
      </c>
      <c r="V937" s="12" t="s">
        <v>50</v>
      </c>
      <c r="W937" s="12" t="s">
        <v>175</v>
      </c>
      <c r="X937" s="14"/>
      <c r="Y937" s="14"/>
      <c r="Z937" s="14"/>
      <c r="AA937" s="14"/>
      <c r="AB937" s="14"/>
      <c r="AC937" s="15">
        <v>20.5</v>
      </c>
      <c r="AD937" s="15">
        <f>AC937*AG937</f>
        <v>143.5</v>
      </c>
      <c r="AE937" s="15">
        <v>45</v>
      </c>
      <c r="AF937" s="15">
        <f>AE937*AG937</f>
        <v>315</v>
      </c>
      <c r="AG937" s="16">
        <v>7</v>
      </c>
    </row>
    <row r="938" spans="1:33" ht="15" customHeight="1" x14ac:dyDescent="0.2">
      <c r="A938" s="11" t="str">
        <f t="shared" ref="A938:A1065" si="406">HYPERLINK("https://assets.vans.eu/images/VN000CVVYZO-HERO/1","VN000CVVYZO1")</f>
        <v>VN000CVVYZO1</v>
      </c>
      <c r="B938" s="12" t="s">
        <v>3902</v>
      </c>
      <c r="C938" s="12" t="s">
        <v>2407</v>
      </c>
      <c r="D938" s="12" t="s">
        <v>3903</v>
      </c>
      <c r="E938" s="12" t="s">
        <v>3904</v>
      </c>
      <c r="F938" s="13">
        <v>50</v>
      </c>
      <c r="G938" s="14"/>
      <c r="H938" s="12" t="s">
        <v>38</v>
      </c>
      <c r="I938" s="12" t="s">
        <v>113</v>
      </c>
      <c r="J938" s="12" t="s">
        <v>529</v>
      </c>
      <c r="K938" s="12" t="s">
        <v>82</v>
      </c>
      <c r="L938" s="14"/>
      <c r="M938" s="12" t="s">
        <v>43</v>
      </c>
      <c r="N938" s="12" t="s">
        <v>161</v>
      </c>
      <c r="O938" s="12" t="s">
        <v>3905</v>
      </c>
      <c r="P938" s="12" t="s">
        <v>46</v>
      </c>
      <c r="Q938" s="12" t="s">
        <v>47</v>
      </c>
      <c r="R938" s="12" t="s">
        <v>117</v>
      </c>
      <c r="S938" s="13">
        <v>197065573553</v>
      </c>
      <c r="T938" s="12" t="s">
        <v>49</v>
      </c>
      <c r="U938" s="13">
        <v>36.5</v>
      </c>
      <c r="V938" s="12" t="s">
        <v>278</v>
      </c>
      <c r="W938" s="12" t="s">
        <v>598</v>
      </c>
      <c r="X938" s="14"/>
      <c r="Y938" s="12" t="s">
        <v>91</v>
      </c>
      <c r="Z938" s="12" t="s">
        <v>165</v>
      </c>
      <c r="AA938" s="14"/>
      <c r="AB938" s="14"/>
      <c r="AC938" s="15">
        <v>68.2</v>
      </c>
      <c r="AD938" s="15">
        <f>AC938*AG938</f>
        <v>477.40000000000003</v>
      </c>
      <c r="AE938" s="15">
        <v>150</v>
      </c>
      <c r="AF938" s="15">
        <f>AE938*AG938</f>
        <v>1050</v>
      </c>
      <c r="AG938" s="16">
        <v>7</v>
      </c>
    </row>
    <row r="939" spans="1:33" ht="15" customHeight="1" x14ac:dyDescent="0.2">
      <c r="A939" s="11" t="str">
        <f>HYPERLINK("https://assets.vans.eu/images/VN000CWECRM-HERO/1","VN000CWECRM1")</f>
        <v>VN000CWECRM1</v>
      </c>
      <c r="B939" s="12" t="s">
        <v>3906</v>
      </c>
      <c r="C939" s="12" t="s">
        <v>1248</v>
      </c>
      <c r="D939" s="12" t="s">
        <v>2783</v>
      </c>
      <c r="E939" s="12" t="s">
        <v>3907</v>
      </c>
      <c r="F939" s="13">
        <v>50</v>
      </c>
      <c r="G939" s="14"/>
      <c r="H939" s="12" t="s">
        <v>38</v>
      </c>
      <c r="I939" s="12" t="s">
        <v>113</v>
      </c>
      <c r="J939" s="12" t="s">
        <v>529</v>
      </c>
      <c r="K939" s="12" t="s">
        <v>82</v>
      </c>
      <c r="L939" s="14"/>
      <c r="M939" s="12" t="s">
        <v>43</v>
      </c>
      <c r="N939" s="12" t="s">
        <v>44</v>
      </c>
      <c r="O939" s="12" t="s">
        <v>3908</v>
      </c>
      <c r="P939" s="12" t="s">
        <v>46</v>
      </c>
      <c r="Q939" s="12" t="s">
        <v>47</v>
      </c>
      <c r="R939" s="12" t="s">
        <v>117</v>
      </c>
      <c r="S939" s="13">
        <v>197643250302</v>
      </c>
      <c r="T939" s="12" t="s">
        <v>105</v>
      </c>
      <c r="U939" s="13">
        <v>36.5</v>
      </c>
      <c r="V939" s="12" t="s">
        <v>50</v>
      </c>
      <c r="W939" s="12" t="s">
        <v>580</v>
      </c>
      <c r="X939" s="14"/>
      <c r="Y939" s="12" t="s">
        <v>91</v>
      </c>
      <c r="Z939" s="12" t="s">
        <v>165</v>
      </c>
      <c r="AA939" s="14"/>
      <c r="AB939" s="14"/>
      <c r="AC939" s="15">
        <v>59.1</v>
      </c>
      <c r="AD939" s="15">
        <f>AC939*AG939</f>
        <v>413.7</v>
      </c>
      <c r="AE939" s="15">
        <v>130</v>
      </c>
      <c r="AF939" s="15">
        <f>AE939*AG939</f>
        <v>910</v>
      </c>
      <c r="AG939" s="16">
        <v>7</v>
      </c>
    </row>
    <row r="940" spans="1:33" ht="15" customHeight="1" x14ac:dyDescent="0.2">
      <c r="A940" s="11" t="str">
        <f t="shared" ref="A940:A3978" si="407">HYPERLINK("https://assets.vans.eu/images/VN000CYA7VF-HERO/1","VN000CYA7VF1")</f>
        <v>VN000CYA7VF1</v>
      </c>
      <c r="B940" s="12" t="s">
        <v>3909</v>
      </c>
      <c r="C940" s="12" t="s">
        <v>238</v>
      </c>
      <c r="D940" s="12" t="s">
        <v>641</v>
      </c>
      <c r="E940" s="12" t="s">
        <v>3910</v>
      </c>
      <c r="F940" s="13">
        <v>30</v>
      </c>
      <c r="G940" s="12" t="s">
        <v>643</v>
      </c>
      <c r="H940" s="12" t="s">
        <v>38</v>
      </c>
      <c r="I940" s="12" t="s">
        <v>39</v>
      </c>
      <c r="J940" s="12" t="s">
        <v>40</v>
      </c>
      <c r="K940" s="12" t="s">
        <v>41</v>
      </c>
      <c r="L940" s="14"/>
      <c r="M940" s="12" t="s">
        <v>43</v>
      </c>
      <c r="N940" s="12" t="s">
        <v>84</v>
      </c>
      <c r="O940" s="12" t="s">
        <v>3911</v>
      </c>
      <c r="P940" s="12" t="s">
        <v>46</v>
      </c>
      <c r="Q940" s="12" t="s">
        <v>47</v>
      </c>
      <c r="R940" s="12" t="s">
        <v>48</v>
      </c>
      <c r="S940" s="13">
        <v>197804514809</v>
      </c>
      <c r="T940" s="12" t="s">
        <v>49</v>
      </c>
      <c r="U940" s="13">
        <v>34</v>
      </c>
      <c r="V940" s="12" t="s">
        <v>278</v>
      </c>
      <c r="W940" s="12" t="s">
        <v>455</v>
      </c>
      <c r="X940" s="14"/>
      <c r="Y940" s="14"/>
      <c r="Z940" s="14"/>
      <c r="AA940" s="14"/>
      <c r="AB940" s="14"/>
      <c r="AC940" s="15">
        <v>29.55</v>
      </c>
      <c r="AD940" s="15">
        <f>AC940*AG940</f>
        <v>206.85</v>
      </c>
      <c r="AE940" s="15">
        <v>65</v>
      </c>
      <c r="AF940" s="15">
        <f>AE940*AG940</f>
        <v>455</v>
      </c>
      <c r="AG940" s="16">
        <v>7</v>
      </c>
    </row>
    <row r="941" spans="1:33" ht="15" customHeight="1" x14ac:dyDescent="0.2">
      <c r="A941" s="11" t="str">
        <f t="shared" ref="A941:A1239" si="408">HYPERLINK("https://assets.vans.eu/images/VN000CZ7RV2-HERO/1","VN000CZ7RV21")</f>
        <v>VN000CZ7RV21</v>
      </c>
      <c r="B941" s="12" t="s">
        <v>3912</v>
      </c>
      <c r="C941" s="12" t="s">
        <v>2412</v>
      </c>
      <c r="D941" s="12" t="s">
        <v>1428</v>
      </c>
      <c r="E941" s="12" t="s">
        <v>3913</v>
      </c>
      <c r="F941" s="13">
        <v>25</v>
      </c>
      <c r="G941" s="14"/>
      <c r="H941" s="12" t="s">
        <v>38</v>
      </c>
      <c r="I941" s="12" t="s">
        <v>39</v>
      </c>
      <c r="J941" s="12" t="s">
        <v>40</v>
      </c>
      <c r="K941" s="12" t="s">
        <v>41</v>
      </c>
      <c r="L941" s="14"/>
      <c r="M941" s="12" t="s">
        <v>43</v>
      </c>
      <c r="N941" s="12" t="s">
        <v>84</v>
      </c>
      <c r="O941" s="12" t="s">
        <v>3914</v>
      </c>
      <c r="P941" s="12" t="s">
        <v>46</v>
      </c>
      <c r="Q941" s="12" t="s">
        <v>47</v>
      </c>
      <c r="R941" s="12" t="s">
        <v>313</v>
      </c>
      <c r="S941" s="13">
        <v>197804519293</v>
      </c>
      <c r="T941" s="12" t="s">
        <v>164</v>
      </c>
      <c r="U941" s="13">
        <v>33</v>
      </c>
      <c r="V941" s="12" t="s">
        <v>50</v>
      </c>
      <c r="W941" s="12" t="s">
        <v>51</v>
      </c>
      <c r="X941" s="14"/>
      <c r="Y941" s="14"/>
      <c r="Z941" s="14"/>
      <c r="AA941" s="14"/>
      <c r="AB941" s="14"/>
      <c r="AC941" s="15">
        <v>27.3</v>
      </c>
      <c r="AD941" s="15">
        <f>AC941*AG941</f>
        <v>191.1</v>
      </c>
      <c r="AE941" s="15">
        <v>60</v>
      </c>
      <c r="AF941" s="15">
        <f>AE941*AG941</f>
        <v>420</v>
      </c>
      <c r="AG941" s="16">
        <v>7</v>
      </c>
    </row>
    <row r="942" spans="1:33" ht="15" customHeight="1" x14ac:dyDescent="0.2">
      <c r="A942" s="11" t="str">
        <f t="shared" ref="A942:A4018" si="409">HYPERLINK("https://assets.vans.eu/images/VN000CZHPRM-HERO/1","VN000CZHPRM1")</f>
        <v>VN000CZHPRM1</v>
      </c>
      <c r="B942" s="12" t="s">
        <v>3915</v>
      </c>
      <c r="C942" s="12" t="s">
        <v>3916</v>
      </c>
      <c r="D942" s="12" t="s">
        <v>3917</v>
      </c>
      <c r="E942" s="12" t="s">
        <v>3918</v>
      </c>
      <c r="F942" s="13">
        <v>85</v>
      </c>
      <c r="G942" s="12" t="s">
        <v>3919</v>
      </c>
      <c r="H942" s="12" t="s">
        <v>38</v>
      </c>
      <c r="I942" s="12" t="s">
        <v>159</v>
      </c>
      <c r="J942" s="12" t="s">
        <v>160</v>
      </c>
      <c r="K942" s="12" t="s">
        <v>199</v>
      </c>
      <c r="L942" s="12" t="s">
        <v>350</v>
      </c>
      <c r="M942" s="12" t="s">
        <v>43</v>
      </c>
      <c r="N942" s="12" t="s">
        <v>84</v>
      </c>
      <c r="O942" s="12" t="s">
        <v>3920</v>
      </c>
      <c r="P942" s="12" t="s">
        <v>46</v>
      </c>
      <c r="Q942" s="12" t="s">
        <v>47</v>
      </c>
      <c r="R942" s="12" t="s">
        <v>1660</v>
      </c>
      <c r="S942" s="13">
        <v>197065592998</v>
      </c>
      <c r="T942" s="12" t="s">
        <v>49</v>
      </c>
      <c r="U942" s="13">
        <v>41</v>
      </c>
      <c r="V942" s="12" t="s">
        <v>50</v>
      </c>
      <c r="W942" s="12" t="s">
        <v>51</v>
      </c>
      <c r="X942" s="14"/>
      <c r="Y942" s="12" t="s">
        <v>71</v>
      </c>
      <c r="Z942" s="12" t="s">
        <v>376</v>
      </c>
      <c r="AA942" s="14"/>
      <c r="AB942" s="14"/>
      <c r="AC942" s="15">
        <v>45.25</v>
      </c>
      <c r="AD942" s="15">
        <f>AC942*AG942</f>
        <v>316.75</v>
      </c>
      <c r="AE942" s="15">
        <v>95</v>
      </c>
      <c r="AF942" s="15">
        <f>AE942*AG942</f>
        <v>665</v>
      </c>
      <c r="AG942" s="16">
        <v>7</v>
      </c>
    </row>
    <row r="943" spans="1:33" ht="15" customHeight="1" x14ac:dyDescent="0.2">
      <c r="A943" s="11" t="str">
        <f t="shared" si="305"/>
        <v>VN000D0HBZW1</v>
      </c>
      <c r="B943" s="12" t="s">
        <v>3921</v>
      </c>
      <c r="C943" s="12" t="s">
        <v>1108</v>
      </c>
      <c r="D943" s="12" t="s">
        <v>58</v>
      </c>
      <c r="E943" s="12" t="s">
        <v>3922</v>
      </c>
      <c r="F943" s="13">
        <v>115</v>
      </c>
      <c r="G943" s="14"/>
      <c r="H943" s="12" t="s">
        <v>38</v>
      </c>
      <c r="I943" s="12" t="s">
        <v>39</v>
      </c>
      <c r="J943" s="12" t="s">
        <v>40</v>
      </c>
      <c r="K943" s="12" t="s">
        <v>41</v>
      </c>
      <c r="L943" s="14"/>
      <c r="M943" s="12" t="s">
        <v>43</v>
      </c>
      <c r="N943" s="12" t="s">
        <v>84</v>
      </c>
      <c r="O943" s="12" t="s">
        <v>3923</v>
      </c>
      <c r="P943" s="12" t="s">
        <v>46</v>
      </c>
      <c r="Q943" s="12" t="s">
        <v>47</v>
      </c>
      <c r="R943" s="12" t="s">
        <v>780</v>
      </c>
      <c r="S943" s="13">
        <v>197804436163</v>
      </c>
      <c r="T943" s="12" t="s">
        <v>49</v>
      </c>
      <c r="U943" s="13">
        <v>28</v>
      </c>
      <c r="V943" s="12" t="s">
        <v>50</v>
      </c>
      <c r="W943" s="12" t="s">
        <v>51</v>
      </c>
      <c r="X943" s="14"/>
      <c r="Y943" s="14"/>
      <c r="Z943" s="14"/>
      <c r="AA943" s="14"/>
      <c r="AB943" s="14"/>
      <c r="AC943" s="15">
        <v>34.1</v>
      </c>
      <c r="AD943" s="15">
        <f>AC943*AG943</f>
        <v>238.70000000000002</v>
      </c>
      <c r="AE943" s="15">
        <v>75</v>
      </c>
      <c r="AF943" s="15">
        <f>AE943*AG943</f>
        <v>525</v>
      </c>
      <c r="AG943" s="16">
        <v>7</v>
      </c>
    </row>
    <row r="944" spans="1:33" ht="15" customHeight="1" x14ac:dyDescent="0.2">
      <c r="A944" s="11" t="str">
        <f t="shared" si="230"/>
        <v>VN000D0HKCZ1</v>
      </c>
      <c r="B944" s="12" t="s">
        <v>3924</v>
      </c>
      <c r="C944" s="12" t="s">
        <v>1108</v>
      </c>
      <c r="D944" s="12" t="s">
        <v>1109</v>
      </c>
      <c r="E944" s="12" t="s">
        <v>3925</v>
      </c>
      <c r="F944" s="13">
        <v>30</v>
      </c>
      <c r="G944" s="12" t="s">
        <v>1111</v>
      </c>
      <c r="H944" s="12" t="s">
        <v>38</v>
      </c>
      <c r="I944" s="12" t="s">
        <v>39</v>
      </c>
      <c r="J944" s="12" t="s">
        <v>40</v>
      </c>
      <c r="K944" s="12" t="s">
        <v>41</v>
      </c>
      <c r="L944" s="14"/>
      <c r="M944" s="12" t="s">
        <v>43</v>
      </c>
      <c r="N944" s="12" t="s">
        <v>84</v>
      </c>
      <c r="O944" s="12" t="s">
        <v>3926</v>
      </c>
      <c r="P944" s="12" t="s">
        <v>46</v>
      </c>
      <c r="Q944" s="12" t="s">
        <v>47</v>
      </c>
      <c r="R944" s="12" t="s">
        <v>780</v>
      </c>
      <c r="S944" s="13">
        <v>197804435944</v>
      </c>
      <c r="T944" s="12" t="s">
        <v>105</v>
      </c>
      <c r="U944" s="13">
        <v>34</v>
      </c>
      <c r="V944" s="12" t="s">
        <v>50</v>
      </c>
      <c r="W944" s="12" t="s">
        <v>118</v>
      </c>
      <c r="X944" s="14"/>
      <c r="Y944" s="14"/>
      <c r="Z944" s="14"/>
      <c r="AA944" s="14"/>
      <c r="AB944" s="14"/>
      <c r="AC944" s="15">
        <v>34.1</v>
      </c>
      <c r="AD944" s="15">
        <f>AC944*AG944</f>
        <v>238.70000000000002</v>
      </c>
      <c r="AE944" s="15">
        <v>75</v>
      </c>
      <c r="AF944" s="15">
        <f>AE944*AG944</f>
        <v>525</v>
      </c>
      <c r="AG944" s="16">
        <v>7</v>
      </c>
    </row>
    <row r="945" spans="1:33" ht="15" customHeight="1" x14ac:dyDescent="0.2">
      <c r="A945" s="11" t="str">
        <f t="shared" ref="A945:A1867" si="410">HYPERLINK("https://assets.vans.eu/images/VN000D0MBZW-HERO/1","VN000D0MBZW1")</f>
        <v>VN000D0MBZW1</v>
      </c>
      <c r="B945" s="12" t="s">
        <v>3927</v>
      </c>
      <c r="C945" s="12" t="s">
        <v>1763</v>
      </c>
      <c r="D945" s="12" t="s">
        <v>58</v>
      </c>
      <c r="E945" s="12" t="s">
        <v>3928</v>
      </c>
      <c r="F945" s="13">
        <v>65</v>
      </c>
      <c r="G945" s="14"/>
      <c r="H945" s="12" t="s">
        <v>38</v>
      </c>
      <c r="I945" s="12" t="s">
        <v>242</v>
      </c>
      <c r="J945" s="12" t="s">
        <v>243</v>
      </c>
      <c r="K945" s="12" t="s">
        <v>244</v>
      </c>
      <c r="L945" s="14"/>
      <c r="M945" s="12" t="s">
        <v>43</v>
      </c>
      <c r="N945" s="12" t="s">
        <v>84</v>
      </c>
      <c r="O945" s="12" t="s">
        <v>3929</v>
      </c>
      <c r="P945" s="12" t="s">
        <v>46</v>
      </c>
      <c r="Q945" s="12" t="s">
        <v>47</v>
      </c>
      <c r="R945" s="12" t="s">
        <v>780</v>
      </c>
      <c r="S945" s="13">
        <v>197804438952</v>
      </c>
      <c r="T945" s="12" t="s">
        <v>49</v>
      </c>
      <c r="U945" s="13">
        <v>22.5</v>
      </c>
      <c r="V945" s="12" t="s">
        <v>50</v>
      </c>
      <c r="W945" s="12" t="s">
        <v>51</v>
      </c>
      <c r="X945" s="14"/>
      <c r="Y945" s="14"/>
      <c r="Z945" s="14"/>
      <c r="AA945" s="14"/>
      <c r="AB945" s="14"/>
      <c r="AC945" s="15">
        <v>29.55</v>
      </c>
      <c r="AD945" s="15">
        <f>AC945*AG945</f>
        <v>206.85</v>
      </c>
      <c r="AE945" s="15">
        <v>65</v>
      </c>
      <c r="AF945" s="15">
        <f>AE945*AG945</f>
        <v>455</v>
      </c>
      <c r="AG945" s="16">
        <v>7</v>
      </c>
    </row>
    <row r="946" spans="1:33" ht="15" customHeight="1" x14ac:dyDescent="0.2">
      <c r="A946" s="11" t="str">
        <f t="shared" ref="A946:A948" si="411">HYPERLINK("https://assets.vans.eu/images/VN000D0MKCZ-HERO/1","VN000D0MKCZ1")</f>
        <v>VN000D0MKCZ1</v>
      </c>
      <c r="B946" s="12" t="s">
        <v>3930</v>
      </c>
      <c r="C946" s="12" t="s">
        <v>1763</v>
      </c>
      <c r="D946" s="12" t="s">
        <v>1109</v>
      </c>
      <c r="E946" s="12" t="s">
        <v>3931</v>
      </c>
      <c r="F946" s="13">
        <v>45</v>
      </c>
      <c r="G946" s="12" t="s">
        <v>1111</v>
      </c>
      <c r="H946" s="12" t="s">
        <v>38</v>
      </c>
      <c r="I946" s="12" t="s">
        <v>242</v>
      </c>
      <c r="J946" s="12" t="s">
        <v>243</v>
      </c>
      <c r="K946" s="12" t="s">
        <v>244</v>
      </c>
      <c r="L946" s="14"/>
      <c r="M946" s="12" t="s">
        <v>43</v>
      </c>
      <c r="N946" s="12" t="s">
        <v>84</v>
      </c>
      <c r="O946" s="12" t="s">
        <v>3932</v>
      </c>
      <c r="P946" s="12" t="s">
        <v>46</v>
      </c>
      <c r="Q946" s="12" t="s">
        <v>47</v>
      </c>
      <c r="R946" s="12" t="s">
        <v>780</v>
      </c>
      <c r="S946" s="13">
        <v>197804437986</v>
      </c>
      <c r="T946" s="12" t="s">
        <v>105</v>
      </c>
      <c r="U946" s="13">
        <v>20</v>
      </c>
      <c r="V946" s="12" t="s">
        <v>50</v>
      </c>
      <c r="W946" s="12" t="s">
        <v>118</v>
      </c>
      <c r="X946" s="14"/>
      <c r="Y946" s="14"/>
      <c r="Z946" s="14"/>
      <c r="AA946" s="14"/>
      <c r="AB946" s="14"/>
      <c r="AC946" s="15">
        <v>29.55</v>
      </c>
      <c r="AD946" s="15">
        <f>AC946*AG946</f>
        <v>206.85</v>
      </c>
      <c r="AE946" s="15">
        <v>65</v>
      </c>
      <c r="AF946" s="15">
        <f>AE946*AG946</f>
        <v>455</v>
      </c>
      <c r="AG946" s="16">
        <v>7</v>
      </c>
    </row>
    <row r="947" spans="1:33" ht="15" customHeight="1" x14ac:dyDescent="0.2">
      <c r="A947" s="11" t="str">
        <f t="shared" si="411"/>
        <v>VN000D0MKCZ1</v>
      </c>
      <c r="B947" s="12" t="s">
        <v>3933</v>
      </c>
      <c r="C947" s="12" t="s">
        <v>1763</v>
      </c>
      <c r="D947" s="12" t="s">
        <v>1109</v>
      </c>
      <c r="E947" s="12" t="s">
        <v>3934</v>
      </c>
      <c r="F947" s="13">
        <v>50</v>
      </c>
      <c r="G947" s="12" t="s">
        <v>1111</v>
      </c>
      <c r="H947" s="12" t="s">
        <v>38</v>
      </c>
      <c r="I947" s="12" t="s">
        <v>242</v>
      </c>
      <c r="J947" s="12" t="s">
        <v>243</v>
      </c>
      <c r="K947" s="12" t="s">
        <v>244</v>
      </c>
      <c r="L947" s="14"/>
      <c r="M947" s="12" t="s">
        <v>43</v>
      </c>
      <c r="N947" s="12" t="s">
        <v>84</v>
      </c>
      <c r="O947" s="12" t="s">
        <v>3935</v>
      </c>
      <c r="P947" s="12" t="s">
        <v>46</v>
      </c>
      <c r="Q947" s="12" t="s">
        <v>47</v>
      </c>
      <c r="R947" s="12" t="s">
        <v>780</v>
      </c>
      <c r="S947" s="13">
        <v>197804438181</v>
      </c>
      <c r="T947" s="12" t="s">
        <v>105</v>
      </c>
      <c r="U947" s="13">
        <v>21</v>
      </c>
      <c r="V947" s="12" t="s">
        <v>50</v>
      </c>
      <c r="W947" s="12" t="s">
        <v>118</v>
      </c>
      <c r="X947" s="14"/>
      <c r="Y947" s="14"/>
      <c r="Z947" s="14"/>
      <c r="AA947" s="14"/>
      <c r="AB947" s="14"/>
      <c r="AC947" s="15">
        <v>29.55</v>
      </c>
      <c r="AD947" s="15">
        <f>AC947*AG947</f>
        <v>206.85</v>
      </c>
      <c r="AE947" s="15">
        <v>65</v>
      </c>
      <c r="AF947" s="15">
        <f>AE947*AG947</f>
        <v>455</v>
      </c>
      <c r="AG947" s="16">
        <v>7</v>
      </c>
    </row>
    <row r="948" spans="1:33" ht="15" customHeight="1" x14ac:dyDescent="0.2">
      <c r="A948" s="11" t="str">
        <f t="shared" si="411"/>
        <v>VN000D0MKCZ1</v>
      </c>
      <c r="B948" s="12" t="s">
        <v>3936</v>
      </c>
      <c r="C948" s="12" t="s">
        <v>1763</v>
      </c>
      <c r="D948" s="12" t="s">
        <v>1109</v>
      </c>
      <c r="E948" s="12" t="s">
        <v>3937</v>
      </c>
      <c r="F948" s="13">
        <v>100</v>
      </c>
      <c r="G948" s="12" t="s">
        <v>1111</v>
      </c>
      <c r="H948" s="12" t="s">
        <v>38</v>
      </c>
      <c r="I948" s="12" t="s">
        <v>242</v>
      </c>
      <c r="J948" s="12" t="s">
        <v>243</v>
      </c>
      <c r="K948" s="12" t="s">
        <v>244</v>
      </c>
      <c r="L948" s="14"/>
      <c r="M948" s="12" t="s">
        <v>43</v>
      </c>
      <c r="N948" s="12" t="s">
        <v>84</v>
      </c>
      <c r="O948" s="12" t="s">
        <v>3938</v>
      </c>
      <c r="P948" s="12" t="s">
        <v>46</v>
      </c>
      <c r="Q948" s="12" t="s">
        <v>47</v>
      </c>
      <c r="R948" s="12" t="s">
        <v>780</v>
      </c>
      <c r="S948" s="13">
        <v>197804439416</v>
      </c>
      <c r="T948" s="12" t="s">
        <v>105</v>
      </c>
      <c r="U948" s="13">
        <v>26.5</v>
      </c>
      <c r="V948" s="12" t="s">
        <v>50</v>
      </c>
      <c r="W948" s="12" t="s">
        <v>118</v>
      </c>
      <c r="X948" s="14"/>
      <c r="Y948" s="14"/>
      <c r="Z948" s="14"/>
      <c r="AA948" s="14"/>
      <c r="AB948" s="14"/>
      <c r="AC948" s="15">
        <v>29.55</v>
      </c>
      <c r="AD948" s="15">
        <f>AC948*AG948</f>
        <v>206.85</v>
      </c>
      <c r="AE948" s="15">
        <v>65</v>
      </c>
      <c r="AF948" s="15">
        <f>AE948*AG948</f>
        <v>455</v>
      </c>
      <c r="AG948" s="16">
        <v>7</v>
      </c>
    </row>
    <row r="949" spans="1:33" ht="15" customHeight="1" x14ac:dyDescent="0.2">
      <c r="A949" s="11" t="str">
        <f t="shared" ref="A949:A1490" si="412">HYPERLINK("https://assets.vans.eu/images/VN000D0SYLZ-HERO/1","VN000D0SYLZ1")</f>
        <v>VN000D0SYLZ1</v>
      </c>
      <c r="B949" s="12" t="s">
        <v>3939</v>
      </c>
      <c r="C949" s="12" t="s">
        <v>2280</v>
      </c>
      <c r="D949" s="12" t="s">
        <v>458</v>
      </c>
      <c r="E949" s="12" t="s">
        <v>3940</v>
      </c>
      <c r="F949" s="13">
        <v>50</v>
      </c>
      <c r="G949" s="12" t="s">
        <v>775</v>
      </c>
      <c r="H949" s="12" t="s">
        <v>38</v>
      </c>
      <c r="I949" s="12" t="s">
        <v>242</v>
      </c>
      <c r="J949" s="12" t="s">
        <v>243</v>
      </c>
      <c r="K949" s="12" t="s">
        <v>244</v>
      </c>
      <c r="L949" s="14"/>
      <c r="M949" s="12" t="s">
        <v>43</v>
      </c>
      <c r="N949" s="12" t="s">
        <v>84</v>
      </c>
      <c r="O949" s="12" t="s">
        <v>3941</v>
      </c>
      <c r="P949" s="12" t="s">
        <v>46</v>
      </c>
      <c r="Q949" s="12" t="s">
        <v>47</v>
      </c>
      <c r="R949" s="12" t="s">
        <v>48</v>
      </c>
      <c r="S949" s="13">
        <v>197804521869</v>
      </c>
      <c r="T949" s="12" t="s">
        <v>105</v>
      </c>
      <c r="U949" s="13">
        <v>21</v>
      </c>
      <c r="V949" s="12" t="s">
        <v>278</v>
      </c>
      <c r="W949" s="12" t="s">
        <v>299</v>
      </c>
      <c r="X949" s="14"/>
      <c r="Y949" s="14"/>
      <c r="Z949" s="14"/>
      <c r="AA949" s="14"/>
      <c r="AB949" s="14"/>
      <c r="AC949" s="15">
        <v>22.75</v>
      </c>
      <c r="AD949" s="15">
        <f>AC949*AG949</f>
        <v>159.25</v>
      </c>
      <c r="AE949" s="15">
        <v>50</v>
      </c>
      <c r="AF949" s="15">
        <f>AE949*AG949</f>
        <v>350</v>
      </c>
      <c r="AG949" s="16">
        <v>7</v>
      </c>
    </row>
    <row r="950" spans="1:33" ht="15" customHeight="1" x14ac:dyDescent="0.2">
      <c r="A950" s="11" t="str">
        <f t="shared" ref="A950:A1244" si="413">HYPERLINK("https://assets.vans.eu/images/VN000D111KP-HERO/1","VN000D111KP1")</f>
        <v>VN000D111KP1</v>
      </c>
      <c r="B950" s="12" t="s">
        <v>3942</v>
      </c>
      <c r="C950" s="12" t="s">
        <v>2136</v>
      </c>
      <c r="D950" s="12" t="s">
        <v>3943</v>
      </c>
      <c r="E950" s="12" t="s">
        <v>3944</v>
      </c>
      <c r="F950" s="13">
        <v>40</v>
      </c>
      <c r="G950" s="12" t="s">
        <v>2273</v>
      </c>
      <c r="H950" s="12" t="s">
        <v>38</v>
      </c>
      <c r="I950" s="12" t="s">
        <v>242</v>
      </c>
      <c r="J950" s="12" t="s">
        <v>243</v>
      </c>
      <c r="K950" s="12" t="s">
        <v>244</v>
      </c>
      <c r="L950" s="14"/>
      <c r="M950" s="12" t="s">
        <v>43</v>
      </c>
      <c r="N950" s="12" t="s">
        <v>84</v>
      </c>
      <c r="O950" s="12" t="s">
        <v>3945</v>
      </c>
      <c r="P950" s="12" t="s">
        <v>46</v>
      </c>
      <c r="Q950" s="12" t="s">
        <v>47</v>
      </c>
      <c r="R950" s="12" t="s">
        <v>313</v>
      </c>
      <c r="S950" s="13">
        <v>197804522316</v>
      </c>
      <c r="T950" s="12" t="s">
        <v>49</v>
      </c>
      <c r="U950" s="13">
        <v>19</v>
      </c>
      <c r="V950" s="12" t="s">
        <v>50</v>
      </c>
      <c r="W950" s="12" t="s">
        <v>51</v>
      </c>
      <c r="X950" s="14"/>
      <c r="Y950" s="14"/>
      <c r="Z950" s="14"/>
      <c r="AA950" s="14"/>
      <c r="AB950" s="14"/>
      <c r="AC950" s="15">
        <v>27.3</v>
      </c>
      <c r="AD950" s="15">
        <f>AC950*AG950</f>
        <v>191.1</v>
      </c>
      <c r="AE950" s="15">
        <v>60</v>
      </c>
      <c r="AF950" s="15">
        <f>AE950*AG950</f>
        <v>420</v>
      </c>
      <c r="AG950" s="16">
        <v>7</v>
      </c>
    </row>
    <row r="951" spans="1:33" ht="15" customHeight="1" x14ac:dyDescent="0.2">
      <c r="A951" s="11" t="str">
        <f t="shared" ref="A951:A1245" si="414">HYPERLINK("https://assets.vans.eu/images/VN000D11N1Z-HERO/1","VN000D11N1Z1")</f>
        <v>VN000D11N1Z1</v>
      </c>
      <c r="B951" s="12" t="s">
        <v>3946</v>
      </c>
      <c r="C951" s="12" t="s">
        <v>2136</v>
      </c>
      <c r="D951" s="12" t="s">
        <v>1656</v>
      </c>
      <c r="E951" s="12" t="s">
        <v>3947</v>
      </c>
      <c r="F951" s="13">
        <v>75</v>
      </c>
      <c r="G951" s="12" t="s">
        <v>528</v>
      </c>
      <c r="H951" s="12" t="s">
        <v>38</v>
      </c>
      <c r="I951" s="12" t="s">
        <v>242</v>
      </c>
      <c r="J951" s="12" t="s">
        <v>243</v>
      </c>
      <c r="K951" s="12" t="s">
        <v>244</v>
      </c>
      <c r="L951" s="14"/>
      <c r="M951" s="12" t="s">
        <v>43</v>
      </c>
      <c r="N951" s="12" t="s">
        <v>84</v>
      </c>
      <c r="O951" s="12" t="s">
        <v>3948</v>
      </c>
      <c r="P951" s="12" t="s">
        <v>46</v>
      </c>
      <c r="Q951" s="12" t="s">
        <v>47</v>
      </c>
      <c r="R951" s="12" t="s">
        <v>313</v>
      </c>
      <c r="S951" s="13">
        <v>197804523825</v>
      </c>
      <c r="T951" s="12" t="s">
        <v>49</v>
      </c>
      <c r="U951" s="13">
        <v>24</v>
      </c>
      <c r="V951" s="12" t="s">
        <v>50</v>
      </c>
      <c r="W951" s="12" t="s">
        <v>186</v>
      </c>
      <c r="X951" s="14"/>
      <c r="Y951" s="14"/>
      <c r="Z951" s="14"/>
      <c r="AA951" s="14"/>
      <c r="AB951" s="14"/>
      <c r="AC951" s="15">
        <v>27.3</v>
      </c>
      <c r="AD951" s="15">
        <f>AC951*AG951</f>
        <v>191.1</v>
      </c>
      <c r="AE951" s="15">
        <v>60</v>
      </c>
      <c r="AF951" s="15">
        <f>AE951*AG951</f>
        <v>420</v>
      </c>
      <c r="AG951" s="16">
        <v>7</v>
      </c>
    </row>
    <row r="952" spans="1:33" ht="15" customHeight="1" x14ac:dyDescent="0.2">
      <c r="A952" s="11" t="str">
        <f t="shared" si="250"/>
        <v>VN000D1HWWW1</v>
      </c>
      <c r="B952" s="12" t="s">
        <v>3949</v>
      </c>
      <c r="C952" s="12" t="s">
        <v>1614</v>
      </c>
      <c r="D952" s="12" t="s">
        <v>2588</v>
      </c>
      <c r="E952" s="12" t="s">
        <v>3950</v>
      </c>
      <c r="F952" s="13">
        <v>35</v>
      </c>
      <c r="G952" s="14"/>
      <c r="H952" s="12" t="s">
        <v>38</v>
      </c>
      <c r="I952" s="12" t="s">
        <v>113</v>
      </c>
      <c r="J952" s="12" t="s">
        <v>529</v>
      </c>
      <c r="K952" s="12" t="s">
        <v>82</v>
      </c>
      <c r="L952" s="14"/>
      <c r="M952" s="12" t="s">
        <v>43</v>
      </c>
      <c r="N952" s="12" t="s">
        <v>84</v>
      </c>
      <c r="O952" s="12" t="s">
        <v>3951</v>
      </c>
      <c r="P952" s="12" t="s">
        <v>46</v>
      </c>
      <c r="Q952" s="12" t="s">
        <v>47</v>
      </c>
      <c r="R952" s="12" t="s">
        <v>117</v>
      </c>
      <c r="S952" s="13">
        <v>197065689759</v>
      </c>
      <c r="T952" s="12" t="s">
        <v>49</v>
      </c>
      <c r="U952" s="13">
        <v>34.5</v>
      </c>
      <c r="V952" s="12" t="s">
        <v>50</v>
      </c>
      <c r="W952" s="12" t="s">
        <v>175</v>
      </c>
      <c r="X952" s="14"/>
      <c r="Y952" s="12" t="s">
        <v>53</v>
      </c>
      <c r="Z952" s="12" t="s">
        <v>263</v>
      </c>
      <c r="AA952" s="14"/>
      <c r="AB952" s="14"/>
      <c r="AC952" s="15">
        <v>52.3</v>
      </c>
      <c r="AD952" s="15">
        <f>AC952*AG952</f>
        <v>366.09999999999997</v>
      </c>
      <c r="AE952" s="15">
        <v>115</v>
      </c>
      <c r="AF952" s="15">
        <f>AE952*AG952</f>
        <v>805</v>
      </c>
      <c r="AG952" s="16">
        <v>7</v>
      </c>
    </row>
    <row r="953" spans="1:33" ht="15" customHeight="1" x14ac:dyDescent="0.2">
      <c r="A953" s="11" t="str">
        <f t="shared" si="307"/>
        <v>VN000D1JBO91</v>
      </c>
      <c r="B953" s="12" t="s">
        <v>3952</v>
      </c>
      <c r="C953" s="12" t="s">
        <v>251</v>
      </c>
      <c r="D953" s="12" t="s">
        <v>3014</v>
      </c>
      <c r="E953" s="12" t="s">
        <v>3953</v>
      </c>
      <c r="F953" s="13">
        <v>110</v>
      </c>
      <c r="G953" s="14"/>
      <c r="H953" s="12" t="s">
        <v>38</v>
      </c>
      <c r="I953" s="12" t="s">
        <v>113</v>
      </c>
      <c r="J953" s="12" t="s">
        <v>529</v>
      </c>
      <c r="K953" s="12" t="s">
        <v>82</v>
      </c>
      <c r="L953" s="12" t="s">
        <v>260</v>
      </c>
      <c r="M953" s="12" t="s">
        <v>43</v>
      </c>
      <c r="N953" s="12" t="s">
        <v>84</v>
      </c>
      <c r="O953" s="12" t="s">
        <v>3954</v>
      </c>
      <c r="P953" s="12" t="s">
        <v>46</v>
      </c>
      <c r="Q953" s="12" t="s">
        <v>47</v>
      </c>
      <c r="R953" s="12" t="s">
        <v>117</v>
      </c>
      <c r="S953" s="13">
        <v>197804837922</v>
      </c>
      <c r="T953" s="12" t="s">
        <v>49</v>
      </c>
      <c r="U953" s="13">
        <v>44.5</v>
      </c>
      <c r="V953" s="12" t="s">
        <v>50</v>
      </c>
      <c r="W953" s="12" t="s">
        <v>299</v>
      </c>
      <c r="X953" s="14"/>
      <c r="Y953" s="14"/>
      <c r="Z953" s="14"/>
      <c r="AA953" s="14"/>
      <c r="AB953" s="14"/>
      <c r="AC953" s="15">
        <v>50</v>
      </c>
      <c r="AD953" s="15">
        <f>AC953*AG953</f>
        <v>350</v>
      </c>
      <c r="AE953" s="15">
        <v>110</v>
      </c>
      <c r="AF953" s="15">
        <f>AE953*AG953</f>
        <v>770</v>
      </c>
      <c r="AG953" s="16">
        <v>7</v>
      </c>
    </row>
    <row r="954" spans="1:33" ht="15" customHeight="1" x14ac:dyDescent="0.2">
      <c r="A954" s="11" t="str">
        <f t="shared" ref="A954:A2603" si="415">HYPERLINK("https://assets.vans.eu/images/VN000D26Y61-HERO/1","VN000D26Y611")</f>
        <v>VN000D26Y611</v>
      </c>
      <c r="B954" s="12" t="s">
        <v>3955</v>
      </c>
      <c r="C954" s="12" t="s">
        <v>251</v>
      </c>
      <c r="D954" s="12" t="s">
        <v>310</v>
      </c>
      <c r="E954" s="12" t="s">
        <v>3956</v>
      </c>
      <c r="F954" s="13">
        <v>80</v>
      </c>
      <c r="G954" s="12" t="s">
        <v>551</v>
      </c>
      <c r="H954" s="12" t="s">
        <v>38</v>
      </c>
      <c r="I954" s="12" t="s">
        <v>159</v>
      </c>
      <c r="J954" s="12" t="s">
        <v>255</v>
      </c>
      <c r="K954" s="12" t="s">
        <v>82</v>
      </c>
      <c r="L954" s="14"/>
      <c r="M954" s="12" t="s">
        <v>43</v>
      </c>
      <c r="N954" s="12" t="s">
        <v>84</v>
      </c>
      <c r="O954" s="12" t="s">
        <v>3957</v>
      </c>
      <c r="P954" s="12" t="s">
        <v>46</v>
      </c>
      <c r="Q954" s="12" t="s">
        <v>47</v>
      </c>
      <c r="R954" s="12" t="s">
        <v>163</v>
      </c>
      <c r="S954" s="13">
        <v>197804445561</v>
      </c>
      <c r="T954" s="12" t="s">
        <v>49</v>
      </c>
      <c r="U954" s="13">
        <v>40.5</v>
      </c>
      <c r="V954" s="12" t="s">
        <v>50</v>
      </c>
      <c r="W954" s="12" t="s">
        <v>51</v>
      </c>
      <c r="X954" s="14"/>
      <c r="Y954" s="14"/>
      <c r="Z954" s="14"/>
      <c r="AA954" s="14"/>
      <c r="AB954" s="14"/>
      <c r="AC954" s="15">
        <v>45.5</v>
      </c>
      <c r="AD954" s="15">
        <f>AC954*AG954</f>
        <v>318.5</v>
      </c>
      <c r="AE954" s="15">
        <v>100</v>
      </c>
      <c r="AF954" s="15">
        <f>AE954*AG954</f>
        <v>700</v>
      </c>
      <c r="AG954" s="16">
        <v>7</v>
      </c>
    </row>
    <row r="955" spans="1:33" ht="15" customHeight="1" x14ac:dyDescent="0.2">
      <c r="A955" s="11" t="str">
        <f>HYPERLINK("https://assets.vans.eu/images/VN000D2VEMY-HERO/1","VN000D2VEMY1")</f>
        <v>VN000D2VEMY1</v>
      </c>
      <c r="B955" s="12" t="s">
        <v>3958</v>
      </c>
      <c r="C955" s="12" t="s">
        <v>34</v>
      </c>
      <c r="D955" s="12" t="s">
        <v>1155</v>
      </c>
      <c r="E955" s="12" t="s">
        <v>3959</v>
      </c>
      <c r="F955" s="13">
        <v>40</v>
      </c>
      <c r="G955" s="14"/>
      <c r="H955" s="12" t="s">
        <v>38</v>
      </c>
      <c r="I955" s="12" t="s">
        <v>205</v>
      </c>
      <c r="J955" s="12" t="s">
        <v>206</v>
      </c>
      <c r="K955" s="12" t="s">
        <v>207</v>
      </c>
      <c r="L955" s="14"/>
      <c r="M955" s="12" t="s">
        <v>43</v>
      </c>
      <c r="N955" s="12" t="s">
        <v>84</v>
      </c>
      <c r="O955" s="12" t="s">
        <v>3960</v>
      </c>
      <c r="P955" s="12" t="s">
        <v>46</v>
      </c>
      <c r="Q955" s="12" t="s">
        <v>47</v>
      </c>
      <c r="R955" s="12" t="s">
        <v>48</v>
      </c>
      <c r="S955" s="13">
        <v>197804527182</v>
      </c>
      <c r="T955" s="12" t="s">
        <v>164</v>
      </c>
      <c r="U955" s="13">
        <v>35</v>
      </c>
      <c r="V955" s="12" t="s">
        <v>50</v>
      </c>
      <c r="W955" s="12" t="s">
        <v>107</v>
      </c>
      <c r="X955" s="14"/>
      <c r="Y955" s="14"/>
      <c r="Z955" s="14"/>
      <c r="AA955" s="14"/>
      <c r="AB955" s="14"/>
      <c r="AC955" s="15">
        <v>29.55</v>
      </c>
      <c r="AD955" s="15">
        <f>AC955*AG955</f>
        <v>206.85</v>
      </c>
      <c r="AE955" s="15">
        <v>65</v>
      </c>
      <c r="AF955" s="15">
        <f>AE955*AG955</f>
        <v>455</v>
      </c>
      <c r="AG955" s="16">
        <v>7</v>
      </c>
    </row>
    <row r="956" spans="1:33" ht="15" customHeight="1" x14ac:dyDescent="0.2">
      <c r="A956" s="11" t="str">
        <f t="shared" ref="A956:A1898" si="416">HYPERLINK("https://assets.vans.eu/images/VN000D4NKCZ-HERO/1","VN000D4NKCZ1")</f>
        <v>VN000D4NKCZ1</v>
      </c>
      <c r="B956" s="12" t="s">
        <v>3961</v>
      </c>
      <c r="C956" s="12" t="s">
        <v>251</v>
      </c>
      <c r="D956" s="12" t="s">
        <v>1109</v>
      </c>
      <c r="E956" s="12" t="s">
        <v>3962</v>
      </c>
      <c r="F956" s="13">
        <v>125</v>
      </c>
      <c r="G956" s="14"/>
      <c r="H956" s="12" t="s">
        <v>38</v>
      </c>
      <c r="I956" s="12" t="s">
        <v>39</v>
      </c>
      <c r="J956" s="12" t="s">
        <v>2430</v>
      </c>
      <c r="K956" s="12" t="s">
        <v>41</v>
      </c>
      <c r="L956" s="14"/>
      <c r="M956" s="12" t="s">
        <v>43</v>
      </c>
      <c r="N956" s="12" t="s">
        <v>84</v>
      </c>
      <c r="O956" s="12" t="s">
        <v>3963</v>
      </c>
      <c r="P956" s="12" t="s">
        <v>46</v>
      </c>
      <c r="Q956" s="12" t="s">
        <v>47</v>
      </c>
      <c r="R956" s="12" t="s">
        <v>48</v>
      </c>
      <c r="S956" s="13">
        <v>197804449897</v>
      </c>
      <c r="T956" s="12" t="s">
        <v>49</v>
      </c>
      <c r="U956" s="13">
        <v>30</v>
      </c>
      <c r="V956" s="12" t="s">
        <v>1468</v>
      </c>
      <c r="W956" s="12" t="s">
        <v>118</v>
      </c>
      <c r="X956" s="14"/>
      <c r="Y956" s="14"/>
      <c r="Z956" s="14"/>
      <c r="AA956" s="14"/>
      <c r="AB956" s="14"/>
      <c r="AC956" s="15">
        <v>29.55</v>
      </c>
      <c r="AD956" s="15">
        <f>AC956*AG956</f>
        <v>206.85</v>
      </c>
      <c r="AE956" s="15">
        <v>65</v>
      </c>
      <c r="AF956" s="15">
        <f>AE956*AG956</f>
        <v>455</v>
      </c>
      <c r="AG956" s="16">
        <v>7</v>
      </c>
    </row>
    <row r="957" spans="1:33" ht="15" customHeight="1" x14ac:dyDescent="0.2">
      <c r="A957" s="11" t="str">
        <f t="shared" ref="A957:A1255" si="417">HYPERLINK("https://assets.vans.eu/images/VN000D4SCFL-HERO/1","VN000D4SCFL1")</f>
        <v>VN000D4SCFL1</v>
      </c>
      <c r="B957" s="12" t="s">
        <v>3964</v>
      </c>
      <c r="C957" s="12" t="s">
        <v>1257</v>
      </c>
      <c r="D957" s="12" t="s">
        <v>1258</v>
      </c>
      <c r="E957" s="12" t="s">
        <v>3965</v>
      </c>
      <c r="F957" s="13">
        <v>25</v>
      </c>
      <c r="G957" s="14"/>
      <c r="H957" s="12" t="s">
        <v>38</v>
      </c>
      <c r="I957" s="12" t="s">
        <v>242</v>
      </c>
      <c r="J957" s="12" t="s">
        <v>243</v>
      </c>
      <c r="K957" s="12" t="s">
        <v>244</v>
      </c>
      <c r="L957" s="14"/>
      <c r="M957" s="12" t="s">
        <v>43</v>
      </c>
      <c r="N957" s="12" t="s">
        <v>84</v>
      </c>
      <c r="O957" s="12" t="s">
        <v>3966</v>
      </c>
      <c r="P957" s="12" t="s">
        <v>46</v>
      </c>
      <c r="Q957" s="12" t="s">
        <v>47</v>
      </c>
      <c r="R957" s="12" t="s">
        <v>48</v>
      </c>
      <c r="S957" s="13">
        <v>197804530427</v>
      </c>
      <c r="T957" s="12" t="s">
        <v>105</v>
      </c>
      <c r="U957" s="13">
        <v>17.5</v>
      </c>
      <c r="V957" s="12" t="s">
        <v>50</v>
      </c>
      <c r="W957" s="12" t="s">
        <v>284</v>
      </c>
      <c r="X957" s="14"/>
      <c r="Y957" s="14"/>
      <c r="Z957" s="14"/>
      <c r="AA957" s="14"/>
      <c r="AB957" s="14"/>
      <c r="AC957" s="15">
        <v>22.75</v>
      </c>
      <c r="AD957" s="15">
        <f>AC957*AG957</f>
        <v>159.25</v>
      </c>
      <c r="AE957" s="15">
        <v>50</v>
      </c>
      <c r="AF957" s="15">
        <f>AE957*AG957</f>
        <v>350</v>
      </c>
      <c r="AG957" s="16">
        <v>7</v>
      </c>
    </row>
    <row r="958" spans="1:33" ht="15" customHeight="1" x14ac:dyDescent="0.2">
      <c r="A958" s="11" t="str">
        <f>HYPERLINK("https://assets.vans.eu/images/VN000D5VBYS-HERO/1","VN000D5VBYS1")</f>
        <v>VN000D5VBYS1</v>
      </c>
      <c r="B958" s="12" t="s">
        <v>3967</v>
      </c>
      <c r="C958" s="12" t="s">
        <v>1006</v>
      </c>
      <c r="D958" s="12" t="s">
        <v>3968</v>
      </c>
      <c r="E958" s="12" t="s">
        <v>3969</v>
      </c>
      <c r="F958" s="13">
        <v>40</v>
      </c>
      <c r="G958" s="14"/>
      <c r="H958" s="12" t="s">
        <v>38</v>
      </c>
      <c r="I958" s="12" t="s">
        <v>113</v>
      </c>
      <c r="J958" s="12" t="s">
        <v>529</v>
      </c>
      <c r="K958" s="12" t="s">
        <v>82</v>
      </c>
      <c r="L958" s="14"/>
      <c r="M958" s="12" t="s">
        <v>43</v>
      </c>
      <c r="N958" s="12" t="s">
        <v>44</v>
      </c>
      <c r="O958" s="12" t="s">
        <v>3970</v>
      </c>
      <c r="P958" s="12" t="s">
        <v>46</v>
      </c>
      <c r="Q958" s="12" t="s">
        <v>47</v>
      </c>
      <c r="R958" s="12" t="s">
        <v>117</v>
      </c>
      <c r="S958" s="13">
        <v>197643280811</v>
      </c>
      <c r="T958" s="12" t="s">
        <v>49</v>
      </c>
      <c r="U958" s="13">
        <v>35</v>
      </c>
      <c r="V958" s="12" t="s">
        <v>50</v>
      </c>
      <c r="W958" s="12" t="s">
        <v>580</v>
      </c>
      <c r="X958" s="12" t="s">
        <v>1010</v>
      </c>
      <c r="Y958" s="12" t="s">
        <v>1011</v>
      </c>
      <c r="Z958" s="12" t="s">
        <v>165</v>
      </c>
      <c r="AA958" s="14"/>
      <c r="AB958" s="14"/>
      <c r="AC958" s="15">
        <v>70.5</v>
      </c>
      <c r="AD958" s="15">
        <f>AC958*AG958</f>
        <v>493.5</v>
      </c>
      <c r="AE958" s="15">
        <v>155</v>
      </c>
      <c r="AF958" s="15">
        <f>AE958*AG958</f>
        <v>1085</v>
      </c>
      <c r="AG958" s="16">
        <v>7</v>
      </c>
    </row>
    <row r="959" spans="1:33" ht="15" customHeight="1" x14ac:dyDescent="0.2">
      <c r="A959" s="11" t="str">
        <f>HYPERLINK("https://assets.vans.eu/images/VN000D6W203-HERO/1","VN000D6W2031")</f>
        <v>VN000D6W2031</v>
      </c>
      <c r="B959" s="12" t="s">
        <v>3971</v>
      </c>
      <c r="C959" s="12" t="s">
        <v>34</v>
      </c>
      <c r="D959" s="12" t="s">
        <v>3021</v>
      </c>
      <c r="E959" s="12" t="s">
        <v>3972</v>
      </c>
      <c r="F959" s="13">
        <v>70</v>
      </c>
      <c r="G959" s="12" t="s">
        <v>3023</v>
      </c>
      <c r="H959" s="12" t="s">
        <v>38</v>
      </c>
      <c r="I959" s="12" t="s">
        <v>113</v>
      </c>
      <c r="J959" s="12" t="s">
        <v>114</v>
      </c>
      <c r="K959" s="12" t="s">
        <v>82</v>
      </c>
      <c r="L959" s="14"/>
      <c r="M959" s="12" t="s">
        <v>43</v>
      </c>
      <c r="N959" s="12" t="s">
        <v>84</v>
      </c>
      <c r="O959" s="12" t="s">
        <v>3973</v>
      </c>
      <c r="P959" s="12" t="s">
        <v>46</v>
      </c>
      <c r="Q959" s="12" t="s">
        <v>47</v>
      </c>
      <c r="R959" s="12" t="s">
        <v>117</v>
      </c>
      <c r="S959" s="13">
        <v>197804539116</v>
      </c>
      <c r="T959" s="12" t="s">
        <v>105</v>
      </c>
      <c r="U959" s="13">
        <v>39</v>
      </c>
      <c r="V959" s="12" t="s">
        <v>50</v>
      </c>
      <c r="W959" s="12" t="s">
        <v>118</v>
      </c>
      <c r="X959" s="14"/>
      <c r="Y959" s="14"/>
      <c r="Z959" s="14"/>
      <c r="AA959" s="14"/>
      <c r="AB959" s="14"/>
      <c r="AC959" s="15">
        <v>43.2</v>
      </c>
      <c r="AD959" s="15">
        <f>AC959*AG959</f>
        <v>302.40000000000003</v>
      </c>
      <c r="AE959" s="15">
        <v>95</v>
      </c>
      <c r="AF959" s="15">
        <f>AE959*AG959</f>
        <v>665</v>
      </c>
      <c r="AG959" s="16">
        <v>7</v>
      </c>
    </row>
    <row r="960" spans="1:33" ht="15" customHeight="1" x14ac:dyDescent="0.2">
      <c r="A960" s="11" t="str">
        <f t="shared" ref="A960:A1920" si="418">HYPERLINK("https://assets.vans.eu/images/VN000D6WCJK-HERO/1","VN000D6WCJK1")</f>
        <v>VN000D6WCJK1</v>
      </c>
      <c r="B960" s="12" t="s">
        <v>3974</v>
      </c>
      <c r="C960" s="12" t="s">
        <v>34</v>
      </c>
      <c r="D960" s="12" t="s">
        <v>919</v>
      </c>
      <c r="E960" s="12" t="s">
        <v>3975</v>
      </c>
      <c r="F960" s="13">
        <v>65</v>
      </c>
      <c r="G960" s="14"/>
      <c r="H960" s="12" t="s">
        <v>38</v>
      </c>
      <c r="I960" s="12" t="s">
        <v>113</v>
      </c>
      <c r="J960" s="12" t="s">
        <v>114</v>
      </c>
      <c r="K960" s="12" t="s">
        <v>82</v>
      </c>
      <c r="L960" s="14"/>
      <c r="M960" s="12" t="s">
        <v>43</v>
      </c>
      <c r="N960" s="12" t="s">
        <v>84</v>
      </c>
      <c r="O960" s="12" t="s">
        <v>3976</v>
      </c>
      <c r="P960" s="12" t="s">
        <v>46</v>
      </c>
      <c r="Q960" s="12" t="s">
        <v>47</v>
      </c>
      <c r="R960" s="12" t="s">
        <v>117</v>
      </c>
      <c r="S960" s="13">
        <v>197804540419</v>
      </c>
      <c r="T960" s="12" t="s">
        <v>105</v>
      </c>
      <c r="U960" s="13">
        <v>38.5</v>
      </c>
      <c r="V960" s="12" t="s">
        <v>50</v>
      </c>
      <c r="W960" s="12" t="s">
        <v>51</v>
      </c>
      <c r="X960" s="14"/>
      <c r="Y960" s="14"/>
      <c r="Z960" s="14"/>
      <c r="AA960" s="14"/>
      <c r="AB960" s="14"/>
      <c r="AC960" s="15">
        <v>43.2</v>
      </c>
      <c r="AD960" s="15">
        <f>AC960*AG960</f>
        <v>302.40000000000003</v>
      </c>
      <c r="AE960" s="15">
        <v>95</v>
      </c>
      <c r="AF960" s="15">
        <f>AE960*AG960</f>
        <v>665</v>
      </c>
      <c r="AG960" s="16">
        <v>7</v>
      </c>
    </row>
    <row r="961" spans="1:33" ht="15" customHeight="1" x14ac:dyDescent="0.2">
      <c r="A961" s="11" t="str">
        <f t="shared" si="373"/>
        <v>VN000D6WYY61</v>
      </c>
      <c r="B961" s="12" t="s">
        <v>3977</v>
      </c>
      <c r="C961" s="12" t="s">
        <v>34</v>
      </c>
      <c r="D961" s="12" t="s">
        <v>1208</v>
      </c>
      <c r="E961" s="12" t="s">
        <v>3978</v>
      </c>
      <c r="F961" s="13">
        <v>120</v>
      </c>
      <c r="G961" s="14"/>
      <c r="H961" s="12" t="s">
        <v>38</v>
      </c>
      <c r="I961" s="12" t="s">
        <v>113</v>
      </c>
      <c r="J961" s="12" t="s">
        <v>114</v>
      </c>
      <c r="K961" s="12" t="s">
        <v>82</v>
      </c>
      <c r="L961" s="12" t="s">
        <v>260</v>
      </c>
      <c r="M961" s="12" t="s">
        <v>43</v>
      </c>
      <c r="N961" s="12" t="s">
        <v>84</v>
      </c>
      <c r="O961" s="12" t="s">
        <v>3979</v>
      </c>
      <c r="P961" s="12" t="s">
        <v>46</v>
      </c>
      <c r="Q961" s="12" t="s">
        <v>47</v>
      </c>
      <c r="R961" s="12" t="s">
        <v>117</v>
      </c>
      <c r="S961" s="13">
        <v>197803962960</v>
      </c>
      <c r="T961" s="12" t="s">
        <v>105</v>
      </c>
      <c r="U961" s="13">
        <v>46</v>
      </c>
      <c r="V961" s="12" t="s">
        <v>50</v>
      </c>
      <c r="W961" s="12" t="s">
        <v>51</v>
      </c>
      <c r="X961" s="14"/>
      <c r="Y961" s="12" t="s">
        <v>53</v>
      </c>
      <c r="Z961" s="12" t="s">
        <v>2600</v>
      </c>
      <c r="AA961" s="14"/>
      <c r="AB961" s="12" t="s">
        <v>264</v>
      </c>
      <c r="AC961" s="15">
        <v>40.950000000000003</v>
      </c>
      <c r="AD961" s="15">
        <f>AC961*AG961</f>
        <v>286.65000000000003</v>
      </c>
      <c r="AE961" s="15">
        <v>90</v>
      </c>
      <c r="AF961" s="15">
        <f>AE961*AG961</f>
        <v>630</v>
      </c>
      <c r="AG961" s="16">
        <v>7</v>
      </c>
    </row>
    <row r="962" spans="1:33" ht="15" customHeight="1" x14ac:dyDescent="0.2">
      <c r="A962" s="11" t="str">
        <f t="shared" si="374"/>
        <v>VN000D6YEZI1</v>
      </c>
      <c r="B962" s="12" t="s">
        <v>3980</v>
      </c>
      <c r="C962" s="12" t="s">
        <v>3586</v>
      </c>
      <c r="D962" s="12" t="s">
        <v>3603</v>
      </c>
      <c r="E962" s="12" t="s">
        <v>3981</v>
      </c>
      <c r="F962" s="13">
        <v>60</v>
      </c>
      <c r="G962" s="12" t="s">
        <v>3605</v>
      </c>
      <c r="H962" s="12" t="s">
        <v>38</v>
      </c>
      <c r="I962" s="12" t="s">
        <v>113</v>
      </c>
      <c r="J962" s="12" t="s">
        <v>114</v>
      </c>
      <c r="K962" s="12" t="s">
        <v>82</v>
      </c>
      <c r="L962" s="14"/>
      <c r="M962" s="12" t="s">
        <v>43</v>
      </c>
      <c r="N962" s="12" t="s">
        <v>84</v>
      </c>
      <c r="O962" s="12" t="s">
        <v>3982</v>
      </c>
      <c r="P962" s="12" t="s">
        <v>46</v>
      </c>
      <c r="Q962" s="12" t="s">
        <v>47</v>
      </c>
      <c r="R962" s="12" t="s">
        <v>117</v>
      </c>
      <c r="S962" s="13">
        <v>197804454662</v>
      </c>
      <c r="T962" s="12" t="s">
        <v>105</v>
      </c>
      <c r="U962" s="13">
        <v>38</v>
      </c>
      <c r="V962" s="12" t="s">
        <v>375</v>
      </c>
      <c r="W962" s="12" t="s">
        <v>51</v>
      </c>
      <c r="X962" s="14"/>
      <c r="Y962" s="14"/>
      <c r="Z962" s="14"/>
      <c r="AA962" s="14"/>
      <c r="AB962" s="14"/>
      <c r="AC962" s="15">
        <v>36.4</v>
      </c>
      <c r="AD962" s="15">
        <f>AC962*AG962</f>
        <v>254.79999999999998</v>
      </c>
      <c r="AE962" s="15">
        <v>80</v>
      </c>
      <c r="AF962" s="15">
        <f>AE962*AG962</f>
        <v>560</v>
      </c>
      <c r="AG962" s="16">
        <v>7</v>
      </c>
    </row>
    <row r="963" spans="1:33" ht="15" customHeight="1" x14ac:dyDescent="0.2">
      <c r="A963" s="11" t="str">
        <f t="shared" ref="A963:A4419" si="419">HYPERLINK("https://assets.vans.eu/images/VN000D6ZPNK-HERO/1","VN000D6ZPNK1")</f>
        <v>VN000D6ZPNK1</v>
      </c>
      <c r="B963" s="12" t="s">
        <v>3983</v>
      </c>
      <c r="C963" s="12" t="s">
        <v>110</v>
      </c>
      <c r="D963" s="12" t="s">
        <v>3984</v>
      </c>
      <c r="E963" s="12" t="s">
        <v>3985</v>
      </c>
      <c r="F963" s="13">
        <v>60</v>
      </c>
      <c r="G963" s="12" t="s">
        <v>3986</v>
      </c>
      <c r="H963" s="12" t="s">
        <v>38</v>
      </c>
      <c r="I963" s="12" t="s">
        <v>113</v>
      </c>
      <c r="J963" s="12" t="s">
        <v>114</v>
      </c>
      <c r="K963" s="12" t="s">
        <v>82</v>
      </c>
      <c r="L963" s="14"/>
      <c r="M963" s="12" t="s">
        <v>43</v>
      </c>
      <c r="N963" s="12" t="s">
        <v>84</v>
      </c>
      <c r="O963" s="12" t="s">
        <v>3987</v>
      </c>
      <c r="P963" s="12" t="s">
        <v>46</v>
      </c>
      <c r="Q963" s="12" t="s">
        <v>47</v>
      </c>
      <c r="R963" s="12" t="s">
        <v>117</v>
      </c>
      <c r="S963" s="13">
        <v>197804457144</v>
      </c>
      <c r="T963" s="12" t="s">
        <v>105</v>
      </c>
      <c r="U963" s="13">
        <v>38</v>
      </c>
      <c r="V963" s="12" t="s">
        <v>50</v>
      </c>
      <c r="W963" s="12" t="s">
        <v>299</v>
      </c>
      <c r="X963" s="14"/>
      <c r="Y963" s="14"/>
      <c r="Z963" s="14"/>
      <c r="AA963" s="14"/>
      <c r="AB963" s="14"/>
      <c r="AC963" s="15">
        <v>43.2</v>
      </c>
      <c r="AD963" s="15">
        <f>AC963*AG963</f>
        <v>302.40000000000003</v>
      </c>
      <c r="AE963" s="15">
        <v>95</v>
      </c>
      <c r="AF963" s="15">
        <f>AE963*AG963</f>
        <v>665</v>
      </c>
      <c r="AG963" s="16">
        <v>7</v>
      </c>
    </row>
    <row r="964" spans="1:33" ht="15" customHeight="1" x14ac:dyDescent="0.2">
      <c r="A964" s="11" t="str">
        <f t="shared" si="252"/>
        <v>VN000D70CHG1</v>
      </c>
      <c r="B964" s="12" t="s">
        <v>3988</v>
      </c>
      <c r="C964" s="12" t="s">
        <v>1614</v>
      </c>
      <c r="D964" s="12" t="s">
        <v>1615</v>
      </c>
      <c r="E964" s="12" t="s">
        <v>3989</v>
      </c>
      <c r="F964" s="13">
        <v>50</v>
      </c>
      <c r="G964" s="12" t="s">
        <v>1617</v>
      </c>
      <c r="H964" s="12" t="s">
        <v>38</v>
      </c>
      <c r="I964" s="12" t="s">
        <v>113</v>
      </c>
      <c r="J964" s="12" t="s">
        <v>529</v>
      </c>
      <c r="K964" s="12" t="s">
        <v>82</v>
      </c>
      <c r="L964" s="14"/>
      <c r="M964" s="12" t="s">
        <v>43</v>
      </c>
      <c r="N964" s="12" t="s">
        <v>44</v>
      </c>
      <c r="O964" s="12" t="s">
        <v>3990</v>
      </c>
      <c r="P964" s="12" t="s">
        <v>46</v>
      </c>
      <c r="Q964" s="12" t="s">
        <v>47</v>
      </c>
      <c r="R964" s="12" t="s">
        <v>117</v>
      </c>
      <c r="S964" s="13">
        <v>197643312154</v>
      </c>
      <c r="T964" s="12" t="s">
        <v>49</v>
      </c>
      <c r="U964" s="13">
        <v>36.5</v>
      </c>
      <c r="V964" s="12" t="s">
        <v>50</v>
      </c>
      <c r="W964" s="12" t="s">
        <v>186</v>
      </c>
      <c r="X964" s="14"/>
      <c r="Y964" s="12" t="s">
        <v>53</v>
      </c>
      <c r="Z964" s="12" t="s">
        <v>263</v>
      </c>
      <c r="AA964" s="14"/>
      <c r="AB964" s="14"/>
      <c r="AC964" s="15">
        <v>50</v>
      </c>
      <c r="AD964" s="15">
        <f>AC964*AG964</f>
        <v>350</v>
      </c>
      <c r="AE964" s="15">
        <v>110</v>
      </c>
      <c r="AF964" s="15">
        <f>AE964*AG964</f>
        <v>770</v>
      </c>
      <c r="AG964" s="16">
        <v>7</v>
      </c>
    </row>
    <row r="965" spans="1:33" ht="15" customHeight="1" x14ac:dyDescent="0.2">
      <c r="A965" s="11" t="str">
        <f t="shared" si="341"/>
        <v>VN000D9ACJ71</v>
      </c>
      <c r="B965" s="12" t="s">
        <v>3991</v>
      </c>
      <c r="C965" s="12" t="s">
        <v>2143</v>
      </c>
      <c r="D965" s="12" t="s">
        <v>2144</v>
      </c>
      <c r="E965" s="12" t="s">
        <v>3992</v>
      </c>
      <c r="F965" s="13">
        <v>70</v>
      </c>
      <c r="G965" s="12" t="s">
        <v>2146</v>
      </c>
      <c r="H965" s="12" t="s">
        <v>38</v>
      </c>
      <c r="I965" s="12" t="s">
        <v>113</v>
      </c>
      <c r="J965" s="12" t="s">
        <v>529</v>
      </c>
      <c r="K965" s="12" t="s">
        <v>82</v>
      </c>
      <c r="L965" s="14"/>
      <c r="M965" s="12" t="s">
        <v>43</v>
      </c>
      <c r="N965" s="12" t="s">
        <v>84</v>
      </c>
      <c r="O965" s="12" t="s">
        <v>3993</v>
      </c>
      <c r="P965" s="12" t="s">
        <v>46</v>
      </c>
      <c r="Q965" s="12" t="s">
        <v>47</v>
      </c>
      <c r="R965" s="12" t="s">
        <v>117</v>
      </c>
      <c r="S965" s="13">
        <v>197804549306</v>
      </c>
      <c r="T965" s="12" t="s">
        <v>49</v>
      </c>
      <c r="U965" s="13">
        <v>39</v>
      </c>
      <c r="V965" s="12" t="s">
        <v>50</v>
      </c>
      <c r="W965" s="12" t="s">
        <v>175</v>
      </c>
      <c r="X965" s="14"/>
      <c r="Y965" s="14"/>
      <c r="Z965" s="14"/>
      <c r="AA965" s="14"/>
      <c r="AB965" s="14"/>
      <c r="AC965" s="15">
        <v>40.950000000000003</v>
      </c>
      <c r="AD965" s="15">
        <f>AC965*AG965</f>
        <v>286.65000000000003</v>
      </c>
      <c r="AE965" s="15">
        <v>90</v>
      </c>
      <c r="AF965" s="15">
        <f>AE965*AG965</f>
        <v>630</v>
      </c>
      <c r="AG965" s="16">
        <v>7</v>
      </c>
    </row>
    <row r="966" spans="1:33" ht="15" customHeight="1" x14ac:dyDescent="0.2">
      <c r="A966" s="11" t="str">
        <f t="shared" si="341"/>
        <v>VN000D9ACJ71</v>
      </c>
      <c r="B966" s="12" t="s">
        <v>3994</v>
      </c>
      <c r="C966" s="12" t="s">
        <v>2143</v>
      </c>
      <c r="D966" s="12" t="s">
        <v>2144</v>
      </c>
      <c r="E966" s="12" t="s">
        <v>3995</v>
      </c>
      <c r="F966" s="13">
        <v>85</v>
      </c>
      <c r="G966" s="12" t="s">
        <v>2146</v>
      </c>
      <c r="H966" s="12" t="s">
        <v>38</v>
      </c>
      <c r="I966" s="12" t="s">
        <v>113</v>
      </c>
      <c r="J966" s="12" t="s">
        <v>529</v>
      </c>
      <c r="K966" s="12" t="s">
        <v>82</v>
      </c>
      <c r="L966" s="14"/>
      <c r="M966" s="12" t="s">
        <v>43</v>
      </c>
      <c r="N966" s="12" t="s">
        <v>84</v>
      </c>
      <c r="O966" s="12" t="s">
        <v>3996</v>
      </c>
      <c r="P966" s="12" t="s">
        <v>46</v>
      </c>
      <c r="Q966" s="12" t="s">
        <v>47</v>
      </c>
      <c r="R966" s="12" t="s">
        <v>117</v>
      </c>
      <c r="S966" s="13">
        <v>197804549702</v>
      </c>
      <c r="T966" s="12" t="s">
        <v>49</v>
      </c>
      <c r="U966" s="13">
        <v>41</v>
      </c>
      <c r="V966" s="12" t="s">
        <v>50</v>
      </c>
      <c r="W966" s="12" t="s">
        <v>175</v>
      </c>
      <c r="X966" s="14"/>
      <c r="Y966" s="14"/>
      <c r="Z966" s="14"/>
      <c r="AA966" s="14"/>
      <c r="AB966" s="14"/>
      <c r="AC966" s="15">
        <v>40.950000000000003</v>
      </c>
      <c r="AD966" s="15">
        <f>AC966*AG966</f>
        <v>286.65000000000003</v>
      </c>
      <c r="AE966" s="15">
        <v>90</v>
      </c>
      <c r="AF966" s="15">
        <f>AE966*AG966</f>
        <v>630</v>
      </c>
      <c r="AG966" s="16">
        <v>7</v>
      </c>
    </row>
    <row r="967" spans="1:33" ht="15" customHeight="1" x14ac:dyDescent="0.2">
      <c r="A967" s="11" t="str">
        <f t="shared" si="341"/>
        <v>VN000D9ACJ71</v>
      </c>
      <c r="B967" s="12" t="s">
        <v>3997</v>
      </c>
      <c r="C967" s="12" t="s">
        <v>2143</v>
      </c>
      <c r="D967" s="12" t="s">
        <v>2144</v>
      </c>
      <c r="E967" s="12" t="s">
        <v>3998</v>
      </c>
      <c r="F967" s="13">
        <v>95</v>
      </c>
      <c r="G967" s="12" t="s">
        <v>2146</v>
      </c>
      <c r="H967" s="12" t="s">
        <v>38</v>
      </c>
      <c r="I967" s="12" t="s">
        <v>113</v>
      </c>
      <c r="J967" s="12" t="s">
        <v>529</v>
      </c>
      <c r="K967" s="12" t="s">
        <v>82</v>
      </c>
      <c r="L967" s="14"/>
      <c r="M967" s="12" t="s">
        <v>43</v>
      </c>
      <c r="N967" s="12" t="s">
        <v>84</v>
      </c>
      <c r="O967" s="12" t="s">
        <v>3999</v>
      </c>
      <c r="P967" s="12" t="s">
        <v>46</v>
      </c>
      <c r="Q967" s="12" t="s">
        <v>47</v>
      </c>
      <c r="R967" s="12" t="s">
        <v>117</v>
      </c>
      <c r="S967" s="13">
        <v>197804549795</v>
      </c>
      <c r="T967" s="12" t="s">
        <v>49</v>
      </c>
      <c r="U967" s="13">
        <v>42.5</v>
      </c>
      <c r="V967" s="12" t="s">
        <v>50</v>
      </c>
      <c r="W967" s="12" t="s">
        <v>175</v>
      </c>
      <c r="X967" s="14"/>
      <c r="Y967" s="14"/>
      <c r="Z967" s="14"/>
      <c r="AA967" s="14"/>
      <c r="AB967" s="14"/>
      <c r="AC967" s="15">
        <v>40.950000000000003</v>
      </c>
      <c r="AD967" s="15">
        <f>AC967*AG967</f>
        <v>286.65000000000003</v>
      </c>
      <c r="AE967" s="15">
        <v>90</v>
      </c>
      <c r="AF967" s="15">
        <f>AE967*AG967</f>
        <v>630</v>
      </c>
      <c r="AG967" s="16">
        <v>7</v>
      </c>
    </row>
    <row r="968" spans="1:33" ht="15" customHeight="1" x14ac:dyDescent="0.2">
      <c r="A968" s="11" t="str">
        <f t="shared" ref="A968:A1962" si="420">HYPERLINK("https://assets.vans.eu/images/VN000DAZF88-HERO/1","VN000DAZF881")</f>
        <v>VN000DAZF881</v>
      </c>
      <c r="B968" s="12" t="s">
        <v>4000</v>
      </c>
      <c r="C968" s="12" t="s">
        <v>4001</v>
      </c>
      <c r="D968" s="12" t="s">
        <v>4002</v>
      </c>
      <c r="E968" s="12" t="s">
        <v>4003</v>
      </c>
      <c r="F968" s="13">
        <v>65</v>
      </c>
      <c r="G968" s="14"/>
      <c r="H968" s="12" t="s">
        <v>38</v>
      </c>
      <c r="I968" s="12" t="s">
        <v>159</v>
      </c>
      <c r="J968" s="12" t="s">
        <v>160</v>
      </c>
      <c r="K968" s="12" t="s">
        <v>82</v>
      </c>
      <c r="L968" s="14"/>
      <c r="M968" s="12" t="s">
        <v>43</v>
      </c>
      <c r="N968" s="12" t="s">
        <v>84</v>
      </c>
      <c r="O968" s="12" t="s">
        <v>4004</v>
      </c>
      <c r="P968" s="12" t="s">
        <v>46</v>
      </c>
      <c r="Q968" s="12" t="s">
        <v>47</v>
      </c>
      <c r="R968" s="12" t="s">
        <v>163</v>
      </c>
      <c r="S968" s="13">
        <v>197804489022</v>
      </c>
      <c r="T968" s="12" t="s">
        <v>49</v>
      </c>
      <c r="U968" s="13">
        <v>38.5</v>
      </c>
      <c r="V968" s="12" t="s">
        <v>50</v>
      </c>
      <c r="W968" s="12" t="s">
        <v>598</v>
      </c>
      <c r="X968" s="14"/>
      <c r="Y968" s="14"/>
      <c r="Z968" s="14"/>
      <c r="AA968" s="14"/>
      <c r="AB968" s="14"/>
      <c r="AC968" s="15">
        <v>61.4</v>
      </c>
      <c r="AD968" s="15">
        <f>AC968*AG968</f>
        <v>429.8</v>
      </c>
      <c r="AE968" s="15">
        <v>135</v>
      </c>
      <c r="AF968" s="15">
        <f>AE968*AG968</f>
        <v>945</v>
      </c>
      <c r="AG968" s="16">
        <v>7</v>
      </c>
    </row>
    <row r="969" spans="1:33" ht="15" customHeight="1" x14ac:dyDescent="0.2">
      <c r="A969" s="11" t="str">
        <f t="shared" ref="A969:A1966" si="421">HYPERLINK("https://assets.vans.eu/images/VN000E89OXS-HERO/1","VN000E89OXS1")</f>
        <v>VN000E89OXS1</v>
      </c>
      <c r="B969" s="12" t="s">
        <v>4005</v>
      </c>
      <c r="C969" s="12" t="s">
        <v>3611</v>
      </c>
      <c r="D969" s="12" t="s">
        <v>4006</v>
      </c>
      <c r="E969" s="12" t="s">
        <v>4007</v>
      </c>
      <c r="F969" s="13">
        <v>80</v>
      </c>
      <c r="G969" s="12" t="s">
        <v>2814</v>
      </c>
      <c r="H969" s="12" t="s">
        <v>38</v>
      </c>
      <c r="I969" s="12" t="s">
        <v>113</v>
      </c>
      <c r="J969" s="12" t="s">
        <v>529</v>
      </c>
      <c r="K969" s="12" t="s">
        <v>82</v>
      </c>
      <c r="L969" s="12" t="s">
        <v>42</v>
      </c>
      <c r="M969" s="12" t="s">
        <v>43</v>
      </c>
      <c r="N969" s="12" t="s">
        <v>84</v>
      </c>
      <c r="O969" s="12" t="s">
        <v>4008</v>
      </c>
      <c r="P969" s="12" t="s">
        <v>46</v>
      </c>
      <c r="Q969" s="12" t="s">
        <v>47</v>
      </c>
      <c r="R969" s="12" t="s">
        <v>117</v>
      </c>
      <c r="S969" s="13">
        <v>198266544397</v>
      </c>
      <c r="T969" s="12" t="s">
        <v>49</v>
      </c>
      <c r="U969" s="13">
        <v>40.5</v>
      </c>
      <c r="V969" s="12" t="s">
        <v>50</v>
      </c>
      <c r="W969" s="12" t="s">
        <v>175</v>
      </c>
      <c r="X969" s="14"/>
      <c r="Y969" s="14"/>
      <c r="Z969" s="14"/>
      <c r="AA969" s="14"/>
      <c r="AB969" s="14"/>
      <c r="AC969" s="15">
        <v>45.5</v>
      </c>
      <c r="AD969" s="15">
        <f>AC969*AG969</f>
        <v>318.5</v>
      </c>
      <c r="AE969" s="15">
        <v>100</v>
      </c>
      <c r="AF969" s="15">
        <f>AE969*AG969</f>
        <v>700</v>
      </c>
      <c r="AG969" s="16">
        <v>7</v>
      </c>
    </row>
    <row r="970" spans="1:33" ht="15" customHeight="1" x14ac:dyDescent="0.2">
      <c r="A970" s="11" t="str">
        <f>HYPERLINK("https://assets.vans.eu/images/VN000E8CGMX-HERO/1","VN000E8CGMX1")</f>
        <v>VN000E8CGMX1</v>
      </c>
      <c r="B970" s="12" t="s">
        <v>4009</v>
      </c>
      <c r="C970" s="12" t="s">
        <v>2309</v>
      </c>
      <c r="D970" s="12" t="s">
        <v>2310</v>
      </c>
      <c r="E970" s="12" t="s">
        <v>4010</v>
      </c>
      <c r="F970" s="13">
        <v>95</v>
      </c>
      <c r="G970" s="12" t="s">
        <v>2273</v>
      </c>
      <c r="H970" s="12" t="s">
        <v>38</v>
      </c>
      <c r="I970" s="12" t="s">
        <v>113</v>
      </c>
      <c r="J970" s="12" t="s">
        <v>114</v>
      </c>
      <c r="K970" s="12" t="s">
        <v>82</v>
      </c>
      <c r="L970" s="12" t="s">
        <v>42</v>
      </c>
      <c r="M970" s="12" t="s">
        <v>43</v>
      </c>
      <c r="N970" s="12" t="s">
        <v>84</v>
      </c>
      <c r="O970" s="12" t="s">
        <v>4011</v>
      </c>
      <c r="P970" s="12" t="s">
        <v>46</v>
      </c>
      <c r="Q970" s="12" t="s">
        <v>47</v>
      </c>
      <c r="R970" s="12" t="s">
        <v>117</v>
      </c>
      <c r="S970" s="13">
        <v>197805860936</v>
      </c>
      <c r="T970" s="12" t="s">
        <v>49</v>
      </c>
      <c r="U970" s="13">
        <v>42.5</v>
      </c>
      <c r="V970" s="12" t="s">
        <v>209</v>
      </c>
      <c r="W970" s="12" t="s">
        <v>262</v>
      </c>
      <c r="X970" s="14"/>
      <c r="Y970" s="14"/>
      <c r="Z970" s="14"/>
      <c r="AA970" s="14"/>
      <c r="AB970" s="14"/>
      <c r="AC970" s="15">
        <v>43.2</v>
      </c>
      <c r="AD970" s="15">
        <f>AC970*AG970</f>
        <v>302.40000000000003</v>
      </c>
      <c r="AE970" s="15">
        <v>95</v>
      </c>
      <c r="AF970" s="15">
        <f>AE970*AG970</f>
        <v>665</v>
      </c>
      <c r="AG970" s="16">
        <v>7</v>
      </c>
    </row>
    <row r="971" spans="1:33" ht="15" customHeight="1" x14ac:dyDescent="0.2">
      <c r="A971" s="11" t="str">
        <f>HYPERLINK("https://assets.vans.eu/images/VN000E8WG58-HERO/1","VN000E8WG581")</f>
        <v>VN000E8WG581</v>
      </c>
      <c r="B971" s="12" t="s">
        <v>4012</v>
      </c>
      <c r="C971" s="12" t="s">
        <v>34</v>
      </c>
      <c r="D971" s="12" t="s">
        <v>2149</v>
      </c>
      <c r="E971" s="12" t="s">
        <v>4013</v>
      </c>
      <c r="F971" s="13">
        <v>110</v>
      </c>
      <c r="G971" s="14"/>
      <c r="H971" s="12" t="s">
        <v>38</v>
      </c>
      <c r="I971" s="12" t="s">
        <v>113</v>
      </c>
      <c r="J971" s="12" t="s">
        <v>114</v>
      </c>
      <c r="K971" s="12" t="s">
        <v>82</v>
      </c>
      <c r="L971" s="12" t="s">
        <v>260</v>
      </c>
      <c r="M971" s="12" t="s">
        <v>43</v>
      </c>
      <c r="N971" s="12" t="s">
        <v>84</v>
      </c>
      <c r="O971" s="12" t="s">
        <v>4014</v>
      </c>
      <c r="P971" s="12" t="s">
        <v>46</v>
      </c>
      <c r="Q971" s="12" t="s">
        <v>47</v>
      </c>
      <c r="R971" s="12" t="s">
        <v>117</v>
      </c>
      <c r="S971" s="13">
        <v>198266178127</v>
      </c>
      <c r="T971" s="12" t="s">
        <v>164</v>
      </c>
      <c r="U971" s="13">
        <v>44.5</v>
      </c>
      <c r="V971" s="12" t="s">
        <v>50</v>
      </c>
      <c r="W971" s="12" t="s">
        <v>51</v>
      </c>
      <c r="X971" s="14"/>
      <c r="Y971" s="14"/>
      <c r="Z971" s="14"/>
      <c r="AA971" s="14"/>
      <c r="AB971" s="14"/>
      <c r="AC971" s="15">
        <v>43.2</v>
      </c>
      <c r="AD971" s="15">
        <f>AC971*AG971</f>
        <v>302.40000000000003</v>
      </c>
      <c r="AE971" s="15">
        <v>95</v>
      </c>
      <c r="AF971" s="15">
        <f>AE971*AG971</f>
        <v>665</v>
      </c>
      <c r="AG971" s="16">
        <v>7</v>
      </c>
    </row>
    <row r="972" spans="1:33" ht="15" customHeight="1" x14ac:dyDescent="0.2">
      <c r="A972" s="11" t="str">
        <f t="shared" si="253"/>
        <v>VN000EA9BA21</v>
      </c>
      <c r="B972" s="12" t="s">
        <v>4015</v>
      </c>
      <c r="C972" s="12" t="s">
        <v>2623</v>
      </c>
      <c r="D972" s="12" t="s">
        <v>1844</v>
      </c>
      <c r="E972" s="12" t="s">
        <v>4016</v>
      </c>
      <c r="F972" s="13">
        <v>120</v>
      </c>
      <c r="G972" s="12" t="s">
        <v>2625</v>
      </c>
      <c r="H972" s="12" t="s">
        <v>38</v>
      </c>
      <c r="I972" s="12" t="s">
        <v>113</v>
      </c>
      <c r="J972" s="12" t="s">
        <v>114</v>
      </c>
      <c r="K972" s="12" t="s">
        <v>82</v>
      </c>
      <c r="L972" s="12" t="s">
        <v>115</v>
      </c>
      <c r="M972" s="12" t="s">
        <v>43</v>
      </c>
      <c r="N972" s="12" t="s">
        <v>84</v>
      </c>
      <c r="O972" s="12" t="s">
        <v>4017</v>
      </c>
      <c r="P972" s="12" t="s">
        <v>46</v>
      </c>
      <c r="Q972" s="12" t="s">
        <v>47</v>
      </c>
      <c r="R972" s="12" t="s">
        <v>117</v>
      </c>
      <c r="S972" s="13">
        <v>197805861254</v>
      </c>
      <c r="T972" s="12" t="s">
        <v>49</v>
      </c>
      <c r="U972" s="13">
        <v>46</v>
      </c>
      <c r="V972" s="12" t="s">
        <v>209</v>
      </c>
      <c r="W972" s="12" t="s">
        <v>51</v>
      </c>
      <c r="X972" s="14"/>
      <c r="Y972" s="14"/>
      <c r="Z972" s="14"/>
      <c r="AA972" s="14"/>
      <c r="AB972" s="14"/>
      <c r="AC972" s="15">
        <v>40.950000000000003</v>
      </c>
      <c r="AD972" s="15">
        <f>AC972*AG972</f>
        <v>286.65000000000003</v>
      </c>
      <c r="AE972" s="15">
        <v>90</v>
      </c>
      <c r="AF972" s="15">
        <f>AE972*AG972</f>
        <v>630</v>
      </c>
      <c r="AG972" s="16">
        <v>7</v>
      </c>
    </row>
    <row r="973" spans="1:33" ht="15" customHeight="1" x14ac:dyDescent="0.2">
      <c r="A973" s="11" t="str">
        <f>HYPERLINK("https://assets.vans.eu/images/VN000EC4B5T-HERO/1","VN000EC4B5T1")</f>
        <v>VN000EC4B5T1</v>
      </c>
      <c r="B973" s="12" t="s">
        <v>4018</v>
      </c>
      <c r="C973" s="12" t="s">
        <v>251</v>
      </c>
      <c r="D973" s="12" t="s">
        <v>4019</v>
      </c>
      <c r="E973" s="12" t="s">
        <v>4020</v>
      </c>
      <c r="F973" s="13">
        <v>65</v>
      </c>
      <c r="G973" s="12" t="s">
        <v>578</v>
      </c>
      <c r="H973" s="12" t="s">
        <v>38</v>
      </c>
      <c r="I973" s="12" t="s">
        <v>113</v>
      </c>
      <c r="J973" s="12" t="s">
        <v>529</v>
      </c>
      <c r="K973" s="12" t="s">
        <v>82</v>
      </c>
      <c r="L973" s="12" t="s">
        <v>260</v>
      </c>
      <c r="M973" s="12" t="s">
        <v>43</v>
      </c>
      <c r="N973" s="12" t="s">
        <v>84</v>
      </c>
      <c r="O973" s="12" t="s">
        <v>4021</v>
      </c>
      <c r="P973" s="12" t="s">
        <v>46</v>
      </c>
      <c r="Q973" s="12" t="s">
        <v>47</v>
      </c>
      <c r="R973" s="12" t="s">
        <v>117</v>
      </c>
      <c r="S973" s="13">
        <v>198266309101</v>
      </c>
      <c r="T973" s="12" t="s">
        <v>105</v>
      </c>
      <c r="U973" s="13">
        <v>38.5</v>
      </c>
      <c r="V973" s="12" t="s">
        <v>50</v>
      </c>
      <c r="W973" s="12" t="s">
        <v>51</v>
      </c>
      <c r="X973" s="14"/>
      <c r="Y973" s="14"/>
      <c r="Z973" s="14"/>
      <c r="AA973" s="14"/>
      <c r="AB973" s="14"/>
      <c r="AC973" s="15">
        <v>50</v>
      </c>
      <c r="AD973" s="15">
        <f>AC973*AG973</f>
        <v>350</v>
      </c>
      <c r="AE973" s="15">
        <v>110</v>
      </c>
      <c r="AF973" s="15">
        <f>AE973*AG973</f>
        <v>770</v>
      </c>
      <c r="AG973" s="16">
        <v>7</v>
      </c>
    </row>
    <row r="974" spans="1:33" ht="15" customHeight="1" x14ac:dyDescent="0.2">
      <c r="A974" s="11" t="str">
        <f t="shared" si="281"/>
        <v>VN000EC4DJR1</v>
      </c>
      <c r="B974" s="12" t="s">
        <v>4022</v>
      </c>
      <c r="C974" s="12" t="s">
        <v>251</v>
      </c>
      <c r="D974" s="12" t="s">
        <v>2829</v>
      </c>
      <c r="E974" s="12" t="s">
        <v>4023</v>
      </c>
      <c r="F974" s="13">
        <v>65</v>
      </c>
      <c r="G974" s="12" t="s">
        <v>2831</v>
      </c>
      <c r="H974" s="12" t="s">
        <v>38</v>
      </c>
      <c r="I974" s="12" t="s">
        <v>113</v>
      </c>
      <c r="J974" s="12" t="s">
        <v>529</v>
      </c>
      <c r="K974" s="12" t="s">
        <v>82</v>
      </c>
      <c r="L974" s="12" t="s">
        <v>115</v>
      </c>
      <c r="M974" s="12" t="s">
        <v>43</v>
      </c>
      <c r="N974" s="12" t="s">
        <v>84</v>
      </c>
      <c r="O974" s="12" t="s">
        <v>4024</v>
      </c>
      <c r="P974" s="12" t="s">
        <v>46</v>
      </c>
      <c r="Q974" s="12" t="s">
        <v>47</v>
      </c>
      <c r="R974" s="12" t="s">
        <v>117</v>
      </c>
      <c r="S974" s="13">
        <v>197805772949</v>
      </c>
      <c r="T974" s="12" t="s">
        <v>105</v>
      </c>
      <c r="U974" s="13">
        <v>38.5</v>
      </c>
      <c r="V974" s="12" t="s">
        <v>209</v>
      </c>
      <c r="W974" s="12" t="s">
        <v>175</v>
      </c>
      <c r="X974" s="14"/>
      <c r="Y974" s="14"/>
      <c r="Z974" s="14"/>
      <c r="AA974" s="14"/>
      <c r="AB974" s="14"/>
      <c r="AC974" s="15">
        <v>47.75</v>
      </c>
      <c r="AD974" s="15">
        <f>AC974*AG974</f>
        <v>334.25</v>
      </c>
      <c r="AE974" s="15">
        <v>105</v>
      </c>
      <c r="AF974" s="15">
        <f>AE974*AG974</f>
        <v>735</v>
      </c>
      <c r="AG974" s="16">
        <v>7</v>
      </c>
    </row>
    <row r="975" spans="1:33" ht="15" customHeight="1" x14ac:dyDescent="0.2">
      <c r="A975" s="11" t="str">
        <f t="shared" ref="A975:A2794" si="422">HYPERLINK("https://assets.vans.eu/images/VN000EC4RV2-HERO/1","VN000EC4RV21")</f>
        <v>VN000EC4RV21</v>
      </c>
      <c r="B975" s="12" t="s">
        <v>4025</v>
      </c>
      <c r="C975" s="12" t="s">
        <v>251</v>
      </c>
      <c r="D975" s="12" t="s">
        <v>1428</v>
      </c>
      <c r="E975" s="12" t="s">
        <v>4026</v>
      </c>
      <c r="F975" s="13">
        <v>40</v>
      </c>
      <c r="G975" s="12" t="s">
        <v>2437</v>
      </c>
      <c r="H975" s="12" t="s">
        <v>38</v>
      </c>
      <c r="I975" s="12" t="s">
        <v>113</v>
      </c>
      <c r="J975" s="12" t="s">
        <v>529</v>
      </c>
      <c r="K975" s="12" t="s">
        <v>82</v>
      </c>
      <c r="L975" s="12" t="s">
        <v>115</v>
      </c>
      <c r="M975" s="12" t="s">
        <v>43</v>
      </c>
      <c r="N975" s="12" t="s">
        <v>84</v>
      </c>
      <c r="O975" s="12" t="s">
        <v>4027</v>
      </c>
      <c r="P975" s="12" t="s">
        <v>46</v>
      </c>
      <c r="Q975" s="12" t="s">
        <v>47</v>
      </c>
      <c r="R975" s="12" t="s">
        <v>117</v>
      </c>
      <c r="S975" s="13">
        <v>197805862190</v>
      </c>
      <c r="T975" s="12" t="s">
        <v>49</v>
      </c>
      <c r="U975" s="13">
        <v>35</v>
      </c>
      <c r="V975" s="12" t="s">
        <v>50</v>
      </c>
      <c r="W975" s="12" t="s">
        <v>51</v>
      </c>
      <c r="X975" s="14"/>
      <c r="Y975" s="14"/>
      <c r="Z975" s="14"/>
      <c r="AA975" s="14"/>
      <c r="AB975" s="14"/>
      <c r="AC975" s="15">
        <v>50</v>
      </c>
      <c r="AD975" s="15">
        <f>AC975*AG975</f>
        <v>350</v>
      </c>
      <c r="AE975" s="15">
        <v>110</v>
      </c>
      <c r="AF975" s="15">
        <f>AE975*AG975</f>
        <v>770</v>
      </c>
      <c r="AG975" s="16">
        <v>7</v>
      </c>
    </row>
    <row r="976" spans="1:33" ht="15" customHeight="1" x14ac:dyDescent="0.2">
      <c r="A976" s="11" t="str">
        <f t="shared" ref="A976:A4672" si="423">HYPERLINK("https://assets.vans.eu/images/VN000S65ZS6-HERO/1","VN000S65ZS61")</f>
        <v>VN000S65ZS61</v>
      </c>
      <c r="B976" s="12" t="s">
        <v>4028</v>
      </c>
      <c r="C976" s="12" t="s">
        <v>4029</v>
      </c>
      <c r="D976" s="12" t="s">
        <v>4030</v>
      </c>
      <c r="E976" s="12" t="s">
        <v>4031</v>
      </c>
      <c r="F976" s="13">
        <v>130</v>
      </c>
      <c r="G976" s="14"/>
      <c r="H976" s="12" t="s">
        <v>38</v>
      </c>
      <c r="I976" s="12" t="s">
        <v>159</v>
      </c>
      <c r="J976" s="12" t="s">
        <v>255</v>
      </c>
      <c r="K976" s="12" t="s">
        <v>82</v>
      </c>
      <c r="L976" s="12" t="s">
        <v>260</v>
      </c>
      <c r="M976" s="12" t="s">
        <v>43</v>
      </c>
      <c r="N976" s="12" t="s">
        <v>161</v>
      </c>
      <c r="O976" s="12" t="s">
        <v>4032</v>
      </c>
      <c r="P976" s="12" t="s">
        <v>46</v>
      </c>
      <c r="Q976" s="12" t="s">
        <v>47</v>
      </c>
      <c r="R976" s="12" t="s">
        <v>163</v>
      </c>
      <c r="S976" s="13">
        <v>197642370728</v>
      </c>
      <c r="T976" s="12" t="s">
        <v>49</v>
      </c>
      <c r="U976" s="13">
        <v>47</v>
      </c>
      <c r="V976" s="12" t="s">
        <v>50</v>
      </c>
      <c r="W976" s="12" t="s">
        <v>299</v>
      </c>
      <c r="X976" s="14"/>
      <c r="Y976" s="12" t="s">
        <v>53</v>
      </c>
      <c r="Z976" s="12" t="s">
        <v>165</v>
      </c>
      <c r="AA976" s="14"/>
      <c r="AB976" s="12" t="s">
        <v>264</v>
      </c>
      <c r="AC976" s="15">
        <v>47.75</v>
      </c>
      <c r="AD976" s="15">
        <f>AC976*AG976</f>
        <v>334.25</v>
      </c>
      <c r="AE976" s="15">
        <v>105</v>
      </c>
      <c r="AF976" s="15">
        <f>AE976*AG976</f>
        <v>735</v>
      </c>
      <c r="AG976" s="16">
        <v>7</v>
      </c>
    </row>
    <row r="977" spans="1:33" ht="15" customHeight="1" x14ac:dyDescent="0.2">
      <c r="A977" s="11" t="str">
        <f t="shared" si="378"/>
        <v>VN0A5FCB1N61</v>
      </c>
      <c r="B977" s="12" t="s">
        <v>4033</v>
      </c>
      <c r="C977" s="12" t="s">
        <v>996</v>
      </c>
      <c r="D977" s="12" t="s">
        <v>2181</v>
      </c>
      <c r="E977" s="12" t="s">
        <v>4034</v>
      </c>
      <c r="F977" s="13">
        <v>70</v>
      </c>
      <c r="G977" s="14"/>
      <c r="H977" s="12" t="s">
        <v>38</v>
      </c>
      <c r="I977" s="12" t="s">
        <v>159</v>
      </c>
      <c r="J977" s="12" t="s">
        <v>341</v>
      </c>
      <c r="K977" s="12" t="s">
        <v>199</v>
      </c>
      <c r="L977" s="14"/>
      <c r="M977" s="12" t="s">
        <v>43</v>
      </c>
      <c r="N977" s="12" t="s">
        <v>84</v>
      </c>
      <c r="O977" s="12" t="s">
        <v>4035</v>
      </c>
      <c r="P977" s="12" t="s">
        <v>46</v>
      </c>
      <c r="Q977" s="12" t="s">
        <v>47</v>
      </c>
      <c r="R977" s="12" t="s">
        <v>163</v>
      </c>
      <c r="S977" s="13">
        <v>197063314516</v>
      </c>
      <c r="T977" s="12" t="s">
        <v>49</v>
      </c>
      <c r="U977" s="13">
        <v>39</v>
      </c>
      <c r="V977" s="12" t="s">
        <v>50</v>
      </c>
      <c r="W977" s="12" t="s">
        <v>455</v>
      </c>
      <c r="X977" s="14"/>
      <c r="Y977" s="12" t="s">
        <v>91</v>
      </c>
      <c r="Z977" s="12" t="s">
        <v>344</v>
      </c>
      <c r="AA977" s="14"/>
      <c r="AB977" s="14"/>
      <c r="AC977" s="15">
        <v>38.65</v>
      </c>
      <c r="AD977" s="15">
        <f>AC977*AG977</f>
        <v>270.55</v>
      </c>
      <c r="AE977" s="15">
        <v>85</v>
      </c>
      <c r="AF977" s="15">
        <f>AE977*AG977</f>
        <v>595</v>
      </c>
      <c r="AG977" s="16">
        <v>7</v>
      </c>
    </row>
    <row r="978" spans="1:33" ht="15" customHeight="1" x14ac:dyDescent="0.2">
      <c r="A978" s="11" t="str">
        <f>HYPERLINK("https://assets.vans.eu/images/VN0A5KR5YJ7-HERO/1","VN0A5KR5YJ71")</f>
        <v>VN0A5KR5YJ71</v>
      </c>
      <c r="B978" s="12" t="s">
        <v>4036</v>
      </c>
      <c r="C978" s="12" t="s">
        <v>4037</v>
      </c>
      <c r="D978" s="12" t="s">
        <v>1300</v>
      </c>
      <c r="E978" s="12" t="s">
        <v>4038</v>
      </c>
      <c r="F978" s="13">
        <v>50</v>
      </c>
      <c r="G978" s="14"/>
      <c r="H978" s="12" t="s">
        <v>38</v>
      </c>
      <c r="I978" s="12" t="s">
        <v>159</v>
      </c>
      <c r="J978" s="12" t="s">
        <v>255</v>
      </c>
      <c r="K978" s="12" t="s">
        <v>82</v>
      </c>
      <c r="L978" s="12" t="s">
        <v>115</v>
      </c>
      <c r="M978" s="12" t="s">
        <v>43</v>
      </c>
      <c r="N978" s="12" t="s">
        <v>101</v>
      </c>
      <c r="O978" s="12" t="s">
        <v>4039</v>
      </c>
      <c r="P978" s="12" t="s">
        <v>46</v>
      </c>
      <c r="Q978" s="12" t="s">
        <v>47</v>
      </c>
      <c r="R978" s="12" t="s">
        <v>163</v>
      </c>
      <c r="S978" s="13">
        <v>196574962469</v>
      </c>
      <c r="T978" s="12" t="s">
        <v>143</v>
      </c>
      <c r="U978" s="13">
        <v>36.5</v>
      </c>
      <c r="V978" s="12" t="s">
        <v>50</v>
      </c>
      <c r="W978" s="12" t="s">
        <v>51</v>
      </c>
      <c r="X978" s="14"/>
      <c r="Y978" s="12" t="s">
        <v>91</v>
      </c>
      <c r="Z978" s="12" t="s">
        <v>92</v>
      </c>
      <c r="AA978" s="12" t="s">
        <v>3224</v>
      </c>
      <c r="AB978" s="12" t="s">
        <v>94</v>
      </c>
      <c r="AC978" s="15">
        <v>40.950000000000003</v>
      </c>
      <c r="AD978" s="15">
        <f>AC978*AG978</f>
        <v>286.65000000000003</v>
      </c>
      <c r="AE978" s="15">
        <v>90</v>
      </c>
      <c r="AF978" s="15">
        <f>AE978*AG978</f>
        <v>630</v>
      </c>
      <c r="AG978" s="16">
        <v>7</v>
      </c>
    </row>
    <row r="979" spans="1:33" ht="15" customHeight="1" x14ac:dyDescent="0.2">
      <c r="A979" s="11" t="str">
        <f>HYPERLINK("https://assets.vans.eu/images/VN000EZ1CG4-HERO/1","VN000EZ1CG41")</f>
        <v>VN000EZ1CG41</v>
      </c>
      <c r="B979" s="12" t="s">
        <v>4040</v>
      </c>
      <c r="C979" s="12" t="s">
        <v>3325</v>
      </c>
      <c r="D979" s="12" t="s">
        <v>4041</v>
      </c>
      <c r="E979" s="12" t="s">
        <v>4042</v>
      </c>
      <c r="F979" s="13">
        <v>16</v>
      </c>
      <c r="G979" s="14"/>
      <c r="H979" s="12" t="s">
        <v>79</v>
      </c>
      <c r="I979" s="12" t="s">
        <v>125</v>
      </c>
      <c r="J979" s="12" t="s">
        <v>139</v>
      </c>
      <c r="K979" s="12" t="s">
        <v>41</v>
      </c>
      <c r="L979" s="14"/>
      <c r="M979" s="12" t="s">
        <v>43</v>
      </c>
      <c r="N979" s="12" t="s">
        <v>274</v>
      </c>
      <c r="O979" s="12" t="s">
        <v>4043</v>
      </c>
      <c r="P979" s="12" t="s">
        <v>86</v>
      </c>
      <c r="Q979" s="12" t="s">
        <v>141</v>
      </c>
      <c r="R979" s="12" t="s">
        <v>142</v>
      </c>
      <c r="S979" s="13">
        <v>197063465799</v>
      </c>
      <c r="T979" s="12" t="s">
        <v>69</v>
      </c>
      <c r="U979" s="13">
        <v>16</v>
      </c>
      <c r="V979" s="12" t="s">
        <v>3328</v>
      </c>
      <c r="W979" s="12" t="s">
        <v>51</v>
      </c>
      <c r="X979" s="13">
        <v>0</v>
      </c>
      <c r="Y979" s="12" t="s">
        <v>91</v>
      </c>
      <c r="Z979" s="12" t="s">
        <v>108</v>
      </c>
      <c r="AA979" s="13">
        <v>0</v>
      </c>
      <c r="AB979" s="13">
        <v>0</v>
      </c>
      <c r="AC979" s="15">
        <v>8.1999999999999993</v>
      </c>
      <c r="AD979" s="15">
        <f>AC979*AG979</f>
        <v>49.199999999999996</v>
      </c>
      <c r="AE979" s="15">
        <v>18</v>
      </c>
      <c r="AF979" s="15">
        <f>AE979*AG979</f>
        <v>108</v>
      </c>
      <c r="AG979" s="16">
        <v>6</v>
      </c>
    </row>
    <row r="980" spans="1:33" ht="15" customHeight="1" x14ac:dyDescent="0.2">
      <c r="A980" s="11" t="str">
        <f>HYPERLINK("https://assets.vans.eu/images/VN000F9HBSM-HERO/1","VN000F9HBSM1")</f>
        <v>VN000F9HBSM1</v>
      </c>
      <c r="B980" s="12" t="s">
        <v>4044</v>
      </c>
      <c r="C980" s="12" t="s">
        <v>4045</v>
      </c>
      <c r="D980" s="12" t="s">
        <v>4046</v>
      </c>
      <c r="E980" s="12" t="s">
        <v>4047</v>
      </c>
      <c r="F980" s="12" t="s">
        <v>78</v>
      </c>
      <c r="G980" s="14"/>
      <c r="H980" s="12" t="s">
        <v>79</v>
      </c>
      <c r="I980" s="12" t="s">
        <v>125</v>
      </c>
      <c r="J980" s="12" t="s">
        <v>126</v>
      </c>
      <c r="K980" s="12" t="s">
        <v>1022</v>
      </c>
      <c r="L980" s="14"/>
      <c r="M980" s="12" t="s">
        <v>43</v>
      </c>
      <c r="N980" s="12" t="s">
        <v>2457</v>
      </c>
      <c r="O980" s="12" t="s">
        <v>4048</v>
      </c>
      <c r="P980" s="12" t="s">
        <v>86</v>
      </c>
      <c r="Q980" s="12" t="s">
        <v>128</v>
      </c>
      <c r="R980" s="12" t="s">
        <v>129</v>
      </c>
      <c r="S980" s="13">
        <v>196574912914</v>
      </c>
      <c r="T980" s="12" t="s">
        <v>130</v>
      </c>
      <c r="U980" s="12" t="s">
        <v>78</v>
      </c>
      <c r="V980" s="12" t="s">
        <v>353</v>
      </c>
      <c r="W980" s="12" t="s">
        <v>580</v>
      </c>
      <c r="X980" s="13">
        <v>0</v>
      </c>
      <c r="Y980" s="12" t="s">
        <v>91</v>
      </c>
      <c r="Z980" s="12" t="s">
        <v>108</v>
      </c>
      <c r="AA980" s="13">
        <v>0</v>
      </c>
      <c r="AB980" s="13">
        <v>0</v>
      </c>
      <c r="AC980" s="15">
        <v>10.95</v>
      </c>
      <c r="AD980" s="15">
        <f>AC980*AG980</f>
        <v>65.699999999999989</v>
      </c>
      <c r="AE980" s="15">
        <v>24</v>
      </c>
      <c r="AF980" s="15">
        <f>AE980*AG980</f>
        <v>144</v>
      </c>
      <c r="AG980" s="16">
        <v>6</v>
      </c>
    </row>
    <row r="981" spans="1:33" ht="15" customHeight="1" x14ac:dyDescent="0.2">
      <c r="A981" s="11" t="str">
        <f>HYPERLINK("https://assets.vans.eu/images/VN000GMZ1RE-HERO/1","VN000GMZ1RE1")</f>
        <v>VN000GMZ1RE1</v>
      </c>
      <c r="B981" s="12" t="s">
        <v>4049</v>
      </c>
      <c r="C981" s="12" t="s">
        <v>4050</v>
      </c>
      <c r="D981" s="12" t="s">
        <v>4051</v>
      </c>
      <c r="E981" s="12" t="s">
        <v>4052</v>
      </c>
      <c r="F981" s="12" t="s">
        <v>78</v>
      </c>
      <c r="G981" s="14"/>
      <c r="H981" s="12" t="s">
        <v>79</v>
      </c>
      <c r="I981" s="12" t="s">
        <v>80</v>
      </c>
      <c r="J981" s="12" t="s">
        <v>99</v>
      </c>
      <c r="K981" s="12" t="s">
        <v>82</v>
      </c>
      <c r="L981" s="14"/>
      <c r="M981" s="12" t="s">
        <v>43</v>
      </c>
      <c r="N981" s="12" t="s">
        <v>84</v>
      </c>
      <c r="O981" s="12" t="s">
        <v>4053</v>
      </c>
      <c r="P981" s="12" t="s">
        <v>86</v>
      </c>
      <c r="Q981" s="12" t="s">
        <v>716</v>
      </c>
      <c r="R981" s="12" t="s">
        <v>717</v>
      </c>
      <c r="S981" s="13">
        <v>197804384365</v>
      </c>
      <c r="T981" s="12" t="s">
        <v>143</v>
      </c>
      <c r="U981" s="12" t="s">
        <v>78</v>
      </c>
      <c r="V981" s="12" t="s">
        <v>718</v>
      </c>
      <c r="W981" s="12" t="s">
        <v>118</v>
      </c>
      <c r="X981" s="14"/>
      <c r="Y981" s="14"/>
      <c r="Z981" s="14"/>
      <c r="AA981" s="14"/>
      <c r="AB981" s="14"/>
      <c r="AC981" s="15">
        <v>8.1999999999999993</v>
      </c>
      <c r="AD981" s="15">
        <f>AC981*AG981</f>
        <v>49.199999999999996</v>
      </c>
      <c r="AE981" s="15">
        <v>18</v>
      </c>
      <c r="AF981" s="15">
        <f>AE981*AG981</f>
        <v>108</v>
      </c>
      <c r="AG981" s="16">
        <v>6</v>
      </c>
    </row>
    <row r="982" spans="1:33" ht="15" customHeight="1" x14ac:dyDescent="0.2">
      <c r="A982" s="11" t="str">
        <f>HYPERLINK("https://assets.vans.eu/images/VN000HSXEMX-HERO/1","VN000HSXEMX1")</f>
        <v>VN000HSXEMX1</v>
      </c>
      <c r="B982" s="12" t="s">
        <v>4054</v>
      </c>
      <c r="C982" s="12" t="s">
        <v>4055</v>
      </c>
      <c r="D982" s="12" t="s">
        <v>2969</v>
      </c>
      <c r="E982" s="12" t="s">
        <v>4056</v>
      </c>
      <c r="F982" s="12" t="s">
        <v>78</v>
      </c>
      <c r="G982" s="14"/>
      <c r="H982" s="12" t="s">
        <v>79</v>
      </c>
      <c r="I982" s="12" t="s">
        <v>80</v>
      </c>
      <c r="J982" s="12" t="s">
        <v>349</v>
      </c>
      <c r="K982" s="12" t="s">
        <v>82</v>
      </c>
      <c r="L982" s="14"/>
      <c r="M982" s="12" t="s">
        <v>43</v>
      </c>
      <c r="N982" s="12" t="s">
        <v>84</v>
      </c>
      <c r="O982" s="12" t="s">
        <v>4057</v>
      </c>
      <c r="P982" s="12" t="s">
        <v>86</v>
      </c>
      <c r="Q982" s="12" t="s">
        <v>128</v>
      </c>
      <c r="R982" s="12" t="s">
        <v>352</v>
      </c>
      <c r="S982" s="13">
        <v>197804385348</v>
      </c>
      <c r="T982" s="12" t="s">
        <v>164</v>
      </c>
      <c r="U982" s="12" t="s">
        <v>78</v>
      </c>
      <c r="V982" s="12" t="s">
        <v>2037</v>
      </c>
      <c r="W982" s="12" t="s">
        <v>625</v>
      </c>
      <c r="X982" s="14"/>
      <c r="Y982" s="14"/>
      <c r="Z982" s="14"/>
      <c r="AA982" s="14"/>
      <c r="AB982" s="14"/>
      <c r="AC982" s="15">
        <v>12.75</v>
      </c>
      <c r="AD982" s="15">
        <f>AC982*AG982</f>
        <v>76.5</v>
      </c>
      <c r="AE982" s="15">
        <v>28</v>
      </c>
      <c r="AF982" s="15">
        <f>AE982*AG982</f>
        <v>168</v>
      </c>
      <c r="AG982" s="16">
        <v>6</v>
      </c>
    </row>
    <row r="983" spans="1:33" ht="15" customHeight="1" x14ac:dyDescent="0.2">
      <c r="A983" s="11" t="str">
        <f>HYPERLINK("https://assets.vans.eu/images/VN000JQ7WHT-HERO/1","VN000JQ7WHT1")</f>
        <v>VN000JQ7WHT1</v>
      </c>
      <c r="B983" s="12" t="s">
        <v>4058</v>
      </c>
      <c r="C983" s="12" t="s">
        <v>167</v>
      </c>
      <c r="D983" s="12" t="s">
        <v>168</v>
      </c>
      <c r="E983" s="12" t="s">
        <v>4059</v>
      </c>
      <c r="F983" s="13">
        <v>122</v>
      </c>
      <c r="G983" s="14"/>
      <c r="H983" s="12" t="s">
        <v>79</v>
      </c>
      <c r="I983" s="12" t="s">
        <v>472</v>
      </c>
      <c r="J983" s="12" t="s">
        <v>473</v>
      </c>
      <c r="K983" s="12" t="s">
        <v>474</v>
      </c>
      <c r="L983" s="14"/>
      <c r="M983" s="12" t="s">
        <v>43</v>
      </c>
      <c r="N983" s="12" t="s">
        <v>161</v>
      </c>
      <c r="O983" s="12" t="s">
        <v>4060</v>
      </c>
      <c r="P983" s="12" t="s">
        <v>86</v>
      </c>
      <c r="Q983" s="12" t="s">
        <v>141</v>
      </c>
      <c r="R983" s="12" t="s">
        <v>142</v>
      </c>
      <c r="S983" s="13">
        <v>197065713478</v>
      </c>
      <c r="T983" s="12" t="s">
        <v>143</v>
      </c>
      <c r="U983" s="12" t="s">
        <v>602</v>
      </c>
      <c r="V983" s="12" t="s">
        <v>4061</v>
      </c>
      <c r="W983" s="12" t="s">
        <v>175</v>
      </c>
      <c r="X983" s="13">
        <v>0</v>
      </c>
      <c r="Y983" s="12" t="s">
        <v>91</v>
      </c>
      <c r="Z983" s="12" t="s">
        <v>108</v>
      </c>
      <c r="AA983" s="13">
        <v>0</v>
      </c>
      <c r="AB983" s="13">
        <v>0</v>
      </c>
      <c r="AC983" s="15">
        <v>7.3</v>
      </c>
      <c r="AD983" s="15">
        <f>AC983*AG983</f>
        <v>43.8</v>
      </c>
      <c r="AE983" s="15">
        <v>16</v>
      </c>
      <c r="AF983" s="15">
        <f>AE983*AG983</f>
        <v>96</v>
      </c>
      <c r="AG983" s="16">
        <v>6</v>
      </c>
    </row>
    <row r="984" spans="1:33" ht="15" customHeight="1" x14ac:dyDescent="0.2">
      <c r="A984" s="11" t="str">
        <f>HYPERLINK("https://assets.vans.eu/images/VN000ND7SLV-HERO/1","VN000ND7SLV1")</f>
        <v>VN000ND7SLV1</v>
      </c>
      <c r="B984" s="12" t="s">
        <v>4062</v>
      </c>
      <c r="C984" s="12" t="s">
        <v>894</v>
      </c>
      <c r="D984" s="12" t="s">
        <v>4063</v>
      </c>
      <c r="E984" s="12" t="s">
        <v>4064</v>
      </c>
      <c r="F984" s="12" t="s">
        <v>78</v>
      </c>
      <c r="G984" s="14"/>
      <c r="H984" s="12" t="s">
        <v>79</v>
      </c>
      <c r="I984" s="12" t="s">
        <v>80</v>
      </c>
      <c r="J984" s="12" t="s">
        <v>99</v>
      </c>
      <c r="K984" s="12" t="s">
        <v>82</v>
      </c>
      <c r="L984" s="14"/>
      <c r="M984" s="12" t="s">
        <v>43</v>
      </c>
      <c r="N984" s="12" t="s">
        <v>84</v>
      </c>
      <c r="O984" s="12" t="s">
        <v>4065</v>
      </c>
      <c r="P984" s="12" t="s">
        <v>86</v>
      </c>
      <c r="Q984" s="12" t="s">
        <v>716</v>
      </c>
      <c r="R984" s="12" t="s">
        <v>717</v>
      </c>
      <c r="S984" s="13">
        <v>197804388431</v>
      </c>
      <c r="T984" s="12" t="s">
        <v>143</v>
      </c>
      <c r="U984" s="12" t="s">
        <v>78</v>
      </c>
      <c r="V984" s="12" t="s">
        <v>718</v>
      </c>
      <c r="W984" s="12" t="s">
        <v>455</v>
      </c>
      <c r="X984" s="14"/>
      <c r="Y984" s="14"/>
      <c r="Z984" s="14"/>
      <c r="AA984" s="14"/>
      <c r="AB984" s="14"/>
      <c r="AC984" s="15">
        <v>12.75</v>
      </c>
      <c r="AD984" s="15">
        <f>AC984*AG984</f>
        <v>76.5</v>
      </c>
      <c r="AE984" s="15">
        <v>28</v>
      </c>
      <c r="AF984" s="15">
        <f>AE984*AG984</f>
        <v>168</v>
      </c>
      <c r="AG984" s="16">
        <v>6</v>
      </c>
    </row>
    <row r="985" spans="1:33" ht="15" customHeight="1" x14ac:dyDescent="0.2">
      <c r="A985" s="11" t="str">
        <f>HYPERLINK("https://assets.vans.eu/images/VN000PKHBLK-HERO/1","VN000PKHBLK1")</f>
        <v>VN000PKHBLK1</v>
      </c>
      <c r="B985" s="12" t="s">
        <v>4066</v>
      </c>
      <c r="C985" s="12" t="s">
        <v>4067</v>
      </c>
      <c r="D985" s="12" t="s">
        <v>76</v>
      </c>
      <c r="E985" s="12" t="s">
        <v>4068</v>
      </c>
      <c r="F985" s="12" t="s">
        <v>78</v>
      </c>
      <c r="G985" s="14"/>
      <c r="H985" s="12" t="s">
        <v>79</v>
      </c>
      <c r="I985" s="12" t="s">
        <v>80</v>
      </c>
      <c r="J985" s="12" t="s">
        <v>349</v>
      </c>
      <c r="K985" s="12" t="s">
        <v>82</v>
      </c>
      <c r="L985" s="14"/>
      <c r="M985" s="12" t="s">
        <v>43</v>
      </c>
      <c r="N985" s="12" t="s">
        <v>84</v>
      </c>
      <c r="O985" s="12" t="s">
        <v>4069</v>
      </c>
      <c r="P985" s="12" t="s">
        <v>86</v>
      </c>
      <c r="Q985" s="12" t="s">
        <v>128</v>
      </c>
      <c r="R985" s="12" t="s">
        <v>352</v>
      </c>
      <c r="S985" s="13">
        <v>197804371686</v>
      </c>
      <c r="T985" s="12" t="s">
        <v>235</v>
      </c>
      <c r="U985" s="12" t="s">
        <v>78</v>
      </c>
      <c r="V985" s="12" t="s">
        <v>1173</v>
      </c>
      <c r="W985" s="12" t="s">
        <v>51</v>
      </c>
      <c r="X985" s="14"/>
      <c r="Y985" s="14"/>
      <c r="Z985" s="14"/>
      <c r="AA985" s="14"/>
      <c r="AB985" s="14"/>
      <c r="AC985" s="15">
        <v>16.399999999999999</v>
      </c>
      <c r="AD985" s="15">
        <f>AC985*AG985</f>
        <v>98.399999999999991</v>
      </c>
      <c r="AE985" s="15">
        <v>36</v>
      </c>
      <c r="AF985" s="15">
        <f>AE985*AG985</f>
        <v>216</v>
      </c>
      <c r="AG985" s="16">
        <v>6</v>
      </c>
    </row>
    <row r="986" spans="1:33" ht="15" customHeight="1" x14ac:dyDescent="0.2">
      <c r="A986" s="11" t="str">
        <f>HYPERLINK("https://assets.vans.eu/images/VN000Q1GEN7-HERO/1","VN000Q1GEN71")</f>
        <v>VN000Q1GEN71</v>
      </c>
      <c r="B986" s="12" t="s">
        <v>4070</v>
      </c>
      <c r="C986" s="12" t="s">
        <v>450</v>
      </c>
      <c r="D986" s="12" t="s">
        <v>295</v>
      </c>
      <c r="E986" s="12" t="s">
        <v>4071</v>
      </c>
      <c r="F986" s="12" t="s">
        <v>78</v>
      </c>
      <c r="G986" s="14"/>
      <c r="H986" s="12" t="s">
        <v>79</v>
      </c>
      <c r="I986" s="12" t="s">
        <v>125</v>
      </c>
      <c r="J986" s="12" t="s">
        <v>126</v>
      </c>
      <c r="K986" s="12" t="s">
        <v>41</v>
      </c>
      <c r="L986" s="14"/>
      <c r="M986" s="12" t="s">
        <v>43</v>
      </c>
      <c r="N986" s="12" t="s">
        <v>84</v>
      </c>
      <c r="O986" s="12" t="s">
        <v>4072</v>
      </c>
      <c r="P986" s="12" t="s">
        <v>86</v>
      </c>
      <c r="Q986" s="12" t="s">
        <v>128</v>
      </c>
      <c r="R986" s="12" t="s">
        <v>129</v>
      </c>
      <c r="S986" s="13">
        <v>197804373475</v>
      </c>
      <c r="T986" s="12" t="s">
        <v>130</v>
      </c>
      <c r="U986" s="12" t="s">
        <v>78</v>
      </c>
      <c r="V986" s="12" t="s">
        <v>454</v>
      </c>
      <c r="W986" s="12" t="s">
        <v>299</v>
      </c>
      <c r="X986" s="14"/>
      <c r="Y986" s="14"/>
      <c r="Z986" s="14"/>
      <c r="AA986" s="14"/>
      <c r="AB986" s="14"/>
      <c r="AC986" s="15">
        <v>10</v>
      </c>
      <c r="AD986" s="15">
        <f>AC986*AG986</f>
        <v>60</v>
      </c>
      <c r="AE986" s="15">
        <v>22</v>
      </c>
      <c r="AF986" s="15">
        <f>AE986*AG986</f>
        <v>132</v>
      </c>
      <c r="AG986" s="16">
        <v>6</v>
      </c>
    </row>
    <row r="987" spans="1:33" ht="15" customHeight="1" x14ac:dyDescent="0.2">
      <c r="A987" s="11" t="str">
        <f t="shared" si="347"/>
        <v>VN000QBQWHT1</v>
      </c>
      <c r="B987" s="12" t="s">
        <v>4073</v>
      </c>
      <c r="C987" s="12" t="s">
        <v>2338</v>
      </c>
      <c r="D987" s="12" t="s">
        <v>168</v>
      </c>
      <c r="E987" s="12" t="s">
        <v>4074</v>
      </c>
      <c r="F987" s="12" t="s">
        <v>403</v>
      </c>
      <c r="G987" s="14"/>
      <c r="H987" s="12" t="s">
        <v>79</v>
      </c>
      <c r="I987" s="12" t="s">
        <v>80</v>
      </c>
      <c r="J987" s="12" t="s">
        <v>171</v>
      </c>
      <c r="K987" s="12" t="s">
        <v>82</v>
      </c>
      <c r="L987" s="14"/>
      <c r="M987" s="12" t="s">
        <v>43</v>
      </c>
      <c r="N987" s="12" t="s">
        <v>84</v>
      </c>
      <c r="O987" s="12" t="s">
        <v>4075</v>
      </c>
      <c r="P987" s="12" t="s">
        <v>86</v>
      </c>
      <c r="Q987" s="12" t="s">
        <v>141</v>
      </c>
      <c r="R987" s="12" t="s">
        <v>173</v>
      </c>
      <c r="S987" s="13">
        <v>197804395293</v>
      </c>
      <c r="T987" s="12" t="s">
        <v>143</v>
      </c>
      <c r="U987" s="12" t="s">
        <v>403</v>
      </c>
      <c r="V987" s="12" t="s">
        <v>3358</v>
      </c>
      <c r="W987" s="12" t="s">
        <v>175</v>
      </c>
      <c r="X987" s="14"/>
      <c r="Y987" s="14"/>
      <c r="Z987" s="14"/>
      <c r="AA987" s="14"/>
      <c r="AB987" s="14"/>
      <c r="AC987" s="15">
        <v>7.3</v>
      </c>
      <c r="AD987" s="15">
        <f>AC987*AG987</f>
        <v>43.8</v>
      </c>
      <c r="AE987" s="15">
        <v>16</v>
      </c>
      <c r="AF987" s="15">
        <f>AE987*AG987</f>
        <v>96</v>
      </c>
      <c r="AG987" s="16">
        <v>6</v>
      </c>
    </row>
    <row r="988" spans="1:33" ht="15" customHeight="1" x14ac:dyDescent="0.2">
      <c r="A988" s="11" t="str">
        <f>HYPERLINK("https://assets.vans.eu/images/VN000R50BLK-HERO/1","VN000R50BLK1")</f>
        <v>VN000R50BLK1</v>
      </c>
      <c r="B988" s="12" t="s">
        <v>4076</v>
      </c>
      <c r="C988" s="12" t="s">
        <v>4077</v>
      </c>
      <c r="D988" s="12" t="s">
        <v>76</v>
      </c>
      <c r="E988" s="12" t="s">
        <v>4078</v>
      </c>
      <c r="F988" s="12" t="s">
        <v>78</v>
      </c>
      <c r="G988" s="14"/>
      <c r="H988" s="12" t="s">
        <v>79</v>
      </c>
      <c r="I988" s="12" t="s">
        <v>80</v>
      </c>
      <c r="J988" s="12" t="s">
        <v>349</v>
      </c>
      <c r="K988" s="12" t="s">
        <v>82</v>
      </c>
      <c r="L988" s="14"/>
      <c r="M988" s="12" t="s">
        <v>43</v>
      </c>
      <c r="N988" s="12" t="s">
        <v>84</v>
      </c>
      <c r="O988" s="12" t="s">
        <v>4079</v>
      </c>
      <c r="P988" s="12" t="s">
        <v>86</v>
      </c>
      <c r="Q988" s="12" t="s">
        <v>128</v>
      </c>
      <c r="R988" s="12" t="s">
        <v>352</v>
      </c>
      <c r="S988" s="13">
        <v>197804610914</v>
      </c>
      <c r="T988" s="12" t="s">
        <v>143</v>
      </c>
      <c r="U988" s="12" t="s">
        <v>78</v>
      </c>
      <c r="V988" s="12" t="s">
        <v>965</v>
      </c>
      <c r="W988" s="12" t="s">
        <v>51</v>
      </c>
      <c r="X988" s="14"/>
      <c r="Y988" s="14"/>
      <c r="Z988" s="14"/>
      <c r="AA988" s="14"/>
      <c r="AB988" s="14"/>
      <c r="AC988" s="15">
        <v>15.95</v>
      </c>
      <c r="AD988" s="15">
        <f>AC988*AG988</f>
        <v>95.699999999999989</v>
      </c>
      <c r="AE988" s="15">
        <v>35</v>
      </c>
      <c r="AF988" s="15">
        <f>AE988*AG988</f>
        <v>210</v>
      </c>
      <c r="AG988" s="16">
        <v>6</v>
      </c>
    </row>
    <row r="989" spans="1:33" ht="15" customHeight="1" x14ac:dyDescent="0.2">
      <c r="A989" s="11" t="str">
        <f>HYPERLINK("https://assets.vans.eu/images/VN000Y5XBA5-HERO/1","VN000Y5XBA51")</f>
        <v>VN000Y5XBA51</v>
      </c>
      <c r="B989" s="12" t="s">
        <v>4080</v>
      </c>
      <c r="C989" s="12" t="s">
        <v>197</v>
      </c>
      <c r="D989" s="12" t="s">
        <v>4081</v>
      </c>
      <c r="E989" s="12" t="s">
        <v>4082</v>
      </c>
      <c r="F989" s="12" t="s">
        <v>78</v>
      </c>
      <c r="G989" s="14"/>
      <c r="H989" s="12" t="s">
        <v>79</v>
      </c>
      <c r="I989" s="12" t="s">
        <v>80</v>
      </c>
      <c r="J989" s="12" t="s">
        <v>81</v>
      </c>
      <c r="K989" s="12" t="s">
        <v>199</v>
      </c>
      <c r="L989" s="14"/>
      <c r="M989" s="12" t="s">
        <v>43</v>
      </c>
      <c r="N989" s="12" t="s">
        <v>44</v>
      </c>
      <c r="O989" s="12" t="s">
        <v>4083</v>
      </c>
      <c r="P989" s="12" t="s">
        <v>86</v>
      </c>
      <c r="Q989" s="12" t="s">
        <v>87</v>
      </c>
      <c r="R989" s="12" t="s">
        <v>88</v>
      </c>
      <c r="S989" s="13">
        <v>191164170767</v>
      </c>
      <c r="T989" s="12" t="s">
        <v>89</v>
      </c>
      <c r="U989" s="12" t="s">
        <v>78</v>
      </c>
      <c r="V989" s="12" t="s">
        <v>201</v>
      </c>
      <c r="W989" s="12" t="s">
        <v>51</v>
      </c>
      <c r="X989" s="13">
        <v>0</v>
      </c>
      <c r="Y989" s="12" t="s">
        <v>71</v>
      </c>
      <c r="Z989" s="12" t="s">
        <v>108</v>
      </c>
      <c r="AA989" s="13">
        <v>0</v>
      </c>
      <c r="AB989" s="13">
        <v>0</v>
      </c>
      <c r="AC989" s="15">
        <v>3.65</v>
      </c>
      <c r="AD989" s="15">
        <f>AC989*AG989</f>
        <v>21.9</v>
      </c>
      <c r="AE989" s="15">
        <v>8</v>
      </c>
      <c r="AF989" s="15">
        <f>AE989*AG989</f>
        <v>48</v>
      </c>
      <c r="AG989" s="16">
        <v>6</v>
      </c>
    </row>
    <row r="990" spans="1:33" ht="15" customHeight="1" x14ac:dyDescent="0.2">
      <c r="A990" s="11" t="str">
        <f>HYPERLINK("https://assets.vans.eu/images/VN0A31J6DRB-HERO/1","VN0A31J6DRB1")</f>
        <v>VN0A31J6DRB1</v>
      </c>
      <c r="B990" s="12" t="s">
        <v>4084</v>
      </c>
      <c r="C990" s="12" t="s">
        <v>2662</v>
      </c>
      <c r="D990" s="12" t="s">
        <v>2663</v>
      </c>
      <c r="E990" s="12" t="s">
        <v>4085</v>
      </c>
      <c r="F990" s="13">
        <v>34</v>
      </c>
      <c r="G990" s="14"/>
      <c r="H990" s="12" t="s">
        <v>79</v>
      </c>
      <c r="I990" s="12" t="s">
        <v>80</v>
      </c>
      <c r="J990" s="12" t="s">
        <v>99</v>
      </c>
      <c r="K990" s="12" t="s">
        <v>199</v>
      </c>
      <c r="L990" s="14"/>
      <c r="M990" s="12" t="s">
        <v>43</v>
      </c>
      <c r="N990" s="12" t="s">
        <v>467</v>
      </c>
      <c r="O990" s="12" t="s">
        <v>4086</v>
      </c>
      <c r="P990" s="12" t="s">
        <v>86</v>
      </c>
      <c r="Q990" s="12" t="s">
        <v>103</v>
      </c>
      <c r="R990" s="12" t="s">
        <v>104</v>
      </c>
      <c r="S990" s="13">
        <v>191163132551</v>
      </c>
      <c r="T990" s="12" t="s">
        <v>49</v>
      </c>
      <c r="U990" s="13">
        <v>34</v>
      </c>
      <c r="V990" s="12" t="s">
        <v>2666</v>
      </c>
      <c r="W990" s="12" t="s">
        <v>186</v>
      </c>
      <c r="X990" s="13">
        <v>0</v>
      </c>
      <c r="Y990" s="12" t="s">
        <v>71</v>
      </c>
      <c r="Z990" s="12" t="s">
        <v>1180</v>
      </c>
      <c r="AA990" s="13">
        <v>0</v>
      </c>
      <c r="AB990" s="13">
        <v>0</v>
      </c>
      <c r="AC990" s="15">
        <v>16.399999999999999</v>
      </c>
      <c r="AD990" s="15">
        <f>AC990*AG990</f>
        <v>98.399999999999991</v>
      </c>
      <c r="AE990" s="15">
        <v>36</v>
      </c>
      <c r="AF990" s="15">
        <f>AE990*AG990</f>
        <v>216</v>
      </c>
      <c r="AG990" s="16">
        <v>6</v>
      </c>
    </row>
    <row r="991" spans="1:33" ht="15" customHeight="1" x14ac:dyDescent="0.2">
      <c r="A991" s="11" t="str">
        <f t="shared" si="218"/>
        <v>VN0008KUBML1</v>
      </c>
      <c r="B991" s="12" t="s">
        <v>4087</v>
      </c>
      <c r="C991" s="12" t="s">
        <v>554</v>
      </c>
      <c r="D991" s="12" t="s">
        <v>555</v>
      </c>
      <c r="E991" s="12" t="s">
        <v>4088</v>
      </c>
      <c r="F991" s="12" t="s">
        <v>60</v>
      </c>
      <c r="G991" s="14"/>
      <c r="H991" s="12" t="s">
        <v>61</v>
      </c>
      <c r="I991" s="12" t="s">
        <v>230</v>
      </c>
      <c r="J991" s="12" t="s">
        <v>557</v>
      </c>
      <c r="K991" s="12" t="s">
        <v>199</v>
      </c>
      <c r="L991" s="14"/>
      <c r="M991" s="12" t="s">
        <v>43</v>
      </c>
      <c r="N991" s="12" t="s">
        <v>44</v>
      </c>
      <c r="O991" s="12" t="s">
        <v>4089</v>
      </c>
      <c r="P991" s="12" t="s">
        <v>66</v>
      </c>
      <c r="Q991" s="12" t="s">
        <v>559</v>
      </c>
      <c r="R991" s="12" t="s">
        <v>560</v>
      </c>
      <c r="S991" s="13">
        <v>197643553571</v>
      </c>
      <c r="T991" s="12" t="s">
        <v>49</v>
      </c>
      <c r="U991" s="12" t="s">
        <v>60</v>
      </c>
      <c r="V991" s="12" t="s">
        <v>561</v>
      </c>
      <c r="W991" s="12" t="s">
        <v>51</v>
      </c>
      <c r="X991" s="13">
        <v>0</v>
      </c>
      <c r="Y991" s="12" t="s">
        <v>53</v>
      </c>
      <c r="Z991" s="12" t="s">
        <v>108</v>
      </c>
      <c r="AA991" s="13">
        <v>0</v>
      </c>
      <c r="AB991" s="13">
        <v>0</v>
      </c>
      <c r="AC991" s="15">
        <v>25</v>
      </c>
      <c r="AD991" s="15">
        <f>AC991*AG991</f>
        <v>150</v>
      </c>
      <c r="AE991" s="15">
        <v>55</v>
      </c>
      <c r="AF991" s="15">
        <f>AE991*AG991</f>
        <v>330</v>
      </c>
      <c r="AG991" s="16">
        <v>6</v>
      </c>
    </row>
    <row r="992" spans="1:33" ht="15" customHeight="1" x14ac:dyDescent="0.2">
      <c r="A992" s="11" t="str">
        <f t="shared" ref="A992:A1116" si="424">HYPERLINK("https://assets.vans.eu/images/VN0008NACDX-HERO/1","VN0008NACDX1")</f>
        <v>VN0008NACDX1</v>
      </c>
      <c r="B992" s="12" t="s">
        <v>4090</v>
      </c>
      <c r="C992" s="12" t="s">
        <v>2477</v>
      </c>
      <c r="D992" s="12" t="s">
        <v>760</v>
      </c>
      <c r="E992" s="12" t="s">
        <v>4091</v>
      </c>
      <c r="F992" s="13">
        <v>30</v>
      </c>
      <c r="G992" s="14"/>
      <c r="H992" s="12" t="s">
        <v>61</v>
      </c>
      <c r="I992" s="12" t="s">
        <v>230</v>
      </c>
      <c r="J992" s="12" t="s">
        <v>231</v>
      </c>
      <c r="K992" s="12" t="s">
        <v>199</v>
      </c>
      <c r="L992" s="14"/>
      <c r="M992" s="12" t="s">
        <v>43</v>
      </c>
      <c r="N992" s="12" t="s">
        <v>44</v>
      </c>
      <c r="O992" s="12" t="s">
        <v>4092</v>
      </c>
      <c r="P992" s="12" t="s">
        <v>66</v>
      </c>
      <c r="Q992" s="12" t="s">
        <v>233</v>
      </c>
      <c r="R992" s="12" t="s">
        <v>361</v>
      </c>
      <c r="S992" s="13">
        <v>196573550858</v>
      </c>
      <c r="T992" s="12" t="s">
        <v>235</v>
      </c>
      <c r="U992" s="13">
        <v>30</v>
      </c>
      <c r="V992" s="12" t="s">
        <v>665</v>
      </c>
      <c r="W992" s="12" t="s">
        <v>284</v>
      </c>
      <c r="X992" s="13">
        <v>0</v>
      </c>
      <c r="Y992" s="12" t="s">
        <v>53</v>
      </c>
      <c r="Z992" s="12" t="s">
        <v>108</v>
      </c>
      <c r="AA992" s="13">
        <v>0</v>
      </c>
      <c r="AB992" s="13">
        <v>0</v>
      </c>
      <c r="AC992" s="15">
        <v>36.4</v>
      </c>
      <c r="AD992" s="15">
        <f>AC992*AG992</f>
        <v>218.39999999999998</v>
      </c>
      <c r="AE992" s="15">
        <v>80</v>
      </c>
      <c r="AF992" s="15">
        <f>AE992*AG992</f>
        <v>480</v>
      </c>
      <c r="AG992" s="16">
        <v>6</v>
      </c>
    </row>
    <row r="993" spans="1:33" ht="15" customHeight="1" x14ac:dyDescent="0.2">
      <c r="A993" s="11" t="str">
        <f t="shared" ref="A993:A1122" si="425">HYPERLINK("https://assets.vans.eu/images/VN000HHEC9J-HERO/1","VN000HHEC9J1")</f>
        <v>VN000HHEC9J1</v>
      </c>
      <c r="B993" s="12" t="s">
        <v>4093</v>
      </c>
      <c r="C993" s="12" t="s">
        <v>4094</v>
      </c>
      <c r="D993" s="12" t="s">
        <v>2876</v>
      </c>
      <c r="E993" s="12" t="s">
        <v>4095</v>
      </c>
      <c r="F993" s="12" t="s">
        <v>403</v>
      </c>
      <c r="G993" s="14"/>
      <c r="H993" s="12" t="s">
        <v>61</v>
      </c>
      <c r="I993" s="12" t="s">
        <v>289</v>
      </c>
      <c r="J993" s="12" t="s">
        <v>706</v>
      </c>
      <c r="K993" s="12" t="s">
        <v>100</v>
      </c>
      <c r="L993" s="14"/>
      <c r="M993" s="12" t="s">
        <v>43</v>
      </c>
      <c r="N993" s="12" t="s">
        <v>84</v>
      </c>
      <c r="O993" s="12" t="s">
        <v>4096</v>
      </c>
      <c r="P993" s="12" t="s">
        <v>66</v>
      </c>
      <c r="Q993" s="12" t="s">
        <v>67</v>
      </c>
      <c r="R993" s="12" t="s">
        <v>1146</v>
      </c>
      <c r="S993" s="13">
        <v>197065455828</v>
      </c>
      <c r="T993" s="12" t="s">
        <v>69</v>
      </c>
      <c r="U993" s="12" t="s">
        <v>403</v>
      </c>
      <c r="V993" s="12" t="s">
        <v>70</v>
      </c>
      <c r="W993" s="12" t="s">
        <v>186</v>
      </c>
      <c r="X993" s="13">
        <v>0</v>
      </c>
      <c r="Y993" s="12" t="s">
        <v>91</v>
      </c>
      <c r="Z993" s="12" t="s">
        <v>108</v>
      </c>
      <c r="AA993" s="13">
        <v>0</v>
      </c>
      <c r="AB993" s="13">
        <v>0</v>
      </c>
      <c r="AC993" s="15">
        <v>15.5</v>
      </c>
      <c r="AD993" s="15">
        <f>AC993*AG993</f>
        <v>93</v>
      </c>
      <c r="AE993" s="15">
        <v>34</v>
      </c>
      <c r="AF993" s="15">
        <f>AE993*AG993</f>
        <v>204</v>
      </c>
      <c r="AG993" s="16">
        <v>6</v>
      </c>
    </row>
    <row r="994" spans="1:33" ht="15" customHeight="1" x14ac:dyDescent="0.2">
      <c r="A994" s="11" t="str">
        <f>HYPERLINK("https://assets.vans.eu/images/VN000HJQBLK-HERO/1","VN000HJQBLK1")</f>
        <v>VN000HJQBLK1</v>
      </c>
      <c r="B994" s="12" t="s">
        <v>4097</v>
      </c>
      <c r="C994" s="12" t="s">
        <v>4098</v>
      </c>
      <c r="D994" s="12" t="s">
        <v>76</v>
      </c>
      <c r="E994" s="12" t="s">
        <v>4099</v>
      </c>
      <c r="F994" s="12" t="s">
        <v>138</v>
      </c>
      <c r="G994" s="14"/>
      <c r="H994" s="12" t="s">
        <v>61</v>
      </c>
      <c r="I994" s="12" t="s">
        <v>289</v>
      </c>
      <c r="J994" s="12" t="s">
        <v>984</v>
      </c>
      <c r="K994" s="12" t="s">
        <v>100</v>
      </c>
      <c r="L994" s="14"/>
      <c r="M994" s="12" t="s">
        <v>43</v>
      </c>
      <c r="N994" s="12" t="s">
        <v>161</v>
      </c>
      <c r="O994" s="12" t="s">
        <v>4100</v>
      </c>
      <c r="P994" s="12" t="s">
        <v>66</v>
      </c>
      <c r="Q994" s="12" t="s">
        <v>764</v>
      </c>
      <c r="R994" s="12" t="s">
        <v>986</v>
      </c>
      <c r="S994" s="13">
        <v>197065457716</v>
      </c>
      <c r="T994" s="12" t="s">
        <v>49</v>
      </c>
      <c r="U994" s="12" t="s">
        <v>138</v>
      </c>
      <c r="V994" s="12" t="s">
        <v>4101</v>
      </c>
      <c r="W994" s="12" t="s">
        <v>51</v>
      </c>
      <c r="X994" s="13">
        <v>0</v>
      </c>
      <c r="Y994" s="12" t="s">
        <v>53</v>
      </c>
      <c r="Z994" s="12" t="s">
        <v>108</v>
      </c>
      <c r="AA994" s="13">
        <v>0</v>
      </c>
      <c r="AB994" s="13">
        <v>0</v>
      </c>
      <c r="AC994" s="15">
        <v>52.3</v>
      </c>
      <c r="AD994" s="15">
        <f>AC994*AG994</f>
        <v>313.79999999999995</v>
      </c>
      <c r="AE994" s="15">
        <v>115</v>
      </c>
      <c r="AF994" s="15">
        <f>AE994*AG994</f>
        <v>690</v>
      </c>
      <c r="AG994" s="16">
        <v>6</v>
      </c>
    </row>
    <row r="995" spans="1:33" ht="15" customHeight="1" x14ac:dyDescent="0.2">
      <c r="A995" s="11" t="str">
        <f t="shared" ref="A995:A3021" si="426">HYPERLINK("https://assets.vans.eu/images/VN000HPFFS8-HERO/1","VN000HPFFS81")</f>
        <v>VN000HPFFS81</v>
      </c>
      <c r="B995" s="12" t="s">
        <v>4102</v>
      </c>
      <c r="C995" s="12" t="s">
        <v>4103</v>
      </c>
      <c r="D995" s="12" t="s">
        <v>239</v>
      </c>
      <c r="E995" s="12" t="s">
        <v>4104</v>
      </c>
      <c r="F995" s="12" t="s">
        <v>179</v>
      </c>
      <c r="G995" s="14"/>
      <c r="H995" s="12" t="s">
        <v>61</v>
      </c>
      <c r="I995" s="12" t="s">
        <v>230</v>
      </c>
      <c r="J995" s="12" t="s">
        <v>419</v>
      </c>
      <c r="K995" s="12" t="s">
        <v>199</v>
      </c>
      <c r="L995" s="14"/>
      <c r="M995" s="12" t="s">
        <v>43</v>
      </c>
      <c r="N995" s="12" t="s">
        <v>161</v>
      </c>
      <c r="O995" s="12" t="s">
        <v>4105</v>
      </c>
      <c r="P995" s="12" t="s">
        <v>66</v>
      </c>
      <c r="Q995" s="12" t="s">
        <v>67</v>
      </c>
      <c r="R995" s="12" t="s">
        <v>623</v>
      </c>
      <c r="S995" s="13">
        <v>197065487782</v>
      </c>
      <c r="T995" s="12" t="s">
        <v>49</v>
      </c>
      <c r="U995" s="12" t="s">
        <v>179</v>
      </c>
      <c r="V995" s="12" t="s">
        <v>90</v>
      </c>
      <c r="W995" s="12" t="s">
        <v>175</v>
      </c>
      <c r="X995" s="13">
        <v>0</v>
      </c>
      <c r="Y995" s="12" t="s">
        <v>91</v>
      </c>
      <c r="Z995" s="12" t="s">
        <v>108</v>
      </c>
      <c r="AA995" s="13">
        <v>0</v>
      </c>
      <c r="AB995" s="13">
        <v>0</v>
      </c>
      <c r="AC995" s="15">
        <v>40.950000000000003</v>
      </c>
      <c r="AD995" s="15">
        <f>AC995*AG995</f>
        <v>245.70000000000002</v>
      </c>
      <c r="AE995" s="15">
        <v>90</v>
      </c>
      <c r="AF995" s="15">
        <f>AE995*AG995</f>
        <v>540</v>
      </c>
      <c r="AG995" s="16">
        <v>6</v>
      </c>
    </row>
    <row r="996" spans="1:33" ht="15" customHeight="1" x14ac:dyDescent="0.2">
      <c r="A996" s="11" t="str">
        <f>HYPERLINK("https://assets.vans.eu/images/VN000HU0BLK-HERO/1","VN000HU0BLK1")</f>
        <v>VN000HU0BLK1</v>
      </c>
      <c r="B996" s="12" t="s">
        <v>4106</v>
      </c>
      <c r="C996" s="12" t="s">
        <v>4107</v>
      </c>
      <c r="D996" s="12" t="s">
        <v>76</v>
      </c>
      <c r="E996" s="12" t="s">
        <v>4108</v>
      </c>
      <c r="F996" s="12" t="s">
        <v>170</v>
      </c>
      <c r="G996" s="14"/>
      <c r="H996" s="12" t="s">
        <v>61</v>
      </c>
      <c r="I996" s="12" t="s">
        <v>289</v>
      </c>
      <c r="J996" s="12" t="s">
        <v>706</v>
      </c>
      <c r="K996" s="12" t="s">
        <v>100</v>
      </c>
      <c r="L996" s="14"/>
      <c r="M996" s="12" t="s">
        <v>43</v>
      </c>
      <c r="N996" s="12" t="s">
        <v>161</v>
      </c>
      <c r="O996" s="12" t="s">
        <v>4109</v>
      </c>
      <c r="P996" s="12" t="s">
        <v>66</v>
      </c>
      <c r="Q996" s="12" t="s">
        <v>67</v>
      </c>
      <c r="R996" s="12" t="s">
        <v>708</v>
      </c>
      <c r="S996" s="13">
        <v>197064863181</v>
      </c>
      <c r="T996" s="12" t="s">
        <v>49</v>
      </c>
      <c r="U996" s="12" t="s">
        <v>170</v>
      </c>
      <c r="V996" s="12" t="s">
        <v>1726</v>
      </c>
      <c r="W996" s="12" t="s">
        <v>51</v>
      </c>
      <c r="X996" s="13">
        <v>0</v>
      </c>
      <c r="Y996" s="12" t="s">
        <v>71</v>
      </c>
      <c r="Z996" s="12" t="s">
        <v>72</v>
      </c>
      <c r="AA996" s="12" t="s">
        <v>73</v>
      </c>
      <c r="AB996" s="13">
        <v>0</v>
      </c>
      <c r="AC996" s="15">
        <v>35.5</v>
      </c>
      <c r="AD996" s="15">
        <f>AC996*AG996</f>
        <v>213</v>
      </c>
      <c r="AE996" s="15">
        <v>78</v>
      </c>
      <c r="AF996" s="15">
        <f>AE996*AG996</f>
        <v>468</v>
      </c>
      <c r="AG996" s="16">
        <v>6</v>
      </c>
    </row>
    <row r="997" spans="1:33" ht="15" customHeight="1" x14ac:dyDescent="0.2">
      <c r="A997" s="11" t="str">
        <f t="shared" ref="A997:A1317" si="427">HYPERLINK("https://assets.vans.eu/images/VN000IVEBLK-HERO/1","VN000IVEBLK1")</f>
        <v>VN000IVEBLK1</v>
      </c>
      <c r="B997" s="12" t="s">
        <v>4110</v>
      </c>
      <c r="C997" s="12" t="s">
        <v>4111</v>
      </c>
      <c r="D997" s="12" t="s">
        <v>76</v>
      </c>
      <c r="E997" s="12" t="s">
        <v>4112</v>
      </c>
      <c r="F997" s="12" t="s">
        <v>179</v>
      </c>
      <c r="G997" s="14"/>
      <c r="H997" s="12" t="s">
        <v>61</v>
      </c>
      <c r="I997" s="12" t="s">
        <v>62</v>
      </c>
      <c r="J997" s="12" t="s">
        <v>63</v>
      </c>
      <c r="K997" s="12" t="s">
        <v>64</v>
      </c>
      <c r="L997" s="12" t="s">
        <v>83</v>
      </c>
      <c r="M997" s="12" t="s">
        <v>43</v>
      </c>
      <c r="N997" s="12" t="s">
        <v>84</v>
      </c>
      <c r="O997" s="12" t="s">
        <v>4113</v>
      </c>
      <c r="P997" s="12" t="s">
        <v>66</v>
      </c>
      <c r="Q997" s="12" t="s">
        <v>67</v>
      </c>
      <c r="R997" s="12" t="s">
        <v>68</v>
      </c>
      <c r="S997" s="13">
        <v>197641026510</v>
      </c>
      <c r="T997" s="12" t="s">
        <v>422</v>
      </c>
      <c r="U997" s="12" t="s">
        <v>179</v>
      </c>
      <c r="V997" s="12" t="s">
        <v>70</v>
      </c>
      <c r="W997" s="12" t="s">
        <v>51</v>
      </c>
      <c r="X997" s="13">
        <v>0</v>
      </c>
      <c r="Y997" s="12" t="s">
        <v>91</v>
      </c>
      <c r="Z997" s="12" t="s">
        <v>108</v>
      </c>
      <c r="AA997" s="13">
        <v>0</v>
      </c>
      <c r="AB997" s="13">
        <v>0</v>
      </c>
      <c r="AC997" s="15">
        <v>11.4</v>
      </c>
      <c r="AD997" s="15">
        <f>AC997*AG997</f>
        <v>68.400000000000006</v>
      </c>
      <c r="AE997" s="15">
        <v>25</v>
      </c>
      <c r="AF997" s="15">
        <f>AE997*AG997</f>
        <v>150</v>
      </c>
      <c r="AG997" s="16">
        <v>6</v>
      </c>
    </row>
    <row r="998" spans="1:33" ht="15" customHeight="1" x14ac:dyDescent="0.2">
      <c r="A998" s="11" t="str">
        <f>HYPERLINK("https://assets.vans.eu/images/VN000M12IYR-HERO/1","VN000M12IYR1")</f>
        <v>VN000M12IYR1</v>
      </c>
      <c r="B998" s="12" t="s">
        <v>4114</v>
      </c>
      <c r="C998" s="12" t="s">
        <v>1496</v>
      </c>
      <c r="D998" s="12" t="s">
        <v>1497</v>
      </c>
      <c r="E998" s="12" t="s">
        <v>4115</v>
      </c>
      <c r="F998" s="12" t="s">
        <v>179</v>
      </c>
      <c r="G998" s="14"/>
      <c r="H998" s="12" t="s">
        <v>61</v>
      </c>
      <c r="I998" s="12" t="s">
        <v>230</v>
      </c>
      <c r="J998" s="12" t="s">
        <v>419</v>
      </c>
      <c r="K998" s="12" t="s">
        <v>199</v>
      </c>
      <c r="L998" s="14"/>
      <c r="M998" s="12" t="s">
        <v>43</v>
      </c>
      <c r="N998" s="12" t="s">
        <v>44</v>
      </c>
      <c r="O998" s="12" t="s">
        <v>4116</v>
      </c>
      <c r="P998" s="12" t="s">
        <v>66</v>
      </c>
      <c r="Q998" s="12" t="s">
        <v>67</v>
      </c>
      <c r="R998" s="12" t="s">
        <v>1500</v>
      </c>
      <c r="S998" s="13">
        <v>197643406099</v>
      </c>
      <c r="T998" s="12" t="s">
        <v>235</v>
      </c>
      <c r="U998" s="12" t="s">
        <v>179</v>
      </c>
      <c r="V998" s="12" t="s">
        <v>665</v>
      </c>
      <c r="W998" s="12" t="s">
        <v>284</v>
      </c>
      <c r="X998" s="13">
        <v>0</v>
      </c>
      <c r="Y998" s="12" t="s">
        <v>91</v>
      </c>
      <c r="Z998" s="12" t="s">
        <v>108</v>
      </c>
      <c r="AA998" s="13">
        <v>0</v>
      </c>
      <c r="AB998" s="13">
        <v>0</v>
      </c>
      <c r="AC998" s="15">
        <v>38.65</v>
      </c>
      <c r="AD998" s="15">
        <f>AC998*AG998</f>
        <v>231.89999999999998</v>
      </c>
      <c r="AE998" s="15">
        <v>85</v>
      </c>
      <c r="AF998" s="15">
        <f>AE998*AG998</f>
        <v>510</v>
      </c>
      <c r="AG998" s="16">
        <v>6</v>
      </c>
    </row>
    <row r="999" spans="1:33" ht="15" customHeight="1" x14ac:dyDescent="0.2">
      <c r="A999" s="11" t="str">
        <f t="shared" si="139"/>
        <v>VN000M1KBLK1</v>
      </c>
      <c r="B999" s="12" t="s">
        <v>4117</v>
      </c>
      <c r="C999" s="12" t="s">
        <v>1733</v>
      </c>
      <c r="D999" s="12" t="s">
        <v>76</v>
      </c>
      <c r="E999" s="12" t="s">
        <v>4118</v>
      </c>
      <c r="F999" s="12" t="s">
        <v>403</v>
      </c>
      <c r="G999" s="14"/>
      <c r="H999" s="12" t="s">
        <v>61</v>
      </c>
      <c r="I999" s="12" t="s">
        <v>230</v>
      </c>
      <c r="J999" s="12" t="s">
        <v>419</v>
      </c>
      <c r="K999" s="12" t="s">
        <v>199</v>
      </c>
      <c r="L999" s="14"/>
      <c r="M999" s="12" t="s">
        <v>43</v>
      </c>
      <c r="N999" s="12" t="s">
        <v>44</v>
      </c>
      <c r="O999" s="12" t="s">
        <v>4119</v>
      </c>
      <c r="P999" s="12" t="s">
        <v>66</v>
      </c>
      <c r="Q999" s="12" t="s">
        <v>67</v>
      </c>
      <c r="R999" s="12" t="s">
        <v>623</v>
      </c>
      <c r="S999" s="13">
        <v>197643407713</v>
      </c>
      <c r="T999" s="12" t="s">
        <v>69</v>
      </c>
      <c r="U999" s="12" t="s">
        <v>403</v>
      </c>
      <c r="V999" s="12" t="s">
        <v>70</v>
      </c>
      <c r="W999" s="12" t="s">
        <v>51</v>
      </c>
      <c r="X999" s="13">
        <v>0</v>
      </c>
      <c r="Y999" s="12" t="s">
        <v>53</v>
      </c>
      <c r="Z999" s="12" t="s">
        <v>108</v>
      </c>
      <c r="AA999" s="13">
        <v>0</v>
      </c>
      <c r="AB999" s="13">
        <v>0</v>
      </c>
      <c r="AC999" s="15">
        <v>45.5</v>
      </c>
      <c r="AD999" s="15">
        <f>AC999*AG999</f>
        <v>273</v>
      </c>
      <c r="AE999" s="15">
        <v>100</v>
      </c>
      <c r="AF999" s="15">
        <f>AE999*AG999</f>
        <v>600</v>
      </c>
      <c r="AG999" s="16">
        <v>6</v>
      </c>
    </row>
    <row r="1000" spans="1:33" ht="15" customHeight="1" x14ac:dyDescent="0.2">
      <c r="A1000" s="11" t="str">
        <f t="shared" si="125"/>
        <v>VN000M27CFL1</v>
      </c>
      <c r="B1000" s="12" t="s">
        <v>4120</v>
      </c>
      <c r="C1000" s="12" t="s">
        <v>1577</v>
      </c>
      <c r="D1000" s="12" t="s">
        <v>1258</v>
      </c>
      <c r="E1000" s="12" t="s">
        <v>4121</v>
      </c>
      <c r="F1000" s="13">
        <v>34</v>
      </c>
      <c r="G1000" s="14"/>
      <c r="H1000" s="12" t="s">
        <v>61</v>
      </c>
      <c r="I1000" s="12" t="s">
        <v>230</v>
      </c>
      <c r="J1000" s="12" t="s">
        <v>231</v>
      </c>
      <c r="K1000" s="12" t="s">
        <v>199</v>
      </c>
      <c r="L1000" s="14"/>
      <c r="M1000" s="12" t="s">
        <v>43</v>
      </c>
      <c r="N1000" s="12" t="s">
        <v>44</v>
      </c>
      <c r="O1000" s="12" t="s">
        <v>4122</v>
      </c>
      <c r="P1000" s="12" t="s">
        <v>66</v>
      </c>
      <c r="Q1000" s="12" t="s">
        <v>233</v>
      </c>
      <c r="R1000" s="12" t="s">
        <v>361</v>
      </c>
      <c r="S1000" s="13">
        <v>197643409557</v>
      </c>
      <c r="T1000" s="12" t="s">
        <v>235</v>
      </c>
      <c r="U1000" s="13">
        <v>34</v>
      </c>
      <c r="V1000" s="12" t="s">
        <v>665</v>
      </c>
      <c r="W1000" s="12" t="s">
        <v>284</v>
      </c>
      <c r="X1000" s="13">
        <v>0</v>
      </c>
      <c r="Y1000" s="12" t="s">
        <v>53</v>
      </c>
      <c r="Z1000" s="12" t="s">
        <v>108</v>
      </c>
      <c r="AA1000" s="13">
        <v>0</v>
      </c>
      <c r="AB1000" s="13">
        <v>0</v>
      </c>
      <c r="AC1000" s="15">
        <v>36.4</v>
      </c>
      <c r="AD1000" s="15">
        <f>AC1000*AG1000</f>
        <v>218.39999999999998</v>
      </c>
      <c r="AE1000" s="15">
        <v>80</v>
      </c>
      <c r="AF1000" s="15">
        <f>AE1000*AG1000</f>
        <v>480</v>
      </c>
      <c r="AG1000" s="16">
        <v>6</v>
      </c>
    </row>
    <row r="1001" spans="1:33" ht="15" customHeight="1" x14ac:dyDescent="0.2">
      <c r="A1001" s="11" t="str">
        <f t="shared" ref="A1001:A2108" si="428">HYPERLINK("https://assets.vans.eu/images/VN000M2P1O7-HERO/1","VN000M2P1O71")</f>
        <v>VN000M2P1O71</v>
      </c>
      <c r="B1001" s="12" t="s">
        <v>4123</v>
      </c>
      <c r="C1001" s="12" t="s">
        <v>4124</v>
      </c>
      <c r="D1001" s="12" t="s">
        <v>637</v>
      </c>
      <c r="E1001" s="12" t="s">
        <v>4125</v>
      </c>
      <c r="F1001" s="12" t="s">
        <v>403</v>
      </c>
      <c r="G1001" s="14"/>
      <c r="H1001" s="12" t="s">
        <v>61</v>
      </c>
      <c r="I1001" s="12" t="s">
        <v>230</v>
      </c>
      <c r="J1001" s="12" t="s">
        <v>419</v>
      </c>
      <c r="K1001" s="12" t="s">
        <v>199</v>
      </c>
      <c r="L1001" s="14"/>
      <c r="M1001" s="12" t="s">
        <v>43</v>
      </c>
      <c r="N1001" s="12" t="s">
        <v>44</v>
      </c>
      <c r="O1001" s="12" t="s">
        <v>4126</v>
      </c>
      <c r="P1001" s="12" t="s">
        <v>66</v>
      </c>
      <c r="Q1001" s="12" t="s">
        <v>67</v>
      </c>
      <c r="R1001" s="12" t="s">
        <v>623</v>
      </c>
      <c r="S1001" s="13">
        <v>197643537359</v>
      </c>
      <c r="T1001" s="12" t="s">
        <v>49</v>
      </c>
      <c r="U1001" s="12" t="s">
        <v>403</v>
      </c>
      <c r="V1001" s="12" t="s">
        <v>1726</v>
      </c>
      <c r="W1001" s="12" t="s">
        <v>455</v>
      </c>
      <c r="X1001" s="13">
        <v>0</v>
      </c>
      <c r="Y1001" s="12" t="s">
        <v>91</v>
      </c>
      <c r="Z1001" s="12" t="s">
        <v>108</v>
      </c>
      <c r="AA1001" s="13">
        <v>0</v>
      </c>
      <c r="AB1001" s="13">
        <v>0</v>
      </c>
      <c r="AC1001" s="15">
        <v>38.65</v>
      </c>
      <c r="AD1001" s="15">
        <f>AC1001*AG1001</f>
        <v>231.89999999999998</v>
      </c>
      <c r="AE1001" s="15">
        <v>85</v>
      </c>
      <c r="AF1001" s="15">
        <f>AE1001*AG1001</f>
        <v>510</v>
      </c>
      <c r="AG1001" s="16">
        <v>6</v>
      </c>
    </row>
    <row r="1002" spans="1:33" ht="15" customHeight="1" x14ac:dyDescent="0.2">
      <c r="A1002" s="11" t="str">
        <f t="shared" si="183"/>
        <v>VN000M6XC9F1</v>
      </c>
      <c r="B1002" s="12" t="s">
        <v>4127</v>
      </c>
      <c r="C1002" s="12" t="s">
        <v>2055</v>
      </c>
      <c r="D1002" s="12" t="s">
        <v>2056</v>
      </c>
      <c r="E1002" s="12" t="s">
        <v>4128</v>
      </c>
      <c r="F1002" s="12" t="s">
        <v>179</v>
      </c>
      <c r="G1002" s="14"/>
      <c r="H1002" s="12" t="s">
        <v>61</v>
      </c>
      <c r="I1002" s="12" t="s">
        <v>289</v>
      </c>
      <c r="J1002" s="12" t="s">
        <v>290</v>
      </c>
      <c r="K1002" s="12" t="s">
        <v>100</v>
      </c>
      <c r="L1002" s="14"/>
      <c r="M1002" s="12" t="s">
        <v>43</v>
      </c>
      <c r="N1002" s="12" t="s">
        <v>44</v>
      </c>
      <c r="O1002" s="12" t="s">
        <v>4129</v>
      </c>
      <c r="P1002" s="12" t="s">
        <v>66</v>
      </c>
      <c r="Q1002" s="12" t="s">
        <v>233</v>
      </c>
      <c r="R1002" s="12" t="s">
        <v>664</v>
      </c>
      <c r="S1002" s="13">
        <v>197643360520</v>
      </c>
      <c r="T1002" s="12" t="s">
        <v>235</v>
      </c>
      <c r="U1002" s="12" t="s">
        <v>179</v>
      </c>
      <c r="V1002" s="12" t="s">
        <v>1811</v>
      </c>
      <c r="W1002" s="12" t="s">
        <v>175</v>
      </c>
      <c r="X1002" s="13">
        <v>0</v>
      </c>
      <c r="Y1002" s="12" t="s">
        <v>53</v>
      </c>
      <c r="Z1002" s="12" t="s">
        <v>108</v>
      </c>
      <c r="AA1002" s="13">
        <v>0</v>
      </c>
      <c r="AB1002" s="13">
        <v>0</v>
      </c>
      <c r="AC1002" s="15">
        <v>45.5</v>
      </c>
      <c r="AD1002" s="15">
        <f>AC1002*AG1002</f>
        <v>273</v>
      </c>
      <c r="AE1002" s="15">
        <v>100</v>
      </c>
      <c r="AF1002" s="15">
        <f>AE1002*AG1002</f>
        <v>600</v>
      </c>
      <c r="AG1002" s="16">
        <v>6</v>
      </c>
    </row>
    <row r="1003" spans="1:33" ht="15" customHeight="1" x14ac:dyDescent="0.2">
      <c r="A1003" s="11" t="str">
        <f t="shared" ref="A1003:A1334" si="429">HYPERLINK("https://assets.vans.eu/images/VN000M6XEMW-HERO/1","VN000M6XEMW1")</f>
        <v>VN000M6XEMW1</v>
      </c>
      <c r="B1003" s="12" t="s">
        <v>4130</v>
      </c>
      <c r="C1003" s="12" t="s">
        <v>2055</v>
      </c>
      <c r="D1003" s="12" t="s">
        <v>147</v>
      </c>
      <c r="E1003" s="12" t="s">
        <v>4131</v>
      </c>
      <c r="F1003" s="12" t="s">
        <v>60</v>
      </c>
      <c r="G1003" s="14"/>
      <c r="H1003" s="12" t="s">
        <v>61</v>
      </c>
      <c r="I1003" s="12" t="s">
        <v>289</v>
      </c>
      <c r="J1003" s="12" t="s">
        <v>290</v>
      </c>
      <c r="K1003" s="12" t="s">
        <v>100</v>
      </c>
      <c r="L1003" s="14"/>
      <c r="M1003" s="12" t="s">
        <v>43</v>
      </c>
      <c r="N1003" s="12" t="s">
        <v>84</v>
      </c>
      <c r="O1003" s="12" t="s">
        <v>4132</v>
      </c>
      <c r="P1003" s="12" t="s">
        <v>66</v>
      </c>
      <c r="Q1003" s="12" t="s">
        <v>233</v>
      </c>
      <c r="R1003" s="12" t="s">
        <v>664</v>
      </c>
      <c r="S1003" s="13">
        <v>197804386550</v>
      </c>
      <c r="T1003" s="12" t="s">
        <v>235</v>
      </c>
      <c r="U1003" s="12" t="s">
        <v>60</v>
      </c>
      <c r="V1003" s="12" t="s">
        <v>1811</v>
      </c>
      <c r="W1003" s="12" t="s">
        <v>118</v>
      </c>
      <c r="X1003" s="14"/>
      <c r="Y1003" s="14"/>
      <c r="Z1003" s="14"/>
      <c r="AA1003" s="14"/>
      <c r="AB1003" s="14"/>
      <c r="AC1003" s="15">
        <v>45.5</v>
      </c>
      <c r="AD1003" s="15">
        <f>AC1003*AG1003</f>
        <v>273</v>
      </c>
      <c r="AE1003" s="15">
        <v>100</v>
      </c>
      <c r="AF1003" s="15">
        <f>AE1003*AG1003</f>
        <v>600</v>
      </c>
      <c r="AG1003" s="16">
        <v>6</v>
      </c>
    </row>
    <row r="1004" spans="1:33" ht="15" customHeight="1" x14ac:dyDescent="0.2">
      <c r="A1004" s="11" t="str">
        <f t="shared" ref="A1004:A2116" si="430">HYPERLINK("https://assets.vans.eu/images/VN000M6ZZBF-HERO/1","VN000M6ZZBF1")</f>
        <v>VN000M6ZZBF1</v>
      </c>
      <c r="B1004" s="12" t="s">
        <v>4133</v>
      </c>
      <c r="C1004" s="12" t="s">
        <v>679</v>
      </c>
      <c r="D1004" s="12" t="s">
        <v>680</v>
      </c>
      <c r="E1004" s="12" t="s">
        <v>4134</v>
      </c>
      <c r="F1004" s="12" t="s">
        <v>138</v>
      </c>
      <c r="G1004" s="14"/>
      <c r="H1004" s="12" t="s">
        <v>61</v>
      </c>
      <c r="I1004" s="12" t="s">
        <v>289</v>
      </c>
      <c r="J1004" s="12" t="s">
        <v>290</v>
      </c>
      <c r="K1004" s="12" t="s">
        <v>100</v>
      </c>
      <c r="L1004" s="14"/>
      <c r="M1004" s="12" t="s">
        <v>43</v>
      </c>
      <c r="N1004" s="12" t="s">
        <v>44</v>
      </c>
      <c r="O1004" s="12" t="s">
        <v>4135</v>
      </c>
      <c r="P1004" s="12" t="s">
        <v>66</v>
      </c>
      <c r="Q1004" s="12" t="s">
        <v>233</v>
      </c>
      <c r="R1004" s="12" t="s">
        <v>664</v>
      </c>
      <c r="S1004" s="13">
        <v>197643361701</v>
      </c>
      <c r="T1004" s="12" t="s">
        <v>235</v>
      </c>
      <c r="U1004" s="12" t="s">
        <v>138</v>
      </c>
      <c r="V1004" s="12" t="s">
        <v>683</v>
      </c>
      <c r="W1004" s="12" t="s">
        <v>118</v>
      </c>
      <c r="X1004" s="13">
        <v>0</v>
      </c>
      <c r="Y1004" s="12" t="s">
        <v>91</v>
      </c>
      <c r="Z1004" s="12" t="s">
        <v>108</v>
      </c>
      <c r="AA1004" s="13">
        <v>0</v>
      </c>
      <c r="AB1004" s="13">
        <v>0</v>
      </c>
      <c r="AC1004" s="15">
        <v>38.65</v>
      </c>
      <c r="AD1004" s="15">
        <f>AC1004*AG1004</f>
        <v>231.89999999999998</v>
      </c>
      <c r="AE1004" s="15">
        <v>85</v>
      </c>
      <c r="AF1004" s="15">
        <f>AE1004*AG1004</f>
        <v>510</v>
      </c>
      <c r="AG1004" s="16">
        <v>6</v>
      </c>
    </row>
    <row r="1005" spans="1:33" ht="15" customHeight="1" x14ac:dyDescent="0.2">
      <c r="A1005" s="11" t="str">
        <f t="shared" si="285"/>
        <v>VN000M77Y7U1</v>
      </c>
      <c r="B1005" s="12" t="s">
        <v>4136</v>
      </c>
      <c r="C1005" s="12" t="s">
        <v>1796</v>
      </c>
      <c r="D1005" s="12" t="s">
        <v>740</v>
      </c>
      <c r="E1005" s="12" t="s">
        <v>4137</v>
      </c>
      <c r="F1005" s="12" t="s">
        <v>179</v>
      </c>
      <c r="G1005" s="14"/>
      <c r="H1005" s="12" t="s">
        <v>61</v>
      </c>
      <c r="I1005" s="12" t="s">
        <v>289</v>
      </c>
      <c r="J1005" s="12" t="s">
        <v>706</v>
      </c>
      <c r="K1005" s="12" t="s">
        <v>100</v>
      </c>
      <c r="L1005" s="14"/>
      <c r="M1005" s="12" t="s">
        <v>43</v>
      </c>
      <c r="N1005" s="12" t="s">
        <v>44</v>
      </c>
      <c r="O1005" s="12" t="s">
        <v>4138</v>
      </c>
      <c r="P1005" s="12" t="s">
        <v>66</v>
      </c>
      <c r="Q1005" s="12" t="s">
        <v>67</v>
      </c>
      <c r="R1005" s="12" t="s">
        <v>1200</v>
      </c>
      <c r="S1005" s="13">
        <v>197643360452</v>
      </c>
      <c r="T1005" s="12" t="s">
        <v>49</v>
      </c>
      <c r="U1005" s="12" t="s">
        <v>179</v>
      </c>
      <c r="V1005" s="12" t="s">
        <v>70</v>
      </c>
      <c r="W1005" s="12" t="s">
        <v>455</v>
      </c>
      <c r="X1005" s="13">
        <v>0</v>
      </c>
      <c r="Y1005" s="12" t="s">
        <v>91</v>
      </c>
      <c r="Z1005" s="12" t="s">
        <v>108</v>
      </c>
      <c r="AA1005" s="13">
        <v>0</v>
      </c>
      <c r="AB1005" s="13">
        <v>0</v>
      </c>
      <c r="AC1005" s="15">
        <v>14.55</v>
      </c>
      <c r="AD1005" s="15">
        <f>AC1005*AG1005</f>
        <v>87.300000000000011</v>
      </c>
      <c r="AE1005" s="15">
        <v>32</v>
      </c>
      <c r="AF1005" s="15">
        <f>AE1005*AG1005</f>
        <v>192</v>
      </c>
      <c r="AG1005" s="16">
        <v>6</v>
      </c>
    </row>
    <row r="1006" spans="1:33" ht="15" customHeight="1" x14ac:dyDescent="0.2">
      <c r="A1006" s="11" t="str">
        <f t="shared" ref="A1006:A1007" si="431">HYPERLINK("https://assets.vans.eu/images/VN000M9KEB2-HERO/1","VN000M9KEB21")</f>
        <v>VN000M9KEB21</v>
      </c>
      <c r="B1006" s="12" t="s">
        <v>4139</v>
      </c>
      <c r="C1006" s="12" t="s">
        <v>2692</v>
      </c>
      <c r="D1006" s="12" t="s">
        <v>2693</v>
      </c>
      <c r="E1006" s="12" t="s">
        <v>4140</v>
      </c>
      <c r="F1006" s="13">
        <v>22</v>
      </c>
      <c r="G1006" s="14"/>
      <c r="H1006" s="12" t="s">
        <v>61</v>
      </c>
      <c r="I1006" s="12" t="s">
        <v>289</v>
      </c>
      <c r="J1006" s="12" t="s">
        <v>290</v>
      </c>
      <c r="K1006" s="12" t="s">
        <v>100</v>
      </c>
      <c r="L1006" s="14"/>
      <c r="M1006" s="12" t="s">
        <v>43</v>
      </c>
      <c r="N1006" s="12" t="s">
        <v>44</v>
      </c>
      <c r="O1006" s="12" t="s">
        <v>4141</v>
      </c>
      <c r="P1006" s="12" t="s">
        <v>66</v>
      </c>
      <c r="Q1006" s="12" t="s">
        <v>233</v>
      </c>
      <c r="R1006" s="12" t="s">
        <v>2073</v>
      </c>
      <c r="S1006" s="13">
        <v>197643363705</v>
      </c>
      <c r="T1006" s="12" t="s">
        <v>235</v>
      </c>
      <c r="U1006" s="13">
        <v>22</v>
      </c>
      <c r="V1006" s="12" t="s">
        <v>665</v>
      </c>
      <c r="W1006" s="12" t="s">
        <v>51</v>
      </c>
      <c r="X1006" s="13">
        <v>0</v>
      </c>
      <c r="Y1006" s="12" t="s">
        <v>91</v>
      </c>
      <c r="Z1006" s="12" t="s">
        <v>108</v>
      </c>
      <c r="AA1006" s="13">
        <v>0</v>
      </c>
      <c r="AB1006" s="13">
        <v>0</v>
      </c>
      <c r="AC1006" s="15">
        <v>30.95</v>
      </c>
      <c r="AD1006" s="15">
        <f>AC1006*AG1006</f>
        <v>185.7</v>
      </c>
      <c r="AE1006" s="15">
        <v>68</v>
      </c>
      <c r="AF1006" s="15">
        <f>AE1006*AG1006</f>
        <v>408</v>
      </c>
      <c r="AG1006" s="16">
        <v>6</v>
      </c>
    </row>
    <row r="1007" spans="1:33" ht="15" customHeight="1" x14ac:dyDescent="0.2">
      <c r="A1007" s="11" t="str">
        <f t="shared" si="431"/>
        <v>VN000M9KEB21</v>
      </c>
      <c r="B1007" s="12" t="s">
        <v>4142</v>
      </c>
      <c r="C1007" s="12" t="s">
        <v>2692</v>
      </c>
      <c r="D1007" s="12" t="s">
        <v>2693</v>
      </c>
      <c r="E1007" s="12" t="s">
        <v>4143</v>
      </c>
      <c r="F1007" s="13">
        <v>24</v>
      </c>
      <c r="G1007" s="14"/>
      <c r="H1007" s="12" t="s">
        <v>61</v>
      </c>
      <c r="I1007" s="12" t="s">
        <v>289</v>
      </c>
      <c r="J1007" s="12" t="s">
        <v>290</v>
      </c>
      <c r="K1007" s="12" t="s">
        <v>100</v>
      </c>
      <c r="L1007" s="14"/>
      <c r="M1007" s="12" t="s">
        <v>43</v>
      </c>
      <c r="N1007" s="12" t="s">
        <v>44</v>
      </c>
      <c r="O1007" s="12" t="s">
        <v>4144</v>
      </c>
      <c r="P1007" s="12" t="s">
        <v>66</v>
      </c>
      <c r="Q1007" s="12" t="s">
        <v>233</v>
      </c>
      <c r="R1007" s="12" t="s">
        <v>2073</v>
      </c>
      <c r="S1007" s="13">
        <v>197643363897</v>
      </c>
      <c r="T1007" s="12" t="s">
        <v>235</v>
      </c>
      <c r="U1007" s="13">
        <v>24</v>
      </c>
      <c r="V1007" s="12" t="s">
        <v>665</v>
      </c>
      <c r="W1007" s="12" t="s">
        <v>51</v>
      </c>
      <c r="X1007" s="13">
        <v>0</v>
      </c>
      <c r="Y1007" s="12" t="s">
        <v>91</v>
      </c>
      <c r="Z1007" s="12" t="s">
        <v>108</v>
      </c>
      <c r="AA1007" s="13">
        <v>0</v>
      </c>
      <c r="AB1007" s="13">
        <v>0</v>
      </c>
      <c r="AC1007" s="15">
        <v>30.95</v>
      </c>
      <c r="AD1007" s="15">
        <f>AC1007*AG1007</f>
        <v>185.7</v>
      </c>
      <c r="AE1007" s="15">
        <v>68</v>
      </c>
      <c r="AF1007" s="15">
        <f>AE1007*AG1007</f>
        <v>408</v>
      </c>
      <c r="AG1007" s="16">
        <v>6</v>
      </c>
    </row>
    <row r="1008" spans="1:33" ht="15" customHeight="1" x14ac:dyDescent="0.2">
      <c r="A1008" s="11" t="str">
        <f>HYPERLINK("https://assets.vans.eu/images/VN000MAND4C-HERO/1","VN000MAND4C1")</f>
        <v>VN000MAND4C1</v>
      </c>
      <c r="B1008" s="12" t="s">
        <v>4145</v>
      </c>
      <c r="C1008" s="12" t="s">
        <v>4146</v>
      </c>
      <c r="D1008" s="12" t="s">
        <v>1454</v>
      </c>
      <c r="E1008" s="12" t="s">
        <v>4147</v>
      </c>
      <c r="F1008" s="12" t="s">
        <v>60</v>
      </c>
      <c r="G1008" s="14"/>
      <c r="H1008" s="12" t="s">
        <v>61</v>
      </c>
      <c r="I1008" s="12" t="s">
        <v>289</v>
      </c>
      <c r="J1008" s="12" t="s">
        <v>984</v>
      </c>
      <c r="K1008" s="12" t="s">
        <v>100</v>
      </c>
      <c r="L1008" s="14"/>
      <c r="M1008" s="12" t="s">
        <v>43</v>
      </c>
      <c r="N1008" s="12" t="s">
        <v>44</v>
      </c>
      <c r="O1008" s="12" t="s">
        <v>4148</v>
      </c>
      <c r="P1008" s="12" t="s">
        <v>66</v>
      </c>
      <c r="Q1008" s="12" t="s">
        <v>764</v>
      </c>
      <c r="R1008" s="12" t="s">
        <v>986</v>
      </c>
      <c r="S1008" s="13">
        <v>197643365877</v>
      </c>
      <c r="T1008" s="12" t="s">
        <v>235</v>
      </c>
      <c r="U1008" s="12" t="s">
        <v>60</v>
      </c>
      <c r="V1008" s="12" t="s">
        <v>90</v>
      </c>
      <c r="W1008" s="12" t="s">
        <v>186</v>
      </c>
      <c r="X1008" s="13">
        <v>0</v>
      </c>
      <c r="Y1008" s="12" t="s">
        <v>91</v>
      </c>
      <c r="Z1008" s="12" t="s">
        <v>108</v>
      </c>
      <c r="AA1008" s="13">
        <v>0</v>
      </c>
      <c r="AB1008" s="13">
        <v>0</v>
      </c>
      <c r="AC1008" s="15">
        <v>56.85</v>
      </c>
      <c r="AD1008" s="15">
        <f>AC1008*AG1008</f>
        <v>341.1</v>
      </c>
      <c r="AE1008" s="15">
        <v>125</v>
      </c>
      <c r="AF1008" s="15">
        <f>AE1008*AG1008</f>
        <v>750</v>
      </c>
      <c r="AG1008" s="16">
        <v>6</v>
      </c>
    </row>
    <row r="1009" spans="1:33" ht="15" customHeight="1" x14ac:dyDescent="0.2">
      <c r="A1009" s="11" t="str">
        <f>HYPERLINK("https://assets.vans.eu/images/VN000MB5Y7J-HERO/1","VN000MB5Y7J1")</f>
        <v>VN000MB5Y7J1</v>
      </c>
      <c r="B1009" s="12" t="s">
        <v>4149</v>
      </c>
      <c r="C1009" s="12" t="s">
        <v>4150</v>
      </c>
      <c r="D1009" s="12" t="s">
        <v>4151</v>
      </c>
      <c r="E1009" s="12" t="s">
        <v>4152</v>
      </c>
      <c r="F1009" s="13">
        <v>24</v>
      </c>
      <c r="G1009" s="14"/>
      <c r="H1009" s="12" t="s">
        <v>61</v>
      </c>
      <c r="I1009" s="12" t="s">
        <v>289</v>
      </c>
      <c r="J1009" s="12" t="s">
        <v>290</v>
      </c>
      <c r="K1009" s="12" t="s">
        <v>100</v>
      </c>
      <c r="L1009" s="14"/>
      <c r="M1009" s="12" t="s">
        <v>43</v>
      </c>
      <c r="N1009" s="12" t="s">
        <v>84</v>
      </c>
      <c r="O1009" s="12" t="s">
        <v>4153</v>
      </c>
      <c r="P1009" s="12" t="s">
        <v>66</v>
      </c>
      <c r="Q1009" s="12" t="s">
        <v>233</v>
      </c>
      <c r="R1009" s="12" t="s">
        <v>664</v>
      </c>
      <c r="S1009" s="13">
        <v>197804388134</v>
      </c>
      <c r="T1009" s="12" t="s">
        <v>235</v>
      </c>
      <c r="U1009" s="13">
        <v>24</v>
      </c>
      <c r="V1009" s="12" t="s">
        <v>665</v>
      </c>
      <c r="W1009" s="12" t="s">
        <v>455</v>
      </c>
      <c r="X1009" s="14"/>
      <c r="Y1009" s="14"/>
      <c r="Z1009" s="14"/>
      <c r="AA1009" s="14"/>
      <c r="AB1009" s="14"/>
      <c r="AC1009" s="15">
        <v>34.1</v>
      </c>
      <c r="AD1009" s="15">
        <f>AC1009*AG1009</f>
        <v>204.60000000000002</v>
      </c>
      <c r="AE1009" s="15">
        <v>75</v>
      </c>
      <c r="AF1009" s="15">
        <f>AE1009*AG1009</f>
        <v>450</v>
      </c>
      <c r="AG1009" s="16">
        <v>6</v>
      </c>
    </row>
    <row r="1010" spans="1:33" ht="15" customHeight="1" x14ac:dyDescent="0.2">
      <c r="A1010" s="11" t="str">
        <f t="shared" si="202"/>
        <v>VN000MBX1O71</v>
      </c>
      <c r="B1010" s="12" t="s">
        <v>4154</v>
      </c>
      <c r="C1010" s="12" t="s">
        <v>2227</v>
      </c>
      <c r="D1010" s="12" t="s">
        <v>637</v>
      </c>
      <c r="E1010" s="12" t="s">
        <v>4155</v>
      </c>
      <c r="F1010" s="12" t="s">
        <v>153</v>
      </c>
      <c r="G1010" s="14"/>
      <c r="H1010" s="12" t="s">
        <v>61</v>
      </c>
      <c r="I1010" s="12" t="s">
        <v>289</v>
      </c>
      <c r="J1010" s="12" t="s">
        <v>706</v>
      </c>
      <c r="K1010" s="12" t="s">
        <v>100</v>
      </c>
      <c r="L1010" s="14"/>
      <c r="M1010" s="12" t="s">
        <v>43</v>
      </c>
      <c r="N1010" s="12" t="s">
        <v>44</v>
      </c>
      <c r="O1010" s="12" t="s">
        <v>4156</v>
      </c>
      <c r="P1010" s="12" t="s">
        <v>66</v>
      </c>
      <c r="Q1010" s="12" t="s">
        <v>67</v>
      </c>
      <c r="R1010" s="12" t="s">
        <v>1146</v>
      </c>
      <c r="S1010" s="13">
        <v>197643368915</v>
      </c>
      <c r="T1010" s="12" t="s">
        <v>709</v>
      </c>
      <c r="U1010" s="12" t="s">
        <v>153</v>
      </c>
      <c r="V1010" s="12" t="s">
        <v>2230</v>
      </c>
      <c r="W1010" s="12" t="s">
        <v>455</v>
      </c>
      <c r="X1010" s="13">
        <v>0</v>
      </c>
      <c r="Y1010" s="12" t="s">
        <v>91</v>
      </c>
      <c r="Z1010" s="12" t="s">
        <v>108</v>
      </c>
      <c r="AA1010" s="13">
        <v>0</v>
      </c>
      <c r="AB1010" s="13">
        <v>0</v>
      </c>
      <c r="AC1010" s="15">
        <v>13.65</v>
      </c>
      <c r="AD1010" s="15">
        <f>AC1010*AG1010</f>
        <v>81.900000000000006</v>
      </c>
      <c r="AE1010" s="15">
        <v>30</v>
      </c>
      <c r="AF1010" s="15">
        <f>AE1010*AG1010</f>
        <v>180</v>
      </c>
      <c r="AG1010" s="16">
        <v>6</v>
      </c>
    </row>
    <row r="1011" spans="1:33" ht="15" customHeight="1" x14ac:dyDescent="0.2">
      <c r="A1011" s="11" t="str">
        <f t="shared" ref="A1011:A1151" si="432">HYPERLINK("https://assets.vans.eu/images/VN000MN2BR1-HERO/1","VN000MN2BR11")</f>
        <v>VN000MN2BR11</v>
      </c>
      <c r="B1011" s="12" t="s">
        <v>4157</v>
      </c>
      <c r="C1011" s="12" t="s">
        <v>4158</v>
      </c>
      <c r="D1011" s="12" t="s">
        <v>496</v>
      </c>
      <c r="E1011" s="12" t="s">
        <v>4159</v>
      </c>
      <c r="F1011" s="12" t="s">
        <v>138</v>
      </c>
      <c r="G1011" s="14"/>
      <c r="H1011" s="12" t="s">
        <v>61</v>
      </c>
      <c r="I1011" s="12" t="s">
        <v>289</v>
      </c>
      <c r="J1011" s="12" t="s">
        <v>900</v>
      </c>
      <c r="K1011" s="12" t="s">
        <v>100</v>
      </c>
      <c r="L1011" s="14"/>
      <c r="M1011" s="12" t="s">
        <v>43</v>
      </c>
      <c r="N1011" s="12" t="s">
        <v>44</v>
      </c>
      <c r="O1011" s="12" t="s">
        <v>4160</v>
      </c>
      <c r="P1011" s="12" t="s">
        <v>66</v>
      </c>
      <c r="Q1011" s="12" t="s">
        <v>233</v>
      </c>
      <c r="R1011" s="12" t="s">
        <v>902</v>
      </c>
      <c r="S1011" s="13">
        <v>197643377566</v>
      </c>
      <c r="T1011" s="12" t="s">
        <v>49</v>
      </c>
      <c r="U1011" s="12" t="s">
        <v>138</v>
      </c>
      <c r="V1011" s="12" t="s">
        <v>90</v>
      </c>
      <c r="W1011" s="12" t="s">
        <v>118</v>
      </c>
      <c r="X1011" s="13">
        <v>0</v>
      </c>
      <c r="Y1011" s="12" t="s">
        <v>53</v>
      </c>
      <c r="Z1011" s="12" t="s">
        <v>108</v>
      </c>
      <c r="AA1011" s="13">
        <v>0</v>
      </c>
      <c r="AB1011" s="13">
        <v>0</v>
      </c>
      <c r="AC1011" s="15">
        <v>36.4</v>
      </c>
      <c r="AD1011" s="15">
        <f>AC1011*AG1011</f>
        <v>218.39999999999998</v>
      </c>
      <c r="AE1011" s="15">
        <v>80</v>
      </c>
      <c r="AF1011" s="15">
        <f>AE1011*AG1011</f>
        <v>480</v>
      </c>
      <c r="AG1011" s="16">
        <v>6</v>
      </c>
    </row>
    <row r="1012" spans="1:33" ht="15" customHeight="1" x14ac:dyDescent="0.2">
      <c r="A1012" s="11" t="str">
        <f t="shared" ref="A1012:A2167" si="433">HYPERLINK("https://assets.vans.eu/images/VN000NUYO3N-HERO/1","VN000NUYO3N1")</f>
        <v>VN000NUYO3N1</v>
      </c>
      <c r="B1012" s="12" t="s">
        <v>4161</v>
      </c>
      <c r="C1012" s="12" t="s">
        <v>4162</v>
      </c>
      <c r="D1012" s="12" t="s">
        <v>744</v>
      </c>
      <c r="E1012" s="12" t="s">
        <v>4163</v>
      </c>
      <c r="F1012" s="12" t="s">
        <v>138</v>
      </c>
      <c r="G1012" s="14"/>
      <c r="H1012" s="12" t="s">
        <v>61</v>
      </c>
      <c r="I1012" s="12" t="s">
        <v>289</v>
      </c>
      <c r="J1012" s="12" t="s">
        <v>706</v>
      </c>
      <c r="K1012" s="12" t="s">
        <v>100</v>
      </c>
      <c r="L1012" s="12" t="s">
        <v>83</v>
      </c>
      <c r="M1012" s="12" t="s">
        <v>43</v>
      </c>
      <c r="N1012" s="12" t="s">
        <v>44</v>
      </c>
      <c r="O1012" s="12" t="s">
        <v>4164</v>
      </c>
      <c r="P1012" s="12" t="s">
        <v>66</v>
      </c>
      <c r="Q1012" s="12" t="s">
        <v>67</v>
      </c>
      <c r="R1012" s="12" t="s">
        <v>1146</v>
      </c>
      <c r="S1012" s="13">
        <v>197803403104</v>
      </c>
      <c r="T1012" s="12" t="s">
        <v>69</v>
      </c>
      <c r="U1012" s="12" t="s">
        <v>138</v>
      </c>
      <c r="V1012" s="12" t="s">
        <v>4165</v>
      </c>
      <c r="W1012" s="12" t="s">
        <v>299</v>
      </c>
      <c r="X1012" s="13">
        <v>0</v>
      </c>
      <c r="Y1012" s="12" t="s">
        <v>91</v>
      </c>
      <c r="Z1012" s="12" t="s">
        <v>108</v>
      </c>
      <c r="AA1012" s="13">
        <v>0</v>
      </c>
      <c r="AB1012" s="12" t="s">
        <v>616</v>
      </c>
      <c r="AC1012" s="15">
        <v>10.95</v>
      </c>
      <c r="AD1012" s="15">
        <f>AC1012*AG1012</f>
        <v>65.699999999999989</v>
      </c>
      <c r="AE1012" s="15">
        <v>24</v>
      </c>
      <c r="AF1012" s="15">
        <f>AE1012*AG1012</f>
        <v>144</v>
      </c>
      <c r="AG1012" s="16">
        <v>6</v>
      </c>
    </row>
    <row r="1013" spans="1:33" ht="15" customHeight="1" x14ac:dyDescent="0.2">
      <c r="A1013" s="11" t="str">
        <f t="shared" ref="A1013:A2173" si="434">HYPERLINK("https://assets.vans.eu/images/VN000P1P6JL-HERO/1","VN000P1P6JL1")</f>
        <v>VN000P1P6JL1</v>
      </c>
      <c r="B1013" s="12" t="s">
        <v>4166</v>
      </c>
      <c r="C1013" s="12" t="s">
        <v>2706</v>
      </c>
      <c r="D1013" s="12" t="s">
        <v>2733</v>
      </c>
      <c r="E1013" s="12" t="s">
        <v>4167</v>
      </c>
      <c r="F1013" s="12" t="s">
        <v>170</v>
      </c>
      <c r="G1013" s="14"/>
      <c r="H1013" s="12" t="s">
        <v>61</v>
      </c>
      <c r="I1013" s="12" t="s">
        <v>230</v>
      </c>
      <c r="J1013" s="12" t="s">
        <v>419</v>
      </c>
      <c r="K1013" s="12" t="s">
        <v>199</v>
      </c>
      <c r="L1013" s="12" t="s">
        <v>115</v>
      </c>
      <c r="M1013" s="12" t="s">
        <v>43</v>
      </c>
      <c r="N1013" s="12" t="s">
        <v>84</v>
      </c>
      <c r="O1013" s="12" t="s">
        <v>4168</v>
      </c>
      <c r="P1013" s="12" t="s">
        <v>66</v>
      </c>
      <c r="Q1013" s="12" t="s">
        <v>67</v>
      </c>
      <c r="R1013" s="12" t="s">
        <v>421</v>
      </c>
      <c r="S1013" s="13">
        <v>198266982502</v>
      </c>
      <c r="T1013" s="12" t="s">
        <v>422</v>
      </c>
      <c r="U1013" s="12" t="s">
        <v>170</v>
      </c>
      <c r="V1013" s="12" t="s">
        <v>423</v>
      </c>
      <c r="W1013" s="12" t="s">
        <v>118</v>
      </c>
      <c r="X1013" s="14"/>
      <c r="Y1013" s="14"/>
      <c r="Z1013" s="14"/>
      <c r="AA1013" s="14"/>
      <c r="AB1013" s="14"/>
      <c r="AC1013" s="15">
        <v>13.65</v>
      </c>
      <c r="AD1013" s="15">
        <f>AC1013*AG1013</f>
        <v>81.900000000000006</v>
      </c>
      <c r="AE1013" s="15">
        <v>30</v>
      </c>
      <c r="AF1013" s="15">
        <f>AE1013*AG1013</f>
        <v>180</v>
      </c>
      <c r="AG1013" s="16">
        <v>6</v>
      </c>
    </row>
    <row r="1014" spans="1:33" ht="15" customHeight="1" x14ac:dyDescent="0.2">
      <c r="A1014" s="11" t="str">
        <f t="shared" ref="A1014:A2177" si="435">HYPERLINK("https://assets.vans.eu/images/VN000P20EMU-HERO/1","VN000P20EMU1")</f>
        <v>VN000P20EMU1</v>
      </c>
      <c r="B1014" s="12" t="s">
        <v>4169</v>
      </c>
      <c r="C1014" s="12" t="s">
        <v>4170</v>
      </c>
      <c r="D1014" s="12" t="s">
        <v>1319</v>
      </c>
      <c r="E1014" s="12" t="s">
        <v>4171</v>
      </c>
      <c r="F1014" s="12" t="s">
        <v>60</v>
      </c>
      <c r="G1014" s="14"/>
      <c r="H1014" s="12" t="s">
        <v>61</v>
      </c>
      <c r="I1014" s="12" t="s">
        <v>230</v>
      </c>
      <c r="J1014" s="12" t="s">
        <v>419</v>
      </c>
      <c r="K1014" s="12" t="s">
        <v>199</v>
      </c>
      <c r="L1014" s="12" t="s">
        <v>83</v>
      </c>
      <c r="M1014" s="12" t="s">
        <v>43</v>
      </c>
      <c r="N1014" s="12" t="s">
        <v>84</v>
      </c>
      <c r="O1014" s="12" t="s">
        <v>4172</v>
      </c>
      <c r="P1014" s="12" t="s">
        <v>66</v>
      </c>
      <c r="Q1014" s="12" t="s">
        <v>67</v>
      </c>
      <c r="R1014" s="12" t="s">
        <v>623</v>
      </c>
      <c r="S1014" s="13">
        <v>197804294794</v>
      </c>
      <c r="T1014" s="12" t="s">
        <v>499</v>
      </c>
      <c r="U1014" s="12" t="s">
        <v>60</v>
      </c>
      <c r="V1014" s="12" t="s">
        <v>70</v>
      </c>
      <c r="W1014" s="12" t="s">
        <v>118</v>
      </c>
      <c r="X1014" s="14"/>
      <c r="Y1014" s="14"/>
      <c r="Z1014" s="14"/>
      <c r="AA1014" s="14"/>
      <c r="AB1014" s="14"/>
      <c r="AC1014" s="15">
        <v>31.85</v>
      </c>
      <c r="AD1014" s="15">
        <f>AC1014*AG1014</f>
        <v>191.10000000000002</v>
      </c>
      <c r="AE1014" s="15">
        <v>70</v>
      </c>
      <c r="AF1014" s="15">
        <f>AE1014*AG1014</f>
        <v>420</v>
      </c>
      <c r="AG1014" s="16">
        <v>6</v>
      </c>
    </row>
    <row r="1015" spans="1:33" ht="15" customHeight="1" x14ac:dyDescent="0.2">
      <c r="A1015" s="11" t="str">
        <f>HYPERLINK("https://assets.vans.eu/images/VN000P78EMP-HERO/1","VN000P78EMP1")</f>
        <v>VN000P78EMP1</v>
      </c>
      <c r="B1015" s="12" t="s">
        <v>4173</v>
      </c>
      <c r="C1015" s="12" t="s">
        <v>3435</v>
      </c>
      <c r="D1015" s="12" t="s">
        <v>704</v>
      </c>
      <c r="E1015" s="12" t="s">
        <v>4174</v>
      </c>
      <c r="F1015" s="12" t="s">
        <v>179</v>
      </c>
      <c r="G1015" s="14"/>
      <c r="H1015" s="12" t="s">
        <v>61</v>
      </c>
      <c r="I1015" s="12" t="s">
        <v>230</v>
      </c>
      <c r="J1015" s="12" t="s">
        <v>762</v>
      </c>
      <c r="K1015" s="12" t="s">
        <v>199</v>
      </c>
      <c r="L1015" s="14"/>
      <c r="M1015" s="12" t="s">
        <v>43</v>
      </c>
      <c r="N1015" s="12" t="s">
        <v>84</v>
      </c>
      <c r="O1015" s="12" t="s">
        <v>4175</v>
      </c>
      <c r="P1015" s="12" t="s">
        <v>66</v>
      </c>
      <c r="Q1015" s="12" t="s">
        <v>764</v>
      </c>
      <c r="R1015" s="12" t="s">
        <v>765</v>
      </c>
      <c r="S1015" s="13">
        <v>197804350568</v>
      </c>
      <c r="T1015" s="12" t="s">
        <v>235</v>
      </c>
      <c r="U1015" s="12" t="s">
        <v>179</v>
      </c>
      <c r="V1015" s="12" t="s">
        <v>1811</v>
      </c>
      <c r="W1015" s="12" t="s">
        <v>186</v>
      </c>
      <c r="X1015" s="14"/>
      <c r="Y1015" s="14"/>
      <c r="Z1015" s="14"/>
      <c r="AA1015" s="14"/>
      <c r="AB1015" s="14"/>
      <c r="AC1015" s="15">
        <v>59.1</v>
      </c>
      <c r="AD1015" s="15">
        <f>AC1015*AG1015</f>
        <v>354.6</v>
      </c>
      <c r="AE1015" s="15">
        <v>130</v>
      </c>
      <c r="AF1015" s="15">
        <f>AE1015*AG1015</f>
        <v>780</v>
      </c>
      <c r="AG1015" s="16">
        <v>6</v>
      </c>
    </row>
    <row r="1016" spans="1:33" ht="15" customHeight="1" x14ac:dyDescent="0.2">
      <c r="A1016" s="11" t="str">
        <f t="shared" ref="A1016:A2206" si="436">HYPERLINK("https://assets.vans.eu/images/VN000P88BLK-HERO/1","VN000P88BLK1")</f>
        <v>VN000P88BLK1</v>
      </c>
      <c r="B1016" s="12" t="s">
        <v>4176</v>
      </c>
      <c r="C1016" s="12" t="s">
        <v>4177</v>
      </c>
      <c r="D1016" s="12" t="s">
        <v>76</v>
      </c>
      <c r="E1016" s="12" t="s">
        <v>4178</v>
      </c>
      <c r="F1016" s="12" t="s">
        <v>179</v>
      </c>
      <c r="G1016" s="14"/>
      <c r="H1016" s="12" t="s">
        <v>61</v>
      </c>
      <c r="I1016" s="12" t="s">
        <v>230</v>
      </c>
      <c r="J1016" s="12" t="s">
        <v>419</v>
      </c>
      <c r="K1016" s="12" t="s">
        <v>199</v>
      </c>
      <c r="L1016" s="14"/>
      <c r="M1016" s="12" t="s">
        <v>43</v>
      </c>
      <c r="N1016" s="12" t="s">
        <v>84</v>
      </c>
      <c r="O1016" s="12" t="s">
        <v>4179</v>
      </c>
      <c r="P1016" s="12" t="s">
        <v>66</v>
      </c>
      <c r="Q1016" s="12" t="s">
        <v>67</v>
      </c>
      <c r="R1016" s="12" t="s">
        <v>1500</v>
      </c>
      <c r="S1016" s="13">
        <v>197804351817</v>
      </c>
      <c r="T1016" s="12" t="s">
        <v>235</v>
      </c>
      <c r="U1016" s="12" t="s">
        <v>179</v>
      </c>
      <c r="V1016" s="12" t="s">
        <v>903</v>
      </c>
      <c r="W1016" s="12" t="s">
        <v>51</v>
      </c>
      <c r="X1016" s="14"/>
      <c r="Y1016" s="14"/>
      <c r="Z1016" s="14"/>
      <c r="AA1016" s="14"/>
      <c r="AB1016" s="14"/>
      <c r="AC1016" s="15">
        <v>29.55</v>
      </c>
      <c r="AD1016" s="15">
        <f>AC1016*AG1016</f>
        <v>177.3</v>
      </c>
      <c r="AE1016" s="15">
        <v>65</v>
      </c>
      <c r="AF1016" s="15">
        <f>AE1016*AG1016</f>
        <v>390</v>
      </c>
      <c r="AG1016" s="16">
        <v>6</v>
      </c>
    </row>
    <row r="1017" spans="1:33" ht="15" customHeight="1" x14ac:dyDescent="0.2">
      <c r="A1017" s="11" t="str">
        <f t="shared" ref="A1017:A3330" si="437">HYPERLINK("https://assets.vans.eu/images/VN000P8MEMW-HERO/1","VN000P8MEMW1")</f>
        <v>VN000P8MEMW1</v>
      </c>
      <c r="B1017" s="12" t="s">
        <v>4180</v>
      </c>
      <c r="C1017" s="12" t="s">
        <v>4181</v>
      </c>
      <c r="D1017" s="12" t="s">
        <v>147</v>
      </c>
      <c r="E1017" s="12" t="s">
        <v>4182</v>
      </c>
      <c r="F1017" s="12" t="s">
        <v>153</v>
      </c>
      <c r="G1017" s="14"/>
      <c r="H1017" s="12" t="s">
        <v>61</v>
      </c>
      <c r="I1017" s="12" t="s">
        <v>230</v>
      </c>
      <c r="J1017" s="12" t="s">
        <v>419</v>
      </c>
      <c r="K1017" s="12" t="s">
        <v>199</v>
      </c>
      <c r="L1017" s="14"/>
      <c r="M1017" s="12" t="s">
        <v>43</v>
      </c>
      <c r="N1017" s="12" t="s">
        <v>84</v>
      </c>
      <c r="O1017" s="12" t="s">
        <v>4183</v>
      </c>
      <c r="P1017" s="12" t="s">
        <v>66</v>
      </c>
      <c r="Q1017" s="12" t="s">
        <v>67</v>
      </c>
      <c r="R1017" s="12" t="s">
        <v>421</v>
      </c>
      <c r="S1017" s="13">
        <v>197805791377</v>
      </c>
      <c r="T1017" s="12" t="s">
        <v>49</v>
      </c>
      <c r="U1017" s="12" t="s">
        <v>153</v>
      </c>
      <c r="V1017" s="12" t="s">
        <v>665</v>
      </c>
      <c r="W1017" s="12" t="s">
        <v>118</v>
      </c>
      <c r="X1017" s="14"/>
      <c r="Y1017" s="14"/>
      <c r="Z1017" s="14"/>
      <c r="AA1017" s="14"/>
      <c r="AB1017" s="14"/>
      <c r="AC1017" s="15">
        <v>25</v>
      </c>
      <c r="AD1017" s="15">
        <f>AC1017*AG1017</f>
        <v>150</v>
      </c>
      <c r="AE1017" s="15">
        <v>55</v>
      </c>
      <c r="AF1017" s="15">
        <f>AE1017*AG1017</f>
        <v>330</v>
      </c>
      <c r="AG1017" s="16">
        <v>6</v>
      </c>
    </row>
    <row r="1018" spans="1:33" ht="15" customHeight="1" x14ac:dyDescent="0.2">
      <c r="A1018" s="11" t="str">
        <f>HYPERLINK("https://assets.vans.eu/images/VN000PBXWHT-HERO/1","VN000PBXWHT1")</f>
        <v>VN000PBXWHT1</v>
      </c>
      <c r="B1018" s="12" t="s">
        <v>4184</v>
      </c>
      <c r="C1018" s="12" t="s">
        <v>4185</v>
      </c>
      <c r="D1018" s="12" t="s">
        <v>168</v>
      </c>
      <c r="E1018" s="12" t="s">
        <v>4186</v>
      </c>
      <c r="F1018" s="12" t="s">
        <v>621</v>
      </c>
      <c r="G1018" s="14"/>
      <c r="H1018" s="12" t="s">
        <v>61</v>
      </c>
      <c r="I1018" s="12" t="s">
        <v>230</v>
      </c>
      <c r="J1018" s="12" t="s">
        <v>419</v>
      </c>
      <c r="K1018" s="12" t="s">
        <v>199</v>
      </c>
      <c r="L1018" s="14"/>
      <c r="M1018" s="12" t="s">
        <v>43</v>
      </c>
      <c r="N1018" s="12" t="s">
        <v>84</v>
      </c>
      <c r="O1018" s="12" t="s">
        <v>4187</v>
      </c>
      <c r="P1018" s="12" t="s">
        <v>66</v>
      </c>
      <c r="Q1018" s="12" t="s">
        <v>67</v>
      </c>
      <c r="R1018" s="12" t="s">
        <v>421</v>
      </c>
      <c r="S1018" s="13">
        <v>197804355426</v>
      </c>
      <c r="T1018" s="12" t="s">
        <v>915</v>
      </c>
      <c r="U1018" s="12" t="s">
        <v>621</v>
      </c>
      <c r="V1018" s="12" t="s">
        <v>979</v>
      </c>
      <c r="W1018" s="12" t="s">
        <v>175</v>
      </c>
      <c r="X1018" s="14"/>
      <c r="Y1018" s="14"/>
      <c r="Z1018" s="14"/>
      <c r="AA1018" s="14"/>
      <c r="AB1018" s="14"/>
      <c r="AC1018" s="15">
        <v>18.2</v>
      </c>
      <c r="AD1018" s="15">
        <f>AC1018*AG1018</f>
        <v>109.19999999999999</v>
      </c>
      <c r="AE1018" s="15">
        <v>40</v>
      </c>
      <c r="AF1018" s="15">
        <f>AE1018*AG1018</f>
        <v>240</v>
      </c>
      <c r="AG1018" s="16">
        <v>6</v>
      </c>
    </row>
    <row r="1019" spans="1:33" ht="15" customHeight="1" x14ac:dyDescent="0.2">
      <c r="A1019" s="11" t="str">
        <f t="shared" si="175"/>
        <v>VN000PFBBRR1</v>
      </c>
      <c r="B1019" s="12" t="s">
        <v>4188</v>
      </c>
      <c r="C1019" s="12" t="s">
        <v>1588</v>
      </c>
      <c r="D1019" s="12" t="s">
        <v>1975</v>
      </c>
      <c r="E1019" s="12" t="s">
        <v>4189</v>
      </c>
      <c r="F1019" s="12" t="s">
        <v>403</v>
      </c>
      <c r="G1019" s="14"/>
      <c r="H1019" s="12" t="s">
        <v>61</v>
      </c>
      <c r="I1019" s="12" t="s">
        <v>230</v>
      </c>
      <c r="J1019" s="12" t="s">
        <v>419</v>
      </c>
      <c r="K1019" s="12" t="s">
        <v>199</v>
      </c>
      <c r="L1019" s="14"/>
      <c r="M1019" s="12" t="s">
        <v>43</v>
      </c>
      <c r="N1019" s="12" t="s">
        <v>84</v>
      </c>
      <c r="O1019" s="12" t="s">
        <v>4190</v>
      </c>
      <c r="P1019" s="12" t="s">
        <v>66</v>
      </c>
      <c r="Q1019" s="12" t="s">
        <v>67</v>
      </c>
      <c r="R1019" s="12" t="s">
        <v>421</v>
      </c>
      <c r="S1019" s="13">
        <v>197804383825</v>
      </c>
      <c r="T1019" s="12" t="s">
        <v>49</v>
      </c>
      <c r="U1019" s="12" t="s">
        <v>403</v>
      </c>
      <c r="V1019" s="12" t="s">
        <v>665</v>
      </c>
      <c r="W1019" s="12" t="s">
        <v>51</v>
      </c>
      <c r="X1019" s="14"/>
      <c r="Y1019" s="14"/>
      <c r="Z1019" s="14"/>
      <c r="AA1019" s="14"/>
      <c r="AB1019" s="14"/>
      <c r="AC1019" s="15">
        <v>20.5</v>
      </c>
      <c r="AD1019" s="15">
        <f>AC1019*AG1019</f>
        <v>123</v>
      </c>
      <c r="AE1019" s="15">
        <v>45</v>
      </c>
      <c r="AF1019" s="15">
        <f>AE1019*AG1019</f>
        <v>270</v>
      </c>
      <c r="AG1019" s="16">
        <v>6</v>
      </c>
    </row>
    <row r="1020" spans="1:33" ht="15" customHeight="1" x14ac:dyDescent="0.2">
      <c r="A1020" s="11" t="str">
        <f t="shared" si="243"/>
        <v>VN000PGJEMF1</v>
      </c>
      <c r="B1020" s="12" t="s">
        <v>4191</v>
      </c>
      <c r="C1020" s="12" t="s">
        <v>2532</v>
      </c>
      <c r="D1020" s="12" t="s">
        <v>1282</v>
      </c>
      <c r="E1020" s="12" t="s">
        <v>4192</v>
      </c>
      <c r="F1020" s="12" t="s">
        <v>403</v>
      </c>
      <c r="G1020" s="14"/>
      <c r="H1020" s="12" t="s">
        <v>61</v>
      </c>
      <c r="I1020" s="12" t="s">
        <v>230</v>
      </c>
      <c r="J1020" s="12" t="s">
        <v>762</v>
      </c>
      <c r="K1020" s="12" t="s">
        <v>199</v>
      </c>
      <c r="L1020" s="14"/>
      <c r="M1020" s="12" t="s">
        <v>43</v>
      </c>
      <c r="N1020" s="12" t="s">
        <v>84</v>
      </c>
      <c r="O1020" s="12" t="s">
        <v>4193</v>
      </c>
      <c r="P1020" s="12" t="s">
        <v>66</v>
      </c>
      <c r="Q1020" s="12" t="s">
        <v>764</v>
      </c>
      <c r="R1020" s="12" t="s">
        <v>765</v>
      </c>
      <c r="S1020" s="13">
        <v>197804371884</v>
      </c>
      <c r="T1020" s="12" t="s">
        <v>235</v>
      </c>
      <c r="U1020" s="12" t="s">
        <v>403</v>
      </c>
      <c r="V1020" s="12" t="s">
        <v>90</v>
      </c>
      <c r="W1020" s="12" t="s">
        <v>118</v>
      </c>
      <c r="X1020" s="14"/>
      <c r="Y1020" s="14"/>
      <c r="Z1020" s="14"/>
      <c r="AA1020" s="14"/>
      <c r="AB1020" s="14"/>
      <c r="AC1020" s="15">
        <v>50</v>
      </c>
      <c r="AD1020" s="15">
        <f>AC1020*AG1020</f>
        <v>300</v>
      </c>
      <c r="AE1020" s="15">
        <v>110</v>
      </c>
      <c r="AF1020" s="15">
        <f>AE1020*AG1020</f>
        <v>660</v>
      </c>
      <c r="AG1020" s="16">
        <v>6</v>
      </c>
    </row>
    <row r="1021" spans="1:33" ht="15" customHeight="1" x14ac:dyDescent="0.2">
      <c r="A1021" s="11" t="str">
        <f t="shared" ref="A1021:A1169" si="438">HYPERLINK("https://assets.vans.eu/images/VN000PGJEMF-HERO/1","VN000PGJEMF1")</f>
        <v>VN000PGJEMF1</v>
      </c>
      <c r="B1021" s="12" t="s">
        <v>4194</v>
      </c>
      <c r="C1021" s="12" t="s">
        <v>2532</v>
      </c>
      <c r="D1021" s="12" t="s">
        <v>1282</v>
      </c>
      <c r="E1021" s="12" t="s">
        <v>4195</v>
      </c>
      <c r="F1021" s="12" t="s">
        <v>153</v>
      </c>
      <c r="G1021" s="14"/>
      <c r="H1021" s="12" t="s">
        <v>61</v>
      </c>
      <c r="I1021" s="12" t="s">
        <v>230</v>
      </c>
      <c r="J1021" s="12" t="s">
        <v>762</v>
      </c>
      <c r="K1021" s="12" t="s">
        <v>199</v>
      </c>
      <c r="L1021" s="14"/>
      <c r="M1021" s="12" t="s">
        <v>43</v>
      </c>
      <c r="N1021" s="12" t="s">
        <v>84</v>
      </c>
      <c r="O1021" s="12" t="s">
        <v>4196</v>
      </c>
      <c r="P1021" s="12" t="s">
        <v>66</v>
      </c>
      <c r="Q1021" s="12" t="s">
        <v>764</v>
      </c>
      <c r="R1021" s="12" t="s">
        <v>765</v>
      </c>
      <c r="S1021" s="13">
        <v>197804372096</v>
      </c>
      <c r="T1021" s="12" t="s">
        <v>235</v>
      </c>
      <c r="U1021" s="12" t="s">
        <v>153</v>
      </c>
      <c r="V1021" s="12" t="s">
        <v>90</v>
      </c>
      <c r="W1021" s="12" t="s">
        <v>118</v>
      </c>
      <c r="X1021" s="14"/>
      <c r="Y1021" s="14"/>
      <c r="Z1021" s="14"/>
      <c r="AA1021" s="14"/>
      <c r="AB1021" s="14"/>
      <c r="AC1021" s="15">
        <v>50</v>
      </c>
      <c r="AD1021" s="15">
        <f>AC1021*AG1021</f>
        <v>300</v>
      </c>
      <c r="AE1021" s="15">
        <v>110</v>
      </c>
      <c r="AF1021" s="15">
        <f>AE1021*AG1021</f>
        <v>660</v>
      </c>
      <c r="AG1021" s="16">
        <v>6</v>
      </c>
    </row>
    <row r="1022" spans="1:33" ht="15" customHeight="1" x14ac:dyDescent="0.2">
      <c r="A1022" s="11" t="str">
        <f>HYPERLINK("https://assets.vans.eu/images/VN000PHDEMF-HERO/1","VN000PHDEMF1")</f>
        <v>VN000PHDEMF1</v>
      </c>
      <c r="B1022" s="12" t="s">
        <v>4197</v>
      </c>
      <c r="C1022" s="12" t="s">
        <v>1281</v>
      </c>
      <c r="D1022" s="12" t="s">
        <v>1282</v>
      </c>
      <c r="E1022" s="12" t="s">
        <v>4198</v>
      </c>
      <c r="F1022" s="13">
        <v>31</v>
      </c>
      <c r="G1022" s="14"/>
      <c r="H1022" s="12" t="s">
        <v>61</v>
      </c>
      <c r="I1022" s="12" t="s">
        <v>230</v>
      </c>
      <c r="J1022" s="12" t="s">
        <v>231</v>
      </c>
      <c r="K1022" s="12" t="s">
        <v>199</v>
      </c>
      <c r="L1022" s="14"/>
      <c r="M1022" s="12" t="s">
        <v>43</v>
      </c>
      <c r="N1022" s="12" t="s">
        <v>84</v>
      </c>
      <c r="O1022" s="12" t="s">
        <v>4199</v>
      </c>
      <c r="P1022" s="12" t="s">
        <v>66</v>
      </c>
      <c r="Q1022" s="12" t="s">
        <v>233</v>
      </c>
      <c r="R1022" s="12" t="s">
        <v>361</v>
      </c>
      <c r="S1022" s="13">
        <v>197804579594</v>
      </c>
      <c r="T1022" s="12" t="s">
        <v>235</v>
      </c>
      <c r="U1022" s="13">
        <v>31</v>
      </c>
      <c r="V1022" s="12" t="s">
        <v>665</v>
      </c>
      <c r="W1022" s="12" t="s">
        <v>118</v>
      </c>
      <c r="X1022" s="14"/>
      <c r="Y1022" s="14"/>
      <c r="Z1022" s="14"/>
      <c r="AA1022" s="14"/>
      <c r="AB1022" s="14"/>
      <c r="AC1022" s="15">
        <v>40.950000000000003</v>
      </c>
      <c r="AD1022" s="15">
        <f>AC1022*AG1022</f>
        <v>245.70000000000002</v>
      </c>
      <c r="AE1022" s="15">
        <v>90</v>
      </c>
      <c r="AF1022" s="15">
        <f>AE1022*AG1022</f>
        <v>540</v>
      </c>
      <c r="AG1022" s="16">
        <v>6</v>
      </c>
    </row>
    <row r="1023" spans="1:33" ht="15" customHeight="1" x14ac:dyDescent="0.2">
      <c r="A1023" s="11" t="str">
        <f t="shared" ref="A1023:A1179" si="439">HYPERLINK("https://assets.vans.eu/images/VN000PM3BLK-HERO/1","VN000PM3BLK1")</f>
        <v>VN000PM3BLK1</v>
      </c>
      <c r="B1023" s="12" t="s">
        <v>4200</v>
      </c>
      <c r="C1023" s="12" t="s">
        <v>4201</v>
      </c>
      <c r="D1023" s="12" t="s">
        <v>76</v>
      </c>
      <c r="E1023" s="12" t="s">
        <v>4202</v>
      </c>
      <c r="F1023" s="12" t="s">
        <v>179</v>
      </c>
      <c r="G1023" s="14"/>
      <c r="H1023" s="12" t="s">
        <v>61</v>
      </c>
      <c r="I1023" s="12" t="s">
        <v>230</v>
      </c>
      <c r="J1023" s="12" t="s">
        <v>231</v>
      </c>
      <c r="K1023" s="12" t="s">
        <v>199</v>
      </c>
      <c r="L1023" s="14"/>
      <c r="M1023" s="12" t="s">
        <v>43</v>
      </c>
      <c r="N1023" s="12" t="s">
        <v>84</v>
      </c>
      <c r="O1023" s="12" t="s">
        <v>4203</v>
      </c>
      <c r="P1023" s="12" t="s">
        <v>66</v>
      </c>
      <c r="Q1023" s="12" t="s">
        <v>233</v>
      </c>
      <c r="R1023" s="12" t="s">
        <v>361</v>
      </c>
      <c r="S1023" s="13">
        <v>197804610778</v>
      </c>
      <c r="T1023" s="12" t="s">
        <v>49</v>
      </c>
      <c r="U1023" s="12" t="s">
        <v>179</v>
      </c>
      <c r="V1023" s="12" t="s">
        <v>90</v>
      </c>
      <c r="W1023" s="12" t="s">
        <v>51</v>
      </c>
      <c r="X1023" s="14"/>
      <c r="Y1023" s="14"/>
      <c r="Z1023" s="14"/>
      <c r="AA1023" s="14"/>
      <c r="AB1023" s="14"/>
      <c r="AC1023" s="15">
        <v>136.4</v>
      </c>
      <c r="AD1023" s="15">
        <f>AC1023*AG1023</f>
        <v>818.40000000000009</v>
      </c>
      <c r="AE1023" s="15">
        <v>300</v>
      </c>
      <c r="AF1023" s="15">
        <f>AE1023*AG1023</f>
        <v>1800</v>
      </c>
      <c r="AG1023" s="16">
        <v>6</v>
      </c>
    </row>
    <row r="1024" spans="1:33" ht="15" customHeight="1" x14ac:dyDescent="0.2">
      <c r="A1024" s="11" t="str">
        <f t="shared" ref="A1024:A1385" si="440">HYPERLINK("https://assets.vans.eu/images/VN000PMDBLK-HERO/1","VN000PMDBLK1")</f>
        <v>VN000PMDBLK1</v>
      </c>
      <c r="B1024" s="12" t="s">
        <v>4204</v>
      </c>
      <c r="C1024" s="12" t="s">
        <v>2243</v>
      </c>
      <c r="D1024" s="12" t="s">
        <v>76</v>
      </c>
      <c r="E1024" s="12" t="s">
        <v>4205</v>
      </c>
      <c r="F1024" s="12" t="s">
        <v>179</v>
      </c>
      <c r="G1024" s="14"/>
      <c r="H1024" s="12" t="s">
        <v>61</v>
      </c>
      <c r="I1024" s="12" t="s">
        <v>230</v>
      </c>
      <c r="J1024" s="12" t="s">
        <v>762</v>
      </c>
      <c r="K1024" s="12" t="s">
        <v>199</v>
      </c>
      <c r="L1024" s="14"/>
      <c r="M1024" s="12" t="s">
        <v>43</v>
      </c>
      <c r="N1024" s="12" t="s">
        <v>84</v>
      </c>
      <c r="O1024" s="12" t="s">
        <v>4206</v>
      </c>
      <c r="P1024" s="12" t="s">
        <v>66</v>
      </c>
      <c r="Q1024" s="12" t="s">
        <v>764</v>
      </c>
      <c r="R1024" s="12" t="s">
        <v>765</v>
      </c>
      <c r="S1024" s="13">
        <v>197804581726</v>
      </c>
      <c r="T1024" s="12" t="s">
        <v>49</v>
      </c>
      <c r="U1024" s="12" t="s">
        <v>179</v>
      </c>
      <c r="V1024" s="12" t="s">
        <v>90</v>
      </c>
      <c r="W1024" s="12" t="s">
        <v>51</v>
      </c>
      <c r="X1024" s="14"/>
      <c r="Y1024" s="14"/>
      <c r="Z1024" s="14"/>
      <c r="AA1024" s="14"/>
      <c r="AB1024" s="14"/>
      <c r="AC1024" s="15">
        <v>136.4</v>
      </c>
      <c r="AD1024" s="15">
        <f>AC1024*AG1024</f>
        <v>818.40000000000009</v>
      </c>
      <c r="AE1024" s="15">
        <v>300</v>
      </c>
      <c r="AF1024" s="15">
        <f>AE1024*AG1024</f>
        <v>1800</v>
      </c>
      <c r="AG1024" s="16">
        <v>6</v>
      </c>
    </row>
    <row r="1025" spans="1:33" ht="15" customHeight="1" x14ac:dyDescent="0.2">
      <c r="A1025" s="11" t="str">
        <f t="shared" si="357"/>
        <v>VN000PMFENB1</v>
      </c>
      <c r="B1025" s="12" t="s">
        <v>4207</v>
      </c>
      <c r="C1025" s="12" t="s">
        <v>3148</v>
      </c>
      <c r="D1025" s="12" t="s">
        <v>2917</v>
      </c>
      <c r="E1025" s="12" t="s">
        <v>4208</v>
      </c>
      <c r="F1025" s="12" t="s">
        <v>179</v>
      </c>
      <c r="G1025" s="14"/>
      <c r="H1025" s="12" t="s">
        <v>61</v>
      </c>
      <c r="I1025" s="12" t="s">
        <v>230</v>
      </c>
      <c r="J1025" s="12" t="s">
        <v>762</v>
      </c>
      <c r="K1025" s="12" t="s">
        <v>199</v>
      </c>
      <c r="L1025" s="14"/>
      <c r="M1025" s="12" t="s">
        <v>43</v>
      </c>
      <c r="N1025" s="12" t="s">
        <v>84</v>
      </c>
      <c r="O1025" s="12" t="s">
        <v>4209</v>
      </c>
      <c r="P1025" s="12" t="s">
        <v>66</v>
      </c>
      <c r="Q1025" s="12" t="s">
        <v>764</v>
      </c>
      <c r="R1025" s="12" t="s">
        <v>765</v>
      </c>
      <c r="S1025" s="13">
        <v>197804372706</v>
      </c>
      <c r="T1025" s="12" t="s">
        <v>49</v>
      </c>
      <c r="U1025" s="12" t="s">
        <v>179</v>
      </c>
      <c r="V1025" s="12" t="s">
        <v>1811</v>
      </c>
      <c r="W1025" s="12" t="s">
        <v>186</v>
      </c>
      <c r="X1025" s="14"/>
      <c r="Y1025" s="14"/>
      <c r="Z1025" s="14"/>
      <c r="AA1025" s="14"/>
      <c r="AB1025" s="14"/>
      <c r="AC1025" s="15">
        <v>136.4</v>
      </c>
      <c r="AD1025" s="15">
        <f>AC1025*AG1025</f>
        <v>818.40000000000009</v>
      </c>
      <c r="AE1025" s="15">
        <v>300</v>
      </c>
      <c r="AF1025" s="15">
        <f>AE1025*AG1025</f>
        <v>1800</v>
      </c>
      <c r="AG1025" s="16">
        <v>6</v>
      </c>
    </row>
    <row r="1026" spans="1:33" ht="15" customHeight="1" x14ac:dyDescent="0.2">
      <c r="A1026" s="11" t="str">
        <f t="shared" ref="A1026:A1729" si="441">HYPERLINK("https://assets.vans.eu/images/VN000PMHENB-HERO/1","VN000PMHENB1")</f>
        <v>VN000PMHENB1</v>
      </c>
      <c r="B1026" s="12" t="s">
        <v>4210</v>
      </c>
      <c r="C1026" s="12" t="s">
        <v>2916</v>
      </c>
      <c r="D1026" s="12" t="s">
        <v>2917</v>
      </c>
      <c r="E1026" s="12" t="s">
        <v>4211</v>
      </c>
      <c r="F1026" s="12" t="s">
        <v>403</v>
      </c>
      <c r="G1026" s="14"/>
      <c r="H1026" s="12" t="s">
        <v>61</v>
      </c>
      <c r="I1026" s="12" t="s">
        <v>230</v>
      </c>
      <c r="J1026" s="12" t="s">
        <v>762</v>
      </c>
      <c r="K1026" s="12" t="s">
        <v>199</v>
      </c>
      <c r="L1026" s="14"/>
      <c r="M1026" s="12" t="s">
        <v>43</v>
      </c>
      <c r="N1026" s="12" t="s">
        <v>84</v>
      </c>
      <c r="O1026" s="12" t="s">
        <v>4212</v>
      </c>
      <c r="P1026" s="12" t="s">
        <v>66</v>
      </c>
      <c r="Q1026" s="12" t="s">
        <v>764</v>
      </c>
      <c r="R1026" s="12" t="s">
        <v>765</v>
      </c>
      <c r="S1026" s="13">
        <v>197804678792</v>
      </c>
      <c r="T1026" s="12" t="s">
        <v>49</v>
      </c>
      <c r="U1026" s="12" t="s">
        <v>403</v>
      </c>
      <c r="V1026" s="12" t="s">
        <v>1811</v>
      </c>
      <c r="W1026" s="12" t="s">
        <v>186</v>
      </c>
      <c r="X1026" s="14"/>
      <c r="Y1026" s="14"/>
      <c r="Z1026" s="14"/>
      <c r="AA1026" s="14"/>
      <c r="AB1026" s="14"/>
      <c r="AC1026" s="15">
        <v>95.5</v>
      </c>
      <c r="AD1026" s="15">
        <f>AC1026*AG1026</f>
        <v>573</v>
      </c>
      <c r="AE1026" s="15">
        <v>210</v>
      </c>
      <c r="AF1026" s="15">
        <f>AE1026*AG1026</f>
        <v>1260</v>
      </c>
      <c r="AG1026" s="16">
        <v>6</v>
      </c>
    </row>
    <row r="1027" spans="1:33" ht="15" customHeight="1" x14ac:dyDescent="0.2">
      <c r="A1027" s="11" t="str">
        <f t="shared" ref="A1027:A1185" si="442">HYPERLINK("https://assets.vans.eu/images/VN000PNKEMJ-HERO/1","VN000PNKEMJ1")</f>
        <v>VN000PNKEMJ1</v>
      </c>
      <c r="B1027" s="12" t="s">
        <v>4213</v>
      </c>
      <c r="C1027" s="12" t="s">
        <v>4214</v>
      </c>
      <c r="D1027" s="12" t="s">
        <v>768</v>
      </c>
      <c r="E1027" s="12" t="s">
        <v>4215</v>
      </c>
      <c r="F1027" s="12" t="s">
        <v>60</v>
      </c>
      <c r="G1027" s="14"/>
      <c r="H1027" s="12" t="s">
        <v>61</v>
      </c>
      <c r="I1027" s="12" t="s">
        <v>230</v>
      </c>
      <c r="J1027" s="12" t="s">
        <v>419</v>
      </c>
      <c r="K1027" s="12" t="s">
        <v>199</v>
      </c>
      <c r="L1027" s="14"/>
      <c r="M1027" s="12" t="s">
        <v>43</v>
      </c>
      <c r="N1027" s="12" t="s">
        <v>84</v>
      </c>
      <c r="O1027" s="12" t="s">
        <v>4216</v>
      </c>
      <c r="P1027" s="12" t="s">
        <v>66</v>
      </c>
      <c r="Q1027" s="12" t="s">
        <v>67</v>
      </c>
      <c r="R1027" s="12" t="s">
        <v>421</v>
      </c>
      <c r="S1027" s="13">
        <v>197804362882</v>
      </c>
      <c r="T1027" s="12" t="s">
        <v>49</v>
      </c>
      <c r="U1027" s="12" t="s">
        <v>60</v>
      </c>
      <c r="V1027" s="12" t="s">
        <v>665</v>
      </c>
      <c r="W1027" s="12" t="s">
        <v>625</v>
      </c>
      <c r="X1027" s="14"/>
      <c r="Y1027" s="14"/>
      <c r="Z1027" s="14"/>
      <c r="AA1027" s="14"/>
      <c r="AB1027" s="14"/>
      <c r="AC1027" s="15">
        <v>19.100000000000001</v>
      </c>
      <c r="AD1027" s="15">
        <f>AC1027*AG1027</f>
        <v>114.60000000000001</v>
      </c>
      <c r="AE1027" s="15">
        <v>42</v>
      </c>
      <c r="AF1027" s="15">
        <f>AE1027*AG1027</f>
        <v>252</v>
      </c>
      <c r="AG1027" s="16">
        <v>6</v>
      </c>
    </row>
    <row r="1028" spans="1:33" ht="15" customHeight="1" x14ac:dyDescent="0.2">
      <c r="A1028" s="11" t="str">
        <f t="shared" ref="A1028:A1750" si="443">HYPERLINK("https://assets.vans.eu/images/VN000PTBF0W-HERO/1","VN000PTBF0W1")</f>
        <v>VN000PTBF0W1</v>
      </c>
      <c r="B1028" s="12" t="s">
        <v>4217</v>
      </c>
      <c r="C1028" s="12" t="s">
        <v>4218</v>
      </c>
      <c r="D1028" s="12" t="s">
        <v>4219</v>
      </c>
      <c r="E1028" s="12" t="s">
        <v>4220</v>
      </c>
      <c r="F1028" s="12" t="s">
        <v>60</v>
      </c>
      <c r="G1028" s="14"/>
      <c r="H1028" s="12" t="s">
        <v>61</v>
      </c>
      <c r="I1028" s="12" t="s">
        <v>230</v>
      </c>
      <c r="J1028" s="12" t="s">
        <v>762</v>
      </c>
      <c r="K1028" s="12" t="s">
        <v>199</v>
      </c>
      <c r="L1028" s="14"/>
      <c r="M1028" s="12" t="s">
        <v>43</v>
      </c>
      <c r="N1028" s="12" t="s">
        <v>84</v>
      </c>
      <c r="O1028" s="12" t="s">
        <v>4221</v>
      </c>
      <c r="P1028" s="12" t="s">
        <v>66</v>
      </c>
      <c r="Q1028" s="12" t="s">
        <v>764</v>
      </c>
      <c r="R1028" s="12" t="s">
        <v>765</v>
      </c>
      <c r="S1028" s="13">
        <v>197804364251</v>
      </c>
      <c r="T1028" s="12" t="s">
        <v>235</v>
      </c>
      <c r="U1028" s="12" t="s">
        <v>60</v>
      </c>
      <c r="V1028" s="12" t="s">
        <v>90</v>
      </c>
      <c r="W1028" s="12" t="s">
        <v>625</v>
      </c>
      <c r="X1028" s="14"/>
      <c r="Y1028" s="14"/>
      <c r="Z1028" s="14"/>
      <c r="AA1028" s="14"/>
      <c r="AB1028" s="14"/>
      <c r="AC1028" s="15">
        <v>54.55</v>
      </c>
      <c r="AD1028" s="15">
        <f>AC1028*AG1028</f>
        <v>327.29999999999995</v>
      </c>
      <c r="AE1028" s="15">
        <v>120</v>
      </c>
      <c r="AF1028" s="15">
        <f>AE1028*AG1028</f>
        <v>720</v>
      </c>
      <c r="AG1028" s="16">
        <v>6</v>
      </c>
    </row>
    <row r="1029" spans="1:33" ht="15" customHeight="1" x14ac:dyDescent="0.2">
      <c r="A1029" s="11" t="str">
        <f t="shared" si="69"/>
        <v>VN000PXSWHT1</v>
      </c>
      <c r="B1029" s="12" t="s">
        <v>4222</v>
      </c>
      <c r="C1029" s="12" t="s">
        <v>976</v>
      </c>
      <c r="D1029" s="12" t="s">
        <v>168</v>
      </c>
      <c r="E1029" s="12" t="s">
        <v>4223</v>
      </c>
      <c r="F1029" s="12" t="s">
        <v>179</v>
      </c>
      <c r="G1029" s="14"/>
      <c r="H1029" s="12" t="s">
        <v>61</v>
      </c>
      <c r="I1029" s="12" t="s">
        <v>62</v>
      </c>
      <c r="J1029" s="12" t="s">
        <v>63</v>
      </c>
      <c r="K1029" s="12" t="s">
        <v>64</v>
      </c>
      <c r="L1029" s="14"/>
      <c r="M1029" s="12" t="s">
        <v>43</v>
      </c>
      <c r="N1029" s="12" t="s">
        <v>84</v>
      </c>
      <c r="O1029" s="12" t="s">
        <v>4224</v>
      </c>
      <c r="P1029" s="12" t="s">
        <v>66</v>
      </c>
      <c r="Q1029" s="12" t="s">
        <v>67</v>
      </c>
      <c r="R1029" s="12" t="s">
        <v>68</v>
      </c>
      <c r="S1029" s="13">
        <v>197804365692</v>
      </c>
      <c r="T1029" s="12" t="s">
        <v>915</v>
      </c>
      <c r="U1029" s="12" t="s">
        <v>179</v>
      </c>
      <c r="V1029" s="12" t="s">
        <v>1028</v>
      </c>
      <c r="W1029" s="12" t="s">
        <v>175</v>
      </c>
      <c r="X1029" s="14"/>
      <c r="Y1029" s="14"/>
      <c r="Z1029" s="14"/>
      <c r="AA1029" s="14"/>
      <c r="AB1029" s="14"/>
      <c r="AC1029" s="15">
        <v>13.65</v>
      </c>
      <c r="AD1029" s="15">
        <f>AC1029*AG1029</f>
        <v>81.900000000000006</v>
      </c>
      <c r="AE1029" s="15">
        <v>30</v>
      </c>
      <c r="AF1029" s="15">
        <f>AE1029*AG1029</f>
        <v>180</v>
      </c>
      <c r="AG1029" s="16">
        <v>6</v>
      </c>
    </row>
    <row r="1030" spans="1:33" ht="15" customHeight="1" x14ac:dyDescent="0.2">
      <c r="A1030" s="11" t="str">
        <f t="shared" si="328"/>
        <v>VN000PY4WHT1</v>
      </c>
      <c r="B1030" s="12" t="s">
        <v>4225</v>
      </c>
      <c r="C1030" s="12" t="s">
        <v>3168</v>
      </c>
      <c r="D1030" s="12" t="s">
        <v>168</v>
      </c>
      <c r="E1030" s="12" t="s">
        <v>4226</v>
      </c>
      <c r="F1030" s="12" t="s">
        <v>170</v>
      </c>
      <c r="G1030" s="14"/>
      <c r="H1030" s="12" t="s">
        <v>61</v>
      </c>
      <c r="I1030" s="12" t="s">
        <v>62</v>
      </c>
      <c r="J1030" s="12" t="s">
        <v>63</v>
      </c>
      <c r="K1030" s="12" t="s">
        <v>64</v>
      </c>
      <c r="L1030" s="14"/>
      <c r="M1030" s="12" t="s">
        <v>43</v>
      </c>
      <c r="N1030" s="12" t="s">
        <v>84</v>
      </c>
      <c r="O1030" s="12" t="s">
        <v>4227</v>
      </c>
      <c r="P1030" s="12" t="s">
        <v>66</v>
      </c>
      <c r="Q1030" s="12" t="s">
        <v>67</v>
      </c>
      <c r="R1030" s="12" t="s">
        <v>68</v>
      </c>
      <c r="S1030" s="13">
        <v>197804582426</v>
      </c>
      <c r="T1030" s="12" t="s">
        <v>915</v>
      </c>
      <c r="U1030" s="12" t="s">
        <v>170</v>
      </c>
      <c r="V1030" s="12" t="s">
        <v>1028</v>
      </c>
      <c r="W1030" s="12" t="s">
        <v>175</v>
      </c>
      <c r="X1030" s="14"/>
      <c r="Y1030" s="14"/>
      <c r="Z1030" s="14"/>
      <c r="AA1030" s="14"/>
      <c r="AB1030" s="14"/>
      <c r="AC1030" s="15">
        <v>13.65</v>
      </c>
      <c r="AD1030" s="15">
        <f>AC1030*AG1030</f>
        <v>81.900000000000006</v>
      </c>
      <c r="AE1030" s="15">
        <v>30</v>
      </c>
      <c r="AF1030" s="15">
        <f>AE1030*AG1030</f>
        <v>180</v>
      </c>
      <c r="AG1030" s="16">
        <v>6</v>
      </c>
    </row>
    <row r="1031" spans="1:33" ht="15" customHeight="1" x14ac:dyDescent="0.2">
      <c r="A1031" s="11" t="str">
        <f t="shared" ref="A1031:A1770" si="444">HYPERLINK("https://assets.vans.eu/images/VN000Q09GC6-HERO/1","VN000Q09GC61")</f>
        <v>VN000Q09GC61</v>
      </c>
      <c r="B1031" s="12" t="s">
        <v>4228</v>
      </c>
      <c r="C1031" s="12" t="s">
        <v>1577</v>
      </c>
      <c r="D1031" s="12" t="s">
        <v>1744</v>
      </c>
      <c r="E1031" s="12" t="s">
        <v>4229</v>
      </c>
      <c r="F1031" s="13">
        <v>29</v>
      </c>
      <c r="G1031" s="14"/>
      <c r="H1031" s="12" t="s">
        <v>61</v>
      </c>
      <c r="I1031" s="12" t="s">
        <v>62</v>
      </c>
      <c r="J1031" s="12" t="s">
        <v>972</v>
      </c>
      <c r="K1031" s="12" t="s">
        <v>64</v>
      </c>
      <c r="L1031" s="14"/>
      <c r="M1031" s="12" t="s">
        <v>43</v>
      </c>
      <c r="N1031" s="12" t="s">
        <v>84</v>
      </c>
      <c r="O1031" s="12" t="s">
        <v>4230</v>
      </c>
      <c r="P1031" s="12" t="s">
        <v>66</v>
      </c>
      <c r="Q1031" s="12" t="s">
        <v>233</v>
      </c>
      <c r="R1031" s="12" t="s">
        <v>974</v>
      </c>
      <c r="S1031" s="13">
        <v>197804669622</v>
      </c>
      <c r="T1031" s="12" t="s">
        <v>235</v>
      </c>
      <c r="U1031" s="13">
        <v>29</v>
      </c>
      <c r="V1031" s="12" t="s">
        <v>665</v>
      </c>
      <c r="W1031" s="12" t="s">
        <v>284</v>
      </c>
      <c r="X1031" s="14"/>
      <c r="Y1031" s="14"/>
      <c r="Z1031" s="14"/>
      <c r="AA1031" s="14"/>
      <c r="AB1031" s="14"/>
      <c r="AC1031" s="15">
        <v>29.55</v>
      </c>
      <c r="AD1031" s="15">
        <f>AC1031*AG1031</f>
        <v>177.3</v>
      </c>
      <c r="AE1031" s="15">
        <v>65</v>
      </c>
      <c r="AF1031" s="15">
        <f>AE1031*AG1031</f>
        <v>390</v>
      </c>
      <c r="AG1031" s="16">
        <v>6</v>
      </c>
    </row>
    <row r="1032" spans="1:33" ht="15" customHeight="1" x14ac:dyDescent="0.2">
      <c r="A1032" s="11" t="str">
        <f t="shared" si="44"/>
        <v>VN000Q35EMP1</v>
      </c>
      <c r="B1032" s="12" t="s">
        <v>4231</v>
      </c>
      <c r="C1032" s="12" t="s">
        <v>703</v>
      </c>
      <c r="D1032" s="12" t="s">
        <v>704</v>
      </c>
      <c r="E1032" s="12" t="s">
        <v>4232</v>
      </c>
      <c r="F1032" s="12" t="s">
        <v>179</v>
      </c>
      <c r="G1032" s="14"/>
      <c r="H1032" s="12" t="s">
        <v>61</v>
      </c>
      <c r="I1032" s="12" t="s">
        <v>289</v>
      </c>
      <c r="J1032" s="12" t="s">
        <v>706</v>
      </c>
      <c r="K1032" s="12" t="s">
        <v>100</v>
      </c>
      <c r="L1032" s="14"/>
      <c r="M1032" s="12" t="s">
        <v>43</v>
      </c>
      <c r="N1032" s="12" t="s">
        <v>84</v>
      </c>
      <c r="O1032" s="12" t="s">
        <v>4233</v>
      </c>
      <c r="P1032" s="12" t="s">
        <v>66</v>
      </c>
      <c r="Q1032" s="12" t="s">
        <v>67</v>
      </c>
      <c r="R1032" s="12" t="s">
        <v>708</v>
      </c>
      <c r="S1032" s="13">
        <v>197804686841</v>
      </c>
      <c r="T1032" s="12" t="s">
        <v>709</v>
      </c>
      <c r="U1032" s="12" t="s">
        <v>179</v>
      </c>
      <c r="V1032" s="12" t="s">
        <v>710</v>
      </c>
      <c r="W1032" s="12" t="s">
        <v>186</v>
      </c>
      <c r="X1032" s="14"/>
      <c r="Y1032" s="14"/>
      <c r="Z1032" s="14"/>
      <c r="AA1032" s="14"/>
      <c r="AB1032" s="14"/>
      <c r="AC1032" s="15">
        <v>34.1</v>
      </c>
      <c r="AD1032" s="15">
        <f>AC1032*AG1032</f>
        <v>204.60000000000002</v>
      </c>
      <c r="AE1032" s="15">
        <v>75</v>
      </c>
      <c r="AF1032" s="15">
        <f>AE1032*AG1032</f>
        <v>450</v>
      </c>
      <c r="AG1032" s="16">
        <v>6</v>
      </c>
    </row>
    <row r="1033" spans="1:33" ht="15" customHeight="1" x14ac:dyDescent="0.2">
      <c r="A1033" s="11" t="str">
        <f>HYPERLINK("https://assets.vans.eu/images/VN000Q35EMP-HERO/1","VN000Q35EMP1")</f>
        <v>VN000Q35EMP1</v>
      </c>
      <c r="B1033" s="12" t="s">
        <v>4234</v>
      </c>
      <c r="C1033" s="12" t="s">
        <v>703</v>
      </c>
      <c r="D1033" s="12" t="s">
        <v>704</v>
      </c>
      <c r="E1033" s="12" t="s">
        <v>4235</v>
      </c>
      <c r="F1033" s="12" t="s">
        <v>170</v>
      </c>
      <c r="G1033" s="14"/>
      <c r="H1033" s="12" t="s">
        <v>61</v>
      </c>
      <c r="I1033" s="12" t="s">
        <v>289</v>
      </c>
      <c r="J1033" s="12" t="s">
        <v>706</v>
      </c>
      <c r="K1033" s="12" t="s">
        <v>100</v>
      </c>
      <c r="L1033" s="14"/>
      <c r="M1033" s="12" t="s">
        <v>43</v>
      </c>
      <c r="N1033" s="12" t="s">
        <v>84</v>
      </c>
      <c r="O1033" s="12" t="s">
        <v>4236</v>
      </c>
      <c r="P1033" s="12" t="s">
        <v>66</v>
      </c>
      <c r="Q1033" s="12" t="s">
        <v>67</v>
      </c>
      <c r="R1033" s="12" t="s">
        <v>708</v>
      </c>
      <c r="S1033" s="13">
        <v>197804686896</v>
      </c>
      <c r="T1033" s="12" t="s">
        <v>709</v>
      </c>
      <c r="U1033" s="12" t="s">
        <v>170</v>
      </c>
      <c r="V1033" s="12" t="s">
        <v>710</v>
      </c>
      <c r="W1033" s="12" t="s">
        <v>186</v>
      </c>
      <c r="X1033" s="14"/>
      <c r="Y1033" s="14"/>
      <c r="Z1033" s="14"/>
      <c r="AA1033" s="14"/>
      <c r="AB1033" s="14"/>
      <c r="AC1033" s="15">
        <v>34.1</v>
      </c>
      <c r="AD1033" s="15">
        <f>AC1033*AG1033</f>
        <v>204.60000000000002</v>
      </c>
      <c r="AE1033" s="15">
        <v>75</v>
      </c>
      <c r="AF1033" s="15">
        <f>AE1033*AG1033</f>
        <v>450</v>
      </c>
      <c r="AG1033" s="16">
        <v>6</v>
      </c>
    </row>
    <row r="1034" spans="1:33" ht="15" customHeight="1" x14ac:dyDescent="0.2">
      <c r="A1034" s="11" t="str">
        <f t="shared" ref="A1034:A3507" si="445">HYPERLINK("https://assets.vans.eu/images/VN000Q35RV2-HERO/1","VN000Q35RV21")</f>
        <v>VN000Q35RV21</v>
      </c>
      <c r="B1034" s="12" t="s">
        <v>4237</v>
      </c>
      <c r="C1034" s="12" t="s">
        <v>703</v>
      </c>
      <c r="D1034" s="12" t="s">
        <v>1428</v>
      </c>
      <c r="E1034" s="12" t="s">
        <v>4238</v>
      </c>
      <c r="F1034" s="12" t="s">
        <v>403</v>
      </c>
      <c r="G1034" s="14"/>
      <c r="H1034" s="12" t="s">
        <v>61</v>
      </c>
      <c r="I1034" s="12" t="s">
        <v>289</v>
      </c>
      <c r="J1034" s="12" t="s">
        <v>706</v>
      </c>
      <c r="K1034" s="12" t="s">
        <v>100</v>
      </c>
      <c r="L1034" s="14"/>
      <c r="M1034" s="12" t="s">
        <v>43</v>
      </c>
      <c r="N1034" s="12" t="s">
        <v>84</v>
      </c>
      <c r="O1034" s="12" t="s">
        <v>4239</v>
      </c>
      <c r="P1034" s="12" t="s">
        <v>66</v>
      </c>
      <c r="Q1034" s="12" t="s">
        <v>67</v>
      </c>
      <c r="R1034" s="12" t="s">
        <v>708</v>
      </c>
      <c r="S1034" s="13">
        <v>197804368150</v>
      </c>
      <c r="T1034" s="12" t="s">
        <v>709</v>
      </c>
      <c r="U1034" s="12" t="s">
        <v>403</v>
      </c>
      <c r="V1034" s="12" t="s">
        <v>710</v>
      </c>
      <c r="W1034" s="12" t="s">
        <v>51</v>
      </c>
      <c r="X1034" s="14"/>
      <c r="Y1034" s="14"/>
      <c r="Z1034" s="14"/>
      <c r="AA1034" s="14"/>
      <c r="AB1034" s="14"/>
      <c r="AC1034" s="15">
        <v>34.1</v>
      </c>
      <c r="AD1034" s="15">
        <f>AC1034*AG1034</f>
        <v>204.60000000000002</v>
      </c>
      <c r="AE1034" s="15">
        <v>75</v>
      </c>
      <c r="AF1034" s="15">
        <f>AE1034*AG1034</f>
        <v>450</v>
      </c>
      <c r="AG1034" s="16">
        <v>6</v>
      </c>
    </row>
    <row r="1035" spans="1:33" ht="15" customHeight="1" x14ac:dyDescent="0.2">
      <c r="A1035" s="11" t="str">
        <f t="shared" si="394"/>
        <v>VN000Q67EMX1</v>
      </c>
      <c r="B1035" s="12" t="s">
        <v>4240</v>
      </c>
      <c r="C1035" s="12" t="s">
        <v>3788</v>
      </c>
      <c r="D1035" s="12" t="s">
        <v>2969</v>
      </c>
      <c r="E1035" s="12" t="s">
        <v>4241</v>
      </c>
      <c r="F1035" s="13">
        <v>29</v>
      </c>
      <c r="G1035" s="14"/>
      <c r="H1035" s="12" t="s">
        <v>61</v>
      </c>
      <c r="I1035" s="12" t="s">
        <v>289</v>
      </c>
      <c r="J1035" s="12" t="s">
        <v>290</v>
      </c>
      <c r="K1035" s="12" t="s">
        <v>100</v>
      </c>
      <c r="L1035" s="14"/>
      <c r="M1035" s="12" t="s">
        <v>43</v>
      </c>
      <c r="N1035" s="12" t="s">
        <v>84</v>
      </c>
      <c r="O1035" s="12" t="s">
        <v>4242</v>
      </c>
      <c r="P1035" s="12" t="s">
        <v>66</v>
      </c>
      <c r="Q1035" s="12" t="s">
        <v>233</v>
      </c>
      <c r="R1035" s="12" t="s">
        <v>664</v>
      </c>
      <c r="S1035" s="13">
        <v>197804393374</v>
      </c>
      <c r="T1035" s="12" t="s">
        <v>235</v>
      </c>
      <c r="U1035" s="13">
        <v>29</v>
      </c>
      <c r="V1035" s="12" t="s">
        <v>665</v>
      </c>
      <c r="W1035" s="12" t="s">
        <v>625</v>
      </c>
      <c r="X1035" s="14"/>
      <c r="Y1035" s="14"/>
      <c r="Z1035" s="14"/>
      <c r="AA1035" s="14"/>
      <c r="AB1035" s="14"/>
      <c r="AC1035" s="15">
        <v>36.4</v>
      </c>
      <c r="AD1035" s="15">
        <f>AC1035*AG1035</f>
        <v>218.39999999999998</v>
      </c>
      <c r="AE1035" s="15">
        <v>80</v>
      </c>
      <c r="AF1035" s="15">
        <f>AE1035*AG1035</f>
        <v>480</v>
      </c>
      <c r="AG1035" s="16">
        <v>6</v>
      </c>
    </row>
    <row r="1036" spans="1:33" ht="15" customHeight="1" x14ac:dyDescent="0.2">
      <c r="A1036" s="11" t="str">
        <f t="shared" si="245"/>
        <v>VN000QDFWHT1</v>
      </c>
      <c r="B1036" s="12" t="s">
        <v>4243</v>
      </c>
      <c r="C1036" s="12" t="s">
        <v>2546</v>
      </c>
      <c r="D1036" s="12" t="s">
        <v>168</v>
      </c>
      <c r="E1036" s="12" t="s">
        <v>4244</v>
      </c>
      <c r="F1036" s="12" t="s">
        <v>403</v>
      </c>
      <c r="G1036" s="14"/>
      <c r="H1036" s="12" t="s">
        <v>61</v>
      </c>
      <c r="I1036" s="12" t="s">
        <v>289</v>
      </c>
      <c r="J1036" s="12" t="s">
        <v>706</v>
      </c>
      <c r="K1036" s="12" t="s">
        <v>100</v>
      </c>
      <c r="L1036" s="14"/>
      <c r="M1036" s="12" t="s">
        <v>43</v>
      </c>
      <c r="N1036" s="12" t="s">
        <v>84</v>
      </c>
      <c r="O1036" s="12" t="s">
        <v>4245</v>
      </c>
      <c r="P1036" s="12" t="s">
        <v>66</v>
      </c>
      <c r="Q1036" s="12" t="s">
        <v>67</v>
      </c>
      <c r="R1036" s="12" t="s">
        <v>1146</v>
      </c>
      <c r="S1036" s="13">
        <v>197804396306</v>
      </c>
      <c r="T1036" s="12" t="s">
        <v>709</v>
      </c>
      <c r="U1036" s="12" t="s">
        <v>403</v>
      </c>
      <c r="V1036" s="12" t="s">
        <v>665</v>
      </c>
      <c r="W1036" s="12" t="s">
        <v>175</v>
      </c>
      <c r="X1036" s="14"/>
      <c r="Y1036" s="14"/>
      <c r="Z1036" s="14"/>
      <c r="AA1036" s="14"/>
      <c r="AB1036" s="14"/>
      <c r="AC1036" s="15">
        <v>13.65</v>
      </c>
      <c r="AD1036" s="15">
        <f>AC1036*AG1036</f>
        <v>81.900000000000006</v>
      </c>
      <c r="AE1036" s="15">
        <v>30</v>
      </c>
      <c r="AF1036" s="15">
        <f>AE1036*AG1036</f>
        <v>180</v>
      </c>
      <c r="AG1036" s="16">
        <v>6</v>
      </c>
    </row>
    <row r="1037" spans="1:33" ht="15" customHeight="1" x14ac:dyDescent="0.2">
      <c r="A1037" s="11" t="str">
        <f t="shared" ref="A1037:A1413" si="446">HYPERLINK("https://assets.vans.eu/images/VN000R38EN6-HERO/1","VN000R38EN61")</f>
        <v>VN000R38EN61</v>
      </c>
      <c r="B1037" s="12" t="s">
        <v>4246</v>
      </c>
      <c r="C1037" s="12" t="s">
        <v>4247</v>
      </c>
      <c r="D1037" s="12" t="s">
        <v>189</v>
      </c>
      <c r="E1037" s="12" t="s">
        <v>4248</v>
      </c>
      <c r="F1037" s="12" t="s">
        <v>403</v>
      </c>
      <c r="G1037" s="14"/>
      <c r="H1037" s="12" t="s">
        <v>61</v>
      </c>
      <c r="I1037" s="12" t="s">
        <v>230</v>
      </c>
      <c r="J1037" s="12" t="s">
        <v>419</v>
      </c>
      <c r="K1037" s="12" t="s">
        <v>199</v>
      </c>
      <c r="L1037" s="14"/>
      <c r="M1037" s="12" t="s">
        <v>43</v>
      </c>
      <c r="N1037" s="12" t="s">
        <v>84</v>
      </c>
      <c r="O1037" s="12" t="s">
        <v>4249</v>
      </c>
      <c r="P1037" s="12" t="s">
        <v>66</v>
      </c>
      <c r="Q1037" s="12" t="s">
        <v>67</v>
      </c>
      <c r="R1037" s="12" t="s">
        <v>1500</v>
      </c>
      <c r="S1037" s="13">
        <v>197804369782</v>
      </c>
      <c r="T1037" s="12" t="s">
        <v>235</v>
      </c>
      <c r="U1037" s="12" t="s">
        <v>403</v>
      </c>
      <c r="V1037" s="12" t="s">
        <v>423</v>
      </c>
      <c r="W1037" s="12" t="s">
        <v>118</v>
      </c>
      <c r="X1037" s="14"/>
      <c r="Y1037" s="14"/>
      <c r="Z1037" s="14"/>
      <c r="AA1037" s="14"/>
      <c r="AB1037" s="14"/>
      <c r="AC1037" s="15">
        <v>38.65</v>
      </c>
      <c r="AD1037" s="15">
        <f>AC1037*AG1037</f>
        <v>231.89999999999998</v>
      </c>
      <c r="AE1037" s="15">
        <v>85</v>
      </c>
      <c r="AF1037" s="15">
        <f>AE1037*AG1037</f>
        <v>510</v>
      </c>
      <c r="AG1037" s="16">
        <v>6</v>
      </c>
    </row>
    <row r="1038" spans="1:33" ht="15" customHeight="1" x14ac:dyDescent="0.2">
      <c r="A1038" s="11" t="str">
        <f t="shared" si="398"/>
        <v>VN000R742N11</v>
      </c>
      <c r="B1038" s="12" t="s">
        <v>4250</v>
      </c>
      <c r="C1038" s="12" t="s">
        <v>2553</v>
      </c>
      <c r="D1038" s="12" t="s">
        <v>1082</v>
      </c>
      <c r="E1038" s="12" t="s">
        <v>4251</v>
      </c>
      <c r="F1038" s="12" t="s">
        <v>60</v>
      </c>
      <c r="G1038" s="14"/>
      <c r="H1038" s="12" t="s">
        <v>61</v>
      </c>
      <c r="I1038" s="12" t="s">
        <v>289</v>
      </c>
      <c r="J1038" s="12" t="s">
        <v>706</v>
      </c>
      <c r="K1038" s="12" t="s">
        <v>100</v>
      </c>
      <c r="L1038" s="12" t="s">
        <v>83</v>
      </c>
      <c r="M1038" s="12" t="s">
        <v>43</v>
      </c>
      <c r="N1038" s="12" t="s">
        <v>84</v>
      </c>
      <c r="O1038" s="12" t="s">
        <v>4252</v>
      </c>
      <c r="P1038" s="12" t="s">
        <v>66</v>
      </c>
      <c r="Q1038" s="12" t="s">
        <v>67</v>
      </c>
      <c r="R1038" s="12" t="s">
        <v>1146</v>
      </c>
      <c r="S1038" s="13">
        <v>197804296941</v>
      </c>
      <c r="T1038" s="12" t="s">
        <v>69</v>
      </c>
      <c r="U1038" s="12" t="s">
        <v>60</v>
      </c>
      <c r="V1038" s="12" t="s">
        <v>2556</v>
      </c>
      <c r="W1038" s="12" t="s">
        <v>580</v>
      </c>
      <c r="X1038" s="14"/>
      <c r="Y1038" s="14"/>
      <c r="Z1038" s="14"/>
      <c r="AA1038" s="14"/>
      <c r="AB1038" s="14"/>
      <c r="AC1038" s="15">
        <v>18.2</v>
      </c>
      <c r="AD1038" s="15">
        <f>AC1038*AG1038</f>
        <v>109.19999999999999</v>
      </c>
      <c r="AE1038" s="15">
        <v>40</v>
      </c>
      <c r="AF1038" s="15">
        <f>AE1038*AG1038</f>
        <v>240</v>
      </c>
      <c r="AG1038" s="16">
        <v>6</v>
      </c>
    </row>
    <row r="1039" spans="1:33" ht="15" customHeight="1" x14ac:dyDescent="0.2">
      <c r="A1039" s="11" t="str">
        <f t="shared" ref="A1039:A2336" si="447">HYPERLINK("https://assets.vans.eu/images/VN000R74EMS-HERO/1","VN000R74EMS1")</f>
        <v>VN000R74EMS1</v>
      </c>
      <c r="B1039" s="12" t="s">
        <v>4253</v>
      </c>
      <c r="C1039" s="12" t="s">
        <v>2553</v>
      </c>
      <c r="D1039" s="12" t="s">
        <v>863</v>
      </c>
      <c r="E1039" s="12" t="s">
        <v>4254</v>
      </c>
      <c r="F1039" s="12" t="s">
        <v>170</v>
      </c>
      <c r="G1039" s="14"/>
      <c r="H1039" s="12" t="s">
        <v>61</v>
      </c>
      <c r="I1039" s="12" t="s">
        <v>289</v>
      </c>
      <c r="J1039" s="12" t="s">
        <v>706</v>
      </c>
      <c r="K1039" s="12" t="s">
        <v>100</v>
      </c>
      <c r="L1039" s="12" t="s">
        <v>83</v>
      </c>
      <c r="M1039" s="12" t="s">
        <v>43</v>
      </c>
      <c r="N1039" s="12" t="s">
        <v>84</v>
      </c>
      <c r="O1039" s="12" t="s">
        <v>4255</v>
      </c>
      <c r="P1039" s="12" t="s">
        <v>66</v>
      </c>
      <c r="Q1039" s="12" t="s">
        <v>67</v>
      </c>
      <c r="R1039" s="12" t="s">
        <v>1146</v>
      </c>
      <c r="S1039" s="13">
        <v>197805956585</v>
      </c>
      <c r="T1039" s="12" t="s">
        <v>69</v>
      </c>
      <c r="U1039" s="12" t="s">
        <v>170</v>
      </c>
      <c r="V1039" s="12" t="s">
        <v>2556</v>
      </c>
      <c r="W1039" s="12" t="s">
        <v>107</v>
      </c>
      <c r="X1039" s="14"/>
      <c r="Y1039" s="14"/>
      <c r="Z1039" s="14"/>
      <c r="AA1039" s="14"/>
      <c r="AB1039" s="14"/>
      <c r="AC1039" s="15">
        <v>18.2</v>
      </c>
      <c r="AD1039" s="15">
        <f>AC1039*AG1039</f>
        <v>109.19999999999999</v>
      </c>
      <c r="AE1039" s="15">
        <v>40</v>
      </c>
      <c r="AF1039" s="15">
        <f>AE1039*AG1039</f>
        <v>240</v>
      </c>
      <c r="AG1039" s="16">
        <v>6</v>
      </c>
    </row>
    <row r="1040" spans="1:33" ht="15" customHeight="1" x14ac:dyDescent="0.2">
      <c r="A1040" s="11" t="str">
        <f t="shared" si="269"/>
        <v>VN000R7AYB21</v>
      </c>
      <c r="B1040" s="12" t="s">
        <v>4256</v>
      </c>
      <c r="C1040" s="12" t="s">
        <v>2748</v>
      </c>
      <c r="D1040" s="12" t="s">
        <v>1138</v>
      </c>
      <c r="E1040" s="12" t="s">
        <v>4257</v>
      </c>
      <c r="F1040" s="12" t="s">
        <v>621</v>
      </c>
      <c r="G1040" s="14"/>
      <c r="H1040" s="12" t="s">
        <v>61</v>
      </c>
      <c r="I1040" s="12" t="s">
        <v>230</v>
      </c>
      <c r="J1040" s="12" t="s">
        <v>419</v>
      </c>
      <c r="K1040" s="12" t="s">
        <v>199</v>
      </c>
      <c r="L1040" s="12" t="s">
        <v>83</v>
      </c>
      <c r="M1040" s="12" t="s">
        <v>43</v>
      </c>
      <c r="N1040" s="12" t="s">
        <v>84</v>
      </c>
      <c r="O1040" s="12" t="s">
        <v>4258</v>
      </c>
      <c r="P1040" s="12" t="s">
        <v>66</v>
      </c>
      <c r="Q1040" s="12" t="s">
        <v>67</v>
      </c>
      <c r="R1040" s="12" t="s">
        <v>421</v>
      </c>
      <c r="S1040" s="13">
        <v>197804324873</v>
      </c>
      <c r="T1040" s="12" t="s">
        <v>422</v>
      </c>
      <c r="U1040" s="12" t="s">
        <v>621</v>
      </c>
      <c r="V1040" s="12" t="s">
        <v>70</v>
      </c>
      <c r="W1040" s="12" t="s">
        <v>175</v>
      </c>
      <c r="X1040" s="14"/>
      <c r="Y1040" s="14"/>
      <c r="Z1040" s="14"/>
      <c r="AA1040" s="14"/>
      <c r="AB1040" s="14"/>
      <c r="AC1040" s="15">
        <v>20.5</v>
      </c>
      <c r="AD1040" s="15">
        <f>AC1040*AG1040</f>
        <v>123</v>
      </c>
      <c r="AE1040" s="15">
        <v>45</v>
      </c>
      <c r="AF1040" s="15">
        <f>AE1040*AG1040</f>
        <v>270</v>
      </c>
      <c r="AG1040" s="16">
        <v>6</v>
      </c>
    </row>
    <row r="1041" spans="1:33" ht="15" customHeight="1" x14ac:dyDescent="0.2">
      <c r="A1041" s="11" t="str">
        <f t="shared" ref="A1041:A2346" si="448">HYPERLINK("https://assets.vans.eu/images/VN000RD1EMW-HERO/1","VN000RD1EMW1")</f>
        <v>VN000RD1EMW1</v>
      </c>
      <c r="B1041" s="12" t="s">
        <v>4259</v>
      </c>
      <c r="C1041" s="12" t="s">
        <v>4260</v>
      </c>
      <c r="D1041" s="12" t="s">
        <v>147</v>
      </c>
      <c r="E1041" s="12" t="s">
        <v>4261</v>
      </c>
      <c r="F1041" s="12" t="s">
        <v>60</v>
      </c>
      <c r="G1041" s="14"/>
      <c r="H1041" s="12" t="s">
        <v>61</v>
      </c>
      <c r="I1041" s="12" t="s">
        <v>289</v>
      </c>
      <c r="J1041" s="12" t="s">
        <v>706</v>
      </c>
      <c r="K1041" s="12" t="s">
        <v>100</v>
      </c>
      <c r="L1041" s="12" t="s">
        <v>83</v>
      </c>
      <c r="M1041" s="12" t="s">
        <v>43</v>
      </c>
      <c r="N1041" s="12" t="s">
        <v>84</v>
      </c>
      <c r="O1041" s="12" t="s">
        <v>4262</v>
      </c>
      <c r="P1041" s="12" t="s">
        <v>66</v>
      </c>
      <c r="Q1041" s="12" t="s">
        <v>67</v>
      </c>
      <c r="R1041" s="12" t="s">
        <v>1146</v>
      </c>
      <c r="S1041" s="13">
        <v>197805956615</v>
      </c>
      <c r="T1041" s="12" t="s">
        <v>422</v>
      </c>
      <c r="U1041" s="12" t="s">
        <v>60</v>
      </c>
      <c r="V1041" s="12" t="s">
        <v>2556</v>
      </c>
      <c r="W1041" s="12" t="s">
        <v>118</v>
      </c>
      <c r="X1041" s="14"/>
      <c r="Y1041" s="14"/>
      <c r="Z1041" s="14"/>
      <c r="AA1041" s="14"/>
      <c r="AB1041" s="14"/>
      <c r="AC1041" s="15">
        <v>15.95</v>
      </c>
      <c r="AD1041" s="15">
        <f>AC1041*AG1041</f>
        <v>95.699999999999989</v>
      </c>
      <c r="AE1041" s="15">
        <v>35</v>
      </c>
      <c r="AF1041" s="15">
        <f>AE1041*AG1041</f>
        <v>210</v>
      </c>
      <c r="AG1041" s="16">
        <v>6</v>
      </c>
    </row>
    <row r="1042" spans="1:33" ht="15" customHeight="1" x14ac:dyDescent="0.2">
      <c r="A1042" s="11" t="str">
        <f>HYPERLINK("https://assets.vans.eu/images/VN000RD27D6-HERO/1","VN000RD27D61")</f>
        <v>VN000RD27D61</v>
      </c>
      <c r="B1042" s="12" t="s">
        <v>4263</v>
      </c>
      <c r="C1042" s="12" t="s">
        <v>4264</v>
      </c>
      <c r="D1042" s="12" t="s">
        <v>1231</v>
      </c>
      <c r="E1042" s="12" t="s">
        <v>4265</v>
      </c>
      <c r="F1042" s="12" t="s">
        <v>138</v>
      </c>
      <c r="G1042" s="14"/>
      <c r="H1042" s="12" t="s">
        <v>61</v>
      </c>
      <c r="I1042" s="12" t="s">
        <v>289</v>
      </c>
      <c r="J1042" s="12" t="s">
        <v>900</v>
      </c>
      <c r="K1042" s="12" t="s">
        <v>100</v>
      </c>
      <c r="L1042" s="12" t="s">
        <v>83</v>
      </c>
      <c r="M1042" s="12" t="s">
        <v>43</v>
      </c>
      <c r="N1042" s="12" t="s">
        <v>84</v>
      </c>
      <c r="O1042" s="12" t="s">
        <v>4266</v>
      </c>
      <c r="P1042" s="12" t="s">
        <v>66</v>
      </c>
      <c r="Q1042" s="12" t="s">
        <v>233</v>
      </c>
      <c r="R1042" s="12" t="s">
        <v>902</v>
      </c>
      <c r="S1042" s="13">
        <v>197804298884</v>
      </c>
      <c r="T1042" s="12" t="s">
        <v>69</v>
      </c>
      <c r="U1042" s="12" t="s">
        <v>138</v>
      </c>
      <c r="V1042" s="12" t="s">
        <v>1386</v>
      </c>
      <c r="W1042" s="12" t="s">
        <v>186</v>
      </c>
      <c r="X1042" s="14"/>
      <c r="Y1042" s="14"/>
      <c r="Z1042" s="14"/>
      <c r="AA1042" s="14"/>
      <c r="AB1042" s="14"/>
      <c r="AC1042" s="15">
        <v>36.4</v>
      </c>
      <c r="AD1042" s="15">
        <f>AC1042*AG1042</f>
        <v>218.39999999999998</v>
      </c>
      <c r="AE1042" s="15">
        <v>80</v>
      </c>
      <c r="AF1042" s="15">
        <f>AE1042*AG1042</f>
        <v>480</v>
      </c>
      <c r="AG1042" s="16">
        <v>6</v>
      </c>
    </row>
    <row r="1043" spans="1:33" ht="15" customHeight="1" x14ac:dyDescent="0.2">
      <c r="A1043" s="11" t="str">
        <f>HYPERLINK("https://assets.vans.eu/images/VN000RD6ZRY-HERO/1","VN000RD6ZRY1")</f>
        <v>VN000RD6ZRY1</v>
      </c>
      <c r="B1043" s="12" t="s">
        <v>4267</v>
      </c>
      <c r="C1043" s="12" t="s">
        <v>636</v>
      </c>
      <c r="D1043" s="12" t="s">
        <v>1996</v>
      </c>
      <c r="E1043" s="12" t="s">
        <v>4268</v>
      </c>
      <c r="F1043" s="12" t="s">
        <v>60</v>
      </c>
      <c r="G1043" s="14"/>
      <c r="H1043" s="12" t="s">
        <v>61</v>
      </c>
      <c r="I1043" s="12" t="s">
        <v>230</v>
      </c>
      <c r="J1043" s="12" t="s">
        <v>419</v>
      </c>
      <c r="K1043" s="12" t="s">
        <v>199</v>
      </c>
      <c r="L1043" s="12" t="s">
        <v>83</v>
      </c>
      <c r="M1043" s="12" t="s">
        <v>43</v>
      </c>
      <c r="N1043" s="12" t="s">
        <v>84</v>
      </c>
      <c r="O1043" s="12" t="s">
        <v>4269</v>
      </c>
      <c r="P1043" s="12" t="s">
        <v>66</v>
      </c>
      <c r="Q1043" s="12" t="s">
        <v>67</v>
      </c>
      <c r="R1043" s="12" t="s">
        <v>421</v>
      </c>
      <c r="S1043" s="13">
        <v>197804326761</v>
      </c>
      <c r="T1043" s="12" t="s">
        <v>69</v>
      </c>
      <c r="U1043" s="12" t="s">
        <v>60</v>
      </c>
      <c r="V1043" s="12" t="s">
        <v>423</v>
      </c>
      <c r="W1043" s="12" t="s">
        <v>299</v>
      </c>
      <c r="X1043" s="14"/>
      <c r="Y1043" s="14"/>
      <c r="Z1043" s="14"/>
      <c r="AA1043" s="14"/>
      <c r="AB1043" s="14"/>
      <c r="AC1043" s="15">
        <v>20.5</v>
      </c>
      <c r="AD1043" s="15">
        <f>AC1043*AG1043</f>
        <v>123</v>
      </c>
      <c r="AE1043" s="15">
        <v>45</v>
      </c>
      <c r="AF1043" s="15">
        <f>AE1043*AG1043</f>
        <v>270</v>
      </c>
      <c r="AG1043" s="16">
        <v>6</v>
      </c>
    </row>
    <row r="1044" spans="1:33" ht="15" customHeight="1" x14ac:dyDescent="0.2">
      <c r="A1044" s="11" t="str">
        <f t="shared" si="89"/>
        <v>VN000RD71O71</v>
      </c>
      <c r="B1044" s="12" t="s">
        <v>4270</v>
      </c>
      <c r="C1044" s="12" t="s">
        <v>1238</v>
      </c>
      <c r="D1044" s="12" t="s">
        <v>637</v>
      </c>
      <c r="E1044" s="12" t="s">
        <v>4271</v>
      </c>
      <c r="F1044" s="12" t="s">
        <v>170</v>
      </c>
      <c r="G1044" s="14"/>
      <c r="H1044" s="12" t="s">
        <v>61</v>
      </c>
      <c r="I1044" s="12" t="s">
        <v>230</v>
      </c>
      <c r="J1044" s="12" t="s">
        <v>419</v>
      </c>
      <c r="K1044" s="12" t="s">
        <v>199</v>
      </c>
      <c r="L1044" s="12" t="s">
        <v>83</v>
      </c>
      <c r="M1044" s="12" t="s">
        <v>43</v>
      </c>
      <c r="N1044" s="12" t="s">
        <v>84</v>
      </c>
      <c r="O1044" s="12" t="s">
        <v>4272</v>
      </c>
      <c r="P1044" s="12" t="s">
        <v>66</v>
      </c>
      <c r="Q1044" s="12" t="s">
        <v>67</v>
      </c>
      <c r="R1044" s="12" t="s">
        <v>623</v>
      </c>
      <c r="S1044" s="13">
        <v>197804326518</v>
      </c>
      <c r="T1044" s="12" t="s">
        <v>69</v>
      </c>
      <c r="U1044" s="12" t="s">
        <v>170</v>
      </c>
      <c r="V1044" s="12" t="s">
        <v>70</v>
      </c>
      <c r="W1044" s="12" t="s">
        <v>455</v>
      </c>
      <c r="X1044" s="14"/>
      <c r="Y1044" s="14"/>
      <c r="Z1044" s="14"/>
      <c r="AA1044" s="14"/>
      <c r="AB1044" s="14"/>
      <c r="AC1044" s="15">
        <v>45.5</v>
      </c>
      <c r="AD1044" s="15">
        <f>AC1044*AG1044</f>
        <v>273</v>
      </c>
      <c r="AE1044" s="15">
        <v>100</v>
      </c>
      <c r="AF1044" s="15">
        <f>AE1044*AG1044</f>
        <v>600</v>
      </c>
      <c r="AG1044" s="16">
        <v>6</v>
      </c>
    </row>
    <row r="1045" spans="1:33" ht="15" customHeight="1" x14ac:dyDescent="0.2">
      <c r="A1045" s="11" t="str">
        <f t="shared" si="332"/>
        <v>VN000RDFBLK1</v>
      </c>
      <c r="B1045" s="12" t="s">
        <v>4273</v>
      </c>
      <c r="C1045" s="12" t="s">
        <v>3203</v>
      </c>
      <c r="D1045" s="12" t="s">
        <v>76</v>
      </c>
      <c r="E1045" s="12" t="s">
        <v>4274</v>
      </c>
      <c r="F1045" s="12" t="s">
        <v>403</v>
      </c>
      <c r="G1045" s="14"/>
      <c r="H1045" s="12" t="s">
        <v>61</v>
      </c>
      <c r="I1045" s="12" t="s">
        <v>289</v>
      </c>
      <c r="J1045" s="12" t="s">
        <v>706</v>
      </c>
      <c r="K1045" s="12" t="s">
        <v>100</v>
      </c>
      <c r="L1045" s="12" t="s">
        <v>83</v>
      </c>
      <c r="M1045" s="12" t="s">
        <v>43</v>
      </c>
      <c r="N1045" s="12" t="s">
        <v>84</v>
      </c>
      <c r="O1045" s="12" t="s">
        <v>4275</v>
      </c>
      <c r="P1045" s="12" t="s">
        <v>66</v>
      </c>
      <c r="Q1045" s="12" t="s">
        <v>67</v>
      </c>
      <c r="R1045" s="12" t="s">
        <v>708</v>
      </c>
      <c r="S1045" s="13">
        <v>197804299119</v>
      </c>
      <c r="T1045" s="12" t="s">
        <v>69</v>
      </c>
      <c r="U1045" s="12" t="s">
        <v>403</v>
      </c>
      <c r="V1045" s="12" t="s">
        <v>1386</v>
      </c>
      <c r="W1045" s="12" t="s">
        <v>51</v>
      </c>
      <c r="X1045" s="14"/>
      <c r="Y1045" s="14"/>
      <c r="Z1045" s="14"/>
      <c r="AA1045" s="14"/>
      <c r="AB1045" s="14"/>
      <c r="AC1045" s="15">
        <v>38.65</v>
      </c>
      <c r="AD1045" s="15">
        <f>AC1045*AG1045</f>
        <v>231.89999999999998</v>
      </c>
      <c r="AE1045" s="15">
        <v>85</v>
      </c>
      <c r="AF1045" s="15">
        <f>AE1045*AG1045</f>
        <v>510</v>
      </c>
      <c r="AG1045" s="16">
        <v>6</v>
      </c>
    </row>
    <row r="1046" spans="1:33" ht="15" customHeight="1" x14ac:dyDescent="0.2">
      <c r="A1046" s="11" t="str">
        <f t="shared" si="399"/>
        <v>VN000RG0EML1</v>
      </c>
      <c r="B1046" s="12" t="s">
        <v>4276</v>
      </c>
      <c r="C1046" s="12" t="s">
        <v>2953</v>
      </c>
      <c r="D1046" s="12" t="s">
        <v>3126</v>
      </c>
      <c r="E1046" s="12" t="s">
        <v>4277</v>
      </c>
      <c r="F1046" s="12" t="s">
        <v>170</v>
      </c>
      <c r="G1046" s="14"/>
      <c r="H1046" s="12" t="s">
        <v>61</v>
      </c>
      <c r="I1046" s="12" t="s">
        <v>230</v>
      </c>
      <c r="J1046" s="12" t="s">
        <v>419</v>
      </c>
      <c r="K1046" s="12" t="s">
        <v>199</v>
      </c>
      <c r="L1046" s="12" t="s">
        <v>83</v>
      </c>
      <c r="M1046" s="12" t="s">
        <v>43</v>
      </c>
      <c r="N1046" s="12" t="s">
        <v>84</v>
      </c>
      <c r="O1046" s="12" t="s">
        <v>4278</v>
      </c>
      <c r="P1046" s="12" t="s">
        <v>66</v>
      </c>
      <c r="Q1046" s="12" t="s">
        <v>67</v>
      </c>
      <c r="R1046" s="12" t="s">
        <v>623</v>
      </c>
      <c r="S1046" s="13">
        <v>197804327591</v>
      </c>
      <c r="T1046" s="12" t="s">
        <v>69</v>
      </c>
      <c r="U1046" s="12" t="s">
        <v>170</v>
      </c>
      <c r="V1046" s="12" t="s">
        <v>70</v>
      </c>
      <c r="W1046" s="12" t="s">
        <v>284</v>
      </c>
      <c r="X1046" s="14"/>
      <c r="Y1046" s="14"/>
      <c r="Z1046" s="14"/>
      <c r="AA1046" s="14"/>
      <c r="AB1046" s="14"/>
      <c r="AC1046" s="15">
        <v>45.5</v>
      </c>
      <c r="AD1046" s="15">
        <f>AC1046*AG1046</f>
        <v>273</v>
      </c>
      <c r="AE1046" s="15">
        <v>100</v>
      </c>
      <c r="AF1046" s="15">
        <f>AE1046*AG1046</f>
        <v>600</v>
      </c>
      <c r="AG1046" s="16">
        <v>6</v>
      </c>
    </row>
    <row r="1047" spans="1:33" ht="15" customHeight="1" x14ac:dyDescent="0.2">
      <c r="A1047" s="11" t="str">
        <f t="shared" si="297"/>
        <v>VN000RG0EMS1</v>
      </c>
      <c r="B1047" s="12" t="s">
        <v>4279</v>
      </c>
      <c r="C1047" s="12" t="s">
        <v>2953</v>
      </c>
      <c r="D1047" s="12" t="s">
        <v>863</v>
      </c>
      <c r="E1047" s="12" t="s">
        <v>4280</v>
      </c>
      <c r="F1047" s="12" t="s">
        <v>170</v>
      </c>
      <c r="G1047" s="14"/>
      <c r="H1047" s="12" t="s">
        <v>61</v>
      </c>
      <c r="I1047" s="12" t="s">
        <v>230</v>
      </c>
      <c r="J1047" s="12" t="s">
        <v>419</v>
      </c>
      <c r="K1047" s="12" t="s">
        <v>199</v>
      </c>
      <c r="L1047" s="12" t="s">
        <v>83</v>
      </c>
      <c r="M1047" s="12" t="s">
        <v>43</v>
      </c>
      <c r="N1047" s="12" t="s">
        <v>84</v>
      </c>
      <c r="O1047" s="12" t="s">
        <v>4281</v>
      </c>
      <c r="P1047" s="12" t="s">
        <v>66</v>
      </c>
      <c r="Q1047" s="12" t="s">
        <v>67</v>
      </c>
      <c r="R1047" s="12" t="s">
        <v>623</v>
      </c>
      <c r="S1047" s="13">
        <v>197804327744</v>
      </c>
      <c r="T1047" s="12" t="s">
        <v>69</v>
      </c>
      <c r="U1047" s="12" t="s">
        <v>170</v>
      </c>
      <c r="V1047" s="12" t="s">
        <v>70</v>
      </c>
      <c r="W1047" s="12" t="s">
        <v>107</v>
      </c>
      <c r="X1047" s="14"/>
      <c r="Y1047" s="14"/>
      <c r="Z1047" s="14"/>
      <c r="AA1047" s="14"/>
      <c r="AB1047" s="14"/>
      <c r="AC1047" s="15">
        <v>45.5</v>
      </c>
      <c r="AD1047" s="15">
        <f>AC1047*AG1047</f>
        <v>273</v>
      </c>
      <c r="AE1047" s="15">
        <v>100</v>
      </c>
      <c r="AF1047" s="15">
        <f>AE1047*AG1047</f>
        <v>600</v>
      </c>
      <c r="AG1047" s="16">
        <v>6</v>
      </c>
    </row>
    <row r="1048" spans="1:33" ht="15" customHeight="1" x14ac:dyDescent="0.2">
      <c r="A1048" s="11" t="str">
        <f>HYPERLINK("https://assets.vans.eu/images/VN000RG41QI-HERO/1","VN000RG41QI1")</f>
        <v>VN000RG41QI1</v>
      </c>
      <c r="B1048" s="12" t="s">
        <v>4282</v>
      </c>
      <c r="C1048" s="12" t="s">
        <v>417</v>
      </c>
      <c r="D1048" s="12" t="s">
        <v>1592</v>
      </c>
      <c r="E1048" s="12" t="s">
        <v>4283</v>
      </c>
      <c r="F1048" s="12" t="s">
        <v>60</v>
      </c>
      <c r="G1048" s="14"/>
      <c r="H1048" s="12" t="s">
        <v>61</v>
      </c>
      <c r="I1048" s="12" t="s">
        <v>230</v>
      </c>
      <c r="J1048" s="12" t="s">
        <v>419</v>
      </c>
      <c r="K1048" s="12" t="s">
        <v>199</v>
      </c>
      <c r="L1048" s="12" t="s">
        <v>83</v>
      </c>
      <c r="M1048" s="12" t="s">
        <v>43</v>
      </c>
      <c r="N1048" s="12" t="s">
        <v>84</v>
      </c>
      <c r="O1048" s="12" t="s">
        <v>4284</v>
      </c>
      <c r="P1048" s="12" t="s">
        <v>66</v>
      </c>
      <c r="Q1048" s="12" t="s">
        <v>67</v>
      </c>
      <c r="R1048" s="12" t="s">
        <v>421</v>
      </c>
      <c r="S1048" s="13">
        <v>197804328185</v>
      </c>
      <c r="T1048" s="12" t="s">
        <v>422</v>
      </c>
      <c r="U1048" s="12" t="s">
        <v>60</v>
      </c>
      <c r="V1048" s="12" t="s">
        <v>1825</v>
      </c>
      <c r="W1048" s="12" t="s">
        <v>455</v>
      </c>
      <c r="X1048" s="14"/>
      <c r="Y1048" s="14"/>
      <c r="Z1048" s="14"/>
      <c r="AA1048" s="14"/>
      <c r="AB1048" s="14"/>
      <c r="AC1048" s="15">
        <v>20.5</v>
      </c>
      <c r="AD1048" s="15">
        <f>AC1048*AG1048</f>
        <v>123</v>
      </c>
      <c r="AE1048" s="15">
        <v>45</v>
      </c>
      <c r="AF1048" s="15">
        <f>AE1048*AG1048</f>
        <v>270</v>
      </c>
      <c r="AG1048" s="16">
        <v>6</v>
      </c>
    </row>
    <row r="1049" spans="1:33" ht="15" customHeight="1" x14ac:dyDescent="0.2">
      <c r="A1049" s="11" t="str">
        <f t="shared" si="400"/>
        <v>VN000U2CWHT1</v>
      </c>
      <c r="B1049" s="12" t="s">
        <v>4285</v>
      </c>
      <c r="C1049" s="12" t="s">
        <v>3843</v>
      </c>
      <c r="D1049" s="12" t="s">
        <v>168</v>
      </c>
      <c r="E1049" s="12" t="s">
        <v>4286</v>
      </c>
      <c r="F1049" s="12" t="s">
        <v>403</v>
      </c>
      <c r="G1049" s="14"/>
      <c r="H1049" s="12" t="s">
        <v>61</v>
      </c>
      <c r="I1049" s="12" t="s">
        <v>230</v>
      </c>
      <c r="J1049" s="12" t="s">
        <v>419</v>
      </c>
      <c r="K1049" s="12" t="s">
        <v>199</v>
      </c>
      <c r="L1049" s="12" t="s">
        <v>115</v>
      </c>
      <c r="M1049" s="12" t="s">
        <v>43</v>
      </c>
      <c r="N1049" s="12" t="s">
        <v>44</v>
      </c>
      <c r="O1049" s="12" t="s">
        <v>4287</v>
      </c>
      <c r="P1049" s="12" t="s">
        <v>66</v>
      </c>
      <c r="Q1049" s="12" t="s">
        <v>67</v>
      </c>
      <c r="R1049" s="12" t="s">
        <v>421</v>
      </c>
      <c r="S1049" s="13">
        <v>198266020471</v>
      </c>
      <c r="T1049" s="12" t="s">
        <v>422</v>
      </c>
      <c r="U1049" s="12" t="s">
        <v>403</v>
      </c>
      <c r="V1049" s="12" t="s">
        <v>3846</v>
      </c>
      <c r="W1049" s="12" t="s">
        <v>175</v>
      </c>
      <c r="X1049" s="12" t="s">
        <v>3847</v>
      </c>
      <c r="Y1049" s="12" t="s">
        <v>91</v>
      </c>
      <c r="Z1049" s="12" t="s">
        <v>54</v>
      </c>
      <c r="AA1049" s="12" t="s">
        <v>73</v>
      </c>
      <c r="AB1049" s="12" t="s">
        <v>94</v>
      </c>
      <c r="AC1049" s="15">
        <v>18.2</v>
      </c>
      <c r="AD1049" s="15">
        <f>AC1049*AG1049</f>
        <v>109.19999999999999</v>
      </c>
      <c r="AE1049" s="15">
        <v>40</v>
      </c>
      <c r="AF1049" s="15">
        <f>AE1049*AG1049</f>
        <v>240</v>
      </c>
      <c r="AG1049" s="16">
        <v>6</v>
      </c>
    </row>
    <row r="1050" spans="1:33" ht="15" customHeight="1" x14ac:dyDescent="0.2">
      <c r="A1050" s="11" t="str">
        <f t="shared" ref="A1050:A1428" si="449">HYPERLINK("https://assets.vans.eu/images/VN000XBZIZQ-HERO/1","VN000XBZIZQ1")</f>
        <v>VN000XBZIZQ1</v>
      </c>
      <c r="B1050" s="12" t="s">
        <v>4288</v>
      </c>
      <c r="C1050" s="12" t="s">
        <v>4289</v>
      </c>
      <c r="D1050" s="12" t="s">
        <v>4290</v>
      </c>
      <c r="E1050" s="12" t="s">
        <v>4291</v>
      </c>
      <c r="F1050" s="12" t="s">
        <v>403</v>
      </c>
      <c r="G1050" s="14"/>
      <c r="H1050" s="12" t="s">
        <v>61</v>
      </c>
      <c r="I1050" s="12" t="s">
        <v>289</v>
      </c>
      <c r="J1050" s="12" t="s">
        <v>706</v>
      </c>
      <c r="K1050" s="12" t="s">
        <v>100</v>
      </c>
      <c r="L1050" s="12" t="s">
        <v>115</v>
      </c>
      <c r="M1050" s="12" t="s">
        <v>43</v>
      </c>
      <c r="N1050" s="12" t="s">
        <v>84</v>
      </c>
      <c r="O1050" s="12" t="s">
        <v>4292</v>
      </c>
      <c r="P1050" s="12" t="s">
        <v>66</v>
      </c>
      <c r="Q1050" s="12" t="s">
        <v>67</v>
      </c>
      <c r="R1050" s="12" t="s">
        <v>1146</v>
      </c>
      <c r="S1050" s="13">
        <v>198268198161</v>
      </c>
      <c r="T1050" s="12" t="s">
        <v>422</v>
      </c>
      <c r="U1050" s="12" t="s">
        <v>403</v>
      </c>
      <c r="V1050" s="12" t="s">
        <v>70</v>
      </c>
      <c r="W1050" s="12" t="s">
        <v>262</v>
      </c>
      <c r="X1050" s="14"/>
      <c r="Y1050" s="14"/>
      <c r="Z1050" s="14"/>
      <c r="AA1050" s="14"/>
      <c r="AB1050" s="14"/>
      <c r="AC1050" s="15">
        <v>15.95</v>
      </c>
      <c r="AD1050" s="15">
        <f>AC1050*AG1050</f>
        <v>95.699999999999989</v>
      </c>
      <c r="AE1050" s="15">
        <v>35</v>
      </c>
      <c r="AF1050" s="15">
        <f>AE1050*AG1050</f>
        <v>210</v>
      </c>
      <c r="AG1050" s="16">
        <v>6</v>
      </c>
    </row>
    <row r="1051" spans="1:33" ht="15" customHeight="1" x14ac:dyDescent="0.2">
      <c r="A1051" s="11" t="str">
        <f t="shared" si="365"/>
        <v>VN00104UWHT1</v>
      </c>
      <c r="B1051" s="12" t="s">
        <v>4293</v>
      </c>
      <c r="C1051" s="12" t="s">
        <v>862</v>
      </c>
      <c r="D1051" s="12" t="s">
        <v>168</v>
      </c>
      <c r="E1051" s="12" t="s">
        <v>4294</v>
      </c>
      <c r="F1051" s="12" t="s">
        <v>179</v>
      </c>
      <c r="G1051" s="14"/>
      <c r="H1051" s="12" t="s">
        <v>61</v>
      </c>
      <c r="I1051" s="12" t="s">
        <v>230</v>
      </c>
      <c r="J1051" s="12" t="s">
        <v>419</v>
      </c>
      <c r="K1051" s="12" t="s">
        <v>199</v>
      </c>
      <c r="L1051" s="12" t="s">
        <v>115</v>
      </c>
      <c r="M1051" s="12" t="s">
        <v>43</v>
      </c>
      <c r="N1051" s="12" t="s">
        <v>84</v>
      </c>
      <c r="O1051" s="12" t="s">
        <v>4295</v>
      </c>
      <c r="P1051" s="12" t="s">
        <v>66</v>
      </c>
      <c r="Q1051" s="12" t="s">
        <v>67</v>
      </c>
      <c r="R1051" s="12" t="s">
        <v>421</v>
      </c>
      <c r="S1051" s="13">
        <v>198268437420</v>
      </c>
      <c r="T1051" s="12" t="s">
        <v>69</v>
      </c>
      <c r="U1051" s="12" t="s">
        <v>179</v>
      </c>
      <c r="V1051" s="12" t="s">
        <v>70</v>
      </c>
      <c r="W1051" s="12" t="s">
        <v>175</v>
      </c>
      <c r="X1051" s="14"/>
      <c r="Y1051" s="14"/>
      <c r="Z1051" s="14"/>
      <c r="AA1051" s="14"/>
      <c r="AB1051" s="14"/>
      <c r="AC1051" s="15">
        <v>18.2</v>
      </c>
      <c r="AD1051" s="15">
        <f>AC1051*AG1051</f>
        <v>109.19999999999999</v>
      </c>
      <c r="AE1051" s="15">
        <v>40</v>
      </c>
      <c r="AF1051" s="15">
        <f>AE1051*AG1051</f>
        <v>240</v>
      </c>
      <c r="AG1051" s="16">
        <v>6</v>
      </c>
    </row>
    <row r="1052" spans="1:33" ht="15" customHeight="1" x14ac:dyDescent="0.2">
      <c r="A1052" s="11" t="str">
        <f>HYPERLINK("https://assets.vans.eu/images/VN0A4CZ1BLK-HERO/1","VN0A4CZ1BLK1")</f>
        <v>VN0A4CZ1BLK1</v>
      </c>
      <c r="B1052" s="12" t="s">
        <v>4296</v>
      </c>
      <c r="C1052" s="12" t="s">
        <v>4297</v>
      </c>
      <c r="D1052" s="12" t="s">
        <v>76</v>
      </c>
      <c r="E1052" s="12" t="s">
        <v>4298</v>
      </c>
      <c r="F1052" s="12" t="s">
        <v>170</v>
      </c>
      <c r="G1052" s="14"/>
      <c r="H1052" s="12" t="s">
        <v>61</v>
      </c>
      <c r="I1052" s="12" t="s">
        <v>230</v>
      </c>
      <c r="J1052" s="12" t="s">
        <v>419</v>
      </c>
      <c r="K1052" s="12" t="s">
        <v>199</v>
      </c>
      <c r="L1052" s="12" t="s">
        <v>115</v>
      </c>
      <c r="M1052" s="12" t="s">
        <v>43</v>
      </c>
      <c r="N1052" s="12" t="s">
        <v>161</v>
      </c>
      <c r="O1052" s="12" t="s">
        <v>4299</v>
      </c>
      <c r="P1052" s="12" t="s">
        <v>66</v>
      </c>
      <c r="Q1052" s="12" t="s">
        <v>67</v>
      </c>
      <c r="R1052" s="12" t="s">
        <v>421</v>
      </c>
      <c r="S1052" s="13">
        <v>680975130560</v>
      </c>
      <c r="T1052" s="12" t="s">
        <v>422</v>
      </c>
      <c r="U1052" s="12" t="s">
        <v>170</v>
      </c>
      <c r="V1052" s="12" t="s">
        <v>423</v>
      </c>
      <c r="W1052" s="12" t="s">
        <v>51</v>
      </c>
      <c r="X1052" s="13">
        <v>0</v>
      </c>
      <c r="Y1052" s="12" t="s">
        <v>91</v>
      </c>
      <c r="Z1052" s="12" t="s">
        <v>92</v>
      </c>
      <c r="AA1052" s="12" t="s">
        <v>4300</v>
      </c>
      <c r="AB1052" s="12" t="s">
        <v>94</v>
      </c>
      <c r="AC1052" s="15">
        <v>17.3</v>
      </c>
      <c r="AD1052" s="15">
        <f>AC1052*AG1052</f>
        <v>103.80000000000001</v>
      </c>
      <c r="AE1052" s="15">
        <v>38</v>
      </c>
      <c r="AF1052" s="15">
        <f>AE1052*AG1052</f>
        <v>228</v>
      </c>
      <c r="AG1052" s="16">
        <v>6</v>
      </c>
    </row>
    <row r="1053" spans="1:33" ht="15" customHeight="1" x14ac:dyDescent="0.2">
      <c r="A1053" s="11" t="str">
        <f t="shared" ref="A1053:A1433" si="450">HYPERLINK("https://assets.vans.eu/images/VN0A5JHIBLK-HERO/1","VN0A5JHIBLK1")</f>
        <v>VN0A5JHIBLK1</v>
      </c>
      <c r="B1053" s="12" t="s">
        <v>4301</v>
      </c>
      <c r="C1053" s="12" t="s">
        <v>4302</v>
      </c>
      <c r="D1053" s="12" t="s">
        <v>76</v>
      </c>
      <c r="E1053" s="12" t="s">
        <v>4303</v>
      </c>
      <c r="F1053" s="12" t="s">
        <v>153</v>
      </c>
      <c r="G1053" s="14"/>
      <c r="H1053" s="12" t="s">
        <v>61</v>
      </c>
      <c r="I1053" s="12" t="s">
        <v>289</v>
      </c>
      <c r="J1053" s="12" t="s">
        <v>900</v>
      </c>
      <c r="K1053" s="12" t="s">
        <v>100</v>
      </c>
      <c r="L1053" s="14"/>
      <c r="M1053" s="12" t="s">
        <v>43</v>
      </c>
      <c r="N1053" s="12" t="s">
        <v>84</v>
      </c>
      <c r="O1053" s="12" t="s">
        <v>4304</v>
      </c>
      <c r="P1053" s="12" t="s">
        <v>66</v>
      </c>
      <c r="Q1053" s="12" t="s">
        <v>233</v>
      </c>
      <c r="R1053" s="12" t="s">
        <v>902</v>
      </c>
      <c r="S1053" s="13">
        <v>192825953231</v>
      </c>
      <c r="T1053" s="12" t="s">
        <v>235</v>
      </c>
      <c r="U1053" s="12" t="s">
        <v>153</v>
      </c>
      <c r="V1053" s="12" t="s">
        <v>665</v>
      </c>
      <c r="W1053" s="12" t="s">
        <v>51</v>
      </c>
      <c r="X1053" s="13">
        <v>0</v>
      </c>
      <c r="Y1053" s="12" t="s">
        <v>91</v>
      </c>
      <c r="Z1053" s="12" t="s">
        <v>108</v>
      </c>
      <c r="AA1053" s="13">
        <v>0</v>
      </c>
      <c r="AB1053" s="12" t="s">
        <v>616</v>
      </c>
      <c r="AC1053" s="15">
        <v>40.950000000000003</v>
      </c>
      <c r="AD1053" s="15">
        <f>AC1053*AG1053</f>
        <v>245.70000000000002</v>
      </c>
      <c r="AE1053" s="15">
        <v>90</v>
      </c>
      <c r="AF1053" s="15">
        <f>AE1053*AG1053</f>
        <v>540</v>
      </c>
      <c r="AG1053" s="16">
        <v>6</v>
      </c>
    </row>
    <row r="1054" spans="1:33" ht="15" customHeight="1" x14ac:dyDescent="0.2">
      <c r="A1054" s="11" t="str">
        <f>HYPERLINK("https://assets.vans.eu/images/VN0A7Y3X6OG-HERO/1","VN0A7Y3X6OG1")</f>
        <v>VN0A7Y3X6OG1</v>
      </c>
      <c r="B1054" s="12" t="s">
        <v>4305</v>
      </c>
      <c r="C1054" s="12" t="s">
        <v>1242</v>
      </c>
      <c r="D1054" s="12" t="s">
        <v>1243</v>
      </c>
      <c r="E1054" s="12" t="s">
        <v>4306</v>
      </c>
      <c r="F1054" s="12" t="s">
        <v>60</v>
      </c>
      <c r="G1054" s="14"/>
      <c r="H1054" s="12" t="s">
        <v>61</v>
      </c>
      <c r="I1054" s="12" t="s">
        <v>230</v>
      </c>
      <c r="J1054" s="12" t="s">
        <v>419</v>
      </c>
      <c r="K1054" s="12" t="s">
        <v>199</v>
      </c>
      <c r="L1054" s="14"/>
      <c r="M1054" s="12" t="s">
        <v>43</v>
      </c>
      <c r="N1054" s="12" t="s">
        <v>84</v>
      </c>
      <c r="O1054" s="12" t="s">
        <v>4307</v>
      </c>
      <c r="P1054" s="12" t="s">
        <v>66</v>
      </c>
      <c r="Q1054" s="12" t="s">
        <v>67</v>
      </c>
      <c r="R1054" s="12" t="s">
        <v>623</v>
      </c>
      <c r="S1054" s="13">
        <v>197805982164</v>
      </c>
      <c r="T1054" s="12" t="s">
        <v>709</v>
      </c>
      <c r="U1054" s="12" t="s">
        <v>60</v>
      </c>
      <c r="V1054" s="12" t="s">
        <v>1246</v>
      </c>
      <c r="W1054" s="12" t="s">
        <v>455</v>
      </c>
      <c r="X1054" s="14"/>
      <c r="Y1054" s="14"/>
      <c r="Z1054" s="14"/>
      <c r="AA1054" s="14"/>
      <c r="AB1054" s="14"/>
      <c r="AC1054" s="15">
        <v>32.75</v>
      </c>
      <c r="AD1054" s="15">
        <f>AC1054*AG1054</f>
        <v>196.5</v>
      </c>
      <c r="AE1054" s="15">
        <v>72</v>
      </c>
      <c r="AF1054" s="15">
        <f>AE1054*AG1054</f>
        <v>432</v>
      </c>
      <c r="AG1054" s="16">
        <v>6</v>
      </c>
    </row>
    <row r="1055" spans="1:33" ht="15" customHeight="1" x14ac:dyDescent="0.2">
      <c r="A1055" s="11" t="str">
        <f>HYPERLINK("https://assets.vans.eu/images/VN000H4WZRY-HERO/1","VN000H4WZRY1")</f>
        <v>VN000H4WZRY1</v>
      </c>
      <c r="B1055" s="12" t="s">
        <v>4308</v>
      </c>
      <c r="C1055" s="12" t="s">
        <v>767</v>
      </c>
      <c r="D1055" s="12" t="s">
        <v>1996</v>
      </c>
      <c r="E1055" s="12" t="s">
        <v>4309</v>
      </c>
      <c r="F1055" s="12" t="s">
        <v>78</v>
      </c>
      <c r="G1055" s="14"/>
      <c r="H1055" s="12" t="s">
        <v>441</v>
      </c>
      <c r="I1055" s="12" t="s">
        <v>442</v>
      </c>
      <c r="J1055" s="12" t="s">
        <v>443</v>
      </c>
      <c r="K1055" s="12" t="s">
        <v>82</v>
      </c>
      <c r="L1055" s="14"/>
      <c r="M1055" s="12" t="s">
        <v>43</v>
      </c>
      <c r="N1055" s="12" t="s">
        <v>84</v>
      </c>
      <c r="O1055" s="12" t="s">
        <v>4310</v>
      </c>
      <c r="P1055" s="12" t="s">
        <v>445</v>
      </c>
      <c r="Q1055" s="12" t="s">
        <v>446</v>
      </c>
      <c r="R1055" s="12" t="s">
        <v>447</v>
      </c>
      <c r="S1055" s="13">
        <v>197804384525</v>
      </c>
      <c r="T1055" s="12" t="s">
        <v>130</v>
      </c>
      <c r="U1055" s="12" t="s">
        <v>78</v>
      </c>
      <c r="V1055" s="12" t="s">
        <v>771</v>
      </c>
      <c r="W1055" s="12" t="s">
        <v>299</v>
      </c>
      <c r="X1055" s="14"/>
      <c r="Y1055" s="14"/>
      <c r="Z1055" s="14"/>
      <c r="AA1055" s="14"/>
      <c r="AB1055" s="14"/>
      <c r="AC1055" s="15">
        <v>21.85</v>
      </c>
      <c r="AD1055" s="15">
        <f>AC1055*AG1055</f>
        <v>131.10000000000002</v>
      </c>
      <c r="AE1055" s="15">
        <v>48</v>
      </c>
      <c r="AF1055" s="15">
        <f>AE1055*AG1055</f>
        <v>288</v>
      </c>
      <c r="AG1055" s="16">
        <v>6</v>
      </c>
    </row>
    <row r="1056" spans="1:33" ht="15" customHeight="1" x14ac:dyDescent="0.2">
      <c r="A1056" s="11" t="str">
        <f>HYPERLINK("https://assets.vans.eu/images/VN000HRGBLK-HERO/1","VN000HRGBLK1")</f>
        <v>VN000HRGBLK1</v>
      </c>
      <c r="B1056" s="12" t="s">
        <v>4311</v>
      </c>
      <c r="C1056" s="12" t="s">
        <v>4312</v>
      </c>
      <c r="D1056" s="12" t="s">
        <v>76</v>
      </c>
      <c r="E1056" s="12" t="s">
        <v>4313</v>
      </c>
      <c r="F1056" s="12" t="s">
        <v>78</v>
      </c>
      <c r="G1056" s="14"/>
      <c r="H1056" s="12" t="s">
        <v>441</v>
      </c>
      <c r="I1056" s="12" t="s">
        <v>442</v>
      </c>
      <c r="J1056" s="12" t="s">
        <v>443</v>
      </c>
      <c r="K1056" s="12" t="s">
        <v>82</v>
      </c>
      <c r="L1056" s="14"/>
      <c r="M1056" s="12" t="s">
        <v>43</v>
      </c>
      <c r="N1056" s="12" t="s">
        <v>84</v>
      </c>
      <c r="O1056" s="12" t="s">
        <v>4314</v>
      </c>
      <c r="P1056" s="12" t="s">
        <v>445</v>
      </c>
      <c r="Q1056" s="12" t="s">
        <v>446</v>
      </c>
      <c r="R1056" s="12" t="s">
        <v>447</v>
      </c>
      <c r="S1056" s="13">
        <v>197065461256</v>
      </c>
      <c r="T1056" s="12" t="s">
        <v>130</v>
      </c>
      <c r="U1056" s="12" t="s">
        <v>78</v>
      </c>
      <c r="V1056" s="12" t="s">
        <v>4315</v>
      </c>
      <c r="W1056" s="12" t="s">
        <v>51</v>
      </c>
      <c r="X1056" s="13">
        <v>0</v>
      </c>
      <c r="Y1056" s="12" t="s">
        <v>91</v>
      </c>
      <c r="Z1056" s="12" t="s">
        <v>108</v>
      </c>
      <c r="AA1056" s="13">
        <v>0</v>
      </c>
      <c r="AB1056" s="13">
        <v>0</v>
      </c>
      <c r="AC1056" s="15">
        <v>34.1</v>
      </c>
      <c r="AD1056" s="15">
        <f>AC1056*AG1056</f>
        <v>204.60000000000002</v>
      </c>
      <c r="AE1056" s="15">
        <v>75</v>
      </c>
      <c r="AF1056" s="15">
        <f>AE1056*AG1056</f>
        <v>450</v>
      </c>
      <c r="AG1056" s="16">
        <v>6</v>
      </c>
    </row>
    <row r="1057" spans="1:33" ht="15" customHeight="1" x14ac:dyDescent="0.2">
      <c r="A1057" s="11" t="str">
        <f t="shared" si="298"/>
        <v>VN0007P9CL21</v>
      </c>
      <c r="B1057" s="12" t="s">
        <v>4316</v>
      </c>
      <c r="C1057" s="12" t="s">
        <v>883</v>
      </c>
      <c r="D1057" s="12" t="s">
        <v>1296</v>
      </c>
      <c r="E1057" s="12" t="s">
        <v>4317</v>
      </c>
      <c r="F1057" s="13">
        <v>50</v>
      </c>
      <c r="G1057" s="12" t="s">
        <v>886</v>
      </c>
      <c r="H1057" s="12" t="s">
        <v>38</v>
      </c>
      <c r="I1057" s="12" t="s">
        <v>113</v>
      </c>
      <c r="J1057" s="12" t="s">
        <v>529</v>
      </c>
      <c r="K1057" s="12" t="s">
        <v>100</v>
      </c>
      <c r="L1057" s="12" t="s">
        <v>350</v>
      </c>
      <c r="M1057" s="12" t="s">
        <v>43</v>
      </c>
      <c r="N1057" s="12" t="s">
        <v>84</v>
      </c>
      <c r="O1057" s="12" t="s">
        <v>4318</v>
      </c>
      <c r="P1057" s="12" t="s">
        <v>46</v>
      </c>
      <c r="Q1057" s="12" t="s">
        <v>47</v>
      </c>
      <c r="R1057" s="12" t="s">
        <v>117</v>
      </c>
      <c r="S1057" s="13">
        <v>197063415954</v>
      </c>
      <c r="T1057" s="12" t="s">
        <v>49</v>
      </c>
      <c r="U1057" s="13">
        <v>34.5</v>
      </c>
      <c r="V1057" s="12" t="s">
        <v>50</v>
      </c>
      <c r="W1057" s="12" t="s">
        <v>299</v>
      </c>
      <c r="X1057" s="14"/>
      <c r="Y1057" s="12" t="s">
        <v>71</v>
      </c>
      <c r="Z1057" s="12" t="s">
        <v>376</v>
      </c>
      <c r="AA1057" s="14"/>
      <c r="AB1057" s="14"/>
      <c r="AC1057" s="15">
        <v>40.5</v>
      </c>
      <c r="AD1057" s="15">
        <f>AC1057*AG1057</f>
        <v>243</v>
      </c>
      <c r="AE1057" s="15">
        <v>85</v>
      </c>
      <c r="AF1057" s="15">
        <f>AE1057*AG1057</f>
        <v>510</v>
      </c>
      <c r="AG1057" s="16">
        <v>6</v>
      </c>
    </row>
    <row r="1058" spans="1:33" ht="15" customHeight="1" x14ac:dyDescent="0.2">
      <c r="A1058" s="11" t="str">
        <f>HYPERLINK("https://assets.vans.eu/images/VN0007P9CL2-HERO/1","VN0007P9CL21")</f>
        <v>VN0007P9CL21</v>
      </c>
      <c r="B1058" s="12" t="s">
        <v>4319</v>
      </c>
      <c r="C1058" s="12" t="s">
        <v>883</v>
      </c>
      <c r="D1058" s="12" t="s">
        <v>1296</v>
      </c>
      <c r="E1058" s="12" t="s">
        <v>4320</v>
      </c>
      <c r="F1058" s="13">
        <v>55</v>
      </c>
      <c r="G1058" s="12" t="s">
        <v>886</v>
      </c>
      <c r="H1058" s="12" t="s">
        <v>38</v>
      </c>
      <c r="I1058" s="12" t="s">
        <v>113</v>
      </c>
      <c r="J1058" s="12" t="s">
        <v>529</v>
      </c>
      <c r="K1058" s="12" t="s">
        <v>100</v>
      </c>
      <c r="L1058" s="12" t="s">
        <v>350</v>
      </c>
      <c r="M1058" s="12" t="s">
        <v>43</v>
      </c>
      <c r="N1058" s="12" t="s">
        <v>84</v>
      </c>
      <c r="O1058" s="12" t="s">
        <v>4321</v>
      </c>
      <c r="P1058" s="12" t="s">
        <v>46</v>
      </c>
      <c r="Q1058" s="12" t="s">
        <v>47</v>
      </c>
      <c r="R1058" s="12" t="s">
        <v>117</v>
      </c>
      <c r="S1058" s="13">
        <v>197063416173</v>
      </c>
      <c r="T1058" s="12" t="s">
        <v>49</v>
      </c>
      <c r="U1058" s="13">
        <v>35</v>
      </c>
      <c r="V1058" s="12" t="s">
        <v>50</v>
      </c>
      <c r="W1058" s="12" t="s">
        <v>299</v>
      </c>
      <c r="X1058" s="14"/>
      <c r="Y1058" s="12" t="s">
        <v>71</v>
      </c>
      <c r="Z1058" s="12" t="s">
        <v>376</v>
      </c>
      <c r="AA1058" s="14"/>
      <c r="AB1058" s="14"/>
      <c r="AC1058" s="15">
        <v>40.5</v>
      </c>
      <c r="AD1058" s="15">
        <f>AC1058*AG1058</f>
        <v>243</v>
      </c>
      <c r="AE1058" s="15">
        <v>85</v>
      </c>
      <c r="AF1058" s="15">
        <f>AE1058*AG1058</f>
        <v>510</v>
      </c>
      <c r="AG1058" s="16">
        <v>6</v>
      </c>
    </row>
    <row r="1059" spans="1:33" ht="15" customHeight="1" x14ac:dyDescent="0.2">
      <c r="A1059" s="11" t="str">
        <f t="shared" ref="A1059:A3770" si="451">HYPERLINK("https://assets.vans.eu/images/VN000CMXN1Z-HERO/1","VN000CMXN1Z1")</f>
        <v>VN000CMXN1Z1</v>
      </c>
      <c r="B1059" s="12" t="s">
        <v>4322</v>
      </c>
      <c r="C1059" s="12" t="s">
        <v>309</v>
      </c>
      <c r="D1059" s="12" t="s">
        <v>1656</v>
      </c>
      <c r="E1059" s="12" t="s">
        <v>4323</v>
      </c>
      <c r="F1059" s="13">
        <v>110</v>
      </c>
      <c r="G1059" s="12" t="s">
        <v>1658</v>
      </c>
      <c r="H1059" s="12" t="s">
        <v>38</v>
      </c>
      <c r="I1059" s="12" t="s">
        <v>159</v>
      </c>
      <c r="J1059" s="12" t="s">
        <v>160</v>
      </c>
      <c r="K1059" s="12" t="s">
        <v>82</v>
      </c>
      <c r="L1059" s="14"/>
      <c r="M1059" s="12" t="s">
        <v>43</v>
      </c>
      <c r="N1059" s="12" t="s">
        <v>84</v>
      </c>
      <c r="O1059" s="12" t="s">
        <v>4324</v>
      </c>
      <c r="P1059" s="12" t="s">
        <v>46</v>
      </c>
      <c r="Q1059" s="12" t="s">
        <v>47</v>
      </c>
      <c r="R1059" s="12" t="s">
        <v>1660</v>
      </c>
      <c r="S1059" s="13">
        <v>197065635442</v>
      </c>
      <c r="T1059" s="12" t="s">
        <v>164</v>
      </c>
      <c r="U1059" s="13">
        <v>44.5</v>
      </c>
      <c r="V1059" s="12" t="s">
        <v>50</v>
      </c>
      <c r="W1059" s="12" t="s">
        <v>186</v>
      </c>
      <c r="X1059" s="14"/>
      <c r="Y1059" s="12" t="s">
        <v>91</v>
      </c>
      <c r="Z1059" s="12" t="s">
        <v>165</v>
      </c>
      <c r="AA1059" s="14"/>
      <c r="AB1059" s="14"/>
      <c r="AC1059" s="15">
        <v>47.75</v>
      </c>
      <c r="AD1059" s="15">
        <f>AC1059*AG1059</f>
        <v>286.5</v>
      </c>
      <c r="AE1059" s="15">
        <v>105</v>
      </c>
      <c r="AF1059" s="15">
        <f>AE1059*AG1059</f>
        <v>630</v>
      </c>
      <c r="AG1059" s="16">
        <v>6</v>
      </c>
    </row>
    <row r="1060" spans="1:33" ht="15" customHeight="1" x14ac:dyDescent="0.2">
      <c r="A1060" s="11" t="str">
        <f t="shared" si="402"/>
        <v>VN000CQRBO51</v>
      </c>
      <c r="B1060" s="12" t="s">
        <v>4325</v>
      </c>
      <c r="C1060" s="12" t="s">
        <v>1458</v>
      </c>
      <c r="D1060" s="12" t="s">
        <v>2835</v>
      </c>
      <c r="E1060" s="12" t="s">
        <v>4326</v>
      </c>
      <c r="F1060" s="13">
        <v>35</v>
      </c>
      <c r="G1060" s="14"/>
      <c r="H1060" s="12" t="s">
        <v>38</v>
      </c>
      <c r="I1060" s="12" t="s">
        <v>113</v>
      </c>
      <c r="J1060" s="12" t="s">
        <v>529</v>
      </c>
      <c r="K1060" s="12" t="s">
        <v>82</v>
      </c>
      <c r="L1060" s="14"/>
      <c r="M1060" s="12" t="s">
        <v>43</v>
      </c>
      <c r="N1060" s="12" t="s">
        <v>84</v>
      </c>
      <c r="O1060" s="12" t="s">
        <v>4327</v>
      </c>
      <c r="P1060" s="12" t="s">
        <v>46</v>
      </c>
      <c r="Q1060" s="12" t="s">
        <v>47</v>
      </c>
      <c r="R1060" s="12" t="s">
        <v>117</v>
      </c>
      <c r="S1060" s="13">
        <v>196575345858</v>
      </c>
      <c r="T1060" s="12" t="s">
        <v>105</v>
      </c>
      <c r="U1060" s="13">
        <v>34.5</v>
      </c>
      <c r="V1060" s="12" t="s">
        <v>50</v>
      </c>
      <c r="W1060" s="12" t="s">
        <v>598</v>
      </c>
      <c r="X1060" s="14"/>
      <c r="Y1060" s="12" t="s">
        <v>53</v>
      </c>
      <c r="Z1060" s="12" t="s">
        <v>3884</v>
      </c>
      <c r="AA1060" s="14"/>
      <c r="AB1060" s="14"/>
      <c r="AC1060" s="15">
        <v>43.2</v>
      </c>
      <c r="AD1060" s="15">
        <f>AC1060*AG1060</f>
        <v>259.20000000000005</v>
      </c>
      <c r="AE1060" s="15">
        <v>95</v>
      </c>
      <c r="AF1060" s="15">
        <f>AE1060*AG1060</f>
        <v>570</v>
      </c>
      <c r="AG1060" s="16">
        <v>6</v>
      </c>
    </row>
    <row r="1061" spans="1:33" ht="15" customHeight="1" x14ac:dyDescent="0.2">
      <c r="A1061" s="11" t="str">
        <f t="shared" si="335"/>
        <v>VN000CQRYLZ1</v>
      </c>
      <c r="B1061" s="12" t="s">
        <v>4328</v>
      </c>
      <c r="C1061" s="12" t="s">
        <v>1458</v>
      </c>
      <c r="D1061" s="12" t="s">
        <v>458</v>
      </c>
      <c r="E1061" s="12" t="s">
        <v>4329</v>
      </c>
      <c r="F1061" s="13">
        <v>65</v>
      </c>
      <c r="G1061" s="12" t="s">
        <v>1852</v>
      </c>
      <c r="H1061" s="12" t="s">
        <v>38</v>
      </c>
      <c r="I1061" s="12" t="s">
        <v>113</v>
      </c>
      <c r="J1061" s="12" t="s">
        <v>529</v>
      </c>
      <c r="K1061" s="12" t="s">
        <v>82</v>
      </c>
      <c r="L1061" s="14"/>
      <c r="M1061" s="12" t="s">
        <v>43</v>
      </c>
      <c r="N1061" s="12" t="s">
        <v>44</v>
      </c>
      <c r="O1061" s="12" t="s">
        <v>4330</v>
      </c>
      <c r="P1061" s="12" t="s">
        <v>46</v>
      </c>
      <c r="Q1061" s="12" t="s">
        <v>47</v>
      </c>
      <c r="R1061" s="12" t="s">
        <v>117</v>
      </c>
      <c r="S1061" s="13">
        <v>197643238331</v>
      </c>
      <c r="T1061" s="12" t="s">
        <v>49</v>
      </c>
      <c r="U1061" s="13">
        <v>38.5</v>
      </c>
      <c r="V1061" s="12" t="s">
        <v>50</v>
      </c>
      <c r="W1061" s="12" t="s">
        <v>299</v>
      </c>
      <c r="X1061" s="14"/>
      <c r="Y1061" s="12" t="s">
        <v>53</v>
      </c>
      <c r="Z1061" s="12" t="s">
        <v>1462</v>
      </c>
      <c r="AA1061" s="14"/>
      <c r="AB1061" s="14"/>
      <c r="AC1061" s="15">
        <v>43.2</v>
      </c>
      <c r="AD1061" s="15">
        <f>AC1061*AG1061</f>
        <v>259.20000000000005</v>
      </c>
      <c r="AE1061" s="15">
        <v>95</v>
      </c>
      <c r="AF1061" s="15">
        <f>AE1061*AG1061</f>
        <v>570</v>
      </c>
      <c r="AG1061" s="16">
        <v>6</v>
      </c>
    </row>
    <row r="1062" spans="1:33" ht="15" customHeight="1" x14ac:dyDescent="0.2">
      <c r="A1062" s="11" t="str">
        <f t="shared" si="405"/>
        <v>VN000CTG4481</v>
      </c>
      <c r="B1062" s="12" t="s">
        <v>4331</v>
      </c>
      <c r="C1062" s="12" t="s">
        <v>238</v>
      </c>
      <c r="D1062" s="12" t="s">
        <v>3898</v>
      </c>
      <c r="E1062" s="12" t="s">
        <v>4332</v>
      </c>
      <c r="F1062" s="13">
        <v>95</v>
      </c>
      <c r="G1062" s="12" t="s">
        <v>3900</v>
      </c>
      <c r="H1062" s="12" t="s">
        <v>38</v>
      </c>
      <c r="I1062" s="12" t="s">
        <v>242</v>
      </c>
      <c r="J1062" s="12" t="s">
        <v>243</v>
      </c>
      <c r="K1062" s="12" t="s">
        <v>244</v>
      </c>
      <c r="L1062" s="14"/>
      <c r="M1062" s="12" t="s">
        <v>43</v>
      </c>
      <c r="N1062" s="12" t="s">
        <v>84</v>
      </c>
      <c r="O1062" s="12" t="s">
        <v>4333</v>
      </c>
      <c r="P1062" s="12" t="s">
        <v>46</v>
      </c>
      <c r="Q1062" s="12" t="s">
        <v>47</v>
      </c>
      <c r="R1062" s="12" t="s">
        <v>48</v>
      </c>
      <c r="S1062" s="13">
        <v>197804670819</v>
      </c>
      <c r="T1062" s="12" t="s">
        <v>49</v>
      </c>
      <c r="U1062" s="13">
        <v>26</v>
      </c>
      <c r="V1062" s="12" t="s">
        <v>50</v>
      </c>
      <c r="W1062" s="12" t="s">
        <v>175</v>
      </c>
      <c r="X1062" s="14"/>
      <c r="Y1062" s="14"/>
      <c r="Z1062" s="14"/>
      <c r="AA1062" s="14"/>
      <c r="AB1062" s="14"/>
      <c r="AC1062" s="15">
        <v>20.5</v>
      </c>
      <c r="AD1062" s="15">
        <f>AC1062*AG1062</f>
        <v>123</v>
      </c>
      <c r="AE1062" s="15">
        <v>45</v>
      </c>
      <c r="AF1062" s="15">
        <f>AE1062*AG1062</f>
        <v>270</v>
      </c>
      <c r="AG1062" s="16">
        <v>6</v>
      </c>
    </row>
    <row r="1063" spans="1:33" ht="15" customHeight="1" x14ac:dyDescent="0.2">
      <c r="A1063" s="11" t="str">
        <f t="shared" si="301"/>
        <v>VN000CTNJBW1</v>
      </c>
      <c r="B1063" s="12" t="s">
        <v>4334</v>
      </c>
      <c r="C1063" s="12" t="s">
        <v>1464</v>
      </c>
      <c r="D1063" s="12" t="s">
        <v>464</v>
      </c>
      <c r="E1063" s="12" t="s">
        <v>4335</v>
      </c>
      <c r="F1063" s="13">
        <v>95</v>
      </c>
      <c r="G1063" s="12" t="s">
        <v>2987</v>
      </c>
      <c r="H1063" s="12" t="s">
        <v>38</v>
      </c>
      <c r="I1063" s="12" t="s">
        <v>159</v>
      </c>
      <c r="J1063" s="12" t="s">
        <v>255</v>
      </c>
      <c r="K1063" s="12" t="s">
        <v>82</v>
      </c>
      <c r="L1063" s="14"/>
      <c r="M1063" s="12" t="s">
        <v>43</v>
      </c>
      <c r="N1063" s="12" t="s">
        <v>161</v>
      </c>
      <c r="O1063" s="12" t="s">
        <v>4336</v>
      </c>
      <c r="P1063" s="12" t="s">
        <v>46</v>
      </c>
      <c r="Q1063" s="12" t="s">
        <v>47</v>
      </c>
      <c r="R1063" s="12" t="s">
        <v>163</v>
      </c>
      <c r="S1063" s="13">
        <v>197065652340</v>
      </c>
      <c r="T1063" s="12" t="s">
        <v>49</v>
      </c>
      <c r="U1063" s="13">
        <v>42.5</v>
      </c>
      <c r="V1063" s="12" t="s">
        <v>50</v>
      </c>
      <c r="W1063" s="12" t="s">
        <v>175</v>
      </c>
      <c r="X1063" s="14"/>
      <c r="Y1063" s="12" t="s">
        <v>53</v>
      </c>
      <c r="Z1063" s="12" t="s">
        <v>165</v>
      </c>
      <c r="AA1063" s="14"/>
      <c r="AB1063" s="14"/>
      <c r="AC1063" s="15">
        <v>45.5</v>
      </c>
      <c r="AD1063" s="15">
        <f>AC1063*AG1063</f>
        <v>273</v>
      </c>
      <c r="AE1063" s="15">
        <v>100</v>
      </c>
      <c r="AF1063" s="15">
        <f>AE1063*AG1063</f>
        <v>600</v>
      </c>
      <c r="AG1063" s="16">
        <v>6</v>
      </c>
    </row>
    <row r="1064" spans="1:33" ht="15" customHeight="1" x14ac:dyDescent="0.2">
      <c r="A1064" s="11" t="str">
        <f t="shared" ref="A1064:A2505" si="452">HYPERLINK("https://assets.vans.eu/images/VN000CVVBA2-HERO/1","VN000CVVBA21")</f>
        <v>VN000CVVBA21</v>
      </c>
      <c r="B1064" s="12" t="s">
        <v>4337</v>
      </c>
      <c r="C1064" s="12" t="s">
        <v>2407</v>
      </c>
      <c r="D1064" s="12" t="s">
        <v>1844</v>
      </c>
      <c r="E1064" s="12" t="s">
        <v>4338</v>
      </c>
      <c r="F1064" s="13">
        <v>35</v>
      </c>
      <c r="G1064" s="14"/>
      <c r="H1064" s="12" t="s">
        <v>38</v>
      </c>
      <c r="I1064" s="12" t="s">
        <v>159</v>
      </c>
      <c r="J1064" s="12" t="s">
        <v>255</v>
      </c>
      <c r="K1064" s="12" t="s">
        <v>82</v>
      </c>
      <c r="L1064" s="14"/>
      <c r="M1064" s="12" t="s">
        <v>43</v>
      </c>
      <c r="N1064" s="12" t="s">
        <v>84</v>
      </c>
      <c r="O1064" s="12" t="s">
        <v>4339</v>
      </c>
      <c r="P1064" s="12" t="s">
        <v>46</v>
      </c>
      <c r="Q1064" s="12" t="s">
        <v>47</v>
      </c>
      <c r="R1064" s="12" t="s">
        <v>163</v>
      </c>
      <c r="S1064" s="13">
        <v>197065570613</v>
      </c>
      <c r="T1064" s="12" t="s">
        <v>49</v>
      </c>
      <c r="U1064" s="13">
        <v>34.5</v>
      </c>
      <c r="V1064" s="12" t="s">
        <v>278</v>
      </c>
      <c r="W1064" s="12" t="s">
        <v>51</v>
      </c>
      <c r="X1064" s="14"/>
      <c r="Y1064" s="12" t="s">
        <v>91</v>
      </c>
      <c r="Z1064" s="12" t="s">
        <v>165</v>
      </c>
      <c r="AA1064" s="14"/>
      <c r="AB1064" s="14"/>
      <c r="AC1064" s="15">
        <v>68.2</v>
      </c>
      <c r="AD1064" s="15">
        <f>AC1064*AG1064</f>
        <v>409.20000000000005</v>
      </c>
      <c r="AE1064" s="15">
        <v>150</v>
      </c>
      <c r="AF1064" s="15">
        <f>AE1064*AG1064</f>
        <v>900</v>
      </c>
      <c r="AG1064" s="16">
        <v>6</v>
      </c>
    </row>
    <row r="1065" spans="1:33" ht="15" customHeight="1" x14ac:dyDescent="0.2">
      <c r="A1065" s="11" t="str">
        <f t="shared" si="406"/>
        <v>VN000CVVYZO1</v>
      </c>
      <c r="B1065" s="12" t="s">
        <v>4340</v>
      </c>
      <c r="C1065" s="12" t="s">
        <v>2407</v>
      </c>
      <c r="D1065" s="12" t="s">
        <v>3903</v>
      </c>
      <c r="E1065" s="12" t="s">
        <v>4341</v>
      </c>
      <c r="F1065" s="13">
        <v>40</v>
      </c>
      <c r="G1065" s="14"/>
      <c r="H1065" s="12" t="s">
        <v>38</v>
      </c>
      <c r="I1065" s="12" t="s">
        <v>113</v>
      </c>
      <c r="J1065" s="12" t="s">
        <v>529</v>
      </c>
      <c r="K1065" s="12" t="s">
        <v>82</v>
      </c>
      <c r="L1065" s="14"/>
      <c r="M1065" s="12" t="s">
        <v>43</v>
      </c>
      <c r="N1065" s="12" t="s">
        <v>161</v>
      </c>
      <c r="O1065" s="12" t="s">
        <v>4342</v>
      </c>
      <c r="P1065" s="12" t="s">
        <v>46</v>
      </c>
      <c r="Q1065" s="12" t="s">
        <v>47</v>
      </c>
      <c r="R1065" s="12" t="s">
        <v>117</v>
      </c>
      <c r="S1065" s="13">
        <v>197065573263</v>
      </c>
      <c r="T1065" s="12" t="s">
        <v>49</v>
      </c>
      <c r="U1065" s="13">
        <v>35</v>
      </c>
      <c r="V1065" s="12" t="s">
        <v>278</v>
      </c>
      <c r="W1065" s="12" t="s">
        <v>598</v>
      </c>
      <c r="X1065" s="14"/>
      <c r="Y1065" s="12" t="s">
        <v>91</v>
      </c>
      <c r="Z1065" s="12" t="s">
        <v>165</v>
      </c>
      <c r="AA1065" s="14"/>
      <c r="AB1065" s="14"/>
      <c r="AC1065" s="15">
        <v>68.2</v>
      </c>
      <c r="AD1065" s="15">
        <f>AC1065*AG1065</f>
        <v>409.20000000000005</v>
      </c>
      <c r="AE1065" s="15">
        <v>150</v>
      </c>
      <c r="AF1065" s="15">
        <f>AE1065*AG1065</f>
        <v>900</v>
      </c>
      <c r="AG1065" s="16">
        <v>6</v>
      </c>
    </row>
    <row r="1066" spans="1:33" ht="15" customHeight="1" x14ac:dyDescent="0.2">
      <c r="A1066" s="11" t="str">
        <f t="shared" si="274"/>
        <v>VN000CWDCRM1</v>
      </c>
      <c r="B1066" s="12" t="s">
        <v>4343</v>
      </c>
      <c r="C1066" s="12" t="s">
        <v>2782</v>
      </c>
      <c r="D1066" s="12" t="s">
        <v>2783</v>
      </c>
      <c r="E1066" s="12" t="s">
        <v>4344</v>
      </c>
      <c r="F1066" s="13">
        <v>80</v>
      </c>
      <c r="G1066" s="12" t="s">
        <v>2785</v>
      </c>
      <c r="H1066" s="12" t="s">
        <v>38</v>
      </c>
      <c r="I1066" s="12" t="s">
        <v>113</v>
      </c>
      <c r="J1066" s="12" t="s">
        <v>529</v>
      </c>
      <c r="K1066" s="12" t="s">
        <v>82</v>
      </c>
      <c r="L1066" s="14"/>
      <c r="M1066" s="12" t="s">
        <v>43</v>
      </c>
      <c r="N1066" s="12" t="s">
        <v>161</v>
      </c>
      <c r="O1066" s="12" t="s">
        <v>4345</v>
      </c>
      <c r="P1066" s="12" t="s">
        <v>46</v>
      </c>
      <c r="Q1066" s="12" t="s">
        <v>47</v>
      </c>
      <c r="R1066" s="12" t="s">
        <v>117</v>
      </c>
      <c r="S1066" s="13">
        <v>197065664855</v>
      </c>
      <c r="T1066" s="12" t="s">
        <v>49</v>
      </c>
      <c r="U1066" s="13">
        <v>40.5</v>
      </c>
      <c r="V1066" s="12" t="s">
        <v>50</v>
      </c>
      <c r="W1066" s="12" t="s">
        <v>580</v>
      </c>
      <c r="X1066" s="14"/>
      <c r="Y1066" s="12" t="s">
        <v>91</v>
      </c>
      <c r="Z1066" s="12" t="s">
        <v>165</v>
      </c>
      <c r="AA1066" s="14"/>
      <c r="AB1066" s="14"/>
      <c r="AC1066" s="15">
        <v>54.55</v>
      </c>
      <c r="AD1066" s="15">
        <f>AC1066*AG1066</f>
        <v>327.29999999999995</v>
      </c>
      <c r="AE1066" s="15">
        <v>120</v>
      </c>
      <c r="AF1066" s="15">
        <f>AE1066*AG1066</f>
        <v>720</v>
      </c>
      <c r="AG1066" s="16">
        <v>6</v>
      </c>
    </row>
    <row r="1067" spans="1:33" ht="15" customHeight="1" x14ac:dyDescent="0.2">
      <c r="A1067" s="11" t="str">
        <f>HYPERLINK("https://assets.vans.eu/images/VN000CWEEEI-HERO/1","VN000CWEEEI1")</f>
        <v>VN000CWEEEI1</v>
      </c>
      <c r="B1067" s="12" t="s">
        <v>4346</v>
      </c>
      <c r="C1067" s="12" t="s">
        <v>1248</v>
      </c>
      <c r="D1067" s="12" t="s">
        <v>4347</v>
      </c>
      <c r="E1067" s="12" t="s">
        <v>4348</v>
      </c>
      <c r="F1067" s="13">
        <v>40</v>
      </c>
      <c r="G1067" s="14"/>
      <c r="H1067" s="12" t="s">
        <v>38</v>
      </c>
      <c r="I1067" s="12" t="s">
        <v>159</v>
      </c>
      <c r="J1067" s="12" t="s">
        <v>255</v>
      </c>
      <c r="K1067" s="12" t="s">
        <v>82</v>
      </c>
      <c r="L1067" s="14"/>
      <c r="M1067" s="12" t="s">
        <v>43</v>
      </c>
      <c r="N1067" s="12" t="s">
        <v>44</v>
      </c>
      <c r="O1067" s="12" t="s">
        <v>4349</v>
      </c>
      <c r="P1067" s="12" t="s">
        <v>46</v>
      </c>
      <c r="Q1067" s="12" t="s">
        <v>47</v>
      </c>
      <c r="R1067" s="12" t="s">
        <v>163</v>
      </c>
      <c r="S1067" s="13">
        <v>197803721581</v>
      </c>
      <c r="T1067" s="12" t="s">
        <v>49</v>
      </c>
      <c r="U1067" s="13">
        <v>35</v>
      </c>
      <c r="V1067" s="12" t="s">
        <v>50</v>
      </c>
      <c r="W1067" s="12" t="s">
        <v>118</v>
      </c>
      <c r="X1067" s="14"/>
      <c r="Y1067" s="12" t="s">
        <v>53</v>
      </c>
      <c r="Z1067" s="12" t="s">
        <v>92</v>
      </c>
      <c r="AA1067" s="12" t="s">
        <v>2287</v>
      </c>
      <c r="AB1067" s="14"/>
      <c r="AC1067" s="15">
        <v>59.1</v>
      </c>
      <c r="AD1067" s="15">
        <f>AC1067*AG1067</f>
        <v>354.6</v>
      </c>
      <c r="AE1067" s="15">
        <v>130</v>
      </c>
      <c r="AF1067" s="15">
        <f>AE1067*AG1067</f>
        <v>780</v>
      </c>
      <c r="AG1067" s="16">
        <v>6</v>
      </c>
    </row>
    <row r="1068" spans="1:33" ht="15" customHeight="1" x14ac:dyDescent="0.2">
      <c r="A1068" s="11" t="str">
        <f t="shared" ref="A1068:A1478" si="453">HYPERLINK("https://assets.vans.eu/images/VN000CYAYJ7-HERO/1","VN000CYAYJ71")</f>
        <v>VN000CYAYJ71</v>
      </c>
      <c r="B1068" s="12" t="s">
        <v>4350</v>
      </c>
      <c r="C1068" s="12" t="s">
        <v>238</v>
      </c>
      <c r="D1068" s="12" t="s">
        <v>1300</v>
      </c>
      <c r="E1068" s="12" t="s">
        <v>4351</v>
      </c>
      <c r="F1068" s="13">
        <v>25</v>
      </c>
      <c r="G1068" s="12" t="s">
        <v>1302</v>
      </c>
      <c r="H1068" s="12" t="s">
        <v>38</v>
      </c>
      <c r="I1068" s="12" t="s">
        <v>39</v>
      </c>
      <c r="J1068" s="12" t="s">
        <v>40</v>
      </c>
      <c r="K1068" s="12" t="s">
        <v>41</v>
      </c>
      <c r="L1068" s="14"/>
      <c r="M1068" s="12" t="s">
        <v>43</v>
      </c>
      <c r="N1068" s="12" t="s">
        <v>84</v>
      </c>
      <c r="O1068" s="12" t="s">
        <v>4352</v>
      </c>
      <c r="P1068" s="12" t="s">
        <v>46</v>
      </c>
      <c r="Q1068" s="12" t="s">
        <v>47</v>
      </c>
      <c r="R1068" s="12" t="s">
        <v>48</v>
      </c>
      <c r="S1068" s="13">
        <v>197804515943</v>
      </c>
      <c r="T1068" s="12" t="s">
        <v>164</v>
      </c>
      <c r="U1068" s="13">
        <v>33</v>
      </c>
      <c r="V1068" s="12" t="s">
        <v>50</v>
      </c>
      <c r="W1068" s="12" t="s">
        <v>51</v>
      </c>
      <c r="X1068" s="14"/>
      <c r="Y1068" s="14"/>
      <c r="Z1068" s="14"/>
      <c r="AA1068" s="14"/>
      <c r="AB1068" s="14"/>
      <c r="AC1068" s="15">
        <v>27.3</v>
      </c>
      <c r="AD1068" s="15">
        <f>AC1068*AG1068</f>
        <v>163.80000000000001</v>
      </c>
      <c r="AE1068" s="15">
        <v>60</v>
      </c>
      <c r="AF1068" s="15">
        <f>AE1068*AG1068</f>
        <v>360</v>
      </c>
      <c r="AG1068" s="16">
        <v>6</v>
      </c>
    </row>
    <row r="1069" spans="1:33" ht="15" customHeight="1" x14ac:dyDescent="0.2">
      <c r="A1069" s="11" t="str">
        <f t="shared" ref="A1069:A1240" si="454">HYPERLINK("https://assets.vans.eu/images/VN000CZHCFB-HERO/1","VN000CZHCFB1")</f>
        <v>VN000CZHCFB1</v>
      </c>
      <c r="B1069" s="12" t="s">
        <v>4353</v>
      </c>
      <c r="C1069" s="12" t="s">
        <v>3916</v>
      </c>
      <c r="D1069" s="12" t="s">
        <v>4354</v>
      </c>
      <c r="E1069" s="12" t="s">
        <v>4355</v>
      </c>
      <c r="F1069" s="13">
        <v>75</v>
      </c>
      <c r="G1069" s="12" t="s">
        <v>4356</v>
      </c>
      <c r="H1069" s="12" t="s">
        <v>38</v>
      </c>
      <c r="I1069" s="12" t="s">
        <v>159</v>
      </c>
      <c r="J1069" s="12" t="s">
        <v>160</v>
      </c>
      <c r="K1069" s="12" t="s">
        <v>199</v>
      </c>
      <c r="L1069" s="12" t="s">
        <v>350</v>
      </c>
      <c r="M1069" s="12" t="s">
        <v>43</v>
      </c>
      <c r="N1069" s="12" t="s">
        <v>84</v>
      </c>
      <c r="O1069" s="12" t="s">
        <v>4357</v>
      </c>
      <c r="P1069" s="12" t="s">
        <v>46</v>
      </c>
      <c r="Q1069" s="12" t="s">
        <v>47</v>
      </c>
      <c r="R1069" s="12" t="s">
        <v>1660</v>
      </c>
      <c r="S1069" s="13">
        <v>197065592004</v>
      </c>
      <c r="T1069" s="12" t="s">
        <v>49</v>
      </c>
      <c r="U1069" s="13">
        <v>40</v>
      </c>
      <c r="V1069" s="12" t="s">
        <v>50</v>
      </c>
      <c r="W1069" s="12" t="s">
        <v>186</v>
      </c>
      <c r="X1069" s="14"/>
      <c r="Y1069" s="12" t="s">
        <v>71</v>
      </c>
      <c r="Z1069" s="12" t="s">
        <v>376</v>
      </c>
      <c r="AA1069" s="14"/>
      <c r="AB1069" s="14"/>
      <c r="AC1069" s="15">
        <v>45.25</v>
      </c>
      <c r="AD1069" s="15">
        <f>AC1069*AG1069</f>
        <v>271.5</v>
      </c>
      <c r="AE1069" s="15">
        <v>95</v>
      </c>
      <c r="AF1069" s="15">
        <f>AE1069*AG1069</f>
        <v>570</v>
      </c>
      <c r="AG1069" s="16">
        <v>6</v>
      </c>
    </row>
    <row r="1070" spans="1:33" ht="15" customHeight="1" x14ac:dyDescent="0.2">
      <c r="A1070" s="11" t="str">
        <f t="shared" si="337"/>
        <v>VN000D0HBMV1</v>
      </c>
      <c r="B1070" s="12" t="s">
        <v>4358</v>
      </c>
      <c r="C1070" s="12" t="s">
        <v>1108</v>
      </c>
      <c r="D1070" s="12" t="s">
        <v>2276</v>
      </c>
      <c r="E1070" s="12" t="s">
        <v>4359</v>
      </c>
      <c r="F1070" s="13">
        <v>135</v>
      </c>
      <c r="G1070" s="12" t="s">
        <v>528</v>
      </c>
      <c r="H1070" s="12" t="s">
        <v>38</v>
      </c>
      <c r="I1070" s="12" t="s">
        <v>39</v>
      </c>
      <c r="J1070" s="12" t="s">
        <v>40</v>
      </c>
      <c r="K1070" s="12" t="s">
        <v>41</v>
      </c>
      <c r="L1070" s="14"/>
      <c r="M1070" s="12" t="s">
        <v>43</v>
      </c>
      <c r="N1070" s="12" t="s">
        <v>84</v>
      </c>
      <c r="O1070" s="12" t="s">
        <v>4360</v>
      </c>
      <c r="P1070" s="12" t="s">
        <v>46</v>
      </c>
      <c r="Q1070" s="12" t="s">
        <v>47</v>
      </c>
      <c r="R1070" s="12" t="s">
        <v>780</v>
      </c>
      <c r="S1070" s="13">
        <v>197804436804</v>
      </c>
      <c r="T1070" s="12" t="s">
        <v>105</v>
      </c>
      <c r="U1070" s="13">
        <v>31</v>
      </c>
      <c r="V1070" s="12" t="s">
        <v>50</v>
      </c>
      <c r="W1070" s="12" t="s">
        <v>51</v>
      </c>
      <c r="X1070" s="14"/>
      <c r="Y1070" s="14"/>
      <c r="Z1070" s="14"/>
      <c r="AA1070" s="14"/>
      <c r="AB1070" s="14"/>
      <c r="AC1070" s="15">
        <v>34.1</v>
      </c>
      <c r="AD1070" s="15">
        <f>AC1070*AG1070</f>
        <v>204.60000000000002</v>
      </c>
      <c r="AE1070" s="15">
        <v>75</v>
      </c>
      <c r="AF1070" s="15">
        <f>AE1070*AG1070</f>
        <v>450</v>
      </c>
      <c r="AG1070" s="16">
        <v>6</v>
      </c>
    </row>
    <row r="1071" spans="1:33" ht="15" customHeight="1" x14ac:dyDescent="0.2">
      <c r="A1071" s="11" t="str">
        <f t="shared" ref="A1071:A1251" si="455">HYPERLINK("https://assets.vans.eu/images/VN000D26GWT-HERO/1","VN000D26GWT1")</f>
        <v>VN000D26GWT1</v>
      </c>
      <c r="B1071" s="12" t="s">
        <v>4361</v>
      </c>
      <c r="C1071" s="12" t="s">
        <v>251</v>
      </c>
      <c r="D1071" s="12" t="s">
        <v>2812</v>
      </c>
      <c r="E1071" s="12" t="s">
        <v>4362</v>
      </c>
      <c r="F1071" s="13">
        <v>50</v>
      </c>
      <c r="G1071" s="12" t="s">
        <v>2291</v>
      </c>
      <c r="H1071" s="12" t="s">
        <v>38</v>
      </c>
      <c r="I1071" s="12" t="s">
        <v>159</v>
      </c>
      <c r="J1071" s="12" t="s">
        <v>255</v>
      </c>
      <c r="K1071" s="12" t="s">
        <v>82</v>
      </c>
      <c r="L1071" s="14"/>
      <c r="M1071" s="12" t="s">
        <v>43</v>
      </c>
      <c r="N1071" s="12" t="s">
        <v>84</v>
      </c>
      <c r="O1071" s="12" t="s">
        <v>4363</v>
      </c>
      <c r="P1071" s="12" t="s">
        <v>46</v>
      </c>
      <c r="Q1071" s="12" t="s">
        <v>47</v>
      </c>
      <c r="R1071" s="12" t="s">
        <v>163</v>
      </c>
      <c r="S1071" s="13">
        <v>197804444601</v>
      </c>
      <c r="T1071" s="12" t="s">
        <v>49</v>
      </c>
      <c r="U1071" s="13">
        <v>36.5</v>
      </c>
      <c r="V1071" s="12" t="s">
        <v>50</v>
      </c>
      <c r="W1071" s="12" t="s">
        <v>186</v>
      </c>
      <c r="X1071" s="14"/>
      <c r="Y1071" s="14"/>
      <c r="Z1071" s="14"/>
      <c r="AA1071" s="14"/>
      <c r="AB1071" s="14"/>
      <c r="AC1071" s="15">
        <v>45.5</v>
      </c>
      <c r="AD1071" s="15">
        <f>AC1071*AG1071</f>
        <v>273</v>
      </c>
      <c r="AE1071" s="15">
        <v>100</v>
      </c>
      <c r="AF1071" s="15">
        <f>AE1071*AG1071</f>
        <v>600</v>
      </c>
      <c r="AG1071" s="16">
        <v>6</v>
      </c>
    </row>
    <row r="1072" spans="1:33" ht="15" customHeight="1" x14ac:dyDescent="0.2">
      <c r="A1072" s="11" t="str">
        <f t="shared" ref="A1072:A1073" si="456">HYPERLINK("https://assets.vans.eu/images/VN000D2T0V7-HERO/1","VN000D2T0V71")</f>
        <v>VN000D2T0V71</v>
      </c>
      <c r="B1072" s="12" t="s">
        <v>4364</v>
      </c>
      <c r="C1072" s="12" t="s">
        <v>110</v>
      </c>
      <c r="D1072" s="12" t="s">
        <v>4365</v>
      </c>
      <c r="E1072" s="12" t="s">
        <v>4366</v>
      </c>
      <c r="F1072" s="13">
        <v>65</v>
      </c>
      <c r="G1072" s="14"/>
      <c r="H1072" s="12" t="s">
        <v>38</v>
      </c>
      <c r="I1072" s="12" t="s">
        <v>205</v>
      </c>
      <c r="J1072" s="12" t="s">
        <v>206</v>
      </c>
      <c r="K1072" s="12" t="s">
        <v>207</v>
      </c>
      <c r="L1072" s="12" t="s">
        <v>260</v>
      </c>
      <c r="M1072" s="12" t="s">
        <v>43</v>
      </c>
      <c r="N1072" s="12" t="s">
        <v>84</v>
      </c>
      <c r="O1072" s="12" t="s">
        <v>4367</v>
      </c>
      <c r="P1072" s="12" t="s">
        <v>46</v>
      </c>
      <c r="Q1072" s="12" t="s">
        <v>47</v>
      </c>
      <c r="R1072" s="12" t="s">
        <v>48</v>
      </c>
      <c r="S1072" s="13">
        <v>197804612697</v>
      </c>
      <c r="T1072" s="12" t="s">
        <v>105</v>
      </c>
      <c r="U1072" s="13">
        <v>38.5</v>
      </c>
      <c r="V1072" s="12" t="s">
        <v>50</v>
      </c>
      <c r="W1072" s="12" t="s">
        <v>299</v>
      </c>
      <c r="X1072" s="14"/>
      <c r="Y1072" s="14"/>
      <c r="Z1072" s="14"/>
      <c r="AA1072" s="14"/>
      <c r="AB1072" s="14"/>
      <c r="AC1072" s="15">
        <v>34.1</v>
      </c>
      <c r="AD1072" s="15">
        <f>AC1072*AG1072</f>
        <v>204.60000000000002</v>
      </c>
      <c r="AE1072" s="15">
        <v>75</v>
      </c>
      <c r="AF1072" s="15">
        <f>AE1072*AG1072</f>
        <v>450</v>
      </c>
      <c r="AG1072" s="16">
        <v>6</v>
      </c>
    </row>
    <row r="1073" spans="1:33" ht="15" customHeight="1" x14ac:dyDescent="0.2">
      <c r="A1073" s="11" t="str">
        <f t="shared" si="456"/>
        <v>VN000D2T0V71</v>
      </c>
      <c r="B1073" s="12" t="s">
        <v>4368</v>
      </c>
      <c r="C1073" s="12" t="s">
        <v>110</v>
      </c>
      <c r="D1073" s="12" t="s">
        <v>4365</v>
      </c>
      <c r="E1073" s="12" t="s">
        <v>4369</v>
      </c>
      <c r="F1073" s="13">
        <v>70</v>
      </c>
      <c r="G1073" s="14"/>
      <c r="H1073" s="12" t="s">
        <v>38</v>
      </c>
      <c r="I1073" s="12" t="s">
        <v>205</v>
      </c>
      <c r="J1073" s="12" t="s">
        <v>206</v>
      </c>
      <c r="K1073" s="12" t="s">
        <v>207</v>
      </c>
      <c r="L1073" s="12" t="s">
        <v>260</v>
      </c>
      <c r="M1073" s="12" t="s">
        <v>43</v>
      </c>
      <c r="N1073" s="12" t="s">
        <v>84</v>
      </c>
      <c r="O1073" s="12" t="s">
        <v>4370</v>
      </c>
      <c r="P1073" s="12" t="s">
        <v>46</v>
      </c>
      <c r="Q1073" s="12" t="s">
        <v>47</v>
      </c>
      <c r="R1073" s="12" t="s">
        <v>48</v>
      </c>
      <c r="S1073" s="13">
        <v>197804612840</v>
      </c>
      <c r="T1073" s="12" t="s">
        <v>105</v>
      </c>
      <c r="U1073" s="13">
        <v>39</v>
      </c>
      <c r="V1073" s="12" t="s">
        <v>50</v>
      </c>
      <c r="W1073" s="12" t="s">
        <v>299</v>
      </c>
      <c r="X1073" s="14"/>
      <c r="Y1073" s="14"/>
      <c r="Z1073" s="14"/>
      <c r="AA1073" s="14"/>
      <c r="AB1073" s="14"/>
      <c r="AC1073" s="15">
        <v>34.1</v>
      </c>
      <c r="AD1073" s="15">
        <f>AC1073*AG1073</f>
        <v>204.60000000000002</v>
      </c>
      <c r="AE1073" s="15">
        <v>75</v>
      </c>
      <c r="AF1073" s="15">
        <f>AE1073*AG1073</f>
        <v>450</v>
      </c>
      <c r="AG1073" s="16">
        <v>6</v>
      </c>
    </row>
    <row r="1074" spans="1:33" ht="15" customHeight="1" x14ac:dyDescent="0.2">
      <c r="A1074" s="11" t="str">
        <f t="shared" si="372"/>
        <v>VN000D2VZ3R1</v>
      </c>
      <c r="B1074" s="12" t="s">
        <v>4371</v>
      </c>
      <c r="C1074" s="12" t="s">
        <v>34</v>
      </c>
      <c r="D1074" s="12" t="s">
        <v>2423</v>
      </c>
      <c r="E1074" s="12" t="s">
        <v>4372</v>
      </c>
      <c r="F1074" s="13">
        <v>40</v>
      </c>
      <c r="G1074" s="14"/>
      <c r="H1074" s="12" t="s">
        <v>38</v>
      </c>
      <c r="I1074" s="12" t="s">
        <v>205</v>
      </c>
      <c r="J1074" s="12" t="s">
        <v>206</v>
      </c>
      <c r="K1074" s="12" t="s">
        <v>207</v>
      </c>
      <c r="L1074" s="12" t="s">
        <v>260</v>
      </c>
      <c r="M1074" s="12" t="s">
        <v>43</v>
      </c>
      <c r="N1074" s="12" t="s">
        <v>84</v>
      </c>
      <c r="O1074" s="12" t="s">
        <v>4373</v>
      </c>
      <c r="P1074" s="12" t="s">
        <v>46</v>
      </c>
      <c r="Q1074" s="12" t="s">
        <v>47</v>
      </c>
      <c r="R1074" s="12" t="s">
        <v>48</v>
      </c>
      <c r="S1074" s="13">
        <v>197804612109</v>
      </c>
      <c r="T1074" s="12" t="s">
        <v>105</v>
      </c>
      <c r="U1074" s="13">
        <v>35</v>
      </c>
      <c r="V1074" s="12" t="s">
        <v>50</v>
      </c>
      <c r="W1074" s="12" t="s">
        <v>118</v>
      </c>
      <c r="X1074" s="14"/>
      <c r="Y1074" s="14"/>
      <c r="Z1074" s="14"/>
      <c r="AA1074" s="14"/>
      <c r="AB1074" s="14"/>
      <c r="AC1074" s="15">
        <v>31.85</v>
      </c>
      <c r="AD1074" s="15">
        <f>AC1074*AG1074</f>
        <v>191.10000000000002</v>
      </c>
      <c r="AE1074" s="15">
        <v>70</v>
      </c>
      <c r="AF1074" s="15">
        <f>AE1074*AG1074</f>
        <v>420</v>
      </c>
      <c r="AG1074" s="16">
        <v>6</v>
      </c>
    </row>
    <row r="1075" spans="1:33" ht="15" customHeight="1" x14ac:dyDescent="0.2">
      <c r="A1075" s="11" t="str">
        <f t="shared" ref="A1075:A1890" si="457">HYPERLINK("https://assets.vans.eu/images/VN000D4N2B6-HERO/1","VN000D4N2B61")</f>
        <v>VN000D4N2B61</v>
      </c>
      <c r="B1075" s="12" t="s">
        <v>4374</v>
      </c>
      <c r="C1075" s="12" t="s">
        <v>251</v>
      </c>
      <c r="D1075" s="12" t="s">
        <v>4375</v>
      </c>
      <c r="E1075" s="12" t="s">
        <v>4376</v>
      </c>
      <c r="F1075" s="13">
        <v>125</v>
      </c>
      <c r="G1075" s="14"/>
      <c r="H1075" s="12" t="s">
        <v>38</v>
      </c>
      <c r="I1075" s="12" t="s">
        <v>39</v>
      </c>
      <c r="J1075" s="12" t="s">
        <v>2430</v>
      </c>
      <c r="K1075" s="12" t="s">
        <v>41</v>
      </c>
      <c r="L1075" s="14"/>
      <c r="M1075" s="12" t="s">
        <v>43</v>
      </c>
      <c r="N1075" s="12" t="s">
        <v>84</v>
      </c>
      <c r="O1075" s="12" t="s">
        <v>4377</v>
      </c>
      <c r="P1075" s="12" t="s">
        <v>46</v>
      </c>
      <c r="Q1075" s="12" t="s">
        <v>47</v>
      </c>
      <c r="R1075" s="12" t="s">
        <v>48</v>
      </c>
      <c r="S1075" s="13">
        <v>197804449224</v>
      </c>
      <c r="T1075" s="12" t="s">
        <v>49</v>
      </c>
      <c r="U1075" s="13">
        <v>30</v>
      </c>
      <c r="V1075" s="12" t="s">
        <v>1468</v>
      </c>
      <c r="W1075" s="12" t="s">
        <v>51</v>
      </c>
      <c r="X1075" s="14"/>
      <c r="Y1075" s="14"/>
      <c r="Z1075" s="14"/>
      <c r="AA1075" s="14"/>
      <c r="AB1075" s="14"/>
      <c r="AC1075" s="15">
        <v>29.55</v>
      </c>
      <c r="AD1075" s="15">
        <f>AC1075*AG1075</f>
        <v>177.3</v>
      </c>
      <c r="AE1075" s="15">
        <v>65</v>
      </c>
      <c r="AF1075" s="15">
        <f>AE1075*AG1075</f>
        <v>390</v>
      </c>
      <c r="AG1075" s="16">
        <v>6</v>
      </c>
    </row>
    <row r="1076" spans="1:33" ht="15" customHeight="1" x14ac:dyDescent="0.2">
      <c r="A1076" s="11" t="str">
        <f t="shared" si="251"/>
        <v>VN000D5D17P1</v>
      </c>
      <c r="B1076" s="12" t="s">
        <v>4378</v>
      </c>
      <c r="C1076" s="12" t="s">
        <v>2592</v>
      </c>
      <c r="D1076" s="12" t="s">
        <v>2593</v>
      </c>
      <c r="E1076" s="12" t="s">
        <v>4379</v>
      </c>
      <c r="F1076" s="13">
        <v>110</v>
      </c>
      <c r="G1076" s="14"/>
      <c r="H1076" s="12" t="s">
        <v>38</v>
      </c>
      <c r="I1076" s="12" t="s">
        <v>159</v>
      </c>
      <c r="J1076" s="12" t="s">
        <v>341</v>
      </c>
      <c r="K1076" s="12" t="s">
        <v>199</v>
      </c>
      <c r="L1076" s="14"/>
      <c r="M1076" s="12" t="s">
        <v>43</v>
      </c>
      <c r="N1076" s="12" t="s">
        <v>84</v>
      </c>
      <c r="O1076" s="12" t="s">
        <v>4380</v>
      </c>
      <c r="P1076" s="12" t="s">
        <v>46</v>
      </c>
      <c r="Q1076" s="12" t="s">
        <v>47</v>
      </c>
      <c r="R1076" s="12" t="s">
        <v>163</v>
      </c>
      <c r="S1076" s="13">
        <v>197804532087</v>
      </c>
      <c r="T1076" s="12" t="s">
        <v>49</v>
      </c>
      <c r="U1076" s="13">
        <v>44.5</v>
      </c>
      <c r="V1076" s="12" t="s">
        <v>50</v>
      </c>
      <c r="W1076" s="12" t="s">
        <v>118</v>
      </c>
      <c r="X1076" s="14"/>
      <c r="Y1076" s="14"/>
      <c r="Z1076" s="14"/>
      <c r="AA1076" s="14"/>
      <c r="AB1076" s="14"/>
      <c r="AC1076" s="15">
        <v>45.5</v>
      </c>
      <c r="AD1076" s="15">
        <f>AC1076*AG1076</f>
        <v>273</v>
      </c>
      <c r="AE1076" s="15">
        <v>100</v>
      </c>
      <c r="AF1076" s="15">
        <f>AE1076*AG1076</f>
        <v>600</v>
      </c>
      <c r="AG1076" s="16">
        <v>6</v>
      </c>
    </row>
    <row r="1077" spans="1:33" ht="15" customHeight="1" x14ac:dyDescent="0.2">
      <c r="A1077" s="11" t="str">
        <f>HYPERLINK("https://assets.vans.eu/images/VN000D61BKA-HERO/1","VN000D61BKA1")</f>
        <v>VN000D61BKA1</v>
      </c>
      <c r="B1077" s="12" t="s">
        <v>4381</v>
      </c>
      <c r="C1077" s="12" t="s">
        <v>1114</v>
      </c>
      <c r="D1077" s="12" t="s">
        <v>252</v>
      </c>
      <c r="E1077" s="12" t="s">
        <v>4382</v>
      </c>
      <c r="F1077" s="13">
        <v>65</v>
      </c>
      <c r="G1077" s="12" t="s">
        <v>4383</v>
      </c>
      <c r="H1077" s="12" t="s">
        <v>38</v>
      </c>
      <c r="I1077" s="12" t="s">
        <v>159</v>
      </c>
      <c r="J1077" s="12" t="s">
        <v>255</v>
      </c>
      <c r="K1077" s="12" t="s">
        <v>82</v>
      </c>
      <c r="L1077" s="14"/>
      <c r="M1077" s="12" t="s">
        <v>43</v>
      </c>
      <c r="N1077" s="12" t="s">
        <v>84</v>
      </c>
      <c r="O1077" s="12" t="s">
        <v>4384</v>
      </c>
      <c r="P1077" s="12" t="s">
        <v>46</v>
      </c>
      <c r="Q1077" s="12" t="s">
        <v>47</v>
      </c>
      <c r="R1077" s="12" t="s">
        <v>163</v>
      </c>
      <c r="S1077" s="13">
        <v>197804535590</v>
      </c>
      <c r="T1077" s="12" t="s">
        <v>49</v>
      </c>
      <c r="U1077" s="13">
        <v>38.5</v>
      </c>
      <c r="V1077" s="12" t="s">
        <v>50</v>
      </c>
      <c r="W1077" s="12" t="s">
        <v>51</v>
      </c>
      <c r="X1077" s="14"/>
      <c r="Y1077" s="14"/>
      <c r="Z1077" s="14"/>
      <c r="AA1077" s="14"/>
      <c r="AB1077" s="14"/>
      <c r="AC1077" s="15">
        <v>54.55</v>
      </c>
      <c r="AD1077" s="15">
        <f>AC1077*AG1077</f>
        <v>327.29999999999995</v>
      </c>
      <c r="AE1077" s="15">
        <v>120</v>
      </c>
      <c r="AF1077" s="15">
        <f>AE1077*AG1077</f>
        <v>720</v>
      </c>
      <c r="AG1077" s="16">
        <v>6</v>
      </c>
    </row>
    <row r="1078" spans="1:33" ht="15" customHeight="1" x14ac:dyDescent="0.2">
      <c r="A1078" s="11" t="str">
        <f t="shared" ref="A1078:A2650" si="458">HYPERLINK("https://assets.vans.eu/images/VN000D61EMP-HERO/1","VN000D61EMP1")</f>
        <v>VN000D61EMP1</v>
      </c>
      <c r="B1078" s="12" t="s">
        <v>4385</v>
      </c>
      <c r="C1078" s="12" t="s">
        <v>1114</v>
      </c>
      <c r="D1078" s="12" t="s">
        <v>704</v>
      </c>
      <c r="E1078" s="12" t="s">
        <v>4386</v>
      </c>
      <c r="F1078" s="13">
        <v>65</v>
      </c>
      <c r="G1078" s="12" t="s">
        <v>4383</v>
      </c>
      <c r="H1078" s="12" t="s">
        <v>38</v>
      </c>
      <c r="I1078" s="12" t="s">
        <v>159</v>
      </c>
      <c r="J1078" s="12" t="s">
        <v>255</v>
      </c>
      <c r="K1078" s="12" t="s">
        <v>82</v>
      </c>
      <c r="L1078" s="14"/>
      <c r="M1078" s="12" t="s">
        <v>43</v>
      </c>
      <c r="N1078" s="12" t="s">
        <v>84</v>
      </c>
      <c r="O1078" s="12" t="s">
        <v>4387</v>
      </c>
      <c r="P1078" s="12" t="s">
        <v>46</v>
      </c>
      <c r="Q1078" s="12" t="s">
        <v>47</v>
      </c>
      <c r="R1078" s="12" t="s">
        <v>163</v>
      </c>
      <c r="S1078" s="13">
        <v>197804535941</v>
      </c>
      <c r="T1078" s="12" t="s">
        <v>49</v>
      </c>
      <c r="U1078" s="13">
        <v>38.5</v>
      </c>
      <c r="V1078" s="12" t="s">
        <v>50</v>
      </c>
      <c r="W1078" s="12" t="s">
        <v>186</v>
      </c>
      <c r="X1078" s="14"/>
      <c r="Y1078" s="14"/>
      <c r="Z1078" s="14"/>
      <c r="AA1078" s="14"/>
      <c r="AB1078" s="14"/>
      <c r="AC1078" s="15">
        <v>54.55</v>
      </c>
      <c r="AD1078" s="15">
        <f>AC1078*AG1078</f>
        <v>327.29999999999995</v>
      </c>
      <c r="AE1078" s="15">
        <v>120</v>
      </c>
      <c r="AF1078" s="15">
        <f>AE1078*AG1078</f>
        <v>720</v>
      </c>
      <c r="AG1078" s="16">
        <v>6</v>
      </c>
    </row>
    <row r="1079" spans="1:33" ht="15" customHeight="1" x14ac:dyDescent="0.2">
      <c r="A1079" s="11" t="str">
        <f t="shared" ref="A1079:A4414" si="459">HYPERLINK("https://assets.vans.eu/images/VN000D6ZEMW-HERO/1","VN000D6ZEMW1")</f>
        <v>VN000D6ZEMW1</v>
      </c>
      <c r="B1079" s="12" t="s">
        <v>4388</v>
      </c>
      <c r="C1079" s="12" t="s">
        <v>110</v>
      </c>
      <c r="D1079" s="12" t="s">
        <v>147</v>
      </c>
      <c r="E1079" s="12" t="s">
        <v>4389</v>
      </c>
      <c r="F1079" s="13">
        <v>120</v>
      </c>
      <c r="G1079" s="14"/>
      <c r="H1079" s="12" t="s">
        <v>38</v>
      </c>
      <c r="I1079" s="12" t="s">
        <v>113</v>
      </c>
      <c r="J1079" s="12" t="s">
        <v>114</v>
      </c>
      <c r="K1079" s="12" t="s">
        <v>82</v>
      </c>
      <c r="L1079" s="14"/>
      <c r="M1079" s="12" t="s">
        <v>43</v>
      </c>
      <c r="N1079" s="12" t="s">
        <v>84</v>
      </c>
      <c r="O1079" s="12" t="s">
        <v>4390</v>
      </c>
      <c r="P1079" s="12" t="s">
        <v>46</v>
      </c>
      <c r="Q1079" s="12" t="s">
        <v>47</v>
      </c>
      <c r="R1079" s="12" t="s">
        <v>117</v>
      </c>
      <c r="S1079" s="13">
        <v>197804456819</v>
      </c>
      <c r="T1079" s="12" t="s">
        <v>49</v>
      </c>
      <c r="U1079" s="13">
        <v>46</v>
      </c>
      <c r="V1079" s="12" t="s">
        <v>50</v>
      </c>
      <c r="W1079" s="12" t="s">
        <v>118</v>
      </c>
      <c r="X1079" s="14"/>
      <c r="Y1079" s="14"/>
      <c r="Z1079" s="14"/>
      <c r="AA1079" s="14"/>
      <c r="AB1079" s="14"/>
      <c r="AC1079" s="15">
        <v>43.2</v>
      </c>
      <c r="AD1079" s="15">
        <f>AC1079*AG1079</f>
        <v>259.20000000000005</v>
      </c>
      <c r="AE1079" s="15">
        <v>95</v>
      </c>
      <c r="AF1079" s="15">
        <f>AE1079*AG1079</f>
        <v>570</v>
      </c>
      <c r="AG1079" s="16">
        <v>6</v>
      </c>
    </row>
    <row r="1080" spans="1:33" ht="15" customHeight="1" x14ac:dyDescent="0.2">
      <c r="A1080" s="11" t="str">
        <f t="shared" ref="A1080:A1267" si="460">HYPERLINK("https://assets.vans.eu/images/VN000D75O3N-HERO/1","VN000D75O3N1")</f>
        <v>VN000D75O3N1</v>
      </c>
      <c r="B1080" s="12" t="s">
        <v>4391</v>
      </c>
      <c r="C1080" s="12" t="s">
        <v>110</v>
      </c>
      <c r="D1080" s="12" t="s">
        <v>744</v>
      </c>
      <c r="E1080" s="12" t="s">
        <v>4392</v>
      </c>
      <c r="F1080" s="13">
        <v>40</v>
      </c>
      <c r="G1080" s="12" t="s">
        <v>528</v>
      </c>
      <c r="H1080" s="12" t="s">
        <v>38</v>
      </c>
      <c r="I1080" s="12" t="s">
        <v>113</v>
      </c>
      <c r="J1080" s="12" t="s">
        <v>114</v>
      </c>
      <c r="K1080" s="12" t="s">
        <v>82</v>
      </c>
      <c r="L1080" s="14"/>
      <c r="M1080" s="12" t="s">
        <v>43</v>
      </c>
      <c r="N1080" s="12" t="s">
        <v>44</v>
      </c>
      <c r="O1080" s="12" t="s">
        <v>4393</v>
      </c>
      <c r="P1080" s="12" t="s">
        <v>46</v>
      </c>
      <c r="Q1080" s="12" t="s">
        <v>47</v>
      </c>
      <c r="R1080" s="12" t="s">
        <v>117</v>
      </c>
      <c r="S1080" s="13">
        <v>197643214175</v>
      </c>
      <c r="T1080" s="12" t="s">
        <v>105</v>
      </c>
      <c r="U1080" s="13">
        <v>35</v>
      </c>
      <c r="V1080" s="12" t="s">
        <v>50</v>
      </c>
      <c r="W1080" s="12" t="s">
        <v>299</v>
      </c>
      <c r="X1080" s="14"/>
      <c r="Y1080" s="12" t="s">
        <v>91</v>
      </c>
      <c r="Z1080" s="12" t="s">
        <v>165</v>
      </c>
      <c r="AA1080" s="14"/>
      <c r="AB1080" s="14"/>
      <c r="AC1080" s="15">
        <v>43.2</v>
      </c>
      <c r="AD1080" s="15">
        <f>AC1080*AG1080</f>
        <v>259.20000000000005</v>
      </c>
      <c r="AE1080" s="15">
        <v>95</v>
      </c>
      <c r="AF1080" s="15">
        <f>AE1080*AG1080</f>
        <v>570</v>
      </c>
      <c r="AG1080" s="16">
        <v>6</v>
      </c>
    </row>
    <row r="1081" spans="1:33" ht="15" customHeight="1" x14ac:dyDescent="0.2">
      <c r="A1081" s="11" t="str">
        <f t="shared" ref="A1081:A4443" si="461">HYPERLINK("https://assets.vans.eu/images/VN000D7ZY7U-HERO/1","VN000D7ZY7U1")</f>
        <v>VN000D7ZY7U1</v>
      </c>
      <c r="B1081" s="12" t="s">
        <v>4394</v>
      </c>
      <c r="C1081" s="12" t="s">
        <v>34</v>
      </c>
      <c r="D1081" s="12" t="s">
        <v>740</v>
      </c>
      <c r="E1081" s="12" t="s">
        <v>4395</v>
      </c>
      <c r="F1081" s="13">
        <v>50</v>
      </c>
      <c r="G1081" s="14"/>
      <c r="H1081" s="12" t="s">
        <v>38</v>
      </c>
      <c r="I1081" s="12" t="s">
        <v>159</v>
      </c>
      <c r="J1081" s="12" t="s">
        <v>160</v>
      </c>
      <c r="K1081" s="12" t="s">
        <v>82</v>
      </c>
      <c r="L1081" s="14"/>
      <c r="M1081" s="12" t="s">
        <v>43</v>
      </c>
      <c r="N1081" s="12" t="s">
        <v>84</v>
      </c>
      <c r="O1081" s="12" t="s">
        <v>4396</v>
      </c>
      <c r="P1081" s="12" t="s">
        <v>46</v>
      </c>
      <c r="Q1081" s="12" t="s">
        <v>47</v>
      </c>
      <c r="R1081" s="12" t="s">
        <v>163</v>
      </c>
      <c r="S1081" s="13">
        <v>197804545605</v>
      </c>
      <c r="T1081" s="12" t="s">
        <v>105</v>
      </c>
      <c r="U1081" s="13">
        <v>36.5</v>
      </c>
      <c r="V1081" s="12" t="s">
        <v>50</v>
      </c>
      <c r="W1081" s="12" t="s">
        <v>455</v>
      </c>
      <c r="X1081" s="14"/>
      <c r="Y1081" s="14"/>
      <c r="Z1081" s="14"/>
      <c r="AA1081" s="14"/>
      <c r="AB1081" s="14"/>
      <c r="AC1081" s="15">
        <v>45.5</v>
      </c>
      <c r="AD1081" s="15">
        <f>AC1081*AG1081</f>
        <v>273</v>
      </c>
      <c r="AE1081" s="15">
        <v>100</v>
      </c>
      <c r="AF1081" s="15">
        <f>AE1081*AG1081</f>
        <v>600</v>
      </c>
      <c r="AG1081" s="16">
        <v>6</v>
      </c>
    </row>
    <row r="1082" spans="1:33" ht="15" customHeight="1" x14ac:dyDescent="0.2">
      <c r="A1082" s="11" t="str">
        <f t="shared" si="310"/>
        <v>VN000DA2YY01</v>
      </c>
      <c r="B1082" s="12" t="s">
        <v>4397</v>
      </c>
      <c r="C1082" s="12" t="s">
        <v>3032</v>
      </c>
      <c r="D1082" s="12" t="s">
        <v>3033</v>
      </c>
      <c r="E1082" s="12" t="s">
        <v>4398</v>
      </c>
      <c r="F1082" s="13">
        <v>80</v>
      </c>
      <c r="G1082" s="14"/>
      <c r="H1082" s="12" t="s">
        <v>38</v>
      </c>
      <c r="I1082" s="12" t="s">
        <v>159</v>
      </c>
      <c r="J1082" s="12" t="s">
        <v>341</v>
      </c>
      <c r="K1082" s="12" t="s">
        <v>199</v>
      </c>
      <c r="L1082" s="14"/>
      <c r="M1082" s="12" t="s">
        <v>43</v>
      </c>
      <c r="N1082" s="12" t="s">
        <v>84</v>
      </c>
      <c r="O1082" s="12" t="s">
        <v>4399</v>
      </c>
      <c r="P1082" s="12" t="s">
        <v>46</v>
      </c>
      <c r="Q1082" s="12" t="s">
        <v>47</v>
      </c>
      <c r="R1082" s="12" t="s">
        <v>163</v>
      </c>
      <c r="S1082" s="13">
        <v>197804554911</v>
      </c>
      <c r="T1082" s="12" t="s">
        <v>105</v>
      </c>
      <c r="U1082" s="13">
        <v>40.5</v>
      </c>
      <c r="V1082" s="12" t="s">
        <v>50</v>
      </c>
      <c r="W1082" s="12" t="s">
        <v>284</v>
      </c>
      <c r="X1082" s="14"/>
      <c r="Y1082" s="14"/>
      <c r="Z1082" s="14"/>
      <c r="AA1082" s="14"/>
      <c r="AB1082" s="14"/>
      <c r="AC1082" s="15">
        <v>40.950000000000003</v>
      </c>
      <c r="AD1082" s="15">
        <f>AC1082*AG1082</f>
        <v>245.70000000000002</v>
      </c>
      <c r="AE1082" s="15">
        <v>90</v>
      </c>
      <c r="AF1082" s="15">
        <f>AE1082*AG1082</f>
        <v>540</v>
      </c>
      <c r="AG1082" s="16">
        <v>6</v>
      </c>
    </row>
    <row r="1083" spans="1:33" ht="15" customHeight="1" x14ac:dyDescent="0.2">
      <c r="A1083" s="11" t="str">
        <f t="shared" ref="A1083:A1959" si="462">HYPERLINK("https://assets.vans.eu/images/VN000DAQTWH-HERO/1","VN000DAQTWH1")</f>
        <v>VN000DAQTWH1</v>
      </c>
      <c r="B1083" s="12" t="s">
        <v>4400</v>
      </c>
      <c r="C1083" s="12" t="s">
        <v>2817</v>
      </c>
      <c r="D1083" s="12" t="s">
        <v>4401</v>
      </c>
      <c r="E1083" s="12" t="s">
        <v>4402</v>
      </c>
      <c r="F1083" s="13">
        <v>80</v>
      </c>
      <c r="G1083" s="14"/>
      <c r="H1083" s="12" t="s">
        <v>38</v>
      </c>
      <c r="I1083" s="12" t="s">
        <v>113</v>
      </c>
      <c r="J1083" s="12" t="s">
        <v>114</v>
      </c>
      <c r="K1083" s="12" t="s">
        <v>82</v>
      </c>
      <c r="L1083" s="14"/>
      <c r="M1083" s="12" t="s">
        <v>43</v>
      </c>
      <c r="N1083" s="12" t="s">
        <v>84</v>
      </c>
      <c r="O1083" s="12" t="s">
        <v>4403</v>
      </c>
      <c r="P1083" s="12" t="s">
        <v>46</v>
      </c>
      <c r="Q1083" s="12" t="s">
        <v>47</v>
      </c>
      <c r="R1083" s="12" t="s">
        <v>948</v>
      </c>
      <c r="S1083" s="13">
        <v>197804559251</v>
      </c>
      <c r="T1083" s="12" t="s">
        <v>49</v>
      </c>
      <c r="U1083" s="13">
        <v>40.5</v>
      </c>
      <c r="V1083" s="12" t="s">
        <v>50</v>
      </c>
      <c r="W1083" s="12" t="s">
        <v>186</v>
      </c>
      <c r="X1083" s="14"/>
      <c r="Y1083" s="14"/>
      <c r="Z1083" s="14"/>
      <c r="AA1083" s="14"/>
      <c r="AB1083" s="14"/>
      <c r="AC1083" s="15">
        <v>65.95</v>
      </c>
      <c r="AD1083" s="15">
        <f>AC1083*AG1083</f>
        <v>395.70000000000005</v>
      </c>
      <c r="AE1083" s="15">
        <v>145</v>
      </c>
      <c r="AF1083" s="15">
        <f>AE1083*AG1083</f>
        <v>870</v>
      </c>
      <c r="AG1083" s="16">
        <v>6</v>
      </c>
    </row>
    <row r="1084" spans="1:33" ht="15" customHeight="1" x14ac:dyDescent="0.2">
      <c r="A1084" s="11" t="str">
        <f t="shared" ref="A1084:A1541" si="463">HYPERLINK("https://assets.vans.eu/images/VN000DARC9F-HERO/1","VN000DARC9F1")</f>
        <v>VN000DARC9F1</v>
      </c>
      <c r="B1084" s="12" t="s">
        <v>4404</v>
      </c>
      <c r="C1084" s="12" t="s">
        <v>4405</v>
      </c>
      <c r="D1084" s="12" t="s">
        <v>2056</v>
      </c>
      <c r="E1084" s="12" t="s">
        <v>4406</v>
      </c>
      <c r="F1084" s="13">
        <v>65</v>
      </c>
      <c r="G1084" s="14"/>
      <c r="H1084" s="12" t="s">
        <v>38</v>
      </c>
      <c r="I1084" s="12" t="s">
        <v>113</v>
      </c>
      <c r="J1084" s="12" t="s">
        <v>114</v>
      </c>
      <c r="K1084" s="12" t="s">
        <v>82</v>
      </c>
      <c r="L1084" s="14"/>
      <c r="M1084" s="12" t="s">
        <v>43</v>
      </c>
      <c r="N1084" s="12" t="s">
        <v>84</v>
      </c>
      <c r="O1084" s="12" t="s">
        <v>4407</v>
      </c>
      <c r="P1084" s="12" t="s">
        <v>46</v>
      </c>
      <c r="Q1084" s="12" t="s">
        <v>47</v>
      </c>
      <c r="R1084" s="12" t="s">
        <v>948</v>
      </c>
      <c r="S1084" s="13">
        <v>197804559916</v>
      </c>
      <c r="T1084" s="12" t="s">
        <v>49</v>
      </c>
      <c r="U1084" s="13">
        <v>38.5</v>
      </c>
      <c r="V1084" s="12" t="s">
        <v>50</v>
      </c>
      <c r="W1084" s="12" t="s">
        <v>175</v>
      </c>
      <c r="X1084" s="14"/>
      <c r="Y1084" s="14"/>
      <c r="Z1084" s="14"/>
      <c r="AA1084" s="14"/>
      <c r="AB1084" s="14"/>
      <c r="AC1084" s="15">
        <v>84.1</v>
      </c>
      <c r="AD1084" s="15">
        <f>AC1084*AG1084</f>
        <v>504.59999999999997</v>
      </c>
      <c r="AE1084" s="15">
        <v>185</v>
      </c>
      <c r="AF1084" s="15">
        <f>AE1084*AG1084</f>
        <v>1110</v>
      </c>
      <c r="AG1084" s="16">
        <v>6</v>
      </c>
    </row>
    <row r="1085" spans="1:33" ht="15" customHeight="1" x14ac:dyDescent="0.2">
      <c r="A1085" s="11" t="str">
        <f t="shared" ref="A1085:A1277" si="464">HYPERLINK("https://assets.vans.eu/images/VN000E9RG58-HERO/1","VN000E9RG581")</f>
        <v>VN000E9RG581</v>
      </c>
      <c r="B1085" s="12" t="s">
        <v>4408</v>
      </c>
      <c r="C1085" s="12" t="s">
        <v>34</v>
      </c>
      <c r="D1085" s="12" t="s">
        <v>2149</v>
      </c>
      <c r="E1085" s="12" t="s">
        <v>4409</v>
      </c>
      <c r="F1085" s="13">
        <v>105</v>
      </c>
      <c r="G1085" s="14"/>
      <c r="H1085" s="12" t="s">
        <v>38</v>
      </c>
      <c r="I1085" s="12" t="s">
        <v>39</v>
      </c>
      <c r="J1085" s="12" t="s">
        <v>40</v>
      </c>
      <c r="K1085" s="12" t="s">
        <v>373</v>
      </c>
      <c r="L1085" s="12" t="s">
        <v>260</v>
      </c>
      <c r="M1085" s="12" t="s">
        <v>43</v>
      </c>
      <c r="N1085" s="12" t="s">
        <v>84</v>
      </c>
      <c r="O1085" s="12" t="s">
        <v>4410</v>
      </c>
      <c r="P1085" s="12" t="s">
        <v>46</v>
      </c>
      <c r="Q1085" s="12" t="s">
        <v>47</v>
      </c>
      <c r="R1085" s="12" t="s">
        <v>48</v>
      </c>
      <c r="S1085" s="13">
        <v>198266176161</v>
      </c>
      <c r="T1085" s="12" t="s">
        <v>164</v>
      </c>
      <c r="U1085" s="13">
        <v>27</v>
      </c>
      <c r="V1085" s="12" t="s">
        <v>50</v>
      </c>
      <c r="W1085" s="12" t="s">
        <v>51</v>
      </c>
      <c r="X1085" s="14"/>
      <c r="Y1085" s="14"/>
      <c r="Z1085" s="14"/>
      <c r="AA1085" s="14"/>
      <c r="AB1085" s="14"/>
      <c r="AC1085" s="15">
        <v>27.3</v>
      </c>
      <c r="AD1085" s="15">
        <f>AC1085*AG1085</f>
        <v>163.80000000000001</v>
      </c>
      <c r="AE1085" s="15">
        <v>60</v>
      </c>
      <c r="AF1085" s="15">
        <f>AE1085*AG1085</f>
        <v>360</v>
      </c>
      <c r="AG1085" s="16">
        <v>6</v>
      </c>
    </row>
    <row r="1086" spans="1:33" ht="15" customHeight="1" x14ac:dyDescent="0.2">
      <c r="A1086" s="11" t="str">
        <f t="shared" si="464"/>
        <v>VN000E9RG581</v>
      </c>
      <c r="B1086" s="12" t="s">
        <v>4411</v>
      </c>
      <c r="C1086" s="12" t="s">
        <v>34</v>
      </c>
      <c r="D1086" s="12" t="s">
        <v>2149</v>
      </c>
      <c r="E1086" s="12" t="s">
        <v>4412</v>
      </c>
      <c r="F1086" s="13">
        <v>125</v>
      </c>
      <c r="G1086" s="14"/>
      <c r="H1086" s="12" t="s">
        <v>38</v>
      </c>
      <c r="I1086" s="12" t="s">
        <v>39</v>
      </c>
      <c r="J1086" s="12" t="s">
        <v>40</v>
      </c>
      <c r="K1086" s="12" t="s">
        <v>373</v>
      </c>
      <c r="L1086" s="12" t="s">
        <v>260</v>
      </c>
      <c r="M1086" s="12" t="s">
        <v>43</v>
      </c>
      <c r="N1086" s="12" t="s">
        <v>84</v>
      </c>
      <c r="O1086" s="12" t="s">
        <v>4413</v>
      </c>
      <c r="P1086" s="12" t="s">
        <v>46</v>
      </c>
      <c r="Q1086" s="12" t="s">
        <v>47</v>
      </c>
      <c r="R1086" s="12" t="s">
        <v>48</v>
      </c>
      <c r="S1086" s="13">
        <v>198266176871</v>
      </c>
      <c r="T1086" s="12" t="s">
        <v>164</v>
      </c>
      <c r="U1086" s="13">
        <v>30</v>
      </c>
      <c r="V1086" s="12" t="s">
        <v>50</v>
      </c>
      <c r="W1086" s="12" t="s">
        <v>51</v>
      </c>
      <c r="X1086" s="14"/>
      <c r="Y1086" s="14"/>
      <c r="Z1086" s="14"/>
      <c r="AA1086" s="14"/>
      <c r="AB1086" s="14"/>
      <c r="AC1086" s="15">
        <v>27.3</v>
      </c>
      <c r="AD1086" s="15">
        <f>AC1086*AG1086</f>
        <v>163.80000000000001</v>
      </c>
      <c r="AE1086" s="15">
        <v>60</v>
      </c>
      <c r="AF1086" s="15">
        <f>AE1086*AG1086</f>
        <v>360</v>
      </c>
      <c r="AG1086" s="16">
        <v>6</v>
      </c>
    </row>
    <row r="1087" spans="1:33" ht="15" customHeight="1" x14ac:dyDescent="0.2">
      <c r="A1087" s="11" t="str">
        <f>HYPERLINK("https://assets.vans.eu/images/VN000E9ZYF5-HERO/1","VN000E9ZYF51")</f>
        <v>VN000E9ZYF51</v>
      </c>
      <c r="B1087" s="12" t="s">
        <v>4414</v>
      </c>
      <c r="C1087" s="12" t="s">
        <v>110</v>
      </c>
      <c r="D1087" s="12" t="s">
        <v>924</v>
      </c>
      <c r="E1087" s="12" t="s">
        <v>4415</v>
      </c>
      <c r="F1087" s="13">
        <v>45</v>
      </c>
      <c r="G1087" s="14"/>
      <c r="H1087" s="12" t="s">
        <v>38</v>
      </c>
      <c r="I1087" s="12" t="s">
        <v>205</v>
      </c>
      <c r="J1087" s="12" t="s">
        <v>206</v>
      </c>
      <c r="K1087" s="12" t="s">
        <v>207</v>
      </c>
      <c r="L1087" s="12" t="s">
        <v>260</v>
      </c>
      <c r="M1087" s="12" t="s">
        <v>43</v>
      </c>
      <c r="N1087" s="12" t="s">
        <v>84</v>
      </c>
      <c r="O1087" s="12" t="s">
        <v>4416</v>
      </c>
      <c r="P1087" s="12" t="s">
        <v>46</v>
      </c>
      <c r="Q1087" s="12" t="s">
        <v>47</v>
      </c>
      <c r="R1087" s="12" t="s">
        <v>48</v>
      </c>
      <c r="S1087" s="13">
        <v>197804867059</v>
      </c>
      <c r="T1087" s="12" t="s">
        <v>105</v>
      </c>
      <c r="U1087" s="13">
        <v>36</v>
      </c>
      <c r="V1087" s="12" t="s">
        <v>50</v>
      </c>
      <c r="W1087" s="12" t="s">
        <v>284</v>
      </c>
      <c r="X1087" s="14"/>
      <c r="Y1087" s="14"/>
      <c r="Z1087" s="14"/>
      <c r="AA1087" s="14"/>
      <c r="AB1087" s="14"/>
      <c r="AC1087" s="15">
        <v>34.1</v>
      </c>
      <c r="AD1087" s="15">
        <f>AC1087*AG1087</f>
        <v>204.60000000000002</v>
      </c>
      <c r="AE1087" s="15">
        <v>75</v>
      </c>
      <c r="AF1087" s="15">
        <f>AE1087*AG1087</f>
        <v>450</v>
      </c>
      <c r="AG1087" s="16">
        <v>6</v>
      </c>
    </row>
    <row r="1088" spans="1:33" ht="15" customHeight="1" x14ac:dyDescent="0.2">
      <c r="A1088" s="11" t="str">
        <f t="shared" si="377"/>
        <v>VN000EDNAH91</v>
      </c>
      <c r="B1088" s="12" t="s">
        <v>4417</v>
      </c>
      <c r="C1088" s="12" t="s">
        <v>996</v>
      </c>
      <c r="D1088" s="12" t="s">
        <v>3633</v>
      </c>
      <c r="E1088" s="12" t="s">
        <v>4418</v>
      </c>
      <c r="F1088" s="13">
        <v>105</v>
      </c>
      <c r="G1088" s="14"/>
      <c r="H1088" s="12" t="s">
        <v>38</v>
      </c>
      <c r="I1088" s="12" t="s">
        <v>159</v>
      </c>
      <c r="J1088" s="12" t="s">
        <v>341</v>
      </c>
      <c r="K1088" s="12" t="s">
        <v>199</v>
      </c>
      <c r="L1088" s="14"/>
      <c r="M1088" s="12" t="s">
        <v>43</v>
      </c>
      <c r="N1088" s="12" t="s">
        <v>84</v>
      </c>
      <c r="O1088" s="12" t="s">
        <v>4419</v>
      </c>
      <c r="P1088" s="12" t="s">
        <v>46</v>
      </c>
      <c r="Q1088" s="12" t="s">
        <v>47</v>
      </c>
      <c r="R1088" s="12" t="s">
        <v>163</v>
      </c>
      <c r="S1088" s="13">
        <v>197804567720</v>
      </c>
      <c r="T1088" s="12" t="s">
        <v>49</v>
      </c>
      <c r="U1088" s="13">
        <v>44</v>
      </c>
      <c r="V1088" s="12" t="s">
        <v>50</v>
      </c>
      <c r="W1088" s="12" t="s">
        <v>118</v>
      </c>
      <c r="X1088" s="14"/>
      <c r="Y1088" s="14"/>
      <c r="Z1088" s="14"/>
      <c r="AA1088" s="14"/>
      <c r="AB1088" s="14"/>
      <c r="AC1088" s="15">
        <v>38.65</v>
      </c>
      <c r="AD1088" s="15">
        <f>AC1088*AG1088</f>
        <v>231.89999999999998</v>
      </c>
      <c r="AE1088" s="15">
        <v>85</v>
      </c>
      <c r="AF1088" s="15">
        <f>AE1088*AG1088</f>
        <v>510</v>
      </c>
      <c r="AG1088" s="16">
        <v>6</v>
      </c>
    </row>
    <row r="1089" spans="1:33" ht="15" customHeight="1" x14ac:dyDescent="0.2">
      <c r="A1089" s="11" t="str">
        <f t="shared" si="345"/>
        <v>VN000EE1I6Y1</v>
      </c>
      <c r="B1089" s="12" t="s">
        <v>4420</v>
      </c>
      <c r="C1089" s="12" t="s">
        <v>238</v>
      </c>
      <c r="D1089" s="12" t="s">
        <v>1927</v>
      </c>
      <c r="E1089" s="12" t="s">
        <v>4421</v>
      </c>
      <c r="F1089" s="13">
        <v>75</v>
      </c>
      <c r="G1089" s="14"/>
      <c r="H1089" s="12" t="s">
        <v>38</v>
      </c>
      <c r="I1089" s="12" t="s">
        <v>242</v>
      </c>
      <c r="J1089" s="12" t="s">
        <v>243</v>
      </c>
      <c r="K1089" s="12" t="s">
        <v>244</v>
      </c>
      <c r="L1089" s="12" t="s">
        <v>115</v>
      </c>
      <c r="M1089" s="12" t="s">
        <v>43</v>
      </c>
      <c r="N1089" s="12" t="s">
        <v>84</v>
      </c>
      <c r="O1089" s="12" t="s">
        <v>4422</v>
      </c>
      <c r="P1089" s="12" t="s">
        <v>46</v>
      </c>
      <c r="Q1089" s="12" t="s">
        <v>47</v>
      </c>
      <c r="R1089" s="12" t="s">
        <v>48</v>
      </c>
      <c r="S1089" s="13">
        <v>197805787646</v>
      </c>
      <c r="T1089" s="12" t="s">
        <v>164</v>
      </c>
      <c r="U1089" s="13">
        <v>24</v>
      </c>
      <c r="V1089" s="12" t="s">
        <v>50</v>
      </c>
      <c r="W1089" s="12" t="s">
        <v>625</v>
      </c>
      <c r="X1089" s="14"/>
      <c r="Y1089" s="14"/>
      <c r="Z1089" s="14"/>
      <c r="AA1089" s="14"/>
      <c r="AB1089" s="14"/>
      <c r="AC1089" s="15">
        <v>20.5</v>
      </c>
      <c r="AD1089" s="15">
        <f>AC1089*AG1089</f>
        <v>123</v>
      </c>
      <c r="AE1089" s="15">
        <v>45</v>
      </c>
      <c r="AF1089" s="15">
        <f>AE1089*AG1089</f>
        <v>270</v>
      </c>
      <c r="AG1089" s="16">
        <v>6</v>
      </c>
    </row>
    <row r="1090" spans="1:33" ht="15" customHeight="1" x14ac:dyDescent="0.2">
      <c r="A1090" s="11" t="str">
        <f t="shared" ref="A1090:A2811" si="465">HYPERLINK("https://assets.vans.eu/images/VN000EFBYY6-HERO/1","VN000EFBYY61")</f>
        <v>VN000EFBYY61</v>
      </c>
      <c r="B1090" s="12" t="s">
        <v>4423</v>
      </c>
      <c r="C1090" s="12" t="s">
        <v>1207</v>
      </c>
      <c r="D1090" s="12" t="s">
        <v>1208</v>
      </c>
      <c r="E1090" s="12" t="s">
        <v>4424</v>
      </c>
      <c r="F1090" s="13">
        <v>85</v>
      </c>
      <c r="G1090" s="14"/>
      <c r="H1090" s="12" t="s">
        <v>38</v>
      </c>
      <c r="I1090" s="12" t="s">
        <v>242</v>
      </c>
      <c r="J1090" s="12" t="s">
        <v>243</v>
      </c>
      <c r="K1090" s="12" t="s">
        <v>244</v>
      </c>
      <c r="L1090" s="12" t="s">
        <v>260</v>
      </c>
      <c r="M1090" s="12" t="s">
        <v>43</v>
      </c>
      <c r="N1090" s="12" t="s">
        <v>84</v>
      </c>
      <c r="O1090" s="12" t="s">
        <v>4425</v>
      </c>
      <c r="P1090" s="12" t="s">
        <v>46</v>
      </c>
      <c r="Q1090" s="12" t="s">
        <v>47</v>
      </c>
      <c r="R1090" s="12" t="s">
        <v>48</v>
      </c>
      <c r="S1090" s="13">
        <v>198266184586</v>
      </c>
      <c r="T1090" s="12" t="s">
        <v>49</v>
      </c>
      <c r="U1090" s="13">
        <v>25</v>
      </c>
      <c r="V1090" s="12" t="s">
        <v>50</v>
      </c>
      <c r="W1090" s="12" t="s">
        <v>51</v>
      </c>
      <c r="X1090" s="14"/>
      <c r="Y1090" s="14"/>
      <c r="Z1090" s="14"/>
      <c r="AA1090" s="14"/>
      <c r="AB1090" s="14"/>
      <c r="AC1090" s="15">
        <v>27.3</v>
      </c>
      <c r="AD1090" s="15">
        <f>AC1090*AG1090</f>
        <v>163.80000000000001</v>
      </c>
      <c r="AE1090" s="15">
        <v>60</v>
      </c>
      <c r="AF1090" s="15">
        <f>AE1090*AG1090</f>
        <v>360</v>
      </c>
      <c r="AG1090" s="16">
        <v>6</v>
      </c>
    </row>
    <row r="1091" spans="1:33" ht="15" customHeight="1" x14ac:dyDescent="0.2">
      <c r="A1091" s="11" t="str">
        <f t="shared" ref="A1091:A1092" si="466">HYPERLINK("https://assets.vans.eu/images/VN000EG59X1-HERO/1","VN000EG59X11")</f>
        <v>VN000EG59X11</v>
      </c>
      <c r="B1091" s="12" t="s">
        <v>4426</v>
      </c>
      <c r="C1091" s="12" t="s">
        <v>4427</v>
      </c>
      <c r="D1091" s="12" t="s">
        <v>4428</v>
      </c>
      <c r="E1091" s="12" t="s">
        <v>4429</v>
      </c>
      <c r="F1091" s="13">
        <v>90</v>
      </c>
      <c r="G1091" s="12" t="s">
        <v>4430</v>
      </c>
      <c r="H1091" s="12" t="s">
        <v>38</v>
      </c>
      <c r="I1091" s="12" t="s">
        <v>159</v>
      </c>
      <c r="J1091" s="12" t="s">
        <v>341</v>
      </c>
      <c r="K1091" s="12" t="s">
        <v>199</v>
      </c>
      <c r="L1091" s="14"/>
      <c r="M1091" s="12" t="s">
        <v>43</v>
      </c>
      <c r="N1091" s="12" t="s">
        <v>84</v>
      </c>
      <c r="O1091" s="12" t="s">
        <v>4431</v>
      </c>
      <c r="P1091" s="12" t="s">
        <v>46</v>
      </c>
      <c r="Q1091" s="12" t="s">
        <v>47</v>
      </c>
      <c r="R1091" s="12" t="s">
        <v>163</v>
      </c>
      <c r="S1091" s="13">
        <v>197804570881</v>
      </c>
      <c r="T1091" s="12" t="s">
        <v>49</v>
      </c>
      <c r="U1091" s="13">
        <v>42</v>
      </c>
      <c r="V1091" s="12" t="s">
        <v>209</v>
      </c>
      <c r="W1091" s="12" t="s">
        <v>51</v>
      </c>
      <c r="X1091" s="14"/>
      <c r="Y1091" s="14"/>
      <c r="Z1091" s="14"/>
      <c r="AA1091" s="14"/>
      <c r="AB1091" s="14"/>
      <c r="AC1091" s="15">
        <v>36.4</v>
      </c>
      <c r="AD1091" s="15">
        <f>AC1091*AG1091</f>
        <v>218.39999999999998</v>
      </c>
      <c r="AE1091" s="15">
        <v>80</v>
      </c>
      <c r="AF1091" s="15">
        <f>AE1091*AG1091</f>
        <v>480</v>
      </c>
      <c r="AG1091" s="16">
        <v>6</v>
      </c>
    </row>
    <row r="1092" spans="1:33" ht="15" customHeight="1" x14ac:dyDescent="0.2">
      <c r="A1092" s="11" t="str">
        <f t="shared" si="466"/>
        <v>VN000EG59X11</v>
      </c>
      <c r="B1092" s="12" t="s">
        <v>4432</v>
      </c>
      <c r="C1092" s="12" t="s">
        <v>4427</v>
      </c>
      <c r="D1092" s="12" t="s">
        <v>4428</v>
      </c>
      <c r="E1092" s="12" t="s">
        <v>4433</v>
      </c>
      <c r="F1092" s="13">
        <v>95</v>
      </c>
      <c r="G1092" s="12" t="s">
        <v>4430</v>
      </c>
      <c r="H1092" s="12" t="s">
        <v>38</v>
      </c>
      <c r="I1092" s="12" t="s">
        <v>159</v>
      </c>
      <c r="J1092" s="12" t="s">
        <v>341</v>
      </c>
      <c r="K1092" s="12" t="s">
        <v>199</v>
      </c>
      <c r="L1092" s="14"/>
      <c r="M1092" s="12" t="s">
        <v>43</v>
      </c>
      <c r="N1092" s="12" t="s">
        <v>84</v>
      </c>
      <c r="O1092" s="12" t="s">
        <v>4434</v>
      </c>
      <c r="P1092" s="12" t="s">
        <v>46</v>
      </c>
      <c r="Q1092" s="12" t="s">
        <v>47</v>
      </c>
      <c r="R1092" s="12" t="s">
        <v>163</v>
      </c>
      <c r="S1092" s="13">
        <v>197804571031</v>
      </c>
      <c r="T1092" s="12" t="s">
        <v>49</v>
      </c>
      <c r="U1092" s="13">
        <v>42.5</v>
      </c>
      <c r="V1092" s="12" t="s">
        <v>209</v>
      </c>
      <c r="W1092" s="12" t="s">
        <v>51</v>
      </c>
      <c r="X1092" s="14"/>
      <c r="Y1092" s="14"/>
      <c r="Z1092" s="14"/>
      <c r="AA1092" s="14"/>
      <c r="AB1092" s="14"/>
      <c r="AC1092" s="15">
        <v>36.4</v>
      </c>
      <c r="AD1092" s="15">
        <f>AC1092*AG1092</f>
        <v>218.39999999999998</v>
      </c>
      <c r="AE1092" s="15">
        <v>80</v>
      </c>
      <c r="AF1092" s="15">
        <f>AE1092*AG1092</f>
        <v>480</v>
      </c>
      <c r="AG1092" s="16">
        <v>6</v>
      </c>
    </row>
    <row r="1093" spans="1:33" ht="15" customHeight="1" x14ac:dyDescent="0.2">
      <c r="A1093" s="11" t="str">
        <f t="shared" ref="A1093:A4693" si="467">HYPERLINK("https://assets.vans.eu/images/VN000ZUVFM5-HERO/1","VN000ZUVFM51")</f>
        <v>VN000ZUVFM51</v>
      </c>
      <c r="B1093" s="12" t="s">
        <v>4435</v>
      </c>
      <c r="C1093" s="12" t="s">
        <v>2631</v>
      </c>
      <c r="D1093" s="12" t="s">
        <v>4436</v>
      </c>
      <c r="E1093" s="12" t="s">
        <v>4437</v>
      </c>
      <c r="F1093" s="13">
        <v>95</v>
      </c>
      <c r="G1093" s="12" t="s">
        <v>1358</v>
      </c>
      <c r="H1093" s="12" t="s">
        <v>38</v>
      </c>
      <c r="I1093" s="12" t="s">
        <v>159</v>
      </c>
      <c r="J1093" s="12" t="s">
        <v>255</v>
      </c>
      <c r="K1093" s="12" t="s">
        <v>199</v>
      </c>
      <c r="L1093" s="12" t="s">
        <v>350</v>
      </c>
      <c r="M1093" s="12" t="s">
        <v>43</v>
      </c>
      <c r="N1093" s="12" t="s">
        <v>84</v>
      </c>
      <c r="O1093" s="12" t="s">
        <v>4438</v>
      </c>
      <c r="P1093" s="12" t="s">
        <v>46</v>
      </c>
      <c r="Q1093" s="12" t="s">
        <v>47</v>
      </c>
      <c r="R1093" s="12" t="s">
        <v>163</v>
      </c>
      <c r="S1093" s="13">
        <v>888655101743</v>
      </c>
      <c r="T1093" s="12" t="s">
        <v>105</v>
      </c>
      <c r="U1093" s="13">
        <v>42.5</v>
      </c>
      <c r="V1093" s="12" t="s">
        <v>50</v>
      </c>
      <c r="W1093" s="12" t="s">
        <v>51</v>
      </c>
      <c r="X1093" s="14"/>
      <c r="Y1093" s="12" t="s">
        <v>71</v>
      </c>
      <c r="Z1093" s="12" t="s">
        <v>92</v>
      </c>
      <c r="AA1093" s="12" t="s">
        <v>354</v>
      </c>
      <c r="AB1093" s="12" t="s">
        <v>888</v>
      </c>
      <c r="AC1093" s="15">
        <v>35.75</v>
      </c>
      <c r="AD1093" s="15">
        <f>AC1093*AG1093</f>
        <v>214.5</v>
      </c>
      <c r="AE1093" s="15">
        <v>75</v>
      </c>
      <c r="AF1093" s="15">
        <f>AE1093*AG1093</f>
        <v>450</v>
      </c>
      <c r="AG1093" s="16">
        <v>6</v>
      </c>
    </row>
    <row r="1094" spans="1:33" ht="15" customHeight="1" x14ac:dyDescent="0.2">
      <c r="A1094" s="11" t="str">
        <f>HYPERLINK("https://assets.vans.eu/images/VN0A4BTTPWT-HERO/1","VN0A4BTTPWT1")</f>
        <v>VN0A4BTTPWT1</v>
      </c>
      <c r="B1094" s="12" t="s">
        <v>4439</v>
      </c>
      <c r="C1094" s="12" t="s">
        <v>502</v>
      </c>
      <c r="D1094" s="12" t="s">
        <v>2289</v>
      </c>
      <c r="E1094" s="12" t="s">
        <v>4440</v>
      </c>
      <c r="F1094" s="13">
        <v>80</v>
      </c>
      <c r="G1094" s="14"/>
      <c r="H1094" s="12" t="s">
        <v>38</v>
      </c>
      <c r="I1094" s="12" t="s">
        <v>159</v>
      </c>
      <c r="J1094" s="12" t="s">
        <v>255</v>
      </c>
      <c r="K1094" s="12" t="s">
        <v>82</v>
      </c>
      <c r="L1094" s="12" t="s">
        <v>42</v>
      </c>
      <c r="M1094" s="12" t="s">
        <v>43</v>
      </c>
      <c r="N1094" s="12" t="s">
        <v>84</v>
      </c>
      <c r="O1094" s="12" t="s">
        <v>4441</v>
      </c>
      <c r="P1094" s="12" t="s">
        <v>46</v>
      </c>
      <c r="Q1094" s="12" t="s">
        <v>47</v>
      </c>
      <c r="R1094" s="12" t="s">
        <v>163</v>
      </c>
      <c r="S1094" s="13">
        <v>196245076310</v>
      </c>
      <c r="T1094" s="12" t="s">
        <v>105</v>
      </c>
      <c r="U1094" s="13">
        <v>40.5</v>
      </c>
      <c r="V1094" s="12" t="s">
        <v>50</v>
      </c>
      <c r="W1094" s="12" t="s">
        <v>455</v>
      </c>
      <c r="X1094" s="12" t="s">
        <v>3847</v>
      </c>
      <c r="Y1094" s="12" t="s">
        <v>53</v>
      </c>
      <c r="Z1094" s="12" t="s">
        <v>54</v>
      </c>
      <c r="AA1094" s="12" t="s">
        <v>73</v>
      </c>
      <c r="AB1094" s="12" t="s">
        <v>94</v>
      </c>
      <c r="AC1094" s="15">
        <v>38.65</v>
      </c>
      <c r="AD1094" s="15">
        <f>AC1094*AG1094</f>
        <v>231.89999999999998</v>
      </c>
      <c r="AE1094" s="15">
        <v>85</v>
      </c>
      <c r="AF1094" s="15">
        <f>AE1094*AG1094</f>
        <v>510</v>
      </c>
      <c r="AG1094" s="16">
        <v>6</v>
      </c>
    </row>
    <row r="1095" spans="1:33" ht="15" customHeight="1" x14ac:dyDescent="0.2">
      <c r="A1095" s="11" t="str">
        <f t="shared" ref="A1095:A1996" si="468">HYPERLINK("https://assets.vans.eu/images/VN0A4BVSBKA-HERO/1","VN0A4BVSBKA1")</f>
        <v>VN0A4BVSBKA1</v>
      </c>
      <c r="B1095" s="12" t="s">
        <v>4442</v>
      </c>
      <c r="C1095" s="12" t="s">
        <v>4443</v>
      </c>
      <c r="D1095" s="12" t="s">
        <v>252</v>
      </c>
      <c r="E1095" s="12" t="s">
        <v>4444</v>
      </c>
      <c r="F1095" s="13">
        <v>40</v>
      </c>
      <c r="G1095" s="14"/>
      <c r="H1095" s="12" t="s">
        <v>38</v>
      </c>
      <c r="I1095" s="12" t="s">
        <v>159</v>
      </c>
      <c r="J1095" s="12" t="s">
        <v>255</v>
      </c>
      <c r="K1095" s="12" t="s">
        <v>82</v>
      </c>
      <c r="L1095" s="14"/>
      <c r="M1095" s="12" t="s">
        <v>43</v>
      </c>
      <c r="N1095" s="12" t="s">
        <v>2457</v>
      </c>
      <c r="O1095" s="12" t="s">
        <v>4445</v>
      </c>
      <c r="P1095" s="12" t="s">
        <v>46</v>
      </c>
      <c r="Q1095" s="12" t="s">
        <v>47</v>
      </c>
      <c r="R1095" s="12" t="s">
        <v>1660</v>
      </c>
      <c r="S1095" s="13">
        <v>196244767677</v>
      </c>
      <c r="T1095" s="12" t="s">
        <v>143</v>
      </c>
      <c r="U1095" s="13">
        <v>35</v>
      </c>
      <c r="V1095" s="12" t="s">
        <v>50</v>
      </c>
      <c r="W1095" s="12" t="s">
        <v>51</v>
      </c>
      <c r="X1095" s="14"/>
      <c r="Y1095" s="12" t="s">
        <v>91</v>
      </c>
      <c r="Z1095" s="12" t="s">
        <v>165</v>
      </c>
      <c r="AA1095" s="14"/>
      <c r="AB1095" s="14"/>
      <c r="AC1095" s="15">
        <v>75</v>
      </c>
      <c r="AD1095" s="15">
        <f>AC1095*AG1095</f>
        <v>450</v>
      </c>
      <c r="AE1095" s="15">
        <v>165</v>
      </c>
      <c r="AF1095" s="15">
        <f>AE1095*AG1095</f>
        <v>990</v>
      </c>
      <c r="AG1095" s="16">
        <v>6</v>
      </c>
    </row>
    <row r="1096" spans="1:33" ht="15" customHeight="1" x14ac:dyDescent="0.2">
      <c r="A1096" s="11" t="str">
        <f t="shared" si="67"/>
        <v>VN0A4U1KWHT1</v>
      </c>
      <c r="B1096" s="12" t="s">
        <v>4446</v>
      </c>
      <c r="C1096" s="12" t="s">
        <v>1016</v>
      </c>
      <c r="D1096" s="12" t="s">
        <v>168</v>
      </c>
      <c r="E1096" s="12" t="s">
        <v>4447</v>
      </c>
      <c r="F1096" s="13">
        <v>50</v>
      </c>
      <c r="G1096" s="14"/>
      <c r="H1096" s="12" t="s">
        <v>38</v>
      </c>
      <c r="I1096" s="12" t="s">
        <v>159</v>
      </c>
      <c r="J1096" s="12" t="s">
        <v>255</v>
      </c>
      <c r="K1096" s="12" t="s">
        <v>82</v>
      </c>
      <c r="L1096" s="14"/>
      <c r="M1096" s="12" t="s">
        <v>43</v>
      </c>
      <c r="N1096" s="12" t="s">
        <v>161</v>
      </c>
      <c r="O1096" s="12" t="s">
        <v>4448</v>
      </c>
      <c r="P1096" s="12" t="s">
        <v>46</v>
      </c>
      <c r="Q1096" s="12" t="s">
        <v>47</v>
      </c>
      <c r="R1096" s="12" t="s">
        <v>163</v>
      </c>
      <c r="S1096" s="13">
        <v>194115436424</v>
      </c>
      <c r="T1096" s="12" t="s">
        <v>105</v>
      </c>
      <c r="U1096" s="13">
        <v>36.5</v>
      </c>
      <c r="V1096" s="12" t="s">
        <v>278</v>
      </c>
      <c r="W1096" s="12" t="s">
        <v>175</v>
      </c>
      <c r="X1096" s="14"/>
      <c r="Y1096" s="12" t="s">
        <v>91</v>
      </c>
      <c r="Z1096" s="12" t="s">
        <v>165</v>
      </c>
      <c r="AA1096" s="14"/>
      <c r="AB1096" s="14"/>
      <c r="AC1096" s="15">
        <v>52.3</v>
      </c>
      <c r="AD1096" s="15">
        <f>AC1096*AG1096</f>
        <v>313.79999999999995</v>
      </c>
      <c r="AE1096" s="15">
        <v>115</v>
      </c>
      <c r="AF1096" s="15">
        <f>AE1096*AG1096</f>
        <v>690</v>
      </c>
      <c r="AG1096" s="16">
        <v>6</v>
      </c>
    </row>
    <row r="1097" spans="1:33" ht="15" customHeight="1" x14ac:dyDescent="0.2">
      <c r="A1097" s="11" t="str">
        <f t="shared" ref="A1097:A4787" si="469">HYPERLINK("https://assets.vans.eu/images/VN0A5KR5239-HERO/1","VN0A5KR52391")</f>
        <v>VN0A5KR52391</v>
      </c>
      <c r="B1097" s="12" t="s">
        <v>4449</v>
      </c>
      <c r="C1097" s="12" t="s">
        <v>4037</v>
      </c>
      <c r="D1097" s="12" t="s">
        <v>1609</v>
      </c>
      <c r="E1097" s="12" t="s">
        <v>4450</v>
      </c>
      <c r="F1097" s="13">
        <v>40</v>
      </c>
      <c r="G1097" s="12" t="s">
        <v>4451</v>
      </c>
      <c r="H1097" s="12" t="s">
        <v>38</v>
      </c>
      <c r="I1097" s="12" t="s">
        <v>159</v>
      </c>
      <c r="J1097" s="12" t="s">
        <v>255</v>
      </c>
      <c r="K1097" s="12" t="s">
        <v>82</v>
      </c>
      <c r="L1097" s="14"/>
      <c r="M1097" s="12" t="s">
        <v>43</v>
      </c>
      <c r="N1097" s="12" t="s">
        <v>467</v>
      </c>
      <c r="O1097" s="12" t="s">
        <v>4452</v>
      </c>
      <c r="P1097" s="12" t="s">
        <v>46</v>
      </c>
      <c r="Q1097" s="12" t="s">
        <v>47</v>
      </c>
      <c r="R1097" s="12" t="s">
        <v>163</v>
      </c>
      <c r="S1097" s="13">
        <v>196571251467</v>
      </c>
      <c r="T1097" s="12" t="s">
        <v>49</v>
      </c>
      <c r="U1097" s="13">
        <v>35</v>
      </c>
      <c r="V1097" s="12" t="s">
        <v>50</v>
      </c>
      <c r="W1097" s="12" t="s">
        <v>455</v>
      </c>
      <c r="X1097" s="14"/>
      <c r="Y1097" s="12" t="s">
        <v>91</v>
      </c>
      <c r="Z1097" s="12" t="s">
        <v>263</v>
      </c>
      <c r="AA1097" s="14"/>
      <c r="AB1097" s="14"/>
      <c r="AC1097" s="15">
        <v>40.950000000000003</v>
      </c>
      <c r="AD1097" s="15">
        <f>AC1097*AG1097</f>
        <v>245.70000000000002</v>
      </c>
      <c r="AE1097" s="15">
        <v>90</v>
      </c>
      <c r="AF1097" s="15">
        <f>AE1097*AG1097</f>
        <v>540</v>
      </c>
      <c r="AG1097" s="16">
        <v>6</v>
      </c>
    </row>
    <row r="1098" spans="1:33" ht="15" customHeight="1" x14ac:dyDescent="0.2">
      <c r="A1098" s="11" t="str">
        <f t="shared" ref="A1098:A4790" si="470">HYPERLINK("https://assets.vans.eu/images/VN0A5KS5BMV-HERO/1","VN0A5KS5BMV1")</f>
        <v>VN0A5KS5BMV1</v>
      </c>
      <c r="B1098" s="12" t="s">
        <v>4453</v>
      </c>
      <c r="C1098" s="12" t="s">
        <v>4454</v>
      </c>
      <c r="D1098" s="12" t="s">
        <v>2276</v>
      </c>
      <c r="E1098" s="12" t="s">
        <v>4455</v>
      </c>
      <c r="F1098" s="13">
        <v>65</v>
      </c>
      <c r="G1098" s="14"/>
      <c r="H1098" s="12" t="s">
        <v>38</v>
      </c>
      <c r="I1098" s="12" t="s">
        <v>113</v>
      </c>
      <c r="J1098" s="12" t="s">
        <v>529</v>
      </c>
      <c r="K1098" s="12" t="s">
        <v>82</v>
      </c>
      <c r="L1098" s="14"/>
      <c r="M1098" s="12" t="s">
        <v>43</v>
      </c>
      <c r="N1098" s="12" t="s">
        <v>101</v>
      </c>
      <c r="O1098" s="12" t="s">
        <v>4456</v>
      </c>
      <c r="P1098" s="12" t="s">
        <v>46</v>
      </c>
      <c r="Q1098" s="12" t="s">
        <v>47</v>
      </c>
      <c r="R1098" s="12" t="s">
        <v>2179</v>
      </c>
      <c r="S1098" s="13">
        <v>196573474802</v>
      </c>
      <c r="T1098" s="12" t="s">
        <v>105</v>
      </c>
      <c r="U1098" s="13">
        <v>38.5</v>
      </c>
      <c r="V1098" s="12" t="s">
        <v>50</v>
      </c>
      <c r="W1098" s="12" t="s">
        <v>51</v>
      </c>
      <c r="X1098" s="14"/>
      <c r="Y1098" s="12" t="s">
        <v>91</v>
      </c>
      <c r="Z1098" s="12" t="s">
        <v>165</v>
      </c>
      <c r="AA1098" s="14"/>
      <c r="AB1098" s="14"/>
      <c r="AC1098" s="15">
        <v>68.2</v>
      </c>
      <c r="AD1098" s="15">
        <f>AC1098*AG1098</f>
        <v>409.20000000000005</v>
      </c>
      <c r="AE1098" s="15">
        <v>150</v>
      </c>
      <c r="AF1098" s="15">
        <f>AE1098*AG1098</f>
        <v>900</v>
      </c>
      <c r="AG1098" s="16">
        <v>6</v>
      </c>
    </row>
    <row r="1099" spans="1:33" ht="15" customHeight="1" x14ac:dyDescent="0.2">
      <c r="A1099" s="11" t="str">
        <f>HYPERLINK("https://assets.vans.eu/images/VN0007A8BLK-HERO/1","VN0007A8BLK1")</f>
        <v>VN0007A8BLK1</v>
      </c>
      <c r="B1099" s="12" t="s">
        <v>4457</v>
      </c>
      <c r="C1099" s="12" t="s">
        <v>4458</v>
      </c>
      <c r="D1099" s="12" t="s">
        <v>76</v>
      </c>
      <c r="E1099" s="12" t="s">
        <v>4459</v>
      </c>
      <c r="F1099" s="12" t="s">
        <v>78</v>
      </c>
      <c r="G1099" s="14"/>
      <c r="H1099" s="12" t="s">
        <v>79</v>
      </c>
      <c r="I1099" s="12" t="s">
        <v>80</v>
      </c>
      <c r="J1099" s="12" t="s">
        <v>99</v>
      </c>
      <c r="K1099" s="12" t="s">
        <v>100</v>
      </c>
      <c r="L1099" s="14"/>
      <c r="M1099" s="12" t="s">
        <v>43</v>
      </c>
      <c r="N1099" s="12" t="s">
        <v>467</v>
      </c>
      <c r="O1099" s="12" t="s">
        <v>4460</v>
      </c>
      <c r="P1099" s="12" t="s">
        <v>86</v>
      </c>
      <c r="Q1099" s="12" t="s">
        <v>716</v>
      </c>
      <c r="R1099" s="12" t="s">
        <v>717</v>
      </c>
      <c r="S1099" s="13">
        <v>196571431111</v>
      </c>
      <c r="T1099" s="12" t="s">
        <v>143</v>
      </c>
      <c r="U1099" s="12" t="s">
        <v>78</v>
      </c>
      <c r="V1099" s="12" t="s">
        <v>4461</v>
      </c>
      <c r="W1099" s="12" t="s">
        <v>51</v>
      </c>
      <c r="X1099" s="13">
        <v>0</v>
      </c>
      <c r="Y1099" s="12" t="s">
        <v>71</v>
      </c>
      <c r="Z1099" s="12" t="s">
        <v>108</v>
      </c>
      <c r="AA1099" s="13">
        <v>0</v>
      </c>
      <c r="AB1099" s="13">
        <v>0</v>
      </c>
      <c r="AC1099" s="15">
        <v>9.1</v>
      </c>
      <c r="AD1099" s="15">
        <f>AC1099*AG1099</f>
        <v>45.5</v>
      </c>
      <c r="AE1099" s="15">
        <v>20</v>
      </c>
      <c r="AF1099" s="15">
        <f>AE1099*AG1099</f>
        <v>100</v>
      </c>
      <c r="AG1099" s="16">
        <v>5</v>
      </c>
    </row>
    <row r="1100" spans="1:33" ht="15" customHeight="1" x14ac:dyDescent="0.2">
      <c r="A1100" s="11" t="str">
        <f>HYPERLINK("https://assets.vans.eu/images/VN000GNKWHT-HERO/1","VN000GNKWHT1")</f>
        <v>VN000GNKWHT1</v>
      </c>
      <c r="B1100" s="12" t="s">
        <v>4462</v>
      </c>
      <c r="C1100" s="12" t="s">
        <v>4463</v>
      </c>
      <c r="D1100" s="12" t="s">
        <v>168</v>
      </c>
      <c r="E1100" s="12" t="s">
        <v>4464</v>
      </c>
      <c r="F1100" s="13">
        <v>16</v>
      </c>
      <c r="G1100" s="14"/>
      <c r="H1100" s="12" t="s">
        <v>79</v>
      </c>
      <c r="I1100" s="12" t="s">
        <v>125</v>
      </c>
      <c r="J1100" s="12" t="s">
        <v>139</v>
      </c>
      <c r="K1100" s="12" t="s">
        <v>41</v>
      </c>
      <c r="L1100" s="14"/>
      <c r="M1100" s="12" t="s">
        <v>43</v>
      </c>
      <c r="N1100" s="12" t="s">
        <v>44</v>
      </c>
      <c r="O1100" s="12" t="s">
        <v>4465</v>
      </c>
      <c r="P1100" s="12" t="s">
        <v>86</v>
      </c>
      <c r="Q1100" s="12" t="s">
        <v>141</v>
      </c>
      <c r="R1100" s="12" t="s">
        <v>142</v>
      </c>
      <c r="S1100" s="13">
        <v>197063499527</v>
      </c>
      <c r="T1100" s="12" t="s">
        <v>105</v>
      </c>
      <c r="U1100" s="13">
        <v>16</v>
      </c>
      <c r="V1100" s="12" t="s">
        <v>4466</v>
      </c>
      <c r="W1100" s="12" t="s">
        <v>175</v>
      </c>
      <c r="X1100" s="13">
        <v>0</v>
      </c>
      <c r="Y1100" s="12" t="s">
        <v>91</v>
      </c>
      <c r="Z1100" s="12" t="s">
        <v>108</v>
      </c>
      <c r="AA1100" s="13">
        <v>0</v>
      </c>
      <c r="AB1100" s="13">
        <v>0</v>
      </c>
      <c r="AC1100" s="15">
        <v>8.1999999999999993</v>
      </c>
      <c r="AD1100" s="15">
        <f>AC1100*AG1100</f>
        <v>41</v>
      </c>
      <c r="AE1100" s="15">
        <v>18</v>
      </c>
      <c r="AF1100" s="15">
        <f>AE1100*AG1100</f>
        <v>90</v>
      </c>
      <c r="AG1100" s="16">
        <v>5</v>
      </c>
    </row>
    <row r="1101" spans="1:33" ht="15" customHeight="1" x14ac:dyDescent="0.2">
      <c r="A1101" s="11" t="str">
        <f>HYPERLINK("https://assets.vans.eu/images/VN000HSQKOU-HERO/1","VN000HSQKOU1")</f>
        <v>VN000HSQKOU1</v>
      </c>
      <c r="B1101" s="12" t="s">
        <v>4467</v>
      </c>
      <c r="C1101" s="12" t="s">
        <v>4468</v>
      </c>
      <c r="D1101" s="12" t="s">
        <v>4469</v>
      </c>
      <c r="E1101" s="12" t="s">
        <v>4470</v>
      </c>
      <c r="F1101" s="12" t="s">
        <v>78</v>
      </c>
      <c r="G1101" s="14"/>
      <c r="H1101" s="12" t="s">
        <v>79</v>
      </c>
      <c r="I1101" s="12" t="s">
        <v>80</v>
      </c>
      <c r="J1101" s="12" t="s">
        <v>349</v>
      </c>
      <c r="K1101" s="12" t="s">
        <v>82</v>
      </c>
      <c r="L1101" s="14"/>
      <c r="M1101" s="12" t="s">
        <v>43</v>
      </c>
      <c r="N1101" s="12" t="s">
        <v>84</v>
      </c>
      <c r="O1101" s="12" t="s">
        <v>4471</v>
      </c>
      <c r="P1101" s="12" t="s">
        <v>86</v>
      </c>
      <c r="Q1101" s="12" t="s">
        <v>128</v>
      </c>
      <c r="R1101" s="12" t="s">
        <v>352</v>
      </c>
      <c r="S1101" s="13">
        <v>197804385263</v>
      </c>
      <c r="T1101" s="12" t="s">
        <v>1065</v>
      </c>
      <c r="U1101" s="12" t="s">
        <v>78</v>
      </c>
      <c r="V1101" s="12" t="s">
        <v>4472</v>
      </c>
      <c r="W1101" s="12" t="s">
        <v>51</v>
      </c>
      <c r="X1101" s="14"/>
      <c r="Y1101" s="14"/>
      <c r="Z1101" s="14"/>
      <c r="AA1101" s="14"/>
      <c r="AB1101" s="14"/>
      <c r="AC1101" s="15">
        <v>13.65</v>
      </c>
      <c r="AD1101" s="15">
        <f>AC1101*AG1101</f>
        <v>68.25</v>
      </c>
      <c r="AE1101" s="15">
        <v>30</v>
      </c>
      <c r="AF1101" s="15">
        <f>AE1101*AG1101</f>
        <v>150</v>
      </c>
      <c r="AG1101" s="16">
        <v>5</v>
      </c>
    </row>
    <row r="1102" spans="1:33" ht="15" customHeight="1" x14ac:dyDescent="0.2">
      <c r="A1102" s="11" t="str">
        <f>HYPERLINK("https://assets.vans.eu/images/VN000HSUY7X-HERO/1","VN000HSUY7X1")</f>
        <v>VN000HSUY7X1</v>
      </c>
      <c r="B1102" s="12" t="s">
        <v>4473</v>
      </c>
      <c r="C1102" s="12" t="s">
        <v>2842</v>
      </c>
      <c r="D1102" s="12" t="s">
        <v>2658</v>
      </c>
      <c r="E1102" s="12" t="s">
        <v>4474</v>
      </c>
      <c r="F1102" s="12" t="s">
        <v>78</v>
      </c>
      <c r="G1102" s="14"/>
      <c r="H1102" s="12" t="s">
        <v>79</v>
      </c>
      <c r="I1102" s="12" t="s">
        <v>80</v>
      </c>
      <c r="J1102" s="12" t="s">
        <v>349</v>
      </c>
      <c r="K1102" s="12" t="s">
        <v>82</v>
      </c>
      <c r="L1102" s="14"/>
      <c r="M1102" s="12" t="s">
        <v>43</v>
      </c>
      <c r="N1102" s="12" t="s">
        <v>84</v>
      </c>
      <c r="O1102" s="12" t="s">
        <v>4475</v>
      </c>
      <c r="P1102" s="12" t="s">
        <v>86</v>
      </c>
      <c r="Q1102" s="12" t="s">
        <v>128</v>
      </c>
      <c r="R1102" s="12" t="s">
        <v>352</v>
      </c>
      <c r="S1102" s="13">
        <v>197804385317</v>
      </c>
      <c r="T1102" s="12" t="s">
        <v>130</v>
      </c>
      <c r="U1102" s="12" t="s">
        <v>78</v>
      </c>
      <c r="V1102" s="12" t="s">
        <v>454</v>
      </c>
      <c r="W1102" s="12" t="s">
        <v>933</v>
      </c>
      <c r="X1102" s="14"/>
      <c r="Y1102" s="14"/>
      <c r="Z1102" s="14"/>
      <c r="AA1102" s="14"/>
      <c r="AB1102" s="14"/>
      <c r="AC1102" s="15">
        <v>12.75</v>
      </c>
      <c r="AD1102" s="15">
        <f>AC1102*AG1102</f>
        <v>63.75</v>
      </c>
      <c r="AE1102" s="15">
        <v>28</v>
      </c>
      <c r="AF1102" s="15">
        <f>AE1102*AG1102</f>
        <v>140</v>
      </c>
      <c r="AG1102" s="16">
        <v>5</v>
      </c>
    </row>
    <row r="1103" spans="1:33" ht="15" customHeight="1" x14ac:dyDescent="0.2">
      <c r="A1103" s="11" t="str">
        <f>HYPERLINK("https://assets.vans.eu/images/VN000HSXHTG-HERO/1","VN000HSXHTG1")</f>
        <v>VN000HSXHTG1</v>
      </c>
      <c r="B1103" s="12" t="s">
        <v>4476</v>
      </c>
      <c r="C1103" s="12" t="s">
        <v>4055</v>
      </c>
      <c r="D1103" s="12" t="s">
        <v>451</v>
      </c>
      <c r="E1103" s="12" t="s">
        <v>4477</v>
      </c>
      <c r="F1103" s="12" t="s">
        <v>78</v>
      </c>
      <c r="G1103" s="14"/>
      <c r="H1103" s="12" t="s">
        <v>79</v>
      </c>
      <c r="I1103" s="12" t="s">
        <v>80</v>
      </c>
      <c r="J1103" s="12" t="s">
        <v>349</v>
      </c>
      <c r="K1103" s="12" t="s">
        <v>82</v>
      </c>
      <c r="L1103" s="14"/>
      <c r="M1103" s="12" t="s">
        <v>43</v>
      </c>
      <c r="N1103" s="12" t="s">
        <v>84</v>
      </c>
      <c r="O1103" s="12" t="s">
        <v>4478</v>
      </c>
      <c r="P1103" s="12" t="s">
        <v>86</v>
      </c>
      <c r="Q1103" s="12" t="s">
        <v>128</v>
      </c>
      <c r="R1103" s="12" t="s">
        <v>352</v>
      </c>
      <c r="S1103" s="13">
        <v>197804385331</v>
      </c>
      <c r="T1103" s="12" t="s">
        <v>164</v>
      </c>
      <c r="U1103" s="12" t="s">
        <v>78</v>
      </c>
      <c r="V1103" s="12" t="s">
        <v>2037</v>
      </c>
      <c r="W1103" s="12" t="s">
        <v>455</v>
      </c>
      <c r="X1103" s="14"/>
      <c r="Y1103" s="14"/>
      <c r="Z1103" s="14"/>
      <c r="AA1103" s="14"/>
      <c r="AB1103" s="14"/>
      <c r="AC1103" s="15">
        <v>12.75</v>
      </c>
      <c r="AD1103" s="15">
        <f>AC1103*AG1103</f>
        <v>63.75</v>
      </c>
      <c r="AE1103" s="15">
        <v>28</v>
      </c>
      <c r="AF1103" s="15">
        <f>AE1103*AG1103</f>
        <v>140</v>
      </c>
      <c r="AG1103" s="16">
        <v>5</v>
      </c>
    </row>
    <row r="1104" spans="1:33" ht="15" customHeight="1" x14ac:dyDescent="0.2">
      <c r="A1104" s="11" t="str">
        <f>HYPERLINK("https://assets.vans.eu/images/VN000HT39JC-HERO/1","VN000HT39JC1")</f>
        <v>VN000HT39JC1</v>
      </c>
      <c r="B1104" s="12" t="s">
        <v>4479</v>
      </c>
      <c r="C1104" s="12" t="s">
        <v>4480</v>
      </c>
      <c r="D1104" s="12" t="s">
        <v>4481</v>
      </c>
      <c r="E1104" s="12" t="s">
        <v>4482</v>
      </c>
      <c r="F1104" s="13">
        <v>659</v>
      </c>
      <c r="G1104" s="14"/>
      <c r="H1104" s="12" t="s">
        <v>79</v>
      </c>
      <c r="I1104" s="12" t="s">
        <v>80</v>
      </c>
      <c r="J1104" s="12" t="s">
        <v>171</v>
      </c>
      <c r="K1104" s="12" t="s">
        <v>199</v>
      </c>
      <c r="L1104" s="14"/>
      <c r="M1104" s="12" t="s">
        <v>43</v>
      </c>
      <c r="N1104" s="12" t="s">
        <v>161</v>
      </c>
      <c r="O1104" s="12" t="s">
        <v>4483</v>
      </c>
      <c r="P1104" s="12" t="s">
        <v>86</v>
      </c>
      <c r="Q1104" s="12" t="s">
        <v>141</v>
      </c>
      <c r="R1104" s="12" t="s">
        <v>173</v>
      </c>
      <c r="S1104" s="13">
        <v>197065490256</v>
      </c>
      <c r="T1104" s="12" t="s">
        <v>143</v>
      </c>
      <c r="U1104" s="12" t="s">
        <v>2023</v>
      </c>
      <c r="V1104" s="12" t="s">
        <v>4484</v>
      </c>
      <c r="W1104" s="12" t="s">
        <v>186</v>
      </c>
      <c r="X1104" s="13">
        <v>0</v>
      </c>
      <c r="Y1104" s="12" t="s">
        <v>53</v>
      </c>
      <c r="Z1104" s="12" t="s">
        <v>108</v>
      </c>
      <c r="AA1104" s="13">
        <v>0</v>
      </c>
      <c r="AB1104" s="13">
        <v>0</v>
      </c>
      <c r="AC1104" s="15">
        <v>8.1999999999999993</v>
      </c>
      <c r="AD1104" s="15">
        <f>AC1104*AG1104</f>
        <v>41</v>
      </c>
      <c r="AE1104" s="15">
        <v>18</v>
      </c>
      <c r="AF1104" s="15">
        <f>AE1104*AG1104</f>
        <v>90</v>
      </c>
      <c r="AG1104" s="16">
        <v>5</v>
      </c>
    </row>
    <row r="1105" spans="1:33" ht="15" customHeight="1" x14ac:dyDescent="0.2">
      <c r="A1105" s="11" t="str">
        <f>HYPERLINK("https://assets.vans.eu/images/VN000PNTEMP-HERO/1","VN000PNTEMP1")</f>
        <v>VN000PNTEMP1</v>
      </c>
      <c r="B1105" s="12" t="s">
        <v>4485</v>
      </c>
      <c r="C1105" s="12" t="s">
        <v>4486</v>
      </c>
      <c r="D1105" s="12" t="s">
        <v>704</v>
      </c>
      <c r="E1105" s="12" t="s">
        <v>4487</v>
      </c>
      <c r="F1105" s="12" t="s">
        <v>78</v>
      </c>
      <c r="G1105" s="14"/>
      <c r="H1105" s="12" t="s">
        <v>79</v>
      </c>
      <c r="I1105" s="12" t="s">
        <v>80</v>
      </c>
      <c r="J1105" s="12" t="s">
        <v>349</v>
      </c>
      <c r="K1105" s="12" t="s">
        <v>82</v>
      </c>
      <c r="L1105" s="14"/>
      <c r="M1105" s="12" t="s">
        <v>43</v>
      </c>
      <c r="N1105" s="12" t="s">
        <v>84</v>
      </c>
      <c r="O1105" s="12" t="s">
        <v>4488</v>
      </c>
      <c r="P1105" s="12" t="s">
        <v>86</v>
      </c>
      <c r="Q1105" s="12" t="s">
        <v>128</v>
      </c>
      <c r="R1105" s="12" t="s">
        <v>352</v>
      </c>
      <c r="S1105" s="13">
        <v>197804372713</v>
      </c>
      <c r="T1105" s="12" t="s">
        <v>130</v>
      </c>
      <c r="U1105" s="12" t="s">
        <v>78</v>
      </c>
      <c r="V1105" s="12" t="s">
        <v>4489</v>
      </c>
      <c r="W1105" s="12" t="s">
        <v>186</v>
      </c>
      <c r="X1105" s="14"/>
      <c r="Y1105" s="14"/>
      <c r="Z1105" s="14"/>
      <c r="AA1105" s="14"/>
      <c r="AB1105" s="14"/>
      <c r="AC1105" s="15">
        <v>15.95</v>
      </c>
      <c r="AD1105" s="15">
        <f>AC1105*AG1105</f>
        <v>79.75</v>
      </c>
      <c r="AE1105" s="15">
        <v>35</v>
      </c>
      <c r="AF1105" s="15">
        <f>AE1105*AG1105</f>
        <v>175</v>
      </c>
      <c r="AG1105" s="16">
        <v>5</v>
      </c>
    </row>
    <row r="1106" spans="1:33" ht="15" customHeight="1" x14ac:dyDescent="0.2">
      <c r="A1106" s="11" t="str">
        <f>HYPERLINK("https://assets.vans.eu/images/VN000Q1UWHT-HERO/1","VN000Q1UWHT1")</f>
        <v>VN000Q1UWHT1</v>
      </c>
      <c r="B1106" s="12" t="s">
        <v>4490</v>
      </c>
      <c r="C1106" s="12" t="s">
        <v>1870</v>
      </c>
      <c r="D1106" s="12" t="s">
        <v>168</v>
      </c>
      <c r="E1106" s="12" t="s">
        <v>4491</v>
      </c>
      <c r="F1106" s="13">
        <v>24</v>
      </c>
      <c r="G1106" s="14"/>
      <c r="H1106" s="12" t="s">
        <v>79</v>
      </c>
      <c r="I1106" s="12" t="s">
        <v>472</v>
      </c>
      <c r="J1106" s="12" t="s">
        <v>473</v>
      </c>
      <c r="K1106" s="12" t="s">
        <v>474</v>
      </c>
      <c r="L1106" s="14"/>
      <c r="M1106" s="12" t="s">
        <v>43</v>
      </c>
      <c r="N1106" s="12" t="s">
        <v>84</v>
      </c>
      <c r="O1106" s="12" t="s">
        <v>4492</v>
      </c>
      <c r="P1106" s="12" t="s">
        <v>86</v>
      </c>
      <c r="Q1106" s="12" t="s">
        <v>141</v>
      </c>
      <c r="R1106" s="12" t="s">
        <v>142</v>
      </c>
      <c r="S1106" s="13">
        <v>197804383474</v>
      </c>
      <c r="T1106" s="12" t="s">
        <v>143</v>
      </c>
      <c r="U1106" s="13">
        <v>24</v>
      </c>
      <c r="V1106" s="12" t="s">
        <v>1873</v>
      </c>
      <c r="W1106" s="12" t="s">
        <v>175</v>
      </c>
      <c r="X1106" s="14"/>
      <c r="Y1106" s="14"/>
      <c r="Z1106" s="14"/>
      <c r="AA1106" s="14"/>
      <c r="AB1106" s="14"/>
      <c r="AC1106" s="15">
        <v>5.5</v>
      </c>
      <c r="AD1106" s="15">
        <f>AC1106*AG1106</f>
        <v>27.5</v>
      </c>
      <c r="AE1106" s="15">
        <v>12</v>
      </c>
      <c r="AF1106" s="15">
        <f>AE1106*AG1106</f>
        <v>60</v>
      </c>
      <c r="AG1106" s="16">
        <v>5</v>
      </c>
    </row>
    <row r="1107" spans="1:33" ht="15" customHeight="1" x14ac:dyDescent="0.2">
      <c r="A1107" s="11" t="str">
        <f>HYPERLINK("https://assets.vans.eu/images/VN000QAGBLK-HERO/1","VN000QAGBLK1")</f>
        <v>VN000QAGBLK1</v>
      </c>
      <c r="B1107" s="12" t="s">
        <v>4493</v>
      </c>
      <c r="C1107" s="12" t="s">
        <v>4494</v>
      </c>
      <c r="D1107" s="12" t="s">
        <v>76</v>
      </c>
      <c r="E1107" s="12" t="s">
        <v>4495</v>
      </c>
      <c r="F1107" s="12" t="s">
        <v>78</v>
      </c>
      <c r="G1107" s="14"/>
      <c r="H1107" s="12" t="s">
        <v>79</v>
      </c>
      <c r="I1107" s="12" t="s">
        <v>80</v>
      </c>
      <c r="J1107" s="12" t="s">
        <v>349</v>
      </c>
      <c r="K1107" s="12" t="s">
        <v>82</v>
      </c>
      <c r="L1107" s="14"/>
      <c r="M1107" s="12" t="s">
        <v>43</v>
      </c>
      <c r="N1107" s="12" t="s">
        <v>84</v>
      </c>
      <c r="O1107" s="12" t="s">
        <v>4496</v>
      </c>
      <c r="P1107" s="12" t="s">
        <v>86</v>
      </c>
      <c r="Q1107" s="12" t="s">
        <v>128</v>
      </c>
      <c r="R1107" s="12" t="s">
        <v>352</v>
      </c>
      <c r="S1107" s="13">
        <v>197804374762</v>
      </c>
      <c r="T1107" s="12" t="s">
        <v>235</v>
      </c>
      <c r="U1107" s="12" t="s">
        <v>78</v>
      </c>
      <c r="V1107" s="12" t="s">
        <v>965</v>
      </c>
      <c r="W1107" s="12" t="s">
        <v>51</v>
      </c>
      <c r="X1107" s="14"/>
      <c r="Y1107" s="14"/>
      <c r="Z1107" s="14"/>
      <c r="AA1107" s="14"/>
      <c r="AB1107" s="14"/>
      <c r="AC1107" s="15">
        <v>16.399999999999999</v>
      </c>
      <c r="AD1107" s="15">
        <f>AC1107*AG1107</f>
        <v>82</v>
      </c>
      <c r="AE1107" s="15">
        <v>36</v>
      </c>
      <c r="AF1107" s="15">
        <f>AE1107*AG1107</f>
        <v>180</v>
      </c>
      <c r="AG1107" s="16">
        <v>5</v>
      </c>
    </row>
    <row r="1108" spans="1:33" ht="15" customHeight="1" x14ac:dyDescent="0.2">
      <c r="A1108" s="11" t="str">
        <f>HYPERLINK("https://assets.vans.eu/images/VN000QAXEN7-HERO/1","VN000QAXEN71")</f>
        <v>VN000QAXEN71</v>
      </c>
      <c r="B1108" s="12" t="s">
        <v>4497</v>
      </c>
      <c r="C1108" s="12" t="s">
        <v>2034</v>
      </c>
      <c r="D1108" s="12" t="s">
        <v>295</v>
      </c>
      <c r="E1108" s="12" t="s">
        <v>4498</v>
      </c>
      <c r="F1108" s="12" t="s">
        <v>78</v>
      </c>
      <c r="G1108" s="14"/>
      <c r="H1108" s="12" t="s">
        <v>79</v>
      </c>
      <c r="I1108" s="12" t="s">
        <v>80</v>
      </c>
      <c r="J1108" s="12" t="s">
        <v>349</v>
      </c>
      <c r="K1108" s="12" t="s">
        <v>82</v>
      </c>
      <c r="L1108" s="14"/>
      <c r="M1108" s="12" t="s">
        <v>43</v>
      </c>
      <c r="N1108" s="12" t="s">
        <v>84</v>
      </c>
      <c r="O1108" s="12" t="s">
        <v>4499</v>
      </c>
      <c r="P1108" s="12" t="s">
        <v>86</v>
      </c>
      <c r="Q1108" s="12" t="s">
        <v>128</v>
      </c>
      <c r="R1108" s="12" t="s">
        <v>352</v>
      </c>
      <c r="S1108" s="13">
        <v>197804375233</v>
      </c>
      <c r="T1108" s="12" t="s">
        <v>164</v>
      </c>
      <c r="U1108" s="12" t="s">
        <v>78</v>
      </c>
      <c r="V1108" s="12" t="s">
        <v>2037</v>
      </c>
      <c r="W1108" s="12" t="s">
        <v>299</v>
      </c>
      <c r="X1108" s="14"/>
      <c r="Y1108" s="14"/>
      <c r="Z1108" s="14"/>
      <c r="AA1108" s="14"/>
      <c r="AB1108" s="14"/>
      <c r="AC1108" s="15">
        <v>13.65</v>
      </c>
      <c r="AD1108" s="15">
        <f>AC1108*AG1108</f>
        <v>68.25</v>
      </c>
      <c r="AE1108" s="15">
        <v>30</v>
      </c>
      <c r="AF1108" s="15">
        <f>AE1108*AG1108</f>
        <v>150</v>
      </c>
      <c r="AG1108" s="16">
        <v>5</v>
      </c>
    </row>
    <row r="1109" spans="1:33" ht="15" customHeight="1" x14ac:dyDescent="0.2">
      <c r="A1109" s="11" t="str">
        <f>HYPERLINK("https://assets.vans.eu/images/VN000QB6EN7-HERO/1","VN000QB6EN71")</f>
        <v>VN000QB6EN71</v>
      </c>
      <c r="B1109" s="12" t="s">
        <v>4500</v>
      </c>
      <c r="C1109" s="12" t="s">
        <v>4501</v>
      </c>
      <c r="D1109" s="12" t="s">
        <v>295</v>
      </c>
      <c r="E1109" s="12" t="s">
        <v>4502</v>
      </c>
      <c r="F1109" s="12" t="s">
        <v>403</v>
      </c>
      <c r="G1109" s="14"/>
      <c r="H1109" s="12" t="s">
        <v>79</v>
      </c>
      <c r="I1109" s="12" t="s">
        <v>80</v>
      </c>
      <c r="J1109" s="12" t="s">
        <v>171</v>
      </c>
      <c r="K1109" s="12" t="s">
        <v>82</v>
      </c>
      <c r="L1109" s="14"/>
      <c r="M1109" s="12" t="s">
        <v>43</v>
      </c>
      <c r="N1109" s="12" t="s">
        <v>84</v>
      </c>
      <c r="O1109" s="12" t="s">
        <v>4503</v>
      </c>
      <c r="P1109" s="12" t="s">
        <v>86</v>
      </c>
      <c r="Q1109" s="12" t="s">
        <v>141</v>
      </c>
      <c r="R1109" s="12" t="s">
        <v>173</v>
      </c>
      <c r="S1109" s="13">
        <v>197804394067</v>
      </c>
      <c r="T1109" s="12" t="s">
        <v>143</v>
      </c>
      <c r="U1109" s="12" t="s">
        <v>403</v>
      </c>
      <c r="V1109" s="12" t="s">
        <v>4504</v>
      </c>
      <c r="W1109" s="12" t="s">
        <v>299</v>
      </c>
      <c r="X1109" s="14"/>
      <c r="Y1109" s="14"/>
      <c r="Z1109" s="14"/>
      <c r="AA1109" s="14"/>
      <c r="AB1109" s="14"/>
      <c r="AC1109" s="15">
        <v>9.1</v>
      </c>
      <c r="AD1109" s="15">
        <f>AC1109*AG1109</f>
        <v>45.5</v>
      </c>
      <c r="AE1109" s="15">
        <v>20</v>
      </c>
      <c r="AF1109" s="15">
        <f>AE1109*AG1109</f>
        <v>100</v>
      </c>
      <c r="AG1109" s="16">
        <v>5</v>
      </c>
    </row>
    <row r="1110" spans="1:33" ht="15" customHeight="1" x14ac:dyDescent="0.2">
      <c r="A1110" s="11" t="str">
        <f t="shared" si="217"/>
        <v>VN000QBQEN71</v>
      </c>
      <c r="B1110" s="12" t="s">
        <v>4505</v>
      </c>
      <c r="C1110" s="12" t="s">
        <v>2338</v>
      </c>
      <c r="D1110" s="12" t="s">
        <v>295</v>
      </c>
      <c r="E1110" s="12" t="s">
        <v>4506</v>
      </c>
      <c r="F1110" s="12" t="s">
        <v>403</v>
      </c>
      <c r="G1110" s="14"/>
      <c r="H1110" s="12" t="s">
        <v>79</v>
      </c>
      <c r="I1110" s="12" t="s">
        <v>80</v>
      </c>
      <c r="J1110" s="12" t="s">
        <v>171</v>
      </c>
      <c r="K1110" s="12" t="s">
        <v>82</v>
      </c>
      <c r="L1110" s="14"/>
      <c r="M1110" s="12" t="s">
        <v>43</v>
      </c>
      <c r="N1110" s="12" t="s">
        <v>84</v>
      </c>
      <c r="O1110" s="12" t="s">
        <v>4507</v>
      </c>
      <c r="P1110" s="12" t="s">
        <v>86</v>
      </c>
      <c r="Q1110" s="12" t="s">
        <v>141</v>
      </c>
      <c r="R1110" s="12" t="s">
        <v>173</v>
      </c>
      <c r="S1110" s="13">
        <v>197804395194</v>
      </c>
      <c r="T1110" s="12" t="s">
        <v>143</v>
      </c>
      <c r="U1110" s="12" t="s">
        <v>403</v>
      </c>
      <c r="V1110" s="12" t="s">
        <v>2341</v>
      </c>
      <c r="W1110" s="12" t="s">
        <v>299</v>
      </c>
      <c r="X1110" s="14"/>
      <c r="Y1110" s="14"/>
      <c r="Z1110" s="14"/>
      <c r="AA1110" s="14"/>
      <c r="AB1110" s="14"/>
      <c r="AC1110" s="15">
        <v>7.3</v>
      </c>
      <c r="AD1110" s="15">
        <f>AC1110*AG1110</f>
        <v>36.5</v>
      </c>
      <c r="AE1110" s="15">
        <v>16</v>
      </c>
      <c r="AF1110" s="15">
        <f>AE1110*AG1110</f>
        <v>80</v>
      </c>
      <c r="AG1110" s="16">
        <v>5</v>
      </c>
    </row>
    <row r="1111" spans="1:33" ht="15" customHeight="1" x14ac:dyDescent="0.2">
      <c r="A1111" s="11" t="str">
        <f>HYPERLINK("https://assets.vans.eu/images/VN000QCMY28-HERO/1","VN000QCMY281")</f>
        <v>VN000QCMY281</v>
      </c>
      <c r="B1111" s="12" t="s">
        <v>4508</v>
      </c>
      <c r="C1111" s="12" t="s">
        <v>1547</v>
      </c>
      <c r="D1111" s="12" t="s">
        <v>58</v>
      </c>
      <c r="E1111" s="12" t="s">
        <v>4509</v>
      </c>
      <c r="F1111" s="13">
        <v>34</v>
      </c>
      <c r="G1111" s="14"/>
      <c r="H1111" s="12" t="s">
        <v>79</v>
      </c>
      <c r="I1111" s="12" t="s">
        <v>80</v>
      </c>
      <c r="J1111" s="12" t="s">
        <v>99</v>
      </c>
      <c r="K1111" s="12" t="s">
        <v>82</v>
      </c>
      <c r="L1111" s="14"/>
      <c r="M1111" s="12" t="s">
        <v>43</v>
      </c>
      <c r="N1111" s="12" t="s">
        <v>84</v>
      </c>
      <c r="O1111" s="12" t="s">
        <v>4510</v>
      </c>
      <c r="P1111" s="12" t="s">
        <v>86</v>
      </c>
      <c r="Q1111" s="12" t="s">
        <v>103</v>
      </c>
      <c r="R1111" s="12" t="s">
        <v>104</v>
      </c>
      <c r="S1111" s="13">
        <v>197804375592</v>
      </c>
      <c r="T1111" s="12" t="s">
        <v>49</v>
      </c>
      <c r="U1111" s="13">
        <v>34</v>
      </c>
      <c r="V1111" s="12" t="s">
        <v>1550</v>
      </c>
      <c r="W1111" s="12" t="s">
        <v>51</v>
      </c>
      <c r="X1111" s="14"/>
      <c r="Y1111" s="14"/>
      <c r="Z1111" s="14"/>
      <c r="AA1111" s="14"/>
      <c r="AB1111" s="14"/>
      <c r="AC1111" s="15">
        <v>22.75</v>
      </c>
      <c r="AD1111" s="15">
        <f>AC1111*AG1111</f>
        <v>113.75</v>
      </c>
      <c r="AE1111" s="15">
        <v>50</v>
      </c>
      <c r="AF1111" s="15">
        <f>AE1111*AG1111</f>
        <v>250</v>
      </c>
      <c r="AG1111" s="16">
        <v>5</v>
      </c>
    </row>
    <row r="1112" spans="1:33" ht="15" customHeight="1" x14ac:dyDescent="0.2">
      <c r="A1112" s="11" t="str">
        <f t="shared" ref="A1112:A1301" si="471">HYPERLINK("https://assets.vans.eu/images/VN0A31J6BLK-HERO/1","VN0A31J6BLK1")</f>
        <v>VN0A31J6BLK1</v>
      </c>
      <c r="B1112" s="12" t="s">
        <v>4511</v>
      </c>
      <c r="C1112" s="12" t="s">
        <v>2662</v>
      </c>
      <c r="D1112" s="12" t="s">
        <v>76</v>
      </c>
      <c r="E1112" s="12" t="s">
        <v>4512</v>
      </c>
      <c r="F1112" s="13">
        <v>34</v>
      </c>
      <c r="G1112" s="14"/>
      <c r="H1112" s="12" t="s">
        <v>79</v>
      </c>
      <c r="I1112" s="12" t="s">
        <v>80</v>
      </c>
      <c r="J1112" s="12" t="s">
        <v>99</v>
      </c>
      <c r="K1112" s="12" t="s">
        <v>199</v>
      </c>
      <c r="L1112" s="14"/>
      <c r="M1112" s="12" t="s">
        <v>43</v>
      </c>
      <c r="N1112" s="12" t="s">
        <v>467</v>
      </c>
      <c r="O1112" s="12" t="s">
        <v>4513</v>
      </c>
      <c r="P1112" s="12" t="s">
        <v>86</v>
      </c>
      <c r="Q1112" s="12" t="s">
        <v>103</v>
      </c>
      <c r="R1112" s="12" t="s">
        <v>104</v>
      </c>
      <c r="S1112" s="13">
        <v>191163132643</v>
      </c>
      <c r="T1112" s="12" t="s">
        <v>49</v>
      </c>
      <c r="U1112" s="13">
        <v>34</v>
      </c>
      <c r="V1112" s="12" t="s">
        <v>2666</v>
      </c>
      <c r="W1112" s="12" t="s">
        <v>51</v>
      </c>
      <c r="X1112" s="13">
        <v>0</v>
      </c>
      <c r="Y1112" s="12" t="s">
        <v>71</v>
      </c>
      <c r="Z1112" s="12" t="s">
        <v>1180</v>
      </c>
      <c r="AA1112" s="13">
        <v>0</v>
      </c>
      <c r="AB1112" s="13">
        <v>0</v>
      </c>
      <c r="AC1112" s="15">
        <v>16.399999999999999</v>
      </c>
      <c r="AD1112" s="15">
        <f>AC1112*AG1112</f>
        <v>82</v>
      </c>
      <c r="AE1112" s="15">
        <v>36</v>
      </c>
      <c r="AF1112" s="15">
        <f>AE1112*AG1112</f>
        <v>180</v>
      </c>
      <c r="AG1112" s="16">
        <v>5</v>
      </c>
    </row>
    <row r="1113" spans="1:33" ht="15" customHeight="1" x14ac:dyDescent="0.2">
      <c r="A1113" s="11" t="str">
        <f>HYPERLINK("https://assets.vans.eu/images/VN0A48HDD45-HERO/1","VN0A48HDD451")</f>
        <v>VN0A48HDD451</v>
      </c>
      <c r="B1113" s="12" t="s">
        <v>4514</v>
      </c>
      <c r="C1113" s="12" t="s">
        <v>4515</v>
      </c>
      <c r="D1113" s="12" t="s">
        <v>4516</v>
      </c>
      <c r="E1113" s="12" t="s">
        <v>4517</v>
      </c>
      <c r="F1113" s="12" t="s">
        <v>78</v>
      </c>
      <c r="G1113" s="14"/>
      <c r="H1113" s="12" t="s">
        <v>79</v>
      </c>
      <c r="I1113" s="12" t="s">
        <v>80</v>
      </c>
      <c r="J1113" s="12" t="s">
        <v>171</v>
      </c>
      <c r="K1113" s="12" t="s">
        <v>100</v>
      </c>
      <c r="L1113" s="14"/>
      <c r="M1113" s="12" t="s">
        <v>43</v>
      </c>
      <c r="N1113" s="12" t="s">
        <v>84</v>
      </c>
      <c r="O1113" s="12" t="s">
        <v>4518</v>
      </c>
      <c r="P1113" s="12" t="s">
        <v>86</v>
      </c>
      <c r="Q1113" s="12" t="s">
        <v>141</v>
      </c>
      <c r="R1113" s="12" t="s">
        <v>173</v>
      </c>
      <c r="S1113" s="13">
        <v>197065796549</v>
      </c>
      <c r="T1113" s="12" t="s">
        <v>143</v>
      </c>
      <c r="U1113" s="12" t="s">
        <v>78</v>
      </c>
      <c r="V1113" s="12" t="s">
        <v>4519</v>
      </c>
      <c r="W1113" s="12" t="s">
        <v>107</v>
      </c>
      <c r="X1113" s="13">
        <v>0</v>
      </c>
      <c r="Y1113" s="12" t="s">
        <v>91</v>
      </c>
      <c r="Z1113" s="12" t="s">
        <v>108</v>
      </c>
      <c r="AA1113" s="13">
        <v>0</v>
      </c>
      <c r="AB1113" s="13">
        <v>0</v>
      </c>
      <c r="AC1113" s="15">
        <v>9.1</v>
      </c>
      <c r="AD1113" s="15">
        <f>AC1113*AG1113</f>
        <v>45.5</v>
      </c>
      <c r="AE1113" s="15">
        <v>20</v>
      </c>
      <c r="AF1113" s="15">
        <f>AE1113*AG1113</f>
        <v>100</v>
      </c>
      <c r="AG1113" s="16">
        <v>5</v>
      </c>
    </row>
    <row r="1114" spans="1:33" ht="15" customHeight="1" x14ac:dyDescent="0.2">
      <c r="A1114" s="11" t="str">
        <f>HYPERLINK("https://assets.vans.eu/images/VN00046QE2W-HERO/1","VN00046QE2W1")</f>
        <v>VN00046QE2W1</v>
      </c>
      <c r="B1114" s="12" t="s">
        <v>4520</v>
      </c>
      <c r="C1114" s="12" t="s">
        <v>1475</v>
      </c>
      <c r="D1114" s="12" t="s">
        <v>1476</v>
      </c>
      <c r="E1114" s="12" t="s">
        <v>4521</v>
      </c>
      <c r="F1114" s="12" t="s">
        <v>138</v>
      </c>
      <c r="G1114" s="14"/>
      <c r="H1114" s="12" t="s">
        <v>61</v>
      </c>
      <c r="I1114" s="12" t="s">
        <v>289</v>
      </c>
      <c r="J1114" s="12" t="s">
        <v>900</v>
      </c>
      <c r="K1114" s="12" t="s">
        <v>100</v>
      </c>
      <c r="L1114" s="12" t="s">
        <v>83</v>
      </c>
      <c r="M1114" s="12" t="s">
        <v>43</v>
      </c>
      <c r="N1114" s="12" t="s">
        <v>44</v>
      </c>
      <c r="O1114" s="12" t="s">
        <v>4522</v>
      </c>
      <c r="P1114" s="12" t="s">
        <v>66</v>
      </c>
      <c r="Q1114" s="12" t="s">
        <v>233</v>
      </c>
      <c r="R1114" s="12" t="s">
        <v>902</v>
      </c>
      <c r="S1114" s="13">
        <v>197803399537</v>
      </c>
      <c r="T1114" s="12" t="s">
        <v>69</v>
      </c>
      <c r="U1114" s="12" t="s">
        <v>138</v>
      </c>
      <c r="V1114" s="12" t="s">
        <v>423</v>
      </c>
      <c r="W1114" s="12" t="s">
        <v>284</v>
      </c>
      <c r="X1114" s="13">
        <v>0</v>
      </c>
      <c r="Y1114" s="12" t="s">
        <v>53</v>
      </c>
      <c r="Z1114" s="12" t="s">
        <v>108</v>
      </c>
      <c r="AA1114" s="13">
        <v>0</v>
      </c>
      <c r="AB1114" s="12" t="s">
        <v>616</v>
      </c>
      <c r="AC1114" s="15">
        <v>22.75</v>
      </c>
      <c r="AD1114" s="15">
        <f>AC1114*AG1114</f>
        <v>113.75</v>
      </c>
      <c r="AE1114" s="15">
        <v>50</v>
      </c>
      <c r="AF1114" s="15">
        <f>AE1114*AG1114</f>
        <v>250</v>
      </c>
      <c r="AG1114" s="16">
        <v>5</v>
      </c>
    </row>
    <row r="1115" spans="1:33" ht="15" customHeight="1" x14ac:dyDescent="0.2">
      <c r="A1115" s="11" t="str">
        <f t="shared" ref="A1115:A1606" si="472">HYPERLINK("https://assets.vans.eu/images/VN0008N6BLK-HERO/1","VN0008N6BLK1")</f>
        <v>VN0008N6BLK1</v>
      </c>
      <c r="B1115" s="12" t="s">
        <v>4523</v>
      </c>
      <c r="C1115" s="12" t="s">
        <v>2042</v>
      </c>
      <c r="D1115" s="12" t="s">
        <v>76</v>
      </c>
      <c r="E1115" s="12" t="s">
        <v>4524</v>
      </c>
      <c r="F1115" s="13">
        <v>31</v>
      </c>
      <c r="G1115" s="14"/>
      <c r="H1115" s="12" t="s">
        <v>61</v>
      </c>
      <c r="I1115" s="12" t="s">
        <v>230</v>
      </c>
      <c r="J1115" s="12" t="s">
        <v>231</v>
      </c>
      <c r="K1115" s="12" t="s">
        <v>199</v>
      </c>
      <c r="L1115" s="14"/>
      <c r="M1115" s="12" t="s">
        <v>43</v>
      </c>
      <c r="N1115" s="12" t="s">
        <v>84</v>
      </c>
      <c r="O1115" s="12" t="s">
        <v>4525</v>
      </c>
      <c r="P1115" s="12" t="s">
        <v>66</v>
      </c>
      <c r="Q1115" s="12" t="s">
        <v>233</v>
      </c>
      <c r="R1115" s="12" t="s">
        <v>361</v>
      </c>
      <c r="S1115" s="13">
        <v>197063494782</v>
      </c>
      <c r="T1115" s="12" t="s">
        <v>235</v>
      </c>
      <c r="U1115" s="13">
        <v>31</v>
      </c>
      <c r="V1115" s="12" t="s">
        <v>665</v>
      </c>
      <c r="W1115" s="12" t="s">
        <v>51</v>
      </c>
      <c r="X1115" s="13">
        <v>0</v>
      </c>
      <c r="Y1115" s="12" t="s">
        <v>91</v>
      </c>
      <c r="Z1115" s="12" t="s">
        <v>108</v>
      </c>
      <c r="AA1115" s="13">
        <v>0</v>
      </c>
      <c r="AB1115" s="13">
        <v>0</v>
      </c>
      <c r="AC1115" s="15">
        <v>36.4</v>
      </c>
      <c r="AD1115" s="15">
        <f>AC1115*AG1115</f>
        <v>182</v>
      </c>
      <c r="AE1115" s="15">
        <v>80</v>
      </c>
      <c r="AF1115" s="15">
        <f>AE1115*AG1115</f>
        <v>400</v>
      </c>
      <c r="AG1115" s="16">
        <v>5</v>
      </c>
    </row>
    <row r="1116" spans="1:33" ht="15" customHeight="1" x14ac:dyDescent="0.2">
      <c r="A1116" s="11" t="str">
        <f t="shared" si="424"/>
        <v>VN0008NACDX1</v>
      </c>
      <c r="B1116" s="12" t="s">
        <v>4526</v>
      </c>
      <c r="C1116" s="12" t="s">
        <v>2477</v>
      </c>
      <c r="D1116" s="12" t="s">
        <v>760</v>
      </c>
      <c r="E1116" s="12" t="s">
        <v>4527</v>
      </c>
      <c r="F1116" s="13">
        <v>34</v>
      </c>
      <c r="G1116" s="14"/>
      <c r="H1116" s="12" t="s">
        <v>61</v>
      </c>
      <c r="I1116" s="12" t="s">
        <v>230</v>
      </c>
      <c r="J1116" s="12" t="s">
        <v>231</v>
      </c>
      <c r="K1116" s="12" t="s">
        <v>199</v>
      </c>
      <c r="L1116" s="14"/>
      <c r="M1116" s="12" t="s">
        <v>43</v>
      </c>
      <c r="N1116" s="12" t="s">
        <v>44</v>
      </c>
      <c r="O1116" s="12" t="s">
        <v>4528</v>
      </c>
      <c r="P1116" s="12" t="s">
        <v>66</v>
      </c>
      <c r="Q1116" s="12" t="s">
        <v>233</v>
      </c>
      <c r="R1116" s="12" t="s">
        <v>361</v>
      </c>
      <c r="S1116" s="13">
        <v>196573550896</v>
      </c>
      <c r="T1116" s="12" t="s">
        <v>235</v>
      </c>
      <c r="U1116" s="13">
        <v>34</v>
      </c>
      <c r="V1116" s="12" t="s">
        <v>665</v>
      </c>
      <c r="W1116" s="12" t="s">
        <v>284</v>
      </c>
      <c r="X1116" s="13">
        <v>0</v>
      </c>
      <c r="Y1116" s="12" t="s">
        <v>53</v>
      </c>
      <c r="Z1116" s="12" t="s">
        <v>108</v>
      </c>
      <c r="AA1116" s="13">
        <v>0</v>
      </c>
      <c r="AB1116" s="13">
        <v>0</v>
      </c>
      <c r="AC1116" s="15">
        <v>36.4</v>
      </c>
      <c r="AD1116" s="15">
        <f>AC1116*AG1116</f>
        <v>182</v>
      </c>
      <c r="AE1116" s="15">
        <v>80</v>
      </c>
      <c r="AF1116" s="15">
        <f>AE1116*AG1116</f>
        <v>400</v>
      </c>
      <c r="AG1116" s="16">
        <v>5</v>
      </c>
    </row>
    <row r="1117" spans="1:33" ht="15" customHeight="1" x14ac:dyDescent="0.2">
      <c r="A1117" s="11" t="str">
        <f t="shared" ref="A1117:A1311" si="473">HYPERLINK("https://assets.vans.eu/images/VN000G75D6Z-HERO/1","VN000G75D6Z1")</f>
        <v>VN000G75D6Z1</v>
      </c>
      <c r="B1117" s="12" t="s">
        <v>4529</v>
      </c>
      <c r="C1117" s="12" t="s">
        <v>1188</v>
      </c>
      <c r="D1117" s="12" t="s">
        <v>1277</v>
      </c>
      <c r="E1117" s="12" t="s">
        <v>4530</v>
      </c>
      <c r="F1117" s="12" t="s">
        <v>153</v>
      </c>
      <c r="G1117" s="14"/>
      <c r="H1117" s="12" t="s">
        <v>61</v>
      </c>
      <c r="I1117" s="12" t="s">
        <v>230</v>
      </c>
      <c r="J1117" s="12" t="s">
        <v>557</v>
      </c>
      <c r="K1117" s="12" t="s">
        <v>199</v>
      </c>
      <c r="L1117" s="14"/>
      <c r="M1117" s="12" t="s">
        <v>43</v>
      </c>
      <c r="N1117" s="12" t="s">
        <v>44</v>
      </c>
      <c r="O1117" s="12" t="s">
        <v>4531</v>
      </c>
      <c r="P1117" s="12" t="s">
        <v>66</v>
      </c>
      <c r="Q1117" s="12" t="s">
        <v>559</v>
      </c>
      <c r="R1117" s="12" t="s">
        <v>560</v>
      </c>
      <c r="S1117" s="13">
        <v>197643554660</v>
      </c>
      <c r="T1117" s="12" t="s">
        <v>49</v>
      </c>
      <c r="U1117" s="12" t="s">
        <v>153</v>
      </c>
      <c r="V1117" s="12" t="s">
        <v>1191</v>
      </c>
      <c r="W1117" s="12" t="s">
        <v>299</v>
      </c>
      <c r="X1117" s="12" t="s">
        <v>500</v>
      </c>
      <c r="Y1117" s="12" t="s">
        <v>91</v>
      </c>
      <c r="Z1117" s="12" t="s">
        <v>108</v>
      </c>
      <c r="AA1117" s="13">
        <v>0</v>
      </c>
      <c r="AB1117" s="13">
        <v>0</v>
      </c>
      <c r="AC1117" s="15">
        <v>25</v>
      </c>
      <c r="AD1117" s="15">
        <f>AC1117*AG1117</f>
        <v>125</v>
      </c>
      <c r="AE1117" s="15">
        <v>55</v>
      </c>
      <c r="AF1117" s="15">
        <f>AE1117*AG1117</f>
        <v>275</v>
      </c>
      <c r="AG1117" s="16">
        <v>5</v>
      </c>
    </row>
    <row r="1118" spans="1:33" ht="15" customHeight="1" x14ac:dyDescent="0.2">
      <c r="A1118" s="11" t="str">
        <f t="shared" si="473"/>
        <v>VN000G75D6Z1</v>
      </c>
      <c r="B1118" s="12" t="s">
        <v>4532</v>
      </c>
      <c r="C1118" s="12" t="s">
        <v>1188</v>
      </c>
      <c r="D1118" s="12" t="s">
        <v>1277</v>
      </c>
      <c r="E1118" s="12" t="s">
        <v>4533</v>
      </c>
      <c r="F1118" s="12" t="s">
        <v>621</v>
      </c>
      <c r="G1118" s="14"/>
      <c r="H1118" s="12" t="s">
        <v>61</v>
      </c>
      <c r="I1118" s="12" t="s">
        <v>230</v>
      </c>
      <c r="J1118" s="12" t="s">
        <v>557</v>
      </c>
      <c r="K1118" s="12" t="s">
        <v>199</v>
      </c>
      <c r="L1118" s="14"/>
      <c r="M1118" s="12" t="s">
        <v>43</v>
      </c>
      <c r="N1118" s="12" t="s">
        <v>44</v>
      </c>
      <c r="O1118" s="12" t="s">
        <v>4534</v>
      </c>
      <c r="P1118" s="12" t="s">
        <v>66</v>
      </c>
      <c r="Q1118" s="12" t="s">
        <v>559</v>
      </c>
      <c r="R1118" s="12" t="s">
        <v>560</v>
      </c>
      <c r="S1118" s="13">
        <v>197643554837</v>
      </c>
      <c r="T1118" s="12" t="s">
        <v>49</v>
      </c>
      <c r="U1118" s="12" t="s">
        <v>621</v>
      </c>
      <c r="V1118" s="12" t="s">
        <v>1191</v>
      </c>
      <c r="W1118" s="12" t="s">
        <v>299</v>
      </c>
      <c r="X1118" s="12" t="s">
        <v>500</v>
      </c>
      <c r="Y1118" s="12" t="s">
        <v>91</v>
      </c>
      <c r="Z1118" s="12" t="s">
        <v>108</v>
      </c>
      <c r="AA1118" s="13">
        <v>0</v>
      </c>
      <c r="AB1118" s="13">
        <v>0</v>
      </c>
      <c r="AC1118" s="15">
        <v>25</v>
      </c>
      <c r="AD1118" s="15">
        <f>AC1118*AG1118</f>
        <v>125</v>
      </c>
      <c r="AE1118" s="15">
        <v>55</v>
      </c>
      <c r="AF1118" s="15">
        <f>AE1118*AG1118</f>
        <v>275</v>
      </c>
      <c r="AG1118" s="16">
        <v>5</v>
      </c>
    </row>
    <row r="1119" spans="1:33" ht="15" customHeight="1" x14ac:dyDescent="0.2">
      <c r="A1119" s="11" t="str">
        <f t="shared" si="349"/>
        <v>VN000GGGY281</v>
      </c>
      <c r="B1119" s="12" t="s">
        <v>4535</v>
      </c>
      <c r="C1119" s="12" t="s">
        <v>3095</v>
      </c>
      <c r="D1119" s="12" t="s">
        <v>58</v>
      </c>
      <c r="E1119" s="12" t="s">
        <v>4536</v>
      </c>
      <c r="F1119" s="12" t="s">
        <v>621</v>
      </c>
      <c r="G1119" s="14"/>
      <c r="H1119" s="12" t="s">
        <v>61</v>
      </c>
      <c r="I1119" s="12" t="s">
        <v>230</v>
      </c>
      <c r="J1119" s="12" t="s">
        <v>419</v>
      </c>
      <c r="K1119" s="12" t="s">
        <v>199</v>
      </c>
      <c r="L1119" s="14"/>
      <c r="M1119" s="12" t="s">
        <v>43</v>
      </c>
      <c r="N1119" s="12" t="s">
        <v>44</v>
      </c>
      <c r="O1119" s="12" t="s">
        <v>4537</v>
      </c>
      <c r="P1119" s="12" t="s">
        <v>66</v>
      </c>
      <c r="Q1119" s="12" t="s">
        <v>67</v>
      </c>
      <c r="R1119" s="12" t="s">
        <v>421</v>
      </c>
      <c r="S1119" s="13">
        <v>732075993016</v>
      </c>
      <c r="T1119" s="12" t="s">
        <v>422</v>
      </c>
      <c r="U1119" s="12" t="s">
        <v>621</v>
      </c>
      <c r="V1119" s="12" t="s">
        <v>70</v>
      </c>
      <c r="W1119" s="12" t="s">
        <v>51</v>
      </c>
      <c r="X1119" s="13">
        <v>0</v>
      </c>
      <c r="Y1119" s="12" t="s">
        <v>91</v>
      </c>
      <c r="Z1119" s="12" t="s">
        <v>108</v>
      </c>
      <c r="AA1119" s="13">
        <v>0</v>
      </c>
      <c r="AB1119" s="13">
        <v>0</v>
      </c>
      <c r="AC1119" s="15">
        <v>14.55</v>
      </c>
      <c r="AD1119" s="15">
        <f>AC1119*AG1119</f>
        <v>72.75</v>
      </c>
      <c r="AE1119" s="15">
        <v>32</v>
      </c>
      <c r="AF1119" s="15">
        <f>AE1119*AG1119</f>
        <v>160</v>
      </c>
      <c r="AG1119" s="16">
        <v>5</v>
      </c>
    </row>
    <row r="1120" spans="1:33" ht="15" customHeight="1" x14ac:dyDescent="0.2">
      <c r="A1120" s="11" t="str">
        <f t="shared" ref="A1120:A1622" si="474">HYPERLINK("https://assets.vans.eu/images/VN000HGJFS8-HERO/1","VN000HGJFS81")</f>
        <v>VN000HGJFS81</v>
      </c>
      <c r="B1120" s="12" t="s">
        <v>4538</v>
      </c>
      <c r="C1120" s="12" t="s">
        <v>4539</v>
      </c>
      <c r="D1120" s="12" t="s">
        <v>239</v>
      </c>
      <c r="E1120" s="12" t="s">
        <v>4540</v>
      </c>
      <c r="F1120" s="13">
        <v>28</v>
      </c>
      <c r="G1120" s="14"/>
      <c r="H1120" s="12" t="s">
        <v>61</v>
      </c>
      <c r="I1120" s="12" t="s">
        <v>289</v>
      </c>
      <c r="J1120" s="12" t="s">
        <v>290</v>
      </c>
      <c r="K1120" s="12" t="s">
        <v>100</v>
      </c>
      <c r="L1120" s="14"/>
      <c r="M1120" s="12" t="s">
        <v>43</v>
      </c>
      <c r="N1120" s="12" t="s">
        <v>44</v>
      </c>
      <c r="O1120" s="12" t="s">
        <v>4541</v>
      </c>
      <c r="P1120" s="12" t="s">
        <v>66</v>
      </c>
      <c r="Q1120" s="12" t="s">
        <v>233</v>
      </c>
      <c r="R1120" s="12" t="s">
        <v>664</v>
      </c>
      <c r="S1120" s="13">
        <v>197643458852</v>
      </c>
      <c r="T1120" s="12" t="s">
        <v>235</v>
      </c>
      <c r="U1120" s="13">
        <v>28</v>
      </c>
      <c r="V1120" s="12" t="s">
        <v>665</v>
      </c>
      <c r="W1120" s="12" t="s">
        <v>175</v>
      </c>
      <c r="X1120" s="13">
        <v>0</v>
      </c>
      <c r="Y1120" s="12" t="s">
        <v>91</v>
      </c>
      <c r="Z1120" s="12" t="s">
        <v>108</v>
      </c>
      <c r="AA1120" s="13">
        <v>0</v>
      </c>
      <c r="AB1120" s="13">
        <v>0</v>
      </c>
      <c r="AC1120" s="15">
        <v>29.55</v>
      </c>
      <c r="AD1120" s="15">
        <f>AC1120*AG1120</f>
        <v>147.75</v>
      </c>
      <c r="AE1120" s="15">
        <v>65</v>
      </c>
      <c r="AF1120" s="15">
        <f>AE1120*AG1120</f>
        <v>325</v>
      </c>
      <c r="AG1120" s="16">
        <v>5</v>
      </c>
    </row>
    <row r="1121" spans="1:33" ht="15" customHeight="1" x14ac:dyDescent="0.2">
      <c r="A1121" s="11" t="str">
        <f>HYPERLINK("https://assets.vans.eu/images/VN000HHAM8I-HERO/1","VN000HHAM8I1")</f>
        <v>VN000HHAM8I1</v>
      </c>
      <c r="B1121" s="12" t="s">
        <v>4542</v>
      </c>
      <c r="C1121" s="12" t="s">
        <v>4543</v>
      </c>
      <c r="D1121" s="12" t="s">
        <v>1487</v>
      </c>
      <c r="E1121" s="12" t="s">
        <v>4544</v>
      </c>
      <c r="F1121" s="12" t="s">
        <v>179</v>
      </c>
      <c r="G1121" s="14"/>
      <c r="H1121" s="12" t="s">
        <v>61</v>
      </c>
      <c r="I1121" s="12" t="s">
        <v>289</v>
      </c>
      <c r="J1121" s="12" t="s">
        <v>706</v>
      </c>
      <c r="K1121" s="12" t="s">
        <v>100</v>
      </c>
      <c r="L1121" s="14"/>
      <c r="M1121" s="12" t="s">
        <v>43</v>
      </c>
      <c r="N1121" s="12" t="s">
        <v>161</v>
      </c>
      <c r="O1121" s="12" t="s">
        <v>4545</v>
      </c>
      <c r="P1121" s="12" t="s">
        <v>66</v>
      </c>
      <c r="Q1121" s="12" t="s">
        <v>67</v>
      </c>
      <c r="R1121" s="12" t="s">
        <v>1200</v>
      </c>
      <c r="S1121" s="13">
        <v>197065455354</v>
      </c>
      <c r="T1121" s="12" t="s">
        <v>235</v>
      </c>
      <c r="U1121" s="12" t="s">
        <v>179</v>
      </c>
      <c r="V1121" s="12" t="s">
        <v>665</v>
      </c>
      <c r="W1121" s="12" t="s">
        <v>118</v>
      </c>
      <c r="X1121" s="13">
        <v>0</v>
      </c>
      <c r="Y1121" s="12" t="s">
        <v>91</v>
      </c>
      <c r="Z1121" s="12" t="s">
        <v>108</v>
      </c>
      <c r="AA1121" s="13">
        <v>0</v>
      </c>
      <c r="AB1121" s="13">
        <v>0</v>
      </c>
      <c r="AC1121" s="15">
        <v>27.3</v>
      </c>
      <c r="AD1121" s="15">
        <f>AC1121*AG1121</f>
        <v>136.5</v>
      </c>
      <c r="AE1121" s="15">
        <v>60</v>
      </c>
      <c r="AF1121" s="15">
        <f>AE1121*AG1121</f>
        <v>300</v>
      </c>
      <c r="AG1121" s="16">
        <v>5</v>
      </c>
    </row>
    <row r="1122" spans="1:33" ht="15" customHeight="1" x14ac:dyDescent="0.2">
      <c r="A1122" s="11" t="str">
        <f t="shared" si="425"/>
        <v>VN000HHEC9J1</v>
      </c>
      <c r="B1122" s="12" t="s">
        <v>4546</v>
      </c>
      <c r="C1122" s="12" t="s">
        <v>4094</v>
      </c>
      <c r="D1122" s="12" t="s">
        <v>2876</v>
      </c>
      <c r="E1122" s="12" t="s">
        <v>4547</v>
      </c>
      <c r="F1122" s="12" t="s">
        <v>170</v>
      </c>
      <c r="G1122" s="14"/>
      <c r="H1122" s="12" t="s">
        <v>61</v>
      </c>
      <c r="I1122" s="12" t="s">
        <v>289</v>
      </c>
      <c r="J1122" s="12" t="s">
        <v>706</v>
      </c>
      <c r="K1122" s="12" t="s">
        <v>100</v>
      </c>
      <c r="L1122" s="14"/>
      <c r="M1122" s="12" t="s">
        <v>43</v>
      </c>
      <c r="N1122" s="12" t="s">
        <v>84</v>
      </c>
      <c r="O1122" s="12" t="s">
        <v>4548</v>
      </c>
      <c r="P1122" s="12" t="s">
        <v>66</v>
      </c>
      <c r="Q1122" s="12" t="s">
        <v>67</v>
      </c>
      <c r="R1122" s="12" t="s">
        <v>1146</v>
      </c>
      <c r="S1122" s="13">
        <v>197065455699</v>
      </c>
      <c r="T1122" s="12" t="s">
        <v>69</v>
      </c>
      <c r="U1122" s="12" t="s">
        <v>170</v>
      </c>
      <c r="V1122" s="12" t="s">
        <v>70</v>
      </c>
      <c r="W1122" s="12" t="s">
        <v>186</v>
      </c>
      <c r="X1122" s="13">
        <v>0</v>
      </c>
      <c r="Y1122" s="12" t="s">
        <v>91</v>
      </c>
      <c r="Z1122" s="12" t="s">
        <v>108</v>
      </c>
      <c r="AA1122" s="13">
        <v>0</v>
      </c>
      <c r="AB1122" s="13">
        <v>0</v>
      </c>
      <c r="AC1122" s="15">
        <v>15.5</v>
      </c>
      <c r="AD1122" s="15">
        <f>AC1122*AG1122</f>
        <v>77.5</v>
      </c>
      <c r="AE1122" s="15">
        <v>34</v>
      </c>
      <c r="AF1122" s="15">
        <f>AE1122*AG1122</f>
        <v>170</v>
      </c>
      <c r="AG1122" s="16">
        <v>5</v>
      </c>
    </row>
    <row r="1123" spans="1:33" ht="15" customHeight="1" x14ac:dyDescent="0.2">
      <c r="A1123" s="11" t="str">
        <f t="shared" si="315"/>
        <v>VN000HZABLK1</v>
      </c>
      <c r="B1123" s="12" t="s">
        <v>4549</v>
      </c>
      <c r="C1123" s="12" t="s">
        <v>1413</v>
      </c>
      <c r="D1123" s="12" t="s">
        <v>76</v>
      </c>
      <c r="E1123" s="12" t="s">
        <v>4550</v>
      </c>
      <c r="F1123" s="13">
        <v>28</v>
      </c>
      <c r="G1123" s="14"/>
      <c r="H1123" s="12" t="s">
        <v>61</v>
      </c>
      <c r="I1123" s="12" t="s">
        <v>230</v>
      </c>
      <c r="J1123" s="12" t="s">
        <v>231</v>
      </c>
      <c r="K1123" s="12" t="s">
        <v>199</v>
      </c>
      <c r="L1123" s="14"/>
      <c r="M1123" s="12" t="s">
        <v>43</v>
      </c>
      <c r="N1123" s="12" t="s">
        <v>84</v>
      </c>
      <c r="O1123" s="12" t="s">
        <v>4551</v>
      </c>
      <c r="P1123" s="12" t="s">
        <v>66</v>
      </c>
      <c r="Q1123" s="12" t="s">
        <v>233</v>
      </c>
      <c r="R1123" s="12" t="s">
        <v>361</v>
      </c>
      <c r="S1123" s="13">
        <v>197065838362</v>
      </c>
      <c r="T1123" s="12" t="s">
        <v>235</v>
      </c>
      <c r="U1123" s="13">
        <v>28</v>
      </c>
      <c r="V1123" s="12" t="s">
        <v>1416</v>
      </c>
      <c r="W1123" s="12" t="s">
        <v>51</v>
      </c>
      <c r="X1123" s="13">
        <v>0</v>
      </c>
      <c r="Y1123" s="12" t="s">
        <v>91</v>
      </c>
      <c r="Z1123" s="12" t="s">
        <v>108</v>
      </c>
      <c r="AA1123" s="13">
        <v>0</v>
      </c>
      <c r="AB1123" s="13">
        <v>0</v>
      </c>
      <c r="AC1123" s="15">
        <v>34.1</v>
      </c>
      <c r="AD1123" s="15">
        <f>AC1123*AG1123</f>
        <v>170.5</v>
      </c>
      <c r="AE1123" s="15">
        <v>75</v>
      </c>
      <c r="AF1123" s="15">
        <f>AE1123*AG1123</f>
        <v>375</v>
      </c>
      <c r="AG1123" s="16">
        <v>5</v>
      </c>
    </row>
    <row r="1124" spans="1:33" ht="15" customHeight="1" x14ac:dyDescent="0.2">
      <c r="A1124" s="11" t="str">
        <f t="shared" ref="A1124:A1630" si="475">HYPERLINK("https://assets.vans.eu/images/VN000HZBYEH-HERO/1","VN000HZBYEH1")</f>
        <v>VN000HZBYEH1</v>
      </c>
      <c r="B1124" s="12" t="s">
        <v>4552</v>
      </c>
      <c r="C1124" s="12" t="s">
        <v>357</v>
      </c>
      <c r="D1124" s="12" t="s">
        <v>358</v>
      </c>
      <c r="E1124" s="12" t="s">
        <v>4553</v>
      </c>
      <c r="F1124" s="13">
        <v>34</v>
      </c>
      <c r="G1124" s="14"/>
      <c r="H1124" s="12" t="s">
        <v>61</v>
      </c>
      <c r="I1124" s="12" t="s">
        <v>230</v>
      </c>
      <c r="J1124" s="12" t="s">
        <v>231</v>
      </c>
      <c r="K1124" s="12" t="s">
        <v>199</v>
      </c>
      <c r="L1124" s="14"/>
      <c r="M1124" s="12" t="s">
        <v>43</v>
      </c>
      <c r="N1124" s="12" t="s">
        <v>84</v>
      </c>
      <c r="O1124" s="12" t="s">
        <v>4554</v>
      </c>
      <c r="P1124" s="12" t="s">
        <v>66</v>
      </c>
      <c r="Q1124" s="12" t="s">
        <v>233</v>
      </c>
      <c r="R1124" s="12" t="s">
        <v>361</v>
      </c>
      <c r="S1124" s="13">
        <v>197065840877</v>
      </c>
      <c r="T1124" s="12" t="s">
        <v>235</v>
      </c>
      <c r="U1124" s="13">
        <v>34</v>
      </c>
      <c r="V1124" s="12" t="s">
        <v>362</v>
      </c>
      <c r="W1124" s="12" t="s">
        <v>186</v>
      </c>
      <c r="X1124" s="13">
        <v>0</v>
      </c>
      <c r="Y1124" s="12" t="s">
        <v>91</v>
      </c>
      <c r="Z1124" s="12" t="s">
        <v>108</v>
      </c>
      <c r="AA1124" s="13">
        <v>0</v>
      </c>
      <c r="AB1124" s="13">
        <v>0</v>
      </c>
      <c r="AC1124" s="15">
        <v>34.1</v>
      </c>
      <c r="AD1124" s="15">
        <f>AC1124*AG1124</f>
        <v>170.5</v>
      </c>
      <c r="AE1124" s="15">
        <v>75</v>
      </c>
      <c r="AF1124" s="15">
        <f>AE1124*AG1124</f>
        <v>375</v>
      </c>
      <c r="AG1124" s="16">
        <v>5</v>
      </c>
    </row>
    <row r="1125" spans="1:33" ht="15" customHeight="1" x14ac:dyDescent="0.2">
      <c r="A1125" s="11" t="str">
        <f>HYPERLINK("https://assets.vans.eu/images/VN000IVF7WM-HERO/1","VN000IVF7WM1")</f>
        <v>VN000IVF7WM1</v>
      </c>
      <c r="B1125" s="12" t="s">
        <v>4555</v>
      </c>
      <c r="C1125" s="12" t="s">
        <v>572</v>
      </c>
      <c r="D1125" s="12" t="s">
        <v>388</v>
      </c>
      <c r="E1125" s="12" t="s">
        <v>4556</v>
      </c>
      <c r="F1125" s="12" t="s">
        <v>179</v>
      </c>
      <c r="G1125" s="14"/>
      <c r="H1125" s="12" t="s">
        <v>61</v>
      </c>
      <c r="I1125" s="12" t="s">
        <v>62</v>
      </c>
      <c r="J1125" s="12" t="s">
        <v>63</v>
      </c>
      <c r="K1125" s="12" t="s">
        <v>64</v>
      </c>
      <c r="L1125" s="12" t="s">
        <v>83</v>
      </c>
      <c r="M1125" s="12" t="s">
        <v>43</v>
      </c>
      <c r="N1125" s="12" t="s">
        <v>84</v>
      </c>
      <c r="O1125" s="12" t="s">
        <v>4557</v>
      </c>
      <c r="P1125" s="12" t="s">
        <v>66</v>
      </c>
      <c r="Q1125" s="12" t="s">
        <v>67</v>
      </c>
      <c r="R1125" s="12" t="s">
        <v>68</v>
      </c>
      <c r="S1125" s="13">
        <v>197065812287</v>
      </c>
      <c r="T1125" s="12" t="s">
        <v>422</v>
      </c>
      <c r="U1125" s="12" t="s">
        <v>179</v>
      </c>
      <c r="V1125" s="12" t="s">
        <v>70</v>
      </c>
      <c r="W1125" s="12" t="s">
        <v>284</v>
      </c>
      <c r="X1125" s="13">
        <v>0</v>
      </c>
      <c r="Y1125" s="12" t="s">
        <v>91</v>
      </c>
      <c r="Z1125" s="12" t="s">
        <v>108</v>
      </c>
      <c r="AA1125" s="13">
        <v>0</v>
      </c>
      <c r="AB1125" s="13">
        <v>0</v>
      </c>
      <c r="AC1125" s="15">
        <v>11.4</v>
      </c>
      <c r="AD1125" s="15">
        <f>AC1125*AG1125</f>
        <v>57</v>
      </c>
      <c r="AE1125" s="15">
        <v>25</v>
      </c>
      <c r="AF1125" s="15">
        <f>AE1125*AG1125</f>
        <v>125</v>
      </c>
      <c r="AG1125" s="16">
        <v>5</v>
      </c>
    </row>
    <row r="1126" spans="1:33" ht="15" customHeight="1" x14ac:dyDescent="0.2">
      <c r="A1126" s="11" t="str">
        <f t="shared" ref="A1126:A3056" si="476">HYPERLINK("https://assets.vans.eu/images/VN000JBRZBF-HERO/1","VN000JBRZBF1")</f>
        <v>VN000JBRZBF1</v>
      </c>
      <c r="B1126" s="12" t="s">
        <v>4558</v>
      </c>
      <c r="C1126" s="12" t="s">
        <v>1723</v>
      </c>
      <c r="D1126" s="12" t="s">
        <v>680</v>
      </c>
      <c r="E1126" s="12" t="s">
        <v>4559</v>
      </c>
      <c r="F1126" s="12" t="s">
        <v>179</v>
      </c>
      <c r="G1126" s="14"/>
      <c r="H1126" s="12" t="s">
        <v>61</v>
      </c>
      <c r="I1126" s="12" t="s">
        <v>62</v>
      </c>
      <c r="J1126" s="12" t="s">
        <v>63</v>
      </c>
      <c r="K1126" s="12" t="s">
        <v>64</v>
      </c>
      <c r="L1126" s="14"/>
      <c r="M1126" s="12" t="s">
        <v>43</v>
      </c>
      <c r="N1126" s="12" t="s">
        <v>84</v>
      </c>
      <c r="O1126" s="12" t="s">
        <v>4560</v>
      </c>
      <c r="P1126" s="12" t="s">
        <v>66</v>
      </c>
      <c r="Q1126" s="12" t="s">
        <v>67</v>
      </c>
      <c r="R1126" s="12" t="s">
        <v>730</v>
      </c>
      <c r="S1126" s="13">
        <v>197065464646</v>
      </c>
      <c r="T1126" s="12" t="s">
        <v>105</v>
      </c>
      <c r="U1126" s="12" t="s">
        <v>179</v>
      </c>
      <c r="V1126" s="12" t="s">
        <v>1726</v>
      </c>
      <c r="W1126" s="12" t="s">
        <v>118</v>
      </c>
      <c r="X1126" s="13">
        <v>0</v>
      </c>
      <c r="Y1126" s="12" t="s">
        <v>91</v>
      </c>
      <c r="Z1126" s="12" t="s">
        <v>108</v>
      </c>
      <c r="AA1126" s="13">
        <v>0</v>
      </c>
      <c r="AB1126" s="13">
        <v>0</v>
      </c>
      <c r="AC1126" s="15">
        <v>29.55</v>
      </c>
      <c r="AD1126" s="15">
        <f>AC1126*AG1126</f>
        <v>147.75</v>
      </c>
      <c r="AE1126" s="15">
        <v>65</v>
      </c>
      <c r="AF1126" s="15">
        <f>AE1126*AG1126</f>
        <v>325</v>
      </c>
      <c r="AG1126" s="16">
        <v>5</v>
      </c>
    </row>
    <row r="1127" spans="1:33" ht="15" customHeight="1" x14ac:dyDescent="0.2">
      <c r="A1127" s="11" t="str">
        <f t="shared" ref="A1127:A1319" si="477">HYPERLINK("https://assets.vans.eu/images/VN000JF5BLK-HERO/1","VN000JF5BLK1")</f>
        <v>VN000JF5BLK1</v>
      </c>
      <c r="B1127" s="12" t="s">
        <v>4561</v>
      </c>
      <c r="C1127" s="12" t="s">
        <v>4562</v>
      </c>
      <c r="D1127" s="12" t="s">
        <v>76</v>
      </c>
      <c r="E1127" s="12" t="s">
        <v>4563</v>
      </c>
      <c r="F1127" s="12" t="s">
        <v>403</v>
      </c>
      <c r="G1127" s="14"/>
      <c r="H1127" s="12" t="s">
        <v>61</v>
      </c>
      <c r="I1127" s="12" t="s">
        <v>289</v>
      </c>
      <c r="J1127" s="12" t="s">
        <v>706</v>
      </c>
      <c r="K1127" s="12" t="s">
        <v>100</v>
      </c>
      <c r="L1127" s="12" t="s">
        <v>83</v>
      </c>
      <c r="M1127" s="12" t="s">
        <v>43</v>
      </c>
      <c r="N1127" s="12" t="s">
        <v>44</v>
      </c>
      <c r="O1127" s="12" t="s">
        <v>4564</v>
      </c>
      <c r="P1127" s="12" t="s">
        <v>66</v>
      </c>
      <c r="Q1127" s="12" t="s">
        <v>67</v>
      </c>
      <c r="R1127" s="12" t="s">
        <v>708</v>
      </c>
      <c r="S1127" s="13">
        <v>197063677987</v>
      </c>
      <c r="T1127" s="12" t="s">
        <v>69</v>
      </c>
      <c r="U1127" s="12" t="s">
        <v>403</v>
      </c>
      <c r="V1127" s="12" t="s">
        <v>1378</v>
      </c>
      <c r="W1127" s="12" t="s">
        <v>51</v>
      </c>
      <c r="X1127" s="13">
        <v>0</v>
      </c>
      <c r="Y1127" s="12" t="s">
        <v>91</v>
      </c>
      <c r="Z1127" s="12" t="s">
        <v>108</v>
      </c>
      <c r="AA1127" s="13">
        <v>0</v>
      </c>
      <c r="AB1127" s="12" t="s">
        <v>616</v>
      </c>
      <c r="AC1127" s="15">
        <v>25</v>
      </c>
      <c r="AD1127" s="15">
        <f>AC1127*AG1127</f>
        <v>125</v>
      </c>
      <c r="AE1127" s="15">
        <v>55</v>
      </c>
      <c r="AF1127" s="15">
        <f>AE1127*AG1127</f>
        <v>275</v>
      </c>
      <c r="AG1127" s="16">
        <v>5</v>
      </c>
    </row>
    <row r="1128" spans="1:33" ht="15" customHeight="1" x14ac:dyDescent="0.2">
      <c r="A1128" s="11" t="str">
        <f t="shared" si="381"/>
        <v>VN000JUABLK1</v>
      </c>
      <c r="B1128" s="12" t="s">
        <v>4565</v>
      </c>
      <c r="C1128" s="12" t="s">
        <v>3683</v>
      </c>
      <c r="D1128" s="12" t="s">
        <v>76</v>
      </c>
      <c r="E1128" s="12" t="s">
        <v>4566</v>
      </c>
      <c r="F1128" s="12" t="s">
        <v>170</v>
      </c>
      <c r="G1128" s="14"/>
      <c r="H1128" s="12" t="s">
        <v>61</v>
      </c>
      <c r="I1128" s="12" t="s">
        <v>289</v>
      </c>
      <c r="J1128" s="12" t="s">
        <v>706</v>
      </c>
      <c r="K1128" s="12" t="s">
        <v>100</v>
      </c>
      <c r="L1128" s="14"/>
      <c r="M1128" s="12" t="s">
        <v>43</v>
      </c>
      <c r="N1128" s="12" t="s">
        <v>84</v>
      </c>
      <c r="O1128" s="12" t="s">
        <v>4567</v>
      </c>
      <c r="P1128" s="12" t="s">
        <v>66</v>
      </c>
      <c r="Q1128" s="12" t="s">
        <v>67</v>
      </c>
      <c r="R1128" s="12" t="s">
        <v>1146</v>
      </c>
      <c r="S1128" s="13">
        <v>197065469634</v>
      </c>
      <c r="T1128" s="12" t="s">
        <v>499</v>
      </c>
      <c r="U1128" s="12" t="s">
        <v>170</v>
      </c>
      <c r="V1128" s="12" t="s">
        <v>979</v>
      </c>
      <c r="W1128" s="12" t="s">
        <v>51</v>
      </c>
      <c r="X1128" s="13">
        <v>0</v>
      </c>
      <c r="Y1128" s="12" t="s">
        <v>91</v>
      </c>
      <c r="Z1128" s="12" t="s">
        <v>108</v>
      </c>
      <c r="AA1128" s="13">
        <v>0</v>
      </c>
      <c r="AB1128" s="13">
        <v>0</v>
      </c>
      <c r="AC1128" s="15">
        <v>18.2</v>
      </c>
      <c r="AD1128" s="15">
        <f>AC1128*AG1128</f>
        <v>91</v>
      </c>
      <c r="AE1128" s="15">
        <v>40</v>
      </c>
      <c r="AF1128" s="15">
        <f>AE1128*AG1128</f>
        <v>200</v>
      </c>
      <c r="AG1128" s="16">
        <v>5</v>
      </c>
    </row>
    <row r="1129" spans="1:33" ht="15" customHeight="1" x14ac:dyDescent="0.2">
      <c r="A1129" s="11" t="str">
        <f t="shared" ref="A1129:A1130" si="478">HYPERLINK("https://assets.vans.eu/images/VN000KTBCI2-HERO/1","VN000KTBCI21")</f>
        <v>VN000KTBCI21</v>
      </c>
      <c r="B1129" s="12" t="s">
        <v>4568</v>
      </c>
      <c r="C1129" s="12" t="s">
        <v>4569</v>
      </c>
      <c r="D1129" s="12" t="s">
        <v>2499</v>
      </c>
      <c r="E1129" s="12" t="s">
        <v>4570</v>
      </c>
      <c r="F1129" s="12" t="s">
        <v>179</v>
      </c>
      <c r="G1129" s="14"/>
      <c r="H1129" s="12" t="s">
        <v>61</v>
      </c>
      <c r="I1129" s="12" t="s">
        <v>230</v>
      </c>
      <c r="J1129" s="12" t="s">
        <v>231</v>
      </c>
      <c r="K1129" s="12" t="s">
        <v>199</v>
      </c>
      <c r="L1129" s="14"/>
      <c r="M1129" s="12" t="s">
        <v>43</v>
      </c>
      <c r="N1129" s="12" t="s">
        <v>44</v>
      </c>
      <c r="O1129" s="12" t="s">
        <v>4571</v>
      </c>
      <c r="P1129" s="12" t="s">
        <v>66</v>
      </c>
      <c r="Q1129" s="12" t="s">
        <v>233</v>
      </c>
      <c r="R1129" s="12" t="s">
        <v>361</v>
      </c>
      <c r="S1129" s="13">
        <v>197643402039</v>
      </c>
      <c r="T1129" s="12" t="s">
        <v>235</v>
      </c>
      <c r="U1129" s="12" t="s">
        <v>179</v>
      </c>
      <c r="V1129" s="12" t="s">
        <v>1811</v>
      </c>
      <c r="W1129" s="12" t="s">
        <v>118</v>
      </c>
      <c r="X1129" s="13">
        <v>0</v>
      </c>
      <c r="Y1129" s="12" t="s">
        <v>53</v>
      </c>
      <c r="Z1129" s="12" t="s">
        <v>108</v>
      </c>
      <c r="AA1129" s="13">
        <v>0</v>
      </c>
      <c r="AB1129" s="13">
        <v>0</v>
      </c>
      <c r="AC1129" s="15">
        <v>50</v>
      </c>
      <c r="AD1129" s="15">
        <f>AC1129*AG1129</f>
        <v>250</v>
      </c>
      <c r="AE1129" s="15">
        <v>110</v>
      </c>
      <c r="AF1129" s="15">
        <f>AE1129*AG1129</f>
        <v>550</v>
      </c>
      <c r="AG1129" s="16">
        <v>5</v>
      </c>
    </row>
    <row r="1130" spans="1:33" ht="15" customHeight="1" x14ac:dyDescent="0.2">
      <c r="A1130" s="11" t="str">
        <f t="shared" si="478"/>
        <v>VN000KTBCI21</v>
      </c>
      <c r="B1130" s="12" t="s">
        <v>4572</v>
      </c>
      <c r="C1130" s="12" t="s">
        <v>4569</v>
      </c>
      <c r="D1130" s="12" t="s">
        <v>2499</v>
      </c>
      <c r="E1130" s="12" t="s">
        <v>4573</v>
      </c>
      <c r="F1130" s="12" t="s">
        <v>170</v>
      </c>
      <c r="G1130" s="14"/>
      <c r="H1130" s="12" t="s">
        <v>61</v>
      </c>
      <c r="I1130" s="12" t="s">
        <v>230</v>
      </c>
      <c r="J1130" s="12" t="s">
        <v>231</v>
      </c>
      <c r="K1130" s="12" t="s">
        <v>199</v>
      </c>
      <c r="L1130" s="14"/>
      <c r="M1130" s="12" t="s">
        <v>43</v>
      </c>
      <c r="N1130" s="12" t="s">
        <v>44</v>
      </c>
      <c r="O1130" s="12" t="s">
        <v>4574</v>
      </c>
      <c r="P1130" s="12" t="s">
        <v>66</v>
      </c>
      <c r="Q1130" s="12" t="s">
        <v>233</v>
      </c>
      <c r="R1130" s="12" t="s">
        <v>361</v>
      </c>
      <c r="S1130" s="13">
        <v>197643402084</v>
      </c>
      <c r="T1130" s="12" t="s">
        <v>235</v>
      </c>
      <c r="U1130" s="12" t="s">
        <v>170</v>
      </c>
      <c r="V1130" s="12" t="s">
        <v>1811</v>
      </c>
      <c r="W1130" s="12" t="s">
        <v>118</v>
      </c>
      <c r="X1130" s="13">
        <v>0</v>
      </c>
      <c r="Y1130" s="12" t="s">
        <v>53</v>
      </c>
      <c r="Z1130" s="12" t="s">
        <v>108</v>
      </c>
      <c r="AA1130" s="13">
        <v>0</v>
      </c>
      <c r="AB1130" s="13">
        <v>0</v>
      </c>
      <c r="AC1130" s="15">
        <v>50</v>
      </c>
      <c r="AD1130" s="15">
        <f>AC1130*AG1130</f>
        <v>250</v>
      </c>
      <c r="AE1130" s="15">
        <v>110</v>
      </c>
      <c r="AF1130" s="15">
        <f>AE1130*AG1130</f>
        <v>550</v>
      </c>
      <c r="AG1130" s="16">
        <v>5</v>
      </c>
    </row>
    <row r="1131" spans="1:33" ht="15" customHeight="1" x14ac:dyDescent="0.2">
      <c r="A1131" s="11" t="str">
        <f t="shared" ref="A1131:A3107" si="479">HYPERLINK("https://assets.vans.eu/images/VN000KUEJDU-HERO/1","VN000KUEJDU1")</f>
        <v>VN000KUEJDU1</v>
      </c>
      <c r="B1131" s="12" t="s">
        <v>4575</v>
      </c>
      <c r="C1131" s="12" t="s">
        <v>4576</v>
      </c>
      <c r="D1131" s="12" t="s">
        <v>814</v>
      </c>
      <c r="E1131" s="12" t="s">
        <v>4577</v>
      </c>
      <c r="F1131" s="12" t="s">
        <v>170</v>
      </c>
      <c r="G1131" s="14"/>
      <c r="H1131" s="12" t="s">
        <v>61</v>
      </c>
      <c r="I1131" s="12" t="s">
        <v>230</v>
      </c>
      <c r="J1131" s="12" t="s">
        <v>419</v>
      </c>
      <c r="K1131" s="12" t="s">
        <v>199</v>
      </c>
      <c r="L1131" s="14"/>
      <c r="M1131" s="12" t="s">
        <v>43</v>
      </c>
      <c r="N1131" s="12" t="s">
        <v>44</v>
      </c>
      <c r="O1131" s="12" t="s">
        <v>4578</v>
      </c>
      <c r="P1131" s="12" t="s">
        <v>66</v>
      </c>
      <c r="Q1131" s="12" t="s">
        <v>67</v>
      </c>
      <c r="R1131" s="12" t="s">
        <v>1500</v>
      </c>
      <c r="S1131" s="13">
        <v>197643536840</v>
      </c>
      <c r="T1131" s="12" t="s">
        <v>49</v>
      </c>
      <c r="U1131" s="12" t="s">
        <v>170</v>
      </c>
      <c r="V1131" s="12" t="s">
        <v>4579</v>
      </c>
      <c r="W1131" s="12" t="s">
        <v>284</v>
      </c>
      <c r="X1131" s="13">
        <v>0</v>
      </c>
      <c r="Y1131" s="12" t="s">
        <v>91</v>
      </c>
      <c r="Z1131" s="12" t="s">
        <v>108</v>
      </c>
      <c r="AA1131" s="13">
        <v>0</v>
      </c>
      <c r="AB1131" s="13">
        <v>0</v>
      </c>
      <c r="AC1131" s="15">
        <v>25</v>
      </c>
      <c r="AD1131" s="15">
        <f>AC1131*AG1131</f>
        <v>125</v>
      </c>
      <c r="AE1131" s="15">
        <v>55</v>
      </c>
      <c r="AF1131" s="15">
        <f>AE1131*AG1131</f>
        <v>275</v>
      </c>
      <c r="AG1131" s="16">
        <v>5</v>
      </c>
    </row>
    <row r="1132" spans="1:33" ht="15" customHeight="1" x14ac:dyDescent="0.2">
      <c r="A1132" s="11" t="str">
        <f t="shared" ref="A1132:A3121" si="480">HYPERLINK("https://assets.vans.eu/images/VN000M0XKCZ-HERO/1","VN000M0XKCZ1")</f>
        <v>VN000M0XKCZ1</v>
      </c>
      <c r="B1132" s="12" t="s">
        <v>4580</v>
      </c>
      <c r="C1132" s="12" t="s">
        <v>4581</v>
      </c>
      <c r="D1132" s="12" t="s">
        <v>1109</v>
      </c>
      <c r="E1132" s="12" t="s">
        <v>4582</v>
      </c>
      <c r="F1132" s="12" t="s">
        <v>60</v>
      </c>
      <c r="G1132" s="14"/>
      <c r="H1132" s="12" t="s">
        <v>61</v>
      </c>
      <c r="I1132" s="12" t="s">
        <v>289</v>
      </c>
      <c r="J1132" s="12" t="s">
        <v>706</v>
      </c>
      <c r="K1132" s="12" t="s">
        <v>100</v>
      </c>
      <c r="L1132" s="14"/>
      <c r="M1132" s="12" t="s">
        <v>43</v>
      </c>
      <c r="N1132" s="12" t="s">
        <v>44</v>
      </c>
      <c r="O1132" s="12" t="s">
        <v>4583</v>
      </c>
      <c r="P1132" s="12" t="s">
        <v>66</v>
      </c>
      <c r="Q1132" s="12" t="s">
        <v>67</v>
      </c>
      <c r="R1132" s="12" t="s">
        <v>708</v>
      </c>
      <c r="S1132" s="13">
        <v>197643537724</v>
      </c>
      <c r="T1132" s="12" t="s">
        <v>49</v>
      </c>
      <c r="U1132" s="12" t="s">
        <v>60</v>
      </c>
      <c r="V1132" s="12" t="s">
        <v>1731</v>
      </c>
      <c r="W1132" s="12" t="s">
        <v>118</v>
      </c>
      <c r="X1132" s="13">
        <v>0</v>
      </c>
      <c r="Y1132" s="12" t="s">
        <v>91</v>
      </c>
      <c r="Z1132" s="12" t="s">
        <v>4584</v>
      </c>
      <c r="AA1132" s="12" t="s">
        <v>4585</v>
      </c>
      <c r="AB1132" s="13">
        <v>0</v>
      </c>
      <c r="AC1132" s="15">
        <v>38.65</v>
      </c>
      <c r="AD1132" s="15">
        <f>AC1132*AG1132</f>
        <v>193.25</v>
      </c>
      <c r="AE1132" s="15">
        <v>85</v>
      </c>
      <c r="AF1132" s="15">
        <f>AE1132*AG1132</f>
        <v>425</v>
      </c>
      <c r="AG1132" s="16">
        <v>5</v>
      </c>
    </row>
    <row r="1133" spans="1:33" ht="15" customHeight="1" x14ac:dyDescent="0.2">
      <c r="A1133" s="11" t="str">
        <f>HYPERLINK("https://assets.vans.eu/images/VN000M330E0-HERO/1","VN000M330E01")</f>
        <v>VN000M330E01</v>
      </c>
      <c r="B1133" s="12" t="s">
        <v>4586</v>
      </c>
      <c r="C1133" s="12" t="s">
        <v>4587</v>
      </c>
      <c r="D1133" s="12" t="s">
        <v>4588</v>
      </c>
      <c r="E1133" s="12" t="s">
        <v>4589</v>
      </c>
      <c r="F1133" s="12" t="s">
        <v>153</v>
      </c>
      <c r="G1133" s="14"/>
      <c r="H1133" s="12" t="s">
        <v>61</v>
      </c>
      <c r="I1133" s="12" t="s">
        <v>230</v>
      </c>
      <c r="J1133" s="12" t="s">
        <v>231</v>
      </c>
      <c r="K1133" s="12" t="s">
        <v>199</v>
      </c>
      <c r="L1133" s="14"/>
      <c r="M1133" s="12" t="s">
        <v>43</v>
      </c>
      <c r="N1133" s="12" t="s">
        <v>44</v>
      </c>
      <c r="O1133" s="12" t="s">
        <v>4590</v>
      </c>
      <c r="P1133" s="12" t="s">
        <v>66</v>
      </c>
      <c r="Q1133" s="12" t="s">
        <v>233</v>
      </c>
      <c r="R1133" s="12" t="s">
        <v>234</v>
      </c>
      <c r="S1133" s="13">
        <v>197643411376</v>
      </c>
      <c r="T1133" s="12" t="s">
        <v>235</v>
      </c>
      <c r="U1133" s="12" t="s">
        <v>153</v>
      </c>
      <c r="V1133" s="12" t="s">
        <v>1811</v>
      </c>
      <c r="W1133" s="12" t="s">
        <v>299</v>
      </c>
      <c r="X1133" s="13">
        <v>0</v>
      </c>
      <c r="Y1133" s="12" t="s">
        <v>53</v>
      </c>
      <c r="Z1133" s="12" t="s">
        <v>108</v>
      </c>
      <c r="AA1133" s="13">
        <v>0</v>
      </c>
      <c r="AB1133" s="13">
        <v>0</v>
      </c>
      <c r="AC1133" s="15">
        <v>38.65</v>
      </c>
      <c r="AD1133" s="15">
        <f>AC1133*AG1133</f>
        <v>193.25</v>
      </c>
      <c r="AE1133" s="15">
        <v>85</v>
      </c>
      <c r="AF1133" s="15">
        <f>AE1133*AG1133</f>
        <v>425</v>
      </c>
      <c r="AG1133" s="16">
        <v>5</v>
      </c>
    </row>
    <row r="1134" spans="1:33" ht="15" customHeight="1" x14ac:dyDescent="0.2">
      <c r="A1134" s="11" t="str">
        <f>HYPERLINK("https://assets.vans.eu/images/VN000M6XC9F-HERO/1","VN000M6XC9F1")</f>
        <v>VN000M6XC9F1</v>
      </c>
      <c r="B1134" s="12" t="s">
        <v>4591</v>
      </c>
      <c r="C1134" s="12" t="s">
        <v>2055</v>
      </c>
      <c r="D1134" s="12" t="s">
        <v>2056</v>
      </c>
      <c r="E1134" s="12" t="s">
        <v>4592</v>
      </c>
      <c r="F1134" s="12" t="s">
        <v>153</v>
      </c>
      <c r="G1134" s="14"/>
      <c r="H1134" s="12" t="s">
        <v>61</v>
      </c>
      <c r="I1134" s="12" t="s">
        <v>289</v>
      </c>
      <c r="J1134" s="12" t="s">
        <v>290</v>
      </c>
      <c r="K1134" s="12" t="s">
        <v>100</v>
      </c>
      <c r="L1134" s="14"/>
      <c r="M1134" s="12" t="s">
        <v>43</v>
      </c>
      <c r="N1134" s="12" t="s">
        <v>44</v>
      </c>
      <c r="O1134" s="12" t="s">
        <v>4593</v>
      </c>
      <c r="P1134" s="12" t="s">
        <v>66</v>
      </c>
      <c r="Q1134" s="12" t="s">
        <v>233</v>
      </c>
      <c r="R1134" s="12" t="s">
        <v>664</v>
      </c>
      <c r="S1134" s="13">
        <v>197643361183</v>
      </c>
      <c r="T1134" s="12" t="s">
        <v>235</v>
      </c>
      <c r="U1134" s="12" t="s">
        <v>153</v>
      </c>
      <c r="V1134" s="12" t="s">
        <v>1811</v>
      </c>
      <c r="W1134" s="12" t="s">
        <v>175</v>
      </c>
      <c r="X1134" s="13">
        <v>0</v>
      </c>
      <c r="Y1134" s="12" t="s">
        <v>53</v>
      </c>
      <c r="Z1134" s="12" t="s">
        <v>108</v>
      </c>
      <c r="AA1134" s="13">
        <v>0</v>
      </c>
      <c r="AB1134" s="13">
        <v>0</v>
      </c>
      <c r="AC1134" s="15">
        <v>45.5</v>
      </c>
      <c r="AD1134" s="15">
        <f>AC1134*AG1134</f>
        <v>227.5</v>
      </c>
      <c r="AE1134" s="15">
        <v>100</v>
      </c>
      <c r="AF1134" s="15">
        <f>AE1134*AG1134</f>
        <v>500</v>
      </c>
      <c r="AG1134" s="16">
        <v>5</v>
      </c>
    </row>
    <row r="1135" spans="1:33" ht="15" customHeight="1" x14ac:dyDescent="0.2">
      <c r="A1135" s="11" t="str">
        <f t="shared" ref="A1135:A1337" si="481">HYPERLINK("https://assets.vans.eu/images/VN000M77Y7U-HERO/1","VN000M77Y7U1")</f>
        <v>VN000M77Y7U1</v>
      </c>
      <c r="B1135" s="12" t="s">
        <v>4594</v>
      </c>
      <c r="C1135" s="12" t="s">
        <v>1796</v>
      </c>
      <c r="D1135" s="12" t="s">
        <v>740</v>
      </c>
      <c r="E1135" s="12" t="s">
        <v>4595</v>
      </c>
      <c r="F1135" s="12" t="s">
        <v>60</v>
      </c>
      <c r="G1135" s="14"/>
      <c r="H1135" s="12" t="s">
        <v>61</v>
      </c>
      <c r="I1135" s="12" t="s">
        <v>289</v>
      </c>
      <c r="J1135" s="12" t="s">
        <v>706</v>
      </c>
      <c r="K1135" s="12" t="s">
        <v>100</v>
      </c>
      <c r="L1135" s="14"/>
      <c r="M1135" s="12" t="s">
        <v>43</v>
      </c>
      <c r="N1135" s="12" t="s">
        <v>44</v>
      </c>
      <c r="O1135" s="12" t="s">
        <v>4596</v>
      </c>
      <c r="P1135" s="12" t="s">
        <v>66</v>
      </c>
      <c r="Q1135" s="12" t="s">
        <v>67</v>
      </c>
      <c r="R1135" s="12" t="s">
        <v>1200</v>
      </c>
      <c r="S1135" s="13">
        <v>197643361060</v>
      </c>
      <c r="T1135" s="12" t="s">
        <v>49</v>
      </c>
      <c r="U1135" s="12" t="s">
        <v>60</v>
      </c>
      <c r="V1135" s="12" t="s">
        <v>70</v>
      </c>
      <c r="W1135" s="12" t="s">
        <v>455</v>
      </c>
      <c r="X1135" s="13">
        <v>0</v>
      </c>
      <c r="Y1135" s="12" t="s">
        <v>91</v>
      </c>
      <c r="Z1135" s="12" t="s">
        <v>108</v>
      </c>
      <c r="AA1135" s="13">
        <v>0</v>
      </c>
      <c r="AB1135" s="13">
        <v>0</v>
      </c>
      <c r="AC1135" s="15">
        <v>14.55</v>
      </c>
      <c r="AD1135" s="15">
        <f>AC1135*AG1135</f>
        <v>72.75</v>
      </c>
      <c r="AE1135" s="15">
        <v>32</v>
      </c>
      <c r="AF1135" s="15">
        <f>AE1135*AG1135</f>
        <v>160</v>
      </c>
      <c r="AG1135" s="16">
        <v>5</v>
      </c>
    </row>
    <row r="1136" spans="1:33" ht="15" customHeight="1" x14ac:dyDescent="0.2">
      <c r="A1136" s="11" t="str">
        <f>HYPERLINK("https://assets.vans.eu/images/VN000M84FS8-HERO/1","VN000M84FS81")</f>
        <v>VN000M84FS81</v>
      </c>
      <c r="B1136" s="12" t="s">
        <v>4597</v>
      </c>
      <c r="C1136" s="12" t="s">
        <v>4598</v>
      </c>
      <c r="D1136" s="12" t="s">
        <v>239</v>
      </c>
      <c r="E1136" s="12" t="s">
        <v>4599</v>
      </c>
      <c r="F1136" s="12" t="s">
        <v>179</v>
      </c>
      <c r="G1136" s="14"/>
      <c r="H1136" s="12" t="s">
        <v>61</v>
      </c>
      <c r="I1136" s="12" t="s">
        <v>62</v>
      </c>
      <c r="J1136" s="12" t="s">
        <v>63</v>
      </c>
      <c r="K1136" s="12" t="s">
        <v>64</v>
      </c>
      <c r="L1136" s="14"/>
      <c r="M1136" s="12" t="s">
        <v>43</v>
      </c>
      <c r="N1136" s="12" t="s">
        <v>44</v>
      </c>
      <c r="O1136" s="12" t="s">
        <v>4600</v>
      </c>
      <c r="P1136" s="12" t="s">
        <v>66</v>
      </c>
      <c r="Q1136" s="12" t="s">
        <v>67</v>
      </c>
      <c r="R1136" s="12" t="s">
        <v>68</v>
      </c>
      <c r="S1136" s="13">
        <v>197643360698</v>
      </c>
      <c r="T1136" s="12" t="s">
        <v>915</v>
      </c>
      <c r="U1136" s="12" t="s">
        <v>179</v>
      </c>
      <c r="V1136" s="12" t="s">
        <v>1028</v>
      </c>
      <c r="W1136" s="12" t="s">
        <v>175</v>
      </c>
      <c r="X1136" s="13">
        <v>0</v>
      </c>
      <c r="Y1136" s="12" t="s">
        <v>91</v>
      </c>
      <c r="Z1136" s="12" t="s">
        <v>108</v>
      </c>
      <c r="AA1136" s="13">
        <v>0</v>
      </c>
      <c r="AB1136" s="13">
        <v>0</v>
      </c>
      <c r="AC1136" s="15">
        <v>14.55</v>
      </c>
      <c r="AD1136" s="15">
        <f>AC1136*AG1136</f>
        <v>72.75</v>
      </c>
      <c r="AE1136" s="15">
        <v>32</v>
      </c>
      <c r="AF1136" s="15">
        <f>AE1136*AG1136</f>
        <v>160</v>
      </c>
      <c r="AG1136" s="16">
        <v>5</v>
      </c>
    </row>
    <row r="1137" spans="1:33" ht="15" customHeight="1" x14ac:dyDescent="0.2">
      <c r="A1137" s="11" t="str">
        <f t="shared" ref="A1137:A1339" si="482">HYPERLINK("https://assets.vans.eu/images/VN000M8JY28-HERO/1","VN000M8JY281")</f>
        <v>VN000M8JY281</v>
      </c>
      <c r="B1137" s="12" t="s">
        <v>4601</v>
      </c>
      <c r="C1137" s="12" t="s">
        <v>4602</v>
      </c>
      <c r="D1137" s="12" t="s">
        <v>58</v>
      </c>
      <c r="E1137" s="12" t="s">
        <v>4603</v>
      </c>
      <c r="F1137" s="13">
        <v>32</v>
      </c>
      <c r="G1137" s="14"/>
      <c r="H1137" s="12" t="s">
        <v>61</v>
      </c>
      <c r="I1137" s="12" t="s">
        <v>230</v>
      </c>
      <c r="J1137" s="12" t="s">
        <v>557</v>
      </c>
      <c r="K1137" s="12" t="s">
        <v>199</v>
      </c>
      <c r="L1137" s="14"/>
      <c r="M1137" s="12" t="s">
        <v>43</v>
      </c>
      <c r="N1137" s="12" t="s">
        <v>44</v>
      </c>
      <c r="O1137" s="12" t="s">
        <v>4604</v>
      </c>
      <c r="P1137" s="12" t="s">
        <v>66</v>
      </c>
      <c r="Q1137" s="12" t="s">
        <v>559</v>
      </c>
      <c r="R1137" s="12" t="s">
        <v>560</v>
      </c>
      <c r="S1137" s="13">
        <v>197643538936</v>
      </c>
      <c r="T1137" s="12" t="s">
        <v>49</v>
      </c>
      <c r="U1137" s="13">
        <v>32</v>
      </c>
      <c r="V1137" s="12" t="s">
        <v>4605</v>
      </c>
      <c r="W1137" s="12" t="s">
        <v>51</v>
      </c>
      <c r="X1137" s="13">
        <v>0</v>
      </c>
      <c r="Y1137" s="12" t="s">
        <v>53</v>
      </c>
      <c r="Z1137" s="12" t="s">
        <v>108</v>
      </c>
      <c r="AA1137" s="13">
        <v>0</v>
      </c>
      <c r="AB1137" s="13">
        <v>0</v>
      </c>
      <c r="AC1137" s="15">
        <v>34.1</v>
      </c>
      <c r="AD1137" s="15">
        <f>AC1137*AG1137</f>
        <v>170.5</v>
      </c>
      <c r="AE1137" s="15">
        <v>75</v>
      </c>
      <c r="AF1137" s="15">
        <f>AE1137*AG1137</f>
        <v>375</v>
      </c>
      <c r="AG1137" s="16">
        <v>5</v>
      </c>
    </row>
    <row r="1138" spans="1:33" ht="15" customHeight="1" x14ac:dyDescent="0.2">
      <c r="A1138" s="11" t="str">
        <f>HYPERLINK("https://assets.vans.eu/images/VN000M97WHT-HERO/1","VN000M97WHT1")</f>
        <v>VN000M97WHT1</v>
      </c>
      <c r="B1138" s="12" t="s">
        <v>4606</v>
      </c>
      <c r="C1138" s="12" t="s">
        <v>4607</v>
      </c>
      <c r="D1138" s="12" t="s">
        <v>168</v>
      </c>
      <c r="E1138" s="12" t="s">
        <v>4608</v>
      </c>
      <c r="F1138" s="12" t="s">
        <v>170</v>
      </c>
      <c r="G1138" s="14"/>
      <c r="H1138" s="12" t="s">
        <v>61</v>
      </c>
      <c r="I1138" s="12" t="s">
        <v>289</v>
      </c>
      <c r="J1138" s="12" t="s">
        <v>706</v>
      </c>
      <c r="K1138" s="12" t="s">
        <v>100</v>
      </c>
      <c r="L1138" s="14"/>
      <c r="M1138" s="12" t="s">
        <v>43</v>
      </c>
      <c r="N1138" s="12" t="s">
        <v>44</v>
      </c>
      <c r="O1138" s="12" t="s">
        <v>4609</v>
      </c>
      <c r="P1138" s="12" t="s">
        <v>66</v>
      </c>
      <c r="Q1138" s="12" t="s">
        <v>67</v>
      </c>
      <c r="R1138" s="12" t="s">
        <v>1200</v>
      </c>
      <c r="S1138" s="13">
        <v>197643362166</v>
      </c>
      <c r="T1138" s="12" t="s">
        <v>49</v>
      </c>
      <c r="U1138" s="12" t="s">
        <v>170</v>
      </c>
      <c r="V1138" s="12" t="s">
        <v>665</v>
      </c>
      <c r="W1138" s="12" t="s">
        <v>175</v>
      </c>
      <c r="X1138" s="13">
        <v>0</v>
      </c>
      <c r="Y1138" s="12" t="s">
        <v>53</v>
      </c>
      <c r="Z1138" s="12" t="s">
        <v>108</v>
      </c>
      <c r="AA1138" s="13">
        <v>0</v>
      </c>
      <c r="AB1138" s="13">
        <v>0</v>
      </c>
      <c r="AC1138" s="15">
        <v>14.55</v>
      </c>
      <c r="AD1138" s="15">
        <f>AC1138*AG1138</f>
        <v>72.75</v>
      </c>
      <c r="AE1138" s="15">
        <v>32</v>
      </c>
      <c r="AF1138" s="15">
        <f>AE1138*AG1138</f>
        <v>160</v>
      </c>
      <c r="AG1138" s="16">
        <v>5</v>
      </c>
    </row>
    <row r="1139" spans="1:33" ht="15" customHeight="1" x14ac:dyDescent="0.2">
      <c r="A1139" s="11" t="str">
        <f t="shared" ref="A1139:A1345" si="483">HYPERLINK("https://assets.vans.eu/images/VN000M9SEMJ-HERO/1","VN000M9SEMJ1")</f>
        <v>VN000M9SEMJ1</v>
      </c>
      <c r="B1139" s="12" t="s">
        <v>4610</v>
      </c>
      <c r="C1139" s="12" t="s">
        <v>2222</v>
      </c>
      <c r="D1139" s="12" t="s">
        <v>768</v>
      </c>
      <c r="E1139" s="12" t="s">
        <v>4611</v>
      </c>
      <c r="F1139" s="12" t="s">
        <v>179</v>
      </c>
      <c r="G1139" s="14"/>
      <c r="H1139" s="12" t="s">
        <v>61</v>
      </c>
      <c r="I1139" s="12" t="s">
        <v>289</v>
      </c>
      <c r="J1139" s="12" t="s">
        <v>706</v>
      </c>
      <c r="K1139" s="12" t="s">
        <v>100</v>
      </c>
      <c r="L1139" s="14"/>
      <c r="M1139" s="12" t="s">
        <v>43</v>
      </c>
      <c r="N1139" s="12" t="s">
        <v>84</v>
      </c>
      <c r="O1139" s="12" t="s">
        <v>4612</v>
      </c>
      <c r="P1139" s="12" t="s">
        <v>66</v>
      </c>
      <c r="Q1139" s="12" t="s">
        <v>67</v>
      </c>
      <c r="R1139" s="12" t="s">
        <v>708</v>
      </c>
      <c r="S1139" s="13">
        <v>197804387359</v>
      </c>
      <c r="T1139" s="12" t="s">
        <v>709</v>
      </c>
      <c r="U1139" s="12" t="s">
        <v>179</v>
      </c>
      <c r="V1139" s="12" t="s">
        <v>2225</v>
      </c>
      <c r="W1139" s="12" t="s">
        <v>625</v>
      </c>
      <c r="X1139" s="14"/>
      <c r="Y1139" s="14"/>
      <c r="Z1139" s="14"/>
      <c r="AA1139" s="14"/>
      <c r="AB1139" s="14"/>
      <c r="AC1139" s="15">
        <v>34.1</v>
      </c>
      <c r="AD1139" s="15">
        <f>AC1139*AG1139</f>
        <v>170.5</v>
      </c>
      <c r="AE1139" s="15">
        <v>75</v>
      </c>
      <c r="AF1139" s="15">
        <f>AE1139*AG1139</f>
        <v>375</v>
      </c>
      <c r="AG1139" s="16">
        <v>5</v>
      </c>
    </row>
    <row r="1140" spans="1:33" ht="15" customHeight="1" x14ac:dyDescent="0.2">
      <c r="A1140" s="11" t="str">
        <f t="shared" ref="A1140:A3180" si="484">HYPERLINK("https://assets.vans.eu/images/VN000MA9ZBF-HERO/1","VN000MA9ZBF1")</f>
        <v>VN000MA9ZBF1</v>
      </c>
      <c r="B1140" s="12" t="s">
        <v>4613</v>
      </c>
      <c r="C1140" s="12" t="s">
        <v>4614</v>
      </c>
      <c r="D1140" s="12" t="s">
        <v>680</v>
      </c>
      <c r="E1140" s="12" t="s">
        <v>4615</v>
      </c>
      <c r="F1140" s="12" t="s">
        <v>138</v>
      </c>
      <c r="G1140" s="14"/>
      <c r="H1140" s="12" t="s">
        <v>61</v>
      </c>
      <c r="I1140" s="12" t="s">
        <v>289</v>
      </c>
      <c r="J1140" s="12" t="s">
        <v>706</v>
      </c>
      <c r="K1140" s="12" t="s">
        <v>100</v>
      </c>
      <c r="L1140" s="14"/>
      <c r="M1140" s="12" t="s">
        <v>43</v>
      </c>
      <c r="N1140" s="12" t="s">
        <v>44</v>
      </c>
      <c r="O1140" s="12" t="s">
        <v>4616</v>
      </c>
      <c r="P1140" s="12" t="s">
        <v>66</v>
      </c>
      <c r="Q1140" s="12" t="s">
        <v>67</v>
      </c>
      <c r="R1140" s="12" t="s">
        <v>708</v>
      </c>
      <c r="S1140" s="13">
        <v>197803426394</v>
      </c>
      <c r="T1140" s="12" t="s">
        <v>69</v>
      </c>
      <c r="U1140" s="12" t="s">
        <v>138</v>
      </c>
      <c r="V1140" s="12" t="s">
        <v>4617</v>
      </c>
      <c r="W1140" s="12" t="s">
        <v>118</v>
      </c>
      <c r="X1140" s="13">
        <v>0</v>
      </c>
      <c r="Y1140" s="12" t="s">
        <v>91</v>
      </c>
      <c r="Z1140" s="12" t="s">
        <v>108</v>
      </c>
      <c r="AA1140" s="13">
        <v>0</v>
      </c>
      <c r="AB1140" s="13">
        <v>0</v>
      </c>
      <c r="AC1140" s="15">
        <v>36.4</v>
      </c>
      <c r="AD1140" s="15">
        <f>AC1140*AG1140</f>
        <v>182</v>
      </c>
      <c r="AE1140" s="15">
        <v>80</v>
      </c>
      <c r="AF1140" s="15">
        <f>AE1140*AG1140</f>
        <v>400</v>
      </c>
      <c r="AG1140" s="16">
        <v>5</v>
      </c>
    </row>
    <row r="1141" spans="1:33" ht="15" customHeight="1" x14ac:dyDescent="0.2">
      <c r="A1141" s="11" t="str">
        <f>HYPERLINK("https://assets.vans.eu/images/VN000MBAE30-HERO/1","VN000MBAE301")</f>
        <v>VN000MBAE301</v>
      </c>
      <c r="B1141" s="12" t="s">
        <v>4618</v>
      </c>
      <c r="C1141" s="12" t="s">
        <v>4619</v>
      </c>
      <c r="D1141" s="12" t="s">
        <v>619</v>
      </c>
      <c r="E1141" s="12" t="s">
        <v>4620</v>
      </c>
      <c r="F1141" s="12" t="s">
        <v>403</v>
      </c>
      <c r="G1141" s="14"/>
      <c r="H1141" s="12" t="s">
        <v>61</v>
      </c>
      <c r="I1141" s="12" t="s">
        <v>289</v>
      </c>
      <c r="J1141" s="12" t="s">
        <v>290</v>
      </c>
      <c r="K1141" s="12" t="s">
        <v>100</v>
      </c>
      <c r="L1141" s="14"/>
      <c r="M1141" s="12" t="s">
        <v>43</v>
      </c>
      <c r="N1141" s="12" t="s">
        <v>44</v>
      </c>
      <c r="O1141" s="12" t="s">
        <v>4621</v>
      </c>
      <c r="P1141" s="12" t="s">
        <v>66</v>
      </c>
      <c r="Q1141" s="12" t="s">
        <v>233</v>
      </c>
      <c r="R1141" s="12" t="s">
        <v>292</v>
      </c>
      <c r="S1141" s="13">
        <v>197643367284</v>
      </c>
      <c r="T1141" s="12" t="s">
        <v>49</v>
      </c>
      <c r="U1141" s="12" t="s">
        <v>403</v>
      </c>
      <c r="V1141" s="12" t="s">
        <v>1092</v>
      </c>
      <c r="W1141" s="12" t="s">
        <v>625</v>
      </c>
      <c r="X1141" s="13">
        <v>0</v>
      </c>
      <c r="Y1141" s="12" t="s">
        <v>91</v>
      </c>
      <c r="Z1141" s="12" t="s">
        <v>108</v>
      </c>
      <c r="AA1141" s="13">
        <v>0</v>
      </c>
      <c r="AB1141" s="13">
        <v>0</v>
      </c>
      <c r="AC1141" s="15">
        <v>25</v>
      </c>
      <c r="AD1141" s="15">
        <f>AC1141*AG1141</f>
        <v>125</v>
      </c>
      <c r="AE1141" s="15">
        <v>55</v>
      </c>
      <c r="AF1141" s="15">
        <f>AE1141*AG1141</f>
        <v>275</v>
      </c>
      <c r="AG1141" s="16">
        <v>5</v>
      </c>
    </row>
    <row r="1142" spans="1:33" ht="15" customHeight="1" x14ac:dyDescent="0.2">
      <c r="A1142" s="11" t="str">
        <f t="shared" si="385"/>
        <v>VN000MBCWHT1</v>
      </c>
      <c r="B1142" s="12" t="s">
        <v>4622</v>
      </c>
      <c r="C1142" s="12" t="s">
        <v>1051</v>
      </c>
      <c r="D1142" s="12" t="s">
        <v>168</v>
      </c>
      <c r="E1142" s="12" t="s">
        <v>4623</v>
      </c>
      <c r="F1142" s="12" t="s">
        <v>621</v>
      </c>
      <c r="G1142" s="14"/>
      <c r="H1142" s="12" t="s">
        <v>61</v>
      </c>
      <c r="I1142" s="12" t="s">
        <v>289</v>
      </c>
      <c r="J1142" s="12" t="s">
        <v>290</v>
      </c>
      <c r="K1142" s="12" t="s">
        <v>100</v>
      </c>
      <c r="L1142" s="14"/>
      <c r="M1142" s="12" t="s">
        <v>43</v>
      </c>
      <c r="N1142" s="12" t="s">
        <v>44</v>
      </c>
      <c r="O1142" s="12" t="s">
        <v>4624</v>
      </c>
      <c r="P1142" s="12" t="s">
        <v>66</v>
      </c>
      <c r="Q1142" s="12" t="s">
        <v>233</v>
      </c>
      <c r="R1142" s="12" t="s">
        <v>1054</v>
      </c>
      <c r="S1142" s="13">
        <v>197643368083</v>
      </c>
      <c r="T1142" s="12" t="s">
        <v>235</v>
      </c>
      <c r="U1142" s="12" t="s">
        <v>621</v>
      </c>
      <c r="V1142" s="12" t="s">
        <v>1055</v>
      </c>
      <c r="W1142" s="12" t="s">
        <v>175</v>
      </c>
      <c r="X1142" s="13">
        <v>0</v>
      </c>
      <c r="Y1142" s="12" t="s">
        <v>91</v>
      </c>
      <c r="Z1142" s="12" t="s">
        <v>108</v>
      </c>
      <c r="AA1142" s="13">
        <v>0</v>
      </c>
      <c r="AB1142" s="13">
        <v>0</v>
      </c>
      <c r="AC1142" s="15">
        <v>17.3</v>
      </c>
      <c r="AD1142" s="15">
        <f>AC1142*AG1142</f>
        <v>86.5</v>
      </c>
      <c r="AE1142" s="15">
        <v>38</v>
      </c>
      <c r="AF1142" s="15">
        <f>AE1142*AG1142</f>
        <v>190</v>
      </c>
      <c r="AG1142" s="16">
        <v>5</v>
      </c>
    </row>
    <row r="1143" spans="1:33" ht="15" customHeight="1" x14ac:dyDescent="0.2">
      <c r="A1143" s="11" t="str">
        <f>HYPERLINK("https://assets.vans.eu/images/VN000MBCWHT-HERO/1","VN000MBCWHT1")</f>
        <v>VN000MBCWHT1</v>
      </c>
      <c r="B1143" s="12" t="s">
        <v>4625</v>
      </c>
      <c r="C1143" s="12" t="s">
        <v>1051</v>
      </c>
      <c r="D1143" s="12" t="s">
        <v>168</v>
      </c>
      <c r="E1143" s="12" t="s">
        <v>4626</v>
      </c>
      <c r="F1143" s="12" t="s">
        <v>138</v>
      </c>
      <c r="G1143" s="14"/>
      <c r="H1143" s="12" t="s">
        <v>61</v>
      </c>
      <c r="I1143" s="12" t="s">
        <v>289</v>
      </c>
      <c r="J1143" s="12" t="s">
        <v>290</v>
      </c>
      <c r="K1143" s="12" t="s">
        <v>100</v>
      </c>
      <c r="L1143" s="14"/>
      <c r="M1143" s="12" t="s">
        <v>43</v>
      </c>
      <c r="N1143" s="12" t="s">
        <v>44</v>
      </c>
      <c r="O1143" s="12" t="s">
        <v>4627</v>
      </c>
      <c r="P1143" s="12" t="s">
        <v>66</v>
      </c>
      <c r="Q1143" s="12" t="s">
        <v>233</v>
      </c>
      <c r="R1143" s="12" t="s">
        <v>1054</v>
      </c>
      <c r="S1143" s="13">
        <v>197643368144</v>
      </c>
      <c r="T1143" s="12" t="s">
        <v>235</v>
      </c>
      <c r="U1143" s="12" t="s">
        <v>138</v>
      </c>
      <c r="V1143" s="12" t="s">
        <v>1055</v>
      </c>
      <c r="W1143" s="12" t="s">
        <v>175</v>
      </c>
      <c r="X1143" s="13">
        <v>0</v>
      </c>
      <c r="Y1143" s="12" t="s">
        <v>91</v>
      </c>
      <c r="Z1143" s="12" t="s">
        <v>108</v>
      </c>
      <c r="AA1143" s="13">
        <v>0</v>
      </c>
      <c r="AB1143" s="13">
        <v>0</v>
      </c>
      <c r="AC1143" s="15">
        <v>17.3</v>
      </c>
      <c r="AD1143" s="15">
        <f>AC1143*AG1143</f>
        <v>86.5</v>
      </c>
      <c r="AE1143" s="15">
        <v>38</v>
      </c>
      <c r="AF1143" s="15">
        <f>AE1143*AG1143</f>
        <v>190</v>
      </c>
      <c r="AG1143" s="16">
        <v>5</v>
      </c>
    </row>
    <row r="1144" spans="1:33" ht="15" customHeight="1" x14ac:dyDescent="0.2">
      <c r="A1144" s="11" t="str">
        <f t="shared" si="126"/>
        <v>VN000MBEE301</v>
      </c>
      <c r="B1144" s="12" t="s">
        <v>4628</v>
      </c>
      <c r="C1144" s="12" t="s">
        <v>1581</v>
      </c>
      <c r="D1144" s="12" t="s">
        <v>619</v>
      </c>
      <c r="E1144" s="12" t="s">
        <v>4629</v>
      </c>
      <c r="F1144" s="13">
        <v>29</v>
      </c>
      <c r="G1144" s="14"/>
      <c r="H1144" s="12" t="s">
        <v>61</v>
      </c>
      <c r="I1144" s="12" t="s">
        <v>289</v>
      </c>
      <c r="J1144" s="12" t="s">
        <v>290</v>
      </c>
      <c r="K1144" s="12" t="s">
        <v>100</v>
      </c>
      <c r="L1144" s="14"/>
      <c r="M1144" s="12" t="s">
        <v>43</v>
      </c>
      <c r="N1144" s="12" t="s">
        <v>44</v>
      </c>
      <c r="O1144" s="12" t="s">
        <v>4630</v>
      </c>
      <c r="P1144" s="12" t="s">
        <v>66</v>
      </c>
      <c r="Q1144" s="12" t="s">
        <v>233</v>
      </c>
      <c r="R1144" s="12" t="s">
        <v>292</v>
      </c>
      <c r="S1144" s="13">
        <v>197643566854</v>
      </c>
      <c r="T1144" s="12" t="s">
        <v>235</v>
      </c>
      <c r="U1144" s="13">
        <v>29</v>
      </c>
      <c r="V1144" s="12" t="s">
        <v>665</v>
      </c>
      <c r="W1144" s="12" t="s">
        <v>625</v>
      </c>
      <c r="X1144" s="13">
        <v>0</v>
      </c>
      <c r="Y1144" s="12" t="s">
        <v>91</v>
      </c>
      <c r="Z1144" s="12" t="s">
        <v>108</v>
      </c>
      <c r="AA1144" s="13">
        <v>0</v>
      </c>
      <c r="AB1144" s="13">
        <v>0</v>
      </c>
      <c r="AC1144" s="15">
        <v>27.3</v>
      </c>
      <c r="AD1144" s="15">
        <f>AC1144*AG1144</f>
        <v>136.5</v>
      </c>
      <c r="AE1144" s="15">
        <v>60</v>
      </c>
      <c r="AF1144" s="15">
        <f>AE1144*AG1144</f>
        <v>300</v>
      </c>
      <c r="AG1144" s="16">
        <v>5</v>
      </c>
    </row>
    <row r="1145" spans="1:33" ht="15" customHeight="1" x14ac:dyDescent="0.2">
      <c r="A1145" s="11" t="str">
        <f t="shared" ref="A1145:A1666" si="485">HYPERLINK("https://assets.vans.eu/images/VN000MBEFS8-HERO/1","VN000MBEFS81")</f>
        <v>VN000MBEFS81</v>
      </c>
      <c r="B1145" s="12" t="s">
        <v>4631</v>
      </c>
      <c r="C1145" s="12" t="s">
        <v>1581</v>
      </c>
      <c r="D1145" s="12" t="s">
        <v>239</v>
      </c>
      <c r="E1145" s="12" t="s">
        <v>4632</v>
      </c>
      <c r="F1145" s="13">
        <v>29</v>
      </c>
      <c r="G1145" s="14"/>
      <c r="H1145" s="12" t="s">
        <v>61</v>
      </c>
      <c r="I1145" s="12" t="s">
        <v>289</v>
      </c>
      <c r="J1145" s="12" t="s">
        <v>290</v>
      </c>
      <c r="K1145" s="12" t="s">
        <v>100</v>
      </c>
      <c r="L1145" s="14"/>
      <c r="M1145" s="12" t="s">
        <v>43</v>
      </c>
      <c r="N1145" s="12" t="s">
        <v>44</v>
      </c>
      <c r="O1145" s="12" t="s">
        <v>4633</v>
      </c>
      <c r="P1145" s="12" t="s">
        <v>66</v>
      </c>
      <c r="Q1145" s="12" t="s">
        <v>233</v>
      </c>
      <c r="R1145" s="12" t="s">
        <v>292</v>
      </c>
      <c r="S1145" s="13">
        <v>197643566816</v>
      </c>
      <c r="T1145" s="12" t="s">
        <v>235</v>
      </c>
      <c r="U1145" s="13">
        <v>29</v>
      </c>
      <c r="V1145" s="12" t="s">
        <v>665</v>
      </c>
      <c r="W1145" s="12" t="s">
        <v>175</v>
      </c>
      <c r="X1145" s="13">
        <v>0</v>
      </c>
      <c r="Y1145" s="12" t="s">
        <v>91</v>
      </c>
      <c r="Z1145" s="12" t="s">
        <v>108</v>
      </c>
      <c r="AA1145" s="13">
        <v>0</v>
      </c>
      <c r="AB1145" s="13">
        <v>0</v>
      </c>
      <c r="AC1145" s="15">
        <v>27.3</v>
      </c>
      <c r="AD1145" s="15">
        <f>AC1145*AG1145</f>
        <v>136.5</v>
      </c>
      <c r="AE1145" s="15">
        <v>60</v>
      </c>
      <c r="AF1145" s="15">
        <f>AE1145*AG1145</f>
        <v>300</v>
      </c>
      <c r="AG1145" s="16">
        <v>5</v>
      </c>
    </row>
    <row r="1146" spans="1:33" ht="15" customHeight="1" x14ac:dyDescent="0.2">
      <c r="A1146" s="11" t="str">
        <f t="shared" si="319"/>
        <v>VN000MC0WHT1</v>
      </c>
      <c r="B1146" s="12" t="s">
        <v>4634</v>
      </c>
      <c r="C1146" s="12" t="s">
        <v>2898</v>
      </c>
      <c r="D1146" s="12" t="s">
        <v>168</v>
      </c>
      <c r="E1146" s="12" t="s">
        <v>4635</v>
      </c>
      <c r="F1146" s="12" t="s">
        <v>60</v>
      </c>
      <c r="G1146" s="14"/>
      <c r="H1146" s="12" t="s">
        <v>61</v>
      </c>
      <c r="I1146" s="12" t="s">
        <v>289</v>
      </c>
      <c r="J1146" s="12" t="s">
        <v>706</v>
      </c>
      <c r="K1146" s="12" t="s">
        <v>100</v>
      </c>
      <c r="L1146" s="14"/>
      <c r="M1146" s="12" t="s">
        <v>43</v>
      </c>
      <c r="N1146" s="12" t="s">
        <v>44</v>
      </c>
      <c r="O1146" s="12" t="s">
        <v>4636</v>
      </c>
      <c r="P1146" s="12" t="s">
        <v>66</v>
      </c>
      <c r="Q1146" s="12" t="s">
        <v>67</v>
      </c>
      <c r="R1146" s="12" t="s">
        <v>1146</v>
      </c>
      <c r="S1146" s="13">
        <v>197643369257</v>
      </c>
      <c r="T1146" s="12" t="s">
        <v>49</v>
      </c>
      <c r="U1146" s="12" t="s">
        <v>60</v>
      </c>
      <c r="V1146" s="12" t="s">
        <v>2556</v>
      </c>
      <c r="W1146" s="12" t="s">
        <v>175</v>
      </c>
      <c r="X1146" s="13">
        <v>0</v>
      </c>
      <c r="Y1146" s="12" t="s">
        <v>91</v>
      </c>
      <c r="Z1146" s="12" t="s">
        <v>108</v>
      </c>
      <c r="AA1146" s="13">
        <v>0</v>
      </c>
      <c r="AB1146" s="13">
        <v>0</v>
      </c>
      <c r="AC1146" s="15">
        <v>15.5</v>
      </c>
      <c r="AD1146" s="15">
        <f>AC1146*AG1146</f>
        <v>77.5</v>
      </c>
      <c r="AE1146" s="15">
        <v>34</v>
      </c>
      <c r="AF1146" s="15">
        <f>AE1146*AG1146</f>
        <v>170</v>
      </c>
      <c r="AG1146" s="16">
        <v>5</v>
      </c>
    </row>
    <row r="1147" spans="1:33" ht="15" customHeight="1" x14ac:dyDescent="0.2">
      <c r="A1147" s="11" t="str">
        <f>HYPERLINK("https://assets.vans.eu/images/VN000MCMBLK-HERO/1","VN000MCMBLK1")</f>
        <v>VN000MCMBLK1</v>
      </c>
      <c r="B1147" s="12" t="s">
        <v>4637</v>
      </c>
      <c r="C1147" s="12" t="s">
        <v>4638</v>
      </c>
      <c r="D1147" s="12" t="s">
        <v>76</v>
      </c>
      <c r="E1147" s="12" t="s">
        <v>4639</v>
      </c>
      <c r="F1147" s="12" t="s">
        <v>138</v>
      </c>
      <c r="G1147" s="14"/>
      <c r="H1147" s="12" t="s">
        <v>61</v>
      </c>
      <c r="I1147" s="12" t="s">
        <v>289</v>
      </c>
      <c r="J1147" s="12" t="s">
        <v>706</v>
      </c>
      <c r="K1147" s="12" t="s">
        <v>100</v>
      </c>
      <c r="L1147" s="14"/>
      <c r="M1147" s="12" t="s">
        <v>43</v>
      </c>
      <c r="N1147" s="12" t="s">
        <v>44</v>
      </c>
      <c r="O1147" s="12" t="s">
        <v>4640</v>
      </c>
      <c r="P1147" s="12" t="s">
        <v>66</v>
      </c>
      <c r="Q1147" s="12" t="s">
        <v>67</v>
      </c>
      <c r="R1147" s="12" t="s">
        <v>1146</v>
      </c>
      <c r="S1147" s="13">
        <v>197643370918</v>
      </c>
      <c r="T1147" s="12" t="s">
        <v>49</v>
      </c>
      <c r="U1147" s="12" t="s">
        <v>138</v>
      </c>
      <c r="V1147" s="12" t="s">
        <v>70</v>
      </c>
      <c r="W1147" s="12" t="s">
        <v>51</v>
      </c>
      <c r="X1147" s="13">
        <v>0</v>
      </c>
      <c r="Y1147" s="12" t="s">
        <v>53</v>
      </c>
      <c r="Z1147" s="12" t="s">
        <v>108</v>
      </c>
      <c r="AA1147" s="13">
        <v>0</v>
      </c>
      <c r="AB1147" s="13">
        <v>0</v>
      </c>
      <c r="AC1147" s="15">
        <v>20.5</v>
      </c>
      <c r="AD1147" s="15">
        <f>AC1147*AG1147</f>
        <v>102.5</v>
      </c>
      <c r="AE1147" s="15">
        <v>45</v>
      </c>
      <c r="AF1147" s="15">
        <f>AE1147*AG1147</f>
        <v>225</v>
      </c>
      <c r="AG1147" s="16">
        <v>5</v>
      </c>
    </row>
    <row r="1148" spans="1:33" ht="15" customHeight="1" x14ac:dyDescent="0.2">
      <c r="A1148" s="11" t="str">
        <f t="shared" si="239"/>
        <v>VN000MGTBL21</v>
      </c>
      <c r="B1148" s="12" t="s">
        <v>4641</v>
      </c>
      <c r="C1148" s="12" t="s">
        <v>2510</v>
      </c>
      <c r="D1148" s="12" t="s">
        <v>686</v>
      </c>
      <c r="E1148" s="12" t="s">
        <v>4642</v>
      </c>
      <c r="F1148" s="12" t="s">
        <v>60</v>
      </c>
      <c r="G1148" s="14"/>
      <c r="H1148" s="12" t="s">
        <v>61</v>
      </c>
      <c r="I1148" s="12" t="s">
        <v>62</v>
      </c>
      <c r="J1148" s="12" t="s">
        <v>63</v>
      </c>
      <c r="K1148" s="12" t="s">
        <v>64</v>
      </c>
      <c r="L1148" s="14"/>
      <c r="M1148" s="12" t="s">
        <v>43</v>
      </c>
      <c r="N1148" s="12" t="s">
        <v>44</v>
      </c>
      <c r="O1148" s="12" t="s">
        <v>4643</v>
      </c>
      <c r="P1148" s="12" t="s">
        <v>66</v>
      </c>
      <c r="Q1148" s="12" t="s">
        <v>67</v>
      </c>
      <c r="R1148" s="12" t="s">
        <v>2513</v>
      </c>
      <c r="S1148" s="13">
        <v>197643373872</v>
      </c>
      <c r="T1148" s="12" t="s">
        <v>105</v>
      </c>
      <c r="U1148" s="12" t="s">
        <v>60</v>
      </c>
      <c r="V1148" s="12" t="s">
        <v>665</v>
      </c>
      <c r="W1148" s="12" t="s">
        <v>186</v>
      </c>
      <c r="X1148" s="13">
        <v>0</v>
      </c>
      <c r="Y1148" s="12" t="s">
        <v>91</v>
      </c>
      <c r="Z1148" s="12" t="s">
        <v>108</v>
      </c>
      <c r="AA1148" s="13">
        <v>0</v>
      </c>
      <c r="AB1148" s="13">
        <v>0</v>
      </c>
      <c r="AC1148" s="15">
        <v>30.95</v>
      </c>
      <c r="AD1148" s="15">
        <f>AC1148*AG1148</f>
        <v>154.75</v>
      </c>
      <c r="AE1148" s="15">
        <v>68</v>
      </c>
      <c r="AF1148" s="15">
        <f>AE1148*AG1148</f>
        <v>340</v>
      </c>
      <c r="AG1148" s="16">
        <v>5</v>
      </c>
    </row>
    <row r="1149" spans="1:33" ht="15" customHeight="1" x14ac:dyDescent="0.2">
      <c r="A1149" s="11" t="str">
        <f>HYPERLINK("https://assets.vans.eu/images/VN000MK9WHT-HERO/1","VN000MK9WHT1")</f>
        <v>VN000MK9WHT1</v>
      </c>
      <c r="B1149" s="12" t="s">
        <v>4644</v>
      </c>
      <c r="C1149" s="12" t="s">
        <v>4645</v>
      </c>
      <c r="D1149" s="12" t="s">
        <v>168</v>
      </c>
      <c r="E1149" s="12" t="s">
        <v>4646</v>
      </c>
      <c r="F1149" s="12" t="s">
        <v>179</v>
      </c>
      <c r="G1149" s="14"/>
      <c r="H1149" s="12" t="s">
        <v>61</v>
      </c>
      <c r="I1149" s="12" t="s">
        <v>4647</v>
      </c>
      <c r="J1149" s="12" t="s">
        <v>4648</v>
      </c>
      <c r="K1149" s="12" t="s">
        <v>64</v>
      </c>
      <c r="L1149" s="14"/>
      <c r="M1149" s="12" t="s">
        <v>43</v>
      </c>
      <c r="N1149" s="12" t="s">
        <v>44</v>
      </c>
      <c r="O1149" s="12" t="s">
        <v>4649</v>
      </c>
      <c r="P1149" s="12" t="s">
        <v>66</v>
      </c>
      <c r="Q1149" s="12" t="s">
        <v>67</v>
      </c>
      <c r="R1149" s="12" t="s">
        <v>68</v>
      </c>
      <c r="S1149" s="13">
        <v>197803401643</v>
      </c>
      <c r="T1149" s="12" t="s">
        <v>69</v>
      </c>
      <c r="U1149" s="12" t="s">
        <v>179</v>
      </c>
      <c r="V1149" s="12" t="s">
        <v>70</v>
      </c>
      <c r="W1149" s="12" t="s">
        <v>175</v>
      </c>
      <c r="X1149" s="13">
        <v>0</v>
      </c>
      <c r="Y1149" s="12" t="s">
        <v>91</v>
      </c>
      <c r="Z1149" s="12" t="s">
        <v>108</v>
      </c>
      <c r="AA1149" s="13">
        <v>0</v>
      </c>
      <c r="AB1149" s="13">
        <v>0</v>
      </c>
      <c r="AC1149" s="15">
        <v>15.95</v>
      </c>
      <c r="AD1149" s="15">
        <f>AC1149*AG1149</f>
        <v>79.75</v>
      </c>
      <c r="AE1149" s="15">
        <v>35</v>
      </c>
      <c r="AF1149" s="15">
        <f>AE1149*AG1149</f>
        <v>175</v>
      </c>
      <c r="AG1149" s="16">
        <v>5</v>
      </c>
    </row>
    <row r="1150" spans="1:33" ht="15" customHeight="1" x14ac:dyDescent="0.2">
      <c r="A1150" s="11" t="str">
        <f t="shared" ref="A1150:A1680" si="486">HYPERLINK("https://assets.vans.eu/images/VN000MMTBLK-HERO/1","VN000MMTBLK1")</f>
        <v>VN000MMTBLK1</v>
      </c>
      <c r="B1150" s="12" t="s">
        <v>4650</v>
      </c>
      <c r="C1150" s="12" t="s">
        <v>2515</v>
      </c>
      <c r="D1150" s="12" t="s">
        <v>76</v>
      </c>
      <c r="E1150" s="12" t="s">
        <v>4651</v>
      </c>
      <c r="F1150" s="13">
        <v>7</v>
      </c>
      <c r="G1150" s="14"/>
      <c r="H1150" s="12" t="s">
        <v>61</v>
      </c>
      <c r="I1150" s="12" t="s">
        <v>1340</v>
      </c>
      <c r="J1150" s="12" t="s">
        <v>1341</v>
      </c>
      <c r="K1150" s="12" t="s">
        <v>64</v>
      </c>
      <c r="L1150" s="14"/>
      <c r="M1150" s="12" t="s">
        <v>43</v>
      </c>
      <c r="N1150" s="12" t="s">
        <v>44</v>
      </c>
      <c r="O1150" s="12" t="s">
        <v>4652</v>
      </c>
      <c r="P1150" s="12" t="s">
        <v>66</v>
      </c>
      <c r="Q1150" s="12" t="s">
        <v>67</v>
      </c>
      <c r="R1150" s="12" t="s">
        <v>68</v>
      </c>
      <c r="S1150" s="13">
        <v>197643377115</v>
      </c>
      <c r="T1150" s="12" t="s">
        <v>422</v>
      </c>
      <c r="U1150" s="13">
        <v>7</v>
      </c>
      <c r="V1150" s="12" t="s">
        <v>70</v>
      </c>
      <c r="W1150" s="12" t="s">
        <v>51</v>
      </c>
      <c r="X1150" s="13">
        <v>0</v>
      </c>
      <c r="Y1150" s="12" t="s">
        <v>91</v>
      </c>
      <c r="Z1150" s="12" t="s">
        <v>108</v>
      </c>
      <c r="AA1150" s="13">
        <v>0</v>
      </c>
      <c r="AB1150" s="13">
        <v>0</v>
      </c>
      <c r="AC1150" s="15">
        <v>10.95</v>
      </c>
      <c r="AD1150" s="15">
        <f>AC1150*AG1150</f>
        <v>54.75</v>
      </c>
      <c r="AE1150" s="15">
        <v>24</v>
      </c>
      <c r="AF1150" s="15">
        <f>AE1150*AG1150</f>
        <v>120</v>
      </c>
      <c r="AG1150" s="16">
        <v>5</v>
      </c>
    </row>
    <row r="1151" spans="1:33" ht="15" customHeight="1" x14ac:dyDescent="0.2">
      <c r="A1151" s="11" t="str">
        <f t="shared" si="432"/>
        <v>VN000MN2BR11</v>
      </c>
      <c r="B1151" s="12" t="s">
        <v>4653</v>
      </c>
      <c r="C1151" s="12" t="s">
        <v>4158</v>
      </c>
      <c r="D1151" s="12" t="s">
        <v>496</v>
      </c>
      <c r="E1151" s="12" t="s">
        <v>4654</v>
      </c>
      <c r="F1151" s="12" t="s">
        <v>170</v>
      </c>
      <c r="G1151" s="14"/>
      <c r="H1151" s="12" t="s">
        <v>61</v>
      </c>
      <c r="I1151" s="12" t="s">
        <v>289</v>
      </c>
      <c r="J1151" s="12" t="s">
        <v>900</v>
      </c>
      <c r="K1151" s="12" t="s">
        <v>100</v>
      </c>
      <c r="L1151" s="14"/>
      <c r="M1151" s="12" t="s">
        <v>43</v>
      </c>
      <c r="N1151" s="12" t="s">
        <v>44</v>
      </c>
      <c r="O1151" s="12" t="s">
        <v>4655</v>
      </c>
      <c r="P1151" s="12" t="s">
        <v>66</v>
      </c>
      <c r="Q1151" s="12" t="s">
        <v>233</v>
      </c>
      <c r="R1151" s="12" t="s">
        <v>902</v>
      </c>
      <c r="S1151" s="13">
        <v>197643377078</v>
      </c>
      <c r="T1151" s="12" t="s">
        <v>49</v>
      </c>
      <c r="U1151" s="12" t="s">
        <v>170</v>
      </c>
      <c r="V1151" s="12" t="s">
        <v>90</v>
      </c>
      <c r="W1151" s="12" t="s">
        <v>118</v>
      </c>
      <c r="X1151" s="13">
        <v>0</v>
      </c>
      <c r="Y1151" s="12" t="s">
        <v>53</v>
      </c>
      <c r="Z1151" s="12" t="s">
        <v>108</v>
      </c>
      <c r="AA1151" s="13">
        <v>0</v>
      </c>
      <c r="AB1151" s="13">
        <v>0</v>
      </c>
      <c r="AC1151" s="15">
        <v>36.4</v>
      </c>
      <c r="AD1151" s="15">
        <f>AC1151*AG1151</f>
        <v>182</v>
      </c>
      <c r="AE1151" s="15">
        <v>80</v>
      </c>
      <c r="AF1151" s="15">
        <f>AE1151*AG1151</f>
        <v>400</v>
      </c>
      <c r="AG1151" s="16">
        <v>5</v>
      </c>
    </row>
    <row r="1152" spans="1:33" ht="15" customHeight="1" x14ac:dyDescent="0.2">
      <c r="A1152" s="11" t="str">
        <f t="shared" ref="A1152:A3244" si="487">HYPERLINK("https://assets.vans.eu/images/VN000NY1C9L-HERO/1","VN000NY1C9L1")</f>
        <v>VN000NY1C9L1</v>
      </c>
      <c r="B1152" s="12" t="s">
        <v>4656</v>
      </c>
      <c r="C1152" s="12" t="s">
        <v>4657</v>
      </c>
      <c r="D1152" s="12" t="s">
        <v>890</v>
      </c>
      <c r="E1152" s="12" t="s">
        <v>4658</v>
      </c>
      <c r="F1152" s="12" t="s">
        <v>138</v>
      </c>
      <c r="G1152" s="14"/>
      <c r="H1152" s="12" t="s">
        <v>61</v>
      </c>
      <c r="I1152" s="12" t="s">
        <v>289</v>
      </c>
      <c r="J1152" s="12" t="s">
        <v>706</v>
      </c>
      <c r="K1152" s="12" t="s">
        <v>100</v>
      </c>
      <c r="L1152" s="12" t="s">
        <v>83</v>
      </c>
      <c r="M1152" s="12" t="s">
        <v>43</v>
      </c>
      <c r="N1152" s="12" t="s">
        <v>44</v>
      </c>
      <c r="O1152" s="12" t="s">
        <v>4659</v>
      </c>
      <c r="P1152" s="12" t="s">
        <v>66</v>
      </c>
      <c r="Q1152" s="12" t="s">
        <v>67</v>
      </c>
      <c r="R1152" s="12" t="s">
        <v>708</v>
      </c>
      <c r="S1152" s="13">
        <v>197803405245</v>
      </c>
      <c r="T1152" s="12" t="s">
        <v>69</v>
      </c>
      <c r="U1152" s="12" t="s">
        <v>138</v>
      </c>
      <c r="V1152" s="12" t="s">
        <v>1378</v>
      </c>
      <c r="W1152" s="12" t="s">
        <v>262</v>
      </c>
      <c r="X1152" s="13">
        <v>0</v>
      </c>
      <c r="Y1152" s="12" t="s">
        <v>53</v>
      </c>
      <c r="Z1152" s="12" t="s">
        <v>108</v>
      </c>
      <c r="AA1152" s="13">
        <v>0</v>
      </c>
      <c r="AB1152" s="12" t="s">
        <v>616</v>
      </c>
      <c r="AC1152" s="15">
        <v>38.65</v>
      </c>
      <c r="AD1152" s="15">
        <f>AC1152*AG1152</f>
        <v>193.25</v>
      </c>
      <c r="AE1152" s="15">
        <v>85</v>
      </c>
      <c r="AF1152" s="15">
        <f>AE1152*AG1152</f>
        <v>425</v>
      </c>
      <c r="AG1152" s="16">
        <v>5</v>
      </c>
    </row>
    <row r="1153" spans="1:33" ht="15" customHeight="1" x14ac:dyDescent="0.2">
      <c r="A1153" s="11" t="str">
        <f t="shared" ref="A1153:A3256" si="488">HYPERLINK("https://assets.vans.eu/images/VN000P1PRNE-HERO/1","VN000P1PRNE1")</f>
        <v>VN000P1PRNE1</v>
      </c>
      <c r="B1153" s="12" t="s">
        <v>4660</v>
      </c>
      <c r="C1153" s="12" t="s">
        <v>2706</v>
      </c>
      <c r="D1153" s="12" t="s">
        <v>4661</v>
      </c>
      <c r="E1153" s="12" t="s">
        <v>4662</v>
      </c>
      <c r="F1153" s="12" t="s">
        <v>179</v>
      </c>
      <c r="G1153" s="14"/>
      <c r="H1153" s="12" t="s">
        <v>61</v>
      </c>
      <c r="I1153" s="12" t="s">
        <v>230</v>
      </c>
      <c r="J1153" s="12" t="s">
        <v>419</v>
      </c>
      <c r="K1153" s="12" t="s">
        <v>199</v>
      </c>
      <c r="L1153" s="12" t="s">
        <v>115</v>
      </c>
      <c r="M1153" s="12" t="s">
        <v>43</v>
      </c>
      <c r="N1153" s="12" t="s">
        <v>44</v>
      </c>
      <c r="O1153" s="12" t="s">
        <v>4663</v>
      </c>
      <c r="P1153" s="12" t="s">
        <v>66</v>
      </c>
      <c r="Q1153" s="12" t="s">
        <v>67</v>
      </c>
      <c r="R1153" s="12" t="s">
        <v>421</v>
      </c>
      <c r="S1153" s="13">
        <v>197804660650</v>
      </c>
      <c r="T1153" s="12" t="s">
        <v>422</v>
      </c>
      <c r="U1153" s="12" t="s">
        <v>179</v>
      </c>
      <c r="V1153" s="12" t="s">
        <v>423</v>
      </c>
      <c r="W1153" s="12" t="s">
        <v>118</v>
      </c>
      <c r="X1153" s="13">
        <v>0</v>
      </c>
      <c r="Y1153" s="12" t="s">
        <v>91</v>
      </c>
      <c r="Z1153" s="12" t="s">
        <v>92</v>
      </c>
      <c r="AA1153" s="12" t="s">
        <v>626</v>
      </c>
      <c r="AB1153" s="12" t="s">
        <v>94</v>
      </c>
      <c r="AC1153" s="15">
        <v>13.65</v>
      </c>
      <c r="AD1153" s="15">
        <f>AC1153*AG1153</f>
        <v>68.25</v>
      </c>
      <c r="AE1153" s="15">
        <v>30</v>
      </c>
      <c r="AF1153" s="15">
        <f>AE1153*AG1153</f>
        <v>150</v>
      </c>
      <c r="AG1153" s="16">
        <v>5</v>
      </c>
    </row>
    <row r="1154" spans="1:33" ht="15" customHeight="1" x14ac:dyDescent="0.2">
      <c r="A1154" s="11" t="str">
        <f>HYPERLINK("https://assets.vans.eu/images/VN000P21EMU-HERO/1","VN000P21EMU1")</f>
        <v>VN000P21EMU1</v>
      </c>
      <c r="B1154" s="12" t="s">
        <v>4664</v>
      </c>
      <c r="C1154" s="12" t="s">
        <v>3728</v>
      </c>
      <c r="D1154" s="12" t="s">
        <v>1319</v>
      </c>
      <c r="E1154" s="12" t="s">
        <v>4665</v>
      </c>
      <c r="F1154" s="12" t="s">
        <v>179</v>
      </c>
      <c r="G1154" s="14"/>
      <c r="H1154" s="12" t="s">
        <v>61</v>
      </c>
      <c r="I1154" s="12" t="s">
        <v>230</v>
      </c>
      <c r="J1154" s="12" t="s">
        <v>419</v>
      </c>
      <c r="K1154" s="12" t="s">
        <v>199</v>
      </c>
      <c r="L1154" s="12" t="s">
        <v>83</v>
      </c>
      <c r="M1154" s="12" t="s">
        <v>43</v>
      </c>
      <c r="N1154" s="12" t="s">
        <v>84</v>
      </c>
      <c r="O1154" s="12" t="s">
        <v>4666</v>
      </c>
      <c r="P1154" s="12" t="s">
        <v>66</v>
      </c>
      <c r="Q1154" s="12" t="s">
        <v>67</v>
      </c>
      <c r="R1154" s="12" t="s">
        <v>623</v>
      </c>
      <c r="S1154" s="13">
        <v>197804294282</v>
      </c>
      <c r="T1154" s="12" t="s">
        <v>499</v>
      </c>
      <c r="U1154" s="12" t="s">
        <v>179</v>
      </c>
      <c r="V1154" s="12" t="s">
        <v>70</v>
      </c>
      <c r="W1154" s="12" t="s">
        <v>118</v>
      </c>
      <c r="X1154" s="14"/>
      <c r="Y1154" s="14"/>
      <c r="Z1154" s="14"/>
      <c r="AA1154" s="14"/>
      <c r="AB1154" s="14"/>
      <c r="AC1154" s="15">
        <v>36.4</v>
      </c>
      <c r="AD1154" s="15">
        <f>AC1154*AG1154</f>
        <v>182</v>
      </c>
      <c r="AE1154" s="15">
        <v>80</v>
      </c>
      <c r="AF1154" s="15">
        <f>AE1154*AG1154</f>
        <v>400</v>
      </c>
      <c r="AG1154" s="16">
        <v>5</v>
      </c>
    </row>
    <row r="1155" spans="1:33" ht="15" customHeight="1" x14ac:dyDescent="0.2">
      <c r="A1155" s="11" t="str">
        <f t="shared" ref="A1155:A2186" si="489">HYPERLINK("https://assets.vans.eu/images/VN000P50EMW-HERO/1","VN000P50EMW1")</f>
        <v>VN000P50EMW1</v>
      </c>
      <c r="B1155" s="12" t="s">
        <v>4667</v>
      </c>
      <c r="C1155" s="12" t="s">
        <v>4668</v>
      </c>
      <c r="D1155" s="12" t="s">
        <v>147</v>
      </c>
      <c r="E1155" s="12" t="s">
        <v>4669</v>
      </c>
      <c r="F1155" s="12" t="s">
        <v>60</v>
      </c>
      <c r="G1155" s="14"/>
      <c r="H1155" s="12" t="s">
        <v>61</v>
      </c>
      <c r="I1155" s="12" t="s">
        <v>230</v>
      </c>
      <c r="J1155" s="12" t="s">
        <v>419</v>
      </c>
      <c r="K1155" s="12" t="s">
        <v>199</v>
      </c>
      <c r="L1155" s="12" t="s">
        <v>83</v>
      </c>
      <c r="M1155" s="12" t="s">
        <v>43</v>
      </c>
      <c r="N1155" s="12" t="s">
        <v>84</v>
      </c>
      <c r="O1155" s="12" t="s">
        <v>4670</v>
      </c>
      <c r="P1155" s="12" t="s">
        <v>66</v>
      </c>
      <c r="Q1155" s="12" t="s">
        <v>67</v>
      </c>
      <c r="R1155" s="12" t="s">
        <v>421</v>
      </c>
      <c r="S1155" s="13">
        <v>197804295524</v>
      </c>
      <c r="T1155" s="12" t="s">
        <v>422</v>
      </c>
      <c r="U1155" s="12" t="s">
        <v>60</v>
      </c>
      <c r="V1155" s="12" t="s">
        <v>70</v>
      </c>
      <c r="W1155" s="12" t="s">
        <v>118</v>
      </c>
      <c r="X1155" s="14"/>
      <c r="Y1155" s="14"/>
      <c r="Z1155" s="14"/>
      <c r="AA1155" s="14"/>
      <c r="AB1155" s="14"/>
      <c r="AC1155" s="15">
        <v>18.2</v>
      </c>
      <c r="AD1155" s="15">
        <f>AC1155*AG1155</f>
        <v>91</v>
      </c>
      <c r="AE1155" s="15">
        <v>40</v>
      </c>
      <c r="AF1155" s="15">
        <f>AE1155*AG1155</f>
        <v>200</v>
      </c>
      <c r="AG1155" s="16">
        <v>5</v>
      </c>
    </row>
    <row r="1156" spans="1:33" ht="15" customHeight="1" x14ac:dyDescent="0.2">
      <c r="A1156" s="11" t="str">
        <f t="shared" si="161"/>
        <v>VN000P58CHG1</v>
      </c>
      <c r="B1156" s="12" t="s">
        <v>4671</v>
      </c>
      <c r="C1156" s="12" t="s">
        <v>1888</v>
      </c>
      <c r="D1156" s="12" t="s">
        <v>1615</v>
      </c>
      <c r="E1156" s="12" t="s">
        <v>4672</v>
      </c>
      <c r="F1156" s="12" t="s">
        <v>153</v>
      </c>
      <c r="G1156" s="14"/>
      <c r="H1156" s="12" t="s">
        <v>61</v>
      </c>
      <c r="I1156" s="12" t="s">
        <v>230</v>
      </c>
      <c r="J1156" s="12" t="s">
        <v>419</v>
      </c>
      <c r="K1156" s="12" t="s">
        <v>199</v>
      </c>
      <c r="L1156" s="12" t="s">
        <v>83</v>
      </c>
      <c r="M1156" s="12" t="s">
        <v>43</v>
      </c>
      <c r="N1156" s="12" t="s">
        <v>84</v>
      </c>
      <c r="O1156" s="12" t="s">
        <v>4673</v>
      </c>
      <c r="P1156" s="12" t="s">
        <v>66</v>
      </c>
      <c r="Q1156" s="12" t="s">
        <v>67</v>
      </c>
      <c r="R1156" s="12" t="s">
        <v>623</v>
      </c>
      <c r="S1156" s="13">
        <v>197804296286</v>
      </c>
      <c r="T1156" s="12" t="s">
        <v>499</v>
      </c>
      <c r="U1156" s="12" t="s">
        <v>153</v>
      </c>
      <c r="V1156" s="12" t="s">
        <v>70</v>
      </c>
      <c r="W1156" s="12" t="s">
        <v>186</v>
      </c>
      <c r="X1156" s="14"/>
      <c r="Y1156" s="14"/>
      <c r="Z1156" s="14"/>
      <c r="AA1156" s="14"/>
      <c r="AB1156" s="14"/>
      <c r="AC1156" s="15">
        <v>36.4</v>
      </c>
      <c r="AD1156" s="15">
        <f>AC1156*AG1156</f>
        <v>182</v>
      </c>
      <c r="AE1156" s="15">
        <v>80</v>
      </c>
      <c r="AF1156" s="15">
        <f>AE1156*AG1156</f>
        <v>400</v>
      </c>
      <c r="AG1156" s="16">
        <v>5</v>
      </c>
    </row>
    <row r="1157" spans="1:33" ht="15" customHeight="1" x14ac:dyDescent="0.2">
      <c r="A1157" s="11" t="str">
        <f t="shared" si="152"/>
        <v>VN000P73Y281</v>
      </c>
      <c r="B1157" s="12" t="s">
        <v>4674</v>
      </c>
      <c r="C1157" s="12" t="s">
        <v>1808</v>
      </c>
      <c r="D1157" s="12" t="s">
        <v>58</v>
      </c>
      <c r="E1157" s="12" t="s">
        <v>4675</v>
      </c>
      <c r="F1157" s="12" t="s">
        <v>170</v>
      </c>
      <c r="G1157" s="14"/>
      <c r="H1157" s="12" t="s">
        <v>61</v>
      </c>
      <c r="I1157" s="12" t="s">
        <v>230</v>
      </c>
      <c r="J1157" s="12" t="s">
        <v>762</v>
      </c>
      <c r="K1157" s="12" t="s">
        <v>199</v>
      </c>
      <c r="L1157" s="14"/>
      <c r="M1157" s="12" t="s">
        <v>43</v>
      </c>
      <c r="N1157" s="12" t="s">
        <v>84</v>
      </c>
      <c r="O1157" s="12" t="s">
        <v>4676</v>
      </c>
      <c r="P1157" s="12" t="s">
        <v>66</v>
      </c>
      <c r="Q1157" s="12" t="s">
        <v>764</v>
      </c>
      <c r="R1157" s="12" t="s">
        <v>765</v>
      </c>
      <c r="S1157" s="13">
        <v>197804350605</v>
      </c>
      <c r="T1157" s="12" t="s">
        <v>235</v>
      </c>
      <c r="U1157" s="12" t="s">
        <v>170</v>
      </c>
      <c r="V1157" s="12" t="s">
        <v>1811</v>
      </c>
      <c r="W1157" s="12" t="s">
        <v>51</v>
      </c>
      <c r="X1157" s="14"/>
      <c r="Y1157" s="14"/>
      <c r="Z1157" s="14"/>
      <c r="AA1157" s="14"/>
      <c r="AB1157" s="14"/>
      <c r="AC1157" s="15">
        <v>31.85</v>
      </c>
      <c r="AD1157" s="15">
        <f>AC1157*AG1157</f>
        <v>159.25</v>
      </c>
      <c r="AE1157" s="15">
        <v>70</v>
      </c>
      <c r="AF1157" s="15">
        <f>AE1157*AG1157</f>
        <v>350</v>
      </c>
      <c r="AG1157" s="16">
        <v>5</v>
      </c>
    </row>
    <row r="1158" spans="1:33" ht="15" customHeight="1" x14ac:dyDescent="0.2">
      <c r="A1158" s="11" t="str">
        <f t="shared" ref="A1158:A1704" si="490">HYPERLINK("https://assets.vans.eu/images/VN000P73Y28-HERO/1","VN000P73Y281")</f>
        <v>VN000P73Y281</v>
      </c>
      <c r="B1158" s="12" t="s">
        <v>4677</v>
      </c>
      <c r="C1158" s="12" t="s">
        <v>1808</v>
      </c>
      <c r="D1158" s="12" t="s">
        <v>58</v>
      </c>
      <c r="E1158" s="12" t="s">
        <v>4678</v>
      </c>
      <c r="F1158" s="12" t="s">
        <v>621</v>
      </c>
      <c r="G1158" s="14"/>
      <c r="H1158" s="12" t="s">
        <v>61</v>
      </c>
      <c r="I1158" s="12" t="s">
        <v>230</v>
      </c>
      <c r="J1158" s="12" t="s">
        <v>762</v>
      </c>
      <c r="K1158" s="12" t="s">
        <v>199</v>
      </c>
      <c r="L1158" s="14"/>
      <c r="M1158" s="12" t="s">
        <v>43</v>
      </c>
      <c r="N1158" s="12" t="s">
        <v>84</v>
      </c>
      <c r="O1158" s="12" t="s">
        <v>4679</v>
      </c>
      <c r="P1158" s="12" t="s">
        <v>66</v>
      </c>
      <c r="Q1158" s="12" t="s">
        <v>764</v>
      </c>
      <c r="R1158" s="12" t="s">
        <v>765</v>
      </c>
      <c r="S1158" s="13">
        <v>197804351299</v>
      </c>
      <c r="T1158" s="12" t="s">
        <v>235</v>
      </c>
      <c r="U1158" s="12" t="s">
        <v>621</v>
      </c>
      <c r="V1158" s="12" t="s">
        <v>1811</v>
      </c>
      <c r="W1158" s="12" t="s">
        <v>51</v>
      </c>
      <c r="X1158" s="14"/>
      <c r="Y1158" s="14"/>
      <c r="Z1158" s="14"/>
      <c r="AA1158" s="14"/>
      <c r="AB1158" s="14"/>
      <c r="AC1158" s="15">
        <v>31.85</v>
      </c>
      <c r="AD1158" s="15">
        <f>AC1158*AG1158</f>
        <v>159.25</v>
      </c>
      <c r="AE1158" s="15">
        <v>70</v>
      </c>
      <c r="AF1158" s="15">
        <f>AE1158*AG1158</f>
        <v>350</v>
      </c>
      <c r="AG1158" s="16">
        <v>5</v>
      </c>
    </row>
    <row r="1159" spans="1:33" ht="15" customHeight="1" x14ac:dyDescent="0.2">
      <c r="A1159" s="11" t="str">
        <f t="shared" ref="A1159:A2201" si="491">HYPERLINK("https://assets.vans.eu/images/VN000P78BLK-HERO/1","VN000P78BLK1")</f>
        <v>VN000P78BLK1</v>
      </c>
      <c r="B1159" s="12" t="s">
        <v>4680</v>
      </c>
      <c r="C1159" s="12" t="s">
        <v>3435</v>
      </c>
      <c r="D1159" s="12" t="s">
        <v>76</v>
      </c>
      <c r="E1159" s="12" t="s">
        <v>4681</v>
      </c>
      <c r="F1159" s="12" t="s">
        <v>170</v>
      </c>
      <c r="G1159" s="14"/>
      <c r="H1159" s="12" t="s">
        <v>61</v>
      </c>
      <c r="I1159" s="12" t="s">
        <v>230</v>
      </c>
      <c r="J1159" s="12" t="s">
        <v>762</v>
      </c>
      <c r="K1159" s="12" t="s">
        <v>199</v>
      </c>
      <c r="L1159" s="14"/>
      <c r="M1159" s="12" t="s">
        <v>43</v>
      </c>
      <c r="N1159" s="12" t="s">
        <v>84</v>
      </c>
      <c r="O1159" s="12" t="s">
        <v>4682</v>
      </c>
      <c r="P1159" s="12" t="s">
        <v>66</v>
      </c>
      <c r="Q1159" s="12" t="s">
        <v>764</v>
      </c>
      <c r="R1159" s="12" t="s">
        <v>765</v>
      </c>
      <c r="S1159" s="13">
        <v>197804350643</v>
      </c>
      <c r="T1159" s="12" t="s">
        <v>235</v>
      </c>
      <c r="U1159" s="12" t="s">
        <v>170</v>
      </c>
      <c r="V1159" s="12" t="s">
        <v>1811</v>
      </c>
      <c r="W1159" s="12" t="s">
        <v>51</v>
      </c>
      <c r="X1159" s="14"/>
      <c r="Y1159" s="14"/>
      <c r="Z1159" s="14"/>
      <c r="AA1159" s="14"/>
      <c r="AB1159" s="14"/>
      <c r="AC1159" s="15">
        <v>59.1</v>
      </c>
      <c r="AD1159" s="15">
        <f>AC1159*AG1159</f>
        <v>295.5</v>
      </c>
      <c r="AE1159" s="15">
        <v>130</v>
      </c>
      <c r="AF1159" s="15">
        <f>AE1159*AG1159</f>
        <v>650</v>
      </c>
      <c r="AG1159" s="16">
        <v>5</v>
      </c>
    </row>
    <row r="1160" spans="1:33" ht="15" customHeight="1" x14ac:dyDescent="0.2">
      <c r="A1160" s="11" t="str">
        <f t="shared" si="163"/>
        <v>VN000P7AEN61</v>
      </c>
      <c r="B1160" s="12" t="s">
        <v>4683</v>
      </c>
      <c r="C1160" s="12" t="s">
        <v>1896</v>
      </c>
      <c r="D1160" s="12" t="s">
        <v>189</v>
      </c>
      <c r="E1160" s="12" t="s">
        <v>4684</v>
      </c>
      <c r="F1160" s="12" t="s">
        <v>403</v>
      </c>
      <c r="G1160" s="14"/>
      <c r="H1160" s="12" t="s">
        <v>61</v>
      </c>
      <c r="I1160" s="12" t="s">
        <v>230</v>
      </c>
      <c r="J1160" s="12" t="s">
        <v>762</v>
      </c>
      <c r="K1160" s="12" t="s">
        <v>199</v>
      </c>
      <c r="L1160" s="12" t="s">
        <v>115</v>
      </c>
      <c r="M1160" s="12" t="s">
        <v>43</v>
      </c>
      <c r="N1160" s="12" t="s">
        <v>84</v>
      </c>
      <c r="O1160" s="12" t="s">
        <v>4685</v>
      </c>
      <c r="P1160" s="12" t="s">
        <v>66</v>
      </c>
      <c r="Q1160" s="12" t="s">
        <v>764</v>
      </c>
      <c r="R1160" s="12" t="s">
        <v>765</v>
      </c>
      <c r="S1160" s="13">
        <v>198266996554</v>
      </c>
      <c r="T1160" s="12" t="s">
        <v>235</v>
      </c>
      <c r="U1160" s="12" t="s">
        <v>403</v>
      </c>
      <c r="V1160" s="12" t="s">
        <v>70</v>
      </c>
      <c r="W1160" s="12" t="s">
        <v>118</v>
      </c>
      <c r="X1160" s="14"/>
      <c r="Y1160" s="14"/>
      <c r="Z1160" s="14"/>
      <c r="AA1160" s="14"/>
      <c r="AB1160" s="14"/>
      <c r="AC1160" s="15">
        <v>59.1</v>
      </c>
      <c r="AD1160" s="15">
        <f>AC1160*AG1160</f>
        <v>295.5</v>
      </c>
      <c r="AE1160" s="15">
        <v>130</v>
      </c>
      <c r="AF1160" s="15">
        <f>AE1160*AG1160</f>
        <v>650</v>
      </c>
      <c r="AG1160" s="16">
        <v>5</v>
      </c>
    </row>
    <row r="1161" spans="1:33" ht="15" customHeight="1" x14ac:dyDescent="0.2">
      <c r="A1161" s="11" t="str">
        <f t="shared" si="322"/>
        <v>VN000PAUBLK1</v>
      </c>
      <c r="B1161" s="12" t="s">
        <v>4686</v>
      </c>
      <c r="C1161" s="12" t="s">
        <v>1089</v>
      </c>
      <c r="D1161" s="12" t="s">
        <v>76</v>
      </c>
      <c r="E1161" s="12" t="s">
        <v>4687</v>
      </c>
      <c r="F1161" s="12" t="s">
        <v>153</v>
      </c>
      <c r="G1161" s="14"/>
      <c r="H1161" s="12" t="s">
        <v>61</v>
      </c>
      <c r="I1161" s="12" t="s">
        <v>230</v>
      </c>
      <c r="J1161" s="12" t="s">
        <v>419</v>
      </c>
      <c r="K1161" s="12" t="s">
        <v>199</v>
      </c>
      <c r="L1161" s="14"/>
      <c r="M1161" s="12" t="s">
        <v>43</v>
      </c>
      <c r="N1161" s="12" t="s">
        <v>84</v>
      </c>
      <c r="O1161" s="12" t="s">
        <v>4688</v>
      </c>
      <c r="P1161" s="12" t="s">
        <v>66</v>
      </c>
      <c r="Q1161" s="12" t="s">
        <v>67</v>
      </c>
      <c r="R1161" s="12" t="s">
        <v>623</v>
      </c>
      <c r="S1161" s="13">
        <v>197804354627</v>
      </c>
      <c r="T1161" s="12" t="s">
        <v>49</v>
      </c>
      <c r="U1161" s="12" t="s">
        <v>153</v>
      </c>
      <c r="V1161" s="12" t="s">
        <v>1973</v>
      </c>
      <c r="W1161" s="12" t="s">
        <v>51</v>
      </c>
      <c r="X1161" s="14"/>
      <c r="Y1161" s="14"/>
      <c r="Z1161" s="14"/>
      <c r="AA1161" s="14"/>
      <c r="AB1161" s="14"/>
      <c r="AC1161" s="15">
        <v>36.4</v>
      </c>
      <c r="AD1161" s="15">
        <f>AC1161*AG1161</f>
        <v>182</v>
      </c>
      <c r="AE1161" s="15">
        <v>80</v>
      </c>
      <c r="AF1161" s="15">
        <f>AE1161*AG1161</f>
        <v>400</v>
      </c>
      <c r="AG1161" s="16">
        <v>5</v>
      </c>
    </row>
    <row r="1162" spans="1:33" ht="15" customHeight="1" x14ac:dyDescent="0.2">
      <c r="A1162" s="11" t="str">
        <f t="shared" si="56"/>
        <v>VN000PBRWHT1</v>
      </c>
      <c r="B1162" s="12" t="s">
        <v>4689</v>
      </c>
      <c r="C1162" s="12" t="s">
        <v>912</v>
      </c>
      <c r="D1162" s="12" t="s">
        <v>168</v>
      </c>
      <c r="E1162" s="12" t="s">
        <v>4690</v>
      </c>
      <c r="F1162" s="12" t="s">
        <v>179</v>
      </c>
      <c r="G1162" s="14"/>
      <c r="H1162" s="12" t="s">
        <v>61</v>
      </c>
      <c r="I1162" s="12" t="s">
        <v>230</v>
      </c>
      <c r="J1162" s="12" t="s">
        <v>419</v>
      </c>
      <c r="K1162" s="12" t="s">
        <v>199</v>
      </c>
      <c r="L1162" s="14"/>
      <c r="M1162" s="12" t="s">
        <v>43</v>
      </c>
      <c r="N1162" s="12" t="s">
        <v>84</v>
      </c>
      <c r="O1162" s="12" t="s">
        <v>4691</v>
      </c>
      <c r="P1162" s="12" t="s">
        <v>66</v>
      </c>
      <c r="Q1162" s="12" t="s">
        <v>67</v>
      </c>
      <c r="R1162" s="12" t="s">
        <v>421</v>
      </c>
      <c r="S1162" s="13">
        <v>197804354504</v>
      </c>
      <c r="T1162" s="12" t="s">
        <v>915</v>
      </c>
      <c r="U1162" s="12" t="s">
        <v>179</v>
      </c>
      <c r="V1162" s="12" t="s">
        <v>916</v>
      </c>
      <c r="W1162" s="12" t="s">
        <v>175</v>
      </c>
      <c r="X1162" s="14"/>
      <c r="Y1162" s="14"/>
      <c r="Z1162" s="14"/>
      <c r="AA1162" s="14"/>
      <c r="AB1162" s="14"/>
      <c r="AC1162" s="15">
        <v>15.95</v>
      </c>
      <c r="AD1162" s="15">
        <f>AC1162*AG1162</f>
        <v>79.75</v>
      </c>
      <c r="AE1162" s="15">
        <v>35</v>
      </c>
      <c r="AF1162" s="15">
        <f>AE1162*AG1162</f>
        <v>175</v>
      </c>
      <c r="AG1162" s="16">
        <v>5</v>
      </c>
    </row>
    <row r="1163" spans="1:33" ht="15" customHeight="1" x14ac:dyDescent="0.2">
      <c r="A1163" s="11" t="str">
        <f>HYPERLINK("https://assets.vans.eu/images/VN000PDR6JL-HERO/1","VN000PDR6JL1")</f>
        <v>VN000PDR6JL1</v>
      </c>
      <c r="B1163" s="12" t="s">
        <v>4692</v>
      </c>
      <c r="C1163" s="12" t="s">
        <v>976</v>
      </c>
      <c r="D1163" s="12" t="s">
        <v>2733</v>
      </c>
      <c r="E1163" s="12" t="s">
        <v>4693</v>
      </c>
      <c r="F1163" s="12" t="s">
        <v>621</v>
      </c>
      <c r="G1163" s="14"/>
      <c r="H1163" s="12" t="s">
        <v>61</v>
      </c>
      <c r="I1163" s="12" t="s">
        <v>230</v>
      </c>
      <c r="J1163" s="12" t="s">
        <v>419</v>
      </c>
      <c r="K1163" s="12" t="s">
        <v>199</v>
      </c>
      <c r="L1163" s="14"/>
      <c r="M1163" s="12" t="s">
        <v>43</v>
      </c>
      <c r="N1163" s="12" t="s">
        <v>84</v>
      </c>
      <c r="O1163" s="12" t="s">
        <v>4694</v>
      </c>
      <c r="P1163" s="12" t="s">
        <v>66</v>
      </c>
      <c r="Q1163" s="12" t="s">
        <v>67</v>
      </c>
      <c r="R1163" s="12" t="s">
        <v>421</v>
      </c>
      <c r="S1163" s="13">
        <v>197804357147</v>
      </c>
      <c r="T1163" s="12" t="s">
        <v>915</v>
      </c>
      <c r="U1163" s="12" t="s">
        <v>621</v>
      </c>
      <c r="V1163" s="12" t="s">
        <v>979</v>
      </c>
      <c r="W1163" s="12" t="s">
        <v>118</v>
      </c>
      <c r="X1163" s="14"/>
      <c r="Y1163" s="14"/>
      <c r="Z1163" s="14"/>
      <c r="AA1163" s="14"/>
      <c r="AB1163" s="14"/>
      <c r="AC1163" s="15">
        <v>18.2</v>
      </c>
      <c r="AD1163" s="15">
        <f>AC1163*AG1163</f>
        <v>91</v>
      </c>
      <c r="AE1163" s="15">
        <v>40</v>
      </c>
      <c r="AF1163" s="15">
        <f>AE1163*AG1163</f>
        <v>200</v>
      </c>
      <c r="AG1163" s="16">
        <v>5</v>
      </c>
    </row>
    <row r="1164" spans="1:33" ht="15" customHeight="1" x14ac:dyDescent="0.2">
      <c r="A1164" s="11" t="str">
        <f t="shared" ref="A1164:A1713" si="492">HYPERLINK("https://assets.vans.eu/images/VN000PDREMS-HERO/1","VN000PDREMS1")</f>
        <v>VN000PDREMS1</v>
      </c>
      <c r="B1164" s="12" t="s">
        <v>4695</v>
      </c>
      <c r="C1164" s="12" t="s">
        <v>976</v>
      </c>
      <c r="D1164" s="12" t="s">
        <v>863</v>
      </c>
      <c r="E1164" s="12" t="s">
        <v>4696</v>
      </c>
      <c r="F1164" s="12" t="s">
        <v>60</v>
      </c>
      <c r="G1164" s="14"/>
      <c r="H1164" s="12" t="s">
        <v>61</v>
      </c>
      <c r="I1164" s="12" t="s">
        <v>230</v>
      </c>
      <c r="J1164" s="12" t="s">
        <v>419</v>
      </c>
      <c r="K1164" s="12" t="s">
        <v>199</v>
      </c>
      <c r="L1164" s="14"/>
      <c r="M1164" s="12" t="s">
        <v>43</v>
      </c>
      <c r="N1164" s="12" t="s">
        <v>84</v>
      </c>
      <c r="O1164" s="12" t="s">
        <v>4697</v>
      </c>
      <c r="P1164" s="12" t="s">
        <v>66</v>
      </c>
      <c r="Q1164" s="12" t="s">
        <v>67</v>
      </c>
      <c r="R1164" s="12" t="s">
        <v>421</v>
      </c>
      <c r="S1164" s="13">
        <v>197804667161</v>
      </c>
      <c r="T1164" s="12" t="s">
        <v>915</v>
      </c>
      <c r="U1164" s="12" t="s">
        <v>60</v>
      </c>
      <c r="V1164" s="12" t="s">
        <v>979</v>
      </c>
      <c r="W1164" s="12" t="s">
        <v>107</v>
      </c>
      <c r="X1164" s="14"/>
      <c r="Y1164" s="14"/>
      <c r="Z1164" s="14"/>
      <c r="AA1164" s="14"/>
      <c r="AB1164" s="14"/>
      <c r="AC1164" s="15">
        <v>18.2</v>
      </c>
      <c r="AD1164" s="15">
        <f>AC1164*AG1164</f>
        <v>91</v>
      </c>
      <c r="AE1164" s="15">
        <v>40</v>
      </c>
      <c r="AF1164" s="15">
        <f>AE1164*AG1164</f>
        <v>200</v>
      </c>
      <c r="AG1164" s="16">
        <v>5</v>
      </c>
    </row>
    <row r="1165" spans="1:33" ht="15" customHeight="1" x14ac:dyDescent="0.2">
      <c r="A1165" s="11" t="str">
        <f t="shared" si="387"/>
        <v>VN000PDYWHT1</v>
      </c>
      <c r="B1165" s="12" t="s">
        <v>4698</v>
      </c>
      <c r="C1165" s="12" t="s">
        <v>3751</v>
      </c>
      <c r="D1165" s="12" t="s">
        <v>168</v>
      </c>
      <c r="E1165" s="12" t="s">
        <v>4699</v>
      </c>
      <c r="F1165" s="12" t="s">
        <v>170</v>
      </c>
      <c r="G1165" s="14"/>
      <c r="H1165" s="12" t="s">
        <v>61</v>
      </c>
      <c r="I1165" s="12" t="s">
        <v>230</v>
      </c>
      <c r="J1165" s="12" t="s">
        <v>419</v>
      </c>
      <c r="K1165" s="12" t="s">
        <v>199</v>
      </c>
      <c r="L1165" s="14"/>
      <c r="M1165" s="12" t="s">
        <v>43</v>
      </c>
      <c r="N1165" s="12" t="s">
        <v>84</v>
      </c>
      <c r="O1165" s="12" t="s">
        <v>4700</v>
      </c>
      <c r="P1165" s="12" t="s">
        <v>66</v>
      </c>
      <c r="Q1165" s="12" t="s">
        <v>67</v>
      </c>
      <c r="R1165" s="12" t="s">
        <v>421</v>
      </c>
      <c r="S1165" s="13">
        <v>197804356928</v>
      </c>
      <c r="T1165" s="12" t="s">
        <v>915</v>
      </c>
      <c r="U1165" s="12" t="s">
        <v>170</v>
      </c>
      <c r="V1165" s="12" t="s">
        <v>979</v>
      </c>
      <c r="W1165" s="12" t="s">
        <v>175</v>
      </c>
      <c r="X1165" s="14"/>
      <c r="Y1165" s="14"/>
      <c r="Z1165" s="14"/>
      <c r="AA1165" s="14"/>
      <c r="AB1165" s="14"/>
      <c r="AC1165" s="15">
        <v>18.2</v>
      </c>
      <c r="AD1165" s="15">
        <f>AC1165*AG1165</f>
        <v>91</v>
      </c>
      <c r="AE1165" s="15">
        <v>40</v>
      </c>
      <c r="AF1165" s="15">
        <f>AE1165*AG1165</f>
        <v>200</v>
      </c>
      <c r="AG1165" s="16">
        <v>5</v>
      </c>
    </row>
    <row r="1166" spans="1:33" ht="15" customHeight="1" x14ac:dyDescent="0.2">
      <c r="A1166" s="11" t="str">
        <f>HYPERLINK("https://assets.vans.eu/images/VN000PFBBRR-HERO/1","VN000PFBBRR1")</f>
        <v>VN000PFBBRR1</v>
      </c>
      <c r="B1166" s="12" t="s">
        <v>4701</v>
      </c>
      <c r="C1166" s="12" t="s">
        <v>1588</v>
      </c>
      <c r="D1166" s="12" t="s">
        <v>1975</v>
      </c>
      <c r="E1166" s="12" t="s">
        <v>4702</v>
      </c>
      <c r="F1166" s="12" t="s">
        <v>153</v>
      </c>
      <c r="G1166" s="14"/>
      <c r="H1166" s="12" t="s">
        <v>61</v>
      </c>
      <c r="I1166" s="12" t="s">
        <v>230</v>
      </c>
      <c r="J1166" s="12" t="s">
        <v>419</v>
      </c>
      <c r="K1166" s="12" t="s">
        <v>199</v>
      </c>
      <c r="L1166" s="14"/>
      <c r="M1166" s="12" t="s">
        <v>43</v>
      </c>
      <c r="N1166" s="12" t="s">
        <v>84</v>
      </c>
      <c r="O1166" s="12" t="s">
        <v>4703</v>
      </c>
      <c r="P1166" s="12" t="s">
        <v>66</v>
      </c>
      <c r="Q1166" s="12" t="s">
        <v>67</v>
      </c>
      <c r="R1166" s="12" t="s">
        <v>421</v>
      </c>
      <c r="S1166" s="13">
        <v>197804384013</v>
      </c>
      <c r="T1166" s="12" t="s">
        <v>49</v>
      </c>
      <c r="U1166" s="12" t="s">
        <v>153</v>
      </c>
      <c r="V1166" s="12" t="s">
        <v>665</v>
      </c>
      <c r="W1166" s="12" t="s">
        <v>51</v>
      </c>
      <c r="X1166" s="14"/>
      <c r="Y1166" s="14"/>
      <c r="Z1166" s="14"/>
      <c r="AA1166" s="14"/>
      <c r="AB1166" s="14"/>
      <c r="AC1166" s="15">
        <v>20.5</v>
      </c>
      <c r="AD1166" s="15">
        <f>AC1166*AG1166</f>
        <v>102.5</v>
      </c>
      <c r="AE1166" s="15">
        <v>45</v>
      </c>
      <c r="AF1166" s="15">
        <f>AE1166*AG1166</f>
        <v>225</v>
      </c>
      <c r="AG1166" s="16">
        <v>5</v>
      </c>
    </row>
    <row r="1167" spans="1:33" ht="15" customHeight="1" x14ac:dyDescent="0.2">
      <c r="A1167" s="11" t="str">
        <f t="shared" ref="A1167:A1373" si="493">HYPERLINK("https://assets.vans.eu/images/VN000PFF2B6-HERO/1","VN000PFF2B61")</f>
        <v>VN000PFF2B61</v>
      </c>
      <c r="B1167" s="12" t="s">
        <v>4704</v>
      </c>
      <c r="C1167" s="12" t="s">
        <v>1588</v>
      </c>
      <c r="D1167" s="12" t="s">
        <v>4375</v>
      </c>
      <c r="E1167" s="12" t="s">
        <v>4705</v>
      </c>
      <c r="F1167" s="12" t="s">
        <v>179</v>
      </c>
      <c r="G1167" s="14"/>
      <c r="H1167" s="12" t="s">
        <v>61</v>
      </c>
      <c r="I1167" s="12" t="s">
        <v>230</v>
      </c>
      <c r="J1167" s="12" t="s">
        <v>419</v>
      </c>
      <c r="K1167" s="12" t="s">
        <v>199</v>
      </c>
      <c r="L1167" s="14"/>
      <c r="M1167" s="12" t="s">
        <v>43</v>
      </c>
      <c r="N1167" s="12" t="s">
        <v>84</v>
      </c>
      <c r="O1167" s="12" t="s">
        <v>4706</v>
      </c>
      <c r="P1167" s="12" t="s">
        <v>66</v>
      </c>
      <c r="Q1167" s="12" t="s">
        <v>67</v>
      </c>
      <c r="R1167" s="12" t="s">
        <v>421</v>
      </c>
      <c r="S1167" s="13">
        <v>197804358168</v>
      </c>
      <c r="T1167" s="12" t="s">
        <v>49</v>
      </c>
      <c r="U1167" s="12" t="s">
        <v>179</v>
      </c>
      <c r="V1167" s="12" t="s">
        <v>665</v>
      </c>
      <c r="W1167" s="12" t="s">
        <v>51</v>
      </c>
      <c r="X1167" s="14"/>
      <c r="Y1167" s="14"/>
      <c r="Z1167" s="14"/>
      <c r="AA1167" s="14"/>
      <c r="AB1167" s="14"/>
      <c r="AC1167" s="15">
        <v>22.75</v>
      </c>
      <c r="AD1167" s="15">
        <f>AC1167*AG1167</f>
        <v>113.75</v>
      </c>
      <c r="AE1167" s="15">
        <v>50</v>
      </c>
      <c r="AF1167" s="15">
        <f>AE1167*AG1167</f>
        <v>250</v>
      </c>
      <c r="AG1167" s="16">
        <v>5</v>
      </c>
    </row>
    <row r="1168" spans="1:33" ht="15" customHeight="1" x14ac:dyDescent="0.2">
      <c r="A1168" s="11" t="str">
        <f t="shared" si="493"/>
        <v>VN000PFF2B61</v>
      </c>
      <c r="B1168" s="12" t="s">
        <v>4707</v>
      </c>
      <c r="C1168" s="12" t="s">
        <v>1588</v>
      </c>
      <c r="D1168" s="12" t="s">
        <v>4375</v>
      </c>
      <c r="E1168" s="12" t="s">
        <v>4708</v>
      </c>
      <c r="F1168" s="12" t="s">
        <v>170</v>
      </c>
      <c r="G1168" s="14"/>
      <c r="H1168" s="12" t="s">
        <v>61</v>
      </c>
      <c r="I1168" s="12" t="s">
        <v>230</v>
      </c>
      <c r="J1168" s="12" t="s">
        <v>419</v>
      </c>
      <c r="K1168" s="12" t="s">
        <v>199</v>
      </c>
      <c r="L1168" s="14"/>
      <c r="M1168" s="12" t="s">
        <v>43</v>
      </c>
      <c r="N1168" s="12" t="s">
        <v>84</v>
      </c>
      <c r="O1168" s="12" t="s">
        <v>4709</v>
      </c>
      <c r="P1168" s="12" t="s">
        <v>66</v>
      </c>
      <c r="Q1168" s="12" t="s">
        <v>67</v>
      </c>
      <c r="R1168" s="12" t="s">
        <v>421</v>
      </c>
      <c r="S1168" s="13">
        <v>197804358359</v>
      </c>
      <c r="T1168" s="12" t="s">
        <v>49</v>
      </c>
      <c r="U1168" s="12" t="s">
        <v>170</v>
      </c>
      <c r="V1168" s="12" t="s">
        <v>665</v>
      </c>
      <c r="W1168" s="12" t="s">
        <v>51</v>
      </c>
      <c r="X1168" s="14"/>
      <c r="Y1168" s="14"/>
      <c r="Z1168" s="14"/>
      <c r="AA1168" s="14"/>
      <c r="AB1168" s="14"/>
      <c r="AC1168" s="15">
        <v>22.75</v>
      </c>
      <c r="AD1168" s="15">
        <f>AC1168*AG1168</f>
        <v>113.75</v>
      </c>
      <c r="AE1168" s="15">
        <v>50</v>
      </c>
      <c r="AF1168" s="15">
        <f>AE1168*AG1168</f>
        <v>250</v>
      </c>
      <c r="AG1168" s="16">
        <v>5</v>
      </c>
    </row>
    <row r="1169" spans="1:33" ht="15" customHeight="1" x14ac:dyDescent="0.2">
      <c r="A1169" s="11" t="str">
        <f t="shared" si="438"/>
        <v>VN000PGJEMF1</v>
      </c>
      <c r="B1169" s="12" t="s">
        <v>4710</v>
      </c>
      <c r="C1169" s="12" t="s">
        <v>2532</v>
      </c>
      <c r="D1169" s="12" t="s">
        <v>1282</v>
      </c>
      <c r="E1169" s="12" t="s">
        <v>4711</v>
      </c>
      <c r="F1169" s="12" t="s">
        <v>60</v>
      </c>
      <c r="G1169" s="14"/>
      <c r="H1169" s="12" t="s">
        <v>61</v>
      </c>
      <c r="I1169" s="12" t="s">
        <v>230</v>
      </c>
      <c r="J1169" s="12" t="s">
        <v>762</v>
      </c>
      <c r="K1169" s="12" t="s">
        <v>199</v>
      </c>
      <c r="L1169" s="14"/>
      <c r="M1169" s="12" t="s">
        <v>43</v>
      </c>
      <c r="N1169" s="12" t="s">
        <v>84</v>
      </c>
      <c r="O1169" s="12" t="s">
        <v>4712</v>
      </c>
      <c r="P1169" s="12" t="s">
        <v>66</v>
      </c>
      <c r="Q1169" s="12" t="s">
        <v>764</v>
      </c>
      <c r="R1169" s="12" t="s">
        <v>765</v>
      </c>
      <c r="S1169" s="13">
        <v>197804372034</v>
      </c>
      <c r="T1169" s="12" t="s">
        <v>235</v>
      </c>
      <c r="U1169" s="12" t="s">
        <v>60</v>
      </c>
      <c r="V1169" s="12" t="s">
        <v>90</v>
      </c>
      <c r="W1169" s="12" t="s">
        <v>118</v>
      </c>
      <c r="X1169" s="14"/>
      <c r="Y1169" s="14"/>
      <c r="Z1169" s="14"/>
      <c r="AA1169" s="14"/>
      <c r="AB1169" s="14"/>
      <c r="AC1169" s="15">
        <v>50</v>
      </c>
      <c r="AD1169" s="15">
        <f>AC1169*AG1169</f>
        <v>250</v>
      </c>
      <c r="AE1169" s="15">
        <v>110</v>
      </c>
      <c r="AF1169" s="15">
        <f>AE1169*AG1169</f>
        <v>550</v>
      </c>
      <c r="AG1169" s="16">
        <v>5</v>
      </c>
    </row>
    <row r="1170" spans="1:33" ht="15" customHeight="1" x14ac:dyDescent="0.2">
      <c r="A1170" s="11" t="str">
        <f t="shared" ref="A1170:A1375" si="494">HYPERLINK("https://assets.vans.eu/images/VN000PH6IYR-HERO/1","VN000PH6IYR1")</f>
        <v>VN000PH6IYR1</v>
      </c>
      <c r="B1170" s="12" t="s">
        <v>4713</v>
      </c>
      <c r="C1170" s="12" t="s">
        <v>1577</v>
      </c>
      <c r="D1170" s="12" t="s">
        <v>1497</v>
      </c>
      <c r="E1170" s="12" t="s">
        <v>4714</v>
      </c>
      <c r="F1170" s="13">
        <v>31</v>
      </c>
      <c r="G1170" s="14"/>
      <c r="H1170" s="12" t="s">
        <v>61</v>
      </c>
      <c r="I1170" s="12" t="s">
        <v>230</v>
      </c>
      <c r="J1170" s="12" t="s">
        <v>231</v>
      </c>
      <c r="K1170" s="12" t="s">
        <v>199</v>
      </c>
      <c r="L1170" s="14"/>
      <c r="M1170" s="12" t="s">
        <v>43</v>
      </c>
      <c r="N1170" s="12" t="s">
        <v>84</v>
      </c>
      <c r="O1170" s="12" t="s">
        <v>4715</v>
      </c>
      <c r="P1170" s="12" t="s">
        <v>66</v>
      </c>
      <c r="Q1170" s="12" t="s">
        <v>233</v>
      </c>
      <c r="R1170" s="12" t="s">
        <v>361</v>
      </c>
      <c r="S1170" s="13">
        <v>197804580811</v>
      </c>
      <c r="T1170" s="12" t="s">
        <v>235</v>
      </c>
      <c r="U1170" s="13">
        <v>31</v>
      </c>
      <c r="V1170" s="12" t="s">
        <v>665</v>
      </c>
      <c r="W1170" s="12" t="s">
        <v>284</v>
      </c>
      <c r="X1170" s="14"/>
      <c r="Y1170" s="14"/>
      <c r="Z1170" s="14"/>
      <c r="AA1170" s="14"/>
      <c r="AB1170" s="14"/>
      <c r="AC1170" s="15">
        <v>36.4</v>
      </c>
      <c r="AD1170" s="15">
        <f>AC1170*AG1170</f>
        <v>182</v>
      </c>
      <c r="AE1170" s="15">
        <v>80</v>
      </c>
      <c r="AF1170" s="15">
        <f>AE1170*AG1170</f>
        <v>400</v>
      </c>
      <c r="AG1170" s="16">
        <v>5</v>
      </c>
    </row>
    <row r="1171" spans="1:33" ht="15" customHeight="1" x14ac:dyDescent="0.2">
      <c r="A1171" s="11" t="str">
        <f t="shared" si="494"/>
        <v>VN000PH6IYR1</v>
      </c>
      <c r="B1171" s="12" t="s">
        <v>4716</v>
      </c>
      <c r="C1171" s="12" t="s">
        <v>1577</v>
      </c>
      <c r="D1171" s="12" t="s">
        <v>1497</v>
      </c>
      <c r="E1171" s="12" t="s">
        <v>4717</v>
      </c>
      <c r="F1171" s="13">
        <v>33</v>
      </c>
      <c r="G1171" s="14"/>
      <c r="H1171" s="12" t="s">
        <v>61</v>
      </c>
      <c r="I1171" s="12" t="s">
        <v>230</v>
      </c>
      <c r="J1171" s="12" t="s">
        <v>231</v>
      </c>
      <c r="K1171" s="12" t="s">
        <v>199</v>
      </c>
      <c r="L1171" s="14"/>
      <c r="M1171" s="12" t="s">
        <v>43</v>
      </c>
      <c r="N1171" s="12" t="s">
        <v>84</v>
      </c>
      <c r="O1171" s="12" t="s">
        <v>4718</v>
      </c>
      <c r="P1171" s="12" t="s">
        <v>66</v>
      </c>
      <c r="Q1171" s="12" t="s">
        <v>233</v>
      </c>
      <c r="R1171" s="12" t="s">
        <v>361</v>
      </c>
      <c r="S1171" s="13">
        <v>197804580873</v>
      </c>
      <c r="T1171" s="12" t="s">
        <v>235</v>
      </c>
      <c r="U1171" s="13">
        <v>33</v>
      </c>
      <c r="V1171" s="12" t="s">
        <v>665</v>
      </c>
      <c r="W1171" s="12" t="s">
        <v>284</v>
      </c>
      <c r="X1171" s="14"/>
      <c r="Y1171" s="14"/>
      <c r="Z1171" s="14"/>
      <c r="AA1171" s="14"/>
      <c r="AB1171" s="14"/>
      <c r="AC1171" s="15">
        <v>36.4</v>
      </c>
      <c r="AD1171" s="15">
        <f>AC1171*AG1171</f>
        <v>182</v>
      </c>
      <c r="AE1171" s="15">
        <v>80</v>
      </c>
      <c r="AF1171" s="15">
        <f>AE1171*AG1171</f>
        <v>400</v>
      </c>
      <c r="AG1171" s="16">
        <v>5</v>
      </c>
    </row>
    <row r="1172" spans="1:33" ht="15" customHeight="1" x14ac:dyDescent="0.2">
      <c r="A1172" s="11" t="str">
        <f t="shared" ref="A1172:A1381" si="495">HYPERLINK("https://assets.vans.eu/images/VN000PJSD3Z-HERO/1","VN000PJSD3Z1")</f>
        <v>VN000PJSD3Z1</v>
      </c>
      <c r="B1172" s="12" t="s">
        <v>4719</v>
      </c>
      <c r="C1172" s="12" t="s">
        <v>4720</v>
      </c>
      <c r="D1172" s="12" t="s">
        <v>4721</v>
      </c>
      <c r="E1172" s="12" t="s">
        <v>4722</v>
      </c>
      <c r="F1172" s="12" t="s">
        <v>621</v>
      </c>
      <c r="G1172" s="14"/>
      <c r="H1172" s="12" t="s">
        <v>61</v>
      </c>
      <c r="I1172" s="12" t="s">
        <v>230</v>
      </c>
      <c r="J1172" s="12" t="s">
        <v>419</v>
      </c>
      <c r="K1172" s="12" t="s">
        <v>199</v>
      </c>
      <c r="L1172" s="14"/>
      <c r="M1172" s="12" t="s">
        <v>43</v>
      </c>
      <c r="N1172" s="12" t="s">
        <v>84</v>
      </c>
      <c r="O1172" s="12" t="s">
        <v>4723</v>
      </c>
      <c r="P1172" s="12" t="s">
        <v>66</v>
      </c>
      <c r="Q1172" s="12" t="s">
        <v>67</v>
      </c>
      <c r="R1172" s="12" t="s">
        <v>421</v>
      </c>
      <c r="S1172" s="13">
        <v>197804360680</v>
      </c>
      <c r="T1172" s="12" t="s">
        <v>49</v>
      </c>
      <c r="U1172" s="12" t="s">
        <v>621</v>
      </c>
      <c r="V1172" s="12" t="s">
        <v>665</v>
      </c>
      <c r="W1172" s="12" t="s">
        <v>118</v>
      </c>
      <c r="X1172" s="14"/>
      <c r="Y1172" s="14"/>
      <c r="Z1172" s="14"/>
      <c r="AA1172" s="14"/>
      <c r="AB1172" s="14"/>
      <c r="AC1172" s="15">
        <v>22.75</v>
      </c>
      <c r="AD1172" s="15">
        <f>AC1172*AG1172</f>
        <v>113.75</v>
      </c>
      <c r="AE1172" s="15">
        <v>50</v>
      </c>
      <c r="AF1172" s="15">
        <f>AE1172*AG1172</f>
        <v>250</v>
      </c>
      <c r="AG1172" s="16">
        <v>5</v>
      </c>
    </row>
    <row r="1173" spans="1:33" ht="15" customHeight="1" x14ac:dyDescent="0.2">
      <c r="A1173" s="11" t="str">
        <f>HYPERLINK("https://assets.vans.eu/images/VN000PK1BLK-HERO/1","VN000PK1BLK1")</f>
        <v>VN000PK1BLK1</v>
      </c>
      <c r="B1173" s="12" t="s">
        <v>4724</v>
      </c>
      <c r="C1173" s="12" t="s">
        <v>1900</v>
      </c>
      <c r="D1173" s="12" t="s">
        <v>76</v>
      </c>
      <c r="E1173" s="12" t="s">
        <v>4725</v>
      </c>
      <c r="F1173" s="12" t="s">
        <v>170</v>
      </c>
      <c r="G1173" s="14"/>
      <c r="H1173" s="12" t="s">
        <v>61</v>
      </c>
      <c r="I1173" s="12" t="s">
        <v>289</v>
      </c>
      <c r="J1173" s="12" t="s">
        <v>984</v>
      </c>
      <c r="K1173" s="12" t="s">
        <v>100</v>
      </c>
      <c r="L1173" s="14"/>
      <c r="M1173" s="12" t="s">
        <v>43</v>
      </c>
      <c r="N1173" s="12" t="s">
        <v>84</v>
      </c>
      <c r="O1173" s="12" t="s">
        <v>4726</v>
      </c>
      <c r="P1173" s="12" t="s">
        <v>66</v>
      </c>
      <c r="Q1173" s="12" t="s">
        <v>764</v>
      </c>
      <c r="R1173" s="12" t="s">
        <v>986</v>
      </c>
      <c r="S1173" s="13">
        <v>197804360444</v>
      </c>
      <c r="T1173" s="12" t="s">
        <v>235</v>
      </c>
      <c r="U1173" s="12" t="s">
        <v>170</v>
      </c>
      <c r="V1173" s="12" t="s">
        <v>90</v>
      </c>
      <c r="W1173" s="12" t="s">
        <v>51</v>
      </c>
      <c r="X1173" s="14"/>
      <c r="Y1173" s="14"/>
      <c r="Z1173" s="14"/>
      <c r="AA1173" s="14"/>
      <c r="AB1173" s="14"/>
      <c r="AC1173" s="15">
        <v>56.85</v>
      </c>
      <c r="AD1173" s="15">
        <f>AC1173*AG1173</f>
        <v>284.25</v>
      </c>
      <c r="AE1173" s="15">
        <v>125</v>
      </c>
      <c r="AF1173" s="15">
        <f>AE1173*AG1173</f>
        <v>625</v>
      </c>
      <c r="AG1173" s="16">
        <v>5</v>
      </c>
    </row>
    <row r="1174" spans="1:33" ht="15" customHeight="1" x14ac:dyDescent="0.2">
      <c r="A1174" s="11" t="str">
        <f>HYPERLINK("https://assets.vans.eu/images/VN000PK1BLK-HERO/1","VN000PK1BLK1")</f>
        <v>VN000PK1BLK1</v>
      </c>
      <c r="B1174" s="12" t="s">
        <v>4727</v>
      </c>
      <c r="C1174" s="12" t="s">
        <v>1900</v>
      </c>
      <c r="D1174" s="12" t="s">
        <v>76</v>
      </c>
      <c r="E1174" s="12" t="s">
        <v>4728</v>
      </c>
      <c r="F1174" s="12" t="s">
        <v>153</v>
      </c>
      <c r="G1174" s="14"/>
      <c r="H1174" s="12" t="s">
        <v>61</v>
      </c>
      <c r="I1174" s="12" t="s">
        <v>289</v>
      </c>
      <c r="J1174" s="12" t="s">
        <v>984</v>
      </c>
      <c r="K1174" s="12" t="s">
        <v>100</v>
      </c>
      <c r="L1174" s="14"/>
      <c r="M1174" s="12" t="s">
        <v>43</v>
      </c>
      <c r="N1174" s="12" t="s">
        <v>84</v>
      </c>
      <c r="O1174" s="12" t="s">
        <v>4729</v>
      </c>
      <c r="P1174" s="12" t="s">
        <v>66</v>
      </c>
      <c r="Q1174" s="12" t="s">
        <v>764</v>
      </c>
      <c r="R1174" s="12" t="s">
        <v>986</v>
      </c>
      <c r="S1174" s="13">
        <v>197804360796</v>
      </c>
      <c r="T1174" s="12" t="s">
        <v>235</v>
      </c>
      <c r="U1174" s="12" t="s">
        <v>153</v>
      </c>
      <c r="V1174" s="12" t="s">
        <v>90</v>
      </c>
      <c r="W1174" s="12" t="s">
        <v>51</v>
      </c>
      <c r="X1174" s="14"/>
      <c r="Y1174" s="14"/>
      <c r="Z1174" s="14"/>
      <c r="AA1174" s="14"/>
      <c r="AB1174" s="14"/>
      <c r="AC1174" s="15">
        <v>56.85</v>
      </c>
      <c r="AD1174" s="15">
        <f>AC1174*AG1174</f>
        <v>284.25</v>
      </c>
      <c r="AE1174" s="15">
        <v>125</v>
      </c>
      <c r="AF1174" s="15">
        <f>AE1174*AG1174</f>
        <v>625</v>
      </c>
      <c r="AG1174" s="16">
        <v>5</v>
      </c>
    </row>
    <row r="1175" spans="1:33" ht="15" customHeight="1" x14ac:dyDescent="0.2">
      <c r="A1175" s="11" t="str">
        <f t="shared" si="290"/>
        <v>VN000PK1EMZ1</v>
      </c>
      <c r="B1175" s="12" t="s">
        <v>4730</v>
      </c>
      <c r="C1175" s="12" t="s">
        <v>1900</v>
      </c>
      <c r="D1175" s="12" t="s">
        <v>2912</v>
      </c>
      <c r="E1175" s="12" t="s">
        <v>4731</v>
      </c>
      <c r="F1175" s="12" t="s">
        <v>179</v>
      </c>
      <c r="G1175" s="14"/>
      <c r="H1175" s="12" t="s">
        <v>61</v>
      </c>
      <c r="I1175" s="12" t="s">
        <v>289</v>
      </c>
      <c r="J1175" s="12" t="s">
        <v>984</v>
      </c>
      <c r="K1175" s="12" t="s">
        <v>100</v>
      </c>
      <c r="L1175" s="14"/>
      <c r="M1175" s="12" t="s">
        <v>43</v>
      </c>
      <c r="N1175" s="12" t="s">
        <v>84</v>
      </c>
      <c r="O1175" s="12" t="s">
        <v>4732</v>
      </c>
      <c r="P1175" s="12" t="s">
        <v>66</v>
      </c>
      <c r="Q1175" s="12" t="s">
        <v>764</v>
      </c>
      <c r="R1175" s="12" t="s">
        <v>986</v>
      </c>
      <c r="S1175" s="13">
        <v>197804360390</v>
      </c>
      <c r="T1175" s="12" t="s">
        <v>235</v>
      </c>
      <c r="U1175" s="12" t="s">
        <v>179</v>
      </c>
      <c r="V1175" s="12" t="s">
        <v>90</v>
      </c>
      <c r="W1175" s="12" t="s">
        <v>118</v>
      </c>
      <c r="X1175" s="14"/>
      <c r="Y1175" s="14"/>
      <c r="Z1175" s="14"/>
      <c r="AA1175" s="14"/>
      <c r="AB1175" s="14"/>
      <c r="AC1175" s="15">
        <v>56.85</v>
      </c>
      <c r="AD1175" s="15">
        <f>AC1175*AG1175</f>
        <v>284.25</v>
      </c>
      <c r="AE1175" s="15">
        <v>125</v>
      </c>
      <c r="AF1175" s="15">
        <f>AE1175*AG1175</f>
        <v>625</v>
      </c>
      <c r="AG1175" s="16">
        <v>5</v>
      </c>
    </row>
    <row r="1176" spans="1:33" ht="15" customHeight="1" x14ac:dyDescent="0.2">
      <c r="A1176" s="11" t="str">
        <f t="shared" si="62"/>
        <v>VN000PK2EN91</v>
      </c>
      <c r="B1176" s="12" t="s">
        <v>4733</v>
      </c>
      <c r="C1176" s="12" t="s">
        <v>981</v>
      </c>
      <c r="D1176" s="12" t="s">
        <v>982</v>
      </c>
      <c r="E1176" s="12" t="s">
        <v>4734</v>
      </c>
      <c r="F1176" s="12" t="s">
        <v>403</v>
      </c>
      <c r="G1176" s="14"/>
      <c r="H1176" s="12" t="s">
        <v>61</v>
      </c>
      <c r="I1176" s="12" t="s">
        <v>289</v>
      </c>
      <c r="J1176" s="12" t="s">
        <v>984</v>
      </c>
      <c r="K1176" s="12" t="s">
        <v>100</v>
      </c>
      <c r="L1176" s="14"/>
      <c r="M1176" s="12" t="s">
        <v>43</v>
      </c>
      <c r="N1176" s="12" t="s">
        <v>84</v>
      </c>
      <c r="O1176" s="12" t="s">
        <v>4735</v>
      </c>
      <c r="P1176" s="12" t="s">
        <v>66</v>
      </c>
      <c r="Q1176" s="12" t="s">
        <v>764</v>
      </c>
      <c r="R1176" s="12" t="s">
        <v>986</v>
      </c>
      <c r="S1176" s="13">
        <v>197804360710</v>
      </c>
      <c r="T1176" s="12" t="s">
        <v>235</v>
      </c>
      <c r="U1176" s="12" t="s">
        <v>403</v>
      </c>
      <c r="V1176" s="12" t="s">
        <v>90</v>
      </c>
      <c r="W1176" s="12" t="s">
        <v>455</v>
      </c>
      <c r="X1176" s="14"/>
      <c r="Y1176" s="14"/>
      <c r="Z1176" s="14"/>
      <c r="AA1176" s="14"/>
      <c r="AB1176" s="14"/>
      <c r="AC1176" s="15">
        <v>61.4</v>
      </c>
      <c r="AD1176" s="15">
        <f>AC1176*AG1176</f>
        <v>307</v>
      </c>
      <c r="AE1176" s="15">
        <v>135</v>
      </c>
      <c r="AF1176" s="15">
        <f>AE1176*AG1176</f>
        <v>675</v>
      </c>
      <c r="AG1176" s="16">
        <v>5</v>
      </c>
    </row>
    <row r="1177" spans="1:33" ht="15" customHeight="1" x14ac:dyDescent="0.2">
      <c r="A1177" s="11" t="str">
        <f>HYPERLINK("https://assets.vans.eu/images/VN000PK5BLK-HERO/1","VN000PK5BLK1")</f>
        <v>VN000PK5BLK1</v>
      </c>
      <c r="B1177" s="12" t="s">
        <v>4736</v>
      </c>
      <c r="C1177" s="12" t="s">
        <v>4737</v>
      </c>
      <c r="D1177" s="12" t="s">
        <v>76</v>
      </c>
      <c r="E1177" s="12" t="s">
        <v>4738</v>
      </c>
      <c r="F1177" s="12" t="s">
        <v>138</v>
      </c>
      <c r="G1177" s="14"/>
      <c r="H1177" s="12" t="s">
        <v>61</v>
      </c>
      <c r="I1177" s="12" t="s">
        <v>289</v>
      </c>
      <c r="J1177" s="12" t="s">
        <v>984</v>
      </c>
      <c r="K1177" s="12" t="s">
        <v>100</v>
      </c>
      <c r="L1177" s="14"/>
      <c r="M1177" s="12" t="s">
        <v>43</v>
      </c>
      <c r="N1177" s="12" t="s">
        <v>84</v>
      </c>
      <c r="O1177" s="12" t="s">
        <v>4739</v>
      </c>
      <c r="P1177" s="12" t="s">
        <v>66</v>
      </c>
      <c r="Q1177" s="12" t="s">
        <v>764</v>
      </c>
      <c r="R1177" s="12" t="s">
        <v>986</v>
      </c>
      <c r="S1177" s="13">
        <v>197804361199</v>
      </c>
      <c r="T1177" s="12" t="s">
        <v>235</v>
      </c>
      <c r="U1177" s="12" t="s">
        <v>138</v>
      </c>
      <c r="V1177" s="12" t="s">
        <v>90</v>
      </c>
      <c r="W1177" s="12" t="s">
        <v>51</v>
      </c>
      <c r="X1177" s="14"/>
      <c r="Y1177" s="14"/>
      <c r="Z1177" s="14"/>
      <c r="AA1177" s="14"/>
      <c r="AB1177" s="14"/>
      <c r="AC1177" s="15">
        <v>45.5</v>
      </c>
      <c r="AD1177" s="15">
        <f>AC1177*AG1177</f>
        <v>227.5</v>
      </c>
      <c r="AE1177" s="15">
        <v>100</v>
      </c>
      <c r="AF1177" s="15">
        <f>AE1177*AG1177</f>
        <v>500</v>
      </c>
      <c r="AG1177" s="16">
        <v>5</v>
      </c>
    </row>
    <row r="1178" spans="1:33" ht="15" customHeight="1" x14ac:dyDescent="0.2">
      <c r="A1178" s="11" t="str">
        <f t="shared" si="439"/>
        <v>VN000PM3BLK1</v>
      </c>
      <c r="B1178" s="12" t="s">
        <v>4740</v>
      </c>
      <c r="C1178" s="12" t="s">
        <v>4201</v>
      </c>
      <c r="D1178" s="12" t="s">
        <v>76</v>
      </c>
      <c r="E1178" s="12" t="s">
        <v>4741</v>
      </c>
      <c r="F1178" s="12" t="s">
        <v>170</v>
      </c>
      <c r="G1178" s="14"/>
      <c r="H1178" s="12" t="s">
        <v>61</v>
      </c>
      <c r="I1178" s="12" t="s">
        <v>230</v>
      </c>
      <c r="J1178" s="12" t="s">
        <v>231</v>
      </c>
      <c r="K1178" s="12" t="s">
        <v>199</v>
      </c>
      <c r="L1178" s="14"/>
      <c r="M1178" s="12" t="s">
        <v>43</v>
      </c>
      <c r="N1178" s="12" t="s">
        <v>84</v>
      </c>
      <c r="O1178" s="12" t="s">
        <v>4742</v>
      </c>
      <c r="P1178" s="12" t="s">
        <v>66</v>
      </c>
      <c r="Q1178" s="12" t="s">
        <v>233</v>
      </c>
      <c r="R1178" s="12" t="s">
        <v>361</v>
      </c>
      <c r="S1178" s="13">
        <v>197804610792</v>
      </c>
      <c r="T1178" s="12" t="s">
        <v>49</v>
      </c>
      <c r="U1178" s="12" t="s">
        <v>170</v>
      </c>
      <c r="V1178" s="12" t="s">
        <v>90</v>
      </c>
      <c r="W1178" s="12" t="s">
        <v>51</v>
      </c>
      <c r="X1178" s="14"/>
      <c r="Y1178" s="14"/>
      <c r="Z1178" s="14"/>
      <c r="AA1178" s="14"/>
      <c r="AB1178" s="14"/>
      <c r="AC1178" s="15">
        <v>136.4</v>
      </c>
      <c r="AD1178" s="15">
        <f>AC1178*AG1178</f>
        <v>682</v>
      </c>
      <c r="AE1178" s="15">
        <v>300</v>
      </c>
      <c r="AF1178" s="15">
        <f>AE1178*AG1178</f>
        <v>1500</v>
      </c>
      <c r="AG1178" s="16">
        <v>5</v>
      </c>
    </row>
    <row r="1179" spans="1:33" ht="15" customHeight="1" x14ac:dyDescent="0.2">
      <c r="A1179" s="11" t="str">
        <f t="shared" si="439"/>
        <v>VN000PM3BLK1</v>
      </c>
      <c r="B1179" s="12" t="s">
        <v>4743</v>
      </c>
      <c r="C1179" s="12" t="s">
        <v>4201</v>
      </c>
      <c r="D1179" s="12" t="s">
        <v>76</v>
      </c>
      <c r="E1179" s="12" t="s">
        <v>4744</v>
      </c>
      <c r="F1179" s="12" t="s">
        <v>403</v>
      </c>
      <c r="G1179" s="14"/>
      <c r="H1179" s="12" t="s">
        <v>61</v>
      </c>
      <c r="I1179" s="12" t="s">
        <v>230</v>
      </c>
      <c r="J1179" s="12" t="s">
        <v>231</v>
      </c>
      <c r="K1179" s="12" t="s">
        <v>199</v>
      </c>
      <c r="L1179" s="14"/>
      <c r="M1179" s="12" t="s">
        <v>43</v>
      </c>
      <c r="N1179" s="12" t="s">
        <v>84</v>
      </c>
      <c r="O1179" s="12" t="s">
        <v>4745</v>
      </c>
      <c r="P1179" s="12" t="s">
        <v>66</v>
      </c>
      <c r="Q1179" s="12" t="s">
        <v>233</v>
      </c>
      <c r="R1179" s="12" t="s">
        <v>361</v>
      </c>
      <c r="S1179" s="13">
        <v>197804610907</v>
      </c>
      <c r="T1179" s="12" t="s">
        <v>49</v>
      </c>
      <c r="U1179" s="12" t="s">
        <v>403</v>
      </c>
      <c r="V1179" s="12" t="s">
        <v>90</v>
      </c>
      <c r="W1179" s="12" t="s">
        <v>51</v>
      </c>
      <c r="X1179" s="14"/>
      <c r="Y1179" s="14"/>
      <c r="Z1179" s="14"/>
      <c r="AA1179" s="14"/>
      <c r="AB1179" s="14"/>
      <c r="AC1179" s="15">
        <v>136.4</v>
      </c>
      <c r="AD1179" s="15">
        <f>AC1179*AG1179</f>
        <v>682</v>
      </c>
      <c r="AE1179" s="15">
        <v>300</v>
      </c>
      <c r="AF1179" s="15">
        <f>AE1179*AG1179</f>
        <v>1500</v>
      </c>
      <c r="AG1179" s="16">
        <v>5</v>
      </c>
    </row>
    <row r="1180" spans="1:33" ht="15" customHeight="1" x14ac:dyDescent="0.2">
      <c r="A1180" s="11" t="str">
        <f t="shared" ref="A1180:A2266" si="496">HYPERLINK("https://assets.vans.eu/images/VN000PMA9JC-HERO/1","VN000PMA9JC1")</f>
        <v>VN000PMA9JC1</v>
      </c>
      <c r="B1180" s="12" t="s">
        <v>4746</v>
      </c>
      <c r="C1180" s="12" t="s">
        <v>2076</v>
      </c>
      <c r="D1180" s="12" t="s">
        <v>4481</v>
      </c>
      <c r="E1180" s="12" t="s">
        <v>4747</v>
      </c>
      <c r="F1180" s="12" t="s">
        <v>170</v>
      </c>
      <c r="G1180" s="14"/>
      <c r="H1180" s="12" t="s">
        <v>61</v>
      </c>
      <c r="I1180" s="12" t="s">
        <v>230</v>
      </c>
      <c r="J1180" s="12" t="s">
        <v>762</v>
      </c>
      <c r="K1180" s="12" t="s">
        <v>199</v>
      </c>
      <c r="L1180" s="14"/>
      <c r="M1180" s="12" t="s">
        <v>43</v>
      </c>
      <c r="N1180" s="12" t="s">
        <v>84</v>
      </c>
      <c r="O1180" s="12" t="s">
        <v>4748</v>
      </c>
      <c r="P1180" s="12" t="s">
        <v>66</v>
      </c>
      <c r="Q1180" s="12" t="s">
        <v>764</v>
      </c>
      <c r="R1180" s="12" t="s">
        <v>765</v>
      </c>
      <c r="S1180" s="13">
        <v>197804372539</v>
      </c>
      <c r="T1180" s="12" t="s">
        <v>49</v>
      </c>
      <c r="U1180" s="12" t="s">
        <v>170</v>
      </c>
      <c r="V1180" s="12" t="s">
        <v>90</v>
      </c>
      <c r="W1180" s="12" t="s">
        <v>186</v>
      </c>
      <c r="X1180" s="14"/>
      <c r="Y1180" s="14"/>
      <c r="Z1180" s="14"/>
      <c r="AA1180" s="14"/>
      <c r="AB1180" s="14"/>
      <c r="AC1180" s="15">
        <v>159.1</v>
      </c>
      <c r="AD1180" s="15">
        <f>AC1180*AG1180</f>
        <v>795.5</v>
      </c>
      <c r="AE1180" s="15">
        <v>350</v>
      </c>
      <c r="AF1180" s="15">
        <f>AE1180*AG1180</f>
        <v>1750</v>
      </c>
      <c r="AG1180" s="16">
        <v>5</v>
      </c>
    </row>
    <row r="1181" spans="1:33" ht="15" customHeight="1" x14ac:dyDescent="0.2">
      <c r="A1181" s="11" t="str">
        <f t="shared" si="391"/>
        <v>VN000PMDEMW1</v>
      </c>
      <c r="B1181" s="12" t="s">
        <v>4749</v>
      </c>
      <c r="C1181" s="12" t="s">
        <v>2243</v>
      </c>
      <c r="D1181" s="12" t="s">
        <v>147</v>
      </c>
      <c r="E1181" s="12" t="s">
        <v>4750</v>
      </c>
      <c r="F1181" s="12" t="s">
        <v>60</v>
      </c>
      <c r="G1181" s="14"/>
      <c r="H1181" s="12" t="s">
        <v>61</v>
      </c>
      <c r="I1181" s="12" t="s">
        <v>230</v>
      </c>
      <c r="J1181" s="12" t="s">
        <v>762</v>
      </c>
      <c r="K1181" s="12" t="s">
        <v>199</v>
      </c>
      <c r="L1181" s="14"/>
      <c r="M1181" s="12" t="s">
        <v>43</v>
      </c>
      <c r="N1181" s="12" t="s">
        <v>84</v>
      </c>
      <c r="O1181" s="12" t="s">
        <v>4751</v>
      </c>
      <c r="P1181" s="12" t="s">
        <v>66</v>
      </c>
      <c r="Q1181" s="12" t="s">
        <v>764</v>
      </c>
      <c r="R1181" s="12" t="s">
        <v>765</v>
      </c>
      <c r="S1181" s="13">
        <v>197804581832</v>
      </c>
      <c r="T1181" s="12" t="s">
        <v>49</v>
      </c>
      <c r="U1181" s="12" t="s">
        <v>60</v>
      </c>
      <c r="V1181" s="12" t="s">
        <v>90</v>
      </c>
      <c r="W1181" s="12" t="s">
        <v>118</v>
      </c>
      <c r="X1181" s="14"/>
      <c r="Y1181" s="14"/>
      <c r="Z1181" s="14"/>
      <c r="AA1181" s="14"/>
      <c r="AB1181" s="14"/>
      <c r="AC1181" s="15">
        <v>136.4</v>
      </c>
      <c r="AD1181" s="15">
        <f>AC1181*AG1181</f>
        <v>682</v>
      </c>
      <c r="AE1181" s="15">
        <v>300</v>
      </c>
      <c r="AF1181" s="15">
        <f>AE1181*AG1181</f>
        <v>1500</v>
      </c>
      <c r="AG1181" s="16">
        <v>5</v>
      </c>
    </row>
    <row r="1182" spans="1:33" ht="15" customHeight="1" x14ac:dyDescent="0.2">
      <c r="A1182" s="11" t="str">
        <f t="shared" ref="A1182:A1388" si="497">HYPERLINK("https://assets.vans.eu/images/VN000PMNEMP-HERO/1","VN000PMNEMP1")</f>
        <v>VN000PMNEMP1</v>
      </c>
      <c r="B1182" s="12" t="s">
        <v>4752</v>
      </c>
      <c r="C1182" s="12" t="s">
        <v>4753</v>
      </c>
      <c r="D1182" s="12" t="s">
        <v>704</v>
      </c>
      <c r="E1182" s="12" t="s">
        <v>4754</v>
      </c>
      <c r="F1182" s="12" t="s">
        <v>60</v>
      </c>
      <c r="G1182" s="14"/>
      <c r="H1182" s="12" t="s">
        <v>61</v>
      </c>
      <c r="I1182" s="12" t="s">
        <v>230</v>
      </c>
      <c r="J1182" s="12" t="s">
        <v>762</v>
      </c>
      <c r="K1182" s="12" t="s">
        <v>199</v>
      </c>
      <c r="L1182" s="14"/>
      <c r="M1182" s="12" t="s">
        <v>43</v>
      </c>
      <c r="N1182" s="12" t="s">
        <v>84</v>
      </c>
      <c r="O1182" s="12" t="s">
        <v>4755</v>
      </c>
      <c r="P1182" s="12" t="s">
        <v>66</v>
      </c>
      <c r="Q1182" s="12" t="s">
        <v>764</v>
      </c>
      <c r="R1182" s="12" t="s">
        <v>765</v>
      </c>
      <c r="S1182" s="13">
        <v>197804373062</v>
      </c>
      <c r="T1182" s="12" t="s">
        <v>235</v>
      </c>
      <c r="U1182" s="12" t="s">
        <v>60</v>
      </c>
      <c r="V1182" s="12" t="s">
        <v>665</v>
      </c>
      <c r="W1182" s="12" t="s">
        <v>186</v>
      </c>
      <c r="X1182" s="14"/>
      <c r="Y1182" s="14"/>
      <c r="Z1182" s="14"/>
      <c r="AA1182" s="14"/>
      <c r="AB1182" s="14"/>
      <c r="AC1182" s="15">
        <v>43.2</v>
      </c>
      <c r="AD1182" s="15">
        <f>AC1182*AG1182</f>
        <v>216</v>
      </c>
      <c r="AE1182" s="15">
        <v>95</v>
      </c>
      <c r="AF1182" s="15">
        <f>AE1182*AG1182</f>
        <v>475</v>
      </c>
      <c r="AG1182" s="16">
        <v>5</v>
      </c>
    </row>
    <row r="1183" spans="1:33" ht="15" customHeight="1" x14ac:dyDescent="0.2">
      <c r="A1183" s="11" t="str">
        <f t="shared" si="497"/>
        <v>VN000PMNEMP1</v>
      </c>
      <c r="B1183" s="12" t="s">
        <v>4756</v>
      </c>
      <c r="C1183" s="12" t="s">
        <v>4753</v>
      </c>
      <c r="D1183" s="12" t="s">
        <v>704</v>
      </c>
      <c r="E1183" s="12" t="s">
        <v>4757</v>
      </c>
      <c r="F1183" s="12" t="s">
        <v>153</v>
      </c>
      <c r="G1183" s="14"/>
      <c r="H1183" s="12" t="s">
        <v>61</v>
      </c>
      <c r="I1183" s="12" t="s">
        <v>230</v>
      </c>
      <c r="J1183" s="12" t="s">
        <v>762</v>
      </c>
      <c r="K1183" s="12" t="s">
        <v>199</v>
      </c>
      <c r="L1183" s="14"/>
      <c r="M1183" s="12" t="s">
        <v>43</v>
      </c>
      <c r="N1183" s="12" t="s">
        <v>84</v>
      </c>
      <c r="O1183" s="12" t="s">
        <v>4758</v>
      </c>
      <c r="P1183" s="12" t="s">
        <v>66</v>
      </c>
      <c r="Q1183" s="12" t="s">
        <v>764</v>
      </c>
      <c r="R1183" s="12" t="s">
        <v>765</v>
      </c>
      <c r="S1183" s="13">
        <v>197804373239</v>
      </c>
      <c r="T1183" s="12" t="s">
        <v>235</v>
      </c>
      <c r="U1183" s="12" t="s">
        <v>153</v>
      </c>
      <c r="V1183" s="12" t="s">
        <v>665</v>
      </c>
      <c r="W1183" s="12" t="s">
        <v>186</v>
      </c>
      <c r="X1183" s="14"/>
      <c r="Y1183" s="14"/>
      <c r="Z1183" s="14"/>
      <c r="AA1183" s="14"/>
      <c r="AB1183" s="14"/>
      <c r="AC1183" s="15">
        <v>43.2</v>
      </c>
      <c r="AD1183" s="15">
        <f>AC1183*AG1183</f>
        <v>216</v>
      </c>
      <c r="AE1183" s="15">
        <v>95</v>
      </c>
      <c r="AF1183" s="15">
        <f>AE1183*AG1183</f>
        <v>475</v>
      </c>
      <c r="AG1183" s="16">
        <v>5</v>
      </c>
    </row>
    <row r="1184" spans="1:33" ht="15" customHeight="1" x14ac:dyDescent="0.2">
      <c r="A1184" s="11" t="str">
        <f t="shared" si="358"/>
        <v>VN000PN9ZX71</v>
      </c>
      <c r="B1184" s="12" t="s">
        <v>4759</v>
      </c>
      <c r="C1184" s="12" t="s">
        <v>3457</v>
      </c>
      <c r="D1184" s="12" t="s">
        <v>3458</v>
      </c>
      <c r="E1184" s="12" t="s">
        <v>4760</v>
      </c>
      <c r="F1184" s="12" t="s">
        <v>170</v>
      </c>
      <c r="G1184" s="14"/>
      <c r="H1184" s="12" t="s">
        <v>61</v>
      </c>
      <c r="I1184" s="12" t="s">
        <v>230</v>
      </c>
      <c r="J1184" s="12" t="s">
        <v>419</v>
      </c>
      <c r="K1184" s="12" t="s">
        <v>199</v>
      </c>
      <c r="L1184" s="14"/>
      <c r="M1184" s="12" t="s">
        <v>43</v>
      </c>
      <c r="N1184" s="12" t="s">
        <v>84</v>
      </c>
      <c r="O1184" s="12" t="s">
        <v>4761</v>
      </c>
      <c r="P1184" s="12" t="s">
        <v>66</v>
      </c>
      <c r="Q1184" s="12" t="s">
        <v>67</v>
      </c>
      <c r="R1184" s="12" t="s">
        <v>421</v>
      </c>
      <c r="S1184" s="13">
        <v>197804362387</v>
      </c>
      <c r="T1184" s="12" t="s">
        <v>49</v>
      </c>
      <c r="U1184" s="12" t="s">
        <v>170</v>
      </c>
      <c r="V1184" s="12" t="s">
        <v>665</v>
      </c>
      <c r="W1184" s="12" t="s">
        <v>625</v>
      </c>
      <c r="X1184" s="14"/>
      <c r="Y1184" s="14"/>
      <c r="Z1184" s="14"/>
      <c r="AA1184" s="14"/>
      <c r="AB1184" s="14"/>
      <c r="AC1184" s="15">
        <v>19.100000000000001</v>
      </c>
      <c r="AD1184" s="15">
        <f>AC1184*AG1184</f>
        <v>95.5</v>
      </c>
      <c r="AE1184" s="15">
        <v>42</v>
      </c>
      <c r="AF1184" s="15">
        <f>AE1184*AG1184</f>
        <v>210</v>
      </c>
      <c r="AG1184" s="16">
        <v>5</v>
      </c>
    </row>
    <row r="1185" spans="1:33" ht="15" customHeight="1" x14ac:dyDescent="0.2">
      <c r="A1185" s="11" t="str">
        <f t="shared" si="442"/>
        <v>VN000PNKEMJ1</v>
      </c>
      <c r="B1185" s="12" t="s">
        <v>4762</v>
      </c>
      <c r="C1185" s="12" t="s">
        <v>4214</v>
      </c>
      <c r="D1185" s="12" t="s">
        <v>768</v>
      </c>
      <c r="E1185" s="12" t="s">
        <v>4763</v>
      </c>
      <c r="F1185" s="12" t="s">
        <v>179</v>
      </c>
      <c r="G1185" s="14"/>
      <c r="H1185" s="12" t="s">
        <v>61</v>
      </c>
      <c r="I1185" s="12" t="s">
        <v>230</v>
      </c>
      <c r="J1185" s="12" t="s">
        <v>419</v>
      </c>
      <c r="K1185" s="12" t="s">
        <v>199</v>
      </c>
      <c r="L1185" s="14"/>
      <c r="M1185" s="12" t="s">
        <v>43</v>
      </c>
      <c r="N1185" s="12" t="s">
        <v>84</v>
      </c>
      <c r="O1185" s="12" t="s">
        <v>4764</v>
      </c>
      <c r="P1185" s="12" t="s">
        <v>66</v>
      </c>
      <c r="Q1185" s="12" t="s">
        <v>67</v>
      </c>
      <c r="R1185" s="12" t="s">
        <v>421</v>
      </c>
      <c r="S1185" s="13">
        <v>197804362561</v>
      </c>
      <c r="T1185" s="12" t="s">
        <v>49</v>
      </c>
      <c r="U1185" s="12" t="s">
        <v>179</v>
      </c>
      <c r="V1185" s="12" t="s">
        <v>665</v>
      </c>
      <c r="W1185" s="12" t="s">
        <v>625</v>
      </c>
      <c r="X1185" s="14"/>
      <c r="Y1185" s="14"/>
      <c r="Z1185" s="14"/>
      <c r="AA1185" s="14"/>
      <c r="AB1185" s="14"/>
      <c r="AC1185" s="15">
        <v>19.100000000000001</v>
      </c>
      <c r="AD1185" s="15">
        <f>AC1185*AG1185</f>
        <v>95.5</v>
      </c>
      <c r="AE1185" s="15">
        <v>42</v>
      </c>
      <c r="AF1185" s="15">
        <f>AE1185*AG1185</f>
        <v>210</v>
      </c>
      <c r="AG1185" s="16">
        <v>5</v>
      </c>
    </row>
    <row r="1186" spans="1:33" ht="15" customHeight="1" x14ac:dyDescent="0.2">
      <c r="A1186" s="11" t="str">
        <f t="shared" ref="A1186:A1391" si="498">HYPERLINK("https://assets.vans.eu/images/VN000PQWBLK-HERO/1","VN000PQWBLK1")</f>
        <v>VN000PQWBLK1</v>
      </c>
      <c r="B1186" s="12" t="s">
        <v>4765</v>
      </c>
      <c r="C1186" s="12" t="s">
        <v>4766</v>
      </c>
      <c r="D1186" s="12" t="s">
        <v>76</v>
      </c>
      <c r="E1186" s="12" t="s">
        <v>4767</v>
      </c>
      <c r="F1186" s="12" t="s">
        <v>179</v>
      </c>
      <c r="G1186" s="14"/>
      <c r="H1186" s="12" t="s">
        <v>61</v>
      </c>
      <c r="I1186" s="12" t="s">
        <v>289</v>
      </c>
      <c r="J1186" s="12" t="s">
        <v>706</v>
      </c>
      <c r="K1186" s="12" t="s">
        <v>100</v>
      </c>
      <c r="L1186" s="14"/>
      <c r="M1186" s="12" t="s">
        <v>43</v>
      </c>
      <c r="N1186" s="12" t="s">
        <v>84</v>
      </c>
      <c r="O1186" s="12" t="s">
        <v>4768</v>
      </c>
      <c r="P1186" s="12" t="s">
        <v>66</v>
      </c>
      <c r="Q1186" s="12" t="s">
        <v>67</v>
      </c>
      <c r="R1186" s="12" t="s">
        <v>1146</v>
      </c>
      <c r="S1186" s="13">
        <v>197804610976</v>
      </c>
      <c r="T1186" s="12" t="s">
        <v>709</v>
      </c>
      <c r="U1186" s="12" t="s">
        <v>179</v>
      </c>
      <c r="V1186" s="12" t="s">
        <v>665</v>
      </c>
      <c r="W1186" s="12" t="s">
        <v>51</v>
      </c>
      <c r="X1186" s="14"/>
      <c r="Y1186" s="14"/>
      <c r="Z1186" s="14"/>
      <c r="AA1186" s="14"/>
      <c r="AB1186" s="14"/>
      <c r="AC1186" s="15">
        <v>13.65</v>
      </c>
      <c r="AD1186" s="15">
        <f>AC1186*AG1186</f>
        <v>68.25</v>
      </c>
      <c r="AE1186" s="15">
        <v>30</v>
      </c>
      <c r="AF1186" s="15">
        <f>AE1186*AG1186</f>
        <v>150</v>
      </c>
      <c r="AG1186" s="16">
        <v>5</v>
      </c>
    </row>
    <row r="1187" spans="1:33" ht="15" customHeight="1" x14ac:dyDescent="0.2">
      <c r="A1187" s="11" t="str">
        <f t="shared" ref="A1187:A1745" si="499">HYPERLINK("https://assets.vans.eu/images/VN000PR3BLK-HERO/1","VN000PR3BLK1")</f>
        <v>VN000PR3BLK1</v>
      </c>
      <c r="B1187" s="12" t="s">
        <v>4769</v>
      </c>
      <c r="C1187" s="12" t="s">
        <v>2926</v>
      </c>
      <c r="D1187" s="12" t="s">
        <v>76</v>
      </c>
      <c r="E1187" s="12" t="s">
        <v>4770</v>
      </c>
      <c r="F1187" s="12" t="s">
        <v>403</v>
      </c>
      <c r="G1187" s="14"/>
      <c r="H1187" s="12" t="s">
        <v>61</v>
      </c>
      <c r="I1187" s="12" t="s">
        <v>289</v>
      </c>
      <c r="J1187" s="12" t="s">
        <v>706</v>
      </c>
      <c r="K1187" s="12" t="s">
        <v>100</v>
      </c>
      <c r="L1187" s="14"/>
      <c r="M1187" s="12" t="s">
        <v>43</v>
      </c>
      <c r="N1187" s="12" t="s">
        <v>84</v>
      </c>
      <c r="O1187" s="12" t="s">
        <v>4771</v>
      </c>
      <c r="P1187" s="12" t="s">
        <v>66</v>
      </c>
      <c r="Q1187" s="12" t="s">
        <v>67</v>
      </c>
      <c r="R1187" s="12" t="s">
        <v>1146</v>
      </c>
      <c r="S1187" s="13">
        <v>197804393541</v>
      </c>
      <c r="T1187" s="12" t="s">
        <v>709</v>
      </c>
      <c r="U1187" s="12" t="s">
        <v>403</v>
      </c>
      <c r="V1187" s="12" t="s">
        <v>665</v>
      </c>
      <c r="W1187" s="12" t="s">
        <v>51</v>
      </c>
      <c r="X1187" s="14"/>
      <c r="Y1187" s="14"/>
      <c r="Z1187" s="14"/>
      <c r="AA1187" s="14"/>
      <c r="AB1187" s="14"/>
      <c r="AC1187" s="15">
        <v>15.95</v>
      </c>
      <c r="AD1187" s="15">
        <f>AC1187*AG1187</f>
        <v>79.75</v>
      </c>
      <c r="AE1187" s="15">
        <v>35</v>
      </c>
      <c r="AF1187" s="15">
        <f>AE1187*AG1187</f>
        <v>175</v>
      </c>
      <c r="AG1187" s="16">
        <v>5</v>
      </c>
    </row>
    <row r="1188" spans="1:33" ht="15" customHeight="1" x14ac:dyDescent="0.2">
      <c r="A1188" s="11" t="str">
        <f t="shared" ref="A1188:A1747" si="500">HYPERLINK("https://assets.vans.eu/images/VN000PR485T-HERO/1","VN000PR485T1")</f>
        <v>VN000PR485T1</v>
      </c>
      <c r="B1188" s="12" t="s">
        <v>4772</v>
      </c>
      <c r="C1188" s="12" t="s">
        <v>4773</v>
      </c>
      <c r="D1188" s="12" t="s">
        <v>4774</v>
      </c>
      <c r="E1188" s="12" t="s">
        <v>4775</v>
      </c>
      <c r="F1188" s="12" t="s">
        <v>179</v>
      </c>
      <c r="G1188" s="14"/>
      <c r="H1188" s="12" t="s">
        <v>61</v>
      </c>
      <c r="I1188" s="12" t="s">
        <v>289</v>
      </c>
      <c r="J1188" s="12" t="s">
        <v>706</v>
      </c>
      <c r="K1188" s="12" t="s">
        <v>100</v>
      </c>
      <c r="L1188" s="14"/>
      <c r="M1188" s="12" t="s">
        <v>43</v>
      </c>
      <c r="N1188" s="12" t="s">
        <v>84</v>
      </c>
      <c r="O1188" s="12" t="s">
        <v>4776</v>
      </c>
      <c r="P1188" s="12" t="s">
        <v>66</v>
      </c>
      <c r="Q1188" s="12" t="s">
        <v>67</v>
      </c>
      <c r="R1188" s="12" t="s">
        <v>1146</v>
      </c>
      <c r="S1188" s="13">
        <v>197804363520</v>
      </c>
      <c r="T1188" s="12" t="s">
        <v>49</v>
      </c>
      <c r="U1188" s="12" t="s">
        <v>179</v>
      </c>
      <c r="V1188" s="12" t="s">
        <v>665</v>
      </c>
      <c r="W1188" s="12" t="s">
        <v>455</v>
      </c>
      <c r="X1188" s="14"/>
      <c r="Y1188" s="14"/>
      <c r="Z1188" s="14"/>
      <c r="AA1188" s="14"/>
      <c r="AB1188" s="14"/>
      <c r="AC1188" s="15">
        <v>18.2</v>
      </c>
      <c r="AD1188" s="15">
        <f>AC1188*AG1188</f>
        <v>91</v>
      </c>
      <c r="AE1188" s="15">
        <v>40</v>
      </c>
      <c r="AF1188" s="15">
        <f>AE1188*AG1188</f>
        <v>200</v>
      </c>
      <c r="AG1188" s="16">
        <v>5</v>
      </c>
    </row>
    <row r="1189" spans="1:33" ht="15" customHeight="1" x14ac:dyDescent="0.2">
      <c r="A1189" s="11" t="str">
        <f t="shared" si="326"/>
        <v>VN000PXSBLK1</v>
      </c>
      <c r="B1189" s="12" t="s">
        <v>4777</v>
      </c>
      <c r="C1189" s="12" t="s">
        <v>976</v>
      </c>
      <c r="D1189" s="12" t="s">
        <v>76</v>
      </c>
      <c r="E1189" s="12" t="s">
        <v>4778</v>
      </c>
      <c r="F1189" s="12" t="s">
        <v>403</v>
      </c>
      <c r="G1189" s="14"/>
      <c r="H1189" s="12" t="s">
        <v>61</v>
      </c>
      <c r="I1189" s="12" t="s">
        <v>62</v>
      </c>
      <c r="J1189" s="12" t="s">
        <v>63</v>
      </c>
      <c r="K1189" s="12" t="s">
        <v>64</v>
      </c>
      <c r="L1189" s="14"/>
      <c r="M1189" s="12" t="s">
        <v>43</v>
      </c>
      <c r="N1189" s="12" t="s">
        <v>84</v>
      </c>
      <c r="O1189" s="12" t="s">
        <v>4779</v>
      </c>
      <c r="P1189" s="12" t="s">
        <v>66</v>
      </c>
      <c r="Q1189" s="12" t="s">
        <v>67</v>
      </c>
      <c r="R1189" s="12" t="s">
        <v>68</v>
      </c>
      <c r="S1189" s="13">
        <v>197804365944</v>
      </c>
      <c r="T1189" s="12" t="s">
        <v>915</v>
      </c>
      <c r="U1189" s="12" t="s">
        <v>403</v>
      </c>
      <c r="V1189" s="12" t="s">
        <v>1028</v>
      </c>
      <c r="W1189" s="12" t="s">
        <v>51</v>
      </c>
      <c r="X1189" s="14"/>
      <c r="Y1189" s="14"/>
      <c r="Z1189" s="14"/>
      <c r="AA1189" s="14"/>
      <c r="AB1189" s="14"/>
      <c r="AC1189" s="15">
        <v>13.65</v>
      </c>
      <c r="AD1189" s="15">
        <f>AC1189*AG1189</f>
        <v>68.25</v>
      </c>
      <c r="AE1189" s="15">
        <v>30</v>
      </c>
      <c r="AF1189" s="15">
        <f>AE1189*AG1189</f>
        <v>150</v>
      </c>
      <c r="AG1189" s="16">
        <v>5</v>
      </c>
    </row>
    <row r="1190" spans="1:33" ht="15" customHeight="1" x14ac:dyDescent="0.2">
      <c r="A1190" s="11" t="str">
        <f t="shared" ref="A1190:A1767" si="501">HYPERLINK("https://assets.vans.eu/images/VN000PXXWHT-HERO/1","VN000PXXWHT1")</f>
        <v>VN000PXXWHT1</v>
      </c>
      <c r="B1190" s="12" t="s">
        <v>4780</v>
      </c>
      <c r="C1190" s="12" t="s">
        <v>1912</v>
      </c>
      <c r="D1190" s="12" t="s">
        <v>168</v>
      </c>
      <c r="E1190" s="12" t="s">
        <v>4781</v>
      </c>
      <c r="F1190" s="12" t="s">
        <v>170</v>
      </c>
      <c r="G1190" s="14"/>
      <c r="H1190" s="12" t="s">
        <v>61</v>
      </c>
      <c r="I1190" s="12" t="s">
        <v>62</v>
      </c>
      <c r="J1190" s="12" t="s">
        <v>63</v>
      </c>
      <c r="K1190" s="12" t="s">
        <v>64</v>
      </c>
      <c r="L1190" s="14"/>
      <c r="M1190" s="12" t="s">
        <v>43</v>
      </c>
      <c r="N1190" s="12" t="s">
        <v>84</v>
      </c>
      <c r="O1190" s="12" t="s">
        <v>4782</v>
      </c>
      <c r="P1190" s="12" t="s">
        <v>66</v>
      </c>
      <c r="Q1190" s="12" t="s">
        <v>67</v>
      </c>
      <c r="R1190" s="12" t="s">
        <v>68</v>
      </c>
      <c r="S1190" s="13">
        <v>197804617234</v>
      </c>
      <c r="T1190" s="12" t="s">
        <v>422</v>
      </c>
      <c r="U1190" s="12" t="s">
        <v>170</v>
      </c>
      <c r="V1190" s="12" t="s">
        <v>70</v>
      </c>
      <c r="W1190" s="12" t="s">
        <v>175</v>
      </c>
      <c r="X1190" s="14"/>
      <c r="Y1190" s="14"/>
      <c r="Z1190" s="14"/>
      <c r="AA1190" s="14"/>
      <c r="AB1190" s="14"/>
      <c r="AC1190" s="15">
        <v>13.65</v>
      </c>
      <c r="AD1190" s="15">
        <f>AC1190*AG1190</f>
        <v>68.25</v>
      </c>
      <c r="AE1190" s="15">
        <v>30</v>
      </c>
      <c r="AF1190" s="15">
        <f>AE1190*AG1190</f>
        <v>150</v>
      </c>
      <c r="AG1190" s="16">
        <v>5</v>
      </c>
    </row>
    <row r="1191" spans="1:33" ht="15" customHeight="1" x14ac:dyDescent="0.2">
      <c r="A1191" s="11" t="str">
        <f t="shared" ref="A1191:A1778" si="502">HYPERLINK("https://assets.vans.eu/images/VN000Q7712Q-HERO/1","VN000Q7712Q1")</f>
        <v>VN000Q7712Q1</v>
      </c>
      <c r="B1191" s="12" t="s">
        <v>4783</v>
      </c>
      <c r="C1191" s="12" t="s">
        <v>4784</v>
      </c>
      <c r="D1191" s="12" t="s">
        <v>2466</v>
      </c>
      <c r="E1191" s="12" t="s">
        <v>4785</v>
      </c>
      <c r="F1191" s="12" t="s">
        <v>179</v>
      </c>
      <c r="G1191" s="14"/>
      <c r="H1191" s="12" t="s">
        <v>61</v>
      </c>
      <c r="I1191" s="12" t="s">
        <v>230</v>
      </c>
      <c r="J1191" s="12" t="s">
        <v>419</v>
      </c>
      <c r="K1191" s="12" t="s">
        <v>199</v>
      </c>
      <c r="L1191" s="14"/>
      <c r="M1191" s="12" t="s">
        <v>43</v>
      </c>
      <c r="N1191" s="12" t="s">
        <v>84</v>
      </c>
      <c r="O1191" s="12" t="s">
        <v>4786</v>
      </c>
      <c r="P1191" s="12" t="s">
        <v>66</v>
      </c>
      <c r="Q1191" s="12" t="s">
        <v>67</v>
      </c>
      <c r="R1191" s="12" t="s">
        <v>623</v>
      </c>
      <c r="S1191" s="13">
        <v>197804368860</v>
      </c>
      <c r="T1191" s="12" t="s">
        <v>49</v>
      </c>
      <c r="U1191" s="12" t="s">
        <v>179</v>
      </c>
      <c r="V1191" s="12" t="s">
        <v>1731</v>
      </c>
      <c r="W1191" s="12" t="s">
        <v>625</v>
      </c>
      <c r="X1191" s="14"/>
      <c r="Y1191" s="14"/>
      <c r="Z1191" s="14"/>
      <c r="AA1191" s="14"/>
      <c r="AB1191" s="14"/>
      <c r="AC1191" s="15">
        <v>45.5</v>
      </c>
      <c r="AD1191" s="15">
        <f>AC1191*AG1191</f>
        <v>227.5</v>
      </c>
      <c r="AE1191" s="15">
        <v>100</v>
      </c>
      <c r="AF1191" s="15">
        <f>AE1191*AG1191</f>
        <v>500</v>
      </c>
      <c r="AG1191" s="16">
        <v>5</v>
      </c>
    </row>
    <row r="1192" spans="1:33" ht="15" customHeight="1" x14ac:dyDescent="0.2">
      <c r="A1192" s="11" t="str">
        <f>HYPERLINK("https://assets.vans.eu/images/VN000QDFWHT-HERO/1","VN000QDFWHT1")</f>
        <v>VN000QDFWHT1</v>
      </c>
      <c r="B1192" s="12" t="s">
        <v>4787</v>
      </c>
      <c r="C1192" s="12" t="s">
        <v>2546</v>
      </c>
      <c r="D1192" s="12" t="s">
        <v>168</v>
      </c>
      <c r="E1192" s="12" t="s">
        <v>4788</v>
      </c>
      <c r="F1192" s="12" t="s">
        <v>179</v>
      </c>
      <c r="G1192" s="14"/>
      <c r="H1192" s="12" t="s">
        <v>61</v>
      </c>
      <c r="I1192" s="12" t="s">
        <v>289</v>
      </c>
      <c r="J1192" s="12" t="s">
        <v>706</v>
      </c>
      <c r="K1192" s="12" t="s">
        <v>100</v>
      </c>
      <c r="L1192" s="14"/>
      <c r="M1192" s="12" t="s">
        <v>43</v>
      </c>
      <c r="N1192" s="12" t="s">
        <v>84</v>
      </c>
      <c r="O1192" s="12" t="s">
        <v>4789</v>
      </c>
      <c r="P1192" s="12" t="s">
        <v>66</v>
      </c>
      <c r="Q1192" s="12" t="s">
        <v>67</v>
      </c>
      <c r="R1192" s="12" t="s">
        <v>1146</v>
      </c>
      <c r="S1192" s="13">
        <v>197804396078</v>
      </c>
      <c r="T1192" s="12" t="s">
        <v>709</v>
      </c>
      <c r="U1192" s="12" t="s">
        <v>179</v>
      </c>
      <c r="V1192" s="12" t="s">
        <v>665</v>
      </c>
      <c r="W1192" s="12" t="s">
        <v>175</v>
      </c>
      <c r="X1192" s="14"/>
      <c r="Y1192" s="14"/>
      <c r="Z1192" s="14"/>
      <c r="AA1192" s="14"/>
      <c r="AB1192" s="14"/>
      <c r="AC1192" s="15">
        <v>13.65</v>
      </c>
      <c r="AD1192" s="15">
        <f>AC1192*AG1192</f>
        <v>68.25</v>
      </c>
      <c r="AE1192" s="15">
        <v>30</v>
      </c>
      <c r="AF1192" s="15">
        <f>AE1192*AG1192</f>
        <v>150</v>
      </c>
      <c r="AG1192" s="16">
        <v>5</v>
      </c>
    </row>
    <row r="1193" spans="1:33" ht="15" customHeight="1" x14ac:dyDescent="0.2">
      <c r="A1193" s="11" t="str">
        <f>HYPERLINK("https://assets.vans.eu/images/VN000QXUEN7-HERO/1","VN000QXUEN71")</f>
        <v>VN000QXUEN71</v>
      </c>
      <c r="B1193" s="12" t="s">
        <v>4790</v>
      </c>
      <c r="C1193" s="12" t="s">
        <v>1137</v>
      </c>
      <c r="D1193" s="12" t="s">
        <v>295</v>
      </c>
      <c r="E1193" s="12" t="s">
        <v>4791</v>
      </c>
      <c r="F1193" s="12" t="s">
        <v>60</v>
      </c>
      <c r="G1193" s="14"/>
      <c r="H1193" s="12" t="s">
        <v>61</v>
      </c>
      <c r="I1193" s="12" t="s">
        <v>230</v>
      </c>
      <c r="J1193" s="12" t="s">
        <v>419</v>
      </c>
      <c r="K1193" s="12" t="s">
        <v>199</v>
      </c>
      <c r="L1193" s="14"/>
      <c r="M1193" s="12" t="s">
        <v>43</v>
      </c>
      <c r="N1193" s="12" t="s">
        <v>84</v>
      </c>
      <c r="O1193" s="12" t="s">
        <v>4792</v>
      </c>
      <c r="P1193" s="12" t="s">
        <v>66</v>
      </c>
      <c r="Q1193" s="12" t="s">
        <v>67</v>
      </c>
      <c r="R1193" s="12" t="s">
        <v>623</v>
      </c>
      <c r="S1193" s="13">
        <v>197804785636</v>
      </c>
      <c r="T1193" s="12" t="s">
        <v>49</v>
      </c>
      <c r="U1193" s="12" t="s">
        <v>60</v>
      </c>
      <c r="V1193" s="12" t="s">
        <v>860</v>
      </c>
      <c r="W1193" s="12" t="s">
        <v>299</v>
      </c>
      <c r="X1193" s="14"/>
      <c r="Y1193" s="14"/>
      <c r="Z1193" s="14"/>
      <c r="AA1193" s="14"/>
      <c r="AB1193" s="14"/>
      <c r="AC1193" s="15">
        <v>40.950000000000003</v>
      </c>
      <c r="AD1193" s="15">
        <f>AC1193*AG1193</f>
        <v>204.75</v>
      </c>
      <c r="AE1193" s="15">
        <v>90</v>
      </c>
      <c r="AF1193" s="15">
        <f>AE1193*AG1193</f>
        <v>450</v>
      </c>
      <c r="AG1193" s="16">
        <v>5</v>
      </c>
    </row>
    <row r="1194" spans="1:33" ht="15" customHeight="1" x14ac:dyDescent="0.2">
      <c r="A1194" s="11" t="str">
        <f t="shared" ref="A1194:A2330" si="503">HYPERLINK("https://assets.vans.eu/images/VN000R03WHT-HERO/1","VN000R03WHT1")</f>
        <v>VN000R03WHT1</v>
      </c>
      <c r="B1194" s="12" t="s">
        <v>4793</v>
      </c>
      <c r="C1194" s="12" t="s">
        <v>2741</v>
      </c>
      <c r="D1194" s="12" t="s">
        <v>168</v>
      </c>
      <c r="E1194" s="12" t="s">
        <v>4794</v>
      </c>
      <c r="F1194" s="12" t="s">
        <v>170</v>
      </c>
      <c r="G1194" s="14"/>
      <c r="H1194" s="12" t="s">
        <v>61</v>
      </c>
      <c r="I1194" s="12" t="s">
        <v>62</v>
      </c>
      <c r="J1194" s="12" t="s">
        <v>63</v>
      </c>
      <c r="K1194" s="12" t="s">
        <v>64</v>
      </c>
      <c r="L1194" s="14"/>
      <c r="M1194" s="12" t="s">
        <v>43</v>
      </c>
      <c r="N1194" s="12" t="s">
        <v>84</v>
      </c>
      <c r="O1194" s="12" t="s">
        <v>4795</v>
      </c>
      <c r="P1194" s="12" t="s">
        <v>66</v>
      </c>
      <c r="Q1194" s="12" t="s">
        <v>67</v>
      </c>
      <c r="R1194" s="12" t="s">
        <v>68</v>
      </c>
      <c r="S1194" s="13">
        <v>197804584963</v>
      </c>
      <c r="T1194" s="12" t="s">
        <v>915</v>
      </c>
      <c r="U1194" s="12" t="s">
        <v>170</v>
      </c>
      <c r="V1194" s="12" t="s">
        <v>1028</v>
      </c>
      <c r="W1194" s="12" t="s">
        <v>175</v>
      </c>
      <c r="X1194" s="14"/>
      <c r="Y1194" s="14"/>
      <c r="Z1194" s="14"/>
      <c r="AA1194" s="14"/>
      <c r="AB1194" s="14"/>
      <c r="AC1194" s="15">
        <v>15.95</v>
      </c>
      <c r="AD1194" s="15">
        <f>AC1194*AG1194</f>
        <v>79.75</v>
      </c>
      <c r="AE1194" s="15">
        <v>35</v>
      </c>
      <c r="AF1194" s="15">
        <f>AE1194*AG1194</f>
        <v>175</v>
      </c>
      <c r="AG1194" s="16">
        <v>5</v>
      </c>
    </row>
    <row r="1195" spans="1:33" ht="15" customHeight="1" x14ac:dyDescent="0.2">
      <c r="A1195" s="11" t="str">
        <f t="shared" si="397"/>
        <v>VN000R04BLK1</v>
      </c>
      <c r="B1195" s="12" t="s">
        <v>4796</v>
      </c>
      <c r="C1195" s="12" t="s">
        <v>1740</v>
      </c>
      <c r="D1195" s="12" t="s">
        <v>76</v>
      </c>
      <c r="E1195" s="12" t="s">
        <v>4797</v>
      </c>
      <c r="F1195" s="12" t="s">
        <v>170</v>
      </c>
      <c r="G1195" s="14"/>
      <c r="H1195" s="12" t="s">
        <v>61</v>
      </c>
      <c r="I1195" s="12" t="s">
        <v>62</v>
      </c>
      <c r="J1195" s="12" t="s">
        <v>63</v>
      </c>
      <c r="K1195" s="12" t="s">
        <v>64</v>
      </c>
      <c r="L1195" s="14"/>
      <c r="M1195" s="12" t="s">
        <v>43</v>
      </c>
      <c r="N1195" s="12" t="s">
        <v>84</v>
      </c>
      <c r="O1195" s="12" t="s">
        <v>4798</v>
      </c>
      <c r="P1195" s="12" t="s">
        <v>66</v>
      </c>
      <c r="Q1195" s="12" t="s">
        <v>67</v>
      </c>
      <c r="R1195" s="12" t="s">
        <v>68</v>
      </c>
      <c r="S1195" s="13">
        <v>197804584956</v>
      </c>
      <c r="T1195" s="12" t="s">
        <v>915</v>
      </c>
      <c r="U1195" s="12" t="s">
        <v>170</v>
      </c>
      <c r="V1195" s="12" t="s">
        <v>1028</v>
      </c>
      <c r="W1195" s="12" t="s">
        <v>51</v>
      </c>
      <c r="X1195" s="14"/>
      <c r="Y1195" s="14"/>
      <c r="Z1195" s="14"/>
      <c r="AA1195" s="14"/>
      <c r="AB1195" s="14"/>
      <c r="AC1195" s="15">
        <v>13.65</v>
      </c>
      <c r="AD1195" s="15">
        <f>AC1195*AG1195</f>
        <v>68.25</v>
      </c>
      <c r="AE1195" s="15">
        <v>30</v>
      </c>
      <c r="AF1195" s="15">
        <f>AE1195*AG1195</f>
        <v>150</v>
      </c>
      <c r="AG1195" s="16">
        <v>5</v>
      </c>
    </row>
    <row r="1196" spans="1:33" ht="15" customHeight="1" x14ac:dyDescent="0.2">
      <c r="A1196" s="11" t="str">
        <f>HYPERLINK("https://assets.vans.eu/images/VN000R04EMF-HERO/1","VN000R04EMF1")</f>
        <v>VN000R04EMF1</v>
      </c>
      <c r="B1196" s="12" t="s">
        <v>4799</v>
      </c>
      <c r="C1196" s="12" t="s">
        <v>1740</v>
      </c>
      <c r="D1196" s="12" t="s">
        <v>1282</v>
      </c>
      <c r="E1196" s="12" t="s">
        <v>4800</v>
      </c>
      <c r="F1196" s="12" t="s">
        <v>179</v>
      </c>
      <c r="G1196" s="14"/>
      <c r="H1196" s="12" t="s">
        <v>61</v>
      </c>
      <c r="I1196" s="12" t="s">
        <v>62</v>
      </c>
      <c r="J1196" s="12" t="s">
        <v>63</v>
      </c>
      <c r="K1196" s="12" t="s">
        <v>64</v>
      </c>
      <c r="L1196" s="14"/>
      <c r="M1196" s="12" t="s">
        <v>43</v>
      </c>
      <c r="N1196" s="12" t="s">
        <v>84</v>
      </c>
      <c r="O1196" s="12" t="s">
        <v>4801</v>
      </c>
      <c r="P1196" s="12" t="s">
        <v>66</v>
      </c>
      <c r="Q1196" s="12" t="s">
        <v>67</v>
      </c>
      <c r="R1196" s="12" t="s">
        <v>68</v>
      </c>
      <c r="S1196" s="13">
        <v>197804585083</v>
      </c>
      <c r="T1196" s="12" t="s">
        <v>915</v>
      </c>
      <c r="U1196" s="12" t="s">
        <v>179</v>
      </c>
      <c r="V1196" s="12" t="s">
        <v>1028</v>
      </c>
      <c r="W1196" s="12" t="s">
        <v>118</v>
      </c>
      <c r="X1196" s="14"/>
      <c r="Y1196" s="14"/>
      <c r="Z1196" s="14"/>
      <c r="AA1196" s="14"/>
      <c r="AB1196" s="14"/>
      <c r="AC1196" s="15">
        <v>13.65</v>
      </c>
      <c r="AD1196" s="15">
        <f>AC1196*AG1196</f>
        <v>68.25</v>
      </c>
      <c r="AE1196" s="15">
        <v>30</v>
      </c>
      <c r="AF1196" s="15">
        <f>AE1196*AG1196</f>
        <v>150</v>
      </c>
      <c r="AG1196" s="16">
        <v>5</v>
      </c>
    </row>
    <row r="1197" spans="1:33" ht="15" customHeight="1" x14ac:dyDescent="0.2">
      <c r="A1197" s="11" t="str">
        <f t="shared" ref="A1197:A2335" si="504">HYPERLINK("https://assets.vans.eu/images/VN000R742N1-HERO/1","VN000R742N11")</f>
        <v>VN000R742N11</v>
      </c>
      <c r="B1197" s="12" t="s">
        <v>4802</v>
      </c>
      <c r="C1197" s="12" t="s">
        <v>2553</v>
      </c>
      <c r="D1197" s="12" t="s">
        <v>1082</v>
      </c>
      <c r="E1197" s="12" t="s">
        <v>4803</v>
      </c>
      <c r="F1197" s="12" t="s">
        <v>170</v>
      </c>
      <c r="G1197" s="14"/>
      <c r="H1197" s="12" t="s">
        <v>61</v>
      </c>
      <c r="I1197" s="12" t="s">
        <v>289</v>
      </c>
      <c r="J1197" s="12" t="s">
        <v>706</v>
      </c>
      <c r="K1197" s="12" t="s">
        <v>100</v>
      </c>
      <c r="L1197" s="12" t="s">
        <v>83</v>
      </c>
      <c r="M1197" s="12" t="s">
        <v>43</v>
      </c>
      <c r="N1197" s="12" t="s">
        <v>84</v>
      </c>
      <c r="O1197" s="12" t="s">
        <v>4804</v>
      </c>
      <c r="P1197" s="12" t="s">
        <v>66</v>
      </c>
      <c r="Q1197" s="12" t="s">
        <v>67</v>
      </c>
      <c r="R1197" s="12" t="s">
        <v>1146</v>
      </c>
      <c r="S1197" s="13">
        <v>197804296712</v>
      </c>
      <c r="T1197" s="12" t="s">
        <v>69</v>
      </c>
      <c r="U1197" s="12" t="s">
        <v>170</v>
      </c>
      <c r="V1197" s="12" t="s">
        <v>2556</v>
      </c>
      <c r="W1197" s="12" t="s">
        <v>580</v>
      </c>
      <c r="X1197" s="14"/>
      <c r="Y1197" s="14"/>
      <c r="Z1197" s="14"/>
      <c r="AA1197" s="14"/>
      <c r="AB1197" s="14"/>
      <c r="AC1197" s="15">
        <v>18.2</v>
      </c>
      <c r="AD1197" s="15">
        <f>AC1197*AG1197</f>
        <v>91</v>
      </c>
      <c r="AE1197" s="15">
        <v>40</v>
      </c>
      <c r="AF1197" s="15">
        <f>AE1197*AG1197</f>
        <v>200</v>
      </c>
      <c r="AG1197" s="16">
        <v>5</v>
      </c>
    </row>
    <row r="1198" spans="1:33" ht="15" customHeight="1" x14ac:dyDescent="0.2">
      <c r="A1198" s="11" t="str">
        <f>HYPERLINK("https://assets.vans.eu/images/VN000RAPE2Z-HERO/1","VN000RAPE2Z1")</f>
        <v>VN000RAPE2Z1</v>
      </c>
      <c r="B1198" s="12" t="s">
        <v>4805</v>
      </c>
      <c r="C1198" s="12" t="s">
        <v>4806</v>
      </c>
      <c r="D1198" s="12" t="s">
        <v>3420</v>
      </c>
      <c r="E1198" s="12" t="s">
        <v>4807</v>
      </c>
      <c r="F1198" s="12" t="s">
        <v>170</v>
      </c>
      <c r="G1198" s="14"/>
      <c r="H1198" s="12" t="s">
        <v>61</v>
      </c>
      <c r="I1198" s="12" t="s">
        <v>230</v>
      </c>
      <c r="J1198" s="12" t="s">
        <v>419</v>
      </c>
      <c r="K1198" s="12" t="s">
        <v>199</v>
      </c>
      <c r="L1198" s="12" t="s">
        <v>115</v>
      </c>
      <c r="M1198" s="12" t="s">
        <v>43</v>
      </c>
      <c r="N1198" s="12" t="s">
        <v>44</v>
      </c>
      <c r="O1198" s="12" t="s">
        <v>4808</v>
      </c>
      <c r="P1198" s="12" t="s">
        <v>66</v>
      </c>
      <c r="Q1198" s="12" t="s">
        <v>67</v>
      </c>
      <c r="R1198" s="12" t="s">
        <v>421</v>
      </c>
      <c r="S1198" s="13">
        <v>197804863808</v>
      </c>
      <c r="T1198" s="12" t="s">
        <v>69</v>
      </c>
      <c r="U1198" s="12" t="s">
        <v>170</v>
      </c>
      <c r="V1198" s="12" t="s">
        <v>423</v>
      </c>
      <c r="W1198" s="12" t="s">
        <v>262</v>
      </c>
      <c r="X1198" s="13">
        <v>0</v>
      </c>
      <c r="Y1198" s="12" t="s">
        <v>91</v>
      </c>
      <c r="Z1198" s="12" t="s">
        <v>92</v>
      </c>
      <c r="AA1198" s="12" t="s">
        <v>626</v>
      </c>
      <c r="AB1198" s="12" t="s">
        <v>94</v>
      </c>
      <c r="AC1198" s="15">
        <v>15.95</v>
      </c>
      <c r="AD1198" s="15">
        <f>AC1198*AG1198</f>
        <v>79.75</v>
      </c>
      <c r="AE1198" s="15">
        <v>35</v>
      </c>
      <c r="AF1198" s="15">
        <f>AE1198*AG1198</f>
        <v>175</v>
      </c>
      <c r="AG1198" s="16">
        <v>5</v>
      </c>
    </row>
    <row r="1199" spans="1:33" ht="15" customHeight="1" x14ac:dyDescent="0.2">
      <c r="A1199" s="11" t="str">
        <f t="shared" ref="A1199:A1418" si="505">HYPERLINK("https://assets.vans.eu/images/VN000RC1O8W-HERO/1","VN000RC1O8W1")</f>
        <v>VN000RC1O8W1</v>
      </c>
      <c r="B1199" s="12" t="s">
        <v>4809</v>
      </c>
      <c r="C1199" s="12" t="s">
        <v>4810</v>
      </c>
      <c r="D1199" s="12" t="s">
        <v>4811</v>
      </c>
      <c r="E1199" s="12" t="s">
        <v>4812</v>
      </c>
      <c r="F1199" s="12" t="s">
        <v>403</v>
      </c>
      <c r="G1199" s="14"/>
      <c r="H1199" s="12" t="s">
        <v>61</v>
      </c>
      <c r="I1199" s="12" t="s">
        <v>289</v>
      </c>
      <c r="J1199" s="12" t="s">
        <v>706</v>
      </c>
      <c r="K1199" s="12" t="s">
        <v>100</v>
      </c>
      <c r="L1199" s="14"/>
      <c r="M1199" s="12" t="s">
        <v>43</v>
      </c>
      <c r="N1199" s="12" t="s">
        <v>84</v>
      </c>
      <c r="O1199" s="12" t="s">
        <v>4813</v>
      </c>
      <c r="P1199" s="12" t="s">
        <v>66</v>
      </c>
      <c r="Q1199" s="12" t="s">
        <v>67</v>
      </c>
      <c r="R1199" s="12" t="s">
        <v>1146</v>
      </c>
      <c r="S1199" s="13">
        <v>197804396283</v>
      </c>
      <c r="T1199" s="12" t="s">
        <v>709</v>
      </c>
      <c r="U1199" s="12" t="s">
        <v>403</v>
      </c>
      <c r="V1199" s="12" t="s">
        <v>665</v>
      </c>
      <c r="W1199" s="12" t="s">
        <v>455</v>
      </c>
      <c r="X1199" s="14"/>
      <c r="Y1199" s="14"/>
      <c r="Z1199" s="14"/>
      <c r="AA1199" s="14"/>
      <c r="AB1199" s="14"/>
      <c r="AC1199" s="15">
        <v>18.2</v>
      </c>
      <c r="AD1199" s="15">
        <f>AC1199*AG1199</f>
        <v>91</v>
      </c>
      <c r="AE1199" s="15">
        <v>40</v>
      </c>
      <c r="AF1199" s="15">
        <f>AE1199*AG1199</f>
        <v>200</v>
      </c>
      <c r="AG1199" s="16">
        <v>5</v>
      </c>
    </row>
    <row r="1200" spans="1:33" ht="15" customHeight="1" x14ac:dyDescent="0.2">
      <c r="A1200" s="11" t="str">
        <f t="shared" ref="A1200:A2347" si="506">HYPERLINK("https://assets.vans.eu/images/VN000RD1O32-HERO/1","VN000RD1O321")</f>
        <v>VN000RD1O321</v>
      </c>
      <c r="B1200" s="12" t="s">
        <v>4814</v>
      </c>
      <c r="C1200" s="12" t="s">
        <v>4260</v>
      </c>
      <c r="D1200" s="12" t="s">
        <v>4815</v>
      </c>
      <c r="E1200" s="12" t="s">
        <v>4816</v>
      </c>
      <c r="F1200" s="12" t="s">
        <v>170</v>
      </c>
      <c r="G1200" s="14"/>
      <c r="H1200" s="12" t="s">
        <v>61</v>
      </c>
      <c r="I1200" s="12" t="s">
        <v>289</v>
      </c>
      <c r="J1200" s="12" t="s">
        <v>706</v>
      </c>
      <c r="K1200" s="12" t="s">
        <v>100</v>
      </c>
      <c r="L1200" s="12" t="s">
        <v>83</v>
      </c>
      <c r="M1200" s="12" t="s">
        <v>43</v>
      </c>
      <c r="N1200" s="12" t="s">
        <v>84</v>
      </c>
      <c r="O1200" s="12" t="s">
        <v>4817</v>
      </c>
      <c r="P1200" s="12" t="s">
        <v>66</v>
      </c>
      <c r="Q1200" s="12" t="s">
        <v>67</v>
      </c>
      <c r="R1200" s="12" t="s">
        <v>1146</v>
      </c>
      <c r="S1200" s="13">
        <v>197804298228</v>
      </c>
      <c r="T1200" s="12" t="s">
        <v>422</v>
      </c>
      <c r="U1200" s="12" t="s">
        <v>170</v>
      </c>
      <c r="V1200" s="12" t="s">
        <v>2556</v>
      </c>
      <c r="W1200" s="12" t="s">
        <v>299</v>
      </c>
      <c r="X1200" s="14"/>
      <c r="Y1200" s="14"/>
      <c r="Z1200" s="14"/>
      <c r="AA1200" s="14"/>
      <c r="AB1200" s="14"/>
      <c r="AC1200" s="15">
        <v>15.95</v>
      </c>
      <c r="AD1200" s="15">
        <f>AC1200*AG1200</f>
        <v>79.75</v>
      </c>
      <c r="AE1200" s="15">
        <v>35</v>
      </c>
      <c r="AF1200" s="15">
        <f>AE1200*AG1200</f>
        <v>175</v>
      </c>
      <c r="AG1200" s="16">
        <v>5</v>
      </c>
    </row>
    <row r="1201" spans="1:33" ht="15" customHeight="1" x14ac:dyDescent="0.2">
      <c r="A1201" s="11" t="str">
        <f>HYPERLINK("https://assets.vans.eu/images/VN000RDFBLK-HERO/1","VN000RDFBLK1")</f>
        <v>VN000RDFBLK1</v>
      </c>
      <c r="B1201" s="12" t="s">
        <v>4818</v>
      </c>
      <c r="C1201" s="12" t="s">
        <v>3203</v>
      </c>
      <c r="D1201" s="12" t="s">
        <v>76</v>
      </c>
      <c r="E1201" s="12" t="s">
        <v>4819</v>
      </c>
      <c r="F1201" s="12" t="s">
        <v>138</v>
      </c>
      <c r="G1201" s="14"/>
      <c r="H1201" s="12" t="s">
        <v>61</v>
      </c>
      <c r="I1201" s="12" t="s">
        <v>289</v>
      </c>
      <c r="J1201" s="12" t="s">
        <v>706</v>
      </c>
      <c r="K1201" s="12" t="s">
        <v>100</v>
      </c>
      <c r="L1201" s="12" t="s">
        <v>83</v>
      </c>
      <c r="M1201" s="12" t="s">
        <v>43</v>
      </c>
      <c r="N1201" s="12" t="s">
        <v>84</v>
      </c>
      <c r="O1201" s="12" t="s">
        <v>4820</v>
      </c>
      <c r="P1201" s="12" t="s">
        <v>66</v>
      </c>
      <c r="Q1201" s="12" t="s">
        <v>67</v>
      </c>
      <c r="R1201" s="12" t="s">
        <v>708</v>
      </c>
      <c r="S1201" s="13">
        <v>197804299355</v>
      </c>
      <c r="T1201" s="12" t="s">
        <v>69</v>
      </c>
      <c r="U1201" s="12" t="s">
        <v>138</v>
      </c>
      <c r="V1201" s="12" t="s">
        <v>1386</v>
      </c>
      <c r="W1201" s="12" t="s">
        <v>51</v>
      </c>
      <c r="X1201" s="14"/>
      <c r="Y1201" s="14"/>
      <c r="Z1201" s="14"/>
      <c r="AA1201" s="14"/>
      <c r="AB1201" s="14"/>
      <c r="AC1201" s="15">
        <v>38.65</v>
      </c>
      <c r="AD1201" s="15">
        <f>AC1201*AG1201</f>
        <v>193.25</v>
      </c>
      <c r="AE1201" s="15">
        <v>85</v>
      </c>
      <c r="AF1201" s="15">
        <f>AE1201*AG1201</f>
        <v>425</v>
      </c>
      <c r="AG1201" s="16">
        <v>5</v>
      </c>
    </row>
    <row r="1202" spans="1:33" ht="15" customHeight="1" x14ac:dyDescent="0.2">
      <c r="A1202" s="11" t="str">
        <f t="shared" si="333"/>
        <v>VN000REMBLK1</v>
      </c>
      <c r="B1202" s="12" t="s">
        <v>4821</v>
      </c>
      <c r="C1202" s="12" t="s">
        <v>3207</v>
      </c>
      <c r="D1202" s="12" t="s">
        <v>76</v>
      </c>
      <c r="E1202" s="12" t="s">
        <v>4822</v>
      </c>
      <c r="F1202" s="12" t="s">
        <v>153</v>
      </c>
      <c r="G1202" s="14"/>
      <c r="H1202" s="12" t="s">
        <v>61</v>
      </c>
      <c r="I1202" s="12" t="s">
        <v>289</v>
      </c>
      <c r="J1202" s="12" t="s">
        <v>706</v>
      </c>
      <c r="K1202" s="12" t="s">
        <v>100</v>
      </c>
      <c r="L1202" s="12" t="s">
        <v>83</v>
      </c>
      <c r="M1202" s="12" t="s">
        <v>43</v>
      </c>
      <c r="N1202" s="12" t="s">
        <v>84</v>
      </c>
      <c r="O1202" s="12" t="s">
        <v>4823</v>
      </c>
      <c r="P1202" s="12" t="s">
        <v>66</v>
      </c>
      <c r="Q1202" s="12" t="s">
        <v>67</v>
      </c>
      <c r="R1202" s="12" t="s">
        <v>708</v>
      </c>
      <c r="S1202" s="13">
        <v>197804299362</v>
      </c>
      <c r="T1202" s="12" t="s">
        <v>69</v>
      </c>
      <c r="U1202" s="12" t="s">
        <v>153</v>
      </c>
      <c r="V1202" s="12" t="s">
        <v>1386</v>
      </c>
      <c r="W1202" s="12" t="s">
        <v>51</v>
      </c>
      <c r="X1202" s="14"/>
      <c r="Y1202" s="14"/>
      <c r="Z1202" s="14"/>
      <c r="AA1202" s="14"/>
      <c r="AB1202" s="14"/>
      <c r="AC1202" s="15">
        <v>38.65</v>
      </c>
      <c r="AD1202" s="15">
        <f>AC1202*AG1202</f>
        <v>193.25</v>
      </c>
      <c r="AE1202" s="15">
        <v>85</v>
      </c>
      <c r="AF1202" s="15">
        <f>AE1202*AG1202</f>
        <v>425</v>
      </c>
      <c r="AG1202" s="16">
        <v>5</v>
      </c>
    </row>
    <row r="1203" spans="1:33" ht="15" customHeight="1" x14ac:dyDescent="0.2">
      <c r="A1203" s="11" t="str">
        <f t="shared" ref="A1203:A1800" si="507">HYPERLINK("https://assets.vans.eu/images/VN000RFR1QI-HERO/1","VN000RFR1QI1")</f>
        <v>VN000RFR1QI1</v>
      </c>
      <c r="B1203" s="12" t="s">
        <v>4824</v>
      </c>
      <c r="C1203" s="12" t="s">
        <v>4825</v>
      </c>
      <c r="D1203" s="12" t="s">
        <v>1592</v>
      </c>
      <c r="E1203" s="12" t="s">
        <v>4826</v>
      </c>
      <c r="F1203" s="12" t="s">
        <v>403</v>
      </c>
      <c r="G1203" s="14"/>
      <c r="H1203" s="12" t="s">
        <v>61</v>
      </c>
      <c r="I1203" s="12" t="s">
        <v>230</v>
      </c>
      <c r="J1203" s="12" t="s">
        <v>419</v>
      </c>
      <c r="K1203" s="12" t="s">
        <v>199</v>
      </c>
      <c r="L1203" s="12" t="s">
        <v>83</v>
      </c>
      <c r="M1203" s="12" t="s">
        <v>43</v>
      </c>
      <c r="N1203" s="12" t="s">
        <v>84</v>
      </c>
      <c r="O1203" s="12" t="s">
        <v>4827</v>
      </c>
      <c r="P1203" s="12" t="s">
        <v>66</v>
      </c>
      <c r="Q1203" s="12" t="s">
        <v>67</v>
      </c>
      <c r="R1203" s="12" t="s">
        <v>623</v>
      </c>
      <c r="S1203" s="13">
        <v>197804327720</v>
      </c>
      <c r="T1203" s="12" t="s">
        <v>69</v>
      </c>
      <c r="U1203" s="12" t="s">
        <v>403</v>
      </c>
      <c r="V1203" s="12" t="s">
        <v>1386</v>
      </c>
      <c r="W1203" s="12" t="s">
        <v>455</v>
      </c>
      <c r="X1203" s="14"/>
      <c r="Y1203" s="14"/>
      <c r="Z1203" s="14"/>
      <c r="AA1203" s="14"/>
      <c r="AB1203" s="14"/>
      <c r="AC1203" s="15">
        <v>50</v>
      </c>
      <c r="AD1203" s="15">
        <f>AC1203*AG1203</f>
        <v>250</v>
      </c>
      <c r="AE1203" s="15">
        <v>110</v>
      </c>
      <c r="AF1203" s="15">
        <f>AE1203*AG1203</f>
        <v>550</v>
      </c>
      <c r="AG1203" s="16">
        <v>5</v>
      </c>
    </row>
    <row r="1204" spans="1:33" ht="15" customHeight="1" x14ac:dyDescent="0.2">
      <c r="A1204" s="11" t="str">
        <f>HYPERLINK("https://assets.vans.eu/images/VN000RK6EMW-HERO/1","VN000RK6EMW1")</f>
        <v>VN000RK6EMW1</v>
      </c>
      <c r="B1204" s="12" t="s">
        <v>4828</v>
      </c>
      <c r="C1204" s="12" t="s">
        <v>4829</v>
      </c>
      <c r="D1204" s="12" t="s">
        <v>147</v>
      </c>
      <c r="E1204" s="12" t="s">
        <v>4830</v>
      </c>
      <c r="F1204" s="12" t="s">
        <v>403</v>
      </c>
      <c r="G1204" s="14"/>
      <c r="H1204" s="12" t="s">
        <v>61</v>
      </c>
      <c r="I1204" s="12" t="s">
        <v>230</v>
      </c>
      <c r="J1204" s="12" t="s">
        <v>419</v>
      </c>
      <c r="K1204" s="12" t="s">
        <v>199</v>
      </c>
      <c r="L1204" s="14"/>
      <c r="M1204" s="12" t="s">
        <v>43</v>
      </c>
      <c r="N1204" s="12" t="s">
        <v>84</v>
      </c>
      <c r="O1204" s="12" t="s">
        <v>4831</v>
      </c>
      <c r="P1204" s="12" t="s">
        <v>66</v>
      </c>
      <c r="Q1204" s="12" t="s">
        <v>67</v>
      </c>
      <c r="R1204" s="12" t="s">
        <v>421</v>
      </c>
      <c r="S1204" s="13">
        <v>197804790975</v>
      </c>
      <c r="T1204" s="12" t="s">
        <v>49</v>
      </c>
      <c r="U1204" s="12" t="s">
        <v>403</v>
      </c>
      <c r="V1204" s="12" t="s">
        <v>665</v>
      </c>
      <c r="W1204" s="12" t="s">
        <v>118</v>
      </c>
      <c r="X1204" s="14"/>
      <c r="Y1204" s="14"/>
      <c r="Z1204" s="14"/>
      <c r="AA1204" s="14"/>
      <c r="AB1204" s="14"/>
      <c r="AC1204" s="15">
        <v>20.5</v>
      </c>
      <c r="AD1204" s="15">
        <f>AC1204*AG1204</f>
        <v>102.5</v>
      </c>
      <c r="AE1204" s="15">
        <v>45</v>
      </c>
      <c r="AF1204" s="15">
        <f>AE1204*AG1204</f>
        <v>225</v>
      </c>
      <c r="AG1204" s="16">
        <v>5</v>
      </c>
    </row>
    <row r="1205" spans="1:33" ht="15" customHeight="1" x14ac:dyDescent="0.2">
      <c r="A1205" s="11" t="str">
        <f>HYPERLINK("https://assets.vans.eu/images/VN000U2CWHT-HERO/1","VN000U2CWHT1")</f>
        <v>VN000U2CWHT1</v>
      </c>
      <c r="B1205" s="12" t="s">
        <v>4832</v>
      </c>
      <c r="C1205" s="12" t="s">
        <v>3843</v>
      </c>
      <c r="D1205" s="12" t="s">
        <v>168</v>
      </c>
      <c r="E1205" s="12" t="s">
        <v>4833</v>
      </c>
      <c r="F1205" s="12" t="s">
        <v>153</v>
      </c>
      <c r="G1205" s="14"/>
      <c r="H1205" s="12" t="s">
        <v>61</v>
      </c>
      <c r="I1205" s="12" t="s">
        <v>230</v>
      </c>
      <c r="J1205" s="12" t="s">
        <v>419</v>
      </c>
      <c r="K1205" s="12" t="s">
        <v>199</v>
      </c>
      <c r="L1205" s="12" t="s">
        <v>115</v>
      </c>
      <c r="M1205" s="12" t="s">
        <v>43</v>
      </c>
      <c r="N1205" s="12" t="s">
        <v>44</v>
      </c>
      <c r="O1205" s="12" t="s">
        <v>4834</v>
      </c>
      <c r="P1205" s="12" t="s">
        <v>66</v>
      </c>
      <c r="Q1205" s="12" t="s">
        <v>67</v>
      </c>
      <c r="R1205" s="12" t="s">
        <v>421</v>
      </c>
      <c r="S1205" s="13">
        <v>198266020853</v>
      </c>
      <c r="T1205" s="12" t="s">
        <v>422</v>
      </c>
      <c r="U1205" s="12" t="s">
        <v>153</v>
      </c>
      <c r="V1205" s="12" t="s">
        <v>3846</v>
      </c>
      <c r="W1205" s="12" t="s">
        <v>175</v>
      </c>
      <c r="X1205" s="12" t="s">
        <v>3847</v>
      </c>
      <c r="Y1205" s="12" t="s">
        <v>91</v>
      </c>
      <c r="Z1205" s="12" t="s">
        <v>54</v>
      </c>
      <c r="AA1205" s="12" t="s">
        <v>73</v>
      </c>
      <c r="AB1205" s="12" t="s">
        <v>94</v>
      </c>
      <c r="AC1205" s="15">
        <v>18.2</v>
      </c>
      <c r="AD1205" s="15">
        <f>AC1205*AG1205</f>
        <v>91</v>
      </c>
      <c r="AE1205" s="15">
        <v>40</v>
      </c>
      <c r="AF1205" s="15">
        <f>AE1205*AG1205</f>
        <v>200</v>
      </c>
      <c r="AG1205" s="16">
        <v>5</v>
      </c>
    </row>
    <row r="1206" spans="1:33" ht="15" customHeight="1" x14ac:dyDescent="0.2">
      <c r="A1206" s="11" t="str">
        <f>HYPERLINK("https://assets.vans.eu/images/VN000W4GCI2-HERO/1","VN000W4GCI21")</f>
        <v>VN000W4GCI21</v>
      </c>
      <c r="B1206" s="12" t="s">
        <v>4835</v>
      </c>
      <c r="C1206" s="12" t="s">
        <v>4836</v>
      </c>
      <c r="D1206" s="12" t="s">
        <v>2499</v>
      </c>
      <c r="E1206" s="12" t="s">
        <v>4837</v>
      </c>
      <c r="F1206" s="12" t="s">
        <v>60</v>
      </c>
      <c r="G1206" s="14"/>
      <c r="H1206" s="12" t="s">
        <v>61</v>
      </c>
      <c r="I1206" s="12" t="s">
        <v>230</v>
      </c>
      <c r="J1206" s="12" t="s">
        <v>419</v>
      </c>
      <c r="K1206" s="12" t="s">
        <v>199</v>
      </c>
      <c r="L1206" s="12" t="s">
        <v>872</v>
      </c>
      <c r="M1206" s="12" t="s">
        <v>43</v>
      </c>
      <c r="N1206" s="14"/>
      <c r="O1206" s="12" t="s">
        <v>4838</v>
      </c>
      <c r="P1206" s="12" t="s">
        <v>66</v>
      </c>
      <c r="Q1206" s="12" t="s">
        <v>67</v>
      </c>
      <c r="R1206" s="12" t="s">
        <v>421</v>
      </c>
      <c r="S1206" s="13">
        <v>198266592008</v>
      </c>
      <c r="T1206" s="12" t="s">
        <v>422</v>
      </c>
      <c r="U1206" s="12" t="s">
        <v>60</v>
      </c>
      <c r="V1206" s="12" t="s">
        <v>423</v>
      </c>
      <c r="W1206" s="12" t="s">
        <v>118</v>
      </c>
      <c r="X1206" s="12" t="s">
        <v>3847</v>
      </c>
      <c r="Y1206" s="12" t="s">
        <v>91</v>
      </c>
      <c r="Z1206" s="12" t="s">
        <v>54</v>
      </c>
      <c r="AA1206" s="12" t="s">
        <v>73</v>
      </c>
      <c r="AB1206" s="12" t="s">
        <v>94</v>
      </c>
      <c r="AC1206" s="15">
        <v>18.2</v>
      </c>
      <c r="AD1206" s="15">
        <f>AC1206*AG1206</f>
        <v>91</v>
      </c>
      <c r="AE1206" s="15">
        <v>40</v>
      </c>
      <c r="AF1206" s="15">
        <f>AE1206*AG1206</f>
        <v>200</v>
      </c>
      <c r="AG1206" s="16">
        <v>5</v>
      </c>
    </row>
    <row r="1207" spans="1:33" ht="15" customHeight="1" x14ac:dyDescent="0.2">
      <c r="A1207" s="11" t="str">
        <f>HYPERLINK("https://assets.vans.eu/images/VN0A5JPN705-HERO/1","VN0A5JPN7051")</f>
        <v>VN0A5JPN7051</v>
      </c>
      <c r="B1207" s="12" t="s">
        <v>4839</v>
      </c>
      <c r="C1207" s="12" t="s">
        <v>4840</v>
      </c>
      <c r="D1207" s="12" t="s">
        <v>2273</v>
      </c>
      <c r="E1207" s="12" t="s">
        <v>4841</v>
      </c>
      <c r="F1207" s="13">
        <v>31</v>
      </c>
      <c r="G1207" s="12" t="s">
        <v>4842</v>
      </c>
      <c r="H1207" s="12" t="s">
        <v>61</v>
      </c>
      <c r="I1207" s="12" t="s">
        <v>289</v>
      </c>
      <c r="J1207" s="12" t="s">
        <v>290</v>
      </c>
      <c r="K1207" s="12" t="s">
        <v>100</v>
      </c>
      <c r="L1207" s="12" t="s">
        <v>872</v>
      </c>
      <c r="M1207" s="12" t="s">
        <v>43</v>
      </c>
      <c r="N1207" s="12" t="s">
        <v>274</v>
      </c>
      <c r="O1207" s="12" t="s">
        <v>4843</v>
      </c>
      <c r="P1207" s="12" t="s">
        <v>66</v>
      </c>
      <c r="Q1207" s="12" t="s">
        <v>233</v>
      </c>
      <c r="R1207" s="12" t="s">
        <v>664</v>
      </c>
      <c r="S1207" s="13">
        <v>195436471910</v>
      </c>
      <c r="T1207" s="12" t="s">
        <v>1517</v>
      </c>
      <c r="U1207" s="13">
        <v>31</v>
      </c>
      <c r="V1207" s="12" t="s">
        <v>4844</v>
      </c>
      <c r="W1207" s="12" t="s">
        <v>51</v>
      </c>
      <c r="X1207" s="13">
        <v>0</v>
      </c>
      <c r="Y1207" s="12" t="s">
        <v>91</v>
      </c>
      <c r="Z1207" s="12" t="s">
        <v>108</v>
      </c>
      <c r="AA1207" s="13">
        <v>0</v>
      </c>
      <c r="AB1207" s="13">
        <v>0</v>
      </c>
      <c r="AC1207" s="15">
        <v>34.1</v>
      </c>
      <c r="AD1207" s="15">
        <f>AC1207*AG1207</f>
        <v>170.5</v>
      </c>
      <c r="AE1207" s="15">
        <v>75</v>
      </c>
      <c r="AF1207" s="15">
        <f>AE1207*AG1207</f>
        <v>375</v>
      </c>
      <c r="AG1207" s="16">
        <v>5</v>
      </c>
    </row>
    <row r="1208" spans="1:33" ht="15" customHeight="1" x14ac:dyDescent="0.2">
      <c r="A1208" s="11" t="str">
        <f t="shared" si="207"/>
        <v>VN0A7YUTBLK1</v>
      </c>
      <c r="B1208" s="12" t="s">
        <v>4845</v>
      </c>
      <c r="C1208" s="12" t="s">
        <v>1519</v>
      </c>
      <c r="D1208" s="12" t="s">
        <v>76</v>
      </c>
      <c r="E1208" s="12" t="s">
        <v>4846</v>
      </c>
      <c r="F1208" s="12" t="s">
        <v>153</v>
      </c>
      <c r="G1208" s="12" t="s">
        <v>1521</v>
      </c>
      <c r="H1208" s="12" t="s">
        <v>61</v>
      </c>
      <c r="I1208" s="12" t="s">
        <v>289</v>
      </c>
      <c r="J1208" s="12" t="s">
        <v>706</v>
      </c>
      <c r="K1208" s="12" t="s">
        <v>100</v>
      </c>
      <c r="L1208" s="12" t="s">
        <v>83</v>
      </c>
      <c r="M1208" s="12" t="s">
        <v>43</v>
      </c>
      <c r="N1208" s="12" t="s">
        <v>84</v>
      </c>
      <c r="O1208" s="12" t="s">
        <v>4847</v>
      </c>
      <c r="P1208" s="12" t="s">
        <v>66</v>
      </c>
      <c r="Q1208" s="12" t="s">
        <v>67</v>
      </c>
      <c r="R1208" s="12" t="s">
        <v>1146</v>
      </c>
      <c r="S1208" s="13">
        <v>196244355324</v>
      </c>
      <c r="T1208" s="12" t="s">
        <v>422</v>
      </c>
      <c r="U1208" s="12" t="s">
        <v>153</v>
      </c>
      <c r="V1208" s="12" t="s">
        <v>70</v>
      </c>
      <c r="W1208" s="12" t="s">
        <v>51</v>
      </c>
      <c r="X1208" s="13">
        <v>0</v>
      </c>
      <c r="Y1208" s="12" t="s">
        <v>91</v>
      </c>
      <c r="Z1208" s="12" t="s">
        <v>108</v>
      </c>
      <c r="AA1208" s="13">
        <v>0</v>
      </c>
      <c r="AB1208" s="13">
        <v>0</v>
      </c>
      <c r="AC1208" s="15">
        <v>15.95</v>
      </c>
      <c r="AD1208" s="15">
        <f>AC1208*AG1208</f>
        <v>79.75</v>
      </c>
      <c r="AE1208" s="15">
        <v>35</v>
      </c>
      <c r="AF1208" s="15">
        <f>AE1208*AG1208</f>
        <v>175</v>
      </c>
      <c r="AG1208" s="16">
        <v>5</v>
      </c>
    </row>
    <row r="1209" spans="1:33" ht="15" customHeight="1" x14ac:dyDescent="0.2">
      <c r="A1209" s="11" t="str">
        <f>HYPERLINK("https://assets.vans.eu/images/VN0007Q3BGK-HERO/1","VN0007Q3BGK1")</f>
        <v>VN0007Q3BGK1</v>
      </c>
      <c r="B1209" s="12" t="s">
        <v>4848</v>
      </c>
      <c r="C1209" s="12" t="s">
        <v>4849</v>
      </c>
      <c r="D1209" s="12" t="s">
        <v>4850</v>
      </c>
      <c r="E1209" s="12" t="s">
        <v>4851</v>
      </c>
      <c r="F1209" s="13">
        <v>50</v>
      </c>
      <c r="G1209" s="12" t="s">
        <v>4852</v>
      </c>
      <c r="H1209" s="12" t="s">
        <v>38</v>
      </c>
      <c r="I1209" s="12" t="s">
        <v>242</v>
      </c>
      <c r="J1209" s="12" t="s">
        <v>243</v>
      </c>
      <c r="K1209" s="12" t="s">
        <v>244</v>
      </c>
      <c r="L1209" s="14"/>
      <c r="M1209" s="12" t="s">
        <v>43</v>
      </c>
      <c r="N1209" s="12" t="s">
        <v>44</v>
      </c>
      <c r="O1209" s="12" t="s">
        <v>4853</v>
      </c>
      <c r="P1209" s="12" t="s">
        <v>46</v>
      </c>
      <c r="Q1209" s="12" t="s">
        <v>47</v>
      </c>
      <c r="R1209" s="12" t="s">
        <v>780</v>
      </c>
      <c r="S1209" s="13">
        <v>197643231769</v>
      </c>
      <c r="T1209" s="12" t="s">
        <v>164</v>
      </c>
      <c r="U1209" s="13">
        <v>21</v>
      </c>
      <c r="V1209" s="12" t="s">
        <v>50</v>
      </c>
      <c r="W1209" s="12" t="s">
        <v>118</v>
      </c>
      <c r="X1209" s="14"/>
      <c r="Y1209" s="12" t="s">
        <v>91</v>
      </c>
      <c r="Z1209" s="12" t="s">
        <v>165</v>
      </c>
      <c r="AA1209" s="14"/>
      <c r="AB1209" s="14"/>
      <c r="AC1209" s="15">
        <v>27.3</v>
      </c>
      <c r="AD1209" s="15">
        <f>AC1209*AG1209</f>
        <v>136.5</v>
      </c>
      <c r="AE1209" s="15">
        <v>60</v>
      </c>
      <c r="AF1209" s="15">
        <f>AE1209*AG1209</f>
        <v>300</v>
      </c>
      <c r="AG1209" s="16">
        <v>5</v>
      </c>
    </row>
    <row r="1210" spans="1:33" ht="15" customHeight="1" x14ac:dyDescent="0.2">
      <c r="A1210" s="11" t="str">
        <f t="shared" ref="A1210:A3711" si="508">HYPERLINK("https://assets.vans.eu/images/VN0007Q3EMY-HERO/1","VN0007Q3EMY1")</f>
        <v>VN0007Q3EMY1</v>
      </c>
      <c r="B1210" s="12" t="s">
        <v>4854</v>
      </c>
      <c r="C1210" s="12" t="s">
        <v>4849</v>
      </c>
      <c r="D1210" s="12" t="s">
        <v>1155</v>
      </c>
      <c r="E1210" s="12" t="s">
        <v>4855</v>
      </c>
      <c r="F1210" s="13">
        <v>65</v>
      </c>
      <c r="G1210" s="12" t="s">
        <v>775</v>
      </c>
      <c r="H1210" s="12" t="s">
        <v>38</v>
      </c>
      <c r="I1210" s="12" t="s">
        <v>242</v>
      </c>
      <c r="J1210" s="12" t="s">
        <v>243</v>
      </c>
      <c r="K1210" s="12" t="s">
        <v>244</v>
      </c>
      <c r="L1210" s="14"/>
      <c r="M1210" s="12" t="s">
        <v>43</v>
      </c>
      <c r="N1210" s="12" t="s">
        <v>84</v>
      </c>
      <c r="O1210" s="12" t="s">
        <v>4856</v>
      </c>
      <c r="P1210" s="12" t="s">
        <v>46</v>
      </c>
      <c r="Q1210" s="12" t="s">
        <v>47</v>
      </c>
      <c r="R1210" s="12" t="s">
        <v>780</v>
      </c>
      <c r="S1210" s="13">
        <v>197804504053</v>
      </c>
      <c r="T1210" s="12" t="s">
        <v>164</v>
      </c>
      <c r="U1210" s="13">
        <v>22.5</v>
      </c>
      <c r="V1210" s="12" t="s">
        <v>278</v>
      </c>
      <c r="W1210" s="12" t="s">
        <v>107</v>
      </c>
      <c r="X1210" s="14"/>
      <c r="Y1210" s="14"/>
      <c r="Z1210" s="14"/>
      <c r="AA1210" s="14"/>
      <c r="AB1210" s="14"/>
      <c r="AC1210" s="15">
        <v>27.3</v>
      </c>
      <c r="AD1210" s="15">
        <f>AC1210*AG1210</f>
        <v>136.5</v>
      </c>
      <c r="AE1210" s="15">
        <v>60</v>
      </c>
      <c r="AF1210" s="15">
        <f>AE1210*AG1210</f>
        <v>300</v>
      </c>
      <c r="AG1210" s="16">
        <v>5</v>
      </c>
    </row>
    <row r="1211" spans="1:33" ht="15" customHeight="1" x14ac:dyDescent="0.2">
      <c r="A1211" s="11" t="str">
        <f t="shared" ref="A1211:A1442" si="509">HYPERLINK("https://assets.vans.eu/images/VN000BCEBA2-HERO/1","VN000BCEBA21")</f>
        <v>VN000BCEBA21</v>
      </c>
      <c r="B1211" s="12" t="s">
        <v>4857</v>
      </c>
      <c r="C1211" s="12" t="s">
        <v>1103</v>
      </c>
      <c r="D1211" s="12" t="s">
        <v>1844</v>
      </c>
      <c r="E1211" s="12" t="s">
        <v>4858</v>
      </c>
      <c r="F1211" s="13">
        <v>45</v>
      </c>
      <c r="G1211" s="14"/>
      <c r="H1211" s="12" t="s">
        <v>38</v>
      </c>
      <c r="I1211" s="12" t="s">
        <v>159</v>
      </c>
      <c r="J1211" s="12" t="s">
        <v>255</v>
      </c>
      <c r="K1211" s="12" t="s">
        <v>82</v>
      </c>
      <c r="L1211" s="14"/>
      <c r="M1211" s="12" t="s">
        <v>43</v>
      </c>
      <c r="N1211" s="12" t="s">
        <v>84</v>
      </c>
      <c r="O1211" s="12" t="s">
        <v>4859</v>
      </c>
      <c r="P1211" s="12" t="s">
        <v>46</v>
      </c>
      <c r="Q1211" s="12" t="s">
        <v>47</v>
      </c>
      <c r="R1211" s="12" t="s">
        <v>163</v>
      </c>
      <c r="S1211" s="13">
        <v>196573431768</v>
      </c>
      <c r="T1211" s="12" t="s">
        <v>49</v>
      </c>
      <c r="U1211" s="13">
        <v>36</v>
      </c>
      <c r="V1211" s="12" t="s">
        <v>50</v>
      </c>
      <c r="W1211" s="12" t="s">
        <v>51</v>
      </c>
      <c r="X1211" s="14"/>
      <c r="Y1211" s="12" t="s">
        <v>91</v>
      </c>
      <c r="Z1211" s="12" t="s">
        <v>165</v>
      </c>
      <c r="AA1211" s="14"/>
      <c r="AB1211" s="14"/>
      <c r="AC1211" s="15">
        <v>59.1</v>
      </c>
      <c r="AD1211" s="15">
        <f>AC1211*AG1211</f>
        <v>295.5</v>
      </c>
      <c r="AE1211" s="15">
        <v>130</v>
      </c>
      <c r="AF1211" s="15">
        <f>AE1211*AG1211</f>
        <v>650</v>
      </c>
      <c r="AG1211" s="16">
        <v>5</v>
      </c>
    </row>
    <row r="1212" spans="1:33" ht="15" customHeight="1" x14ac:dyDescent="0.2">
      <c r="A1212" s="11" t="str">
        <f>HYPERLINK("https://assets.vans.eu/images/VN000BCEBKA-HERO/1","VN000BCEBKA1")</f>
        <v>VN000BCEBKA1</v>
      </c>
      <c r="B1212" s="12" t="s">
        <v>4860</v>
      </c>
      <c r="C1212" s="12" t="s">
        <v>1103</v>
      </c>
      <c r="D1212" s="12" t="s">
        <v>252</v>
      </c>
      <c r="E1212" s="12" t="s">
        <v>4861</v>
      </c>
      <c r="F1212" s="13">
        <v>80</v>
      </c>
      <c r="G1212" s="14"/>
      <c r="H1212" s="12" t="s">
        <v>38</v>
      </c>
      <c r="I1212" s="12" t="s">
        <v>159</v>
      </c>
      <c r="J1212" s="12" t="s">
        <v>255</v>
      </c>
      <c r="K1212" s="12" t="s">
        <v>82</v>
      </c>
      <c r="L1212" s="14"/>
      <c r="M1212" s="12" t="s">
        <v>43</v>
      </c>
      <c r="N1212" s="12" t="s">
        <v>84</v>
      </c>
      <c r="O1212" s="12" t="s">
        <v>4862</v>
      </c>
      <c r="P1212" s="12" t="s">
        <v>46</v>
      </c>
      <c r="Q1212" s="12" t="s">
        <v>47</v>
      </c>
      <c r="R1212" s="12" t="s">
        <v>163</v>
      </c>
      <c r="S1212" s="13">
        <v>196575229660</v>
      </c>
      <c r="T1212" s="12" t="s">
        <v>49</v>
      </c>
      <c r="U1212" s="13">
        <v>40.5</v>
      </c>
      <c r="V1212" s="12" t="s">
        <v>50</v>
      </c>
      <c r="W1212" s="12" t="s">
        <v>51</v>
      </c>
      <c r="X1212" s="14"/>
      <c r="Y1212" s="12" t="s">
        <v>91</v>
      </c>
      <c r="Z1212" s="12" t="s">
        <v>165</v>
      </c>
      <c r="AA1212" s="14"/>
      <c r="AB1212" s="14"/>
      <c r="AC1212" s="15">
        <v>59.1</v>
      </c>
      <c r="AD1212" s="15">
        <f>AC1212*AG1212</f>
        <v>295.5</v>
      </c>
      <c r="AE1212" s="15">
        <v>130</v>
      </c>
      <c r="AF1212" s="15">
        <f>AE1212*AG1212</f>
        <v>650</v>
      </c>
      <c r="AG1212" s="16">
        <v>5</v>
      </c>
    </row>
    <row r="1213" spans="1:33" ht="15" customHeight="1" x14ac:dyDescent="0.2">
      <c r="A1213" s="11" t="str">
        <f t="shared" ref="A1213:A1816" si="510">HYPERLINK("https://assets.vans.eu/images/VN000BCELLC-HERO/1","VN000BCELLC1")</f>
        <v>VN000BCELLC1</v>
      </c>
      <c r="B1213" s="12" t="s">
        <v>4863</v>
      </c>
      <c r="C1213" s="12" t="s">
        <v>1103</v>
      </c>
      <c r="D1213" s="12" t="s">
        <v>1671</v>
      </c>
      <c r="E1213" s="12" t="s">
        <v>4864</v>
      </c>
      <c r="F1213" s="13">
        <v>65</v>
      </c>
      <c r="G1213" s="14"/>
      <c r="H1213" s="12" t="s">
        <v>38</v>
      </c>
      <c r="I1213" s="12" t="s">
        <v>113</v>
      </c>
      <c r="J1213" s="12" t="s">
        <v>529</v>
      </c>
      <c r="K1213" s="12" t="s">
        <v>82</v>
      </c>
      <c r="L1213" s="14"/>
      <c r="M1213" s="12" t="s">
        <v>43</v>
      </c>
      <c r="N1213" s="12" t="s">
        <v>84</v>
      </c>
      <c r="O1213" s="12" t="s">
        <v>4865</v>
      </c>
      <c r="P1213" s="12" t="s">
        <v>46</v>
      </c>
      <c r="Q1213" s="12" t="s">
        <v>47</v>
      </c>
      <c r="R1213" s="12" t="s">
        <v>117</v>
      </c>
      <c r="S1213" s="13">
        <v>197804503612</v>
      </c>
      <c r="T1213" s="12" t="s">
        <v>49</v>
      </c>
      <c r="U1213" s="13">
        <v>38.5</v>
      </c>
      <c r="V1213" s="12" t="s">
        <v>50</v>
      </c>
      <c r="W1213" s="12" t="s">
        <v>107</v>
      </c>
      <c r="X1213" s="14"/>
      <c r="Y1213" s="14"/>
      <c r="Z1213" s="14"/>
      <c r="AA1213" s="14"/>
      <c r="AB1213" s="14"/>
      <c r="AC1213" s="15">
        <v>59.1</v>
      </c>
      <c r="AD1213" s="15">
        <f>AC1213*AG1213</f>
        <v>295.5</v>
      </c>
      <c r="AE1213" s="15">
        <v>130</v>
      </c>
      <c r="AF1213" s="15">
        <f>AE1213*AG1213</f>
        <v>650</v>
      </c>
      <c r="AG1213" s="16">
        <v>5</v>
      </c>
    </row>
    <row r="1214" spans="1:33" ht="15" customHeight="1" x14ac:dyDescent="0.2">
      <c r="A1214" s="11" t="str">
        <f t="shared" ref="A1214:A1448" si="511">HYPERLINK("https://assets.vans.eu/images/VN000CQR6PH-HERO/1","VN000CQR6PH1")</f>
        <v>VN000CQR6PH1</v>
      </c>
      <c r="B1214" s="12" t="s">
        <v>4866</v>
      </c>
      <c r="C1214" s="12" t="s">
        <v>1458</v>
      </c>
      <c r="D1214" s="12" t="s">
        <v>1878</v>
      </c>
      <c r="E1214" s="12" t="s">
        <v>4867</v>
      </c>
      <c r="F1214" s="13">
        <v>130</v>
      </c>
      <c r="G1214" s="12" t="s">
        <v>1460</v>
      </c>
      <c r="H1214" s="12" t="s">
        <v>38</v>
      </c>
      <c r="I1214" s="12" t="s">
        <v>113</v>
      </c>
      <c r="J1214" s="12" t="s">
        <v>529</v>
      </c>
      <c r="K1214" s="12" t="s">
        <v>82</v>
      </c>
      <c r="L1214" s="14"/>
      <c r="M1214" s="12" t="s">
        <v>43</v>
      </c>
      <c r="N1214" s="12" t="s">
        <v>44</v>
      </c>
      <c r="O1214" s="12" t="s">
        <v>4868</v>
      </c>
      <c r="P1214" s="12" t="s">
        <v>46</v>
      </c>
      <c r="Q1214" s="12" t="s">
        <v>47</v>
      </c>
      <c r="R1214" s="12" t="s">
        <v>117</v>
      </c>
      <c r="S1214" s="13">
        <v>197643237402</v>
      </c>
      <c r="T1214" s="12" t="s">
        <v>49</v>
      </c>
      <c r="U1214" s="13">
        <v>47</v>
      </c>
      <c r="V1214" s="12" t="s">
        <v>50</v>
      </c>
      <c r="W1214" s="12" t="s">
        <v>107</v>
      </c>
      <c r="X1214" s="14"/>
      <c r="Y1214" s="12" t="s">
        <v>53</v>
      </c>
      <c r="Z1214" s="12" t="s">
        <v>1462</v>
      </c>
      <c r="AA1214" s="14"/>
      <c r="AB1214" s="14"/>
      <c r="AC1214" s="15">
        <v>43.2</v>
      </c>
      <c r="AD1214" s="15">
        <f>AC1214*AG1214</f>
        <v>216</v>
      </c>
      <c r="AE1214" s="15">
        <v>95</v>
      </c>
      <c r="AF1214" s="15">
        <f>AE1214*AG1214</f>
        <v>475</v>
      </c>
      <c r="AG1214" s="16">
        <v>5</v>
      </c>
    </row>
    <row r="1215" spans="1:33" ht="15" customHeight="1" x14ac:dyDescent="0.2">
      <c r="A1215" s="11" t="str">
        <f t="shared" ref="A1215:A2460" si="512">HYPERLINK("https://assets.vans.eu/images/VN000CQRYLZ-HERO/1","VN000CQRYLZ1")</f>
        <v>VN000CQRYLZ1</v>
      </c>
      <c r="B1215" s="12" t="s">
        <v>4869</v>
      </c>
      <c r="C1215" s="12" t="s">
        <v>1458</v>
      </c>
      <c r="D1215" s="12" t="s">
        <v>458</v>
      </c>
      <c r="E1215" s="12" t="s">
        <v>4870</v>
      </c>
      <c r="F1215" s="13">
        <v>95</v>
      </c>
      <c r="G1215" s="12" t="s">
        <v>1852</v>
      </c>
      <c r="H1215" s="12" t="s">
        <v>38</v>
      </c>
      <c r="I1215" s="12" t="s">
        <v>113</v>
      </c>
      <c r="J1215" s="12" t="s">
        <v>529</v>
      </c>
      <c r="K1215" s="12" t="s">
        <v>82</v>
      </c>
      <c r="L1215" s="14"/>
      <c r="M1215" s="12" t="s">
        <v>43</v>
      </c>
      <c r="N1215" s="12" t="s">
        <v>44</v>
      </c>
      <c r="O1215" s="12" t="s">
        <v>4871</v>
      </c>
      <c r="P1215" s="12" t="s">
        <v>46</v>
      </c>
      <c r="Q1215" s="12" t="s">
        <v>47</v>
      </c>
      <c r="R1215" s="12" t="s">
        <v>117</v>
      </c>
      <c r="S1215" s="13">
        <v>197643239246</v>
      </c>
      <c r="T1215" s="12" t="s">
        <v>49</v>
      </c>
      <c r="U1215" s="13">
        <v>42.5</v>
      </c>
      <c r="V1215" s="12" t="s">
        <v>50</v>
      </c>
      <c r="W1215" s="12" t="s">
        <v>299</v>
      </c>
      <c r="X1215" s="14"/>
      <c r="Y1215" s="12" t="s">
        <v>53</v>
      </c>
      <c r="Z1215" s="12" t="s">
        <v>1462</v>
      </c>
      <c r="AA1215" s="14"/>
      <c r="AB1215" s="14"/>
      <c r="AC1215" s="15">
        <v>43.2</v>
      </c>
      <c r="AD1215" s="15">
        <f>AC1215*AG1215</f>
        <v>216</v>
      </c>
      <c r="AE1215" s="15">
        <v>95</v>
      </c>
      <c r="AF1215" s="15">
        <f>AE1215*AG1215</f>
        <v>475</v>
      </c>
      <c r="AG1215" s="16">
        <v>5</v>
      </c>
    </row>
    <row r="1216" spans="1:33" ht="15" customHeight="1" x14ac:dyDescent="0.2">
      <c r="A1216" s="11" t="str">
        <f t="shared" si="273"/>
        <v>VN000CR5FS81</v>
      </c>
      <c r="B1216" s="12" t="s">
        <v>4872</v>
      </c>
      <c r="C1216" s="12" t="s">
        <v>34</v>
      </c>
      <c r="D1216" s="12" t="s">
        <v>239</v>
      </c>
      <c r="E1216" s="12" t="s">
        <v>4873</v>
      </c>
      <c r="F1216" s="13">
        <v>65</v>
      </c>
      <c r="G1216" s="12" t="s">
        <v>2779</v>
      </c>
      <c r="H1216" s="12" t="s">
        <v>38</v>
      </c>
      <c r="I1216" s="12" t="s">
        <v>159</v>
      </c>
      <c r="J1216" s="12" t="s">
        <v>160</v>
      </c>
      <c r="K1216" s="12" t="s">
        <v>82</v>
      </c>
      <c r="L1216" s="14"/>
      <c r="M1216" s="12" t="s">
        <v>43</v>
      </c>
      <c r="N1216" s="12" t="s">
        <v>44</v>
      </c>
      <c r="O1216" s="12" t="s">
        <v>4874</v>
      </c>
      <c r="P1216" s="12" t="s">
        <v>46</v>
      </c>
      <c r="Q1216" s="12" t="s">
        <v>47</v>
      </c>
      <c r="R1216" s="12" t="s">
        <v>163</v>
      </c>
      <c r="S1216" s="13">
        <v>197643238508</v>
      </c>
      <c r="T1216" s="12" t="s">
        <v>105</v>
      </c>
      <c r="U1216" s="13">
        <v>38.5</v>
      </c>
      <c r="V1216" s="12" t="s">
        <v>50</v>
      </c>
      <c r="W1216" s="12" t="s">
        <v>175</v>
      </c>
      <c r="X1216" s="14"/>
      <c r="Y1216" s="12" t="s">
        <v>53</v>
      </c>
      <c r="Z1216" s="12" t="s">
        <v>165</v>
      </c>
      <c r="AA1216" s="14"/>
      <c r="AB1216" s="14"/>
      <c r="AC1216" s="15">
        <v>43.2</v>
      </c>
      <c r="AD1216" s="15">
        <f>AC1216*AG1216</f>
        <v>216</v>
      </c>
      <c r="AE1216" s="15">
        <v>95</v>
      </c>
      <c r="AF1216" s="15">
        <f>AE1216*AG1216</f>
        <v>475</v>
      </c>
      <c r="AG1216" s="16">
        <v>5</v>
      </c>
    </row>
    <row r="1217" spans="1:33" ht="15" customHeight="1" x14ac:dyDescent="0.2">
      <c r="A1217" s="11" t="str">
        <f t="shared" ref="A1217:A1823" si="513">HYPERLINK("https://assets.vans.eu/images/VN000CR5FS8-HERO/1","VN000CR5FS81")</f>
        <v>VN000CR5FS81</v>
      </c>
      <c r="B1217" s="12" t="s">
        <v>4875</v>
      </c>
      <c r="C1217" s="12" t="s">
        <v>34</v>
      </c>
      <c r="D1217" s="12" t="s">
        <v>239</v>
      </c>
      <c r="E1217" s="12" t="s">
        <v>4876</v>
      </c>
      <c r="F1217" s="13">
        <v>80</v>
      </c>
      <c r="G1217" s="12" t="s">
        <v>2779</v>
      </c>
      <c r="H1217" s="12" t="s">
        <v>38</v>
      </c>
      <c r="I1217" s="12" t="s">
        <v>159</v>
      </c>
      <c r="J1217" s="12" t="s">
        <v>160</v>
      </c>
      <c r="K1217" s="12" t="s">
        <v>82</v>
      </c>
      <c r="L1217" s="14"/>
      <c r="M1217" s="12" t="s">
        <v>43</v>
      </c>
      <c r="N1217" s="12" t="s">
        <v>44</v>
      </c>
      <c r="O1217" s="12" t="s">
        <v>4877</v>
      </c>
      <c r="P1217" s="12" t="s">
        <v>46</v>
      </c>
      <c r="Q1217" s="12" t="s">
        <v>47</v>
      </c>
      <c r="R1217" s="12" t="s">
        <v>163</v>
      </c>
      <c r="S1217" s="13">
        <v>197643238799</v>
      </c>
      <c r="T1217" s="12" t="s">
        <v>105</v>
      </c>
      <c r="U1217" s="13">
        <v>40.5</v>
      </c>
      <c r="V1217" s="12" t="s">
        <v>50</v>
      </c>
      <c r="W1217" s="12" t="s">
        <v>175</v>
      </c>
      <c r="X1217" s="14"/>
      <c r="Y1217" s="12" t="s">
        <v>53</v>
      </c>
      <c r="Z1217" s="12" t="s">
        <v>165</v>
      </c>
      <c r="AA1217" s="14"/>
      <c r="AB1217" s="14"/>
      <c r="AC1217" s="15">
        <v>43.2</v>
      </c>
      <c r="AD1217" s="15">
        <f>AC1217*AG1217</f>
        <v>216</v>
      </c>
      <c r="AE1217" s="15">
        <v>95</v>
      </c>
      <c r="AF1217" s="15">
        <f>AE1217*AG1217</f>
        <v>475</v>
      </c>
      <c r="AG1217" s="16">
        <v>5</v>
      </c>
    </row>
    <row r="1218" spans="1:33" ht="15" customHeight="1" x14ac:dyDescent="0.2">
      <c r="A1218" s="11" t="str">
        <f t="shared" si="404"/>
        <v>VN000CRRCJJ1</v>
      </c>
      <c r="B1218" s="12" t="s">
        <v>4878</v>
      </c>
      <c r="C1218" s="12" t="s">
        <v>2125</v>
      </c>
      <c r="D1218" s="12" t="s">
        <v>919</v>
      </c>
      <c r="E1218" s="12" t="s">
        <v>4879</v>
      </c>
      <c r="F1218" s="13">
        <v>40</v>
      </c>
      <c r="G1218" s="12" t="s">
        <v>3891</v>
      </c>
      <c r="H1218" s="12" t="s">
        <v>38</v>
      </c>
      <c r="I1218" s="12" t="s">
        <v>113</v>
      </c>
      <c r="J1218" s="12" t="s">
        <v>529</v>
      </c>
      <c r="K1218" s="12" t="s">
        <v>82</v>
      </c>
      <c r="L1218" s="14"/>
      <c r="M1218" s="12" t="s">
        <v>43</v>
      </c>
      <c r="N1218" s="12" t="s">
        <v>44</v>
      </c>
      <c r="O1218" s="12" t="s">
        <v>4880</v>
      </c>
      <c r="P1218" s="12" t="s">
        <v>46</v>
      </c>
      <c r="Q1218" s="12" t="s">
        <v>47</v>
      </c>
      <c r="R1218" s="12" t="s">
        <v>117</v>
      </c>
      <c r="S1218" s="13">
        <v>197643239093</v>
      </c>
      <c r="T1218" s="12" t="s">
        <v>49</v>
      </c>
      <c r="U1218" s="13">
        <v>35</v>
      </c>
      <c r="V1218" s="12" t="s">
        <v>50</v>
      </c>
      <c r="W1218" s="12" t="s">
        <v>51</v>
      </c>
      <c r="X1218" s="14"/>
      <c r="Y1218" s="12" t="s">
        <v>53</v>
      </c>
      <c r="Z1218" s="12" t="s">
        <v>263</v>
      </c>
      <c r="AA1218" s="14"/>
      <c r="AB1218" s="14"/>
      <c r="AC1218" s="15">
        <v>38.65</v>
      </c>
      <c r="AD1218" s="15">
        <f>AC1218*AG1218</f>
        <v>193.25</v>
      </c>
      <c r="AE1218" s="15">
        <v>85</v>
      </c>
      <c r="AF1218" s="15">
        <f>AE1218*AG1218</f>
        <v>425</v>
      </c>
      <c r="AG1218" s="16">
        <v>5</v>
      </c>
    </row>
    <row r="1219" spans="1:33" ht="15" customHeight="1" x14ac:dyDescent="0.2">
      <c r="A1219" s="11" t="str">
        <f t="shared" si="191"/>
        <v>VN000CRRD3X1</v>
      </c>
      <c r="B1219" s="12" t="s">
        <v>4881</v>
      </c>
      <c r="C1219" s="12" t="s">
        <v>2125</v>
      </c>
      <c r="D1219" s="12" t="s">
        <v>668</v>
      </c>
      <c r="E1219" s="12" t="s">
        <v>4882</v>
      </c>
      <c r="F1219" s="13">
        <v>65</v>
      </c>
      <c r="G1219" s="12" t="s">
        <v>2127</v>
      </c>
      <c r="H1219" s="12" t="s">
        <v>38</v>
      </c>
      <c r="I1219" s="12" t="s">
        <v>113</v>
      </c>
      <c r="J1219" s="12" t="s">
        <v>529</v>
      </c>
      <c r="K1219" s="12" t="s">
        <v>82</v>
      </c>
      <c r="L1219" s="14"/>
      <c r="M1219" s="12" t="s">
        <v>43</v>
      </c>
      <c r="N1219" s="12" t="s">
        <v>44</v>
      </c>
      <c r="O1219" s="12" t="s">
        <v>4883</v>
      </c>
      <c r="P1219" s="12" t="s">
        <v>46</v>
      </c>
      <c r="Q1219" s="12" t="s">
        <v>47</v>
      </c>
      <c r="R1219" s="12" t="s">
        <v>117</v>
      </c>
      <c r="S1219" s="13">
        <v>197643240716</v>
      </c>
      <c r="T1219" s="12" t="s">
        <v>49</v>
      </c>
      <c r="U1219" s="13">
        <v>38.5</v>
      </c>
      <c r="V1219" s="12" t="s">
        <v>209</v>
      </c>
      <c r="W1219" s="12" t="s">
        <v>299</v>
      </c>
      <c r="X1219" s="14"/>
      <c r="Y1219" s="12" t="s">
        <v>53</v>
      </c>
      <c r="Z1219" s="12" t="s">
        <v>263</v>
      </c>
      <c r="AA1219" s="14"/>
      <c r="AB1219" s="14"/>
      <c r="AC1219" s="15">
        <v>34.1</v>
      </c>
      <c r="AD1219" s="15">
        <f>AC1219*AG1219</f>
        <v>170.5</v>
      </c>
      <c r="AE1219" s="15">
        <v>75</v>
      </c>
      <c r="AF1219" s="15">
        <f>AE1219*AG1219</f>
        <v>375</v>
      </c>
      <c r="AG1219" s="16">
        <v>5</v>
      </c>
    </row>
    <row r="1220" spans="1:33" ht="15" customHeight="1" x14ac:dyDescent="0.2">
      <c r="A1220" s="11" t="str">
        <f t="shared" ref="A1220:A2467" si="514">HYPERLINK("https://assets.vans.eu/images/VN000CT8HCZ-HERO/1","VN000CT8HCZ1")</f>
        <v>VN000CT8HCZ1</v>
      </c>
      <c r="B1220" s="12" t="s">
        <v>4884</v>
      </c>
      <c r="C1220" s="12" t="s">
        <v>34</v>
      </c>
      <c r="D1220" s="12" t="s">
        <v>4885</v>
      </c>
      <c r="E1220" s="12" t="s">
        <v>4886</v>
      </c>
      <c r="F1220" s="13">
        <v>40</v>
      </c>
      <c r="G1220" s="14"/>
      <c r="H1220" s="12" t="s">
        <v>38</v>
      </c>
      <c r="I1220" s="12" t="s">
        <v>113</v>
      </c>
      <c r="J1220" s="12" t="s">
        <v>114</v>
      </c>
      <c r="K1220" s="12" t="s">
        <v>82</v>
      </c>
      <c r="L1220" s="14"/>
      <c r="M1220" s="12" t="s">
        <v>43</v>
      </c>
      <c r="N1220" s="12" t="s">
        <v>84</v>
      </c>
      <c r="O1220" s="12" t="s">
        <v>4887</v>
      </c>
      <c r="P1220" s="12" t="s">
        <v>46</v>
      </c>
      <c r="Q1220" s="12" t="s">
        <v>47</v>
      </c>
      <c r="R1220" s="12" t="s">
        <v>117</v>
      </c>
      <c r="S1220" s="13">
        <v>197065646806</v>
      </c>
      <c r="T1220" s="12" t="s">
        <v>49</v>
      </c>
      <c r="U1220" s="13">
        <v>35</v>
      </c>
      <c r="V1220" s="12" t="s">
        <v>50</v>
      </c>
      <c r="W1220" s="12" t="s">
        <v>455</v>
      </c>
      <c r="X1220" s="14"/>
      <c r="Y1220" s="12" t="s">
        <v>91</v>
      </c>
      <c r="Z1220" s="12" t="s">
        <v>165</v>
      </c>
      <c r="AA1220" s="14"/>
      <c r="AB1220" s="14"/>
      <c r="AC1220" s="15">
        <v>36.4</v>
      </c>
      <c r="AD1220" s="15">
        <f>AC1220*AG1220</f>
        <v>182</v>
      </c>
      <c r="AE1220" s="15">
        <v>80</v>
      </c>
      <c r="AF1220" s="15">
        <f>AE1220*AG1220</f>
        <v>400</v>
      </c>
      <c r="AG1220" s="16">
        <v>5</v>
      </c>
    </row>
    <row r="1221" spans="1:33" ht="15" customHeight="1" x14ac:dyDescent="0.2">
      <c r="A1221" s="11" t="str">
        <f t="shared" ref="A1221:A1461" si="515">HYPERLINK("https://assets.vans.eu/images/VN000CTG448-HERO/1","VN000CTG4481")</f>
        <v>VN000CTG4481</v>
      </c>
      <c r="B1221" s="12" t="s">
        <v>4888</v>
      </c>
      <c r="C1221" s="12" t="s">
        <v>238</v>
      </c>
      <c r="D1221" s="12" t="s">
        <v>3898</v>
      </c>
      <c r="E1221" s="12" t="s">
        <v>4889</v>
      </c>
      <c r="F1221" s="13">
        <v>70</v>
      </c>
      <c r="G1221" s="12" t="s">
        <v>3900</v>
      </c>
      <c r="H1221" s="12" t="s">
        <v>38</v>
      </c>
      <c r="I1221" s="12" t="s">
        <v>242</v>
      </c>
      <c r="J1221" s="12" t="s">
        <v>243</v>
      </c>
      <c r="K1221" s="12" t="s">
        <v>244</v>
      </c>
      <c r="L1221" s="14"/>
      <c r="M1221" s="12" t="s">
        <v>43</v>
      </c>
      <c r="N1221" s="12" t="s">
        <v>84</v>
      </c>
      <c r="O1221" s="12" t="s">
        <v>4890</v>
      </c>
      <c r="P1221" s="12" t="s">
        <v>46</v>
      </c>
      <c r="Q1221" s="12" t="s">
        <v>47</v>
      </c>
      <c r="R1221" s="12" t="s">
        <v>48</v>
      </c>
      <c r="S1221" s="13">
        <v>197804670543</v>
      </c>
      <c r="T1221" s="12" t="s">
        <v>49</v>
      </c>
      <c r="U1221" s="13">
        <v>23.5</v>
      </c>
      <c r="V1221" s="12" t="s">
        <v>50</v>
      </c>
      <c r="W1221" s="12" t="s">
        <v>175</v>
      </c>
      <c r="X1221" s="14"/>
      <c r="Y1221" s="14"/>
      <c r="Z1221" s="14"/>
      <c r="AA1221" s="14"/>
      <c r="AB1221" s="14"/>
      <c r="AC1221" s="15">
        <v>20.5</v>
      </c>
      <c r="AD1221" s="15">
        <f>AC1221*AG1221</f>
        <v>102.5</v>
      </c>
      <c r="AE1221" s="15">
        <v>45</v>
      </c>
      <c r="AF1221" s="15">
        <f>AE1221*AG1221</f>
        <v>225</v>
      </c>
      <c r="AG1221" s="16">
        <v>5</v>
      </c>
    </row>
    <row r="1222" spans="1:33" ht="15" customHeight="1" x14ac:dyDescent="0.2">
      <c r="A1222" s="11" t="str">
        <f t="shared" ref="A1222:A2477" si="516">HYPERLINK("https://assets.vans.eu/images/VN000CTGREB-HERO/1","VN000CTGREB1")</f>
        <v>VN000CTGREB1</v>
      </c>
      <c r="B1222" s="12" t="s">
        <v>4891</v>
      </c>
      <c r="C1222" s="12" t="s">
        <v>238</v>
      </c>
      <c r="D1222" s="12" t="s">
        <v>4892</v>
      </c>
      <c r="E1222" s="12" t="s">
        <v>4893</v>
      </c>
      <c r="F1222" s="13">
        <v>80</v>
      </c>
      <c r="G1222" s="12" t="s">
        <v>4894</v>
      </c>
      <c r="H1222" s="12" t="s">
        <v>38</v>
      </c>
      <c r="I1222" s="12" t="s">
        <v>242</v>
      </c>
      <c r="J1222" s="12" t="s">
        <v>243</v>
      </c>
      <c r="K1222" s="12" t="s">
        <v>244</v>
      </c>
      <c r="L1222" s="14"/>
      <c r="M1222" s="12" t="s">
        <v>43</v>
      </c>
      <c r="N1222" s="12" t="s">
        <v>84</v>
      </c>
      <c r="O1222" s="12" t="s">
        <v>4895</v>
      </c>
      <c r="P1222" s="12" t="s">
        <v>46</v>
      </c>
      <c r="Q1222" s="12" t="s">
        <v>47</v>
      </c>
      <c r="R1222" s="12" t="s">
        <v>48</v>
      </c>
      <c r="S1222" s="13">
        <v>197804513703</v>
      </c>
      <c r="T1222" s="12" t="s">
        <v>105</v>
      </c>
      <c r="U1222" s="13">
        <v>24.5</v>
      </c>
      <c r="V1222" s="12" t="s">
        <v>278</v>
      </c>
      <c r="W1222" s="12" t="s">
        <v>262</v>
      </c>
      <c r="X1222" s="14"/>
      <c r="Y1222" s="14"/>
      <c r="Z1222" s="14"/>
      <c r="AA1222" s="14"/>
      <c r="AB1222" s="14"/>
      <c r="AC1222" s="15">
        <v>25</v>
      </c>
      <c r="AD1222" s="15">
        <f>AC1222*AG1222</f>
        <v>125</v>
      </c>
      <c r="AE1222" s="15">
        <v>55</v>
      </c>
      <c r="AF1222" s="15">
        <f>AE1222*AG1222</f>
        <v>275</v>
      </c>
      <c r="AG1222" s="16">
        <v>5</v>
      </c>
    </row>
    <row r="1223" spans="1:33" ht="15" customHeight="1" x14ac:dyDescent="0.2">
      <c r="A1223" s="11" t="str">
        <f t="shared" ref="A1223:A3856" si="517">HYPERLINK("https://assets.vans.eu/images/VN000CTGYLZ-HERO/1","VN000CTGYLZ1")</f>
        <v>VN000CTGYLZ1</v>
      </c>
      <c r="B1223" s="12" t="s">
        <v>4896</v>
      </c>
      <c r="C1223" s="12" t="s">
        <v>238</v>
      </c>
      <c r="D1223" s="12" t="s">
        <v>458</v>
      </c>
      <c r="E1223" s="12" t="s">
        <v>4897</v>
      </c>
      <c r="F1223" s="13">
        <v>65</v>
      </c>
      <c r="G1223" s="12" t="s">
        <v>775</v>
      </c>
      <c r="H1223" s="12" t="s">
        <v>38</v>
      </c>
      <c r="I1223" s="12" t="s">
        <v>242</v>
      </c>
      <c r="J1223" s="12" t="s">
        <v>243</v>
      </c>
      <c r="K1223" s="12" t="s">
        <v>244</v>
      </c>
      <c r="L1223" s="14"/>
      <c r="M1223" s="12" t="s">
        <v>43</v>
      </c>
      <c r="N1223" s="12" t="s">
        <v>84</v>
      </c>
      <c r="O1223" s="12" t="s">
        <v>4898</v>
      </c>
      <c r="P1223" s="12" t="s">
        <v>46</v>
      </c>
      <c r="Q1223" s="12" t="s">
        <v>47</v>
      </c>
      <c r="R1223" s="12" t="s">
        <v>48</v>
      </c>
      <c r="S1223" s="13">
        <v>197804514359</v>
      </c>
      <c r="T1223" s="12" t="s">
        <v>105</v>
      </c>
      <c r="U1223" s="13">
        <v>22.5</v>
      </c>
      <c r="V1223" s="12" t="s">
        <v>278</v>
      </c>
      <c r="W1223" s="12" t="s">
        <v>299</v>
      </c>
      <c r="X1223" s="14"/>
      <c r="Y1223" s="14"/>
      <c r="Z1223" s="14"/>
      <c r="AA1223" s="14"/>
      <c r="AB1223" s="14"/>
      <c r="AC1223" s="15">
        <v>25</v>
      </c>
      <c r="AD1223" s="15">
        <f>AC1223*AG1223</f>
        <v>125</v>
      </c>
      <c r="AE1223" s="15">
        <v>55</v>
      </c>
      <c r="AF1223" s="15">
        <f>AE1223*AG1223</f>
        <v>275</v>
      </c>
      <c r="AG1223" s="16">
        <v>5</v>
      </c>
    </row>
    <row r="1224" spans="1:33" ht="15" customHeight="1" x14ac:dyDescent="0.2">
      <c r="A1224" s="11" t="str">
        <f>HYPERLINK("https://assets.vans.eu/images/VN000CVTBGF-HERO/1","VN000CVTBGF1")</f>
        <v>VN000CVTBGF1</v>
      </c>
      <c r="B1224" s="12" t="s">
        <v>4899</v>
      </c>
      <c r="C1224" s="12" t="s">
        <v>944</v>
      </c>
      <c r="D1224" s="12" t="s">
        <v>4900</v>
      </c>
      <c r="E1224" s="12" t="s">
        <v>4901</v>
      </c>
      <c r="F1224" s="13">
        <v>40</v>
      </c>
      <c r="G1224" s="14"/>
      <c r="H1224" s="12" t="s">
        <v>38</v>
      </c>
      <c r="I1224" s="12" t="s">
        <v>113</v>
      </c>
      <c r="J1224" s="12" t="s">
        <v>114</v>
      </c>
      <c r="K1224" s="12" t="s">
        <v>82</v>
      </c>
      <c r="L1224" s="14"/>
      <c r="M1224" s="12" t="s">
        <v>43</v>
      </c>
      <c r="N1224" s="12" t="s">
        <v>161</v>
      </c>
      <c r="O1224" s="12" t="s">
        <v>4902</v>
      </c>
      <c r="P1224" s="12" t="s">
        <v>46</v>
      </c>
      <c r="Q1224" s="12" t="s">
        <v>47</v>
      </c>
      <c r="R1224" s="12" t="s">
        <v>948</v>
      </c>
      <c r="S1224" s="13">
        <v>197065565527</v>
      </c>
      <c r="T1224" s="12" t="s">
        <v>49</v>
      </c>
      <c r="U1224" s="13">
        <v>35</v>
      </c>
      <c r="V1224" s="12" t="s">
        <v>50</v>
      </c>
      <c r="W1224" s="12" t="s">
        <v>455</v>
      </c>
      <c r="X1224" s="14"/>
      <c r="Y1224" s="12" t="s">
        <v>91</v>
      </c>
      <c r="Z1224" s="12" t="s">
        <v>165</v>
      </c>
      <c r="AA1224" s="14"/>
      <c r="AB1224" s="14"/>
      <c r="AC1224" s="15">
        <v>65.95</v>
      </c>
      <c r="AD1224" s="15">
        <f>AC1224*AG1224</f>
        <v>329.75</v>
      </c>
      <c r="AE1224" s="15">
        <v>145</v>
      </c>
      <c r="AF1224" s="15">
        <f>AE1224*AG1224</f>
        <v>725</v>
      </c>
      <c r="AG1224" s="16">
        <v>5</v>
      </c>
    </row>
    <row r="1225" spans="1:33" ht="15" customHeight="1" x14ac:dyDescent="0.2">
      <c r="A1225" s="11" t="str">
        <f t="shared" ref="A1225:A1846" si="518">HYPERLINK("https://assets.vans.eu/images/VN000CVUPRP-HERO/1","VN000CVUPRP1")</f>
        <v>VN000CVUPRP1</v>
      </c>
      <c r="B1225" s="12" t="s">
        <v>4903</v>
      </c>
      <c r="C1225" s="12" t="s">
        <v>2993</v>
      </c>
      <c r="D1225" s="12" t="s">
        <v>526</v>
      </c>
      <c r="E1225" s="12" t="s">
        <v>4904</v>
      </c>
      <c r="F1225" s="13">
        <v>45</v>
      </c>
      <c r="G1225" s="14"/>
      <c r="H1225" s="12" t="s">
        <v>38</v>
      </c>
      <c r="I1225" s="12" t="s">
        <v>113</v>
      </c>
      <c r="J1225" s="12" t="s">
        <v>529</v>
      </c>
      <c r="K1225" s="12" t="s">
        <v>82</v>
      </c>
      <c r="L1225" s="14"/>
      <c r="M1225" s="12" t="s">
        <v>43</v>
      </c>
      <c r="N1225" s="12" t="s">
        <v>161</v>
      </c>
      <c r="O1225" s="12" t="s">
        <v>4905</v>
      </c>
      <c r="P1225" s="12" t="s">
        <v>46</v>
      </c>
      <c r="Q1225" s="12" t="s">
        <v>47</v>
      </c>
      <c r="R1225" s="12" t="s">
        <v>2179</v>
      </c>
      <c r="S1225" s="13">
        <v>197065569938</v>
      </c>
      <c r="T1225" s="12" t="s">
        <v>49</v>
      </c>
      <c r="U1225" s="13">
        <v>36</v>
      </c>
      <c r="V1225" s="12" t="s">
        <v>278</v>
      </c>
      <c r="W1225" s="12" t="s">
        <v>107</v>
      </c>
      <c r="X1225" s="14"/>
      <c r="Y1225" s="12" t="s">
        <v>91</v>
      </c>
      <c r="Z1225" s="12" t="s">
        <v>165</v>
      </c>
      <c r="AA1225" s="14"/>
      <c r="AB1225" s="14"/>
      <c r="AC1225" s="15">
        <v>63.65</v>
      </c>
      <c r="AD1225" s="15">
        <f>AC1225*AG1225</f>
        <v>318.25</v>
      </c>
      <c r="AE1225" s="15">
        <v>140</v>
      </c>
      <c r="AF1225" s="15">
        <f>AE1225*AG1225</f>
        <v>700</v>
      </c>
      <c r="AG1225" s="16">
        <v>5</v>
      </c>
    </row>
    <row r="1226" spans="1:33" ht="15" customHeight="1" x14ac:dyDescent="0.2">
      <c r="A1226" s="11" t="str">
        <f>HYPERLINK("https://assets.vans.eu/images/VN000CWC448-HERO/1","VN000CWC4481")</f>
        <v>VN000CWC4481</v>
      </c>
      <c r="B1226" s="12" t="s">
        <v>4906</v>
      </c>
      <c r="C1226" s="12" t="s">
        <v>1016</v>
      </c>
      <c r="D1226" s="12" t="s">
        <v>3898</v>
      </c>
      <c r="E1226" s="12" t="s">
        <v>4907</v>
      </c>
      <c r="F1226" s="13">
        <v>40</v>
      </c>
      <c r="G1226" s="12" t="s">
        <v>2785</v>
      </c>
      <c r="H1226" s="12" t="s">
        <v>38</v>
      </c>
      <c r="I1226" s="12" t="s">
        <v>113</v>
      </c>
      <c r="J1226" s="12" t="s">
        <v>529</v>
      </c>
      <c r="K1226" s="12" t="s">
        <v>82</v>
      </c>
      <c r="L1226" s="14"/>
      <c r="M1226" s="12" t="s">
        <v>43</v>
      </c>
      <c r="N1226" s="12" t="s">
        <v>161</v>
      </c>
      <c r="O1226" s="12" t="s">
        <v>4908</v>
      </c>
      <c r="P1226" s="12" t="s">
        <v>46</v>
      </c>
      <c r="Q1226" s="12" t="s">
        <v>47</v>
      </c>
      <c r="R1226" s="12" t="s">
        <v>117</v>
      </c>
      <c r="S1226" s="13">
        <v>197065661120</v>
      </c>
      <c r="T1226" s="12" t="s">
        <v>49</v>
      </c>
      <c r="U1226" s="13">
        <v>35</v>
      </c>
      <c r="V1226" s="12" t="s">
        <v>278</v>
      </c>
      <c r="W1226" s="12" t="s">
        <v>175</v>
      </c>
      <c r="X1226" s="14"/>
      <c r="Y1226" s="12" t="s">
        <v>91</v>
      </c>
      <c r="Z1226" s="12" t="s">
        <v>165</v>
      </c>
      <c r="AA1226" s="14"/>
      <c r="AB1226" s="14"/>
      <c r="AC1226" s="15">
        <v>52.3</v>
      </c>
      <c r="AD1226" s="15">
        <f>AC1226*AG1226</f>
        <v>261.5</v>
      </c>
      <c r="AE1226" s="15">
        <v>115</v>
      </c>
      <c r="AF1226" s="15">
        <f>AE1226*AG1226</f>
        <v>575</v>
      </c>
      <c r="AG1226" s="16">
        <v>5</v>
      </c>
    </row>
    <row r="1227" spans="1:33" ht="15" customHeight="1" x14ac:dyDescent="0.2">
      <c r="A1227" s="11" t="str">
        <f t="shared" ref="A1227:A1475" si="519">HYPERLINK("https://assets.vans.eu/images/VN000CWEBLU-HERO/1","VN000CWEBLU1")</f>
        <v>VN000CWEBLU1</v>
      </c>
      <c r="B1227" s="12" t="s">
        <v>4909</v>
      </c>
      <c r="C1227" s="12" t="s">
        <v>1248</v>
      </c>
      <c r="D1227" s="12" t="s">
        <v>4910</v>
      </c>
      <c r="E1227" s="12" t="s">
        <v>4911</v>
      </c>
      <c r="F1227" s="13">
        <v>95</v>
      </c>
      <c r="G1227" s="12" t="s">
        <v>4912</v>
      </c>
      <c r="H1227" s="12" t="s">
        <v>38</v>
      </c>
      <c r="I1227" s="12" t="s">
        <v>113</v>
      </c>
      <c r="J1227" s="12" t="s">
        <v>529</v>
      </c>
      <c r="K1227" s="12" t="s">
        <v>82</v>
      </c>
      <c r="L1227" s="14"/>
      <c r="M1227" s="12" t="s">
        <v>43</v>
      </c>
      <c r="N1227" s="12" t="s">
        <v>161</v>
      </c>
      <c r="O1227" s="12" t="s">
        <v>4913</v>
      </c>
      <c r="P1227" s="12" t="s">
        <v>46</v>
      </c>
      <c r="Q1227" s="12" t="s">
        <v>47</v>
      </c>
      <c r="R1227" s="12" t="s">
        <v>117</v>
      </c>
      <c r="S1227" s="13">
        <v>197065666798</v>
      </c>
      <c r="T1227" s="12" t="s">
        <v>49</v>
      </c>
      <c r="U1227" s="13">
        <v>42.5</v>
      </c>
      <c r="V1227" s="12" t="s">
        <v>50</v>
      </c>
      <c r="W1227" s="12" t="s">
        <v>284</v>
      </c>
      <c r="X1227" s="14"/>
      <c r="Y1227" s="12" t="s">
        <v>91</v>
      </c>
      <c r="Z1227" s="12" t="s">
        <v>165</v>
      </c>
      <c r="AA1227" s="14"/>
      <c r="AB1227" s="14"/>
      <c r="AC1227" s="15">
        <v>59.1</v>
      </c>
      <c r="AD1227" s="15">
        <f>AC1227*AG1227</f>
        <v>295.5</v>
      </c>
      <c r="AE1227" s="15">
        <v>130</v>
      </c>
      <c r="AF1227" s="15">
        <f>AE1227*AG1227</f>
        <v>650</v>
      </c>
      <c r="AG1227" s="16">
        <v>5</v>
      </c>
    </row>
    <row r="1228" spans="1:33" ht="15" customHeight="1" x14ac:dyDescent="0.2">
      <c r="A1228" s="11" t="str">
        <f t="shared" ref="A1228:A1476" si="520">HYPERLINK("https://assets.vans.eu/images/VN000CYABMC-HERO/1","VN000CYABMC1")</f>
        <v>VN000CYABMC1</v>
      </c>
      <c r="B1228" s="12" t="s">
        <v>4914</v>
      </c>
      <c r="C1228" s="12" t="s">
        <v>238</v>
      </c>
      <c r="D1228" s="12" t="s">
        <v>4915</v>
      </c>
      <c r="E1228" s="12" t="s">
        <v>4916</v>
      </c>
      <c r="F1228" s="13">
        <v>30</v>
      </c>
      <c r="G1228" s="12" t="s">
        <v>3900</v>
      </c>
      <c r="H1228" s="12" t="s">
        <v>38</v>
      </c>
      <c r="I1228" s="12" t="s">
        <v>39</v>
      </c>
      <c r="J1228" s="12" t="s">
        <v>40</v>
      </c>
      <c r="K1228" s="12" t="s">
        <v>41</v>
      </c>
      <c r="L1228" s="14"/>
      <c r="M1228" s="12" t="s">
        <v>43</v>
      </c>
      <c r="N1228" s="12" t="s">
        <v>84</v>
      </c>
      <c r="O1228" s="12" t="s">
        <v>4917</v>
      </c>
      <c r="P1228" s="12" t="s">
        <v>46</v>
      </c>
      <c r="Q1228" s="12" t="s">
        <v>47</v>
      </c>
      <c r="R1228" s="12" t="s">
        <v>48</v>
      </c>
      <c r="S1228" s="13">
        <v>197804669967</v>
      </c>
      <c r="T1228" s="12" t="s">
        <v>49</v>
      </c>
      <c r="U1228" s="13">
        <v>34</v>
      </c>
      <c r="V1228" s="12" t="s">
        <v>50</v>
      </c>
      <c r="W1228" s="12" t="s">
        <v>598</v>
      </c>
      <c r="X1228" s="14"/>
      <c r="Y1228" s="14"/>
      <c r="Z1228" s="14"/>
      <c r="AA1228" s="14"/>
      <c r="AB1228" s="14"/>
      <c r="AC1228" s="15">
        <v>25</v>
      </c>
      <c r="AD1228" s="15">
        <f>AC1228*AG1228</f>
        <v>125</v>
      </c>
      <c r="AE1228" s="15">
        <v>55</v>
      </c>
      <c r="AF1228" s="15">
        <f>AE1228*AG1228</f>
        <v>275</v>
      </c>
      <c r="AG1228" s="16">
        <v>5</v>
      </c>
    </row>
    <row r="1229" spans="1:33" ht="15" customHeight="1" x14ac:dyDescent="0.2">
      <c r="A1229" s="11" t="str">
        <f t="shared" ref="A1229:A1230" si="521">HYPERLINK("https://assets.vans.eu/images/VN000CYAEMY-HERO/1","VN000CYAEMY1")</f>
        <v>VN000CYAEMY1</v>
      </c>
      <c r="B1229" s="12" t="s">
        <v>4918</v>
      </c>
      <c r="C1229" s="12" t="s">
        <v>238</v>
      </c>
      <c r="D1229" s="12" t="s">
        <v>1155</v>
      </c>
      <c r="E1229" s="12" t="s">
        <v>4919</v>
      </c>
      <c r="F1229" s="13">
        <v>25</v>
      </c>
      <c r="G1229" s="12" t="s">
        <v>2273</v>
      </c>
      <c r="H1229" s="12" t="s">
        <v>38</v>
      </c>
      <c r="I1229" s="12" t="s">
        <v>39</v>
      </c>
      <c r="J1229" s="12" t="s">
        <v>40</v>
      </c>
      <c r="K1229" s="12" t="s">
        <v>41</v>
      </c>
      <c r="L1229" s="14"/>
      <c r="M1229" s="12" t="s">
        <v>43</v>
      </c>
      <c r="N1229" s="12" t="s">
        <v>84</v>
      </c>
      <c r="O1229" s="12" t="s">
        <v>4920</v>
      </c>
      <c r="P1229" s="12" t="s">
        <v>46</v>
      </c>
      <c r="Q1229" s="12" t="s">
        <v>47</v>
      </c>
      <c r="R1229" s="12" t="s">
        <v>48</v>
      </c>
      <c r="S1229" s="13">
        <v>197804514656</v>
      </c>
      <c r="T1229" s="12" t="s">
        <v>164</v>
      </c>
      <c r="U1229" s="13">
        <v>33</v>
      </c>
      <c r="V1229" s="12" t="s">
        <v>50</v>
      </c>
      <c r="W1229" s="12" t="s">
        <v>107</v>
      </c>
      <c r="X1229" s="14"/>
      <c r="Y1229" s="14"/>
      <c r="Z1229" s="14"/>
      <c r="AA1229" s="14"/>
      <c r="AB1229" s="14"/>
      <c r="AC1229" s="15">
        <v>27.3</v>
      </c>
      <c r="AD1229" s="15">
        <f>AC1229*AG1229</f>
        <v>136.5</v>
      </c>
      <c r="AE1229" s="15">
        <v>60</v>
      </c>
      <c r="AF1229" s="15">
        <f>AE1229*AG1229</f>
        <v>300</v>
      </c>
      <c r="AG1229" s="16">
        <v>5</v>
      </c>
    </row>
    <row r="1230" spans="1:33" ht="15" customHeight="1" x14ac:dyDescent="0.2">
      <c r="A1230" s="11" t="str">
        <f t="shared" si="521"/>
        <v>VN000CYAEMY1</v>
      </c>
      <c r="B1230" s="12" t="s">
        <v>4921</v>
      </c>
      <c r="C1230" s="12" t="s">
        <v>238</v>
      </c>
      <c r="D1230" s="12" t="s">
        <v>1155</v>
      </c>
      <c r="E1230" s="12" t="s">
        <v>4922</v>
      </c>
      <c r="F1230" s="13">
        <v>125</v>
      </c>
      <c r="G1230" s="12" t="s">
        <v>2273</v>
      </c>
      <c r="H1230" s="12" t="s">
        <v>38</v>
      </c>
      <c r="I1230" s="12" t="s">
        <v>39</v>
      </c>
      <c r="J1230" s="12" t="s">
        <v>40</v>
      </c>
      <c r="K1230" s="12" t="s">
        <v>41</v>
      </c>
      <c r="L1230" s="14"/>
      <c r="M1230" s="12" t="s">
        <v>43</v>
      </c>
      <c r="N1230" s="12" t="s">
        <v>84</v>
      </c>
      <c r="O1230" s="12" t="s">
        <v>4923</v>
      </c>
      <c r="P1230" s="12" t="s">
        <v>46</v>
      </c>
      <c r="Q1230" s="12" t="s">
        <v>47</v>
      </c>
      <c r="R1230" s="12" t="s">
        <v>48</v>
      </c>
      <c r="S1230" s="13">
        <v>197804515561</v>
      </c>
      <c r="T1230" s="12" t="s">
        <v>164</v>
      </c>
      <c r="U1230" s="13">
        <v>30</v>
      </c>
      <c r="V1230" s="12" t="s">
        <v>50</v>
      </c>
      <c r="W1230" s="12" t="s">
        <v>107</v>
      </c>
      <c r="X1230" s="14"/>
      <c r="Y1230" s="14"/>
      <c r="Z1230" s="14"/>
      <c r="AA1230" s="14"/>
      <c r="AB1230" s="14"/>
      <c r="AC1230" s="15">
        <v>27.3</v>
      </c>
      <c r="AD1230" s="15">
        <f>AC1230*AG1230</f>
        <v>136.5</v>
      </c>
      <c r="AE1230" s="15">
        <v>60</v>
      </c>
      <c r="AF1230" s="15">
        <f>AE1230*AG1230</f>
        <v>300</v>
      </c>
      <c r="AG1230" s="16">
        <v>5</v>
      </c>
    </row>
    <row r="1231" spans="1:33" ht="15" customHeight="1" x14ac:dyDescent="0.2">
      <c r="A1231" s="11" t="str">
        <f t="shared" ref="A1231:A1236" si="522">HYPERLINK("https://assets.vans.eu/images/VN000CYU4Y4-HERO/1","VN000CYU4Y41")</f>
        <v>VN000CYU4Y41</v>
      </c>
      <c r="B1231" s="12" t="s">
        <v>4924</v>
      </c>
      <c r="C1231" s="12" t="s">
        <v>110</v>
      </c>
      <c r="D1231" s="12" t="s">
        <v>4925</v>
      </c>
      <c r="E1231" s="12" t="s">
        <v>4926</v>
      </c>
      <c r="F1231" s="13">
        <v>25</v>
      </c>
      <c r="G1231" s="12" t="s">
        <v>3002</v>
      </c>
      <c r="H1231" s="12" t="s">
        <v>38</v>
      </c>
      <c r="I1231" s="12" t="s">
        <v>39</v>
      </c>
      <c r="J1231" s="12" t="s">
        <v>40</v>
      </c>
      <c r="K1231" s="12" t="s">
        <v>41</v>
      </c>
      <c r="L1231" s="14"/>
      <c r="M1231" s="12" t="s">
        <v>43</v>
      </c>
      <c r="N1231" s="12" t="s">
        <v>84</v>
      </c>
      <c r="O1231" s="12" t="s">
        <v>4927</v>
      </c>
      <c r="P1231" s="12" t="s">
        <v>46</v>
      </c>
      <c r="Q1231" s="12" t="s">
        <v>47</v>
      </c>
      <c r="R1231" s="12" t="s">
        <v>48</v>
      </c>
      <c r="S1231" s="13">
        <v>197804433131</v>
      </c>
      <c r="T1231" s="12" t="s">
        <v>49</v>
      </c>
      <c r="U1231" s="13">
        <v>33</v>
      </c>
      <c r="V1231" s="12" t="s">
        <v>50</v>
      </c>
      <c r="W1231" s="12" t="s">
        <v>51</v>
      </c>
      <c r="X1231" s="14"/>
      <c r="Y1231" s="14"/>
      <c r="Z1231" s="14"/>
      <c r="AA1231" s="14"/>
      <c r="AB1231" s="14"/>
      <c r="AC1231" s="15">
        <v>29.55</v>
      </c>
      <c r="AD1231" s="15">
        <f>AC1231*AG1231</f>
        <v>147.75</v>
      </c>
      <c r="AE1231" s="15">
        <v>65</v>
      </c>
      <c r="AF1231" s="15">
        <f>AE1231*AG1231</f>
        <v>325</v>
      </c>
      <c r="AG1231" s="16">
        <v>5</v>
      </c>
    </row>
    <row r="1232" spans="1:33" ht="15" customHeight="1" x14ac:dyDescent="0.2">
      <c r="A1232" s="11" t="str">
        <f t="shared" si="522"/>
        <v>VN000CYU4Y41</v>
      </c>
      <c r="B1232" s="12" t="s">
        <v>4928</v>
      </c>
      <c r="C1232" s="12" t="s">
        <v>110</v>
      </c>
      <c r="D1232" s="12" t="s">
        <v>4925</v>
      </c>
      <c r="E1232" s="12" t="s">
        <v>4929</v>
      </c>
      <c r="F1232" s="13">
        <v>105</v>
      </c>
      <c r="G1232" s="12" t="s">
        <v>3002</v>
      </c>
      <c r="H1232" s="12" t="s">
        <v>38</v>
      </c>
      <c r="I1232" s="12" t="s">
        <v>39</v>
      </c>
      <c r="J1232" s="12" t="s">
        <v>40</v>
      </c>
      <c r="K1232" s="12" t="s">
        <v>41</v>
      </c>
      <c r="L1232" s="14"/>
      <c r="M1232" s="12" t="s">
        <v>43</v>
      </c>
      <c r="N1232" s="12" t="s">
        <v>84</v>
      </c>
      <c r="O1232" s="12" t="s">
        <v>4930</v>
      </c>
      <c r="P1232" s="12" t="s">
        <v>46</v>
      </c>
      <c r="Q1232" s="12" t="s">
        <v>47</v>
      </c>
      <c r="R1232" s="12" t="s">
        <v>48</v>
      </c>
      <c r="S1232" s="13">
        <v>197804433384</v>
      </c>
      <c r="T1232" s="12" t="s">
        <v>49</v>
      </c>
      <c r="U1232" s="13">
        <v>27</v>
      </c>
      <c r="V1232" s="12" t="s">
        <v>50</v>
      </c>
      <c r="W1232" s="12" t="s">
        <v>51</v>
      </c>
      <c r="X1232" s="14"/>
      <c r="Y1232" s="14"/>
      <c r="Z1232" s="14"/>
      <c r="AA1232" s="14"/>
      <c r="AB1232" s="14"/>
      <c r="AC1232" s="15">
        <v>29.55</v>
      </c>
      <c r="AD1232" s="15">
        <f>AC1232*AG1232</f>
        <v>147.75</v>
      </c>
      <c r="AE1232" s="15">
        <v>65</v>
      </c>
      <c r="AF1232" s="15">
        <f>AE1232*AG1232</f>
        <v>325</v>
      </c>
      <c r="AG1232" s="16">
        <v>5</v>
      </c>
    </row>
    <row r="1233" spans="1:33" ht="15" customHeight="1" x14ac:dyDescent="0.2">
      <c r="A1233" s="11" t="str">
        <f t="shared" si="522"/>
        <v>VN000CYU4Y41</v>
      </c>
      <c r="B1233" s="12" t="s">
        <v>4931</v>
      </c>
      <c r="C1233" s="12" t="s">
        <v>110</v>
      </c>
      <c r="D1233" s="12" t="s">
        <v>4925</v>
      </c>
      <c r="E1233" s="12" t="s">
        <v>4932</v>
      </c>
      <c r="F1233" s="13">
        <v>115</v>
      </c>
      <c r="G1233" s="12" t="s">
        <v>3002</v>
      </c>
      <c r="H1233" s="12" t="s">
        <v>38</v>
      </c>
      <c r="I1233" s="12" t="s">
        <v>39</v>
      </c>
      <c r="J1233" s="12" t="s">
        <v>40</v>
      </c>
      <c r="K1233" s="12" t="s">
        <v>41</v>
      </c>
      <c r="L1233" s="14"/>
      <c r="M1233" s="12" t="s">
        <v>43</v>
      </c>
      <c r="N1233" s="12" t="s">
        <v>84</v>
      </c>
      <c r="O1233" s="12" t="s">
        <v>4933</v>
      </c>
      <c r="P1233" s="12" t="s">
        <v>46</v>
      </c>
      <c r="Q1233" s="12" t="s">
        <v>47</v>
      </c>
      <c r="R1233" s="12" t="s">
        <v>48</v>
      </c>
      <c r="S1233" s="13">
        <v>197804433803</v>
      </c>
      <c r="T1233" s="12" t="s">
        <v>49</v>
      </c>
      <c r="U1233" s="13">
        <v>28</v>
      </c>
      <c r="V1233" s="12" t="s">
        <v>50</v>
      </c>
      <c r="W1233" s="12" t="s">
        <v>51</v>
      </c>
      <c r="X1233" s="14"/>
      <c r="Y1233" s="14"/>
      <c r="Z1233" s="14"/>
      <c r="AA1233" s="14"/>
      <c r="AB1233" s="14"/>
      <c r="AC1233" s="15">
        <v>29.55</v>
      </c>
      <c r="AD1233" s="15">
        <f>AC1233*AG1233</f>
        <v>147.75</v>
      </c>
      <c r="AE1233" s="15">
        <v>65</v>
      </c>
      <c r="AF1233" s="15">
        <f>AE1233*AG1233</f>
        <v>325</v>
      </c>
      <c r="AG1233" s="16">
        <v>5</v>
      </c>
    </row>
    <row r="1234" spans="1:33" ht="15" customHeight="1" x14ac:dyDescent="0.2">
      <c r="A1234" s="11" t="str">
        <f t="shared" si="522"/>
        <v>VN000CYU4Y41</v>
      </c>
      <c r="B1234" s="12" t="s">
        <v>4934</v>
      </c>
      <c r="C1234" s="12" t="s">
        <v>110</v>
      </c>
      <c r="D1234" s="12" t="s">
        <v>4925</v>
      </c>
      <c r="E1234" s="12" t="s">
        <v>4935</v>
      </c>
      <c r="F1234" s="13">
        <v>120</v>
      </c>
      <c r="G1234" s="12" t="s">
        <v>3002</v>
      </c>
      <c r="H1234" s="12" t="s">
        <v>38</v>
      </c>
      <c r="I1234" s="12" t="s">
        <v>39</v>
      </c>
      <c r="J1234" s="12" t="s">
        <v>40</v>
      </c>
      <c r="K1234" s="12" t="s">
        <v>41</v>
      </c>
      <c r="L1234" s="14"/>
      <c r="M1234" s="12" t="s">
        <v>43</v>
      </c>
      <c r="N1234" s="12" t="s">
        <v>84</v>
      </c>
      <c r="O1234" s="12" t="s">
        <v>4936</v>
      </c>
      <c r="P1234" s="12" t="s">
        <v>46</v>
      </c>
      <c r="Q1234" s="12" t="s">
        <v>47</v>
      </c>
      <c r="R1234" s="12" t="s">
        <v>48</v>
      </c>
      <c r="S1234" s="13">
        <v>197804434008</v>
      </c>
      <c r="T1234" s="12" t="s">
        <v>49</v>
      </c>
      <c r="U1234" s="13">
        <v>29</v>
      </c>
      <c r="V1234" s="12" t="s">
        <v>50</v>
      </c>
      <c r="W1234" s="12" t="s">
        <v>51</v>
      </c>
      <c r="X1234" s="14"/>
      <c r="Y1234" s="14"/>
      <c r="Z1234" s="14"/>
      <c r="AA1234" s="14"/>
      <c r="AB1234" s="14"/>
      <c r="AC1234" s="15">
        <v>29.55</v>
      </c>
      <c r="AD1234" s="15">
        <f>AC1234*AG1234</f>
        <v>147.75</v>
      </c>
      <c r="AE1234" s="15">
        <v>65</v>
      </c>
      <c r="AF1234" s="15">
        <f>AE1234*AG1234</f>
        <v>325</v>
      </c>
      <c r="AG1234" s="16">
        <v>5</v>
      </c>
    </row>
    <row r="1235" spans="1:33" ht="15" customHeight="1" x14ac:dyDescent="0.2">
      <c r="A1235" s="11" t="str">
        <f t="shared" si="522"/>
        <v>VN000CYU4Y41</v>
      </c>
      <c r="B1235" s="12" t="s">
        <v>4937</v>
      </c>
      <c r="C1235" s="12" t="s">
        <v>110</v>
      </c>
      <c r="D1235" s="12" t="s">
        <v>4925</v>
      </c>
      <c r="E1235" s="12" t="s">
        <v>4938</v>
      </c>
      <c r="F1235" s="13">
        <v>125</v>
      </c>
      <c r="G1235" s="12" t="s">
        <v>3002</v>
      </c>
      <c r="H1235" s="12" t="s">
        <v>38</v>
      </c>
      <c r="I1235" s="12" t="s">
        <v>39</v>
      </c>
      <c r="J1235" s="12" t="s">
        <v>40</v>
      </c>
      <c r="K1235" s="12" t="s">
        <v>41</v>
      </c>
      <c r="L1235" s="14"/>
      <c r="M1235" s="12" t="s">
        <v>43</v>
      </c>
      <c r="N1235" s="12" t="s">
        <v>84</v>
      </c>
      <c r="O1235" s="12" t="s">
        <v>4939</v>
      </c>
      <c r="P1235" s="12" t="s">
        <v>46</v>
      </c>
      <c r="Q1235" s="12" t="s">
        <v>47</v>
      </c>
      <c r="R1235" s="12" t="s">
        <v>48</v>
      </c>
      <c r="S1235" s="13">
        <v>197804434091</v>
      </c>
      <c r="T1235" s="12" t="s">
        <v>49</v>
      </c>
      <c r="U1235" s="13">
        <v>30</v>
      </c>
      <c r="V1235" s="12" t="s">
        <v>50</v>
      </c>
      <c r="W1235" s="12" t="s">
        <v>51</v>
      </c>
      <c r="X1235" s="14"/>
      <c r="Y1235" s="14"/>
      <c r="Z1235" s="14"/>
      <c r="AA1235" s="14"/>
      <c r="AB1235" s="14"/>
      <c r="AC1235" s="15">
        <v>29.55</v>
      </c>
      <c r="AD1235" s="15">
        <f>AC1235*AG1235</f>
        <v>147.75</v>
      </c>
      <c r="AE1235" s="15">
        <v>65</v>
      </c>
      <c r="AF1235" s="15">
        <f>AE1235*AG1235</f>
        <v>325</v>
      </c>
      <c r="AG1235" s="16">
        <v>5</v>
      </c>
    </row>
    <row r="1236" spans="1:33" ht="15" customHeight="1" x14ac:dyDescent="0.2">
      <c r="A1236" s="11" t="str">
        <f t="shared" si="522"/>
        <v>VN000CYU4Y41</v>
      </c>
      <c r="B1236" s="12" t="s">
        <v>4940</v>
      </c>
      <c r="C1236" s="12" t="s">
        <v>110</v>
      </c>
      <c r="D1236" s="12" t="s">
        <v>4925</v>
      </c>
      <c r="E1236" s="12" t="s">
        <v>4941</v>
      </c>
      <c r="F1236" s="13">
        <v>135</v>
      </c>
      <c r="G1236" s="12" t="s">
        <v>3002</v>
      </c>
      <c r="H1236" s="12" t="s">
        <v>38</v>
      </c>
      <c r="I1236" s="12" t="s">
        <v>39</v>
      </c>
      <c r="J1236" s="12" t="s">
        <v>40</v>
      </c>
      <c r="K1236" s="12" t="s">
        <v>41</v>
      </c>
      <c r="L1236" s="14"/>
      <c r="M1236" s="12" t="s">
        <v>43</v>
      </c>
      <c r="N1236" s="12" t="s">
        <v>84</v>
      </c>
      <c r="O1236" s="12" t="s">
        <v>4942</v>
      </c>
      <c r="P1236" s="12" t="s">
        <v>46</v>
      </c>
      <c r="Q1236" s="12" t="s">
        <v>47</v>
      </c>
      <c r="R1236" s="12" t="s">
        <v>48</v>
      </c>
      <c r="S1236" s="13">
        <v>197804434442</v>
      </c>
      <c r="T1236" s="12" t="s">
        <v>49</v>
      </c>
      <c r="U1236" s="13">
        <v>31</v>
      </c>
      <c r="V1236" s="12" t="s">
        <v>50</v>
      </c>
      <c r="W1236" s="12" t="s">
        <v>51</v>
      </c>
      <c r="X1236" s="14"/>
      <c r="Y1236" s="14"/>
      <c r="Z1236" s="14"/>
      <c r="AA1236" s="14"/>
      <c r="AB1236" s="14"/>
      <c r="AC1236" s="15">
        <v>29.55</v>
      </c>
      <c r="AD1236" s="15">
        <f>AC1236*AG1236</f>
        <v>147.75</v>
      </c>
      <c r="AE1236" s="15">
        <v>65</v>
      </c>
      <c r="AF1236" s="15">
        <f>AE1236*AG1236</f>
        <v>325</v>
      </c>
      <c r="AG1236" s="16">
        <v>5</v>
      </c>
    </row>
    <row r="1237" spans="1:33" ht="15" customHeight="1" x14ac:dyDescent="0.2">
      <c r="A1237" s="11" t="str">
        <f t="shared" ref="A1237:A1854" si="523">HYPERLINK("https://assets.vans.eu/images/VN000CYUEN6-HERO/1","VN000CYUEN61")</f>
        <v>VN000CYUEN61</v>
      </c>
      <c r="B1237" s="12" t="s">
        <v>4943</v>
      </c>
      <c r="C1237" s="12" t="s">
        <v>110</v>
      </c>
      <c r="D1237" s="12" t="s">
        <v>189</v>
      </c>
      <c r="E1237" s="12" t="s">
        <v>4944</v>
      </c>
      <c r="F1237" s="13">
        <v>115</v>
      </c>
      <c r="G1237" s="14"/>
      <c r="H1237" s="12" t="s">
        <v>38</v>
      </c>
      <c r="I1237" s="12" t="s">
        <v>39</v>
      </c>
      <c r="J1237" s="12" t="s">
        <v>40</v>
      </c>
      <c r="K1237" s="12" t="s">
        <v>41</v>
      </c>
      <c r="L1237" s="14"/>
      <c r="M1237" s="12" t="s">
        <v>43</v>
      </c>
      <c r="N1237" s="12" t="s">
        <v>84</v>
      </c>
      <c r="O1237" s="12" t="s">
        <v>4945</v>
      </c>
      <c r="P1237" s="12" t="s">
        <v>46</v>
      </c>
      <c r="Q1237" s="12" t="s">
        <v>47</v>
      </c>
      <c r="R1237" s="12" t="s">
        <v>48</v>
      </c>
      <c r="S1237" s="13">
        <v>197804434695</v>
      </c>
      <c r="T1237" s="12" t="s">
        <v>105</v>
      </c>
      <c r="U1237" s="13">
        <v>28</v>
      </c>
      <c r="V1237" s="12" t="s">
        <v>50</v>
      </c>
      <c r="W1237" s="12" t="s">
        <v>118</v>
      </c>
      <c r="X1237" s="14"/>
      <c r="Y1237" s="14"/>
      <c r="Z1237" s="14"/>
      <c r="AA1237" s="14"/>
      <c r="AB1237" s="14"/>
      <c r="AC1237" s="15">
        <v>29.55</v>
      </c>
      <c r="AD1237" s="15">
        <f>AC1237*AG1237</f>
        <v>147.75</v>
      </c>
      <c r="AE1237" s="15">
        <v>65</v>
      </c>
      <c r="AF1237" s="15">
        <f>AE1237*AG1237</f>
        <v>325</v>
      </c>
      <c r="AG1237" s="16">
        <v>5</v>
      </c>
    </row>
    <row r="1238" spans="1:33" ht="15" customHeight="1" x14ac:dyDescent="0.2">
      <c r="A1238" s="11" t="str">
        <f t="shared" ref="A1238:A1480" si="524">HYPERLINK("https://assets.vans.eu/images/VN000CZ7BLA-HERO/1","VN000CZ7BLA1")</f>
        <v>VN000CZ7BLA1</v>
      </c>
      <c r="B1238" s="12" t="s">
        <v>4946</v>
      </c>
      <c r="C1238" s="12" t="s">
        <v>2412</v>
      </c>
      <c r="D1238" s="12" t="s">
        <v>919</v>
      </c>
      <c r="E1238" s="12" t="s">
        <v>4947</v>
      </c>
      <c r="F1238" s="13">
        <v>120</v>
      </c>
      <c r="G1238" s="12" t="s">
        <v>4948</v>
      </c>
      <c r="H1238" s="12" t="s">
        <v>38</v>
      </c>
      <c r="I1238" s="12" t="s">
        <v>39</v>
      </c>
      <c r="J1238" s="12" t="s">
        <v>40</v>
      </c>
      <c r="K1238" s="12" t="s">
        <v>41</v>
      </c>
      <c r="L1238" s="14"/>
      <c r="M1238" s="12" t="s">
        <v>43</v>
      </c>
      <c r="N1238" s="12" t="s">
        <v>84</v>
      </c>
      <c r="O1238" s="12" t="s">
        <v>4949</v>
      </c>
      <c r="P1238" s="12" t="s">
        <v>46</v>
      </c>
      <c r="Q1238" s="12" t="s">
        <v>47</v>
      </c>
      <c r="R1238" s="12" t="s">
        <v>313</v>
      </c>
      <c r="S1238" s="13">
        <v>197804519545</v>
      </c>
      <c r="T1238" s="12" t="s">
        <v>105</v>
      </c>
      <c r="U1238" s="13">
        <v>29</v>
      </c>
      <c r="V1238" s="12" t="s">
        <v>50</v>
      </c>
      <c r="W1238" s="12" t="s">
        <v>51</v>
      </c>
      <c r="X1238" s="14"/>
      <c r="Y1238" s="14"/>
      <c r="Z1238" s="14"/>
      <c r="AA1238" s="14"/>
      <c r="AB1238" s="14"/>
      <c r="AC1238" s="15">
        <v>31.85</v>
      </c>
      <c r="AD1238" s="15">
        <f>AC1238*AG1238</f>
        <v>159.25</v>
      </c>
      <c r="AE1238" s="15">
        <v>70</v>
      </c>
      <c r="AF1238" s="15">
        <f>AE1238*AG1238</f>
        <v>350</v>
      </c>
      <c r="AG1238" s="16">
        <v>5</v>
      </c>
    </row>
    <row r="1239" spans="1:33" ht="15" customHeight="1" x14ac:dyDescent="0.2">
      <c r="A1239" s="11" t="str">
        <f t="shared" si="408"/>
        <v>VN000CZ7RV21</v>
      </c>
      <c r="B1239" s="12" t="s">
        <v>4950</v>
      </c>
      <c r="C1239" s="12" t="s">
        <v>2412</v>
      </c>
      <c r="D1239" s="12" t="s">
        <v>1428</v>
      </c>
      <c r="E1239" s="12" t="s">
        <v>4951</v>
      </c>
      <c r="F1239" s="13">
        <v>30</v>
      </c>
      <c r="G1239" s="14"/>
      <c r="H1239" s="12" t="s">
        <v>38</v>
      </c>
      <c r="I1239" s="12" t="s">
        <v>39</v>
      </c>
      <c r="J1239" s="12" t="s">
        <v>40</v>
      </c>
      <c r="K1239" s="12" t="s">
        <v>41</v>
      </c>
      <c r="L1239" s="14"/>
      <c r="M1239" s="12" t="s">
        <v>43</v>
      </c>
      <c r="N1239" s="12" t="s">
        <v>84</v>
      </c>
      <c r="O1239" s="12" t="s">
        <v>4952</v>
      </c>
      <c r="P1239" s="12" t="s">
        <v>46</v>
      </c>
      <c r="Q1239" s="12" t="s">
        <v>47</v>
      </c>
      <c r="R1239" s="12" t="s">
        <v>313</v>
      </c>
      <c r="S1239" s="13">
        <v>197804519477</v>
      </c>
      <c r="T1239" s="12" t="s">
        <v>164</v>
      </c>
      <c r="U1239" s="13">
        <v>34</v>
      </c>
      <c r="V1239" s="12" t="s">
        <v>50</v>
      </c>
      <c r="W1239" s="12" t="s">
        <v>51</v>
      </c>
      <c r="X1239" s="14"/>
      <c r="Y1239" s="14"/>
      <c r="Z1239" s="14"/>
      <c r="AA1239" s="14"/>
      <c r="AB1239" s="14"/>
      <c r="AC1239" s="15">
        <v>27.3</v>
      </c>
      <c r="AD1239" s="15">
        <f>AC1239*AG1239</f>
        <v>136.5</v>
      </c>
      <c r="AE1239" s="15">
        <v>60</v>
      </c>
      <c r="AF1239" s="15">
        <f>AE1239*AG1239</f>
        <v>300</v>
      </c>
      <c r="AG1239" s="16">
        <v>5</v>
      </c>
    </row>
    <row r="1240" spans="1:33" ht="15" customHeight="1" x14ac:dyDescent="0.2">
      <c r="A1240" s="11" t="str">
        <f t="shared" si="454"/>
        <v>VN000CZHCFB1</v>
      </c>
      <c r="B1240" s="12" t="s">
        <v>4953</v>
      </c>
      <c r="C1240" s="12" t="s">
        <v>3916</v>
      </c>
      <c r="D1240" s="12" t="s">
        <v>4354</v>
      </c>
      <c r="E1240" s="12" t="s">
        <v>4954</v>
      </c>
      <c r="F1240" s="13">
        <v>85</v>
      </c>
      <c r="G1240" s="12" t="s">
        <v>4356</v>
      </c>
      <c r="H1240" s="12" t="s">
        <v>38</v>
      </c>
      <c r="I1240" s="12" t="s">
        <v>159</v>
      </c>
      <c r="J1240" s="12" t="s">
        <v>160</v>
      </c>
      <c r="K1240" s="12" t="s">
        <v>199</v>
      </c>
      <c r="L1240" s="12" t="s">
        <v>350</v>
      </c>
      <c r="M1240" s="12" t="s">
        <v>43</v>
      </c>
      <c r="N1240" s="12" t="s">
        <v>84</v>
      </c>
      <c r="O1240" s="12" t="s">
        <v>4955</v>
      </c>
      <c r="P1240" s="12" t="s">
        <v>46</v>
      </c>
      <c r="Q1240" s="12" t="s">
        <v>47</v>
      </c>
      <c r="R1240" s="12" t="s">
        <v>1660</v>
      </c>
      <c r="S1240" s="13">
        <v>197065592097</v>
      </c>
      <c r="T1240" s="12" t="s">
        <v>49</v>
      </c>
      <c r="U1240" s="13">
        <v>41</v>
      </c>
      <c r="V1240" s="12" t="s">
        <v>50</v>
      </c>
      <c r="W1240" s="12" t="s">
        <v>186</v>
      </c>
      <c r="X1240" s="14"/>
      <c r="Y1240" s="12" t="s">
        <v>71</v>
      </c>
      <c r="Z1240" s="12" t="s">
        <v>376</v>
      </c>
      <c r="AA1240" s="14"/>
      <c r="AB1240" s="14"/>
      <c r="AC1240" s="15">
        <v>45.25</v>
      </c>
      <c r="AD1240" s="15">
        <f>AC1240*AG1240</f>
        <v>226.25</v>
      </c>
      <c r="AE1240" s="15">
        <v>95</v>
      </c>
      <c r="AF1240" s="15">
        <f>AE1240*AG1240</f>
        <v>475</v>
      </c>
      <c r="AG1240" s="16">
        <v>5</v>
      </c>
    </row>
    <row r="1241" spans="1:33" ht="15" customHeight="1" x14ac:dyDescent="0.2">
      <c r="A1241" s="11" t="str">
        <f t="shared" ref="A1241:A1483" si="525">HYPERLINK("https://assets.vans.eu/images/VN000D0HBZW-HERO/1","VN000D0HBZW1")</f>
        <v>VN000D0HBZW1</v>
      </c>
      <c r="B1241" s="12" t="s">
        <v>4956</v>
      </c>
      <c r="C1241" s="12" t="s">
        <v>1108</v>
      </c>
      <c r="D1241" s="12" t="s">
        <v>58</v>
      </c>
      <c r="E1241" s="12" t="s">
        <v>4957</v>
      </c>
      <c r="F1241" s="13">
        <v>120</v>
      </c>
      <c r="G1241" s="14"/>
      <c r="H1241" s="12" t="s">
        <v>38</v>
      </c>
      <c r="I1241" s="12" t="s">
        <v>39</v>
      </c>
      <c r="J1241" s="12" t="s">
        <v>40</v>
      </c>
      <c r="K1241" s="12" t="s">
        <v>41</v>
      </c>
      <c r="L1241" s="14"/>
      <c r="M1241" s="12" t="s">
        <v>43</v>
      </c>
      <c r="N1241" s="12" t="s">
        <v>84</v>
      </c>
      <c r="O1241" s="12" t="s">
        <v>4958</v>
      </c>
      <c r="P1241" s="12" t="s">
        <v>46</v>
      </c>
      <c r="Q1241" s="12" t="s">
        <v>47</v>
      </c>
      <c r="R1241" s="12" t="s">
        <v>780</v>
      </c>
      <c r="S1241" s="13">
        <v>197804436439</v>
      </c>
      <c r="T1241" s="12" t="s">
        <v>49</v>
      </c>
      <c r="U1241" s="13">
        <v>29</v>
      </c>
      <c r="V1241" s="12" t="s">
        <v>50</v>
      </c>
      <c r="W1241" s="12" t="s">
        <v>51</v>
      </c>
      <c r="X1241" s="14"/>
      <c r="Y1241" s="14"/>
      <c r="Z1241" s="14"/>
      <c r="AA1241" s="14"/>
      <c r="AB1241" s="14"/>
      <c r="AC1241" s="15">
        <v>34.1</v>
      </c>
      <c r="AD1241" s="15">
        <f>AC1241*AG1241</f>
        <v>170.5</v>
      </c>
      <c r="AE1241" s="15">
        <v>75</v>
      </c>
      <c r="AF1241" s="15">
        <f>AE1241*AG1241</f>
        <v>375</v>
      </c>
      <c r="AG1241" s="16">
        <v>5</v>
      </c>
    </row>
    <row r="1242" spans="1:33" ht="15" customHeight="1" x14ac:dyDescent="0.2">
      <c r="A1242" s="11" t="str">
        <f t="shared" ref="A1242:A1869" si="526">HYPERLINK("https://assets.vans.eu/images/VN000D0S1NU-HERO/1","VN000D0S1NU1")</f>
        <v>VN000D0S1NU1</v>
      </c>
      <c r="B1242" s="12" t="s">
        <v>4959</v>
      </c>
      <c r="C1242" s="12" t="s">
        <v>2280</v>
      </c>
      <c r="D1242" s="12" t="s">
        <v>783</v>
      </c>
      <c r="E1242" s="12" t="s">
        <v>4960</v>
      </c>
      <c r="F1242" s="13">
        <v>50</v>
      </c>
      <c r="G1242" s="12" t="s">
        <v>2273</v>
      </c>
      <c r="H1242" s="12" t="s">
        <v>38</v>
      </c>
      <c r="I1242" s="12" t="s">
        <v>242</v>
      </c>
      <c r="J1242" s="12" t="s">
        <v>243</v>
      </c>
      <c r="K1242" s="12" t="s">
        <v>244</v>
      </c>
      <c r="L1242" s="14"/>
      <c r="M1242" s="12" t="s">
        <v>43</v>
      </c>
      <c r="N1242" s="12" t="s">
        <v>84</v>
      </c>
      <c r="O1242" s="12" t="s">
        <v>4961</v>
      </c>
      <c r="P1242" s="12" t="s">
        <v>46</v>
      </c>
      <c r="Q1242" s="12" t="s">
        <v>47</v>
      </c>
      <c r="R1242" s="12" t="s">
        <v>48</v>
      </c>
      <c r="S1242" s="13">
        <v>197804520725</v>
      </c>
      <c r="T1242" s="12" t="s">
        <v>105</v>
      </c>
      <c r="U1242" s="13">
        <v>21</v>
      </c>
      <c r="V1242" s="12" t="s">
        <v>375</v>
      </c>
      <c r="W1242" s="12" t="s">
        <v>186</v>
      </c>
      <c r="X1242" s="14"/>
      <c r="Y1242" s="14"/>
      <c r="Z1242" s="14"/>
      <c r="AA1242" s="14"/>
      <c r="AB1242" s="14"/>
      <c r="AC1242" s="15">
        <v>20.5</v>
      </c>
      <c r="AD1242" s="15">
        <f>AC1242*AG1242</f>
        <v>102.5</v>
      </c>
      <c r="AE1242" s="15">
        <v>45</v>
      </c>
      <c r="AF1242" s="15">
        <f>AE1242*AG1242</f>
        <v>225</v>
      </c>
      <c r="AG1242" s="16">
        <v>5</v>
      </c>
    </row>
    <row r="1243" spans="1:33" ht="15" customHeight="1" x14ac:dyDescent="0.2">
      <c r="A1243" s="11" t="str">
        <f t="shared" si="339"/>
        <v>VN000D0SYJ71</v>
      </c>
      <c r="B1243" s="12" t="s">
        <v>4962</v>
      </c>
      <c r="C1243" s="12" t="s">
        <v>2280</v>
      </c>
      <c r="D1243" s="12" t="s">
        <v>1300</v>
      </c>
      <c r="E1243" s="12" t="s">
        <v>4963</v>
      </c>
      <c r="F1243" s="13">
        <v>65</v>
      </c>
      <c r="G1243" s="12" t="s">
        <v>1302</v>
      </c>
      <c r="H1243" s="12" t="s">
        <v>38</v>
      </c>
      <c r="I1243" s="12" t="s">
        <v>242</v>
      </c>
      <c r="J1243" s="12" t="s">
        <v>243</v>
      </c>
      <c r="K1243" s="12" t="s">
        <v>244</v>
      </c>
      <c r="L1243" s="14"/>
      <c r="M1243" s="12" t="s">
        <v>43</v>
      </c>
      <c r="N1243" s="12" t="s">
        <v>84</v>
      </c>
      <c r="O1243" s="12" t="s">
        <v>4964</v>
      </c>
      <c r="P1243" s="12" t="s">
        <v>46</v>
      </c>
      <c r="Q1243" s="12" t="s">
        <v>47</v>
      </c>
      <c r="R1243" s="12" t="s">
        <v>48</v>
      </c>
      <c r="S1243" s="13">
        <v>197804522422</v>
      </c>
      <c r="T1243" s="12" t="s">
        <v>164</v>
      </c>
      <c r="U1243" s="13">
        <v>22.5</v>
      </c>
      <c r="V1243" s="12" t="s">
        <v>375</v>
      </c>
      <c r="W1243" s="12" t="s">
        <v>51</v>
      </c>
      <c r="X1243" s="14"/>
      <c r="Y1243" s="14"/>
      <c r="Z1243" s="14"/>
      <c r="AA1243" s="14"/>
      <c r="AB1243" s="14"/>
      <c r="AC1243" s="15">
        <v>22.75</v>
      </c>
      <c r="AD1243" s="15">
        <f>AC1243*AG1243</f>
        <v>113.75</v>
      </c>
      <c r="AE1243" s="15">
        <v>50</v>
      </c>
      <c r="AF1243" s="15">
        <f>AE1243*AG1243</f>
        <v>250</v>
      </c>
      <c r="AG1243" s="16">
        <v>5</v>
      </c>
    </row>
    <row r="1244" spans="1:33" ht="15" customHeight="1" x14ac:dyDescent="0.2">
      <c r="A1244" s="11" t="str">
        <f t="shared" si="413"/>
        <v>VN000D111KP1</v>
      </c>
      <c r="B1244" s="12" t="s">
        <v>4965</v>
      </c>
      <c r="C1244" s="12" t="s">
        <v>2136</v>
      </c>
      <c r="D1244" s="12" t="s">
        <v>3943</v>
      </c>
      <c r="E1244" s="12" t="s">
        <v>4966</v>
      </c>
      <c r="F1244" s="13">
        <v>45</v>
      </c>
      <c r="G1244" s="12" t="s">
        <v>2273</v>
      </c>
      <c r="H1244" s="12" t="s">
        <v>38</v>
      </c>
      <c r="I1244" s="12" t="s">
        <v>242</v>
      </c>
      <c r="J1244" s="12" t="s">
        <v>243</v>
      </c>
      <c r="K1244" s="12" t="s">
        <v>244</v>
      </c>
      <c r="L1244" s="14"/>
      <c r="M1244" s="12" t="s">
        <v>43</v>
      </c>
      <c r="N1244" s="12" t="s">
        <v>84</v>
      </c>
      <c r="O1244" s="12" t="s">
        <v>4967</v>
      </c>
      <c r="P1244" s="12" t="s">
        <v>46</v>
      </c>
      <c r="Q1244" s="12" t="s">
        <v>47</v>
      </c>
      <c r="R1244" s="12" t="s">
        <v>313</v>
      </c>
      <c r="S1244" s="13">
        <v>197804522378</v>
      </c>
      <c r="T1244" s="12" t="s">
        <v>49</v>
      </c>
      <c r="U1244" s="13">
        <v>20</v>
      </c>
      <c r="V1244" s="12" t="s">
        <v>50</v>
      </c>
      <c r="W1244" s="12" t="s">
        <v>51</v>
      </c>
      <c r="X1244" s="14"/>
      <c r="Y1244" s="14"/>
      <c r="Z1244" s="14"/>
      <c r="AA1244" s="14"/>
      <c r="AB1244" s="14"/>
      <c r="AC1244" s="15">
        <v>27.3</v>
      </c>
      <c r="AD1244" s="15">
        <f>AC1244*AG1244</f>
        <v>136.5</v>
      </c>
      <c r="AE1244" s="15">
        <v>60</v>
      </c>
      <c r="AF1244" s="15">
        <f>AE1244*AG1244</f>
        <v>300</v>
      </c>
      <c r="AG1244" s="16">
        <v>5</v>
      </c>
    </row>
    <row r="1245" spans="1:33" ht="15" customHeight="1" x14ac:dyDescent="0.2">
      <c r="A1245" s="11" t="str">
        <f t="shared" si="414"/>
        <v>VN000D11N1Z1</v>
      </c>
      <c r="B1245" s="12" t="s">
        <v>4968</v>
      </c>
      <c r="C1245" s="12" t="s">
        <v>2136</v>
      </c>
      <c r="D1245" s="12" t="s">
        <v>1656</v>
      </c>
      <c r="E1245" s="12" t="s">
        <v>4969</v>
      </c>
      <c r="F1245" s="13">
        <v>50</v>
      </c>
      <c r="G1245" s="12" t="s">
        <v>528</v>
      </c>
      <c r="H1245" s="12" t="s">
        <v>38</v>
      </c>
      <c r="I1245" s="12" t="s">
        <v>242</v>
      </c>
      <c r="J1245" s="12" t="s">
        <v>243</v>
      </c>
      <c r="K1245" s="12" t="s">
        <v>244</v>
      </c>
      <c r="L1245" s="14"/>
      <c r="M1245" s="12" t="s">
        <v>43</v>
      </c>
      <c r="N1245" s="12" t="s">
        <v>84</v>
      </c>
      <c r="O1245" s="12" t="s">
        <v>4970</v>
      </c>
      <c r="P1245" s="12" t="s">
        <v>46</v>
      </c>
      <c r="Q1245" s="12" t="s">
        <v>47</v>
      </c>
      <c r="R1245" s="12" t="s">
        <v>313</v>
      </c>
      <c r="S1245" s="13">
        <v>197804523443</v>
      </c>
      <c r="T1245" s="12" t="s">
        <v>49</v>
      </c>
      <c r="U1245" s="13">
        <v>21</v>
      </c>
      <c r="V1245" s="12" t="s">
        <v>50</v>
      </c>
      <c r="W1245" s="12" t="s">
        <v>186</v>
      </c>
      <c r="X1245" s="14"/>
      <c r="Y1245" s="14"/>
      <c r="Z1245" s="14"/>
      <c r="AA1245" s="14"/>
      <c r="AB1245" s="14"/>
      <c r="AC1245" s="15">
        <v>27.3</v>
      </c>
      <c r="AD1245" s="15">
        <f>AC1245*AG1245</f>
        <v>136.5</v>
      </c>
      <c r="AE1245" s="15">
        <v>60</v>
      </c>
      <c r="AF1245" s="15">
        <f>AE1245*AG1245</f>
        <v>300</v>
      </c>
      <c r="AG1245" s="16">
        <v>5</v>
      </c>
    </row>
    <row r="1246" spans="1:33" ht="15" customHeight="1" x14ac:dyDescent="0.2">
      <c r="A1246" s="11" t="str">
        <f t="shared" ref="A1246:A2582" si="527">HYPERLINK("https://assets.vans.eu/images/VN000D1J4C6-HERO/1","VN000D1J4C61")</f>
        <v>VN000D1J4C61</v>
      </c>
      <c r="B1246" s="12" t="s">
        <v>4971</v>
      </c>
      <c r="C1246" s="12" t="s">
        <v>251</v>
      </c>
      <c r="D1246" s="12" t="s">
        <v>4972</v>
      </c>
      <c r="E1246" s="12" t="s">
        <v>4973</v>
      </c>
      <c r="F1246" s="13">
        <v>110</v>
      </c>
      <c r="G1246" s="14"/>
      <c r="H1246" s="12" t="s">
        <v>38</v>
      </c>
      <c r="I1246" s="12" t="s">
        <v>113</v>
      </c>
      <c r="J1246" s="12" t="s">
        <v>529</v>
      </c>
      <c r="K1246" s="12" t="s">
        <v>82</v>
      </c>
      <c r="L1246" s="12" t="s">
        <v>260</v>
      </c>
      <c r="M1246" s="12" t="s">
        <v>43</v>
      </c>
      <c r="N1246" s="12" t="s">
        <v>84</v>
      </c>
      <c r="O1246" s="12" t="s">
        <v>4974</v>
      </c>
      <c r="P1246" s="12" t="s">
        <v>46</v>
      </c>
      <c r="Q1246" s="12" t="s">
        <v>47</v>
      </c>
      <c r="R1246" s="12" t="s">
        <v>117</v>
      </c>
      <c r="S1246" s="13">
        <v>197804613403</v>
      </c>
      <c r="T1246" s="12" t="s">
        <v>49</v>
      </c>
      <c r="U1246" s="13">
        <v>44.5</v>
      </c>
      <c r="V1246" s="12" t="s">
        <v>50</v>
      </c>
      <c r="W1246" s="12" t="s">
        <v>107</v>
      </c>
      <c r="X1246" s="14"/>
      <c r="Y1246" s="14"/>
      <c r="Z1246" s="14"/>
      <c r="AA1246" s="14"/>
      <c r="AB1246" s="14"/>
      <c r="AC1246" s="15">
        <v>45.5</v>
      </c>
      <c r="AD1246" s="15">
        <f>AC1246*AG1246</f>
        <v>227.5</v>
      </c>
      <c r="AE1246" s="15">
        <v>100</v>
      </c>
      <c r="AF1246" s="15">
        <f>AE1246*AG1246</f>
        <v>500</v>
      </c>
      <c r="AG1246" s="16">
        <v>5</v>
      </c>
    </row>
    <row r="1247" spans="1:33" ht="15" customHeight="1" x14ac:dyDescent="0.2">
      <c r="A1247" s="11" t="str">
        <f>HYPERLINK("https://assets.vans.eu/images/VN000D1JBYS-HERO/1","VN000D1JBYS1")</f>
        <v>VN000D1JBYS1</v>
      </c>
      <c r="B1247" s="12" t="s">
        <v>4975</v>
      </c>
      <c r="C1247" s="12" t="s">
        <v>251</v>
      </c>
      <c r="D1247" s="12" t="s">
        <v>3968</v>
      </c>
      <c r="E1247" s="12" t="s">
        <v>4976</v>
      </c>
      <c r="F1247" s="13">
        <v>50</v>
      </c>
      <c r="G1247" s="14"/>
      <c r="H1247" s="12" t="s">
        <v>38</v>
      </c>
      <c r="I1247" s="12" t="s">
        <v>113</v>
      </c>
      <c r="J1247" s="12" t="s">
        <v>529</v>
      </c>
      <c r="K1247" s="12" t="s">
        <v>82</v>
      </c>
      <c r="L1247" s="14"/>
      <c r="M1247" s="12" t="s">
        <v>43</v>
      </c>
      <c r="N1247" s="12" t="s">
        <v>44</v>
      </c>
      <c r="O1247" s="12" t="s">
        <v>4977</v>
      </c>
      <c r="P1247" s="12" t="s">
        <v>46</v>
      </c>
      <c r="Q1247" s="12" t="s">
        <v>47</v>
      </c>
      <c r="R1247" s="12" t="s">
        <v>117</v>
      </c>
      <c r="S1247" s="13">
        <v>197643179108</v>
      </c>
      <c r="T1247" s="12" t="s">
        <v>49</v>
      </c>
      <c r="U1247" s="13">
        <v>36.5</v>
      </c>
      <c r="V1247" s="12" t="s">
        <v>50</v>
      </c>
      <c r="W1247" s="12" t="s">
        <v>580</v>
      </c>
      <c r="X1247" s="14"/>
      <c r="Y1247" s="12" t="s">
        <v>53</v>
      </c>
      <c r="Z1247" s="12" t="s">
        <v>165</v>
      </c>
      <c r="AA1247" s="14"/>
      <c r="AB1247" s="14"/>
      <c r="AC1247" s="15">
        <v>45.5</v>
      </c>
      <c r="AD1247" s="15">
        <f>AC1247*AG1247</f>
        <v>227.5</v>
      </c>
      <c r="AE1247" s="15">
        <v>100</v>
      </c>
      <c r="AF1247" s="15">
        <f>AE1247*AG1247</f>
        <v>500</v>
      </c>
      <c r="AG1247" s="16">
        <v>5</v>
      </c>
    </row>
    <row r="1248" spans="1:33" ht="15" customHeight="1" x14ac:dyDescent="0.2">
      <c r="A1248" s="11" t="str">
        <f t="shared" ref="A1248:A4113" si="528">HYPERLINK("https://assets.vans.eu/images/VN000D1JCFL-HERO/1","VN000D1JCFL1")</f>
        <v>VN000D1JCFL1</v>
      </c>
      <c r="B1248" s="12" t="s">
        <v>4978</v>
      </c>
      <c r="C1248" s="12" t="s">
        <v>251</v>
      </c>
      <c r="D1248" s="12" t="s">
        <v>1258</v>
      </c>
      <c r="E1248" s="12" t="s">
        <v>4979</v>
      </c>
      <c r="F1248" s="13">
        <v>40</v>
      </c>
      <c r="G1248" s="14"/>
      <c r="H1248" s="12" t="s">
        <v>38</v>
      </c>
      <c r="I1248" s="12" t="s">
        <v>113</v>
      </c>
      <c r="J1248" s="12" t="s">
        <v>529</v>
      </c>
      <c r="K1248" s="12" t="s">
        <v>82</v>
      </c>
      <c r="L1248" s="14"/>
      <c r="M1248" s="12" t="s">
        <v>43</v>
      </c>
      <c r="N1248" s="12" t="s">
        <v>44</v>
      </c>
      <c r="O1248" s="12" t="s">
        <v>4980</v>
      </c>
      <c r="P1248" s="12" t="s">
        <v>46</v>
      </c>
      <c r="Q1248" s="12" t="s">
        <v>47</v>
      </c>
      <c r="R1248" s="12" t="s">
        <v>117</v>
      </c>
      <c r="S1248" s="13">
        <v>197643178798</v>
      </c>
      <c r="T1248" s="12" t="s">
        <v>49</v>
      </c>
      <c r="U1248" s="13">
        <v>35</v>
      </c>
      <c r="V1248" s="12" t="s">
        <v>50</v>
      </c>
      <c r="W1248" s="12" t="s">
        <v>284</v>
      </c>
      <c r="X1248" s="14"/>
      <c r="Y1248" s="12" t="s">
        <v>53</v>
      </c>
      <c r="Z1248" s="12" t="s">
        <v>165</v>
      </c>
      <c r="AA1248" s="14"/>
      <c r="AB1248" s="14"/>
      <c r="AC1248" s="15">
        <v>45.5</v>
      </c>
      <c r="AD1248" s="15">
        <f>AC1248*AG1248</f>
        <v>227.5</v>
      </c>
      <c r="AE1248" s="15">
        <v>100</v>
      </c>
      <c r="AF1248" s="15">
        <f>AE1248*AG1248</f>
        <v>500</v>
      </c>
      <c r="AG1248" s="16">
        <v>5</v>
      </c>
    </row>
    <row r="1249" spans="1:33" ht="15" customHeight="1" x14ac:dyDescent="0.2">
      <c r="A1249" s="11" t="str">
        <f t="shared" ref="A1249:A1498" si="529">HYPERLINK("https://assets.vans.eu/images/VN000D1JOVM-HERO/1","VN000D1JOVM1")</f>
        <v>VN000D1JOVM1</v>
      </c>
      <c r="B1249" s="12" t="s">
        <v>4981</v>
      </c>
      <c r="C1249" s="12" t="s">
        <v>251</v>
      </c>
      <c r="D1249" s="12" t="s">
        <v>4982</v>
      </c>
      <c r="E1249" s="12" t="s">
        <v>4983</v>
      </c>
      <c r="F1249" s="13">
        <v>65</v>
      </c>
      <c r="G1249" s="12" t="s">
        <v>1111</v>
      </c>
      <c r="H1249" s="12" t="s">
        <v>38</v>
      </c>
      <c r="I1249" s="12" t="s">
        <v>113</v>
      </c>
      <c r="J1249" s="12" t="s">
        <v>529</v>
      </c>
      <c r="K1249" s="12" t="s">
        <v>82</v>
      </c>
      <c r="L1249" s="14"/>
      <c r="M1249" s="12" t="s">
        <v>43</v>
      </c>
      <c r="N1249" s="12" t="s">
        <v>84</v>
      </c>
      <c r="O1249" s="12" t="s">
        <v>4984</v>
      </c>
      <c r="P1249" s="12" t="s">
        <v>46</v>
      </c>
      <c r="Q1249" s="12" t="s">
        <v>47</v>
      </c>
      <c r="R1249" s="12" t="s">
        <v>117</v>
      </c>
      <c r="S1249" s="13">
        <v>197804439973</v>
      </c>
      <c r="T1249" s="12" t="s">
        <v>49</v>
      </c>
      <c r="U1249" s="13">
        <v>38.5</v>
      </c>
      <c r="V1249" s="12" t="s">
        <v>50</v>
      </c>
      <c r="W1249" s="12" t="s">
        <v>175</v>
      </c>
      <c r="X1249" s="14"/>
      <c r="Y1249" s="14"/>
      <c r="Z1249" s="14"/>
      <c r="AA1249" s="14"/>
      <c r="AB1249" s="14"/>
      <c r="AC1249" s="15">
        <v>50</v>
      </c>
      <c r="AD1249" s="15">
        <f>AC1249*AG1249</f>
        <v>250</v>
      </c>
      <c r="AE1249" s="15">
        <v>110</v>
      </c>
      <c r="AF1249" s="15">
        <f>AE1249*AG1249</f>
        <v>550</v>
      </c>
      <c r="AG1249" s="16">
        <v>5</v>
      </c>
    </row>
    <row r="1250" spans="1:33" ht="15" customHeight="1" x14ac:dyDescent="0.2">
      <c r="A1250" s="11" t="str">
        <f t="shared" ref="A1250:A2587" si="530">HYPERLINK("https://assets.vans.eu/images/VN000D1JY23-HERO/1","VN000D1JY231")</f>
        <v>VN000D1JY231</v>
      </c>
      <c r="B1250" s="12" t="s">
        <v>4985</v>
      </c>
      <c r="C1250" s="12" t="s">
        <v>251</v>
      </c>
      <c r="D1250" s="12" t="s">
        <v>1312</v>
      </c>
      <c r="E1250" s="12" t="s">
        <v>4986</v>
      </c>
      <c r="F1250" s="13">
        <v>70</v>
      </c>
      <c r="G1250" s="14"/>
      <c r="H1250" s="12" t="s">
        <v>38</v>
      </c>
      <c r="I1250" s="12" t="s">
        <v>159</v>
      </c>
      <c r="J1250" s="12" t="s">
        <v>255</v>
      </c>
      <c r="K1250" s="12" t="s">
        <v>82</v>
      </c>
      <c r="L1250" s="12" t="s">
        <v>260</v>
      </c>
      <c r="M1250" s="12" t="s">
        <v>43</v>
      </c>
      <c r="N1250" s="12" t="s">
        <v>84</v>
      </c>
      <c r="O1250" s="12" t="s">
        <v>4987</v>
      </c>
      <c r="P1250" s="12" t="s">
        <v>46</v>
      </c>
      <c r="Q1250" s="12" t="s">
        <v>47</v>
      </c>
      <c r="R1250" s="12" t="s">
        <v>163</v>
      </c>
      <c r="S1250" s="13">
        <v>197804612772</v>
      </c>
      <c r="T1250" s="12" t="s">
        <v>49</v>
      </c>
      <c r="U1250" s="13">
        <v>39</v>
      </c>
      <c r="V1250" s="12" t="s">
        <v>50</v>
      </c>
      <c r="W1250" s="12" t="s">
        <v>51</v>
      </c>
      <c r="X1250" s="14"/>
      <c r="Y1250" s="14"/>
      <c r="Z1250" s="14"/>
      <c r="AA1250" s="14"/>
      <c r="AB1250" s="14"/>
      <c r="AC1250" s="15">
        <v>47.75</v>
      </c>
      <c r="AD1250" s="15">
        <f>AC1250*AG1250</f>
        <v>238.75</v>
      </c>
      <c r="AE1250" s="15">
        <v>105</v>
      </c>
      <c r="AF1250" s="15">
        <f>AE1250*AG1250</f>
        <v>525</v>
      </c>
      <c r="AG1250" s="16">
        <v>5</v>
      </c>
    </row>
    <row r="1251" spans="1:33" ht="15" customHeight="1" x14ac:dyDescent="0.2">
      <c r="A1251" s="11" t="str">
        <f t="shared" si="455"/>
        <v>VN000D26GWT1</v>
      </c>
      <c r="B1251" s="12" t="s">
        <v>4988</v>
      </c>
      <c r="C1251" s="12" t="s">
        <v>251</v>
      </c>
      <c r="D1251" s="12" t="s">
        <v>2812</v>
      </c>
      <c r="E1251" s="12" t="s">
        <v>4989</v>
      </c>
      <c r="F1251" s="13">
        <v>80</v>
      </c>
      <c r="G1251" s="12" t="s">
        <v>2291</v>
      </c>
      <c r="H1251" s="12" t="s">
        <v>38</v>
      </c>
      <c r="I1251" s="12" t="s">
        <v>159</v>
      </c>
      <c r="J1251" s="12" t="s">
        <v>255</v>
      </c>
      <c r="K1251" s="12" t="s">
        <v>82</v>
      </c>
      <c r="L1251" s="14"/>
      <c r="M1251" s="12" t="s">
        <v>43</v>
      </c>
      <c r="N1251" s="12" t="s">
        <v>84</v>
      </c>
      <c r="O1251" s="12" t="s">
        <v>4990</v>
      </c>
      <c r="P1251" s="12" t="s">
        <v>46</v>
      </c>
      <c r="Q1251" s="12" t="s">
        <v>47</v>
      </c>
      <c r="R1251" s="12" t="s">
        <v>163</v>
      </c>
      <c r="S1251" s="13">
        <v>197804445448</v>
      </c>
      <c r="T1251" s="12" t="s">
        <v>49</v>
      </c>
      <c r="U1251" s="13">
        <v>40.5</v>
      </c>
      <c r="V1251" s="12" t="s">
        <v>50</v>
      </c>
      <c r="W1251" s="12" t="s">
        <v>186</v>
      </c>
      <c r="X1251" s="14"/>
      <c r="Y1251" s="14"/>
      <c r="Z1251" s="14"/>
      <c r="AA1251" s="14"/>
      <c r="AB1251" s="14"/>
      <c r="AC1251" s="15">
        <v>45.5</v>
      </c>
      <c r="AD1251" s="15">
        <f>AC1251*AG1251</f>
        <v>227.5</v>
      </c>
      <c r="AE1251" s="15">
        <v>100</v>
      </c>
      <c r="AF1251" s="15">
        <f>AE1251*AG1251</f>
        <v>500</v>
      </c>
      <c r="AG1251" s="16">
        <v>5</v>
      </c>
    </row>
    <row r="1252" spans="1:33" ht="15" customHeight="1" x14ac:dyDescent="0.2">
      <c r="A1252" s="11" t="str">
        <f t="shared" si="212"/>
        <v>VN000D26PWT1</v>
      </c>
      <c r="B1252" s="12" t="s">
        <v>4991</v>
      </c>
      <c r="C1252" s="12" t="s">
        <v>251</v>
      </c>
      <c r="D1252" s="12" t="s">
        <v>2289</v>
      </c>
      <c r="E1252" s="12" t="s">
        <v>4992</v>
      </c>
      <c r="F1252" s="13">
        <v>50</v>
      </c>
      <c r="G1252" s="12" t="s">
        <v>2291</v>
      </c>
      <c r="H1252" s="12" t="s">
        <v>38</v>
      </c>
      <c r="I1252" s="12" t="s">
        <v>159</v>
      </c>
      <c r="J1252" s="12" t="s">
        <v>255</v>
      </c>
      <c r="K1252" s="12" t="s">
        <v>82</v>
      </c>
      <c r="L1252" s="14"/>
      <c r="M1252" s="12" t="s">
        <v>43</v>
      </c>
      <c r="N1252" s="12" t="s">
        <v>84</v>
      </c>
      <c r="O1252" s="12" t="s">
        <v>4993</v>
      </c>
      <c r="P1252" s="12" t="s">
        <v>46</v>
      </c>
      <c r="Q1252" s="12" t="s">
        <v>47</v>
      </c>
      <c r="R1252" s="12" t="s">
        <v>163</v>
      </c>
      <c r="S1252" s="13">
        <v>197804444526</v>
      </c>
      <c r="T1252" s="12" t="s">
        <v>49</v>
      </c>
      <c r="U1252" s="13">
        <v>36.5</v>
      </c>
      <c r="V1252" s="12" t="s">
        <v>50</v>
      </c>
      <c r="W1252" s="12" t="s">
        <v>455</v>
      </c>
      <c r="X1252" s="14"/>
      <c r="Y1252" s="14"/>
      <c r="Z1252" s="14"/>
      <c r="AA1252" s="14"/>
      <c r="AB1252" s="14"/>
      <c r="AC1252" s="15">
        <v>45.5</v>
      </c>
      <c r="AD1252" s="15">
        <f>AC1252*AG1252</f>
        <v>227.5</v>
      </c>
      <c r="AE1252" s="15">
        <v>100</v>
      </c>
      <c r="AF1252" s="15">
        <f>AE1252*AG1252</f>
        <v>500</v>
      </c>
      <c r="AG1252" s="16">
        <v>5</v>
      </c>
    </row>
    <row r="1253" spans="1:33" ht="15" customHeight="1" x14ac:dyDescent="0.2">
      <c r="A1253" s="11" t="str">
        <f t="shared" ref="A1253:A1889" si="531">HYPERLINK("https://assets.vans.eu/images/VN000D4N208-HERO/1","VN000D4N2081")</f>
        <v>VN000D4N2081</v>
      </c>
      <c r="B1253" s="12" t="s">
        <v>4994</v>
      </c>
      <c r="C1253" s="12" t="s">
        <v>251</v>
      </c>
      <c r="D1253" s="12" t="s">
        <v>4995</v>
      </c>
      <c r="E1253" s="12" t="s">
        <v>4996</v>
      </c>
      <c r="F1253" s="13">
        <v>110</v>
      </c>
      <c r="G1253" s="12" t="s">
        <v>4997</v>
      </c>
      <c r="H1253" s="12" t="s">
        <v>38</v>
      </c>
      <c r="I1253" s="12" t="s">
        <v>39</v>
      </c>
      <c r="J1253" s="12" t="s">
        <v>2430</v>
      </c>
      <c r="K1253" s="12" t="s">
        <v>41</v>
      </c>
      <c r="L1253" s="14"/>
      <c r="M1253" s="12" t="s">
        <v>43</v>
      </c>
      <c r="N1253" s="12" t="s">
        <v>84</v>
      </c>
      <c r="O1253" s="12" t="s">
        <v>4998</v>
      </c>
      <c r="P1253" s="12" t="s">
        <v>46</v>
      </c>
      <c r="Q1253" s="12" t="s">
        <v>47</v>
      </c>
      <c r="R1253" s="12" t="s">
        <v>48</v>
      </c>
      <c r="S1253" s="13">
        <v>197804448951</v>
      </c>
      <c r="T1253" s="12" t="s">
        <v>49</v>
      </c>
      <c r="U1253" s="13">
        <v>27.5</v>
      </c>
      <c r="V1253" s="12" t="s">
        <v>1468</v>
      </c>
      <c r="W1253" s="12" t="s">
        <v>455</v>
      </c>
      <c r="X1253" s="14"/>
      <c r="Y1253" s="14"/>
      <c r="Z1253" s="14"/>
      <c r="AA1253" s="14"/>
      <c r="AB1253" s="14"/>
      <c r="AC1253" s="15">
        <v>29.55</v>
      </c>
      <c r="AD1253" s="15">
        <f>AC1253*AG1253</f>
        <v>147.75</v>
      </c>
      <c r="AE1253" s="15">
        <v>65</v>
      </c>
      <c r="AF1253" s="15">
        <f>AE1253*AG1253</f>
        <v>325</v>
      </c>
      <c r="AG1253" s="16">
        <v>5</v>
      </c>
    </row>
    <row r="1254" spans="1:33" ht="15" customHeight="1" x14ac:dyDescent="0.2">
      <c r="A1254" s="11" t="str">
        <f t="shared" ref="A1254:A1892" si="532">HYPERLINK("https://assets.vans.eu/images/VN000D4NBZW-HERO/1","VN000D4NBZW1")</f>
        <v>VN000D4NBZW1</v>
      </c>
      <c r="B1254" s="12" t="s">
        <v>4999</v>
      </c>
      <c r="C1254" s="12" t="s">
        <v>251</v>
      </c>
      <c r="D1254" s="12" t="s">
        <v>58</v>
      </c>
      <c r="E1254" s="12" t="s">
        <v>5000</v>
      </c>
      <c r="F1254" s="13">
        <v>105</v>
      </c>
      <c r="G1254" s="14"/>
      <c r="H1254" s="12" t="s">
        <v>38</v>
      </c>
      <c r="I1254" s="12" t="s">
        <v>39</v>
      </c>
      <c r="J1254" s="12" t="s">
        <v>2430</v>
      </c>
      <c r="K1254" s="12" t="s">
        <v>41</v>
      </c>
      <c r="L1254" s="14"/>
      <c r="M1254" s="12" t="s">
        <v>43</v>
      </c>
      <c r="N1254" s="12" t="s">
        <v>44</v>
      </c>
      <c r="O1254" s="12" t="s">
        <v>5001</v>
      </c>
      <c r="P1254" s="12" t="s">
        <v>46</v>
      </c>
      <c r="Q1254" s="12" t="s">
        <v>47</v>
      </c>
      <c r="R1254" s="12" t="s">
        <v>48</v>
      </c>
      <c r="S1254" s="13">
        <v>197643357834</v>
      </c>
      <c r="T1254" s="12" t="s">
        <v>49</v>
      </c>
      <c r="U1254" s="13">
        <v>27</v>
      </c>
      <c r="V1254" s="12" t="s">
        <v>1468</v>
      </c>
      <c r="W1254" s="12" t="s">
        <v>51</v>
      </c>
      <c r="X1254" s="14"/>
      <c r="Y1254" s="12" t="s">
        <v>91</v>
      </c>
      <c r="Z1254" s="12" t="s">
        <v>165</v>
      </c>
      <c r="AA1254" s="14"/>
      <c r="AB1254" s="14"/>
      <c r="AC1254" s="15">
        <v>29.55</v>
      </c>
      <c r="AD1254" s="15">
        <f>AC1254*AG1254</f>
        <v>147.75</v>
      </c>
      <c r="AE1254" s="15">
        <v>65</v>
      </c>
      <c r="AF1254" s="15">
        <f>AE1254*AG1254</f>
        <v>325</v>
      </c>
      <c r="AG1254" s="16">
        <v>5</v>
      </c>
    </row>
    <row r="1255" spans="1:33" ht="15" customHeight="1" x14ac:dyDescent="0.2">
      <c r="A1255" s="11" t="str">
        <f t="shared" si="417"/>
        <v>VN000D4SCFL1</v>
      </c>
      <c r="B1255" s="12" t="s">
        <v>5002</v>
      </c>
      <c r="C1255" s="12" t="s">
        <v>1257</v>
      </c>
      <c r="D1255" s="12" t="s">
        <v>1258</v>
      </c>
      <c r="E1255" s="12" t="s">
        <v>5003</v>
      </c>
      <c r="F1255" s="13">
        <v>35</v>
      </c>
      <c r="G1255" s="14"/>
      <c r="H1255" s="12" t="s">
        <v>38</v>
      </c>
      <c r="I1255" s="12" t="s">
        <v>242</v>
      </c>
      <c r="J1255" s="12" t="s">
        <v>243</v>
      </c>
      <c r="K1255" s="12" t="s">
        <v>244</v>
      </c>
      <c r="L1255" s="14"/>
      <c r="M1255" s="12" t="s">
        <v>43</v>
      </c>
      <c r="N1255" s="12" t="s">
        <v>84</v>
      </c>
      <c r="O1255" s="12" t="s">
        <v>5004</v>
      </c>
      <c r="P1255" s="12" t="s">
        <v>46</v>
      </c>
      <c r="Q1255" s="12" t="s">
        <v>47</v>
      </c>
      <c r="R1255" s="12" t="s">
        <v>48</v>
      </c>
      <c r="S1255" s="13">
        <v>197804530557</v>
      </c>
      <c r="T1255" s="12" t="s">
        <v>105</v>
      </c>
      <c r="U1255" s="13">
        <v>18.5</v>
      </c>
      <c r="V1255" s="12" t="s">
        <v>50</v>
      </c>
      <c r="W1255" s="12" t="s">
        <v>284</v>
      </c>
      <c r="X1255" s="14"/>
      <c r="Y1255" s="14"/>
      <c r="Z1255" s="14"/>
      <c r="AA1255" s="14"/>
      <c r="AB1255" s="14"/>
      <c r="AC1255" s="15">
        <v>22.75</v>
      </c>
      <c r="AD1255" s="15">
        <f>AC1255*AG1255</f>
        <v>113.75</v>
      </c>
      <c r="AE1255" s="15">
        <v>50</v>
      </c>
      <c r="AF1255" s="15">
        <f>AE1255*AG1255</f>
        <v>250</v>
      </c>
      <c r="AG1255" s="16">
        <v>5</v>
      </c>
    </row>
    <row r="1256" spans="1:33" ht="15" customHeight="1" x14ac:dyDescent="0.2">
      <c r="A1256" s="11" t="str">
        <f t="shared" ref="A1256:A1510" si="533">HYPERLINK("https://assets.vans.eu/images/VN000D4SCFL-HERO/1","VN000D4SCFL1")</f>
        <v>VN000D4SCFL1</v>
      </c>
      <c r="B1256" s="12" t="s">
        <v>5005</v>
      </c>
      <c r="C1256" s="12" t="s">
        <v>1257</v>
      </c>
      <c r="D1256" s="12" t="s">
        <v>1258</v>
      </c>
      <c r="E1256" s="12" t="s">
        <v>5006</v>
      </c>
      <c r="F1256" s="13">
        <v>70</v>
      </c>
      <c r="G1256" s="14"/>
      <c r="H1256" s="12" t="s">
        <v>38</v>
      </c>
      <c r="I1256" s="12" t="s">
        <v>242</v>
      </c>
      <c r="J1256" s="12" t="s">
        <v>243</v>
      </c>
      <c r="K1256" s="12" t="s">
        <v>244</v>
      </c>
      <c r="L1256" s="14"/>
      <c r="M1256" s="12" t="s">
        <v>43</v>
      </c>
      <c r="N1256" s="12" t="s">
        <v>84</v>
      </c>
      <c r="O1256" s="12" t="s">
        <v>5007</v>
      </c>
      <c r="P1256" s="12" t="s">
        <v>46</v>
      </c>
      <c r="Q1256" s="12" t="s">
        <v>47</v>
      </c>
      <c r="R1256" s="12" t="s">
        <v>48</v>
      </c>
      <c r="S1256" s="13">
        <v>197804531271</v>
      </c>
      <c r="T1256" s="12" t="s">
        <v>105</v>
      </c>
      <c r="U1256" s="13">
        <v>23.5</v>
      </c>
      <c r="V1256" s="12" t="s">
        <v>50</v>
      </c>
      <c r="W1256" s="12" t="s">
        <v>284</v>
      </c>
      <c r="X1256" s="14"/>
      <c r="Y1256" s="14"/>
      <c r="Z1256" s="14"/>
      <c r="AA1256" s="14"/>
      <c r="AB1256" s="14"/>
      <c r="AC1256" s="15">
        <v>22.75</v>
      </c>
      <c r="AD1256" s="15">
        <f>AC1256*AG1256</f>
        <v>113.75</v>
      </c>
      <c r="AE1256" s="15">
        <v>50</v>
      </c>
      <c r="AF1256" s="15">
        <f>AE1256*AG1256</f>
        <v>250</v>
      </c>
      <c r="AG1256" s="16">
        <v>5</v>
      </c>
    </row>
    <row r="1257" spans="1:33" ht="15" customHeight="1" x14ac:dyDescent="0.2">
      <c r="A1257" s="11" t="str">
        <f t="shared" ref="A1257:A4274" si="534">HYPERLINK("https://assets.vans.eu/images/VN000D5PZCF-HERO/1","VN000D5PZCF1")</f>
        <v>VN000D5PZCF1</v>
      </c>
      <c r="B1257" s="12" t="s">
        <v>5008</v>
      </c>
      <c r="C1257" s="12" t="s">
        <v>3586</v>
      </c>
      <c r="D1257" s="12" t="s">
        <v>5009</v>
      </c>
      <c r="E1257" s="12" t="s">
        <v>5010</v>
      </c>
      <c r="F1257" s="13">
        <v>120</v>
      </c>
      <c r="G1257" s="12" t="s">
        <v>2273</v>
      </c>
      <c r="H1257" s="12" t="s">
        <v>38</v>
      </c>
      <c r="I1257" s="12" t="s">
        <v>159</v>
      </c>
      <c r="J1257" s="12" t="s">
        <v>160</v>
      </c>
      <c r="K1257" s="12" t="s">
        <v>82</v>
      </c>
      <c r="L1257" s="14"/>
      <c r="M1257" s="12" t="s">
        <v>43</v>
      </c>
      <c r="N1257" s="12" t="s">
        <v>44</v>
      </c>
      <c r="O1257" s="12" t="s">
        <v>5011</v>
      </c>
      <c r="P1257" s="12" t="s">
        <v>46</v>
      </c>
      <c r="Q1257" s="12" t="s">
        <v>47</v>
      </c>
      <c r="R1257" s="12" t="s">
        <v>163</v>
      </c>
      <c r="S1257" s="13">
        <v>197643202400</v>
      </c>
      <c r="T1257" s="12" t="s">
        <v>105</v>
      </c>
      <c r="U1257" s="13">
        <v>46</v>
      </c>
      <c r="V1257" s="12" t="s">
        <v>375</v>
      </c>
      <c r="W1257" s="12" t="s">
        <v>262</v>
      </c>
      <c r="X1257" s="14"/>
      <c r="Y1257" s="12" t="s">
        <v>91</v>
      </c>
      <c r="Z1257" s="12" t="s">
        <v>165</v>
      </c>
      <c r="AA1257" s="14"/>
      <c r="AB1257" s="14"/>
      <c r="AC1257" s="15">
        <v>36.4</v>
      </c>
      <c r="AD1257" s="15">
        <f>AC1257*AG1257</f>
        <v>182</v>
      </c>
      <c r="AE1257" s="15">
        <v>80</v>
      </c>
      <c r="AF1257" s="15">
        <f>AE1257*AG1257</f>
        <v>400</v>
      </c>
      <c r="AG1257" s="16">
        <v>5</v>
      </c>
    </row>
    <row r="1258" spans="1:33" ht="15" customHeight="1" x14ac:dyDescent="0.2">
      <c r="A1258" s="11" t="str">
        <f t="shared" si="66"/>
        <v>VN000D5VN431</v>
      </c>
      <c r="B1258" s="12" t="s">
        <v>5012</v>
      </c>
      <c r="C1258" s="12" t="s">
        <v>1006</v>
      </c>
      <c r="D1258" s="12" t="s">
        <v>1007</v>
      </c>
      <c r="E1258" s="12" t="s">
        <v>5013</v>
      </c>
      <c r="F1258" s="13">
        <v>45</v>
      </c>
      <c r="G1258" s="14"/>
      <c r="H1258" s="12" t="s">
        <v>38</v>
      </c>
      <c r="I1258" s="12" t="s">
        <v>159</v>
      </c>
      <c r="J1258" s="12" t="s">
        <v>255</v>
      </c>
      <c r="K1258" s="12" t="s">
        <v>82</v>
      </c>
      <c r="L1258" s="14"/>
      <c r="M1258" s="12" t="s">
        <v>43</v>
      </c>
      <c r="N1258" s="12" t="s">
        <v>44</v>
      </c>
      <c r="O1258" s="12" t="s">
        <v>5014</v>
      </c>
      <c r="P1258" s="12" t="s">
        <v>46</v>
      </c>
      <c r="Q1258" s="12" t="s">
        <v>47</v>
      </c>
      <c r="R1258" s="12" t="s">
        <v>163</v>
      </c>
      <c r="S1258" s="13">
        <v>197643280866</v>
      </c>
      <c r="T1258" s="12" t="s">
        <v>49</v>
      </c>
      <c r="U1258" s="13">
        <v>36</v>
      </c>
      <c r="V1258" s="12" t="s">
        <v>50</v>
      </c>
      <c r="W1258" s="12" t="s">
        <v>455</v>
      </c>
      <c r="X1258" s="12" t="s">
        <v>1010</v>
      </c>
      <c r="Y1258" s="12" t="s">
        <v>1011</v>
      </c>
      <c r="Z1258" s="12" t="s">
        <v>165</v>
      </c>
      <c r="AA1258" s="14"/>
      <c r="AB1258" s="14"/>
      <c r="AC1258" s="15">
        <v>70.5</v>
      </c>
      <c r="AD1258" s="15">
        <f>AC1258*AG1258</f>
        <v>352.5</v>
      </c>
      <c r="AE1258" s="15">
        <v>155</v>
      </c>
      <c r="AF1258" s="15">
        <f>AE1258*AG1258</f>
        <v>775</v>
      </c>
      <c r="AG1258" s="16">
        <v>5</v>
      </c>
    </row>
    <row r="1259" spans="1:33" ht="15" customHeight="1" x14ac:dyDescent="0.2">
      <c r="A1259" s="11" t="str">
        <f t="shared" ref="A1259:A1912" si="535">HYPERLINK("https://assets.vans.eu/images/VN000D610VW-HERO/1","VN000D610VW1")</f>
        <v>VN000D610VW1</v>
      </c>
      <c r="B1259" s="12" t="s">
        <v>5015</v>
      </c>
      <c r="C1259" s="12" t="s">
        <v>1114</v>
      </c>
      <c r="D1259" s="12" t="s">
        <v>628</v>
      </c>
      <c r="E1259" s="12" t="s">
        <v>5016</v>
      </c>
      <c r="F1259" s="13">
        <v>50</v>
      </c>
      <c r="G1259" s="12" t="s">
        <v>4383</v>
      </c>
      <c r="H1259" s="12" t="s">
        <v>38</v>
      </c>
      <c r="I1259" s="12" t="s">
        <v>113</v>
      </c>
      <c r="J1259" s="12" t="s">
        <v>529</v>
      </c>
      <c r="K1259" s="12" t="s">
        <v>82</v>
      </c>
      <c r="L1259" s="14"/>
      <c r="M1259" s="12" t="s">
        <v>43</v>
      </c>
      <c r="N1259" s="12" t="s">
        <v>84</v>
      </c>
      <c r="O1259" s="12" t="s">
        <v>5017</v>
      </c>
      <c r="P1259" s="12" t="s">
        <v>46</v>
      </c>
      <c r="Q1259" s="12" t="s">
        <v>47</v>
      </c>
      <c r="R1259" s="12" t="s">
        <v>117</v>
      </c>
      <c r="S1259" s="13">
        <v>197804534913</v>
      </c>
      <c r="T1259" s="12" t="s">
        <v>49</v>
      </c>
      <c r="U1259" s="13">
        <v>36.5</v>
      </c>
      <c r="V1259" s="12" t="s">
        <v>50</v>
      </c>
      <c r="W1259" s="12" t="s">
        <v>175</v>
      </c>
      <c r="X1259" s="14"/>
      <c r="Y1259" s="14"/>
      <c r="Z1259" s="14"/>
      <c r="AA1259" s="14"/>
      <c r="AB1259" s="14"/>
      <c r="AC1259" s="15">
        <v>54.55</v>
      </c>
      <c r="AD1259" s="15">
        <f>AC1259*AG1259</f>
        <v>272.75</v>
      </c>
      <c r="AE1259" s="15">
        <v>120</v>
      </c>
      <c r="AF1259" s="15">
        <f>AE1259*AG1259</f>
        <v>600</v>
      </c>
      <c r="AG1259" s="16">
        <v>5</v>
      </c>
    </row>
    <row r="1260" spans="1:33" ht="15" customHeight="1" x14ac:dyDescent="0.2">
      <c r="A1260" s="11" t="str">
        <f t="shared" ref="A1260:A2652" si="536">HYPERLINK("https://assets.vans.eu/images/VN000D6CCI2-HERO/1","VN000D6CCI21")</f>
        <v>VN000D6CCI21</v>
      </c>
      <c r="B1260" s="12" t="s">
        <v>5018</v>
      </c>
      <c r="C1260" s="12" t="s">
        <v>110</v>
      </c>
      <c r="D1260" s="12" t="s">
        <v>2499</v>
      </c>
      <c r="E1260" s="12" t="s">
        <v>5019</v>
      </c>
      <c r="F1260" s="13">
        <v>105</v>
      </c>
      <c r="G1260" s="12" t="s">
        <v>5020</v>
      </c>
      <c r="H1260" s="12" t="s">
        <v>38</v>
      </c>
      <c r="I1260" s="12" t="s">
        <v>159</v>
      </c>
      <c r="J1260" s="12" t="s">
        <v>160</v>
      </c>
      <c r="K1260" s="12" t="s">
        <v>82</v>
      </c>
      <c r="L1260" s="14"/>
      <c r="M1260" s="12" t="s">
        <v>43</v>
      </c>
      <c r="N1260" s="12" t="s">
        <v>44</v>
      </c>
      <c r="O1260" s="12" t="s">
        <v>5021</v>
      </c>
      <c r="P1260" s="12" t="s">
        <v>46</v>
      </c>
      <c r="Q1260" s="12" t="s">
        <v>47</v>
      </c>
      <c r="R1260" s="12" t="s">
        <v>163</v>
      </c>
      <c r="S1260" s="13">
        <v>197643204497</v>
      </c>
      <c r="T1260" s="12" t="s">
        <v>105</v>
      </c>
      <c r="U1260" s="13">
        <v>44</v>
      </c>
      <c r="V1260" s="12" t="s">
        <v>50</v>
      </c>
      <c r="W1260" s="12" t="s">
        <v>118</v>
      </c>
      <c r="X1260" s="14"/>
      <c r="Y1260" s="12" t="s">
        <v>91</v>
      </c>
      <c r="Z1260" s="12" t="s">
        <v>2600</v>
      </c>
      <c r="AA1260" s="14"/>
      <c r="AB1260" s="14"/>
      <c r="AC1260" s="15">
        <v>43.2</v>
      </c>
      <c r="AD1260" s="15">
        <f>AC1260*AG1260</f>
        <v>216</v>
      </c>
      <c r="AE1260" s="15">
        <v>95</v>
      </c>
      <c r="AF1260" s="15">
        <f>AE1260*AG1260</f>
        <v>475</v>
      </c>
      <c r="AG1260" s="16">
        <v>5</v>
      </c>
    </row>
    <row r="1261" spans="1:33" ht="15" customHeight="1" x14ac:dyDescent="0.2">
      <c r="A1261" s="11" t="str">
        <f t="shared" ref="A1261:A1918" si="537">HYPERLINK("https://assets.vans.eu/images/VN000D6W7WM-HERO/1","VN000D6W7WM1")</f>
        <v>VN000D6W7WM1</v>
      </c>
      <c r="B1261" s="12" t="s">
        <v>5022</v>
      </c>
      <c r="C1261" s="12" t="s">
        <v>34</v>
      </c>
      <c r="D1261" s="12" t="s">
        <v>388</v>
      </c>
      <c r="E1261" s="12" t="s">
        <v>5023</v>
      </c>
      <c r="F1261" s="13">
        <v>50</v>
      </c>
      <c r="G1261" s="12" t="s">
        <v>2814</v>
      </c>
      <c r="H1261" s="12" t="s">
        <v>38</v>
      </c>
      <c r="I1261" s="12" t="s">
        <v>113</v>
      </c>
      <c r="J1261" s="12" t="s">
        <v>114</v>
      </c>
      <c r="K1261" s="12" t="s">
        <v>82</v>
      </c>
      <c r="L1261" s="14"/>
      <c r="M1261" s="12" t="s">
        <v>43</v>
      </c>
      <c r="N1261" s="12" t="s">
        <v>84</v>
      </c>
      <c r="O1261" s="12" t="s">
        <v>5024</v>
      </c>
      <c r="P1261" s="12" t="s">
        <v>46</v>
      </c>
      <c r="Q1261" s="12" t="s">
        <v>47</v>
      </c>
      <c r="R1261" s="12" t="s">
        <v>117</v>
      </c>
      <c r="S1261" s="13">
        <v>197804539307</v>
      </c>
      <c r="T1261" s="12" t="s">
        <v>105</v>
      </c>
      <c r="U1261" s="13">
        <v>36.5</v>
      </c>
      <c r="V1261" s="12" t="s">
        <v>50</v>
      </c>
      <c r="W1261" s="12" t="s">
        <v>284</v>
      </c>
      <c r="X1261" s="14"/>
      <c r="Y1261" s="14"/>
      <c r="Z1261" s="14"/>
      <c r="AA1261" s="14"/>
      <c r="AB1261" s="14"/>
      <c r="AC1261" s="15">
        <v>43.2</v>
      </c>
      <c r="AD1261" s="15">
        <f>AC1261*AG1261</f>
        <v>216</v>
      </c>
      <c r="AE1261" s="15">
        <v>95</v>
      </c>
      <c r="AF1261" s="15">
        <f>AE1261*AG1261</f>
        <v>475</v>
      </c>
      <c r="AG1261" s="16">
        <v>5</v>
      </c>
    </row>
    <row r="1262" spans="1:33" ht="15" customHeight="1" x14ac:dyDescent="0.2">
      <c r="A1262" s="11" t="str">
        <f t="shared" ref="A1262:A1921" si="538">HYPERLINK("https://assets.vans.eu/images/VN000D6WEMW-HERO/1","VN000D6WEMW1")</f>
        <v>VN000D6WEMW1</v>
      </c>
      <c r="B1262" s="12" t="s">
        <v>5025</v>
      </c>
      <c r="C1262" s="12" t="s">
        <v>34</v>
      </c>
      <c r="D1262" s="12" t="s">
        <v>147</v>
      </c>
      <c r="E1262" s="12" t="s">
        <v>5026</v>
      </c>
      <c r="F1262" s="13">
        <v>50</v>
      </c>
      <c r="G1262" s="14"/>
      <c r="H1262" s="12" t="s">
        <v>38</v>
      </c>
      <c r="I1262" s="12" t="s">
        <v>113</v>
      </c>
      <c r="J1262" s="12" t="s">
        <v>114</v>
      </c>
      <c r="K1262" s="12" t="s">
        <v>82</v>
      </c>
      <c r="L1262" s="14"/>
      <c r="M1262" s="12" t="s">
        <v>43</v>
      </c>
      <c r="N1262" s="12" t="s">
        <v>84</v>
      </c>
      <c r="O1262" s="12" t="s">
        <v>5027</v>
      </c>
      <c r="P1262" s="12" t="s">
        <v>46</v>
      </c>
      <c r="Q1262" s="12" t="s">
        <v>47</v>
      </c>
      <c r="R1262" s="12" t="s">
        <v>117</v>
      </c>
      <c r="S1262" s="13">
        <v>197804540280</v>
      </c>
      <c r="T1262" s="12" t="s">
        <v>49</v>
      </c>
      <c r="U1262" s="13">
        <v>36.5</v>
      </c>
      <c r="V1262" s="12" t="s">
        <v>50</v>
      </c>
      <c r="W1262" s="12" t="s">
        <v>118</v>
      </c>
      <c r="X1262" s="14"/>
      <c r="Y1262" s="14"/>
      <c r="Z1262" s="14"/>
      <c r="AA1262" s="14"/>
      <c r="AB1262" s="14"/>
      <c r="AC1262" s="15">
        <v>38.65</v>
      </c>
      <c r="AD1262" s="15">
        <f>AC1262*AG1262</f>
        <v>193.25</v>
      </c>
      <c r="AE1262" s="15">
        <v>85</v>
      </c>
      <c r="AF1262" s="15">
        <f>AE1262*AG1262</f>
        <v>425</v>
      </c>
      <c r="AG1262" s="16">
        <v>5</v>
      </c>
    </row>
    <row r="1263" spans="1:33" ht="15" customHeight="1" x14ac:dyDescent="0.2">
      <c r="A1263" s="11" t="str">
        <f t="shared" ref="A1263:A4389" si="539">HYPERLINK("https://assets.vans.eu/images/VN000D6WY28-HERO/1","VN000D6WY281")</f>
        <v>VN000D6WY281</v>
      </c>
      <c r="B1263" s="12" t="s">
        <v>5028</v>
      </c>
      <c r="C1263" s="12" t="s">
        <v>34</v>
      </c>
      <c r="D1263" s="12" t="s">
        <v>58</v>
      </c>
      <c r="E1263" s="12" t="s">
        <v>5029</v>
      </c>
      <c r="F1263" s="13">
        <v>50</v>
      </c>
      <c r="G1263" s="14"/>
      <c r="H1263" s="12" t="s">
        <v>38</v>
      </c>
      <c r="I1263" s="12" t="s">
        <v>113</v>
      </c>
      <c r="J1263" s="12" t="s">
        <v>114</v>
      </c>
      <c r="K1263" s="12" t="s">
        <v>82</v>
      </c>
      <c r="L1263" s="14"/>
      <c r="M1263" s="12" t="s">
        <v>43</v>
      </c>
      <c r="N1263" s="12" t="s">
        <v>84</v>
      </c>
      <c r="O1263" s="12" t="s">
        <v>5030</v>
      </c>
      <c r="P1263" s="12" t="s">
        <v>46</v>
      </c>
      <c r="Q1263" s="12" t="s">
        <v>47</v>
      </c>
      <c r="R1263" s="12" t="s">
        <v>117</v>
      </c>
      <c r="S1263" s="13">
        <v>197804541225</v>
      </c>
      <c r="T1263" s="12" t="s">
        <v>105</v>
      </c>
      <c r="U1263" s="13">
        <v>36.5</v>
      </c>
      <c r="V1263" s="12" t="s">
        <v>50</v>
      </c>
      <c r="W1263" s="12" t="s">
        <v>51</v>
      </c>
      <c r="X1263" s="14"/>
      <c r="Y1263" s="14"/>
      <c r="Z1263" s="14"/>
      <c r="AA1263" s="14"/>
      <c r="AB1263" s="14"/>
      <c r="AC1263" s="15">
        <v>40.950000000000003</v>
      </c>
      <c r="AD1263" s="15">
        <f>AC1263*AG1263</f>
        <v>204.75</v>
      </c>
      <c r="AE1263" s="15">
        <v>90</v>
      </c>
      <c r="AF1263" s="15">
        <f>AE1263*AG1263</f>
        <v>450</v>
      </c>
      <c r="AG1263" s="16">
        <v>5</v>
      </c>
    </row>
    <row r="1264" spans="1:33" ht="15" customHeight="1" x14ac:dyDescent="0.2">
      <c r="A1264" s="11" t="str">
        <f t="shared" ref="A1264:A1928" si="540">HYPERLINK("https://assets.vans.eu/images/VN000D6YEZI-HERO/1","VN000D6YEZI1")</f>
        <v>VN000D6YEZI1</v>
      </c>
      <c r="B1264" s="12" t="s">
        <v>5031</v>
      </c>
      <c r="C1264" s="12" t="s">
        <v>3586</v>
      </c>
      <c r="D1264" s="12" t="s">
        <v>3603</v>
      </c>
      <c r="E1264" s="12" t="s">
        <v>5032</v>
      </c>
      <c r="F1264" s="13">
        <v>50</v>
      </c>
      <c r="G1264" s="12" t="s">
        <v>3605</v>
      </c>
      <c r="H1264" s="12" t="s">
        <v>38</v>
      </c>
      <c r="I1264" s="12" t="s">
        <v>113</v>
      </c>
      <c r="J1264" s="12" t="s">
        <v>114</v>
      </c>
      <c r="K1264" s="12" t="s">
        <v>82</v>
      </c>
      <c r="L1264" s="14"/>
      <c r="M1264" s="12" t="s">
        <v>43</v>
      </c>
      <c r="N1264" s="12" t="s">
        <v>84</v>
      </c>
      <c r="O1264" s="12" t="s">
        <v>5033</v>
      </c>
      <c r="P1264" s="12" t="s">
        <v>46</v>
      </c>
      <c r="Q1264" s="12" t="s">
        <v>47</v>
      </c>
      <c r="R1264" s="12" t="s">
        <v>117</v>
      </c>
      <c r="S1264" s="13">
        <v>197804454396</v>
      </c>
      <c r="T1264" s="12" t="s">
        <v>105</v>
      </c>
      <c r="U1264" s="13">
        <v>36.5</v>
      </c>
      <c r="V1264" s="12" t="s">
        <v>375</v>
      </c>
      <c r="W1264" s="12" t="s">
        <v>51</v>
      </c>
      <c r="X1264" s="14"/>
      <c r="Y1264" s="14"/>
      <c r="Z1264" s="14"/>
      <c r="AA1264" s="14"/>
      <c r="AB1264" s="14"/>
      <c r="AC1264" s="15">
        <v>36.4</v>
      </c>
      <c r="AD1264" s="15">
        <f>AC1264*AG1264</f>
        <v>182</v>
      </c>
      <c r="AE1264" s="15">
        <v>80</v>
      </c>
      <c r="AF1264" s="15">
        <f>AE1264*AG1264</f>
        <v>400</v>
      </c>
      <c r="AG1264" s="16">
        <v>5</v>
      </c>
    </row>
    <row r="1265" spans="1:33" ht="15" customHeight="1" x14ac:dyDescent="0.2">
      <c r="A1265" s="11" t="str">
        <f t="shared" ref="A1265:A2689" si="541">HYPERLINK("https://assets.vans.eu/images/VN000D6ZEMY-HERO/1","VN000D6ZEMY1")</f>
        <v>VN000D6ZEMY1</v>
      </c>
      <c r="B1265" s="12" t="s">
        <v>5034</v>
      </c>
      <c r="C1265" s="12" t="s">
        <v>110</v>
      </c>
      <c r="D1265" s="12" t="s">
        <v>1155</v>
      </c>
      <c r="E1265" s="12" t="s">
        <v>5035</v>
      </c>
      <c r="F1265" s="13">
        <v>65</v>
      </c>
      <c r="G1265" s="12" t="s">
        <v>3002</v>
      </c>
      <c r="H1265" s="12" t="s">
        <v>38</v>
      </c>
      <c r="I1265" s="12" t="s">
        <v>113</v>
      </c>
      <c r="J1265" s="12" t="s">
        <v>114</v>
      </c>
      <c r="K1265" s="12" t="s">
        <v>82</v>
      </c>
      <c r="L1265" s="14"/>
      <c r="M1265" s="12" t="s">
        <v>43</v>
      </c>
      <c r="N1265" s="12" t="s">
        <v>84</v>
      </c>
      <c r="O1265" s="12" t="s">
        <v>5036</v>
      </c>
      <c r="P1265" s="12" t="s">
        <v>46</v>
      </c>
      <c r="Q1265" s="12" t="s">
        <v>47</v>
      </c>
      <c r="R1265" s="12" t="s">
        <v>117</v>
      </c>
      <c r="S1265" s="13">
        <v>197804455911</v>
      </c>
      <c r="T1265" s="12" t="s">
        <v>105</v>
      </c>
      <c r="U1265" s="13">
        <v>38.5</v>
      </c>
      <c r="V1265" s="12" t="s">
        <v>50</v>
      </c>
      <c r="W1265" s="12" t="s">
        <v>107</v>
      </c>
      <c r="X1265" s="14"/>
      <c r="Y1265" s="14"/>
      <c r="Z1265" s="14"/>
      <c r="AA1265" s="14"/>
      <c r="AB1265" s="14"/>
      <c r="AC1265" s="15">
        <v>43.2</v>
      </c>
      <c r="AD1265" s="15">
        <f>AC1265*AG1265</f>
        <v>216</v>
      </c>
      <c r="AE1265" s="15">
        <v>95</v>
      </c>
      <c r="AF1265" s="15">
        <f>AE1265*AG1265</f>
        <v>475</v>
      </c>
      <c r="AG1265" s="16">
        <v>5</v>
      </c>
    </row>
    <row r="1266" spans="1:33" ht="15" customHeight="1" x14ac:dyDescent="0.2">
      <c r="A1266" s="11" t="str">
        <f t="shared" ref="A1266:A1933" si="542">HYPERLINK("https://assets.vans.eu/images/VN000D70E2Y-HERO/1","VN000D70E2Y1")</f>
        <v>VN000D70E2Y1</v>
      </c>
      <c r="B1266" s="12" t="s">
        <v>5037</v>
      </c>
      <c r="C1266" s="12" t="s">
        <v>1614</v>
      </c>
      <c r="D1266" s="12" t="s">
        <v>5038</v>
      </c>
      <c r="E1266" s="12" t="s">
        <v>5039</v>
      </c>
      <c r="F1266" s="13">
        <v>130</v>
      </c>
      <c r="G1266" s="12" t="s">
        <v>5040</v>
      </c>
      <c r="H1266" s="12" t="s">
        <v>38</v>
      </c>
      <c r="I1266" s="12" t="s">
        <v>113</v>
      </c>
      <c r="J1266" s="12" t="s">
        <v>529</v>
      </c>
      <c r="K1266" s="12" t="s">
        <v>82</v>
      </c>
      <c r="L1266" s="14"/>
      <c r="M1266" s="12" t="s">
        <v>43</v>
      </c>
      <c r="N1266" s="12" t="s">
        <v>44</v>
      </c>
      <c r="O1266" s="12" t="s">
        <v>5041</v>
      </c>
      <c r="P1266" s="12" t="s">
        <v>46</v>
      </c>
      <c r="Q1266" s="12" t="s">
        <v>47</v>
      </c>
      <c r="R1266" s="12" t="s">
        <v>117</v>
      </c>
      <c r="S1266" s="13">
        <v>197643315858</v>
      </c>
      <c r="T1266" s="12" t="s">
        <v>105</v>
      </c>
      <c r="U1266" s="13">
        <v>47</v>
      </c>
      <c r="V1266" s="12" t="s">
        <v>50</v>
      </c>
      <c r="W1266" s="12" t="s">
        <v>118</v>
      </c>
      <c r="X1266" s="14"/>
      <c r="Y1266" s="12" t="s">
        <v>53</v>
      </c>
      <c r="Z1266" s="12" t="s">
        <v>263</v>
      </c>
      <c r="AA1266" s="14"/>
      <c r="AB1266" s="14"/>
      <c r="AC1266" s="15">
        <v>50</v>
      </c>
      <c r="AD1266" s="15">
        <f>AC1266*AG1266</f>
        <v>250</v>
      </c>
      <c r="AE1266" s="15">
        <v>110</v>
      </c>
      <c r="AF1266" s="15">
        <f>AE1266*AG1266</f>
        <v>550</v>
      </c>
      <c r="AG1266" s="16">
        <v>5</v>
      </c>
    </row>
    <row r="1267" spans="1:33" ht="15" customHeight="1" x14ac:dyDescent="0.2">
      <c r="A1267" s="11" t="str">
        <f t="shared" si="460"/>
        <v>VN000D75O3N1</v>
      </c>
      <c r="B1267" s="12" t="s">
        <v>5042</v>
      </c>
      <c r="C1267" s="12" t="s">
        <v>110</v>
      </c>
      <c r="D1267" s="12" t="s">
        <v>744</v>
      </c>
      <c r="E1267" s="12" t="s">
        <v>5043</v>
      </c>
      <c r="F1267" s="13">
        <v>45</v>
      </c>
      <c r="G1267" s="12" t="s">
        <v>528</v>
      </c>
      <c r="H1267" s="12" t="s">
        <v>38</v>
      </c>
      <c r="I1267" s="12" t="s">
        <v>113</v>
      </c>
      <c r="J1267" s="12" t="s">
        <v>114</v>
      </c>
      <c r="K1267" s="12" t="s">
        <v>82</v>
      </c>
      <c r="L1267" s="14"/>
      <c r="M1267" s="12" t="s">
        <v>43</v>
      </c>
      <c r="N1267" s="12" t="s">
        <v>44</v>
      </c>
      <c r="O1267" s="12" t="s">
        <v>5044</v>
      </c>
      <c r="P1267" s="12" t="s">
        <v>46</v>
      </c>
      <c r="Q1267" s="12" t="s">
        <v>47</v>
      </c>
      <c r="R1267" s="12" t="s">
        <v>117</v>
      </c>
      <c r="S1267" s="13">
        <v>197643214281</v>
      </c>
      <c r="T1267" s="12" t="s">
        <v>105</v>
      </c>
      <c r="U1267" s="13">
        <v>36</v>
      </c>
      <c r="V1267" s="12" t="s">
        <v>50</v>
      </c>
      <c r="W1267" s="12" t="s">
        <v>299</v>
      </c>
      <c r="X1267" s="14"/>
      <c r="Y1267" s="12" t="s">
        <v>91</v>
      </c>
      <c r="Z1267" s="12" t="s">
        <v>165</v>
      </c>
      <c r="AA1267" s="14"/>
      <c r="AB1267" s="14"/>
      <c r="AC1267" s="15">
        <v>43.2</v>
      </c>
      <c r="AD1267" s="15">
        <f>AC1267*AG1267</f>
        <v>216</v>
      </c>
      <c r="AE1267" s="15">
        <v>95</v>
      </c>
      <c r="AF1267" s="15">
        <f>AE1267*AG1267</f>
        <v>475</v>
      </c>
      <c r="AG1267" s="16">
        <v>5</v>
      </c>
    </row>
    <row r="1268" spans="1:33" ht="15" customHeight="1" x14ac:dyDescent="0.2">
      <c r="A1268" s="11" t="str">
        <f t="shared" si="25"/>
        <v>VN000D75Y281</v>
      </c>
      <c r="B1268" s="12" t="s">
        <v>5045</v>
      </c>
      <c r="C1268" s="12" t="s">
        <v>110</v>
      </c>
      <c r="D1268" s="12" t="s">
        <v>58</v>
      </c>
      <c r="E1268" s="12" t="s">
        <v>5046</v>
      </c>
      <c r="F1268" s="13">
        <v>120</v>
      </c>
      <c r="G1268" s="12" t="s">
        <v>414</v>
      </c>
      <c r="H1268" s="12" t="s">
        <v>38</v>
      </c>
      <c r="I1268" s="12" t="s">
        <v>113</v>
      </c>
      <c r="J1268" s="12" t="s">
        <v>114</v>
      </c>
      <c r="K1268" s="12" t="s">
        <v>82</v>
      </c>
      <c r="L1268" s="14"/>
      <c r="M1268" s="12" t="s">
        <v>43</v>
      </c>
      <c r="N1268" s="12" t="s">
        <v>84</v>
      </c>
      <c r="O1268" s="12" t="s">
        <v>5047</v>
      </c>
      <c r="P1268" s="12" t="s">
        <v>46</v>
      </c>
      <c r="Q1268" s="12" t="s">
        <v>47</v>
      </c>
      <c r="R1268" s="12" t="s">
        <v>117</v>
      </c>
      <c r="S1268" s="13">
        <v>197804666485</v>
      </c>
      <c r="T1268" s="12" t="s">
        <v>49</v>
      </c>
      <c r="U1268" s="13">
        <v>46</v>
      </c>
      <c r="V1268" s="12" t="s">
        <v>50</v>
      </c>
      <c r="W1268" s="12" t="s">
        <v>51</v>
      </c>
      <c r="X1268" s="14"/>
      <c r="Y1268" s="14"/>
      <c r="Z1268" s="14"/>
      <c r="AA1268" s="14"/>
      <c r="AB1268" s="14"/>
      <c r="AC1268" s="15">
        <v>45.5</v>
      </c>
      <c r="AD1268" s="15">
        <f>AC1268*AG1268</f>
        <v>227.5</v>
      </c>
      <c r="AE1268" s="15">
        <v>100</v>
      </c>
      <c r="AF1268" s="15">
        <f>AE1268*AG1268</f>
        <v>500</v>
      </c>
      <c r="AG1268" s="16">
        <v>5</v>
      </c>
    </row>
    <row r="1269" spans="1:33" ht="15" customHeight="1" x14ac:dyDescent="0.2">
      <c r="A1269" s="11" t="str">
        <f>HYPERLINK("https://assets.vans.eu/images/VN000D7Z0BP-HERO/1","VN000D7Z0BP1")</f>
        <v>VN000D7Z0BP1</v>
      </c>
      <c r="B1269" s="12" t="s">
        <v>5048</v>
      </c>
      <c r="C1269" s="12" t="s">
        <v>34</v>
      </c>
      <c r="D1269" s="12" t="s">
        <v>5049</v>
      </c>
      <c r="E1269" s="12" t="s">
        <v>5050</v>
      </c>
      <c r="F1269" s="13">
        <v>95</v>
      </c>
      <c r="G1269" s="12" t="s">
        <v>2273</v>
      </c>
      <c r="H1269" s="12" t="s">
        <v>38</v>
      </c>
      <c r="I1269" s="12" t="s">
        <v>159</v>
      </c>
      <c r="J1269" s="12" t="s">
        <v>160</v>
      </c>
      <c r="K1269" s="12" t="s">
        <v>82</v>
      </c>
      <c r="L1269" s="14"/>
      <c r="M1269" s="12" t="s">
        <v>43</v>
      </c>
      <c r="N1269" s="12" t="s">
        <v>84</v>
      </c>
      <c r="O1269" s="12" t="s">
        <v>5051</v>
      </c>
      <c r="P1269" s="12" t="s">
        <v>46</v>
      </c>
      <c r="Q1269" s="12" t="s">
        <v>47</v>
      </c>
      <c r="R1269" s="12" t="s">
        <v>163</v>
      </c>
      <c r="S1269" s="13">
        <v>197804544738</v>
      </c>
      <c r="T1269" s="12" t="s">
        <v>105</v>
      </c>
      <c r="U1269" s="13">
        <v>42.5</v>
      </c>
      <c r="V1269" s="12" t="s">
        <v>50</v>
      </c>
      <c r="W1269" s="12" t="s">
        <v>455</v>
      </c>
      <c r="X1269" s="14"/>
      <c r="Y1269" s="14"/>
      <c r="Z1269" s="14"/>
      <c r="AA1269" s="14"/>
      <c r="AB1269" s="14"/>
      <c r="AC1269" s="15">
        <v>40.950000000000003</v>
      </c>
      <c r="AD1269" s="15">
        <f>AC1269*AG1269</f>
        <v>204.75</v>
      </c>
      <c r="AE1269" s="15">
        <v>90</v>
      </c>
      <c r="AF1269" s="15">
        <f>AE1269*AG1269</f>
        <v>450</v>
      </c>
      <c r="AG1269" s="16">
        <v>5</v>
      </c>
    </row>
    <row r="1270" spans="1:33" ht="15" customHeight="1" x14ac:dyDescent="0.2">
      <c r="A1270" s="11" t="str">
        <f>HYPERLINK("https://assets.vans.eu/images/VN000D81O3N-HERO/1","VN000D81O3N1")</f>
        <v>VN000D81O3N1</v>
      </c>
      <c r="B1270" s="12" t="s">
        <v>5052</v>
      </c>
      <c r="C1270" s="12" t="s">
        <v>251</v>
      </c>
      <c r="D1270" s="12" t="s">
        <v>744</v>
      </c>
      <c r="E1270" s="12" t="s">
        <v>5053</v>
      </c>
      <c r="F1270" s="13">
        <v>130</v>
      </c>
      <c r="G1270" s="12" t="s">
        <v>5040</v>
      </c>
      <c r="H1270" s="12" t="s">
        <v>38</v>
      </c>
      <c r="I1270" s="12" t="s">
        <v>113</v>
      </c>
      <c r="J1270" s="12" t="s">
        <v>529</v>
      </c>
      <c r="K1270" s="12" t="s">
        <v>82</v>
      </c>
      <c r="L1270" s="14"/>
      <c r="M1270" s="12" t="s">
        <v>43</v>
      </c>
      <c r="N1270" s="12" t="s">
        <v>44</v>
      </c>
      <c r="O1270" s="12" t="s">
        <v>5054</v>
      </c>
      <c r="P1270" s="12" t="s">
        <v>46</v>
      </c>
      <c r="Q1270" s="12" t="s">
        <v>47</v>
      </c>
      <c r="R1270" s="12" t="s">
        <v>117</v>
      </c>
      <c r="S1270" s="13">
        <v>197643223429</v>
      </c>
      <c r="T1270" s="12" t="s">
        <v>105</v>
      </c>
      <c r="U1270" s="13">
        <v>47</v>
      </c>
      <c r="V1270" s="12" t="s">
        <v>50</v>
      </c>
      <c r="W1270" s="12" t="s">
        <v>299</v>
      </c>
      <c r="X1270" s="14"/>
      <c r="Y1270" s="12" t="s">
        <v>53</v>
      </c>
      <c r="Z1270" s="12" t="s">
        <v>165</v>
      </c>
      <c r="AA1270" s="14"/>
      <c r="AB1270" s="14"/>
      <c r="AC1270" s="15">
        <v>45.5</v>
      </c>
      <c r="AD1270" s="15">
        <f>AC1270*AG1270</f>
        <v>227.5</v>
      </c>
      <c r="AE1270" s="15">
        <v>100</v>
      </c>
      <c r="AF1270" s="15">
        <f>AE1270*AG1270</f>
        <v>500</v>
      </c>
      <c r="AG1270" s="16">
        <v>5</v>
      </c>
    </row>
    <row r="1271" spans="1:33" ht="15" customHeight="1" x14ac:dyDescent="0.2">
      <c r="A1271" s="11" t="str">
        <f t="shared" ref="A1271:A2713" si="543">HYPERLINK("https://assets.vans.eu/images/VN000D9Y0CS-HERO/1","VN000D9Y0CS1")</f>
        <v>VN000D9Y0CS1</v>
      </c>
      <c r="B1271" s="12" t="s">
        <v>5055</v>
      </c>
      <c r="C1271" s="12" t="s">
        <v>34</v>
      </c>
      <c r="D1271" s="12" t="s">
        <v>5056</v>
      </c>
      <c r="E1271" s="12" t="s">
        <v>5057</v>
      </c>
      <c r="F1271" s="13">
        <v>65</v>
      </c>
      <c r="G1271" s="14"/>
      <c r="H1271" s="12" t="s">
        <v>38</v>
      </c>
      <c r="I1271" s="12" t="s">
        <v>113</v>
      </c>
      <c r="J1271" s="12" t="s">
        <v>114</v>
      </c>
      <c r="K1271" s="12" t="s">
        <v>82</v>
      </c>
      <c r="L1271" s="12" t="s">
        <v>260</v>
      </c>
      <c r="M1271" s="12" t="s">
        <v>43</v>
      </c>
      <c r="N1271" s="12" t="s">
        <v>84</v>
      </c>
      <c r="O1271" s="12" t="s">
        <v>5058</v>
      </c>
      <c r="P1271" s="12" t="s">
        <v>46</v>
      </c>
      <c r="Q1271" s="12" t="s">
        <v>47</v>
      </c>
      <c r="R1271" s="12" t="s">
        <v>117</v>
      </c>
      <c r="S1271" s="13">
        <v>197804612734</v>
      </c>
      <c r="T1271" s="12" t="s">
        <v>164</v>
      </c>
      <c r="U1271" s="13">
        <v>38.5</v>
      </c>
      <c r="V1271" s="12" t="s">
        <v>50</v>
      </c>
      <c r="W1271" s="12" t="s">
        <v>455</v>
      </c>
      <c r="X1271" s="14"/>
      <c r="Y1271" s="14"/>
      <c r="Z1271" s="14"/>
      <c r="AA1271" s="14"/>
      <c r="AB1271" s="14"/>
      <c r="AC1271" s="15">
        <v>38.65</v>
      </c>
      <c r="AD1271" s="15">
        <f>AC1271*AG1271</f>
        <v>193.25</v>
      </c>
      <c r="AE1271" s="15">
        <v>85</v>
      </c>
      <c r="AF1271" s="15">
        <f>AE1271*AG1271</f>
        <v>425</v>
      </c>
      <c r="AG1271" s="16">
        <v>5</v>
      </c>
    </row>
    <row r="1272" spans="1:33" ht="15" customHeight="1" x14ac:dyDescent="0.2">
      <c r="A1272" s="11" t="str">
        <f t="shared" ref="A1272:A1273" si="544">HYPERLINK("https://assets.vans.eu/images/VN000D9YTUP-HERO/1","VN000D9YTUP1")</f>
        <v>VN000D9YTUP1</v>
      </c>
      <c r="B1272" s="12" t="s">
        <v>5059</v>
      </c>
      <c r="C1272" s="12" t="s">
        <v>34</v>
      </c>
      <c r="D1272" s="12" t="s">
        <v>576</v>
      </c>
      <c r="E1272" s="12" t="s">
        <v>5060</v>
      </c>
      <c r="F1272" s="13">
        <v>50</v>
      </c>
      <c r="G1272" s="12" t="s">
        <v>4912</v>
      </c>
      <c r="H1272" s="12" t="s">
        <v>38</v>
      </c>
      <c r="I1272" s="12" t="s">
        <v>159</v>
      </c>
      <c r="J1272" s="12" t="s">
        <v>160</v>
      </c>
      <c r="K1272" s="12" t="s">
        <v>82</v>
      </c>
      <c r="L1272" s="14"/>
      <c r="M1272" s="12" t="s">
        <v>43</v>
      </c>
      <c r="N1272" s="12" t="s">
        <v>84</v>
      </c>
      <c r="O1272" s="12" t="s">
        <v>5061</v>
      </c>
      <c r="P1272" s="12" t="s">
        <v>46</v>
      </c>
      <c r="Q1272" s="12" t="s">
        <v>47</v>
      </c>
      <c r="R1272" s="12" t="s">
        <v>163</v>
      </c>
      <c r="S1272" s="13">
        <v>197804551118</v>
      </c>
      <c r="T1272" s="12" t="s">
        <v>49</v>
      </c>
      <c r="U1272" s="13">
        <v>36.5</v>
      </c>
      <c r="V1272" s="12" t="s">
        <v>50</v>
      </c>
      <c r="W1272" s="12" t="s">
        <v>580</v>
      </c>
      <c r="X1272" s="14"/>
      <c r="Y1272" s="14"/>
      <c r="Z1272" s="14"/>
      <c r="AA1272" s="14"/>
      <c r="AB1272" s="14"/>
      <c r="AC1272" s="15">
        <v>43.2</v>
      </c>
      <c r="AD1272" s="15">
        <f>AC1272*AG1272</f>
        <v>216</v>
      </c>
      <c r="AE1272" s="15">
        <v>95</v>
      </c>
      <c r="AF1272" s="15">
        <f>AE1272*AG1272</f>
        <v>475</v>
      </c>
      <c r="AG1272" s="16">
        <v>5</v>
      </c>
    </row>
    <row r="1273" spans="1:33" ht="15" customHeight="1" x14ac:dyDescent="0.2">
      <c r="A1273" s="11" t="str">
        <f t="shared" si="544"/>
        <v>VN000D9YTUP1</v>
      </c>
      <c r="B1273" s="12" t="s">
        <v>5062</v>
      </c>
      <c r="C1273" s="12" t="s">
        <v>34</v>
      </c>
      <c r="D1273" s="12" t="s">
        <v>576</v>
      </c>
      <c r="E1273" s="12" t="s">
        <v>5063</v>
      </c>
      <c r="F1273" s="13">
        <v>65</v>
      </c>
      <c r="G1273" s="12" t="s">
        <v>4912</v>
      </c>
      <c r="H1273" s="12" t="s">
        <v>38</v>
      </c>
      <c r="I1273" s="12" t="s">
        <v>159</v>
      </c>
      <c r="J1273" s="12" t="s">
        <v>160</v>
      </c>
      <c r="K1273" s="12" t="s">
        <v>82</v>
      </c>
      <c r="L1273" s="14"/>
      <c r="M1273" s="12" t="s">
        <v>43</v>
      </c>
      <c r="N1273" s="12" t="s">
        <v>84</v>
      </c>
      <c r="O1273" s="12" t="s">
        <v>5064</v>
      </c>
      <c r="P1273" s="12" t="s">
        <v>46</v>
      </c>
      <c r="Q1273" s="12" t="s">
        <v>47</v>
      </c>
      <c r="R1273" s="12" t="s">
        <v>163</v>
      </c>
      <c r="S1273" s="13">
        <v>197804551620</v>
      </c>
      <c r="T1273" s="12" t="s">
        <v>49</v>
      </c>
      <c r="U1273" s="13">
        <v>38.5</v>
      </c>
      <c r="V1273" s="12" t="s">
        <v>50</v>
      </c>
      <c r="W1273" s="12" t="s">
        <v>580</v>
      </c>
      <c r="X1273" s="14"/>
      <c r="Y1273" s="14"/>
      <c r="Z1273" s="14"/>
      <c r="AA1273" s="14"/>
      <c r="AB1273" s="14"/>
      <c r="AC1273" s="15">
        <v>43.2</v>
      </c>
      <c r="AD1273" s="15">
        <f>AC1273*AG1273</f>
        <v>216</v>
      </c>
      <c r="AE1273" s="15">
        <v>95</v>
      </c>
      <c r="AF1273" s="15">
        <f>AE1273*AG1273</f>
        <v>475</v>
      </c>
      <c r="AG1273" s="16">
        <v>5</v>
      </c>
    </row>
    <row r="1274" spans="1:33" ht="15" customHeight="1" x14ac:dyDescent="0.2">
      <c r="A1274" s="11" t="str">
        <f>HYPERLINK("https://assets.vans.eu/images/VN000DA2YY0-HERO/1","VN000DA2YY01")</f>
        <v>VN000DA2YY01</v>
      </c>
      <c r="B1274" s="12" t="s">
        <v>5065</v>
      </c>
      <c r="C1274" s="12" t="s">
        <v>3032</v>
      </c>
      <c r="D1274" s="12" t="s">
        <v>3033</v>
      </c>
      <c r="E1274" s="12" t="s">
        <v>5066</v>
      </c>
      <c r="F1274" s="13">
        <v>70</v>
      </c>
      <c r="G1274" s="14"/>
      <c r="H1274" s="12" t="s">
        <v>38</v>
      </c>
      <c r="I1274" s="12" t="s">
        <v>159</v>
      </c>
      <c r="J1274" s="12" t="s">
        <v>341</v>
      </c>
      <c r="K1274" s="12" t="s">
        <v>199</v>
      </c>
      <c r="L1274" s="14"/>
      <c r="M1274" s="12" t="s">
        <v>43</v>
      </c>
      <c r="N1274" s="12" t="s">
        <v>84</v>
      </c>
      <c r="O1274" s="12" t="s">
        <v>5067</v>
      </c>
      <c r="P1274" s="12" t="s">
        <v>46</v>
      </c>
      <c r="Q1274" s="12" t="s">
        <v>47</v>
      </c>
      <c r="R1274" s="12" t="s">
        <v>163</v>
      </c>
      <c r="S1274" s="13">
        <v>197804554638</v>
      </c>
      <c r="T1274" s="12" t="s">
        <v>105</v>
      </c>
      <c r="U1274" s="13">
        <v>39</v>
      </c>
      <c r="V1274" s="12" t="s">
        <v>50</v>
      </c>
      <c r="W1274" s="12" t="s">
        <v>284</v>
      </c>
      <c r="X1274" s="14"/>
      <c r="Y1274" s="14"/>
      <c r="Z1274" s="14"/>
      <c r="AA1274" s="14"/>
      <c r="AB1274" s="14"/>
      <c r="AC1274" s="15">
        <v>40.950000000000003</v>
      </c>
      <c r="AD1274" s="15">
        <f>AC1274*AG1274</f>
        <v>204.75</v>
      </c>
      <c r="AE1274" s="15">
        <v>90</v>
      </c>
      <c r="AF1274" s="15">
        <f>AE1274*AG1274</f>
        <v>450</v>
      </c>
      <c r="AG1274" s="16">
        <v>5</v>
      </c>
    </row>
    <row r="1275" spans="1:33" ht="15" customHeight="1" x14ac:dyDescent="0.2">
      <c r="A1275" s="11" t="str">
        <f t="shared" ref="A1275:A4536" si="545">HYPERLINK("https://assets.vans.eu/images/VN000DAJKL4-HERO/1","VN000DAJKL41")</f>
        <v>VN000DAJKL41</v>
      </c>
      <c r="B1275" s="12" t="s">
        <v>5068</v>
      </c>
      <c r="C1275" s="12" t="s">
        <v>110</v>
      </c>
      <c r="D1275" s="12" t="s">
        <v>5069</v>
      </c>
      <c r="E1275" s="12" t="s">
        <v>5070</v>
      </c>
      <c r="F1275" s="13">
        <v>65</v>
      </c>
      <c r="G1275" s="12" t="s">
        <v>269</v>
      </c>
      <c r="H1275" s="12" t="s">
        <v>38</v>
      </c>
      <c r="I1275" s="12" t="s">
        <v>113</v>
      </c>
      <c r="J1275" s="12" t="s">
        <v>114</v>
      </c>
      <c r="K1275" s="12" t="s">
        <v>82</v>
      </c>
      <c r="L1275" s="12" t="s">
        <v>260</v>
      </c>
      <c r="M1275" s="12" t="s">
        <v>43</v>
      </c>
      <c r="N1275" s="12" t="s">
        <v>84</v>
      </c>
      <c r="O1275" s="12" t="s">
        <v>5071</v>
      </c>
      <c r="P1275" s="12" t="s">
        <v>46</v>
      </c>
      <c r="Q1275" s="12" t="s">
        <v>47</v>
      </c>
      <c r="R1275" s="12" t="s">
        <v>117</v>
      </c>
      <c r="S1275" s="13">
        <v>197803562160</v>
      </c>
      <c r="T1275" s="12" t="s">
        <v>164</v>
      </c>
      <c r="U1275" s="13">
        <v>38.5</v>
      </c>
      <c r="V1275" s="12" t="s">
        <v>50</v>
      </c>
      <c r="W1275" s="12" t="s">
        <v>51</v>
      </c>
      <c r="X1275" s="14"/>
      <c r="Y1275" s="14"/>
      <c r="Z1275" s="14"/>
      <c r="AA1275" s="14"/>
      <c r="AB1275" s="14"/>
      <c r="AC1275" s="15">
        <v>50</v>
      </c>
      <c r="AD1275" s="15">
        <f>AC1275*AG1275</f>
        <v>250</v>
      </c>
      <c r="AE1275" s="15">
        <v>110</v>
      </c>
      <c r="AF1275" s="15">
        <f>AE1275*AG1275</f>
        <v>550</v>
      </c>
      <c r="AG1275" s="16">
        <v>5</v>
      </c>
    </row>
    <row r="1276" spans="1:33" ht="15" customHeight="1" x14ac:dyDescent="0.2">
      <c r="A1276" s="11" t="str">
        <f>HYPERLINK("https://assets.vans.eu/images/VN000DCFEMF-HERO/1","VN000DCFEMF1")</f>
        <v>VN000DCFEMF1</v>
      </c>
      <c r="B1276" s="12" t="s">
        <v>5072</v>
      </c>
      <c r="C1276" s="12" t="s">
        <v>5073</v>
      </c>
      <c r="D1276" s="12" t="s">
        <v>1282</v>
      </c>
      <c r="E1276" s="12" t="s">
        <v>5074</v>
      </c>
      <c r="F1276" s="13">
        <v>120</v>
      </c>
      <c r="G1276" s="14"/>
      <c r="H1276" s="12" t="s">
        <v>38</v>
      </c>
      <c r="I1276" s="12" t="s">
        <v>113</v>
      </c>
      <c r="J1276" s="12" t="s">
        <v>114</v>
      </c>
      <c r="K1276" s="12" t="s">
        <v>82</v>
      </c>
      <c r="L1276" s="14"/>
      <c r="M1276" s="12" t="s">
        <v>43</v>
      </c>
      <c r="N1276" s="12" t="s">
        <v>84</v>
      </c>
      <c r="O1276" s="12" t="s">
        <v>5075</v>
      </c>
      <c r="P1276" s="12" t="s">
        <v>46</v>
      </c>
      <c r="Q1276" s="12" t="s">
        <v>47</v>
      </c>
      <c r="R1276" s="12" t="s">
        <v>948</v>
      </c>
      <c r="S1276" s="13">
        <v>197804565337</v>
      </c>
      <c r="T1276" s="12" t="s">
        <v>49</v>
      </c>
      <c r="U1276" s="13">
        <v>46</v>
      </c>
      <c r="V1276" s="12" t="s">
        <v>50</v>
      </c>
      <c r="W1276" s="12" t="s">
        <v>118</v>
      </c>
      <c r="X1276" s="14"/>
      <c r="Y1276" s="14"/>
      <c r="Z1276" s="14"/>
      <c r="AA1276" s="14"/>
      <c r="AB1276" s="14"/>
      <c r="AC1276" s="15">
        <v>50</v>
      </c>
      <c r="AD1276" s="15">
        <f>AC1276*AG1276</f>
        <v>250</v>
      </c>
      <c r="AE1276" s="15">
        <v>110</v>
      </c>
      <c r="AF1276" s="15">
        <f>AE1276*AG1276</f>
        <v>550</v>
      </c>
      <c r="AG1276" s="16">
        <v>5</v>
      </c>
    </row>
    <row r="1277" spans="1:33" ht="15" customHeight="1" x14ac:dyDescent="0.2">
      <c r="A1277" s="11" t="str">
        <f t="shared" si="464"/>
        <v>VN000E9RG581</v>
      </c>
      <c r="B1277" s="12" t="s">
        <v>5076</v>
      </c>
      <c r="C1277" s="12" t="s">
        <v>34</v>
      </c>
      <c r="D1277" s="12" t="s">
        <v>2149</v>
      </c>
      <c r="E1277" s="12" t="s">
        <v>5077</v>
      </c>
      <c r="F1277" s="13">
        <v>130</v>
      </c>
      <c r="G1277" s="14"/>
      <c r="H1277" s="12" t="s">
        <v>38</v>
      </c>
      <c r="I1277" s="12" t="s">
        <v>39</v>
      </c>
      <c r="J1277" s="12" t="s">
        <v>40</v>
      </c>
      <c r="K1277" s="12" t="s">
        <v>373</v>
      </c>
      <c r="L1277" s="12" t="s">
        <v>260</v>
      </c>
      <c r="M1277" s="12" t="s">
        <v>43</v>
      </c>
      <c r="N1277" s="12" t="s">
        <v>84</v>
      </c>
      <c r="O1277" s="12" t="s">
        <v>5078</v>
      </c>
      <c r="P1277" s="12" t="s">
        <v>46</v>
      </c>
      <c r="Q1277" s="12" t="s">
        <v>47</v>
      </c>
      <c r="R1277" s="12" t="s">
        <v>48</v>
      </c>
      <c r="S1277" s="13">
        <v>198266177083</v>
      </c>
      <c r="T1277" s="12" t="s">
        <v>164</v>
      </c>
      <c r="U1277" s="13">
        <v>30.5</v>
      </c>
      <c r="V1277" s="12" t="s">
        <v>50</v>
      </c>
      <c r="W1277" s="12" t="s">
        <v>51</v>
      </c>
      <c r="X1277" s="14"/>
      <c r="Y1277" s="14"/>
      <c r="Z1277" s="14"/>
      <c r="AA1277" s="14"/>
      <c r="AB1277" s="14"/>
      <c r="AC1277" s="15">
        <v>27.3</v>
      </c>
      <c r="AD1277" s="15">
        <f>AC1277*AG1277</f>
        <v>136.5</v>
      </c>
      <c r="AE1277" s="15">
        <v>60</v>
      </c>
      <c r="AF1277" s="15">
        <f>AE1277*AG1277</f>
        <v>300</v>
      </c>
      <c r="AG1277" s="16">
        <v>5</v>
      </c>
    </row>
    <row r="1278" spans="1:33" ht="15" customHeight="1" x14ac:dyDescent="0.2">
      <c r="A1278" s="11" t="str">
        <f t="shared" si="344"/>
        <v>VN000E9YBGP1</v>
      </c>
      <c r="B1278" s="12" t="s">
        <v>5079</v>
      </c>
      <c r="C1278" s="12" t="s">
        <v>34</v>
      </c>
      <c r="D1278" s="12" t="s">
        <v>1119</v>
      </c>
      <c r="E1278" s="12" t="s">
        <v>5080</v>
      </c>
      <c r="F1278" s="13">
        <v>35</v>
      </c>
      <c r="G1278" s="14"/>
      <c r="H1278" s="12" t="s">
        <v>38</v>
      </c>
      <c r="I1278" s="12" t="s">
        <v>205</v>
      </c>
      <c r="J1278" s="12" t="s">
        <v>206</v>
      </c>
      <c r="K1278" s="12" t="s">
        <v>207</v>
      </c>
      <c r="L1278" s="12" t="s">
        <v>260</v>
      </c>
      <c r="M1278" s="12" t="s">
        <v>43</v>
      </c>
      <c r="N1278" s="12" t="s">
        <v>84</v>
      </c>
      <c r="O1278" s="12" t="s">
        <v>5081</v>
      </c>
      <c r="P1278" s="12" t="s">
        <v>46</v>
      </c>
      <c r="Q1278" s="12" t="s">
        <v>47</v>
      </c>
      <c r="R1278" s="12" t="s">
        <v>48</v>
      </c>
      <c r="S1278" s="13">
        <v>197804872268</v>
      </c>
      <c r="T1278" s="12" t="s">
        <v>164</v>
      </c>
      <c r="U1278" s="13">
        <v>34.5</v>
      </c>
      <c r="V1278" s="12" t="s">
        <v>50</v>
      </c>
      <c r="W1278" s="12" t="s">
        <v>284</v>
      </c>
      <c r="X1278" s="14"/>
      <c r="Y1278" s="14"/>
      <c r="Z1278" s="14"/>
      <c r="AA1278" s="14"/>
      <c r="AB1278" s="14"/>
      <c r="AC1278" s="15">
        <v>29.55</v>
      </c>
      <c r="AD1278" s="15">
        <f>AC1278*AG1278</f>
        <v>147.75</v>
      </c>
      <c r="AE1278" s="15">
        <v>65</v>
      </c>
      <c r="AF1278" s="15">
        <f>AE1278*AG1278</f>
        <v>325</v>
      </c>
      <c r="AG1278" s="16">
        <v>5</v>
      </c>
    </row>
    <row r="1279" spans="1:33" ht="15" customHeight="1" x14ac:dyDescent="0.2">
      <c r="A1279" s="11" t="str">
        <f t="shared" si="32"/>
        <v>VN000EA7HFV1</v>
      </c>
      <c r="B1279" s="12" t="s">
        <v>5082</v>
      </c>
      <c r="C1279" s="12" t="s">
        <v>502</v>
      </c>
      <c r="D1279" s="12" t="s">
        <v>503</v>
      </c>
      <c r="E1279" s="12" t="s">
        <v>5083</v>
      </c>
      <c r="F1279" s="13">
        <v>115</v>
      </c>
      <c r="G1279" s="14"/>
      <c r="H1279" s="12" t="s">
        <v>38</v>
      </c>
      <c r="I1279" s="12" t="s">
        <v>159</v>
      </c>
      <c r="J1279" s="12" t="s">
        <v>255</v>
      </c>
      <c r="K1279" s="12" t="s">
        <v>82</v>
      </c>
      <c r="L1279" s="12" t="s">
        <v>115</v>
      </c>
      <c r="M1279" s="12" t="s">
        <v>43</v>
      </c>
      <c r="N1279" s="12" t="s">
        <v>84</v>
      </c>
      <c r="O1279" s="12" t="s">
        <v>5084</v>
      </c>
      <c r="P1279" s="12" t="s">
        <v>46</v>
      </c>
      <c r="Q1279" s="12" t="s">
        <v>47</v>
      </c>
      <c r="R1279" s="12" t="s">
        <v>163</v>
      </c>
      <c r="S1279" s="13">
        <v>197805770891</v>
      </c>
      <c r="T1279" s="12" t="s">
        <v>164</v>
      </c>
      <c r="U1279" s="13">
        <v>45</v>
      </c>
      <c r="V1279" s="12" t="s">
        <v>50</v>
      </c>
      <c r="W1279" s="12" t="s">
        <v>175</v>
      </c>
      <c r="X1279" s="14"/>
      <c r="Y1279" s="14"/>
      <c r="Z1279" s="14"/>
      <c r="AA1279" s="14"/>
      <c r="AB1279" s="14"/>
      <c r="AC1279" s="15">
        <v>38.65</v>
      </c>
      <c r="AD1279" s="15">
        <f>AC1279*AG1279</f>
        <v>193.25</v>
      </c>
      <c r="AE1279" s="15">
        <v>85</v>
      </c>
      <c r="AF1279" s="15">
        <f>AE1279*AG1279</f>
        <v>425</v>
      </c>
      <c r="AG1279" s="16">
        <v>5</v>
      </c>
    </row>
    <row r="1280" spans="1:33" ht="15" customHeight="1" x14ac:dyDescent="0.2">
      <c r="A1280" s="11" t="str">
        <f t="shared" ref="A1280:A1974" si="546">HYPERLINK("https://assets.vans.eu/images/VN000EDN7D6-HERO/1","VN000EDN7D61")</f>
        <v>VN000EDN7D61</v>
      </c>
      <c r="B1280" s="12" t="s">
        <v>5085</v>
      </c>
      <c r="C1280" s="12" t="s">
        <v>996</v>
      </c>
      <c r="D1280" s="12" t="s">
        <v>1231</v>
      </c>
      <c r="E1280" s="12" t="s">
        <v>5086</v>
      </c>
      <c r="F1280" s="13">
        <v>100</v>
      </c>
      <c r="G1280" s="14"/>
      <c r="H1280" s="12" t="s">
        <v>38</v>
      </c>
      <c r="I1280" s="12" t="s">
        <v>159</v>
      </c>
      <c r="J1280" s="12" t="s">
        <v>341</v>
      </c>
      <c r="K1280" s="12" t="s">
        <v>199</v>
      </c>
      <c r="L1280" s="14"/>
      <c r="M1280" s="12" t="s">
        <v>43</v>
      </c>
      <c r="N1280" s="12" t="s">
        <v>84</v>
      </c>
      <c r="O1280" s="12" t="s">
        <v>5087</v>
      </c>
      <c r="P1280" s="12" t="s">
        <v>46</v>
      </c>
      <c r="Q1280" s="12" t="s">
        <v>47</v>
      </c>
      <c r="R1280" s="12" t="s">
        <v>163</v>
      </c>
      <c r="S1280" s="13">
        <v>197804567256</v>
      </c>
      <c r="T1280" s="12" t="s">
        <v>49</v>
      </c>
      <c r="U1280" s="13">
        <v>43</v>
      </c>
      <c r="V1280" s="12" t="s">
        <v>50</v>
      </c>
      <c r="W1280" s="12" t="s">
        <v>186</v>
      </c>
      <c r="X1280" s="14"/>
      <c r="Y1280" s="14"/>
      <c r="Z1280" s="14"/>
      <c r="AA1280" s="14"/>
      <c r="AB1280" s="14"/>
      <c r="AC1280" s="15">
        <v>38.65</v>
      </c>
      <c r="AD1280" s="15">
        <f>AC1280*AG1280</f>
        <v>193.25</v>
      </c>
      <c r="AE1280" s="15">
        <v>85</v>
      </c>
      <c r="AF1280" s="15">
        <f>AE1280*AG1280</f>
        <v>425</v>
      </c>
      <c r="AG1280" s="16">
        <v>5</v>
      </c>
    </row>
    <row r="1281" spans="1:33" ht="15" customHeight="1" x14ac:dyDescent="0.2">
      <c r="A1281" s="11" t="str">
        <f>HYPERLINK("https://assets.vans.eu/images/VN000EDNAH9-HERO/1","VN000EDNAH91")</f>
        <v>VN000EDNAH91</v>
      </c>
      <c r="B1281" s="12" t="s">
        <v>5088</v>
      </c>
      <c r="C1281" s="12" t="s">
        <v>996</v>
      </c>
      <c r="D1281" s="12" t="s">
        <v>3633</v>
      </c>
      <c r="E1281" s="12" t="s">
        <v>5089</v>
      </c>
      <c r="F1281" s="13">
        <v>90</v>
      </c>
      <c r="G1281" s="14"/>
      <c r="H1281" s="12" t="s">
        <v>38</v>
      </c>
      <c r="I1281" s="12" t="s">
        <v>159</v>
      </c>
      <c r="J1281" s="12" t="s">
        <v>341</v>
      </c>
      <c r="K1281" s="12" t="s">
        <v>199</v>
      </c>
      <c r="L1281" s="14"/>
      <c r="M1281" s="12" t="s">
        <v>43</v>
      </c>
      <c r="N1281" s="12" t="s">
        <v>84</v>
      </c>
      <c r="O1281" s="12" t="s">
        <v>5090</v>
      </c>
      <c r="P1281" s="12" t="s">
        <v>46</v>
      </c>
      <c r="Q1281" s="12" t="s">
        <v>47</v>
      </c>
      <c r="R1281" s="12" t="s">
        <v>163</v>
      </c>
      <c r="S1281" s="13">
        <v>197804567492</v>
      </c>
      <c r="T1281" s="12" t="s">
        <v>49</v>
      </c>
      <c r="U1281" s="13">
        <v>42</v>
      </c>
      <c r="V1281" s="12" t="s">
        <v>50</v>
      </c>
      <c r="W1281" s="12" t="s">
        <v>118</v>
      </c>
      <c r="X1281" s="14"/>
      <c r="Y1281" s="14"/>
      <c r="Z1281" s="14"/>
      <c r="AA1281" s="14"/>
      <c r="AB1281" s="14"/>
      <c r="AC1281" s="15">
        <v>38.65</v>
      </c>
      <c r="AD1281" s="15">
        <f>AC1281*AG1281</f>
        <v>193.25</v>
      </c>
      <c r="AE1281" s="15">
        <v>85</v>
      </c>
      <c r="AF1281" s="15">
        <f>AE1281*AG1281</f>
        <v>425</v>
      </c>
      <c r="AG1281" s="16">
        <v>5</v>
      </c>
    </row>
    <row r="1282" spans="1:33" ht="15" customHeight="1" x14ac:dyDescent="0.2">
      <c r="A1282" s="11" t="str">
        <f>HYPERLINK("https://assets.vans.eu/images/VN000EE1I6Y-HERO/1","VN000EE1I6Y1")</f>
        <v>VN000EE1I6Y1</v>
      </c>
      <c r="B1282" s="12" t="s">
        <v>5091</v>
      </c>
      <c r="C1282" s="12" t="s">
        <v>238</v>
      </c>
      <c r="D1282" s="12" t="s">
        <v>1927</v>
      </c>
      <c r="E1282" s="12" t="s">
        <v>5092</v>
      </c>
      <c r="F1282" s="13">
        <v>95</v>
      </c>
      <c r="G1282" s="14"/>
      <c r="H1282" s="12" t="s">
        <v>38</v>
      </c>
      <c r="I1282" s="12" t="s">
        <v>242</v>
      </c>
      <c r="J1282" s="12" t="s">
        <v>243</v>
      </c>
      <c r="K1282" s="12" t="s">
        <v>244</v>
      </c>
      <c r="L1282" s="12" t="s">
        <v>115</v>
      </c>
      <c r="M1282" s="12" t="s">
        <v>43</v>
      </c>
      <c r="N1282" s="12" t="s">
        <v>84</v>
      </c>
      <c r="O1282" s="12" t="s">
        <v>5093</v>
      </c>
      <c r="P1282" s="12" t="s">
        <v>46</v>
      </c>
      <c r="Q1282" s="12" t="s">
        <v>47</v>
      </c>
      <c r="R1282" s="12" t="s">
        <v>48</v>
      </c>
      <c r="S1282" s="13">
        <v>197805788056</v>
      </c>
      <c r="T1282" s="12" t="s">
        <v>164</v>
      </c>
      <c r="U1282" s="13">
        <v>26</v>
      </c>
      <c r="V1282" s="12" t="s">
        <v>50</v>
      </c>
      <c r="W1282" s="12" t="s">
        <v>625</v>
      </c>
      <c r="X1282" s="14"/>
      <c r="Y1282" s="14"/>
      <c r="Z1282" s="14"/>
      <c r="AA1282" s="14"/>
      <c r="AB1282" s="14"/>
      <c r="AC1282" s="15">
        <v>20.5</v>
      </c>
      <c r="AD1282" s="15">
        <f>AC1282*AG1282</f>
        <v>102.5</v>
      </c>
      <c r="AE1282" s="15">
        <v>45</v>
      </c>
      <c r="AF1282" s="15">
        <f>AE1282*AG1282</f>
        <v>225</v>
      </c>
      <c r="AG1282" s="16">
        <v>5</v>
      </c>
    </row>
    <row r="1283" spans="1:33" ht="15" customHeight="1" x14ac:dyDescent="0.2">
      <c r="A1283" s="11" t="str">
        <f t="shared" ref="A1283:A4675" si="547">HYPERLINK("https://assets.vans.eu/images/VN000SF4JDU-HERO/1","VN000SF4JDU1")</f>
        <v>VN000SF4JDU1</v>
      </c>
      <c r="B1283" s="12" t="s">
        <v>5094</v>
      </c>
      <c r="C1283" s="12" t="s">
        <v>502</v>
      </c>
      <c r="D1283" s="12" t="s">
        <v>814</v>
      </c>
      <c r="E1283" s="12" t="s">
        <v>5095</v>
      </c>
      <c r="F1283" s="13">
        <v>65</v>
      </c>
      <c r="G1283" s="14"/>
      <c r="H1283" s="12" t="s">
        <v>38</v>
      </c>
      <c r="I1283" s="12" t="s">
        <v>159</v>
      </c>
      <c r="J1283" s="12" t="s">
        <v>255</v>
      </c>
      <c r="K1283" s="12" t="s">
        <v>82</v>
      </c>
      <c r="L1283" s="14"/>
      <c r="M1283" s="12" t="s">
        <v>43</v>
      </c>
      <c r="N1283" s="12" t="s">
        <v>84</v>
      </c>
      <c r="O1283" s="12" t="s">
        <v>5096</v>
      </c>
      <c r="P1283" s="12" t="s">
        <v>46</v>
      </c>
      <c r="Q1283" s="12" t="s">
        <v>47</v>
      </c>
      <c r="R1283" s="12" t="s">
        <v>163</v>
      </c>
      <c r="S1283" s="13">
        <v>197803575320</v>
      </c>
      <c r="T1283" s="12" t="s">
        <v>164</v>
      </c>
      <c r="U1283" s="13">
        <v>38.5</v>
      </c>
      <c r="V1283" s="12" t="s">
        <v>50</v>
      </c>
      <c r="W1283" s="12" t="s">
        <v>284</v>
      </c>
      <c r="X1283" s="14"/>
      <c r="Y1283" s="14"/>
      <c r="Z1283" s="14"/>
      <c r="AA1283" s="14"/>
      <c r="AB1283" s="14"/>
      <c r="AC1283" s="15">
        <v>40.950000000000003</v>
      </c>
      <c r="AD1283" s="15">
        <f>AC1283*AG1283</f>
        <v>204.75</v>
      </c>
      <c r="AE1283" s="15">
        <v>90</v>
      </c>
      <c r="AF1283" s="15">
        <f>AE1283*AG1283</f>
        <v>450</v>
      </c>
      <c r="AG1283" s="16">
        <v>5</v>
      </c>
    </row>
    <row r="1284" spans="1:33" ht="15" customHeight="1" x14ac:dyDescent="0.2">
      <c r="A1284" s="11" t="str">
        <f t="shared" ref="A1284:A1559" si="548">HYPERLINK("https://assets.vans.eu/images/VN000VOB4K1-HERO/1","VN000VOB4K11")</f>
        <v>VN000VOB4K11</v>
      </c>
      <c r="B1284" s="12" t="s">
        <v>5097</v>
      </c>
      <c r="C1284" s="12" t="s">
        <v>5098</v>
      </c>
      <c r="D1284" s="12" t="s">
        <v>5099</v>
      </c>
      <c r="E1284" s="12" t="s">
        <v>5100</v>
      </c>
      <c r="F1284" s="13">
        <v>130</v>
      </c>
      <c r="G1284" s="12" t="s">
        <v>372</v>
      </c>
      <c r="H1284" s="12" t="s">
        <v>38</v>
      </c>
      <c r="I1284" s="12" t="s">
        <v>159</v>
      </c>
      <c r="J1284" s="12" t="s">
        <v>255</v>
      </c>
      <c r="K1284" s="12" t="s">
        <v>199</v>
      </c>
      <c r="L1284" s="12" t="s">
        <v>350</v>
      </c>
      <c r="M1284" s="12" t="s">
        <v>43</v>
      </c>
      <c r="N1284" s="12" t="s">
        <v>84</v>
      </c>
      <c r="O1284" s="12" t="s">
        <v>5101</v>
      </c>
      <c r="P1284" s="12" t="s">
        <v>46</v>
      </c>
      <c r="Q1284" s="12" t="s">
        <v>47</v>
      </c>
      <c r="R1284" s="12" t="s">
        <v>163</v>
      </c>
      <c r="S1284" s="13">
        <v>885928670128</v>
      </c>
      <c r="T1284" s="12" t="s">
        <v>105</v>
      </c>
      <c r="U1284" s="13">
        <v>47</v>
      </c>
      <c r="V1284" s="12" t="s">
        <v>209</v>
      </c>
      <c r="W1284" s="12" t="s">
        <v>284</v>
      </c>
      <c r="X1284" s="14"/>
      <c r="Y1284" s="12" t="s">
        <v>71</v>
      </c>
      <c r="Z1284" s="12" t="s">
        <v>92</v>
      </c>
      <c r="AA1284" s="12" t="s">
        <v>354</v>
      </c>
      <c r="AB1284" s="12" t="s">
        <v>888</v>
      </c>
      <c r="AC1284" s="15">
        <v>33.35</v>
      </c>
      <c r="AD1284" s="15">
        <f>AC1284*AG1284</f>
        <v>166.75</v>
      </c>
      <c r="AE1284" s="15">
        <v>70</v>
      </c>
      <c r="AF1284" s="15">
        <f>AE1284*AG1284</f>
        <v>350</v>
      </c>
      <c r="AG1284" s="16">
        <v>5</v>
      </c>
    </row>
    <row r="1285" spans="1:33" ht="15" customHeight="1" x14ac:dyDescent="0.2">
      <c r="A1285" s="11" t="str">
        <f>HYPERLINK("https://assets.vans.eu/images/VN0A4U16ASX-HERO/1","VN0A4U16ASX1")</f>
        <v>VN0A4U16ASX1</v>
      </c>
      <c r="B1285" s="12" t="s">
        <v>5102</v>
      </c>
      <c r="C1285" s="12" t="s">
        <v>5073</v>
      </c>
      <c r="D1285" s="12" t="s">
        <v>5103</v>
      </c>
      <c r="E1285" s="12" t="s">
        <v>5104</v>
      </c>
      <c r="F1285" s="13">
        <v>50</v>
      </c>
      <c r="G1285" s="14"/>
      <c r="H1285" s="12" t="s">
        <v>38</v>
      </c>
      <c r="I1285" s="12" t="s">
        <v>3062</v>
      </c>
      <c r="J1285" s="12" t="s">
        <v>3063</v>
      </c>
      <c r="K1285" s="12" t="s">
        <v>82</v>
      </c>
      <c r="L1285" s="14"/>
      <c r="M1285" s="12" t="s">
        <v>43</v>
      </c>
      <c r="N1285" s="12" t="s">
        <v>5105</v>
      </c>
      <c r="O1285" s="12" t="s">
        <v>5106</v>
      </c>
      <c r="P1285" s="12" t="s">
        <v>46</v>
      </c>
      <c r="Q1285" s="12" t="s">
        <v>47</v>
      </c>
      <c r="R1285" s="12" t="s">
        <v>5107</v>
      </c>
      <c r="S1285" s="13">
        <v>196013219857</v>
      </c>
      <c r="T1285" s="12" t="s">
        <v>49</v>
      </c>
      <c r="U1285" s="13">
        <v>36.5</v>
      </c>
      <c r="V1285" s="12" t="s">
        <v>209</v>
      </c>
      <c r="W1285" s="12" t="s">
        <v>598</v>
      </c>
      <c r="X1285" s="14"/>
      <c r="Y1285" s="12" t="s">
        <v>53</v>
      </c>
      <c r="Z1285" s="12" t="s">
        <v>1462</v>
      </c>
      <c r="AA1285" s="14"/>
      <c r="AB1285" s="13">
        <v>0</v>
      </c>
      <c r="AC1285" s="15">
        <v>45.5</v>
      </c>
      <c r="AD1285" s="15">
        <f>AC1285*AG1285</f>
        <v>227.5</v>
      </c>
      <c r="AE1285" s="15">
        <v>100</v>
      </c>
      <c r="AF1285" s="15">
        <f>AE1285*AG1285</f>
        <v>500</v>
      </c>
      <c r="AG1285" s="16">
        <v>5</v>
      </c>
    </row>
    <row r="1286" spans="1:33" ht="15" customHeight="1" x14ac:dyDescent="0.2">
      <c r="A1286" s="11" t="str">
        <f>HYPERLINK("https://assets.vans.eu/images/VN0A5FCB1N6-HERO/1","VN0A5FCB1N61")</f>
        <v>VN0A5FCB1N61</v>
      </c>
      <c r="B1286" s="12" t="s">
        <v>5108</v>
      </c>
      <c r="C1286" s="12" t="s">
        <v>996</v>
      </c>
      <c r="D1286" s="12" t="s">
        <v>2181</v>
      </c>
      <c r="E1286" s="12" t="s">
        <v>5109</v>
      </c>
      <c r="F1286" s="13">
        <v>80</v>
      </c>
      <c r="G1286" s="14"/>
      <c r="H1286" s="12" t="s">
        <v>38</v>
      </c>
      <c r="I1286" s="12" t="s">
        <v>159</v>
      </c>
      <c r="J1286" s="12" t="s">
        <v>341</v>
      </c>
      <c r="K1286" s="12" t="s">
        <v>199</v>
      </c>
      <c r="L1286" s="14"/>
      <c r="M1286" s="12" t="s">
        <v>43</v>
      </c>
      <c r="N1286" s="12" t="s">
        <v>84</v>
      </c>
      <c r="O1286" s="12" t="s">
        <v>5110</v>
      </c>
      <c r="P1286" s="12" t="s">
        <v>46</v>
      </c>
      <c r="Q1286" s="12" t="s">
        <v>47</v>
      </c>
      <c r="R1286" s="12" t="s">
        <v>163</v>
      </c>
      <c r="S1286" s="13">
        <v>197063314660</v>
      </c>
      <c r="T1286" s="12" t="s">
        <v>49</v>
      </c>
      <c r="U1286" s="13">
        <v>40.5</v>
      </c>
      <c r="V1286" s="12" t="s">
        <v>50</v>
      </c>
      <c r="W1286" s="12" t="s">
        <v>455</v>
      </c>
      <c r="X1286" s="14"/>
      <c r="Y1286" s="12" t="s">
        <v>91</v>
      </c>
      <c r="Z1286" s="12" t="s">
        <v>344</v>
      </c>
      <c r="AA1286" s="14"/>
      <c r="AB1286" s="14"/>
      <c r="AC1286" s="15">
        <v>38.65</v>
      </c>
      <c r="AD1286" s="15">
        <f>AC1286*AG1286</f>
        <v>193.25</v>
      </c>
      <c r="AE1286" s="15">
        <v>85</v>
      </c>
      <c r="AF1286" s="15">
        <f>AE1286*AG1286</f>
        <v>425</v>
      </c>
      <c r="AG1286" s="16">
        <v>5</v>
      </c>
    </row>
    <row r="1287" spans="1:33" ht="15" customHeight="1" x14ac:dyDescent="0.2">
      <c r="A1287" s="11" t="str">
        <f>HYPERLINK("https://assets.vans.eu/images/VN0008NMJDU-HERO/1","VN0008NMJDU1")</f>
        <v>VN0008NMJDU1</v>
      </c>
      <c r="B1287" s="12" t="s">
        <v>5111</v>
      </c>
      <c r="C1287" s="12" t="s">
        <v>5112</v>
      </c>
      <c r="D1287" s="12" t="s">
        <v>814</v>
      </c>
      <c r="E1287" s="12" t="s">
        <v>5113</v>
      </c>
      <c r="F1287" s="13">
        <v>659</v>
      </c>
      <c r="G1287" s="14"/>
      <c r="H1287" s="12" t="s">
        <v>79</v>
      </c>
      <c r="I1287" s="12" t="s">
        <v>80</v>
      </c>
      <c r="J1287" s="12" t="s">
        <v>171</v>
      </c>
      <c r="K1287" s="12" t="s">
        <v>199</v>
      </c>
      <c r="L1287" s="14"/>
      <c r="M1287" s="12" t="s">
        <v>43</v>
      </c>
      <c r="N1287" s="12" t="s">
        <v>44</v>
      </c>
      <c r="O1287" s="12" t="s">
        <v>5114</v>
      </c>
      <c r="P1287" s="12" t="s">
        <v>86</v>
      </c>
      <c r="Q1287" s="12" t="s">
        <v>141</v>
      </c>
      <c r="R1287" s="12" t="s">
        <v>173</v>
      </c>
      <c r="S1287" s="13">
        <v>197643553335</v>
      </c>
      <c r="T1287" s="12" t="s">
        <v>143</v>
      </c>
      <c r="U1287" s="12" t="s">
        <v>2023</v>
      </c>
      <c r="V1287" s="12" t="s">
        <v>5115</v>
      </c>
      <c r="W1287" s="12" t="s">
        <v>284</v>
      </c>
      <c r="X1287" s="13">
        <v>0</v>
      </c>
      <c r="Y1287" s="12" t="s">
        <v>91</v>
      </c>
      <c r="Z1287" s="12" t="s">
        <v>108</v>
      </c>
      <c r="AA1287" s="13">
        <v>0</v>
      </c>
      <c r="AB1287" s="13">
        <v>0</v>
      </c>
      <c r="AC1287" s="15">
        <v>9.1</v>
      </c>
      <c r="AD1287" s="15">
        <f>AC1287*AG1287</f>
        <v>36.4</v>
      </c>
      <c r="AE1287" s="15">
        <v>20</v>
      </c>
      <c r="AF1287" s="15">
        <f>AE1287*AG1287</f>
        <v>80</v>
      </c>
      <c r="AG1287" s="16">
        <v>4</v>
      </c>
    </row>
    <row r="1288" spans="1:33" ht="15" customHeight="1" x14ac:dyDescent="0.2">
      <c r="A1288" s="11" t="str">
        <f>HYPERLINK("https://assets.vans.eu/images/VN000A9HBLK-HERO/1","VN000A9HBLK1")</f>
        <v>VN000A9HBLK1</v>
      </c>
      <c r="B1288" s="12" t="s">
        <v>5116</v>
      </c>
      <c r="C1288" s="12" t="s">
        <v>5117</v>
      </c>
      <c r="D1288" s="12" t="s">
        <v>76</v>
      </c>
      <c r="E1288" s="12" t="s">
        <v>5118</v>
      </c>
      <c r="F1288" s="12" t="s">
        <v>1558</v>
      </c>
      <c r="G1288" s="14"/>
      <c r="H1288" s="12" t="s">
        <v>79</v>
      </c>
      <c r="I1288" s="12" t="s">
        <v>80</v>
      </c>
      <c r="J1288" s="12" t="s">
        <v>349</v>
      </c>
      <c r="K1288" s="12" t="s">
        <v>100</v>
      </c>
      <c r="L1288" s="14"/>
      <c r="M1288" s="12" t="s">
        <v>43</v>
      </c>
      <c r="N1288" s="12" t="s">
        <v>101</v>
      </c>
      <c r="O1288" s="12" t="s">
        <v>5119</v>
      </c>
      <c r="P1288" s="12" t="s">
        <v>86</v>
      </c>
      <c r="Q1288" s="12" t="s">
        <v>128</v>
      </c>
      <c r="R1288" s="12" t="s">
        <v>352</v>
      </c>
      <c r="S1288" s="13">
        <v>196573521063</v>
      </c>
      <c r="T1288" s="12" t="s">
        <v>164</v>
      </c>
      <c r="U1288" s="12" t="s">
        <v>1558</v>
      </c>
      <c r="V1288" s="12" t="s">
        <v>423</v>
      </c>
      <c r="W1288" s="12" t="s">
        <v>51</v>
      </c>
      <c r="X1288" s="13">
        <v>0</v>
      </c>
      <c r="Y1288" s="12" t="s">
        <v>91</v>
      </c>
      <c r="Z1288" s="12" t="s">
        <v>108</v>
      </c>
      <c r="AA1288" s="13">
        <v>0</v>
      </c>
      <c r="AB1288" s="13">
        <v>0</v>
      </c>
      <c r="AC1288" s="15">
        <v>18.2</v>
      </c>
      <c r="AD1288" s="15">
        <f>AC1288*AG1288</f>
        <v>72.8</v>
      </c>
      <c r="AE1288" s="15">
        <v>40</v>
      </c>
      <c r="AF1288" s="15">
        <f>AE1288*AG1288</f>
        <v>160</v>
      </c>
      <c r="AG1288" s="16">
        <v>4</v>
      </c>
    </row>
    <row r="1289" spans="1:33" ht="15" customHeight="1" x14ac:dyDescent="0.2">
      <c r="A1289" s="11" t="str">
        <f>HYPERLINK("https://assets.vans.eu/images/VN000EZBBLK-HERO/1","VN000EZBBLK1")</f>
        <v>VN000EZBBLK1</v>
      </c>
      <c r="B1289" s="12" t="s">
        <v>5120</v>
      </c>
      <c r="C1289" s="12" t="s">
        <v>5121</v>
      </c>
      <c r="D1289" s="12" t="s">
        <v>76</v>
      </c>
      <c r="E1289" s="12" t="s">
        <v>5122</v>
      </c>
      <c r="F1289" s="12" t="s">
        <v>78</v>
      </c>
      <c r="G1289" s="14"/>
      <c r="H1289" s="12" t="s">
        <v>79</v>
      </c>
      <c r="I1289" s="12" t="s">
        <v>80</v>
      </c>
      <c r="J1289" s="12" t="s">
        <v>349</v>
      </c>
      <c r="K1289" s="12" t="s">
        <v>199</v>
      </c>
      <c r="L1289" s="14"/>
      <c r="M1289" s="12" t="s">
        <v>43</v>
      </c>
      <c r="N1289" s="12" t="s">
        <v>44</v>
      </c>
      <c r="O1289" s="12" t="s">
        <v>5123</v>
      </c>
      <c r="P1289" s="12" t="s">
        <v>86</v>
      </c>
      <c r="Q1289" s="12" t="s">
        <v>128</v>
      </c>
      <c r="R1289" s="12" t="s">
        <v>352</v>
      </c>
      <c r="S1289" s="13">
        <v>196574906883</v>
      </c>
      <c r="T1289" s="12" t="s">
        <v>235</v>
      </c>
      <c r="U1289" s="12" t="s">
        <v>78</v>
      </c>
      <c r="V1289" s="12" t="s">
        <v>5124</v>
      </c>
      <c r="W1289" s="12" t="s">
        <v>51</v>
      </c>
      <c r="X1289" s="13">
        <v>0</v>
      </c>
      <c r="Y1289" s="12" t="s">
        <v>91</v>
      </c>
      <c r="Z1289" s="12" t="s">
        <v>108</v>
      </c>
      <c r="AA1289" s="13">
        <v>0</v>
      </c>
      <c r="AB1289" s="13">
        <v>0</v>
      </c>
      <c r="AC1289" s="15">
        <v>14.55</v>
      </c>
      <c r="AD1289" s="15">
        <f>AC1289*AG1289</f>
        <v>58.2</v>
      </c>
      <c r="AE1289" s="15">
        <v>32</v>
      </c>
      <c r="AF1289" s="15">
        <f>AE1289*AG1289</f>
        <v>128</v>
      </c>
      <c r="AG1289" s="16">
        <v>4</v>
      </c>
    </row>
    <row r="1290" spans="1:33" ht="15" customHeight="1" x14ac:dyDescent="0.2">
      <c r="A1290" s="11" t="str">
        <f>HYPERLINK("https://assets.vans.eu/images/VN000F10BLK-HERO/1","VN000F10BLK1")</f>
        <v>VN000F10BLK1</v>
      </c>
      <c r="B1290" s="12" t="s">
        <v>5125</v>
      </c>
      <c r="C1290" s="12" t="s">
        <v>5126</v>
      </c>
      <c r="D1290" s="12" t="s">
        <v>76</v>
      </c>
      <c r="E1290" s="12" t="s">
        <v>5127</v>
      </c>
      <c r="F1290" s="13">
        <v>951</v>
      </c>
      <c r="G1290" s="14"/>
      <c r="H1290" s="12" t="s">
        <v>79</v>
      </c>
      <c r="I1290" s="12" t="s">
        <v>80</v>
      </c>
      <c r="J1290" s="12" t="s">
        <v>171</v>
      </c>
      <c r="K1290" s="12" t="s">
        <v>199</v>
      </c>
      <c r="L1290" s="14"/>
      <c r="M1290" s="12" t="s">
        <v>43</v>
      </c>
      <c r="N1290" s="12" t="s">
        <v>44</v>
      </c>
      <c r="O1290" s="12" t="s">
        <v>5128</v>
      </c>
      <c r="P1290" s="12" t="s">
        <v>86</v>
      </c>
      <c r="Q1290" s="12" t="s">
        <v>141</v>
      </c>
      <c r="R1290" s="12" t="s">
        <v>173</v>
      </c>
      <c r="S1290" s="13">
        <v>196574907958</v>
      </c>
      <c r="T1290" s="12" t="s">
        <v>69</v>
      </c>
      <c r="U1290" s="12" t="s">
        <v>1402</v>
      </c>
      <c r="V1290" s="12" t="s">
        <v>5129</v>
      </c>
      <c r="W1290" s="12" t="s">
        <v>51</v>
      </c>
      <c r="X1290" s="13">
        <v>0</v>
      </c>
      <c r="Y1290" s="12" t="s">
        <v>91</v>
      </c>
      <c r="Z1290" s="12" t="s">
        <v>108</v>
      </c>
      <c r="AA1290" s="13">
        <v>0</v>
      </c>
      <c r="AB1290" s="13">
        <v>0</v>
      </c>
      <c r="AC1290" s="15">
        <v>8.1999999999999993</v>
      </c>
      <c r="AD1290" s="15">
        <f>AC1290*AG1290</f>
        <v>32.799999999999997</v>
      </c>
      <c r="AE1290" s="15">
        <v>18</v>
      </c>
      <c r="AF1290" s="15">
        <f>AE1290*AG1290</f>
        <v>72</v>
      </c>
      <c r="AG1290" s="16">
        <v>4</v>
      </c>
    </row>
    <row r="1291" spans="1:33" ht="15" customHeight="1" x14ac:dyDescent="0.2">
      <c r="A1291" s="11" t="str">
        <f>HYPERLINK("https://assets.vans.eu/images/VN000GMNFS8-HERO/1","VN000GMNFS81")</f>
        <v>VN000GMNFS81</v>
      </c>
      <c r="B1291" s="12" t="s">
        <v>5130</v>
      </c>
      <c r="C1291" s="12" t="s">
        <v>797</v>
      </c>
      <c r="D1291" s="12" t="s">
        <v>239</v>
      </c>
      <c r="E1291" s="12" t="s">
        <v>5131</v>
      </c>
      <c r="F1291" s="13">
        <v>651</v>
      </c>
      <c r="G1291" s="14"/>
      <c r="H1291" s="12" t="s">
        <v>79</v>
      </c>
      <c r="I1291" s="12" t="s">
        <v>80</v>
      </c>
      <c r="J1291" s="12" t="s">
        <v>171</v>
      </c>
      <c r="K1291" s="12" t="s">
        <v>100</v>
      </c>
      <c r="L1291" s="14"/>
      <c r="M1291" s="12" t="s">
        <v>43</v>
      </c>
      <c r="N1291" s="12" t="s">
        <v>84</v>
      </c>
      <c r="O1291" s="12" t="s">
        <v>5132</v>
      </c>
      <c r="P1291" s="12" t="s">
        <v>86</v>
      </c>
      <c r="Q1291" s="12" t="s">
        <v>141</v>
      </c>
      <c r="R1291" s="12" t="s">
        <v>173</v>
      </c>
      <c r="S1291" s="13">
        <v>197065711177</v>
      </c>
      <c r="T1291" s="12" t="s">
        <v>143</v>
      </c>
      <c r="U1291" s="12" t="s">
        <v>800</v>
      </c>
      <c r="V1291" s="12" t="s">
        <v>801</v>
      </c>
      <c r="W1291" s="12" t="s">
        <v>175</v>
      </c>
      <c r="X1291" s="13">
        <v>0</v>
      </c>
      <c r="Y1291" s="12" t="s">
        <v>91</v>
      </c>
      <c r="Z1291" s="12" t="s">
        <v>108</v>
      </c>
      <c r="AA1291" s="13">
        <v>0</v>
      </c>
      <c r="AB1291" s="13">
        <v>0</v>
      </c>
      <c r="AC1291" s="15">
        <v>7.3</v>
      </c>
      <c r="AD1291" s="15">
        <f>AC1291*AG1291</f>
        <v>29.2</v>
      </c>
      <c r="AE1291" s="15">
        <v>16</v>
      </c>
      <c r="AF1291" s="15">
        <f>AE1291*AG1291</f>
        <v>64</v>
      </c>
      <c r="AG1291" s="16">
        <v>4</v>
      </c>
    </row>
    <row r="1292" spans="1:33" ht="15" customHeight="1" x14ac:dyDescent="0.2">
      <c r="A1292" s="11" t="str">
        <f t="shared" si="346"/>
        <v>VN000HSMVVL1</v>
      </c>
      <c r="B1292" s="12" t="s">
        <v>5133</v>
      </c>
      <c r="C1292" s="12" t="s">
        <v>3334</v>
      </c>
      <c r="D1292" s="12" t="s">
        <v>3335</v>
      </c>
      <c r="E1292" s="12" t="s">
        <v>5134</v>
      </c>
      <c r="F1292" s="12" t="s">
        <v>853</v>
      </c>
      <c r="G1292" s="14"/>
      <c r="H1292" s="12" t="s">
        <v>79</v>
      </c>
      <c r="I1292" s="12" t="s">
        <v>80</v>
      </c>
      <c r="J1292" s="12" t="s">
        <v>349</v>
      </c>
      <c r="K1292" s="12" t="s">
        <v>82</v>
      </c>
      <c r="L1292" s="14"/>
      <c r="M1292" s="12" t="s">
        <v>43</v>
      </c>
      <c r="N1292" s="12" t="s">
        <v>161</v>
      </c>
      <c r="O1292" s="12" t="s">
        <v>5135</v>
      </c>
      <c r="P1292" s="12" t="s">
        <v>86</v>
      </c>
      <c r="Q1292" s="12" t="s">
        <v>128</v>
      </c>
      <c r="R1292" s="12" t="s">
        <v>352</v>
      </c>
      <c r="S1292" s="13">
        <v>197065712754</v>
      </c>
      <c r="T1292" s="12" t="s">
        <v>164</v>
      </c>
      <c r="U1292" s="12" t="s">
        <v>853</v>
      </c>
      <c r="V1292" s="12" t="s">
        <v>3338</v>
      </c>
      <c r="W1292" s="12" t="s">
        <v>933</v>
      </c>
      <c r="X1292" s="13">
        <v>0</v>
      </c>
      <c r="Y1292" s="12" t="s">
        <v>53</v>
      </c>
      <c r="Z1292" s="12" t="s">
        <v>108</v>
      </c>
      <c r="AA1292" s="13">
        <v>0</v>
      </c>
      <c r="AB1292" s="13">
        <v>0</v>
      </c>
      <c r="AC1292" s="15">
        <v>20.5</v>
      </c>
      <c r="AD1292" s="15">
        <f>AC1292*AG1292</f>
        <v>82</v>
      </c>
      <c r="AE1292" s="15">
        <v>45</v>
      </c>
      <c r="AF1292" s="15">
        <f>AE1292*AG1292</f>
        <v>180</v>
      </c>
      <c r="AG1292" s="16">
        <v>4</v>
      </c>
    </row>
    <row r="1293" spans="1:33" ht="15" customHeight="1" x14ac:dyDescent="0.2">
      <c r="A1293" s="11" t="str">
        <f>HYPERLINK("https://assets.vans.eu/images/VN000HSQ1RE-HERO/1","VN000HSQ1RE1")</f>
        <v>VN000HSQ1RE1</v>
      </c>
      <c r="B1293" s="12" t="s">
        <v>5136</v>
      </c>
      <c r="C1293" s="12" t="s">
        <v>4468</v>
      </c>
      <c r="D1293" s="12" t="s">
        <v>4051</v>
      </c>
      <c r="E1293" s="12" t="s">
        <v>5137</v>
      </c>
      <c r="F1293" s="12" t="s">
        <v>78</v>
      </c>
      <c r="G1293" s="14"/>
      <c r="H1293" s="12" t="s">
        <v>79</v>
      </c>
      <c r="I1293" s="12" t="s">
        <v>80</v>
      </c>
      <c r="J1293" s="12" t="s">
        <v>349</v>
      </c>
      <c r="K1293" s="12" t="s">
        <v>82</v>
      </c>
      <c r="L1293" s="14"/>
      <c r="M1293" s="12" t="s">
        <v>43</v>
      </c>
      <c r="N1293" s="12" t="s">
        <v>84</v>
      </c>
      <c r="O1293" s="12" t="s">
        <v>5138</v>
      </c>
      <c r="P1293" s="12" t="s">
        <v>86</v>
      </c>
      <c r="Q1293" s="12" t="s">
        <v>128</v>
      </c>
      <c r="R1293" s="12" t="s">
        <v>352</v>
      </c>
      <c r="S1293" s="13">
        <v>197804385096</v>
      </c>
      <c r="T1293" s="12" t="s">
        <v>1065</v>
      </c>
      <c r="U1293" s="12" t="s">
        <v>78</v>
      </c>
      <c r="V1293" s="12" t="s">
        <v>4472</v>
      </c>
      <c r="W1293" s="12" t="s">
        <v>118</v>
      </c>
      <c r="X1293" s="14"/>
      <c r="Y1293" s="14"/>
      <c r="Z1293" s="14"/>
      <c r="AA1293" s="14"/>
      <c r="AB1293" s="14"/>
      <c r="AC1293" s="15">
        <v>13.65</v>
      </c>
      <c r="AD1293" s="15">
        <f>AC1293*AG1293</f>
        <v>54.6</v>
      </c>
      <c r="AE1293" s="15">
        <v>30</v>
      </c>
      <c r="AF1293" s="15">
        <f>AE1293*AG1293</f>
        <v>120</v>
      </c>
      <c r="AG1293" s="16">
        <v>4</v>
      </c>
    </row>
    <row r="1294" spans="1:33" ht="15" customHeight="1" x14ac:dyDescent="0.2">
      <c r="A1294" s="11" t="str">
        <f t="shared" ref="A1294:A2882" si="549">HYPERLINK("https://assets.vans.eu/images/VN000JEQBLK-HERO/1","VN000JEQBLK1")</f>
        <v>VN000JEQBLK1</v>
      </c>
      <c r="B1294" s="12" t="s">
        <v>5139</v>
      </c>
      <c r="C1294" s="12" t="s">
        <v>5140</v>
      </c>
      <c r="D1294" s="12" t="s">
        <v>76</v>
      </c>
      <c r="E1294" s="12" t="s">
        <v>5141</v>
      </c>
      <c r="F1294" s="13">
        <v>951</v>
      </c>
      <c r="G1294" s="14"/>
      <c r="H1294" s="12" t="s">
        <v>79</v>
      </c>
      <c r="I1294" s="12" t="s">
        <v>80</v>
      </c>
      <c r="J1294" s="12" t="s">
        <v>171</v>
      </c>
      <c r="K1294" s="12" t="s">
        <v>199</v>
      </c>
      <c r="L1294" s="14"/>
      <c r="M1294" s="12" t="s">
        <v>43</v>
      </c>
      <c r="N1294" s="12" t="s">
        <v>44</v>
      </c>
      <c r="O1294" s="12" t="s">
        <v>5142</v>
      </c>
      <c r="P1294" s="12" t="s">
        <v>86</v>
      </c>
      <c r="Q1294" s="12" t="s">
        <v>141</v>
      </c>
      <c r="R1294" s="12" t="s">
        <v>173</v>
      </c>
      <c r="S1294" s="13">
        <v>197065492533</v>
      </c>
      <c r="T1294" s="12" t="s">
        <v>143</v>
      </c>
      <c r="U1294" s="12" t="s">
        <v>1402</v>
      </c>
      <c r="V1294" s="12" t="s">
        <v>5143</v>
      </c>
      <c r="W1294" s="12" t="s">
        <v>51</v>
      </c>
      <c r="X1294" s="13">
        <v>0</v>
      </c>
      <c r="Y1294" s="12" t="s">
        <v>91</v>
      </c>
      <c r="Z1294" s="12" t="s">
        <v>108</v>
      </c>
      <c r="AA1294" s="13">
        <v>0</v>
      </c>
      <c r="AB1294" s="13">
        <v>0</v>
      </c>
      <c r="AC1294" s="15">
        <v>10</v>
      </c>
      <c r="AD1294" s="15">
        <f>AC1294*AG1294</f>
        <v>40</v>
      </c>
      <c r="AE1294" s="15">
        <v>22</v>
      </c>
      <c r="AF1294" s="15">
        <f>AE1294*AG1294</f>
        <v>88</v>
      </c>
      <c r="AG1294" s="16">
        <v>4</v>
      </c>
    </row>
    <row r="1295" spans="1:33" ht="15" customHeight="1" x14ac:dyDescent="0.2">
      <c r="A1295" s="11" t="str">
        <f>HYPERLINK("https://assets.vans.eu/images/VN000Q18JDU-HERO/1","VN000Q18JDU1")</f>
        <v>VN000Q18JDU1</v>
      </c>
      <c r="B1295" s="12" t="s">
        <v>5144</v>
      </c>
      <c r="C1295" s="12" t="s">
        <v>5145</v>
      </c>
      <c r="D1295" s="12" t="s">
        <v>814</v>
      </c>
      <c r="E1295" s="12" t="s">
        <v>5146</v>
      </c>
      <c r="F1295" s="12" t="s">
        <v>78</v>
      </c>
      <c r="G1295" s="14"/>
      <c r="H1295" s="12" t="s">
        <v>79</v>
      </c>
      <c r="I1295" s="12" t="s">
        <v>125</v>
      </c>
      <c r="J1295" s="12" t="s">
        <v>126</v>
      </c>
      <c r="K1295" s="12" t="s">
        <v>41</v>
      </c>
      <c r="L1295" s="14"/>
      <c r="M1295" s="12" t="s">
        <v>43</v>
      </c>
      <c r="N1295" s="12" t="s">
        <v>84</v>
      </c>
      <c r="O1295" s="12" t="s">
        <v>5147</v>
      </c>
      <c r="P1295" s="12" t="s">
        <v>86</v>
      </c>
      <c r="Q1295" s="12" t="s">
        <v>128</v>
      </c>
      <c r="R1295" s="12" t="s">
        <v>129</v>
      </c>
      <c r="S1295" s="13">
        <v>197804373192</v>
      </c>
      <c r="T1295" s="12" t="s">
        <v>49</v>
      </c>
      <c r="U1295" s="12" t="s">
        <v>78</v>
      </c>
      <c r="V1295" s="12" t="s">
        <v>671</v>
      </c>
      <c r="W1295" s="12" t="s">
        <v>284</v>
      </c>
      <c r="X1295" s="14"/>
      <c r="Y1295" s="14"/>
      <c r="Z1295" s="14"/>
      <c r="AA1295" s="14"/>
      <c r="AB1295" s="14"/>
      <c r="AC1295" s="15">
        <v>12.75</v>
      </c>
      <c r="AD1295" s="15">
        <f>AC1295*AG1295</f>
        <v>51</v>
      </c>
      <c r="AE1295" s="15">
        <v>28</v>
      </c>
      <c r="AF1295" s="15">
        <f>AE1295*AG1295</f>
        <v>112</v>
      </c>
      <c r="AG1295" s="16">
        <v>4</v>
      </c>
    </row>
    <row r="1296" spans="1:33" ht="15" customHeight="1" x14ac:dyDescent="0.2">
      <c r="A1296" s="11" t="str">
        <f>HYPERLINK("https://assets.vans.eu/images/VN000QB3EMT-HERO/1","VN000QB3EMT1")</f>
        <v>VN000QB3EMT1</v>
      </c>
      <c r="B1296" s="12" t="s">
        <v>5148</v>
      </c>
      <c r="C1296" s="12" t="s">
        <v>2331</v>
      </c>
      <c r="D1296" s="12" t="s">
        <v>5149</v>
      </c>
      <c r="E1296" s="12" t="s">
        <v>5150</v>
      </c>
      <c r="F1296" s="12" t="s">
        <v>78</v>
      </c>
      <c r="G1296" s="14"/>
      <c r="H1296" s="12" t="s">
        <v>79</v>
      </c>
      <c r="I1296" s="12" t="s">
        <v>80</v>
      </c>
      <c r="J1296" s="12" t="s">
        <v>349</v>
      </c>
      <c r="K1296" s="12" t="s">
        <v>82</v>
      </c>
      <c r="L1296" s="14"/>
      <c r="M1296" s="12" t="s">
        <v>43</v>
      </c>
      <c r="N1296" s="12" t="s">
        <v>84</v>
      </c>
      <c r="O1296" s="12" t="s">
        <v>5151</v>
      </c>
      <c r="P1296" s="12" t="s">
        <v>86</v>
      </c>
      <c r="Q1296" s="12" t="s">
        <v>128</v>
      </c>
      <c r="R1296" s="12" t="s">
        <v>352</v>
      </c>
      <c r="S1296" s="13">
        <v>197804375189</v>
      </c>
      <c r="T1296" s="12" t="s">
        <v>130</v>
      </c>
      <c r="U1296" s="12" t="s">
        <v>78</v>
      </c>
      <c r="V1296" s="12" t="s">
        <v>593</v>
      </c>
      <c r="W1296" s="12" t="s">
        <v>284</v>
      </c>
      <c r="X1296" s="14"/>
      <c r="Y1296" s="14"/>
      <c r="Z1296" s="14"/>
      <c r="AA1296" s="14"/>
      <c r="AB1296" s="14"/>
      <c r="AC1296" s="15">
        <v>12.75</v>
      </c>
      <c r="AD1296" s="15">
        <f>AC1296*AG1296</f>
        <v>51</v>
      </c>
      <c r="AE1296" s="15">
        <v>28</v>
      </c>
      <c r="AF1296" s="15">
        <f>AE1296*AG1296</f>
        <v>112</v>
      </c>
      <c r="AG1296" s="16">
        <v>4</v>
      </c>
    </row>
    <row r="1297" spans="1:33" ht="15" customHeight="1" x14ac:dyDescent="0.2">
      <c r="A1297" s="11" t="str">
        <f t="shared" si="100"/>
        <v>VN000QB8EMU1</v>
      </c>
      <c r="B1297" s="12" t="s">
        <v>5152</v>
      </c>
      <c r="C1297" s="12" t="s">
        <v>177</v>
      </c>
      <c r="D1297" s="12" t="s">
        <v>1319</v>
      </c>
      <c r="E1297" s="12" t="s">
        <v>5153</v>
      </c>
      <c r="F1297" s="12" t="s">
        <v>403</v>
      </c>
      <c r="G1297" s="14"/>
      <c r="H1297" s="12" t="s">
        <v>79</v>
      </c>
      <c r="I1297" s="12" t="s">
        <v>80</v>
      </c>
      <c r="J1297" s="12" t="s">
        <v>171</v>
      </c>
      <c r="K1297" s="12" t="s">
        <v>82</v>
      </c>
      <c r="L1297" s="14"/>
      <c r="M1297" s="12" t="s">
        <v>43</v>
      </c>
      <c r="N1297" s="12" t="s">
        <v>84</v>
      </c>
      <c r="O1297" s="12" t="s">
        <v>5154</v>
      </c>
      <c r="P1297" s="12" t="s">
        <v>86</v>
      </c>
      <c r="Q1297" s="12" t="s">
        <v>141</v>
      </c>
      <c r="R1297" s="12" t="s">
        <v>173</v>
      </c>
      <c r="S1297" s="13">
        <v>197804394104</v>
      </c>
      <c r="T1297" s="12" t="s">
        <v>105</v>
      </c>
      <c r="U1297" s="12" t="s">
        <v>403</v>
      </c>
      <c r="V1297" s="12" t="s">
        <v>181</v>
      </c>
      <c r="W1297" s="12" t="s">
        <v>118</v>
      </c>
      <c r="X1297" s="14"/>
      <c r="Y1297" s="14"/>
      <c r="Z1297" s="14"/>
      <c r="AA1297" s="14"/>
      <c r="AB1297" s="14"/>
      <c r="AC1297" s="15">
        <v>7.3</v>
      </c>
      <c r="AD1297" s="15">
        <f>AC1297*AG1297</f>
        <v>29.2</v>
      </c>
      <c r="AE1297" s="15">
        <v>16</v>
      </c>
      <c r="AF1297" s="15">
        <f>AE1297*AG1297</f>
        <v>64</v>
      </c>
      <c r="AG1297" s="16">
        <v>4</v>
      </c>
    </row>
    <row r="1298" spans="1:33" ht="15" customHeight="1" x14ac:dyDescent="0.2">
      <c r="A1298" s="11" t="str">
        <f t="shared" si="21"/>
        <v>VN000QBPWHT1</v>
      </c>
      <c r="B1298" s="12" t="s">
        <v>5155</v>
      </c>
      <c r="C1298" s="12" t="s">
        <v>364</v>
      </c>
      <c r="D1298" s="12" t="s">
        <v>168</v>
      </c>
      <c r="E1298" s="12" t="s">
        <v>5156</v>
      </c>
      <c r="F1298" s="12" t="s">
        <v>170</v>
      </c>
      <c r="G1298" s="14"/>
      <c r="H1298" s="12" t="s">
        <v>79</v>
      </c>
      <c r="I1298" s="12" t="s">
        <v>80</v>
      </c>
      <c r="J1298" s="12" t="s">
        <v>171</v>
      </c>
      <c r="K1298" s="12" t="s">
        <v>82</v>
      </c>
      <c r="L1298" s="14"/>
      <c r="M1298" s="12" t="s">
        <v>43</v>
      </c>
      <c r="N1298" s="12" t="s">
        <v>84</v>
      </c>
      <c r="O1298" s="12" t="s">
        <v>5157</v>
      </c>
      <c r="P1298" s="12" t="s">
        <v>86</v>
      </c>
      <c r="Q1298" s="12" t="s">
        <v>141</v>
      </c>
      <c r="R1298" s="12" t="s">
        <v>173</v>
      </c>
      <c r="S1298" s="13">
        <v>197804394999</v>
      </c>
      <c r="T1298" s="12" t="s">
        <v>143</v>
      </c>
      <c r="U1298" s="12" t="s">
        <v>170</v>
      </c>
      <c r="V1298" s="12" t="s">
        <v>367</v>
      </c>
      <c r="W1298" s="12" t="s">
        <v>175</v>
      </c>
      <c r="X1298" s="14"/>
      <c r="Y1298" s="14"/>
      <c r="Z1298" s="14"/>
      <c r="AA1298" s="14"/>
      <c r="AB1298" s="14"/>
      <c r="AC1298" s="15">
        <v>7.3</v>
      </c>
      <c r="AD1298" s="15">
        <f>AC1298*AG1298</f>
        <v>29.2</v>
      </c>
      <c r="AE1298" s="15">
        <v>16</v>
      </c>
      <c r="AF1298" s="15">
        <f>AE1298*AG1298</f>
        <v>64</v>
      </c>
      <c r="AG1298" s="16">
        <v>4</v>
      </c>
    </row>
    <row r="1299" spans="1:33" ht="15" customHeight="1" x14ac:dyDescent="0.2">
      <c r="A1299" s="11" t="str">
        <f>HYPERLINK("https://assets.vans.eu/images/VN000R10EN6-HERO/1","VN000R10EN61")</f>
        <v>VN000R10EN61</v>
      </c>
      <c r="B1299" s="12" t="s">
        <v>5158</v>
      </c>
      <c r="C1299" s="12" t="s">
        <v>167</v>
      </c>
      <c r="D1299" s="12" t="s">
        <v>189</v>
      </c>
      <c r="E1299" s="12" t="s">
        <v>5159</v>
      </c>
      <c r="F1299" s="12" t="s">
        <v>403</v>
      </c>
      <c r="G1299" s="14"/>
      <c r="H1299" s="12" t="s">
        <v>79</v>
      </c>
      <c r="I1299" s="12" t="s">
        <v>80</v>
      </c>
      <c r="J1299" s="12" t="s">
        <v>171</v>
      </c>
      <c r="K1299" s="12" t="s">
        <v>82</v>
      </c>
      <c r="L1299" s="14"/>
      <c r="M1299" s="12" t="s">
        <v>43</v>
      </c>
      <c r="N1299" s="12" t="s">
        <v>84</v>
      </c>
      <c r="O1299" s="12" t="s">
        <v>5160</v>
      </c>
      <c r="P1299" s="12" t="s">
        <v>86</v>
      </c>
      <c r="Q1299" s="12" t="s">
        <v>141</v>
      </c>
      <c r="R1299" s="12" t="s">
        <v>173</v>
      </c>
      <c r="S1299" s="13">
        <v>197804395644</v>
      </c>
      <c r="T1299" s="12" t="s">
        <v>143</v>
      </c>
      <c r="U1299" s="12" t="s">
        <v>403</v>
      </c>
      <c r="V1299" s="12" t="s">
        <v>174</v>
      </c>
      <c r="W1299" s="12" t="s">
        <v>118</v>
      </c>
      <c r="X1299" s="14"/>
      <c r="Y1299" s="14"/>
      <c r="Z1299" s="14"/>
      <c r="AA1299" s="14"/>
      <c r="AB1299" s="14"/>
      <c r="AC1299" s="15">
        <v>7.3</v>
      </c>
      <c r="AD1299" s="15">
        <f>AC1299*AG1299</f>
        <v>29.2</v>
      </c>
      <c r="AE1299" s="15">
        <v>16</v>
      </c>
      <c r="AF1299" s="15">
        <f>AE1299*AG1299</f>
        <v>64</v>
      </c>
      <c r="AG1299" s="16">
        <v>4</v>
      </c>
    </row>
    <row r="1300" spans="1:33" ht="15" customHeight="1" x14ac:dyDescent="0.2">
      <c r="A1300" s="11" t="str">
        <f>HYPERLINK("https://assets.vans.eu/images/VN000R51WHT-HERO/1","VN000R51WHT1")</f>
        <v>VN000R51WHT1</v>
      </c>
      <c r="B1300" s="12" t="s">
        <v>5161</v>
      </c>
      <c r="C1300" s="12" t="s">
        <v>1631</v>
      </c>
      <c r="D1300" s="12" t="s">
        <v>168</v>
      </c>
      <c r="E1300" s="12" t="s">
        <v>5162</v>
      </c>
      <c r="F1300" s="12" t="s">
        <v>179</v>
      </c>
      <c r="G1300" s="14"/>
      <c r="H1300" s="12" t="s">
        <v>79</v>
      </c>
      <c r="I1300" s="12" t="s">
        <v>80</v>
      </c>
      <c r="J1300" s="12" t="s">
        <v>171</v>
      </c>
      <c r="K1300" s="12" t="s">
        <v>82</v>
      </c>
      <c r="L1300" s="14"/>
      <c r="M1300" s="12" t="s">
        <v>43</v>
      </c>
      <c r="N1300" s="12" t="s">
        <v>84</v>
      </c>
      <c r="O1300" s="12" t="s">
        <v>5163</v>
      </c>
      <c r="P1300" s="12" t="s">
        <v>86</v>
      </c>
      <c r="Q1300" s="12" t="s">
        <v>141</v>
      </c>
      <c r="R1300" s="12" t="s">
        <v>173</v>
      </c>
      <c r="S1300" s="13">
        <v>197804617388</v>
      </c>
      <c r="T1300" s="12" t="s">
        <v>143</v>
      </c>
      <c r="U1300" s="12" t="s">
        <v>179</v>
      </c>
      <c r="V1300" s="12" t="s">
        <v>1545</v>
      </c>
      <c r="W1300" s="12" t="s">
        <v>175</v>
      </c>
      <c r="X1300" s="14"/>
      <c r="Y1300" s="14"/>
      <c r="Z1300" s="14"/>
      <c r="AA1300" s="14"/>
      <c r="AB1300" s="14"/>
      <c r="AC1300" s="15">
        <v>9.1</v>
      </c>
      <c r="AD1300" s="15">
        <f>AC1300*AG1300</f>
        <v>36.4</v>
      </c>
      <c r="AE1300" s="15">
        <v>20</v>
      </c>
      <c r="AF1300" s="15">
        <f>AE1300*AG1300</f>
        <v>80</v>
      </c>
      <c r="AG1300" s="16">
        <v>4</v>
      </c>
    </row>
    <row r="1301" spans="1:33" ht="15" customHeight="1" x14ac:dyDescent="0.2">
      <c r="A1301" s="11" t="str">
        <f t="shared" si="471"/>
        <v>VN0A31J6BLK1</v>
      </c>
      <c r="B1301" s="12" t="s">
        <v>5164</v>
      </c>
      <c r="C1301" s="12" t="s">
        <v>2662</v>
      </c>
      <c r="D1301" s="12" t="s">
        <v>76</v>
      </c>
      <c r="E1301" s="12" t="s">
        <v>5165</v>
      </c>
      <c r="F1301" s="13">
        <v>36</v>
      </c>
      <c r="G1301" s="14"/>
      <c r="H1301" s="12" t="s">
        <v>79</v>
      </c>
      <c r="I1301" s="12" t="s">
        <v>80</v>
      </c>
      <c r="J1301" s="12" t="s">
        <v>99</v>
      </c>
      <c r="K1301" s="12" t="s">
        <v>199</v>
      </c>
      <c r="L1301" s="14"/>
      <c r="M1301" s="12" t="s">
        <v>43</v>
      </c>
      <c r="N1301" s="12" t="s">
        <v>467</v>
      </c>
      <c r="O1301" s="12" t="s">
        <v>5166</v>
      </c>
      <c r="P1301" s="12" t="s">
        <v>86</v>
      </c>
      <c r="Q1301" s="12" t="s">
        <v>103</v>
      </c>
      <c r="R1301" s="12" t="s">
        <v>104</v>
      </c>
      <c r="S1301" s="13">
        <v>191163132704</v>
      </c>
      <c r="T1301" s="12" t="s">
        <v>49</v>
      </c>
      <c r="U1301" s="13">
        <v>36</v>
      </c>
      <c r="V1301" s="12" t="s">
        <v>2666</v>
      </c>
      <c r="W1301" s="12" t="s">
        <v>51</v>
      </c>
      <c r="X1301" s="13">
        <v>0</v>
      </c>
      <c r="Y1301" s="12" t="s">
        <v>71</v>
      </c>
      <c r="Z1301" s="12" t="s">
        <v>1180</v>
      </c>
      <c r="AA1301" s="13">
        <v>0</v>
      </c>
      <c r="AB1301" s="13">
        <v>0</v>
      </c>
      <c r="AC1301" s="15">
        <v>16.399999999999999</v>
      </c>
      <c r="AD1301" s="15">
        <f>AC1301*AG1301</f>
        <v>65.599999999999994</v>
      </c>
      <c r="AE1301" s="15">
        <v>36</v>
      </c>
      <c r="AF1301" s="15">
        <f>AE1301*AG1301</f>
        <v>144</v>
      </c>
      <c r="AG1301" s="16">
        <v>4</v>
      </c>
    </row>
    <row r="1302" spans="1:33" ht="15" customHeight="1" x14ac:dyDescent="0.2">
      <c r="A1302" s="11" t="str">
        <f>HYPERLINK("https://assets.vans.eu/images/VN0A34GRC8B-HERO/1","VN0A34GRC8B1")</f>
        <v>VN0A34GRC8B1</v>
      </c>
      <c r="B1302" s="12" t="s">
        <v>5167</v>
      </c>
      <c r="C1302" s="12" t="s">
        <v>5168</v>
      </c>
      <c r="D1302" s="12" t="s">
        <v>97</v>
      </c>
      <c r="E1302" s="12" t="s">
        <v>5169</v>
      </c>
      <c r="F1302" s="12" t="s">
        <v>78</v>
      </c>
      <c r="G1302" s="14"/>
      <c r="H1302" s="12" t="s">
        <v>79</v>
      </c>
      <c r="I1302" s="12" t="s">
        <v>80</v>
      </c>
      <c r="J1302" s="12" t="s">
        <v>349</v>
      </c>
      <c r="K1302" s="12" t="s">
        <v>100</v>
      </c>
      <c r="L1302" s="14"/>
      <c r="M1302" s="12" t="s">
        <v>43</v>
      </c>
      <c r="N1302" s="12" t="s">
        <v>101</v>
      </c>
      <c r="O1302" s="12" t="s">
        <v>5170</v>
      </c>
      <c r="P1302" s="12" t="s">
        <v>86</v>
      </c>
      <c r="Q1302" s="12" t="s">
        <v>128</v>
      </c>
      <c r="R1302" s="12" t="s">
        <v>352</v>
      </c>
      <c r="S1302" s="13">
        <v>196573556928</v>
      </c>
      <c r="T1302" s="12" t="s">
        <v>143</v>
      </c>
      <c r="U1302" s="12" t="s">
        <v>78</v>
      </c>
      <c r="V1302" s="12" t="s">
        <v>1221</v>
      </c>
      <c r="W1302" s="12" t="s">
        <v>107</v>
      </c>
      <c r="X1302" s="13">
        <v>0</v>
      </c>
      <c r="Y1302" s="12" t="s">
        <v>91</v>
      </c>
      <c r="Z1302" s="12" t="s">
        <v>108</v>
      </c>
      <c r="AA1302" s="13">
        <v>0</v>
      </c>
      <c r="AB1302" s="13">
        <v>0</v>
      </c>
      <c r="AC1302" s="15">
        <v>17.3</v>
      </c>
      <c r="AD1302" s="15">
        <f>AC1302*AG1302</f>
        <v>69.2</v>
      </c>
      <c r="AE1302" s="15">
        <v>38</v>
      </c>
      <c r="AF1302" s="15">
        <f>AE1302*AG1302</f>
        <v>152</v>
      </c>
      <c r="AG1302" s="16">
        <v>4</v>
      </c>
    </row>
    <row r="1303" spans="1:33" ht="15" customHeight="1" x14ac:dyDescent="0.2">
      <c r="A1303" s="11" t="str">
        <f>HYPERLINK("https://assets.vans.eu/images/VN0A36IU1M7-HERO/1","VN0A36IU1M71")</f>
        <v>VN0A36IU1M71</v>
      </c>
      <c r="B1303" s="12" t="s">
        <v>5171</v>
      </c>
      <c r="C1303" s="12" t="s">
        <v>5172</v>
      </c>
      <c r="D1303" s="12" t="s">
        <v>5173</v>
      </c>
      <c r="E1303" s="12" t="s">
        <v>5174</v>
      </c>
      <c r="F1303" s="12" t="s">
        <v>78</v>
      </c>
      <c r="G1303" s="14"/>
      <c r="H1303" s="12" t="s">
        <v>79</v>
      </c>
      <c r="I1303" s="12" t="s">
        <v>80</v>
      </c>
      <c r="J1303" s="12" t="s">
        <v>349</v>
      </c>
      <c r="K1303" s="12" t="s">
        <v>199</v>
      </c>
      <c r="L1303" s="14"/>
      <c r="M1303" s="12" t="s">
        <v>43</v>
      </c>
      <c r="N1303" s="12" t="s">
        <v>101</v>
      </c>
      <c r="O1303" s="12" t="s">
        <v>5175</v>
      </c>
      <c r="P1303" s="12" t="s">
        <v>86</v>
      </c>
      <c r="Q1303" s="12" t="s">
        <v>128</v>
      </c>
      <c r="R1303" s="12" t="s">
        <v>352</v>
      </c>
      <c r="S1303" s="13">
        <v>196573557109</v>
      </c>
      <c r="T1303" s="12" t="s">
        <v>235</v>
      </c>
      <c r="U1303" s="12" t="s">
        <v>78</v>
      </c>
      <c r="V1303" s="12" t="s">
        <v>5176</v>
      </c>
      <c r="W1303" s="12" t="s">
        <v>186</v>
      </c>
      <c r="X1303" s="13">
        <v>0</v>
      </c>
      <c r="Y1303" s="12" t="s">
        <v>91</v>
      </c>
      <c r="Z1303" s="12" t="s">
        <v>108</v>
      </c>
      <c r="AA1303" s="13">
        <v>0</v>
      </c>
      <c r="AB1303" s="13">
        <v>0</v>
      </c>
      <c r="AC1303" s="15">
        <v>14.55</v>
      </c>
      <c r="AD1303" s="15">
        <f>AC1303*AG1303</f>
        <v>58.2</v>
      </c>
      <c r="AE1303" s="15">
        <v>32</v>
      </c>
      <c r="AF1303" s="15">
        <f>AE1303*AG1303</f>
        <v>128</v>
      </c>
      <c r="AG1303" s="16">
        <v>4</v>
      </c>
    </row>
    <row r="1304" spans="1:33" ht="15" customHeight="1" x14ac:dyDescent="0.2">
      <c r="A1304" s="11" t="str">
        <f>HYPERLINK("https://assets.vans.eu/images/VN0A36S8HNB-HERO/1","VN0A36S8HNB1")</f>
        <v>VN0A36S8HNB1</v>
      </c>
      <c r="B1304" s="12" t="s">
        <v>5177</v>
      </c>
      <c r="C1304" s="12" t="s">
        <v>5178</v>
      </c>
      <c r="D1304" s="12" t="s">
        <v>5179</v>
      </c>
      <c r="E1304" s="12" t="s">
        <v>5180</v>
      </c>
      <c r="F1304" s="12" t="s">
        <v>78</v>
      </c>
      <c r="G1304" s="14"/>
      <c r="H1304" s="12" t="s">
        <v>79</v>
      </c>
      <c r="I1304" s="12" t="s">
        <v>125</v>
      </c>
      <c r="J1304" s="12" t="s">
        <v>126</v>
      </c>
      <c r="K1304" s="12" t="s">
        <v>64</v>
      </c>
      <c r="L1304" s="14"/>
      <c r="M1304" s="12" t="s">
        <v>43</v>
      </c>
      <c r="N1304" s="12" t="s">
        <v>5181</v>
      </c>
      <c r="O1304" s="12" t="s">
        <v>5182</v>
      </c>
      <c r="P1304" s="12" t="s">
        <v>86</v>
      </c>
      <c r="Q1304" s="12" t="s">
        <v>128</v>
      </c>
      <c r="R1304" s="12" t="s">
        <v>129</v>
      </c>
      <c r="S1304" s="13">
        <v>195441757979</v>
      </c>
      <c r="T1304" s="12" t="s">
        <v>143</v>
      </c>
      <c r="U1304" s="12" t="s">
        <v>78</v>
      </c>
      <c r="V1304" s="12" t="s">
        <v>5183</v>
      </c>
      <c r="W1304" s="12" t="s">
        <v>51</v>
      </c>
      <c r="X1304" s="14"/>
      <c r="Y1304" s="12" t="s">
        <v>91</v>
      </c>
      <c r="Z1304" s="12" t="s">
        <v>2600</v>
      </c>
      <c r="AA1304" s="14"/>
      <c r="AB1304" s="13">
        <v>0</v>
      </c>
      <c r="AC1304" s="15">
        <v>11.4</v>
      </c>
      <c r="AD1304" s="15">
        <f>AC1304*AG1304</f>
        <v>45.6</v>
      </c>
      <c r="AE1304" s="15">
        <v>25</v>
      </c>
      <c r="AF1304" s="15">
        <f>AE1304*AG1304</f>
        <v>100</v>
      </c>
      <c r="AG1304" s="16">
        <v>4</v>
      </c>
    </row>
    <row r="1305" spans="1:33" ht="15" customHeight="1" x14ac:dyDescent="0.2">
      <c r="A1305" s="11" t="str">
        <f>HYPERLINK("https://assets.vans.eu/images/VN0A3HZJBLK-HERO/1","VN0A3HZJBLK1")</f>
        <v>VN0A3HZJBLK1</v>
      </c>
      <c r="B1305" s="12" t="s">
        <v>5184</v>
      </c>
      <c r="C1305" s="12" t="s">
        <v>5185</v>
      </c>
      <c r="D1305" s="12" t="s">
        <v>76</v>
      </c>
      <c r="E1305" s="12" t="s">
        <v>5186</v>
      </c>
      <c r="F1305" s="12" t="s">
        <v>78</v>
      </c>
      <c r="G1305" s="14"/>
      <c r="H1305" s="12" t="s">
        <v>79</v>
      </c>
      <c r="I1305" s="12" t="s">
        <v>125</v>
      </c>
      <c r="J1305" s="12" t="s">
        <v>2849</v>
      </c>
      <c r="K1305" s="12" t="s">
        <v>64</v>
      </c>
      <c r="L1305" s="14"/>
      <c r="M1305" s="12" t="s">
        <v>43</v>
      </c>
      <c r="N1305" s="12" t="s">
        <v>44</v>
      </c>
      <c r="O1305" s="12" t="s">
        <v>5187</v>
      </c>
      <c r="P1305" s="12" t="s">
        <v>86</v>
      </c>
      <c r="Q1305" s="12" t="s">
        <v>716</v>
      </c>
      <c r="R1305" s="12" t="s">
        <v>5188</v>
      </c>
      <c r="S1305" s="13">
        <v>191930719855</v>
      </c>
      <c r="T1305" s="12" t="s">
        <v>143</v>
      </c>
      <c r="U1305" s="12" t="s">
        <v>78</v>
      </c>
      <c r="V1305" s="12" t="s">
        <v>718</v>
      </c>
      <c r="W1305" s="12" t="s">
        <v>51</v>
      </c>
      <c r="X1305" s="13">
        <v>0</v>
      </c>
      <c r="Y1305" s="12" t="s">
        <v>71</v>
      </c>
      <c r="Z1305" s="12" t="s">
        <v>108</v>
      </c>
      <c r="AA1305" s="13">
        <v>0</v>
      </c>
      <c r="AB1305" s="13">
        <v>0</v>
      </c>
      <c r="AC1305" s="15">
        <v>7.3</v>
      </c>
      <c r="AD1305" s="15">
        <f>AC1305*AG1305</f>
        <v>29.2</v>
      </c>
      <c r="AE1305" s="15">
        <v>16</v>
      </c>
      <c r="AF1305" s="15">
        <f>AE1305*AG1305</f>
        <v>64</v>
      </c>
      <c r="AG1305" s="16">
        <v>4</v>
      </c>
    </row>
    <row r="1306" spans="1:33" ht="15" customHeight="1" x14ac:dyDescent="0.2">
      <c r="A1306" s="11" t="str">
        <f t="shared" si="283"/>
        <v>VN00000D1LE1</v>
      </c>
      <c r="B1306" s="12" t="s">
        <v>5189</v>
      </c>
      <c r="C1306" s="12" t="s">
        <v>2863</v>
      </c>
      <c r="D1306" s="12" t="s">
        <v>2864</v>
      </c>
      <c r="E1306" s="12" t="s">
        <v>5190</v>
      </c>
      <c r="F1306" s="12" t="s">
        <v>153</v>
      </c>
      <c r="G1306" s="14"/>
      <c r="H1306" s="12" t="s">
        <v>61</v>
      </c>
      <c r="I1306" s="12" t="s">
        <v>230</v>
      </c>
      <c r="J1306" s="12" t="s">
        <v>231</v>
      </c>
      <c r="K1306" s="12" t="s">
        <v>199</v>
      </c>
      <c r="L1306" s="14"/>
      <c r="M1306" s="12" t="s">
        <v>43</v>
      </c>
      <c r="N1306" s="12" t="s">
        <v>84</v>
      </c>
      <c r="O1306" s="12" t="s">
        <v>5191</v>
      </c>
      <c r="P1306" s="12" t="s">
        <v>66</v>
      </c>
      <c r="Q1306" s="12" t="s">
        <v>233</v>
      </c>
      <c r="R1306" s="12" t="s">
        <v>361</v>
      </c>
      <c r="S1306" s="13">
        <v>196244919113</v>
      </c>
      <c r="T1306" s="12" t="s">
        <v>235</v>
      </c>
      <c r="U1306" s="12" t="s">
        <v>153</v>
      </c>
      <c r="V1306" s="12" t="s">
        <v>423</v>
      </c>
      <c r="W1306" s="12" t="s">
        <v>51</v>
      </c>
      <c r="X1306" s="13">
        <v>0</v>
      </c>
      <c r="Y1306" s="12" t="s">
        <v>91</v>
      </c>
      <c r="Z1306" s="12" t="s">
        <v>108</v>
      </c>
      <c r="AA1306" s="13">
        <v>0</v>
      </c>
      <c r="AB1306" s="13">
        <v>0</v>
      </c>
      <c r="AC1306" s="15">
        <v>31.85</v>
      </c>
      <c r="AD1306" s="15">
        <f>AC1306*AG1306</f>
        <v>127.4</v>
      </c>
      <c r="AE1306" s="15">
        <v>70</v>
      </c>
      <c r="AF1306" s="15">
        <f>AE1306*AG1306</f>
        <v>280</v>
      </c>
      <c r="AG1306" s="16">
        <v>4</v>
      </c>
    </row>
    <row r="1307" spans="1:33" ht="15" customHeight="1" x14ac:dyDescent="0.2">
      <c r="A1307" s="11" t="str">
        <f>HYPERLINK("https://assets.vans.eu/images/VN000462CHJ-HERO/1","VN000462CHJ1")</f>
        <v>VN000462CHJ1</v>
      </c>
      <c r="B1307" s="12" t="s">
        <v>5192</v>
      </c>
      <c r="C1307" s="12" t="s">
        <v>5193</v>
      </c>
      <c r="D1307" s="12" t="s">
        <v>5194</v>
      </c>
      <c r="E1307" s="12" t="s">
        <v>5195</v>
      </c>
      <c r="F1307" s="12" t="s">
        <v>138</v>
      </c>
      <c r="G1307" s="14"/>
      <c r="H1307" s="12" t="s">
        <v>61</v>
      </c>
      <c r="I1307" s="12" t="s">
        <v>289</v>
      </c>
      <c r="J1307" s="12" t="s">
        <v>984</v>
      </c>
      <c r="K1307" s="12" t="s">
        <v>100</v>
      </c>
      <c r="L1307" s="12" t="s">
        <v>115</v>
      </c>
      <c r="M1307" s="12" t="s">
        <v>43</v>
      </c>
      <c r="N1307" s="12" t="s">
        <v>274</v>
      </c>
      <c r="O1307" s="12" t="s">
        <v>5196</v>
      </c>
      <c r="P1307" s="12" t="s">
        <v>66</v>
      </c>
      <c r="Q1307" s="12" t="s">
        <v>764</v>
      </c>
      <c r="R1307" s="12" t="s">
        <v>986</v>
      </c>
      <c r="S1307" s="13">
        <v>197065274887</v>
      </c>
      <c r="T1307" s="12" t="s">
        <v>235</v>
      </c>
      <c r="U1307" s="12" t="s">
        <v>138</v>
      </c>
      <c r="V1307" s="12" t="s">
        <v>665</v>
      </c>
      <c r="W1307" s="12" t="s">
        <v>107</v>
      </c>
      <c r="X1307" s="13">
        <v>0</v>
      </c>
      <c r="Y1307" s="12" t="s">
        <v>91</v>
      </c>
      <c r="Z1307" s="12" t="s">
        <v>92</v>
      </c>
      <c r="AA1307" s="12" t="s">
        <v>93</v>
      </c>
      <c r="AB1307" s="12" t="s">
        <v>94</v>
      </c>
      <c r="AC1307" s="15">
        <v>43.2</v>
      </c>
      <c r="AD1307" s="15">
        <f>AC1307*AG1307</f>
        <v>172.8</v>
      </c>
      <c r="AE1307" s="15">
        <v>95</v>
      </c>
      <c r="AF1307" s="15">
        <f>AE1307*AG1307</f>
        <v>380</v>
      </c>
      <c r="AG1307" s="16">
        <v>4</v>
      </c>
    </row>
    <row r="1308" spans="1:33" ht="15" customHeight="1" x14ac:dyDescent="0.2">
      <c r="A1308" s="11" t="str">
        <f>HYPERLINK("https://assets.vans.eu/images/VN00077VM8I-HERO/1","VN00077VM8I1")</f>
        <v>VN00077VM8I1</v>
      </c>
      <c r="B1308" s="12" t="s">
        <v>5197</v>
      </c>
      <c r="C1308" s="12" t="s">
        <v>5198</v>
      </c>
      <c r="D1308" s="12" t="s">
        <v>1487</v>
      </c>
      <c r="E1308" s="12" t="s">
        <v>5199</v>
      </c>
      <c r="F1308" s="12" t="s">
        <v>170</v>
      </c>
      <c r="G1308" s="14"/>
      <c r="H1308" s="12" t="s">
        <v>61</v>
      </c>
      <c r="I1308" s="12" t="s">
        <v>62</v>
      </c>
      <c r="J1308" s="12" t="s">
        <v>63</v>
      </c>
      <c r="K1308" s="12" t="s">
        <v>1022</v>
      </c>
      <c r="L1308" s="14"/>
      <c r="M1308" s="12" t="s">
        <v>43</v>
      </c>
      <c r="N1308" s="12" t="s">
        <v>161</v>
      </c>
      <c r="O1308" s="12" t="s">
        <v>5200</v>
      </c>
      <c r="P1308" s="12" t="s">
        <v>66</v>
      </c>
      <c r="Q1308" s="12" t="s">
        <v>67</v>
      </c>
      <c r="R1308" s="12" t="s">
        <v>730</v>
      </c>
      <c r="S1308" s="13">
        <v>197065704315</v>
      </c>
      <c r="T1308" s="12" t="s">
        <v>69</v>
      </c>
      <c r="U1308" s="12" t="s">
        <v>170</v>
      </c>
      <c r="V1308" s="12" t="s">
        <v>1378</v>
      </c>
      <c r="W1308" s="12" t="s">
        <v>118</v>
      </c>
      <c r="X1308" s="13">
        <v>0</v>
      </c>
      <c r="Y1308" s="12" t="s">
        <v>91</v>
      </c>
      <c r="Z1308" s="12" t="s">
        <v>108</v>
      </c>
      <c r="AA1308" s="13">
        <v>0</v>
      </c>
      <c r="AB1308" s="13">
        <v>0</v>
      </c>
      <c r="AC1308" s="15">
        <v>30.95</v>
      </c>
      <c r="AD1308" s="15">
        <f>AC1308*AG1308</f>
        <v>123.8</v>
      </c>
      <c r="AE1308" s="15">
        <v>68</v>
      </c>
      <c r="AF1308" s="15">
        <f>AE1308*AG1308</f>
        <v>272</v>
      </c>
      <c r="AG1308" s="16">
        <v>4</v>
      </c>
    </row>
    <row r="1309" spans="1:33" ht="15" customHeight="1" x14ac:dyDescent="0.2">
      <c r="A1309" s="11" t="str">
        <f t="shared" si="115"/>
        <v>VN0008KUJDU1</v>
      </c>
      <c r="B1309" s="12" t="s">
        <v>5201</v>
      </c>
      <c r="C1309" s="12" t="s">
        <v>554</v>
      </c>
      <c r="D1309" s="12" t="s">
        <v>814</v>
      </c>
      <c r="E1309" s="12" t="s">
        <v>5202</v>
      </c>
      <c r="F1309" s="12" t="s">
        <v>60</v>
      </c>
      <c r="G1309" s="14"/>
      <c r="H1309" s="12" t="s">
        <v>61</v>
      </c>
      <c r="I1309" s="12" t="s">
        <v>230</v>
      </c>
      <c r="J1309" s="12" t="s">
        <v>557</v>
      </c>
      <c r="K1309" s="12" t="s">
        <v>199</v>
      </c>
      <c r="L1309" s="14"/>
      <c r="M1309" s="12" t="s">
        <v>43</v>
      </c>
      <c r="N1309" s="12" t="s">
        <v>44</v>
      </c>
      <c r="O1309" s="12" t="s">
        <v>5203</v>
      </c>
      <c r="P1309" s="12" t="s">
        <v>66</v>
      </c>
      <c r="Q1309" s="12" t="s">
        <v>559</v>
      </c>
      <c r="R1309" s="12" t="s">
        <v>560</v>
      </c>
      <c r="S1309" s="13">
        <v>197643553618</v>
      </c>
      <c r="T1309" s="12" t="s">
        <v>49</v>
      </c>
      <c r="U1309" s="12" t="s">
        <v>60</v>
      </c>
      <c r="V1309" s="12" t="s">
        <v>561</v>
      </c>
      <c r="W1309" s="12" t="s">
        <v>284</v>
      </c>
      <c r="X1309" s="13">
        <v>0</v>
      </c>
      <c r="Y1309" s="12" t="s">
        <v>53</v>
      </c>
      <c r="Z1309" s="12" t="s">
        <v>108</v>
      </c>
      <c r="AA1309" s="13">
        <v>0</v>
      </c>
      <c r="AB1309" s="13">
        <v>0</v>
      </c>
      <c r="AC1309" s="15">
        <v>25</v>
      </c>
      <c r="AD1309" s="15">
        <f>AC1309*AG1309</f>
        <v>100</v>
      </c>
      <c r="AE1309" s="15">
        <v>55</v>
      </c>
      <c r="AF1309" s="15">
        <f>AE1309*AG1309</f>
        <v>220</v>
      </c>
      <c r="AG1309" s="16">
        <v>4</v>
      </c>
    </row>
    <row r="1310" spans="1:33" ht="15" customHeight="1" x14ac:dyDescent="0.2">
      <c r="A1310" s="11" t="str">
        <f>HYPERLINK("https://assets.vans.eu/images/VN000C9VFS8-HERO/1","VN000C9VFS81")</f>
        <v>VN000C9VFS81</v>
      </c>
      <c r="B1310" s="12" t="s">
        <v>5204</v>
      </c>
      <c r="C1310" s="12" t="s">
        <v>5205</v>
      </c>
      <c r="D1310" s="12" t="s">
        <v>239</v>
      </c>
      <c r="E1310" s="12" t="s">
        <v>5206</v>
      </c>
      <c r="F1310" s="13">
        <v>28</v>
      </c>
      <c r="G1310" s="14"/>
      <c r="H1310" s="12" t="s">
        <v>61</v>
      </c>
      <c r="I1310" s="12" t="s">
        <v>230</v>
      </c>
      <c r="J1310" s="12" t="s">
        <v>231</v>
      </c>
      <c r="K1310" s="12" t="s">
        <v>199</v>
      </c>
      <c r="L1310" s="14"/>
      <c r="M1310" s="12" t="s">
        <v>43</v>
      </c>
      <c r="N1310" s="12" t="s">
        <v>44</v>
      </c>
      <c r="O1310" s="12" t="s">
        <v>5207</v>
      </c>
      <c r="P1310" s="12" t="s">
        <v>66</v>
      </c>
      <c r="Q1310" s="12" t="s">
        <v>233</v>
      </c>
      <c r="R1310" s="12" t="s">
        <v>234</v>
      </c>
      <c r="S1310" s="13">
        <v>197643456704</v>
      </c>
      <c r="T1310" s="12" t="s">
        <v>235</v>
      </c>
      <c r="U1310" s="13">
        <v>28</v>
      </c>
      <c r="V1310" s="12" t="s">
        <v>665</v>
      </c>
      <c r="W1310" s="12" t="s">
        <v>175</v>
      </c>
      <c r="X1310" s="13">
        <v>0</v>
      </c>
      <c r="Y1310" s="12" t="s">
        <v>53</v>
      </c>
      <c r="Z1310" s="12" t="s">
        <v>108</v>
      </c>
      <c r="AA1310" s="13">
        <v>0</v>
      </c>
      <c r="AB1310" s="13">
        <v>0</v>
      </c>
      <c r="AC1310" s="15">
        <v>31.85</v>
      </c>
      <c r="AD1310" s="15">
        <f>AC1310*AG1310</f>
        <v>127.4</v>
      </c>
      <c r="AE1310" s="15">
        <v>70</v>
      </c>
      <c r="AF1310" s="15">
        <f>AE1310*AG1310</f>
        <v>280</v>
      </c>
      <c r="AG1310" s="16">
        <v>4</v>
      </c>
    </row>
    <row r="1311" spans="1:33" ht="15" customHeight="1" x14ac:dyDescent="0.2">
      <c r="A1311" s="11" t="str">
        <f t="shared" si="473"/>
        <v>VN000G75D6Z1</v>
      </c>
      <c r="B1311" s="12" t="s">
        <v>5208</v>
      </c>
      <c r="C1311" s="12" t="s">
        <v>1188</v>
      </c>
      <c r="D1311" s="12" t="s">
        <v>1277</v>
      </c>
      <c r="E1311" s="12" t="s">
        <v>5209</v>
      </c>
      <c r="F1311" s="12" t="s">
        <v>621</v>
      </c>
      <c r="G1311" s="14"/>
      <c r="H1311" s="12" t="s">
        <v>61</v>
      </c>
      <c r="I1311" s="12" t="s">
        <v>230</v>
      </c>
      <c r="J1311" s="12" t="s">
        <v>557</v>
      </c>
      <c r="K1311" s="12" t="s">
        <v>199</v>
      </c>
      <c r="L1311" s="14"/>
      <c r="M1311" s="12" t="s">
        <v>43</v>
      </c>
      <c r="N1311" s="12" t="s">
        <v>44</v>
      </c>
      <c r="O1311" s="12" t="s">
        <v>5210</v>
      </c>
      <c r="P1311" s="12" t="s">
        <v>66</v>
      </c>
      <c r="Q1311" s="12" t="s">
        <v>559</v>
      </c>
      <c r="R1311" s="12" t="s">
        <v>560</v>
      </c>
      <c r="S1311" s="13">
        <v>197643554813</v>
      </c>
      <c r="T1311" s="12" t="s">
        <v>49</v>
      </c>
      <c r="U1311" s="12" t="s">
        <v>621</v>
      </c>
      <c r="V1311" s="12" t="s">
        <v>1191</v>
      </c>
      <c r="W1311" s="12" t="s">
        <v>299</v>
      </c>
      <c r="X1311" s="12" t="s">
        <v>500</v>
      </c>
      <c r="Y1311" s="12" t="s">
        <v>91</v>
      </c>
      <c r="Z1311" s="12" t="s">
        <v>108</v>
      </c>
      <c r="AA1311" s="13">
        <v>0</v>
      </c>
      <c r="AB1311" s="13">
        <v>0</v>
      </c>
      <c r="AC1311" s="15">
        <v>25</v>
      </c>
      <c r="AD1311" s="15">
        <f>AC1311*AG1311</f>
        <v>100</v>
      </c>
      <c r="AE1311" s="15">
        <v>55</v>
      </c>
      <c r="AF1311" s="15">
        <f>AE1311*AG1311</f>
        <v>220</v>
      </c>
      <c r="AG1311" s="16">
        <v>4</v>
      </c>
    </row>
    <row r="1312" spans="1:33" ht="15" customHeight="1" x14ac:dyDescent="0.2">
      <c r="A1312" s="11" t="str">
        <f t="shared" ref="A1312:A1617" si="550">HYPERLINK("https://assets.vans.eu/images/VN000GGGEAY-HERO/1","VN000GGGEAY1")</f>
        <v>VN000GGGEAY1</v>
      </c>
      <c r="B1312" s="12" t="s">
        <v>5211</v>
      </c>
      <c r="C1312" s="12" t="s">
        <v>3095</v>
      </c>
      <c r="D1312" s="12" t="s">
        <v>5212</v>
      </c>
      <c r="E1312" s="12" t="s">
        <v>5213</v>
      </c>
      <c r="F1312" s="12" t="s">
        <v>60</v>
      </c>
      <c r="G1312" s="14"/>
      <c r="H1312" s="12" t="s">
        <v>61</v>
      </c>
      <c r="I1312" s="12" t="s">
        <v>230</v>
      </c>
      <c r="J1312" s="12" t="s">
        <v>419</v>
      </c>
      <c r="K1312" s="12" t="s">
        <v>199</v>
      </c>
      <c r="L1312" s="14"/>
      <c r="M1312" s="12" t="s">
        <v>43</v>
      </c>
      <c r="N1312" s="12" t="s">
        <v>44</v>
      </c>
      <c r="O1312" s="12" t="s">
        <v>5214</v>
      </c>
      <c r="P1312" s="12" t="s">
        <v>66</v>
      </c>
      <c r="Q1312" s="12" t="s">
        <v>67</v>
      </c>
      <c r="R1312" s="12" t="s">
        <v>421</v>
      </c>
      <c r="S1312" s="13">
        <v>197643456537</v>
      </c>
      <c r="T1312" s="12" t="s">
        <v>422</v>
      </c>
      <c r="U1312" s="12" t="s">
        <v>60</v>
      </c>
      <c r="V1312" s="12" t="s">
        <v>70</v>
      </c>
      <c r="W1312" s="12" t="s">
        <v>625</v>
      </c>
      <c r="X1312" s="12" t="s">
        <v>500</v>
      </c>
      <c r="Y1312" s="12" t="s">
        <v>91</v>
      </c>
      <c r="Z1312" s="12" t="s">
        <v>108</v>
      </c>
      <c r="AA1312" s="13">
        <v>0</v>
      </c>
      <c r="AB1312" s="13">
        <v>0</v>
      </c>
      <c r="AC1312" s="15">
        <v>14.55</v>
      </c>
      <c r="AD1312" s="15">
        <f>AC1312*AG1312</f>
        <v>58.2</v>
      </c>
      <c r="AE1312" s="15">
        <v>32</v>
      </c>
      <c r="AF1312" s="15">
        <f>AE1312*AG1312</f>
        <v>128</v>
      </c>
      <c r="AG1312" s="16">
        <v>4</v>
      </c>
    </row>
    <row r="1313" spans="1:33" ht="15" customHeight="1" x14ac:dyDescent="0.2">
      <c r="A1313" s="11" t="str">
        <f>HYPERLINK("https://assets.vans.eu/images/VN000GGGY28-HERO/1","VN000GGGY281")</f>
        <v>VN000GGGY281</v>
      </c>
      <c r="B1313" s="12" t="s">
        <v>5215</v>
      </c>
      <c r="C1313" s="12" t="s">
        <v>3095</v>
      </c>
      <c r="D1313" s="12" t="s">
        <v>58</v>
      </c>
      <c r="E1313" s="12" t="s">
        <v>5216</v>
      </c>
      <c r="F1313" s="12" t="s">
        <v>60</v>
      </c>
      <c r="G1313" s="14"/>
      <c r="H1313" s="12" t="s">
        <v>61</v>
      </c>
      <c r="I1313" s="12" t="s">
        <v>230</v>
      </c>
      <c r="J1313" s="12" t="s">
        <v>419</v>
      </c>
      <c r="K1313" s="12" t="s">
        <v>199</v>
      </c>
      <c r="L1313" s="14"/>
      <c r="M1313" s="12" t="s">
        <v>43</v>
      </c>
      <c r="N1313" s="12" t="s">
        <v>44</v>
      </c>
      <c r="O1313" s="12" t="s">
        <v>5217</v>
      </c>
      <c r="P1313" s="12" t="s">
        <v>66</v>
      </c>
      <c r="Q1313" s="12" t="s">
        <v>67</v>
      </c>
      <c r="R1313" s="12" t="s">
        <v>421</v>
      </c>
      <c r="S1313" s="13">
        <v>732075992781</v>
      </c>
      <c r="T1313" s="12" t="s">
        <v>422</v>
      </c>
      <c r="U1313" s="12" t="s">
        <v>60</v>
      </c>
      <c r="V1313" s="12" t="s">
        <v>70</v>
      </c>
      <c r="W1313" s="12" t="s">
        <v>51</v>
      </c>
      <c r="X1313" s="13">
        <v>0</v>
      </c>
      <c r="Y1313" s="12" t="s">
        <v>91</v>
      </c>
      <c r="Z1313" s="12" t="s">
        <v>108</v>
      </c>
      <c r="AA1313" s="13">
        <v>0</v>
      </c>
      <c r="AB1313" s="13">
        <v>0</v>
      </c>
      <c r="AC1313" s="15">
        <v>14.55</v>
      </c>
      <c r="AD1313" s="15">
        <f>AC1313*AG1313</f>
        <v>58.2</v>
      </c>
      <c r="AE1313" s="15">
        <v>32</v>
      </c>
      <c r="AF1313" s="15">
        <f>AE1313*AG1313</f>
        <v>128</v>
      </c>
      <c r="AG1313" s="16">
        <v>4</v>
      </c>
    </row>
    <row r="1314" spans="1:33" ht="15" customHeight="1" x14ac:dyDescent="0.2">
      <c r="A1314" s="11" t="str">
        <f t="shared" ref="A1314:A1618" si="551">HYPERLINK("https://assets.vans.eu/images/VN000GGGYB2-HERO/1","VN000GGGYB21")</f>
        <v>VN000GGGYB21</v>
      </c>
      <c r="B1314" s="12" t="s">
        <v>5218</v>
      </c>
      <c r="C1314" s="12" t="s">
        <v>3095</v>
      </c>
      <c r="D1314" s="12" t="s">
        <v>1138</v>
      </c>
      <c r="E1314" s="12" t="s">
        <v>5219</v>
      </c>
      <c r="F1314" s="12" t="s">
        <v>403</v>
      </c>
      <c r="G1314" s="14"/>
      <c r="H1314" s="12" t="s">
        <v>61</v>
      </c>
      <c r="I1314" s="12" t="s">
        <v>230</v>
      </c>
      <c r="J1314" s="12" t="s">
        <v>419</v>
      </c>
      <c r="K1314" s="12" t="s">
        <v>199</v>
      </c>
      <c r="L1314" s="14"/>
      <c r="M1314" s="12" t="s">
        <v>43</v>
      </c>
      <c r="N1314" s="12" t="s">
        <v>44</v>
      </c>
      <c r="O1314" s="12" t="s">
        <v>5220</v>
      </c>
      <c r="P1314" s="12" t="s">
        <v>66</v>
      </c>
      <c r="Q1314" s="12" t="s">
        <v>67</v>
      </c>
      <c r="R1314" s="12" t="s">
        <v>421</v>
      </c>
      <c r="S1314" s="13">
        <v>732075993092</v>
      </c>
      <c r="T1314" s="12" t="s">
        <v>422</v>
      </c>
      <c r="U1314" s="12" t="s">
        <v>403</v>
      </c>
      <c r="V1314" s="12" t="s">
        <v>70</v>
      </c>
      <c r="W1314" s="12" t="s">
        <v>175</v>
      </c>
      <c r="X1314" s="13">
        <v>0</v>
      </c>
      <c r="Y1314" s="12" t="s">
        <v>91</v>
      </c>
      <c r="Z1314" s="12" t="s">
        <v>108</v>
      </c>
      <c r="AA1314" s="13">
        <v>0</v>
      </c>
      <c r="AB1314" s="13">
        <v>0</v>
      </c>
      <c r="AC1314" s="15">
        <v>14.55</v>
      </c>
      <c r="AD1314" s="15">
        <f>AC1314*AG1314</f>
        <v>58.2</v>
      </c>
      <c r="AE1314" s="15">
        <v>32</v>
      </c>
      <c r="AF1314" s="15">
        <f>AE1314*AG1314</f>
        <v>128</v>
      </c>
      <c r="AG1314" s="16">
        <v>4</v>
      </c>
    </row>
    <row r="1315" spans="1:33" ht="15" customHeight="1" x14ac:dyDescent="0.2">
      <c r="A1315" s="11" t="str">
        <f t="shared" ref="A1315:A3016" si="552">HYPERLINK("https://assets.vans.eu/images/VN000HNTDAD-HERO/1","VN000HNTDAD1")</f>
        <v>VN000HNTDAD1</v>
      </c>
      <c r="B1315" s="12" t="s">
        <v>5221</v>
      </c>
      <c r="C1315" s="12" t="s">
        <v>5222</v>
      </c>
      <c r="D1315" s="12" t="s">
        <v>5223</v>
      </c>
      <c r="E1315" s="12" t="s">
        <v>5224</v>
      </c>
      <c r="F1315" s="12" t="s">
        <v>403</v>
      </c>
      <c r="G1315" s="14"/>
      <c r="H1315" s="12" t="s">
        <v>61</v>
      </c>
      <c r="I1315" s="12" t="s">
        <v>230</v>
      </c>
      <c r="J1315" s="12" t="s">
        <v>419</v>
      </c>
      <c r="K1315" s="12" t="s">
        <v>199</v>
      </c>
      <c r="L1315" s="14"/>
      <c r="M1315" s="12" t="s">
        <v>43</v>
      </c>
      <c r="N1315" s="12" t="s">
        <v>84</v>
      </c>
      <c r="O1315" s="12" t="s">
        <v>5225</v>
      </c>
      <c r="P1315" s="12" t="s">
        <v>66</v>
      </c>
      <c r="Q1315" s="12" t="s">
        <v>67</v>
      </c>
      <c r="R1315" s="12" t="s">
        <v>1500</v>
      </c>
      <c r="S1315" s="13">
        <v>197065503611</v>
      </c>
      <c r="T1315" s="12" t="s">
        <v>235</v>
      </c>
      <c r="U1315" s="12" t="s">
        <v>403</v>
      </c>
      <c r="V1315" s="12" t="s">
        <v>665</v>
      </c>
      <c r="W1315" s="12" t="s">
        <v>51</v>
      </c>
      <c r="X1315" s="13">
        <v>0</v>
      </c>
      <c r="Y1315" s="12" t="s">
        <v>91</v>
      </c>
      <c r="Z1315" s="12" t="s">
        <v>108</v>
      </c>
      <c r="AA1315" s="13">
        <v>0</v>
      </c>
      <c r="AB1315" s="13">
        <v>0</v>
      </c>
      <c r="AC1315" s="15">
        <v>34.1</v>
      </c>
      <c r="AD1315" s="15">
        <f>AC1315*AG1315</f>
        <v>136.4</v>
      </c>
      <c r="AE1315" s="15">
        <v>75</v>
      </c>
      <c r="AF1315" s="15">
        <f>AE1315*AG1315</f>
        <v>300</v>
      </c>
      <c r="AG1315" s="16">
        <v>4</v>
      </c>
    </row>
    <row r="1316" spans="1:33" ht="15" customHeight="1" x14ac:dyDescent="0.2">
      <c r="A1316" s="11" t="str">
        <f t="shared" ref="A1316:A3028" si="553">HYPERLINK("https://assets.vans.eu/images/VN000HZADZ9-HERO/1","VN000HZADZ91")</f>
        <v>VN000HZADZ91</v>
      </c>
      <c r="B1316" s="12" t="s">
        <v>5226</v>
      </c>
      <c r="C1316" s="12" t="s">
        <v>1413</v>
      </c>
      <c r="D1316" s="12" t="s">
        <v>510</v>
      </c>
      <c r="E1316" s="12" t="s">
        <v>5227</v>
      </c>
      <c r="F1316" s="13">
        <v>29</v>
      </c>
      <c r="G1316" s="14"/>
      <c r="H1316" s="12" t="s">
        <v>61</v>
      </c>
      <c r="I1316" s="12" t="s">
        <v>230</v>
      </c>
      <c r="J1316" s="12" t="s">
        <v>231</v>
      </c>
      <c r="K1316" s="12" t="s">
        <v>199</v>
      </c>
      <c r="L1316" s="14"/>
      <c r="M1316" s="12" t="s">
        <v>43</v>
      </c>
      <c r="N1316" s="12" t="s">
        <v>84</v>
      </c>
      <c r="O1316" s="12" t="s">
        <v>5228</v>
      </c>
      <c r="P1316" s="12" t="s">
        <v>66</v>
      </c>
      <c r="Q1316" s="12" t="s">
        <v>233</v>
      </c>
      <c r="R1316" s="12" t="s">
        <v>361</v>
      </c>
      <c r="S1316" s="13">
        <v>197065838461</v>
      </c>
      <c r="T1316" s="12" t="s">
        <v>235</v>
      </c>
      <c r="U1316" s="13">
        <v>29</v>
      </c>
      <c r="V1316" s="12" t="s">
        <v>1416</v>
      </c>
      <c r="W1316" s="12" t="s">
        <v>186</v>
      </c>
      <c r="X1316" s="13">
        <v>0</v>
      </c>
      <c r="Y1316" s="12" t="s">
        <v>91</v>
      </c>
      <c r="Z1316" s="12" t="s">
        <v>108</v>
      </c>
      <c r="AA1316" s="13">
        <v>0</v>
      </c>
      <c r="AB1316" s="13">
        <v>0</v>
      </c>
      <c r="AC1316" s="15">
        <v>34.1</v>
      </c>
      <c r="AD1316" s="15">
        <f>AC1316*AG1316</f>
        <v>136.4</v>
      </c>
      <c r="AE1316" s="15">
        <v>75</v>
      </c>
      <c r="AF1316" s="15">
        <f>AE1316*AG1316</f>
        <v>300</v>
      </c>
      <c r="AG1316" s="16">
        <v>4</v>
      </c>
    </row>
    <row r="1317" spans="1:33" ht="15" customHeight="1" x14ac:dyDescent="0.2">
      <c r="A1317" s="11" t="str">
        <f t="shared" si="427"/>
        <v>VN000IVEBLK1</v>
      </c>
      <c r="B1317" s="12" t="s">
        <v>5229</v>
      </c>
      <c r="C1317" s="12" t="s">
        <v>4111</v>
      </c>
      <c r="D1317" s="12" t="s">
        <v>76</v>
      </c>
      <c r="E1317" s="12" t="s">
        <v>5230</v>
      </c>
      <c r="F1317" s="12" t="s">
        <v>403</v>
      </c>
      <c r="G1317" s="14"/>
      <c r="H1317" s="12" t="s">
        <v>61</v>
      </c>
      <c r="I1317" s="12" t="s">
        <v>62</v>
      </c>
      <c r="J1317" s="12" t="s">
        <v>63</v>
      </c>
      <c r="K1317" s="12" t="s">
        <v>64</v>
      </c>
      <c r="L1317" s="12" t="s">
        <v>83</v>
      </c>
      <c r="M1317" s="12" t="s">
        <v>43</v>
      </c>
      <c r="N1317" s="12" t="s">
        <v>84</v>
      </c>
      <c r="O1317" s="12" t="s">
        <v>5231</v>
      </c>
      <c r="P1317" s="12" t="s">
        <v>66</v>
      </c>
      <c r="Q1317" s="12" t="s">
        <v>67</v>
      </c>
      <c r="R1317" s="12" t="s">
        <v>68</v>
      </c>
      <c r="S1317" s="13">
        <v>197641026534</v>
      </c>
      <c r="T1317" s="12" t="s">
        <v>422</v>
      </c>
      <c r="U1317" s="12" t="s">
        <v>403</v>
      </c>
      <c r="V1317" s="12" t="s">
        <v>70</v>
      </c>
      <c r="W1317" s="12" t="s">
        <v>51</v>
      </c>
      <c r="X1317" s="13">
        <v>0</v>
      </c>
      <c r="Y1317" s="12" t="s">
        <v>91</v>
      </c>
      <c r="Z1317" s="12" t="s">
        <v>108</v>
      </c>
      <c r="AA1317" s="13">
        <v>0</v>
      </c>
      <c r="AB1317" s="13">
        <v>0</v>
      </c>
      <c r="AC1317" s="15">
        <v>11.4</v>
      </c>
      <c r="AD1317" s="15">
        <f>AC1317*AG1317</f>
        <v>45.6</v>
      </c>
      <c r="AE1317" s="15">
        <v>25</v>
      </c>
      <c r="AF1317" s="15">
        <f>AE1317*AG1317</f>
        <v>100</v>
      </c>
      <c r="AG1317" s="16">
        <v>4</v>
      </c>
    </row>
    <row r="1318" spans="1:33" ht="15" customHeight="1" x14ac:dyDescent="0.2">
      <c r="A1318" s="11" t="str">
        <f t="shared" ref="A1318:A1634" si="554">HYPERLINK("https://assets.vans.eu/images/VN000J9JZR6-HERO/1","VN000J9JZR61")</f>
        <v>VN000J9JZR61</v>
      </c>
      <c r="B1318" s="12" t="s">
        <v>5232</v>
      </c>
      <c r="C1318" s="12" t="s">
        <v>5233</v>
      </c>
      <c r="D1318" s="12" t="s">
        <v>5234</v>
      </c>
      <c r="E1318" s="12" t="s">
        <v>5235</v>
      </c>
      <c r="F1318" s="13">
        <v>28</v>
      </c>
      <c r="G1318" s="14"/>
      <c r="H1318" s="12" t="s">
        <v>61</v>
      </c>
      <c r="I1318" s="12" t="s">
        <v>230</v>
      </c>
      <c r="J1318" s="12" t="s">
        <v>231</v>
      </c>
      <c r="K1318" s="12" t="s">
        <v>199</v>
      </c>
      <c r="L1318" s="14"/>
      <c r="M1318" s="12" t="s">
        <v>43</v>
      </c>
      <c r="N1318" s="12" t="s">
        <v>161</v>
      </c>
      <c r="O1318" s="12" t="s">
        <v>5236</v>
      </c>
      <c r="P1318" s="12" t="s">
        <v>66</v>
      </c>
      <c r="Q1318" s="12" t="s">
        <v>233</v>
      </c>
      <c r="R1318" s="12" t="s">
        <v>361</v>
      </c>
      <c r="S1318" s="13">
        <v>197065491529</v>
      </c>
      <c r="T1318" s="12" t="s">
        <v>235</v>
      </c>
      <c r="U1318" s="13">
        <v>28</v>
      </c>
      <c r="V1318" s="12" t="s">
        <v>665</v>
      </c>
      <c r="W1318" s="12" t="s">
        <v>186</v>
      </c>
      <c r="X1318" s="13">
        <v>0</v>
      </c>
      <c r="Y1318" s="12" t="s">
        <v>53</v>
      </c>
      <c r="Z1318" s="12" t="s">
        <v>108</v>
      </c>
      <c r="AA1318" s="13">
        <v>0</v>
      </c>
      <c r="AB1318" s="13">
        <v>0</v>
      </c>
      <c r="AC1318" s="15">
        <v>38.65</v>
      </c>
      <c r="AD1318" s="15">
        <f>AC1318*AG1318</f>
        <v>154.6</v>
      </c>
      <c r="AE1318" s="15">
        <v>85</v>
      </c>
      <c r="AF1318" s="15">
        <f>AE1318*AG1318</f>
        <v>340</v>
      </c>
      <c r="AG1318" s="16">
        <v>4</v>
      </c>
    </row>
    <row r="1319" spans="1:33" ht="15" customHeight="1" x14ac:dyDescent="0.2">
      <c r="A1319" s="11" t="str">
        <f t="shared" si="477"/>
        <v>VN000JF5BLK1</v>
      </c>
      <c r="B1319" s="12" t="s">
        <v>5237</v>
      </c>
      <c r="C1319" s="12" t="s">
        <v>4562</v>
      </c>
      <c r="D1319" s="12" t="s">
        <v>76</v>
      </c>
      <c r="E1319" s="12" t="s">
        <v>5238</v>
      </c>
      <c r="F1319" s="12" t="s">
        <v>60</v>
      </c>
      <c r="G1319" s="14"/>
      <c r="H1319" s="12" t="s">
        <v>61</v>
      </c>
      <c r="I1319" s="12" t="s">
        <v>289</v>
      </c>
      <c r="J1319" s="12" t="s">
        <v>706</v>
      </c>
      <c r="K1319" s="12" t="s">
        <v>100</v>
      </c>
      <c r="L1319" s="12" t="s">
        <v>83</v>
      </c>
      <c r="M1319" s="12" t="s">
        <v>43</v>
      </c>
      <c r="N1319" s="12" t="s">
        <v>44</v>
      </c>
      <c r="O1319" s="12" t="s">
        <v>5239</v>
      </c>
      <c r="P1319" s="12" t="s">
        <v>66</v>
      </c>
      <c r="Q1319" s="12" t="s">
        <v>67</v>
      </c>
      <c r="R1319" s="12" t="s">
        <v>708</v>
      </c>
      <c r="S1319" s="13">
        <v>197063678182</v>
      </c>
      <c r="T1319" s="12" t="s">
        <v>69</v>
      </c>
      <c r="U1319" s="12" t="s">
        <v>60</v>
      </c>
      <c r="V1319" s="12" t="s">
        <v>1378</v>
      </c>
      <c r="W1319" s="12" t="s">
        <v>51</v>
      </c>
      <c r="X1319" s="13">
        <v>0</v>
      </c>
      <c r="Y1319" s="12" t="s">
        <v>91</v>
      </c>
      <c r="Z1319" s="12" t="s">
        <v>108</v>
      </c>
      <c r="AA1319" s="13">
        <v>0</v>
      </c>
      <c r="AB1319" s="12" t="s">
        <v>616</v>
      </c>
      <c r="AC1319" s="15">
        <v>25</v>
      </c>
      <c r="AD1319" s="15">
        <f>AC1319*AG1319</f>
        <v>100</v>
      </c>
      <c r="AE1319" s="15">
        <v>55</v>
      </c>
      <c r="AF1319" s="15">
        <f>AE1319*AG1319</f>
        <v>220</v>
      </c>
      <c r="AG1319" s="16">
        <v>4</v>
      </c>
    </row>
    <row r="1320" spans="1:33" ht="15" customHeight="1" x14ac:dyDescent="0.2">
      <c r="A1320" s="11" t="str">
        <f>HYPERLINK("https://assets.vans.eu/images/VN000JUABLK-HERO/1","VN000JUABLK1")</f>
        <v>VN000JUABLK1</v>
      </c>
      <c r="B1320" s="12" t="s">
        <v>5240</v>
      </c>
      <c r="C1320" s="12" t="s">
        <v>3683</v>
      </c>
      <c r="D1320" s="12" t="s">
        <v>76</v>
      </c>
      <c r="E1320" s="12" t="s">
        <v>5241</v>
      </c>
      <c r="F1320" s="12" t="s">
        <v>179</v>
      </c>
      <c r="G1320" s="14"/>
      <c r="H1320" s="12" t="s">
        <v>61</v>
      </c>
      <c r="I1320" s="12" t="s">
        <v>289</v>
      </c>
      <c r="J1320" s="12" t="s">
        <v>706</v>
      </c>
      <c r="K1320" s="12" t="s">
        <v>100</v>
      </c>
      <c r="L1320" s="14"/>
      <c r="M1320" s="12" t="s">
        <v>43</v>
      </c>
      <c r="N1320" s="12" t="s">
        <v>84</v>
      </c>
      <c r="O1320" s="12" t="s">
        <v>5242</v>
      </c>
      <c r="P1320" s="12" t="s">
        <v>66</v>
      </c>
      <c r="Q1320" s="12" t="s">
        <v>67</v>
      </c>
      <c r="R1320" s="12" t="s">
        <v>1146</v>
      </c>
      <c r="S1320" s="13">
        <v>197065469481</v>
      </c>
      <c r="T1320" s="12" t="s">
        <v>499</v>
      </c>
      <c r="U1320" s="12" t="s">
        <v>179</v>
      </c>
      <c r="V1320" s="12" t="s">
        <v>979</v>
      </c>
      <c r="W1320" s="12" t="s">
        <v>51</v>
      </c>
      <c r="X1320" s="13">
        <v>0</v>
      </c>
      <c r="Y1320" s="12" t="s">
        <v>91</v>
      </c>
      <c r="Z1320" s="12" t="s">
        <v>108</v>
      </c>
      <c r="AA1320" s="13">
        <v>0</v>
      </c>
      <c r="AB1320" s="13">
        <v>0</v>
      </c>
      <c r="AC1320" s="15">
        <v>18.2</v>
      </c>
      <c r="AD1320" s="15">
        <f>AC1320*AG1320</f>
        <v>72.8</v>
      </c>
      <c r="AE1320" s="15">
        <v>40</v>
      </c>
      <c r="AF1320" s="15">
        <f>AE1320*AG1320</f>
        <v>160</v>
      </c>
      <c r="AG1320" s="16">
        <v>4</v>
      </c>
    </row>
    <row r="1321" spans="1:33" ht="15" customHeight="1" x14ac:dyDescent="0.2">
      <c r="A1321" s="11" t="str">
        <f>HYPERLINK("https://assets.vans.eu/images/VN000K0ULVB-HERO/1","VN000K0ULVB1")</f>
        <v>VN000K0ULVB1</v>
      </c>
      <c r="B1321" s="12" t="s">
        <v>5243</v>
      </c>
      <c r="C1321" s="12" t="s">
        <v>5244</v>
      </c>
      <c r="D1321" s="12" t="s">
        <v>2643</v>
      </c>
      <c r="E1321" s="12" t="s">
        <v>5245</v>
      </c>
      <c r="F1321" s="12" t="s">
        <v>179</v>
      </c>
      <c r="G1321" s="14"/>
      <c r="H1321" s="12" t="s">
        <v>61</v>
      </c>
      <c r="I1321" s="12" t="s">
        <v>62</v>
      </c>
      <c r="J1321" s="12" t="s">
        <v>2938</v>
      </c>
      <c r="K1321" s="12" t="s">
        <v>64</v>
      </c>
      <c r="L1321" s="14"/>
      <c r="M1321" s="12" t="s">
        <v>43</v>
      </c>
      <c r="N1321" s="12" t="s">
        <v>44</v>
      </c>
      <c r="O1321" s="12" t="s">
        <v>5246</v>
      </c>
      <c r="P1321" s="12" t="s">
        <v>66</v>
      </c>
      <c r="Q1321" s="12" t="s">
        <v>764</v>
      </c>
      <c r="R1321" s="12" t="s">
        <v>2940</v>
      </c>
      <c r="S1321" s="13">
        <v>197643460701</v>
      </c>
      <c r="T1321" s="12" t="s">
        <v>235</v>
      </c>
      <c r="U1321" s="12" t="s">
        <v>179</v>
      </c>
      <c r="V1321" s="12" t="s">
        <v>665</v>
      </c>
      <c r="W1321" s="12" t="s">
        <v>51</v>
      </c>
      <c r="X1321" s="13">
        <v>0</v>
      </c>
      <c r="Y1321" s="12" t="s">
        <v>91</v>
      </c>
      <c r="Z1321" s="12" t="s">
        <v>108</v>
      </c>
      <c r="AA1321" s="13">
        <v>0</v>
      </c>
      <c r="AB1321" s="13">
        <v>0</v>
      </c>
      <c r="AC1321" s="15">
        <v>28.2</v>
      </c>
      <c r="AD1321" s="15">
        <f>AC1321*AG1321</f>
        <v>112.8</v>
      </c>
      <c r="AE1321" s="15">
        <v>62</v>
      </c>
      <c r="AF1321" s="15">
        <f>AE1321*AG1321</f>
        <v>248</v>
      </c>
      <c r="AG1321" s="16">
        <v>4</v>
      </c>
    </row>
    <row r="1322" spans="1:33" ht="15" customHeight="1" x14ac:dyDescent="0.2">
      <c r="A1322" s="11" t="str">
        <f>HYPERLINK("https://assets.vans.eu/images/VN000K3NCFL-HERO/1","VN000K3NCFL1")</f>
        <v>VN000K3NCFL1</v>
      </c>
      <c r="B1322" s="12" t="s">
        <v>5247</v>
      </c>
      <c r="C1322" s="12" t="s">
        <v>1333</v>
      </c>
      <c r="D1322" s="12" t="s">
        <v>1258</v>
      </c>
      <c r="E1322" s="12" t="s">
        <v>5248</v>
      </c>
      <c r="F1322" s="12" t="s">
        <v>170</v>
      </c>
      <c r="G1322" s="14"/>
      <c r="H1322" s="12" t="s">
        <v>61</v>
      </c>
      <c r="I1322" s="12" t="s">
        <v>289</v>
      </c>
      <c r="J1322" s="12" t="s">
        <v>290</v>
      </c>
      <c r="K1322" s="12" t="s">
        <v>100</v>
      </c>
      <c r="L1322" s="14"/>
      <c r="M1322" s="12" t="s">
        <v>43</v>
      </c>
      <c r="N1322" s="12" t="s">
        <v>44</v>
      </c>
      <c r="O1322" s="12" t="s">
        <v>5249</v>
      </c>
      <c r="P1322" s="12" t="s">
        <v>66</v>
      </c>
      <c r="Q1322" s="12" t="s">
        <v>233</v>
      </c>
      <c r="R1322" s="12" t="s">
        <v>664</v>
      </c>
      <c r="S1322" s="13">
        <v>197643461111</v>
      </c>
      <c r="T1322" s="12" t="s">
        <v>49</v>
      </c>
      <c r="U1322" s="12" t="s">
        <v>170</v>
      </c>
      <c r="V1322" s="12" t="s">
        <v>1336</v>
      </c>
      <c r="W1322" s="12" t="s">
        <v>284</v>
      </c>
      <c r="X1322" s="13">
        <v>0</v>
      </c>
      <c r="Y1322" s="12" t="s">
        <v>91</v>
      </c>
      <c r="Z1322" s="12" t="s">
        <v>108</v>
      </c>
      <c r="AA1322" s="13">
        <v>0</v>
      </c>
      <c r="AB1322" s="13">
        <v>0</v>
      </c>
      <c r="AC1322" s="15">
        <v>22.75</v>
      </c>
      <c r="AD1322" s="15">
        <f>AC1322*AG1322</f>
        <v>91</v>
      </c>
      <c r="AE1322" s="15">
        <v>50</v>
      </c>
      <c r="AF1322" s="15">
        <f>AE1322*AG1322</f>
        <v>200</v>
      </c>
      <c r="AG1322" s="16">
        <v>4</v>
      </c>
    </row>
    <row r="1323" spans="1:33" ht="15" customHeight="1" x14ac:dyDescent="0.2">
      <c r="A1323" s="11" t="str">
        <f t="shared" si="382"/>
        <v>VN000K420411</v>
      </c>
      <c r="B1323" s="12" t="s">
        <v>5250</v>
      </c>
      <c r="C1323" s="12" t="s">
        <v>3687</v>
      </c>
      <c r="D1323" s="12" t="s">
        <v>3688</v>
      </c>
      <c r="E1323" s="12" t="s">
        <v>5251</v>
      </c>
      <c r="F1323" s="12" t="s">
        <v>403</v>
      </c>
      <c r="G1323" s="14"/>
      <c r="H1323" s="12" t="s">
        <v>61</v>
      </c>
      <c r="I1323" s="12" t="s">
        <v>230</v>
      </c>
      <c r="J1323" s="12" t="s">
        <v>419</v>
      </c>
      <c r="K1323" s="12" t="s">
        <v>199</v>
      </c>
      <c r="L1323" s="12" t="s">
        <v>350</v>
      </c>
      <c r="M1323" s="12" t="s">
        <v>43</v>
      </c>
      <c r="N1323" s="12" t="s">
        <v>44</v>
      </c>
      <c r="O1323" s="12" t="s">
        <v>5252</v>
      </c>
      <c r="P1323" s="12" t="s">
        <v>66</v>
      </c>
      <c r="Q1323" s="12" t="s">
        <v>67</v>
      </c>
      <c r="R1323" s="12" t="s">
        <v>421</v>
      </c>
      <c r="S1323" s="13">
        <v>197064681198</v>
      </c>
      <c r="T1323" s="12" t="s">
        <v>69</v>
      </c>
      <c r="U1323" s="12" t="s">
        <v>403</v>
      </c>
      <c r="V1323" s="12" t="s">
        <v>70</v>
      </c>
      <c r="W1323" s="12" t="s">
        <v>118</v>
      </c>
      <c r="X1323" s="13">
        <v>0</v>
      </c>
      <c r="Y1323" s="12" t="s">
        <v>53</v>
      </c>
      <c r="Z1323" s="12" t="s">
        <v>108</v>
      </c>
      <c r="AA1323" s="13">
        <v>0</v>
      </c>
      <c r="AB1323" s="12" t="s">
        <v>264</v>
      </c>
      <c r="AC1323" s="15">
        <v>19.100000000000001</v>
      </c>
      <c r="AD1323" s="15">
        <f>AC1323*AG1323</f>
        <v>76.400000000000006</v>
      </c>
      <c r="AE1323" s="15">
        <v>42</v>
      </c>
      <c r="AF1323" s="15">
        <f>AE1323*AG1323</f>
        <v>168</v>
      </c>
      <c r="AG1323" s="16">
        <v>4</v>
      </c>
    </row>
    <row r="1324" spans="1:33" ht="15" customHeight="1" x14ac:dyDescent="0.2">
      <c r="A1324" s="11" t="str">
        <f>HYPERLINK("https://assets.vans.eu/images/VN000K4XCDX-HERO/1","VN000K4XCDX1")</f>
        <v>VN000K4XCDX1</v>
      </c>
      <c r="B1324" s="12" t="s">
        <v>5253</v>
      </c>
      <c r="C1324" s="12" t="s">
        <v>5254</v>
      </c>
      <c r="D1324" s="12" t="s">
        <v>760</v>
      </c>
      <c r="E1324" s="12" t="s">
        <v>5255</v>
      </c>
      <c r="F1324" s="12" t="s">
        <v>621</v>
      </c>
      <c r="G1324" s="14"/>
      <c r="H1324" s="12" t="s">
        <v>61</v>
      </c>
      <c r="I1324" s="12" t="s">
        <v>230</v>
      </c>
      <c r="J1324" s="12" t="s">
        <v>762</v>
      </c>
      <c r="K1324" s="12" t="s">
        <v>199</v>
      </c>
      <c r="L1324" s="14"/>
      <c r="M1324" s="12" t="s">
        <v>43</v>
      </c>
      <c r="N1324" s="12" t="s">
        <v>161</v>
      </c>
      <c r="O1324" s="12" t="s">
        <v>5256</v>
      </c>
      <c r="P1324" s="12" t="s">
        <v>66</v>
      </c>
      <c r="Q1324" s="12" t="s">
        <v>764</v>
      </c>
      <c r="R1324" s="12" t="s">
        <v>765</v>
      </c>
      <c r="S1324" s="13">
        <v>197065473099</v>
      </c>
      <c r="T1324" s="12" t="s">
        <v>235</v>
      </c>
      <c r="U1324" s="12" t="s">
        <v>621</v>
      </c>
      <c r="V1324" s="12" t="s">
        <v>665</v>
      </c>
      <c r="W1324" s="12" t="s">
        <v>284</v>
      </c>
      <c r="X1324" s="13">
        <v>0</v>
      </c>
      <c r="Y1324" s="12" t="s">
        <v>91</v>
      </c>
      <c r="Z1324" s="12" t="s">
        <v>108</v>
      </c>
      <c r="AA1324" s="13">
        <v>0</v>
      </c>
      <c r="AB1324" s="13">
        <v>0</v>
      </c>
      <c r="AC1324" s="15">
        <v>54.55</v>
      </c>
      <c r="AD1324" s="15">
        <f>AC1324*AG1324</f>
        <v>218.2</v>
      </c>
      <c r="AE1324" s="15">
        <v>120</v>
      </c>
      <c r="AF1324" s="15">
        <f>AE1324*AG1324</f>
        <v>480</v>
      </c>
      <c r="AG1324" s="16">
        <v>4</v>
      </c>
    </row>
    <row r="1325" spans="1:33" ht="15" customHeight="1" x14ac:dyDescent="0.2">
      <c r="A1325" s="11" t="str">
        <f t="shared" ref="A1325:A1645" si="555">HYPERLINK("https://assets.vans.eu/images/VN000KASFS8-HERO/1","VN000KASFS81")</f>
        <v>VN000KASFS81</v>
      </c>
      <c r="B1325" s="12" t="s">
        <v>5257</v>
      </c>
      <c r="C1325" s="12" t="s">
        <v>2210</v>
      </c>
      <c r="D1325" s="12" t="s">
        <v>239</v>
      </c>
      <c r="E1325" s="12" t="s">
        <v>5258</v>
      </c>
      <c r="F1325" s="12" t="s">
        <v>153</v>
      </c>
      <c r="G1325" s="14"/>
      <c r="H1325" s="12" t="s">
        <v>61</v>
      </c>
      <c r="I1325" s="12" t="s">
        <v>230</v>
      </c>
      <c r="J1325" s="12" t="s">
        <v>419</v>
      </c>
      <c r="K1325" s="12" t="s">
        <v>199</v>
      </c>
      <c r="L1325" s="14"/>
      <c r="M1325" s="12" t="s">
        <v>43</v>
      </c>
      <c r="N1325" s="12" t="s">
        <v>84</v>
      </c>
      <c r="O1325" s="12" t="s">
        <v>5259</v>
      </c>
      <c r="P1325" s="12" t="s">
        <v>66</v>
      </c>
      <c r="Q1325" s="12" t="s">
        <v>67</v>
      </c>
      <c r="R1325" s="12" t="s">
        <v>421</v>
      </c>
      <c r="S1325" s="13">
        <v>197065205263</v>
      </c>
      <c r="T1325" s="12" t="s">
        <v>49</v>
      </c>
      <c r="U1325" s="12" t="s">
        <v>153</v>
      </c>
      <c r="V1325" s="12" t="s">
        <v>423</v>
      </c>
      <c r="W1325" s="12" t="s">
        <v>175</v>
      </c>
      <c r="X1325" s="13">
        <v>0</v>
      </c>
      <c r="Y1325" s="12" t="s">
        <v>91</v>
      </c>
      <c r="Z1325" s="12" t="s">
        <v>92</v>
      </c>
      <c r="AA1325" s="12" t="s">
        <v>93</v>
      </c>
      <c r="AB1325" s="12" t="s">
        <v>94</v>
      </c>
      <c r="AC1325" s="15">
        <v>22.75</v>
      </c>
      <c r="AD1325" s="15">
        <f>AC1325*AG1325</f>
        <v>91</v>
      </c>
      <c r="AE1325" s="15">
        <v>50</v>
      </c>
      <c r="AF1325" s="15">
        <f>AE1325*AG1325</f>
        <v>200</v>
      </c>
      <c r="AG1325" s="16">
        <v>4</v>
      </c>
    </row>
    <row r="1326" spans="1:33" ht="15" customHeight="1" x14ac:dyDescent="0.2">
      <c r="A1326" s="11" t="str">
        <f t="shared" ref="A1326:A1327" si="556">HYPERLINK("https://assets.vans.eu/images/VN000KURBLK-HERO/1","VN000KURBLK1")</f>
        <v>VN000KURBLK1</v>
      </c>
      <c r="B1326" s="12" t="s">
        <v>5260</v>
      </c>
      <c r="C1326" s="12" t="s">
        <v>1949</v>
      </c>
      <c r="D1326" s="12" t="s">
        <v>76</v>
      </c>
      <c r="E1326" s="12" t="s">
        <v>5261</v>
      </c>
      <c r="F1326" s="12" t="s">
        <v>153</v>
      </c>
      <c r="G1326" s="14"/>
      <c r="H1326" s="12" t="s">
        <v>61</v>
      </c>
      <c r="I1326" s="12" t="s">
        <v>230</v>
      </c>
      <c r="J1326" s="12" t="s">
        <v>419</v>
      </c>
      <c r="K1326" s="12" t="s">
        <v>199</v>
      </c>
      <c r="L1326" s="14"/>
      <c r="M1326" s="12" t="s">
        <v>43</v>
      </c>
      <c r="N1326" s="12" t="s">
        <v>44</v>
      </c>
      <c r="O1326" s="12" t="s">
        <v>5262</v>
      </c>
      <c r="P1326" s="12" t="s">
        <v>66</v>
      </c>
      <c r="Q1326" s="12" t="s">
        <v>67</v>
      </c>
      <c r="R1326" s="12" t="s">
        <v>1490</v>
      </c>
      <c r="S1326" s="13">
        <v>197643402787</v>
      </c>
      <c r="T1326" s="12" t="s">
        <v>105</v>
      </c>
      <c r="U1326" s="12" t="s">
        <v>153</v>
      </c>
      <c r="V1326" s="12" t="s">
        <v>423</v>
      </c>
      <c r="W1326" s="12" t="s">
        <v>51</v>
      </c>
      <c r="X1326" s="13">
        <v>0</v>
      </c>
      <c r="Y1326" s="12" t="s">
        <v>53</v>
      </c>
      <c r="Z1326" s="12" t="s">
        <v>108</v>
      </c>
      <c r="AA1326" s="13">
        <v>0</v>
      </c>
      <c r="AB1326" s="13">
        <v>0</v>
      </c>
      <c r="AC1326" s="15">
        <v>45.5</v>
      </c>
      <c r="AD1326" s="15">
        <f>AC1326*AG1326</f>
        <v>182</v>
      </c>
      <c r="AE1326" s="15">
        <v>100</v>
      </c>
      <c r="AF1326" s="15">
        <f>AE1326*AG1326</f>
        <v>400</v>
      </c>
      <c r="AG1326" s="16">
        <v>4</v>
      </c>
    </row>
    <row r="1327" spans="1:33" ht="15" customHeight="1" x14ac:dyDescent="0.2">
      <c r="A1327" s="11" t="str">
        <f t="shared" si="556"/>
        <v>VN000KURBLK1</v>
      </c>
      <c r="B1327" s="12" t="s">
        <v>5263</v>
      </c>
      <c r="C1327" s="12" t="s">
        <v>1949</v>
      </c>
      <c r="D1327" s="12" t="s">
        <v>76</v>
      </c>
      <c r="E1327" s="12" t="s">
        <v>5264</v>
      </c>
      <c r="F1327" s="12" t="s">
        <v>621</v>
      </c>
      <c r="G1327" s="14"/>
      <c r="H1327" s="12" t="s">
        <v>61</v>
      </c>
      <c r="I1327" s="12" t="s">
        <v>230</v>
      </c>
      <c r="J1327" s="12" t="s">
        <v>419</v>
      </c>
      <c r="K1327" s="12" t="s">
        <v>199</v>
      </c>
      <c r="L1327" s="14"/>
      <c r="M1327" s="12" t="s">
        <v>43</v>
      </c>
      <c r="N1327" s="12" t="s">
        <v>44</v>
      </c>
      <c r="O1327" s="12" t="s">
        <v>5265</v>
      </c>
      <c r="P1327" s="12" t="s">
        <v>66</v>
      </c>
      <c r="Q1327" s="12" t="s">
        <v>67</v>
      </c>
      <c r="R1327" s="12" t="s">
        <v>1490</v>
      </c>
      <c r="S1327" s="13">
        <v>197643402978</v>
      </c>
      <c r="T1327" s="12" t="s">
        <v>105</v>
      </c>
      <c r="U1327" s="12" t="s">
        <v>621</v>
      </c>
      <c r="V1327" s="12" t="s">
        <v>423</v>
      </c>
      <c r="W1327" s="12" t="s">
        <v>51</v>
      </c>
      <c r="X1327" s="13">
        <v>0</v>
      </c>
      <c r="Y1327" s="12" t="s">
        <v>53</v>
      </c>
      <c r="Z1327" s="12" t="s">
        <v>108</v>
      </c>
      <c r="AA1327" s="13">
        <v>0</v>
      </c>
      <c r="AB1327" s="13">
        <v>0</v>
      </c>
      <c r="AC1327" s="15">
        <v>45.5</v>
      </c>
      <c r="AD1327" s="15">
        <f>AC1327*AG1327</f>
        <v>182</v>
      </c>
      <c r="AE1327" s="15">
        <v>100</v>
      </c>
      <c r="AF1327" s="15">
        <f>AE1327*AG1327</f>
        <v>400</v>
      </c>
      <c r="AG1327" s="16">
        <v>4</v>
      </c>
    </row>
    <row r="1328" spans="1:33" ht="15" customHeight="1" x14ac:dyDescent="0.2">
      <c r="A1328" s="11" t="str">
        <f t="shared" ref="A1328:A3126" si="557">HYPERLINK("https://assets.vans.eu/images/VN000M1KBLK-HERO/1","VN000M1KBLK1")</f>
        <v>VN000M1KBLK1</v>
      </c>
      <c r="B1328" s="12" t="s">
        <v>5266</v>
      </c>
      <c r="C1328" s="12" t="s">
        <v>1733</v>
      </c>
      <c r="D1328" s="12" t="s">
        <v>76</v>
      </c>
      <c r="E1328" s="12" t="s">
        <v>5267</v>
      </c>
      <c r="F1328" s="12" t="s">
        <v>60</v>
      </c>
      <c r="G1328" s="14"/>
      <c r="H1328" s="12" t="s">
        <v>61</v>
      </c>
      <c r="I1328" s="12" t="s">
        <v>230</v>
      </c>
      <c r="J1328" s="12" t="s">
        <v>419</v>
      </c>
      <c r="K1328" s="12" t="s">
        <v>199</v>
      </c>
      <c r="L1328" s="14"/>
      <c r="M1328" s="12" t="s">
        <v>43</v>
      </c>
      <c r="N1328" s="12" t="s">
        <v>44</v>
      </c>
      <c r="O1328" s="12" t="s">
        <v>5268</v>
      </c>
      <c r="P1328" s="12" t="s">
        <v>66</v>
      </c>
      <c r="Q1328" s="12" t="s">
        <v>67</v>
      </c>
      <c r="R1328" s="12" t="s">
        <v>623</v>
      </c>
      <c r="S1328" s="13">
        <v>197643407829</v>
      </c>
      <c r="T1328" s="12" t="s">
        <v>69</v>
      </c>
      <c r="U1328" s="12" t="s">
        <v>60</v>
      </c>
      <c r="V1328" s="12" t="s">
        <v>70</v>
      </c>
      <c r="W1328" s="12" t="s">
        <v>51</v>
      </c>
      <c r="X1328" s="13">
        <v>0</v>
      </c>
      <c r="Y1328" s="12" t="s">
        <v>53</v>
      </c>
      <c r="Z1328" s="12" t="s">
        <v>108</v>
      </c>
      <c r="AA1328" s="13">
        <v>0</v>
      </c>
      <c r="AB1328" s="13">
        <v>0</v>
      </c>
      <c r="AC1328" s="15">
        <v>45.5</v>
      </c>
      <c r="AD1328" s="15">
        <f>AC1328*AG1328</f>
        <v>182</v>
      </c>
      <c r="AE1328" s="15">
        <v>100</v>
      </c>
      <c r="AF1328" s="15">
        <f>AE1328*AG1328</f>
        <v>400</v>
      </c>
      <c r="AG1328" s="16">
        <v>4</v>
      </c>
    </row>
    <row r="1329" spans="1:33" ht="15" customHeight="1" x14ac:dyDescent="0.2">
      <c r="A1329" s="11" t="str">
        <f>HYPERLINK("https://assets.vans.eu/images/VN000M2ABLK-HERO/1","VN000M2ABLK1")</f>
        <v>VN000M2ABLK1</v>
      </c>
      <c r="B1329" s="12" t="s">
        <v>5269</v>
      </c>
      <c r="C1329" s="12" t="s">
        <v>5270</v>
      </c>
      <c r="D1329" s="12" t="s">
        <v>76</v>
      </c>
      <c r="E1329" s="12" t="s">
        <v>5271</v>
      </c>
      <c r="F1329" s="13">
        <v>28</v>
      </c>
      <c r="G1329" s="14"/>
      <c r="H1329" s="12" t="s">
        <v>61</v>
      </c>
      <c r="I1329" s="12" t="s">
        <v>230</v>
      </c>
      <c r="J1329" s="12" t="s">
        <v>231</v>
      </c>
      <c r="K1329" s="12" t="s">
        <v>199</v>
      </c>
      <c r="L1329" s="14"/>
      <c r="M1329" s="12" t="s">
        <v>43</v>
      </c>
      <c r="N1329" s="12" t="s">
        <v>44</v>
      </c>
      <c r="O1329" s="12" t="s">
        <v>5272</v>
      </c>
      <c r="P1329" s="12" t="s">
        <v>66</v>
      </c>
      <c r="Q1329" s="12" t="s">
        <v>233</v>
      </c>
      <c r="R1329" s="12" t="s">
        <v>361</v>
      </c>
      <c r="S1329" s="13">
        <v>197643408987</v>
      </c>
      <c r="T1329" s="12" t="s">
        <v>235</v>
      </c>
      <c r="U1329" s="13">
        <v>28</v>
      </c>
      <c r="V1329" s="12" t="s">
        <v>5273</v>
      </c>
      <c r="W1329" s="12" t="s">
        <v>51</v>
      </c>
      <c r="X1329" s="13">
        <v>0</v>
      </c>
      <c r="Y1329" s="12" t="s">
        <v>53</v>
      </c>
      <c r="Z1329" s="12" t="s">
        <v>108</v>
      </c>
      <c r="AA1329" s="13">
        <v>0</v>
      </c>
      <c r="AB1329" s="13">
        <v>0</v>
      </c>
      <c r="AC1329" s="15">
        <v>34.1</v>
      </c>
      <c r="AD1329" s="15">
        <f>AC1329*AG1329</f>
        <v>136.4</v>
      </c>
      <c r="AE1329" s="15">
        <v>75</v>
      </c>
      <c r="AF1329" s="15">
        <f>AE1329*AG1329</f>
        <v>300</v>
      </c>
      <c r="AG1329" s="16">
        <v>4</v>
      </c>
    </row>
    <row r="1330" spans="1:33" ht="15" customHeight="1" x14ac:dyDescent="0.2">
      <c r="A1330" s="11" t="str">
        <f t="shared" si="149"/>
        <v>VN000M39DZ91</v>
      </c>
      <c r="B1330" s="12" t="s">
        <v>5274</v>
      </c>
      <c r="C1330" s="12" t="s">
        <v>1281</v>
      </c>
      <c r="D1330" s="12" t="s">
        <v>510</v>
      </c>
      <c r="E1330" s="12" t="s">
        <v>5275</v>
      </c>
      <c r="F1330" s="13">
        <v>29</v>
      </c>
      <c r="G1330" s="14"/>
      <c r="H1330" s="12" t="s">
        <v>61</v>
      </c>
      <c r="I1330" s="12" t="s">
        <v>230</v>
      </c>
      <c r="J1330" s="12" t="s">
        <v>231</v>
      </c>
      <c r="K1330" s="12" t="s">
        <v>199</v>
      </c>
      <c r="L1330" s="14"/>
      <c r="M1330" s="12" t="s">
        <v>43</v>
      </c>
      <c r="N1330" s="12" t="s">
        <v>44</v>
      </c>
      <c r="O1330" s="12" t="s">
        <v>5276</v>
      </c>
      <c r="P1330" s="12" t="s">
        <v>66</v>
      </c>
      <c r="Q1330" s="12" t="s">
        <v>233</v>
      </c>
      <c r="R1330" s="12" t="s">
        <v>234</v>
      </c>
      <c r="S1330" s="13">
        <v>197643412519</v>
      </c>
      <c r="T1330" s="12" t="s">
        <v>235</v>
      </c>
      <c r="U1330" s="13">
        <v>29</v>
      </c>
      <c r="V1330" s="12" t="s">
        <v>665</v>
      </c>
      <c r="W1330" s="12" t="s">
        <v>186</v>
      </c>
      <c r="X1330" s="13">
        <v>0</v>
      </c>
      <c r="Y1330" s="12" t="s">
        <v>53</v>
      </c>
      <c r="Z1330" s="12" t="s">
        <v>108</v>
      </c>
      <c r="AA1330" s="13">
        <v>0</v>
      </c>
      <c r="AB1330" s="13">
        <v>0</v>
      </c>
      <c r="AC1330" s="15">
        <v>29.55</v>
      </c>
      <c r="AD1330" s="15">
        <f>AC1330*AG1330</f>
        <v>118.2</v>
      </c>
      <c r="AE1330" s="15">
        <v>65</v>
      </c>
      <c r="AF1330" s="15">
        <f>AE1330*AG1330</f>
        <v>260</v>
      </c>
      <c r="AG1330" s="16">
        <v>4</v>
      </c>
    </row>
    <row r="1331" spans="1:33" ht="15" customHeight="1" x14ac:dyDescent="0.2">
      <c r="A1331" s="11" t="str">
        <f t="shared" ref="A1331:A2115" si="558">HYPERLINK("https://assets.vans.eu/images/VN000M5FCLH-HERO/1","VN000M5FCLH1")</f>
        <v>VN000M5FCLH1</v>
      </c>
      <c r="B1331" s="12" t="s">
        <v>5277</v>
      </c>
      <c r="C1331" s="12" t="s">
        <v>5278</v>
      </c>
      <c r="D1331" s="12" t="s">
        <v>838</v>
      </c>
      <c r="E1331" s="12" t="s">
        <v>5279</v>
      </c>
      <c r="F1331" s="12" t="s">
        <v>179</v>
      </c>
      <c r="G1331" s="14"/>
      <c r="H1331" s="12" t="s">
        <v>61</v>
      </c>
      <c r="I1331" s="12" t="s">
        <v>230</v>
      </c>
      <c r="J1331" s="12" t="s">
        <v>419</v>
      </c>
      <c r="K1331" s="12" t="s">
        <v>199</v>
      </c>
      <c r="L1331" s="14"/>
      <c r="M1331" s="12" t="s">
        <v>43</v>
      </c>
      <c r="N1331" s="12" t="s">
        <v>44</v>
      </c>
      <c r="O1331" s="12" t="s">
        <v>5280</v>
      </c>
      <c r="P1331" s="12" t="s">
        <v>66</v>
      </c>
      <c r="Q1331" s="12" t="s">
        <v>67</v>
      </c>
      <c r="R1331" s="12" t="s">
        <v>421</v>
      </c>
      <c r="S1331" s="13">
        <v>197643416081</v>
      </c>
      <c r="T1331" s="12" t="s">
        <v>422</v>
      </c>
      <c r="U1331" s="12" t="s">
        <v>179</v>
      </c>
      <c r="V1331" s="12" t="s">
        <v>70</v>
      </c>
      <c r="W1331" s="12" t="s">
        <v>118</v>
      </c>
      <c r="X1331" s="13">
        <v>0</v>
      </c>
      <c r="Y1331" s="12" t="s">
        <v>91</v>
      </c>
      <c r="Z1331" s="12" t="s">
        <v>108</v>
      </c>
      <c r="AA1331" s="13">
        <v>0</v>
      </c>
      <c r="AB1331" s="13">
        <v>0</v>
      </c>
      <c r="AC1331" s="15">
        <v>17.3</v>
      </c>
      <c r="AD1331" s="15">
        <f>AC1331*AG1331</f>
        <v>69.2</v>
      </c>
      <c r="AE1331" s="15">
        <v>38</v>
      </c>
      <c r="AF1331" s="15">
        <f>AE1331*AG1331</f>
        <v>152</v>
      </c>
      <c r="AG1331" s="16">
        <v>4</v>
      </c>
    </row>
    <row r="1332" spans="1:33" ht="15" customHeight="1" x14ac:dyDescent="0.2">
      <c r="A1332" s="11" t="str">
        <f t="shared" ref="A1332:A1654" si="559">HYPERLINK("https://assets.vans.eu/images/VN000M5G6PH-HERO/1","VN000M5G6PH1")</f>
        <v>VN000M5G6PH1</v>
      </c>
      <c r="B1332" s="12" t="s">
        <v>5281</v>
      </c>
      <c r="C1332" s="12" t="s">
        <v>5282</v>
      </c>
      <c r="D1332" s="12" t="s">
        <v>1878</v>
      </c>
      <c r="E1332" s="12" t="s">
        <v>5283</v>
      </c>
      <c r="F1332" s="12" t="s">
        <v>153</v>
      </c>
      <c r="G1332" s="14"/>
      <c r="H1332" s="12" t="s">
        <v>61</v>
      </c>
      <c r="I1332" s="12" t="s">
        <v>230</v>
      </c>
      <c r="J1332" s="12" t="s">
        <v>419</v>
      </c>
      <c r="K1332" s="12" t="s">
        <v>199</v>
      </c>
      <c r="L1332" s="14"/>
      <c r="M1332" s="12" t="s">
        <v>43</v>
      </c>
      <c r="N1332" s="12" t="s">
        <v>44</v>
      </c>
      <c r="O1332" s="12" t="s">
        <v>5284</v>
      </c>
      <c r="P1332" s="12" t="s">
        <v>66</v>
      </c>
      <c r="Q1332" s="12" t="s">
        <v>67</v>
      </c>
      <c r="R1332" s="12" t="s">
        <v>421</v>
      </c>
      <c r="S1332" s="13">
        <v>197643416371</v>
      </c>
      <c r="T1332" s="12" t="s">
        <v>69</v>
      </c>
      <c r="U1332" s="12" t="s">
        <v>153</v>
      </c>
      <c r="V1332" s="12" t="s">
        <v>70</v>
      </c>
      <c r="W1332" s="12" t="s">
        <v>107</v>
      </c>
      <c r="X1332" s="13">
        <v>0</v>
      </c>
      <c r="Y1332" s="12" t="s">
        <v>91</v>
      </c>
      <c r="Z1332" s="12" t="s">
        <v>108</v>
      </c>
      <c r="AA1332" s="13">
        <v>0</v>
      </c>
      <c r="AB1332" s="13">
        <v>0</v>
      </c>
      <c r="AC1332" s="15">
        <v>20.5</v>
      </c>
      <c r="AD1332" s="15">
        <f>AC1332*AG1332</f>
        <v>82</v>
      </c>
      <c r="AE1332" s="15">
        <v>45</v>
      </c>
      <c r="AF1332" s="15">
        <f>AE1332*AG1332</f>
        <v>180</v>
      </c>
      <c r="AG1332" s="16">
        <v>4</v>
      </c>
    </row>
    <row r="1333" spans="1:33" ht="15" customHeight="1" x14ac:dyDescent="0.2">
      <c r="A1333" s="11" t="str">
        <f>HYPERLINK("https://assets.vans.eu/images/VN000M6DBLK-HERO/1","VN000M6DBLK1")</f>
        <v>VN000M6DBLK1</v>
      </c>
      <c r="B1333" s="12" t="s">
        <v>5285</v>
      </c>
      <c r="C1333" s="12" t="s">
        <v>5286</v>
      </c>
      <c r="D1333" s="12" t="s">
        <v>76</v>
      </c>
      <c r="E1333" s="12" t="s">
        <v>5287</v>
      </c>
      <c r="F1333" s="12" t="s">
        <v>60</v>
      </c>
      <c r="G1333" s="14"/>
      <c r="H1333" s="12" t="s">
        <v>61</v>
      </c>
      <c r="I1333" s="12" t="s">
        <v>230</v>
      </c>
      <c r="J1333" s="12" t="s">
        <v>419</v>
      </c>
      <c r="K1333" s="12" t="s">
        <v>199</v>
      </c>
      <c r="L1333" s="14"/>
      <c r="M1333" s="12" t="s">
        <v>43</v>
      </c>
      <c r="N1333" s="12" t="s">
        <v>44</v>
      </c>
      <c r="O1333" s="12" t="s">
        <v>5288</v>
      </c>
      <c r="P1333" s="12" t="s">
        <v>66</v>
      </c>
      <c r="Q1333" s="12" t="s">
        <v>67</v>
      </c>
      <c r="R1333" s="12" t="s">
        <v>421</v>
      </c>
      <c r="S1333" s="13">
        <v>197643418405</v>
      </c>
      <c r="T1333" s="12" t="s">
        <v>422</v>
      </c>
      <c r="U1333" s="12" t="s">
        <v>60</v>
      </c>
      <c r="V1333" s="12" t="s">
        <v>70</v>
      </c>
      <c r="W1333" s="12" t="s">
        <v>51</v>
      </c>
      <c r="X1333" s="13">
        <v>0</v>
      </c>
      <c r="Y1333" s="12" t="s">
        <v>91</v>
      </c>
      <c r="Z1333" s="12" t="s">
        <v>108</v>
      </c>
      <c r="AA1333" s="13">
        <v>0</v>
      </c>
      <c r="AB1333" s="13">
        <v>0</v>
      </c>
      <c r="AC1333" s="15">
        <v>17.3</v>
      </c>
      <c r="AD1333" s="15">
        <f>AC1333*AG1333</f>
        <v>69.2</v>
      </c>
      <c r="AE1333" s="15">
        <v>38</v>
      </c>
      <c r="AF1333" s="15">
        <f>AE1333*AG1333</f>
        <v>152</v>
      </c>
      <c r="AG1333" s="16">
        <v>4</v>
      </c>
    </row>
    <row r="1334" spans="1:33" ht="15" customHeight="1" x14ac:dyDescent="0.2">
      <c r="A1334" s="11" t="str">
        <f t="shared" si="429"/>
        <v>VN000M6XEMW1</v>
      </c>
      <c r="B1334" s="12" t="s">
        <v>5289</v>
      </c>
      <c r="C1334" s="12" t="s">
        <v>2055</v>
      </c>
      <c r="D1334" s="12" t="s">
        <v>147</v>
      </c>
      <c r="E1334" s="12" t="s">
        <v>5290</v>
      </c>
      <c r="F1334" s="12" t="s">
        <v>170</v>
      </c>
      <c r="G1334" s="14"/>
      <c r="H1334" s="12" t="s">
        <v>61</v>
      </c>
      <c r="I1334" s="12" t="s">
        <v>289</v>
      </c>
      <c r="J1334" s="12" t="s">
        <v>290</v>
      </c>
      <c r="K1334" s="12" t="s">
        <v>100</v>
      </c>
      <c r="L1334" s="14"/>
      <c r="M1334" s="12" t="s">
        <v>43</v>
      </c>
      <c r="N1334" s="12" t="s">
        <v>84</v>
      </c>
      <c r="O1334" s="12" t="s">
        <v>5291</v>
      </c>
      <c r="P1334" s="12" t="s">
        <v>66</v>
      </c>
      <c r="Q1334" s="12" t="s">
        <v>233</v>
      </c>
      <c r="R1334" s="12" t="s">
        <v>664</v>
      </c>
      <c r="S1334" s="13">
        <v>197804386192</v>
      </c>
      <c r="T1334" s="12" t="s">
        <v>235</v>
      </c>
      <c r="U1334" s="12" t="s">
        <v>170</v>
      </c>
      <c r="V1334" s="12" t="s">
        <v>1811</v>
      </c>
      <c r="W1334" s="12" t="s">
        <v>118</v>
      </c>
      <c r="X1334" s="14"/>
      <c r="Y1334" s="14"/>
      <c r="Z1334" s="14"/>
      <c r="AA1334" s="14"/>
      <c r="AB1334" s="14"/>
      <c r="AC1334" s="15">
        <v>45.5</v>
      </c>
      <c r="AD1334" s="15">
        <f>AC1334*AG1334</f>
        <v>182</v>
      </c>
      <c r="AE1334" s="15">
        <v>100</v>
      </c>
      <c r="AF1334" s="15">
        <f>AE1334*AG1334</f>
        <v>400</v>
      </c>
      <c r="AG1334" s="16">
        <v>4</v>
      </c>
    </row>
    <row r="1335" spans="1:33" ht="15" customHeight="1" x14ac:dyDescent="0.2">
      <c r="A1335" s="11" t="str">
        <f>HYPERLINK("https://assets.vans.eu/images/VN000M71HCZ-HERO/1","VN000M71HCZ1")</f>
        <v>VN000M71HCZ1</v>
      </c>
      <c r="B1335" s="12" t="s">
        <v>5292</v>
      </c>
      <c r="C1335" s="12" t="s">
        <v>5293</v>
      </c>
      <c r="D1335" s="12" t="s">
        <v>4885</v>
      </c>
      <c r="E1335" s="12" t="s">
        <v>5294</v>
      </c>
      <c r="F1335" s="12" t="s">
        <v>138</v>
      </c>
      <c r="G1335" s="14"/>
      <c r="H1335" s="12" t="s">
        <v>61</v>
      </c>
      <c r="I1335" s="12" t="s">
        <v>289</v>
      </c>
      <c r="J1335" s="12" t="s">
        <v>900</v>
      </c>
      <c r="K1335" s="12" t="s">
        <v>100</v>
      </c>
      <c r="L1335" s="14"/>
      <c r="M1335" s="12" t="s">
        <v>43</v>
      </c>
      <c r="N1335" s="12" t="s">
        <v>44</v>
      </c>
      <c r="O1335" s="12" t="s">
        <v>5295</v>
      </c>
      <c r="P1335" s="12" t="s">
        <v>66</v>
      </c>
      <c r="Q1335" s="12" t="s">
        <v>233</v>
      </c>
      <c r="R1335" s="12" t="s">
        <v>902</v>
      </c>
      <c r="S1335" s="13">
        <v>197643361572</v>
      </c>
      <c r="T1335" s="12" t="s">
        <v>235</v>
      </c>
      <c r="U1335" s="12" t="s">
        <v>138</v>
      </c>
      <c r="V1335" s="12" t="s">
        <v>683</v>
      </c>
      <c r="W1335" s="12" t="s">
        <v>455</v>
      </c>
      <c r="X1335" s="13">
        <v>0</v>
      </c>
      <c r="Y1335" s="12" t="s">
        <v>53</v>
      </c>
      <c r="Z1335" s="12" t="s">
        <v>108</v>
      </c>
      <c r="AA1335" s="13">
        <v>0</v>
      </c>
      <c r="AB1335" s="13">
        <v>0</v>
      </c>
      <c r="AC1335" s="15">
        <v>40.950000000000003</v>
      </c>
      <c r="AD1335" s="15">
        <f>AC1335*AG1335</f>
        <v>163.80000000000001</v>
      </c>
      <c r="AE1335" s="15">
        <v>90</v>
      </c>
      <c r="AF1335" s="15">
        <f>AE1335*AG1335</f>
        <v>360</v>
      </c>
      <c r="AG1335" s="16">
        <v>4</v>
      </c>
    </row>
    <row r="1336" spans="1:33" ht="15" customHeight="1" x14ac:dyDescent="0.2">
      <c r="A1336" s="11" t="str">
        <f t="shared" si="481"/>
        <v>VN000M77Y7U1</v>
      </c>
      <c r="B1336" s="12" t="s">
        <v>5296</v>
      </c>
      <c r="C1336" s="12" t="s">
        <v>1796</v>
      </c>
      <c r="D1336" s="12" t="s">
        <v>740</v>
      </c>
      <c r="E1336" s="12" t="s">
        <v>5297</v>
      </c>
      <c r="F1336" s="12" t="s">
        <v>621</v>
      </c>
      <c r="G1336" s="14"/>
      <c r="H1336" s="12" t="s">
        <v>61</v>
      </c>
      <c r="I1336" s="12" t="s">
        <v>289</v>
      </c>
      <c r="J1336" s="12" t="s">
        <v>706</v>
      </c>
      <c r="K1336" s="12" t="s">
        <v>100</v>
      </c>
      <c r="L1336" s="14"/>
      <c r="M1336" s="12" t="s">
        <v>43</v>
      </c>
      <c r="N1336" s="12" t="s">
        <v>44</v>
      </c>
      <c r="O1336" s="12" t="s">
        <v>5298</v>
      </c>
      <c r="P1336" s="12" t="s">
        <v>66</v>
      </c>
      <c r="Q1336" s="12" t="s">
        <v>67</v>
      </c>
      <c r="R1336" s="12" t="s">
        <v>1200</v>
      </c>
      <c r="S1336" s="13">
        <v>197643361367</v>
      </c>
      <c r="T1336" s="12" t="s">
        <v>49</v>
      </c>
      <c r="U1336" s="12" t="s">
        <v>621</v>
      </c>
      <c r="V1336" s="12" t="s">
        <v>70</v>
      </c>
      <c r="W1336" s="12" t="s">
        <v>455</v>
      </c>
      <c r="X1336" s="13">
        <v>0</v>
      </c>
      <c r="Y1336" s="12" t="s">
        <v>91</v>
      </c>
      <c r="Z1336" s="12" t="s">
        <v>108</v>
      </c>
      <c r="AA1336" s="13">
        <v>0</v>
      </c>
      <c r="AB1336" s="13">
        <v>0</v>
      </c>
      <c r="AC1336" s="15">
        <v>14.55</v>
      </c>
      <c r="AD1336" s="15">
        <f>AC1336*AG1336</f>
        <v>58.2</v>
      </c>
      <c r="AE1336" s="15">
        <v>32</v>
      </c>
      <c r="AF1336" s="15">
        <f>AE1336*AG1336</f>
        <v>128</v>
      </c>
      <c r="AG1336" s="16">
        <v>4</v>
      </c>
    </row>
    <row r="1337" spans="1:33" ht="15" customHeight="1" x14ac:dyDescent="0.2">
      <c r="A1337" s="11" t="str">
        <f t="shared" si="481"/>
        <v>VN000M77Y7U1</v>
      </c>
      <c r="B1337" s="12" t="s">
        <v>5299</v>
      </c>
      <c r="C1337" s="12" t="s">
        <v>1796</v>
      </c>
      <c r="D1337" s="12" t="s">
        <v>740</v>
      </c>
      <c r="E1337" s="12" t="s">
        <v>5300</v>
      </c>
      <c r="F1337" s="12" t="s">
        <v>138</v>
      </c>
      <c r="G1337" s="14"/>
      <c r="H1337" s="12" t="s">
        <v>61</v>
      </c>
      <c r="I1337" s="12" t="s">
        <v>289</v>
      </c>
      <c r="J1337" s="12" t="s">
        <v>706</v>
      </c>
      <c r="K1337" s="12" t="s">
        <v>100</v>
      </c>
      <c r="L1337" s="14"/>
      <c r="M1337" s="12" t="s">
        <v>43</v>
      </c>
      <c r="N1337" s="12" t="s">
        <v>44</v>
      </c>
      <c r="O1337" s="12" t="s">
        <v>5301</v>
      </c>
      <c r="P1337" s="12" t="s">
        <v>66</v>
      </c>
      <c r="Q1337" s="12" t="s">
        <v>67</v>
      </c>
      <c r="R1337" s="12" t="s">
        <v>1200</v>
      </c>
      <c r="S1337" s="13">
        <v>197643361558</v>
      </c>
      <c r="T1337" s="12" t="s">
        <v>49</v>
      </c>
      <c r="U1337" s="12" t="s">
        <v>138</v>
      </c>
      <c r="V1337" s="12" t="s">
        <v>70</v>
      </c>
      <c r="W1337" s="12" t="s">
        <v>455</v>
      </c>
      <c r="X1337" s="13">
        <v>0</v>
      </c>
      <c r="Y1337" s="12" t="s">
        <v>91</v>
      </c>
      <c r="Z1337" s="12" t="s">
        <v>108</v>
      </c>
      <c r="AA1337" s="13">
        <v>0</v>
      </c>
      <c r="AB1337" s="13">
        <v>0</v>
      </c>
      <c r="AC1337" s="15">
        <v>14.55</v>
      </c>
      <c r="AD1337" s="15">
        <f>AC1337*AG1337</f>
        <v>58.2</v>
      </c>
      <c r="AE1337" s="15">
        <v>32</v>
      </c>
      <c r="AF1337" s="15">
        <f>AE1337*AG1337</f>
        <v>128</v>
      </c>
      <c r="AG1337" s="16">
        <v>4</v>
      </c>
    </row>
    <row r="1338" spans="1:33" ht="15" customHeight="1" x14ac:dyDescent="0.2">
      <c r="A1338" s="11" t="str">
        <f t="shared" ref="A1338:A1658" si="560">HYPERLINK("https://assets.vans.eu/images/VN000M8G1O7-HERO/1","VN000M8G1O71")</f>
        <v>VN000M8G1O71</v>
      </c>
      <c r="B1338" s="12" t="s">
        <v>5302</v>
      </c>
      <c r="C1338" s="12" t="s">
        <v>5303</v>
      </c>
      <c r="D1338" s="12" t="s">
        <v>637</v>
      </c>
      <c r="E1338" s="12" t="s">
        <v>5304</v>
      </c>
      <c r="F1338" s="13">
        <v>29</v>
      </c>
      <c r="G1338" s="14"/>
      <c r="H1338" s="12" t="s">
        <v>61</v>
      </c>
      <c r="I1338" s="12" t="s">
        <v>230</v>
      </c>
      <c r="J1338" s="12" t="s">
        <v>557</v>
      </c>
      <c r="K1338" s="12" t="s">
        <v>199</v>
      </c>
      <c r="L1338" s="14"/>
      <c r="M1338" s="12" t="s">
        <v>43</v>
      </c>
      <c r="N1338" s="12" t="s">
        <v>44</v>
      </c>
      <c r="O1338" s="12" t="s">
        <v>5305</v>
      </c>
      <c r="P1338" s="12" t="s">
        <v>66</v>
      </c>
      <c r="Q1338" s="12" t="s">
        <v>559</v>
      </c>
      <c r="R1338" s="12" t="s">
        <v>560</v>
      </c>
      <c r="S1338" s="13">
        <v>197643565871</v>
      </c>
      <c r="T1338" s="12" t="s">
        <v>49</v>
      </c>
      <c r="U1338" s="13">
        <v>29</v>
      </c>
      <c r="V1338" s="12" t="s">
        <v>5306</v>
      </c>
      <c r="W1338" s="12" t="s">
        <v>455</v>
      </c>
      <c r="X1338" s="13">
        <v>0</v>
      </c>
      <c r="Y1338" s="12" t="s">
        <v>91</v>
      </c>
      <c r="Z1338" s="12" t="s">
        <v>108</v>
      </c>
      <c r="AA1338" s="13">
        <v>0</v>
      </c>
      <c r="AB1338" s="13">
        <v>0</v>
      </c>
      <c r="AC1338" s="15">
        <v>29.55</v>
      </c>
      <c r="AD1338" s="15">
        <f>AC1338*AG1338</f>
        <v>118.2</v>
      </c>
      <c r="AE1338" s="15">
        <v>65</v>
      </c>
      <c r="AF1338" s="15">
        <f>AE1338*AG1338</f>
        <v>260</v>
      </c>
      <c r="AG1338" s="16">
        <v>4</v>
      </c>
    </row>
    <row r="1339" spans="1:33" ht="15" customHeight="1" x14ac:dyDescent="0.2">
      <c r="A1339" s="11" t="str">
        <f t="shared" si="482"/>
        <v>VN000M8JY281</v>
      </c>
      <c r="B1339" s="12" t="s">
        <v>5307</v>
      </c>
      <c r="C1339" s="12" t="s">
        <v>4602</v>
      </c>
      <c r="D1339" s="12" t="s">
        <v>58</v>
      </c>
      <c r="E1339" s="12" t="s">
        <v>5308</v>
      </c>
      <c r="F1339" s="13">
        <v>28</v>
      </c>
      <c r="G1339" s="14"/>
      <c r="H1339" s="12" t="s">
        <v>61</v>
      </c>
      <c r="I1339" s="12" t="s">
        <v>230</v>
      </c>
      <c r="J1339" s="12" t="s">
        <v>557</v>
      </c>
      <c r="K1339" s="12" t="s">
        <v>199</v>
      </c>
      <c r="L1339" s="14"/>
      <c r="M1339" s="12" t="s">
        <v>43</v>
      </c>
      <c r="N1339" s="12" t="s">
        <v>44</v>
      </c>
      <c r="O1339" s="12" t="s">
        <v>5309</v>
      </c>
      <c r="P1339" s="12" t="s">
        <v>66</v>
      </c>
      <c r="Q1339" s="12" t="s">
        <v>559</v>
      </c>
      <c r="R1339" s="12" t="s">
        <v>560</v>
      </c>
      <c r="S1339" s="13">
        <v>197643538325</v>
      </c>
      <c r="T1339" s="12" t="s">
        <v>49</v>
      </c>
      <c r="U1339" s="13">
        <v>28</v>
      </c>
      <c r="V1339" s="12" t="s">
        <v>4605</v>
      </c>
      <c r="W1339" s="12" t="s">
        <v>51</v>
      </c>
      <c r="X1339" s="13">
        <v>0</v>
      </c>
      <c r="Y1339" s="12" t="s">
        <v>53</v>
      </c>
      <c r="Z1339" s="12" t="s">
        <v>108</v>
      </c>
      <c r="AA1339" s="13">
        <v>0</v>
      </c>
      <c r="AB1339" s="13">
        <v>0</v>
      </c>
      <c r="AC1339" s="15">
        <v>34.1</v>
      </c>
      <c r="AD1339" s="15">
        <f>AC1339*AG1339</f>
        <v>136.4</v>
      </c>
      <c r="AE1339" s="15">
        <v>75</v>
      </c>
      <c r="AF1339" s="15">
        <f>AE1339*AG1339</f>
        <v>300</v>
      </c>
      <c r="AG1339" s="16">
        <v>4</v>
      </c>
    </row>
    <row r="1340" spans="1:33" ht="15" customHeight="1" x14ac:dyDescent="0.2">
      <c r="A1340" s="11" t="str">
        <f t="shared" ref="A1340:A2122" si="561">HYPERLINK("https://assets.vans.eu/images/VN000M8UBLK-HERO/1","VN000M8UBLK1")</f>
        <v>VN000M8UBLK1</v>
      </c>
      <c r="B1340" s="12" t="s">
        <v>5310</v>
      </c>
      <c r="C1340" s="12" t="s">
        <v>5311</v>
      </c>
      <c r="D1340" s="12" t="s">
        <v>76</v>
      </c>
      <c r="E1340" s="12" t="s">
        <v>5312</v>
      </c>
      <c r="F1340" s="12" t="s">
        <v>138</v>
      </c>
      <c r="G1340" s="14"/>
      <c r="H1340" s="12" t="s">
        <v>61</v>
      </c>
      <c r="I1340" s="12" t="s">
        <v>289</v>
      </c>
      <c r="J1340" s="12" t="s">
        <v>706</v>
      </c>
      <c r="K1340" s="12" t="s">
        <v>100</v>
      </c>
      <c r="L1340" s="14"/>
      <c r="M1340" s="12" t="s">
        <v>43</v>
      </c>
      <c r="N1340" s="12" t="s">
        <v>44</v>
      </c>
      <c r="O1340" s="12" t="s">
        <v>5313</v>
      </c>
      <c r="P1340" s="12" t="s">
        <v>66</v>
      </c>
      <c r="Q1340" s="12" t="s">
        <v>67</v>
      </c>
      <c r="R1340" s="12" t="s">
        <v>1200</v>
      </c>
      <c r="S1340" s="13">
        <v>197643362777</v>
      </c>
      <c r="T1340" s="12" t="s">
        <v>49</v>
      </c>
      <c r="U1340" s="12" t="s">
        <v>138</v>
      </c>
      <c r="V1340" s="12" t="s">
        <v>665</v>
      </c>
      <c r="W1340" s="12" t="s">
        <v>51</v>
      </c>
      <c r="X1340" s="13">
        <v>0</v>
      </c>
      <c r="Y1340" s="12" t="s">
        <v>53</v>
      </c>
      <c r="Z1340" s="12" t="s">
        <v>108</v>
      </c>
      <c r="AA1340" s="13">
        <v>0</v>
      </c>
      <c r="AB1340" s="13">
        <v>0</v>
      </c>
      <c r="AC1340" s="15">
        <v>10.95</v>
      </c>
      <c r="AD1340" s="15">
        <f>AC1340*AG1340</f>
        <v>43.8</v>
      </c>
      <c r="AE1340" s="15">
        <v>24</v>
      </c>
      <c r="AF1340" s="15">
        <f>AE1340*AG1340</f>
        <v>96</v>
      </c>
      <c r="AG1340" s="16">
        <v>4</v>
      </c>
    </row>
    <row r="1341" spans="1:33" ht="15" customHeight="1" x14ac:dyDescent="0.2">
      <c r="A1341" s="11" t="str">
        <f t="shared" ref="A1341:A2126" si="562">HYPERLINK("https://assets.vans.eu/images/VN000M9DBLK-HERO/1","VN000M9DBLK1")</f>
        <v>VN000M9DBLK1</v>
      </c>
      <c r="B1341" s="12" t="s">
        <v>5314</v>
      </c>
      <c r="C1341" s="12" t="s">
        <v>5315</v>
      </c>
      <c r="D1341" s="12" t="s">
        <v>76</v>
      </c>
      <c r="E1341" s="12" t="s">
        <v>5316</v>
      </c>
      <c r="F1341" s="12" t="s">
        <v>153</v>
      </c>
      <c r="G1341" s="14"/>
      <c r="H1341" s="12" t="s">
        <v>61</v>
      </c>
      <c r="I1341" s="12" t="s">
        <v>289</v>
      </c>
      <c r="J1341" s="12" t="s">
        <v>706</v>
      </c>
      <c r="K1341" s="12" t="s">
        <v>100</v>
      </c>
      <c r="L1341" s="14"/>
      <c r="M1341" s="12" t="s">
        <v>43</v>
      </c>
      <c r="N1341" s="12" t="s">
        <v>44</v>
      </c>
      <c r="O1341" s="12" t="s">
        <v>5317</v>
      </c>
      <c r="P1341" s="12" t="s">
        <v>66</v>
      </c>
      <c r="Q1341" s="12" t="s">
        <v>67</v>
      </c>
      <c r="R1341" s="12" t="s">
        <v>1200</v>
      </c>
      <c r="S1341" s="13">
        <v>197643363217</v>
      </c>
      <c r="T1341" s="12" t="s">
        <v>49</v>
      </c>
      <c r="U1341" s="12" t="s">
        <v>153</v>
      </c>
      <c r="V1341" s="12" t="s">
        <v>90</v>
      </c>
      <c r="W1341" s="12" t="s">
        <v>51</v>
      </c>
      <c r="X1341" s="13">
        <v>0</v>
      </c>
      <c r="Y1341" s="12" t="s">
        <v>53</v>
      </c>
      <c r="Z1341" s="12" t="s">
        <v>108</v>
      </c>
      <c r="AA1341" s="13">
        <v>0</v>
      </c>
      <c r="AB1341" s="13">
        <v>0</v>
      </c>
      <c r="AC1341" s="15">
        <v>31.85</v>
      </c>
      <c r="AD1341" s="15">
        <f>AC1341*AG1341</f>
        <v>127.4</v>
      </c>
      <c r="AE1341" s="15">
        <v>70</v>
      </c>
      <c r="AF1341" s="15">
        <f>AE1341*AG1341</f>
        <v>280</v>
      </c>
      <c r="AG1341" s="16">
        <v>4</v>
      </c>
    </row>
    <row r="1342" spans="1:33" ht="15" customHeight="1" x14ac:dyDescent="0.2">
      <c r="A1342" s="11" t="str">
        <f t="shared" ref="A1342:A1343" si="563">HYPERLINK("https://assets.vans.eu/images/VN000M9MZUJ-HERO/1","VN000M9MZUJ1")</f>
        <v>VN000M9MZUJ1</v>
      </c>
      <c r="B1342" s="12" t="s">
        <v>5318</v>
      </c>
      <c r="C1342" s="12" t="s">
        <v>5319</v>
      </c>
      <c r="D1342" s="12" t="s">
        <v>2899</v>
      </c>
      <c r="E1342" s="12" t="s">
        <v>5320</v>
      </c>
      <c r="F1342" s="12" t="s">
        <v>403</v>
      </c>
      <c r="G1342" s="14"/>
      <c r="H1342" s="12" t="s">
        <v>61</v>
      </c>
      <c r="I1342" s="12" t="s">
        <v>289</v>
      </c>
      <c r="J1342" s="12" t="s">
        <v>290</v>
      </c>
      <c r="K1342" s="12" t="s">
        <v>100</v>
      </c>
      <c r="L1342" s="14"/>
      <c r="M1342" s="12" t="s">
        <v>43</v>
      </c>
      <c r="N1342" s="12" t="s">
        <v>44</v>
      </c>
      <c r="O1342" s="12" t="s">
        <v>5321</v>
      </c>
      <c r="P1342" s="12" t="s">
        <v>66</v>
      </c>
      <c r="Q1342" s="12" t="s">
        <v>233</v>
      </c>
      <c r="R1342" s="12" t="s">
        <v>2073</v>
      </c>
      <c r="S1342" s="13">
        <v>197643363767</v>
      </c>
      <c r="T1342" s="12" t="s">
        <v>235</v>
      </c>
      <c r="U1342" s="12" t="s">
        <v>403</v>
      </c>
      <c r="V1342" s="12" t="s">
        <v>3746</v>
      </c>
      <c r="W1342" s="12" t="s">
        <v>598</v>
      </c>
      <c r="X1342" s="13">
        <v>0</v>
      </c>
      <c r="Y1342" s="12" t="s">
        <v>91</v>
      </c>
      <c r="Z1342" s="12" t="s">
        <v>108</v>
      </c>
      <c r="AA1342" s="13">
        <v>0</v>
      </c>
      <c r="AB1342" s="13">
        <v>0</v>
      </c>
      <c r="AC1342" s="15">
        <v>29.55</v>
      </c>
      <c r="AD1342" s="15">
        <f>AC1342*AG1342</f>
        <v>118.2</v>
      </c>
      <c r="AE1342" s="15">
        <v>65</v>
      </c>
      <c r="AF1342" s="15">
        <f>AE1342*AG1342</f>
        <v>260</v>
      </c>
      <c r="AG1342" s="16">
        <v>4</v>
      </c>
    </row>
    <row r="1343" spans="1:33" ht="15" customHeight="1" x14ac:dyDescent="0.2">
      <c r="A1343" s="11" t="str">
        <f t="shared" si="563"/>
        <v>VN000M9MZUJ1</v>
      </c>
      <c r="B1343" s="12" t="s">
        <v>5322</v>
      </c>
      <c r="C1343" s="12" t="s">
        <v>5319</v>
      </c>
      <c r="D1343" s="12" t="s">
        <v>2899</v>
      </c>
      <c r="E1343" s="12" t="s">
        <v>5323</v>
      </c>
      <c r="F1343" s="12" t="s">
        <v>621</v>
      </c>
      <c r="G1343" s="14"/>
      <c r="H1343" s="12" t="s">
        <v>61</v>
      </c>
      <c r="I1343" s="12" t="s">
        <v>289</v>
      </c>
      <c r="J1343" s="12" t="s">
        <v>290</v>
      </c>
      <c r="K1343" s="12" t="s">
        <v>100</v>
      </c>
      <c r="L1343" s="14"/>
      <c r="M1343" s="12" t="s">
        <v>43</v>
      </c>
      <c r="N1343" s="12" t="s">
        <v>44</v>
      </c>
      <c r="O1343" s="12" t="s">
        <v>5324</v>
      </c>
      <c r="P1343" s="12" t="s">
        <v>66</v>
      </c>
      <c r="Q1343" s="12" t="s">
        <v>233</v>
      </c>
      <c r="R1343" s="12" t="s">
        <v>2073</v>
      </c>
      <c r="S1343" s="13">
        <v>197643364108</v>
      </c>
      <c r="T1343" s="12" t="s">
        <v>235</v>
      </c>
      <c r="U1343" s="12" t="s">
        <v>621</v>
      </c>
      <c r="V1343" s="12" t="s">
        <v>3746</v>
      </c>
      <c r="W1343" s="12" t="s">
        <v>598</v>
      </c>
      <c r="X1343" s="13">
        <v>0</v>
      </c>
      <c r="Y1343" s="12" t="s">
        <v>91</v>
      </c>
      <c r="Z1343" s="12" t="s">
        <v>108</v>
      </c>
      <c r="AA1343" s="13">
        <v>0</v>
      </c>
      <c r="AB1343" s="13">
        <v>0</v>
      </c>
      <c r="AC1343" s="15">
        <v>29.55</v>
      </c>
      <c r="AD1343" s="15">
        <f>AC1343*AG1343</f>
        <v>118.2</v>
      </c>
      <c r="AE1343" s="15">
        <v>65</v>
      </c>
      <c r="AF1343" s="15">
        <f>AE1343*AG1343</f>
        <v>260</v>
      </c>
      <c r="AG1343" s="16">
        <v>4</v>
      </c>
    </row>
    <row r="1344" spans="1:33" ht="15" customHeight="1" x14ac:dyDescent="0.2">
      <c r="A1344" s="11" t="str">
        <f>HYPERLINK("https://assets.vans.eu/images/VN000M9SBLK-HERO/1","VN000M9SBLK1")</f>
        <v>VN000M9SBLK1</v>
      </c>
      <c r="B1344" s="12" t="s">
        <v>5325</v>
      </c>
      <c r="C1344" s="12" t="s">
        <v>2222</v>
      </c>
      <c r="D1344" s="12" t="s">
        <v>76</v>
      </c>
      <c r="E1344" s="12" t="s">
        <v>5326</v>
      </c>
      <c r="F1344" s="12" t="s">
        <v>179</v>
      </c>
      <c r="G1344" s="14"/>
      <c r="H1344" s="12" t="s">
        <v>61</v>
      </c>
      <c r="I1344" s="12" t="s">
        <v>289</v>
      </c>
      <c r="J1344" s="12" t="s">
        <v>706</v>
      </c>
      <c r="K1344" s="12" t="s">
        <v>100</v>
      </c>
      <c r="L1344" s="14"/>
      <c r="M1344" s="12" t="s">
        <v>43</v>
      </c>
      <c r="N1344" s="12" t="s">
        <v>84</v>
      </c>
      <c r="O1344" s="12" t="s">
        <v>5327</v>
      </c>
      <c r="P1344" s="12" t="s">
        <v>66</v>
      </c>
      <c r="Q1344" s="12" t="s">
        <v>67</v>
      </c>
      <c r="R1344" s="12" t="s">
        <v>708</v>
      </c>
      <c r="S1344" s="13">
        <v>197804387168</v>
      </c>
      <c r="T1344" s="12" t="s">
        <v>709</v>
      </c>
      <c r="U1344" s="12" t="s">
        <v>179</v>
      </c>
      <c r="V1344" s="12" t="s">
        <v>2225</v>
      </c>
      <c r="W1344" s="12" t="s">
        <v>51</v>
      </c>
      <c r="X1344" s="14"/>
      <c r="Y1344" s="14"/>
      <c r="Z1344" s="14"/>
      <c r="AA1344" s="14"/>
      <c r="AB1344" s="14"/>
      <c r="AC1344" s="15">
        <v>34.1</v>
      </c>
      <c r="AD1344" s="15">
        <f>AC1344*AG1344</f>
        <v>136.4</v>
      </c>
      <c r="AE1344" s="15">
        <v>75</v>
      </c>
      <c r="AF1344" s="15">
        <f>AE1344*AG1344</f>
        <v>300</v>
      </c>
      <c r="AG1344" s="16">
        <v>4</v>
      </c>
    </row>
    <row r="1345" spans="1:33" ht="15" customHeight="1" x14ac:dyDescent="0.2">
      <c r="A1345" s="11" t="str">
        <f t="shared" si="483"/>
        <v>VN000M9SEMJ1</v>
      </c>
      <c r="B1345" s="12" t="s">
        <v>5328</v>
      </c>
      <c r="C1345" s="12" t="s">
        <v>2222</v>
      </c>
      <c r="D1345" s="12" t="s">
        <v>768</v>
      </c>
      <c r="E1345" s="12" t="s">
        <v>5329</v>
      </c>
      <c r="F1345" s="12" t="s">
        <v>60</v>
      </c>
      <c r="G1345" s="14"/>
      <c r="H1345" s="12" t="s">
        <v>61</v>
      </c>
      <c r="I1345" s="12" t="s">
        <v>289</v>
      </c>
      <c r="J1345" s="12" t="s">
        <v>706</v>
      </c>
      <c r="K1345" s="12" t="s">
        <v>100</v>
      </c>
      <c r="L1345" s="14"/>
      <c r="M1345" s="12" t="s">
        <v>43</v>
      </c>
      <c r="N1345" s="12" t="s">
        <v>84</v>
      </c>
      <c r="O1345" s="12" t="s">
        <v>5330</v>
      </c>
      <c r="P1345" s="12" t="s">
        <v>66</v>
      </c>
      <c r="Q1345" s="12" t="s">
        <v>67</v>
      </c>
      <c r="R1345" s="12" t="s">
        <v>708</v>
      </c>
      <c r="S1345" s="13">
        <v>197804387588</v>
      </c>
      <c r="T1345" s="12" t="s">
        <v>709</v>
      </c>
      <c r="U1345" s="12" t="s">
        <v>60</v>
      </c>
      <c r="V1345" s="12" t="s">
        <v>2225</v>
      </c>
      <c r="W1345" s="12" t="s">
        <v>625</v>
      </c>
      <c r="X1345" s="14"/>
      <c r="Y1345" s="14"/>
      <c r="Z1345" s="14"/>
      <c r="AA1345" s="14"/>
      <c r="AB1345" s="14"/>
      <c r="AC1345" s="15">
        <v>34.1</v>
      </c>
      <c r="AD1345" s="15">
        <f>AC1345*AG1345</f>
        <v>136.4</v>
      </c>
      <c r="AE1345" s="15">
        <v>75</v>
      </c>
      <c r="AF1345" s="15">
        <f>AE1345*AG1345</f>
        <v>300</v>
      </c>
      <c r="AG1345" s="16">
        <v>4</v>
      </c>
    </row>
    <row r="1346" spans="1:33" ht="15" customHeight="1" x14ac:dyDescent="0.2">
      <c r="A1346" s="11" t="str">
        <f>HYPERLINK("https://assets.vans.eu/images/VN000MAB1O7-HERO/1","VN000MAB1O71")</f>
        <v>VN000MAB1O71</v>
      </c>
      <c r="B1346" s="12" t="s">
        <v>5331</v>
      </c>
      <c r="C1346" s="12" t="s">
        <v>5332</v>
      </c>
      <c r="D1346" s="12" t="s">
        <v>637</v>
      </c>
      <c r="E1346" s="12" t="s">
        <v>5333</v>
      </c>
      <c r="F1346" s="12" t="s">
        <v>138</v>
      </c>
      <c r="G1346" s="14"/>
      <c r="H1346" s="12" t="s">
        <v>61</v>
      </c>
      <c r="I1346" s="12" t="s">
        <v>289</v>
      </c>
      <c r="J1346" s="12" t="s">
        <v>706</v>
      </c>
      <c r="K1346" s="12" t="s">
        <v>100</v>
      </c>
      <c r="L1346" s="14"/>
      <c r="M1346" s="12" t="s">
        <v>43</v>
      </c>
      <c r="N1346" s="12" t="s">
        <v>44</v>
      </c>
      <c r="O1346" s="12" t="s">
        <v>5334</v>
      </c>
      <c r="P1346" s="12" t="s">
        <v>66</v>
      </c>
      <c r="Q1346" s="12" t="s">
        <v>67</v>
      </c>
      <c r="R1346" s="12" t="s">
        <v>708</v>
      </c>
      <c r="S1346" s="13">
        <v>197643365648</v>
      </c>
      <c r="T1346" s="12" t="s">
        <v>49</v>
      </c>
      <c r="U1346" s="12" t="s">
        <v>138</v>
      </c>
      <c r="V1346" s="12" t="s">
        <v>1731</v>
      </c>
      <c r="W1346" s="12" t="s">
        <v>455</v>
      </c>
      <c r="X1346" s="12" t="s">
        <v>500</v>
      </c>
      <c r="Y1346" s="12" t="s">
        <v>91</v>
      </c>
      <c r="Z1346" s="12" t="s">
        <v>108</v>
      </c>
      <c r="AA1346" s="13">
        <v>0</v>
      </c>
      <c r="AB1346" s="13">
        <v>0</v>
      </c>
      <c r="AC1346" s="15">
        <v>36.4</v>
      </c>
      <c r="AD1346" s="15">
        <f>AC1346*AG1346</f>
        <v>145.6</v>
      </c>
      <c r="AE1346" s="15">
        <v>80</v>
      </c>
      <c r="AF1346" s="15">
        <f>AE1346*AG1346</f>
        <v>320</v>
      </c>
      <c r="AG1346" s="16">
        <v>4</v>
      </c>
    </row>
    <row r="1347" spans="1:33" ht="15" customHeight="1" x14ac:dyDescent="0.2">
      <c r="A1347" s="11" t="str">
        <f t="shared" ref="A1347:A3185" si="564">HYPERLINK("https://assets.vans.eu/images/VN000MB2EB2-HERO/1","VN000MB2EB21")</f>
        <v>VN000MB2EB21</v>
      </c>
      <c r="B1347" s="12" t="s">
        <v>5335</v>
      </c>
      <c r="C1347" s="12" t="s">
        <v>3112</v>
      </c>
      <c r="D1347" s="12" t="s">
        <v>2693</v>
      </c>
      <c r="E1347" s="12" t="s">
        <v>5336</v>
      </c>
      <c r="F1347" s="13">
        <v>24</v>
      </c>
      <c r="G1347" s="14"/>
      <c r="H1347" s="12" t="s">
        <v>61</v>
      </c>
      <c r="I1347" s="12" t="s">
        <v>289</v>
      </c>
      <c r="J1347" s="12" t="s">
        <v>290</v>
      </c>
      <c r="K1347" s="12" t="s">
        <v>100</v>
      </c>
      <c r="L1347" s="14"/>
      <c r="M1347" s="12" t="s">
        <v>43</v>
      </c>
      <c r="N1347" s="12" t="s">
        <v>44</v>
      </c>
      <c r="O1347" s="12" t="s">
        <v>5337</v>
      </c>
      <c r="P1347" s="12" t="s">
        <v>66</v>
      </c>
      <c r="Q1347" s="12" t="s">
        <v>233</v>
      </c>
      <c r="R1347" s="12" t="s">
        <v>664</v>
      </c>
      <c r="S1347" s="13">
        <v>197643366539</v>
      </c>
      <c r="T1347" s="12" t="s">
        <v>235</v>
      </c>
      <c r="U1347" s="13">
        <v>24</v>
      </c>
      <c r="V1347" s="12" t="s">
        <v>665</v>
      </c>
      <c r="W1347" s="12" t="s">
        <v>51</v>
      </c>
      <c r="X1347" s="13">
        <v>0</v>
      </c>
      <c r="Y1347" s="12" t="s">
        <v>53</v>
      </c>
      <c r="Z1347" s="12" t="s">
        <v>108</v>
      </c>
      <c r="AA1347" s="13">
        <v>0</v>
      </c>
      <c r="AB1347" s="13">
        <v>0</v>
      </c>
      <c r="AC1347" s="15">
        <v>36.4</v>
      </c>
      <c r="AD1347" s="15">
        <f>AC1347*AG1347</f>
        <v>145.6</v>
      </c>
      <c r="AE1347" s="15">
        <v>80</v>
      </c>
      <c r="AF1347" s="15">
        <f>AE1347*AG1347</f>
        <v>320</v>
      </c>
      <c r="AG1347" s="16">
        <v>4</v>
      </c>
    </row>
    <row r="1348" spans="1:33" ht="15" customHeight="1" x14ac:dyDescent="0.2">
      <c r="A1348" s="11" t="str">
        <f t="shared" si="287"/>
        <v>VN000MC0ZUJ1</v>
      </c>
      <c r="B1348" s="12" t="s">
        <v>5338</v>
      </c>
      <c r="C1348" s="12" t="s">
        <v>2898</v>
      </c>
      <c r="D1348" s="12" t="s">
        <v>2899</v>
      </c>
      <c r="E1348" s="12" t="s">
        <v>5339</v>
      </c>
      <c r="F1348" s="12" t="s">
        <v>179</v>
      </c>
      <c r="G1348" s="14"/>
      <c r="H1348" s="12" t="s">
        <v>61</v>
      </c>
      <c r="I1348" s="12" t="s">
        <v>289</v>
      </c>
      <c r="J1348" s="12" t="s">
        <v>706</v>
      </c>
      <c r="K1348" s="12" t="s">
        <v>100</v>
      </c>
      <c r="L1348" s="14"/>
      <c r="M1348" s="12" t="s">
        <v>43</v>
      </c>
      <c r="N1348" s="12" t="s">
        <v>44</v>
      </c>
      <c r="O1348" s="12" t="s">
        <v>5340</v>
      </c>
      <c r="P1348" s="12" t="s">
        <v>66</v>
      </c>
      <c r="Q1348" s="12" t="s">
        <v>67</v>
      </c>
      <c r="R1348" s="12" t="s">
        <v>1146</v>
      </c>
      <c r="S1348" s="13">
        <v>197643369066</v>
      </c>
      <c r="T1348" s="12" t="s">
        <v>49</v>
      </c>
      <c r="U1348" s="12" t="s">
        <v>179</v>
      </c>
      <c r="V1348" s="12" t="s">
        <v>2556</v>
      </c>
      <c r="W1348" s="12" t="s">
        <v>598</v>
      </c>
      <c r="X1348" s="13">
        <v>0</v>
      </c>
      <c r="Y1348" s="12" t="s">
        <v>91</v>
      </c>
      <c r="Z1348" s="12" t="s">
        <v>108</v>
      </c>
      <c r="AA1348" s="13">
        <v>0</v>
      </c>
      <c r="AB1348" s="13">
        <v>0</v>
      </c>
      <c r="AC1348" s="15">
        <v>15.5</v>
      </c>
      <c r="AD1348" s="15">
        <f>AC1348*AG1348</f>
        <v>62</v>
      </c>
      <c r="AE1348" s="15">
        <v>34</v>
      </c>
      <c r="AF1348" s="15">
        <f>AE1348*AG1348</f>
        <v>136</v>
      </c>
      <c r="AG1348" s="16">
        <v>4</v>
      </c>
    </row>
    <row r="1349" spans="1:33" ht="15" customHeight="1" x14ac:dyDescent="0.2">
      <c r="A1349" s="11" t="str">
        <f t="shared" ref="A1349:A3214" si="565">HYPERLINK("https://assets.vans.eu/images/VN000MK6C9L-HERO/1","VN000MK6C9L1")</f>
        <v>VN000MK6C9L1</v>
      </c>
      <c r="B1349" s="12" t="s">
        <v>5341</v>
      </c>
      <c r="C1349" s="12" t="s">
        <v>3405</v>
      </c>
      <c r="D1349" s="12" t="s">
        <v>890</v>
      </c>
      <c r="E1349" s="12" t="s">
        <v>5342</v>
      </c>
      <c r="F1349" s="12" t="s">
        <v>170</v>
      </c>
      <c r="G1349" s="14"/>
      <c r="H1349" s="12" t="s">
        <v>61</v>
      </c>
      <c r="I1349" s="12" t="s">
        <v>62</v>
      </c>
      <c r="J1349" s="12" t="s">
        <v>63</v>
      </c>
      <c r="K1349" s="12" t="s">
        <v>64</v>
      </c>
      <c r="L1349" s="14"/>
      <c r="M1349" s="12" t="s">
        <v>43</v>
      </c>
      <c r="N1349" s="12" t="s">
        <v>44</v>
      </c>
      <c r="O1349" s="12" t="s">
        <v>5343</v>
      </c>
      <c r="P1349" s="12" t="s">
        <v>66</v>
      </c>
      <c r="Q1349" s="12" t="s">
        <v>67</v>
      </c>
      <c r="R1349" s="12" t="s">
        <v>68</v>
      </c>
      <c r="S1349" s="13">
        <v>197803401582</v>
      </c>
      <c r="T1349" s="12" t="s">
        <v>422</v>
      </c>
      <c r="U1349" s="12" t="s">
        <v>170</v>
      </c>
      <c r="V1349" s="12" t="s">
        <v>70</v>
      </c>
      <c r="W1349" s="12" t="s">
        <v>262</v>
      </c>
      <c r="X1349" s="13">
        <v>0</v>
      </c>
      <c r="Y1349" s="12" t="s">
        <v>91</v>
      </c>
      <c r="Z1349" s="12" t="s">
        <v>108</v>
      </c>
      <c r="AA1349" s="13">
        <v>0</v>
      </c>
      <c r="AB1349" s="13">
        <v>0</v>
      </c>
      <c r="AC1349" s="15">
        <v>13.65</v>
      </c>
      <c r="AD1349" s="15">
        <f>AC1349*AG1349</f>
        <v>54.6</v>
      </c>
      <c r="AE1349" s="15">
        <v>30</v>
      </c>
      <c r="AF1349" s="15">
        <f>AE1349*AG1349</f>
        <v>120</v>
      </c>
      <c r="AG1349" s="16">
        <v>4</v>
      </c>
    </row>
    <row r="1350" spans="1:33" ht="15" customHeight="1" x14ac:dyDescent="0.2">
      <c r="A1350" s="11" t="str">
        <f t="shared" si="108"/>
        <v>VN000NTSD6Z1</v>
      </c>
      <c r="B1350" s="12" t="s">
        <v>5344</v>
      </c>
      <c r="C1350" s="12" t="s">
        <v>1418</v>
      </c>
      <c r="D1350" s="12" t="s">
        <v>1277</v>
      </c>
      <c r="E1350" s="12" t="s">
        <v>5345</v>
      </c>
      <c r="F1350" s="12" t="s">
        <v>403</v>
      </c>
      <c r="G1350" s="14"/>
      <c r="H1350" s="12" t="s">
        <v>61</v>
      </c>
      <c r="I1350" s="12" t="s">
        <v>230</v>
      </c>
      <c r="J1350" s="12" t="s">
        <v>419</v>
      </c>
      <c r="K1350" s="12" t="s">
        <v>199</v>
      </c>
      <c r="L1350" s="12" t="s">
        <v>83</v>
      </c>
      <c r="M1350" s="12" t="s">
        <v>43</v>
      </c>
      <c r="N1350" s="12" t="s">
        <v>44</v>
      </c>
      <c r="O1350" s="12" t="s">
        <v>5346</v>
      </c>
      <c r="P1350" s="12" t="s">
        <v>66</v>
      </c>
      <c r="Q1350" s="12" t="s">
        <v>67</v>
      </c>
      <c r="R1350" s="12" t="s">
        <v>421</v>
      </c>
      <c r="S1350" s="13">
        <v>197803402244</v>
      </c>
      <c r="T1350" s="12" t="s">
        <v>69</v>
      </c>
      <c r="U1350" s="12" t="s">
        <v>403</v>
      </c>
      <c r="V1350" s="12" t="s">
        <v>423</v>
      </c>
      <c r="W1350" s="12" t="s">
        <v>299</v>
      </c>
      <c r="X1350" s="13">
        <v>0</v>
      </c>
      <c r="Y1350" s="12" t="s">
        <v>53</v>
      </c>
      <c r="Z1350" s="12" t="s">
        <v>108</v>
      </c>
      <c r="AA1350" s="13">
        <v>0</v>
      </c>
      <c r="AB1350" s="12" t="s">
        <v>616</v>
      </c>
      <c r="AC1350" s="15">
        <v>22.75</v>
      </c>
      <c r="AD1350" s="15">
        <f>AC1350*AG1350</f>
        <v>91</v>
      </c>
      <c r="AE1350" s="15">
        <v>50</v>
      </c>
      <c r="AF1350" s="15">
        <f>AE1350*AG1350</f>
        <v>200</v>
      </c>
      <c r="AG1350" s="16">
        <v>4</v>
      </c>
    </row>
    <row r="1351" spans="1:33" ht="15" customHeight="1" x14ac:dyDescent="0.2">
      <c r="A1351" s="11" t="str">
        <f t="shared" si="351"/>
        <v>VN000NWQWHT1</v>
      </c>
      <c r="B1351" s="12" t="s">
        <v>5347</v>
      </c>
      <c r="C1351" s="12" t="s">
        <v>3412</v>
      </c>
      <c r="D1351" s="12" t="s">
        <v>168</v>
      </c>
      <c r="E1351" s="12" t="s">
        <v>5348</v>
      </c>
      <c r="F1351" s="12" t="s">
        <v>403</v>
      </c>
      <c r="G1351" s="14"/>
      <c r="H1351" s="12" t="s">
        <v>61</v>
      </c>
      <c r="I1351" s="12" t="s">
        <v>62</v>
      </c>
      <c r="J1351" s="12" t="s">
        <v>63</v>
      </c>
      <c r="K1351" s="12" t="s">
        <v>64</v>
      </c>
      <c r="L1351" s="12" t="s">
        <v>83</v>
      </c>
      <c r="M1351" s="12" t="s">
        <v>43</v>
      </c>
      <c r="N1351" s="12" t="s">
        <v>44</v>
      </c>
      <c r="O1351" s="12" t="s">
        <v>5349</v>
      </c>
      <c r="P1351" s="12" t="s">
        <v>66</v>
      </c>
      <c r="Q1351" s="12" t="s">
        <v>67</v>
      </c>
      <c r="R1351" s="12" t="s">
        <v>68</v>
      </c>
      <c r="S1351" s="13">
        <v>197803404057</v>
      </c>
      <c r="T1351" s="12" t="s">
        <v>422</v>
      </c>
      <c r="U1351" s="12" t="s">
        <v>403</v>
      </c>
      <c r="V1351" s="12" t="s">
        <v>70</v>
      </c>
      <c r="W1351" s="12" t="s">
        <v>175</v>
      </c>
      <c r="X1351" s="13">
        <v>0</v>
      </c>
      <c r="Y1351" s="12" t="s">
        <v>91</v>
      </c>
      <c r="Z1351" s="12" t="s">
        <v>108</v>
      </c>
      <c r="AA1351" s="13">
        <v>0</v>
      </c>
      <c r="AB1351" s="12" t="s">
        <v>616</v>
      </c>
      <c r="AC1351" s="15">
        <v>14.55</v>
      </c>
      <c r="AD1351" s="15">
        <f>AC1351*AG1351</f>
        <v>58.2</v>
      </c>
      <c r="AE1351" s="15">
        <v>32</v>
      </c>
      <c r="AF1351" s="15">
        <f>AE1351*AG1351</f>
        <v>128</v>
      </c>
      <c r="AG1351" s="16">
        <v>4</v>
      </c>
    </row>
    <row r="1352" spans="1:33" ht="15" customHeight="1" x14ac:dyDescent="0.2">
      <c r="A1352" s="11" t="str">
        <f t="shared" ref="A1352:A1689" si="566">HYPERLINK("https://assets.vans.eu/images/VN000P1PEML-HERO/1","VN000P1PEML1")</f>
        <v>VN000P1PEML1</v>
      </c>
      <c r="B1352" s="12" t="s">
        <v>5350</v>
      </c>
      <c r="C1352" s="12" t="s">
        <v>2706</v>
      </c>
      <c r="D1352" s="12" t="s">
        <v>3126</v>
      </c>
      <c r="E1352" s="12" t="s">
        <v>5351</v>
      </c>
      <c r="F1352" s="12" t="s">
        <v>403</v>
      </c>
      <c r="G1352" s="14"/>
      <c r="H1352" s="12" t="s">
        <v>61</v>
      </c>
      <c r="I1352" s="12" t="s">
        <v>230</v>
      </c>
      <c r="J1352" s="12" t="s">
        <v>419</v>
      </c>
      <c r="K1352" s="12" t="s">
        <v>199</v>
      </c>
      <c r="L1352" s="12" t="s">
        <v>83</v>
      </c>
      <c r="M1352" s="12" t="s">
        <v>43</v>
      </c>
      <c r="N1352" s="12" t="s">
        <v>84</v>
      </c>
      <c r="O1352" s="12" t="s">
        <v>5352</v>
      </c>
      <c r="P1352" s="12" t="s">
        <v>66</v>
      </c>
      <c r="Q1352" s="12" t="s">
        <v>67</v>
      </c>
      <c r="R1352" s="12" t="s">
        <v>421</v>
      </c>
      <c r="S1352" s="13">
        <v>197804294633</v>
      </c>
      <c r="T1352" s="12" t="s">
        <v>422</v>
      </c>
      <c r="U1352" s="12" t="s">
        <v>403</v>
      </c>
      <c r="V1352" s="12" t="s">
        <v>70</v>
      </c>
      <c r="W1352" s="12" t="s">
        <v>284</v>
      </c>
      <c r="X1352" s="14"/>
      <c r="Y1352" s="14"/>
      <c r="Z1352" s="14"/>
      <c r="AA1352" s="14"/>
      <c r="AB1352" s="14"/>
      <c r="AC1352" s="15">
        <v>13.65</v>
      </c>
      <c r="AD1352" s="15">
        <f>AC1352*AG1352</f>
        <v>54.6</v>
      </c>
      <c r="AE1352" s="15">
        <v>30</v>
      </c>
      <c r="AF1352" s="15">
        <f>AE1352*AG1352</f>
        <v>120</v>
      </c>
      <c r="AG1352" s="16">
        <v>4</v>
      </c>
    </row>
    <row r="1353" spans="1:33" ht="15" customHeight="1" x14ac:dyDescent="0.2">
      <c r="A1353" s="11" t="str">
        <f t="shared" ref="A1353:A1355" si="567">HYPERLINK("https://assets.vans.eu/images/VN000P51EMS-HERO/1","VN000P51EMS1")</f>
        <v>VN000P51EMS1</v>
      </c>
      <c r="B1353" s="12" t="s">
        <v>5353</v>
      </c>
      <c r="C1353" s="12" t="s">
        <v>5354</v>
      </c>
      <c r="D1353" s="12" t="s">
        <v>863</v>
      </c>
      <c r="E1353" s="12" t="s">
        <v>5355</v>
      </c>
      <c r="F1353" s="12" t="s">
        <v>179</v>
      </c>
      <c r="G1353" s="14"/>
      <c r="H1353" s="12" t="s">
        <v>61</v>
      </c>
      <c r="I1353" s="12" t="s">
        <v>230</v>
      </c>
      <c r="J1353" s="12" t="s">
        <v>419</v>
      </c>
      <c r="K1353" s="12" t="s">
        <v>199</v>
      </c>
      <c r="L1353" s="12" t="s">
        <v>83</v>
      </c>
      <c r="M1353" s="12" t="s">
        <v>43</v>
      </c>
      <c r="N1353" s="12" t="s">
        <v>84</v>
      </c>
      <c r="O1353" s="12" t="s">
        <v>5356</v>
      </c>
      <c r="P1353" s="12" t="s">
        <v>66</v>
      </c>
      <c r="Q1353" s="12" t="s">
        <v>67</v>
      </c>
      <c r="R1353" s="12" t="s">
        <v>623</v>
      </c>
      <c r="S1353" s="13">
        <v>197804295289</v>
      </c>
      <c r="T1353" s="12" t="s">
        <v>69</v>
      </c>
      <c r="U1353" s="12" t="s">
        <v>179</v>
      </c>
      <c r="V1353" s="12" t="s">
        <v>70</v>
      </c>
      <c r="W1353" s="12" t="s">
        <v>107</v>
      </c>
      <c r="X1353" s="14"/>
      <c r="Y1353" s="14"/>
      <c r="Z1353" s="14"/>
      <c r="AA1353" s="14"/>
      <c r="AB1353" s="14"/>
      <c r="AC1353" s="15">
        <v>40.950000000000003</v>
      </c>
      <c r="AD1353" s="15">
        <f>AC1353*AG1353</f>
        <v>163.80000000000001</v>
      </c>
      <c r="AE1353" s="15">
        <v>90</v>
      </c>
      <c r="AF1353" s="15">
        <f>AE1353*AG1353</f>
        <v>360</v>
      </c>
      <c r="AG1353" s="16">
        <v>4</v>
      </c>
    </row>
    <row r="1354" spans="1:33" ht="15" customHeight="1" x14ac:dyDescent="0.2">
      <c r="A1354" s="11" t="str">
        <f t="shared" si="567"/>
        <v>VN000P51EMS1</v>
      </c>
      <c r="B1354" s="12" t="s">
        <v>5357</v>
      </c>
      <c r="C1354" s="12" t="s">
        <v>5354</v>
      </c>
      <c r="D1354" s="12" t="s">
        <v>863</v>
      </c>
      <c r="E1354" s="12" t="s">
        <v>5358</v>
      </c>
      <c r="F1354" s="12" t="s">
        <v>170</v>
      </c>
      <c r="G1354" s="14"/>
      <c r="H1354" s="12" t="s">
        <v>61</v>
      </c>
      <c r="I1354" s="12" t="s">
        <v>230</v>
      </c>
      <c r="J1354" s="12" t="s">
        <v>419</v>
      </c>
      <c r="K1354" s="12" t="s">
        <v>199</v>
      </c>
      <c r="L1354" s="12" t="s">
        <v>83</v>
      </c>
      <c r="M1354" s="12" t="s">
        <v>43</v>
      </c>
      <c r="N1354" s="12" t="s">
        <v>84</v>
      </c>
      <c r="O1354" s="12" t="s">
        <v>5359</v>
      </c>
      <c r="P1354" s="12" t="s">
        <v>66</v>
      </c>
      <c r="Q1354" s="12" t="s">
        <v>67</v>
      </c>
      <c r="R1354" s="12" t="s">
        <v>623</v>
      </c>
      <c r="S1354" s="13">
        <v>197804295326</v>
      </c>
      <c r="T1354" s="12" t="s">
        <v>69</v>
      </c>
      <c r="U1354" s="12" t="s">
        <v>170</v>
      </c>
      <c r="V1354" s="12" t="s">
        <v>70</v>
      </c>
      <c r="W1354" s="12" t="s">
        <v>107</v>
      </c>
      <c r="X1354" s="14"/>
      <c r="Y1354" s="14"/>
      <c r="Z1354" s="14"/>
      <c r="AA1354" s="14"/>
      <c r="AB1354" s="14"/>
      <c r="AC1354" s="15">
        <v>40.950000000000003</v>
      </c>
      <c r="AD1354" s="15">
        <f>AC1354*AG1354</f>
        <v>163.80000000000001</v>
      </c>
      <c r="AE1354" s="15">
        <v>90</v>
      </c>
      <c r="AF1354" s="15">
        <f>AE1354*AG1354</f>
        <v>360</v>
      </c>
      <c r="AG1354" s="16">
        <v>4</v>
      </c>
    </row>
    <row r="1355" spans="1:33" ht="15" customHeight="1" x14ac:dyDescent="0.2">
      <c r="A1355" s="11" t="str">
        <f t="shared" si="567"/>
        <v>VN000P51EMS1</v>
      </c>
      <c r="B1355" s="12" t="s">
        <v>5360</v>
      </c>
      <c r="C1355" s="12" t="s">
        <v>5354</v>
      </c>
      <c r="D1355" s="12" t="s">
        <v>863</v>
      </c>
      <c r="E1355" s="12" t="s">
        <v>5361</v>
      </c>
      <c r="F1355" s="12" t="s">
        <v>403</v>
      </c>
      <c r="G1355" s="14"/>
      <c r="H1355" s="12" t="s">
        <v>61</v>
      </c>
      <c r="I1355" s="12" t="s">
        <v>230</v>
      </c>
      <c r="J1355" s="12" t="s">
        <v>419</v>
      </c>
      <c r="K1355" s="12" t="s">
        <v>199</v>
      </c>
      <c r="L1355" s="12" t="s">
        <v>83</v>
      </c>
      <c r="M1355" s="12" t="s">
        <v>43</v>
      </c>
      <c r="N1355" s="12" t="s">
        <v>84</v>
      </c>
      <c r="O1355" s="12" t="s">
        <v>5362</v>
      </c>
      <c r="P1355" s="12" t="s">
        <v>66</v>
      </c>
      <c r="Q1355" s="12" t="s">
        <v>67</v>
      </c>
      <c r="R1355" s="12" t="s">
        <v>623</v>
      </c>
      <c r="S1355" s="13">
        <v>197804295500</v>
      </c>
      <c r="T1355" s="12" t="s">
        <v>69</v>
      </c>
      <c r="U1355" s="12" t="s">
        <v>403</v>
      </c>
      <c r="V1355" s="12" t="s">
        <v>70</v>
      </c>
      <c r="W1355" s="12" t="s">
        <v>107</v>
      </c>
      <c r="X1355" s="14"/>
      <c r="Y1355" s="14"/>
      <c r="Z1355" s="14"/>
      <c r="AA1355" s="14"/>
      <c r="AB1355" s="14"/>
      <c r="AC1355" s="15">
        <v>40.950000000000003</v>
      </c>
      <c r="AD1355" s="15">
        <f>AC1355*AG1355</f>
        <v>163.80000000000001</v>
      </c>
      <c r="AE1355" s="15">
        <v>90</v>
      </c>
      <c r="AF1355" s="15">
        <f>AE1355*AG1355</f>
        <v>360</v>
      </c>
      <c r="AG1355" s="16">
        <v>4</v>
      </c>
    </row>
    <row r="1356" spans="1:33" ht="15" customHeight="1" x14ac:dyDescent="0.2">
      <c r="A1356" s="11" t="str">
        <f t="shared" si="173"/>
        <v>VN000P58EMW1</v>
      </c>
      <c r="B1356" s="12" t="s">
        <v>5363</v>
      </c>
      <c r="C1356" s="12" t="s">
        <v>1888</v>
      </c>
      <c r="D1356" s="12" t="s">
        <v>147</v>
      </c>
      <c r="E1356" s="12" t="s">
        <v>5364</v>
      </c>
      <c r="F1356" s="12" t="s">
        <v>621</v>
      </c>
      <c r="G1356" s="14"/>
      <c r="H1356" s="12" t="s">
        <v>61</v>
      </c>
      <c r="I1356" s="12" t="s">
        <v>230</v>
      </c>
      <c r="J1356" s="12" t="s">
        <v>419</v>
      </c>
      <c r="K1356" s="12" t="s">
        <v>199</v>
      </c>
      <c r="L1356" s="12" t="s">
        <v>83</v>
      </c>
      <c r="M1356" s="12" t="s">
        <v>43</v>
      </c>
      <c r="N1356" s="12" t="s">
        <v>84</v>
      </c>
      <c r="O1356" s="12" t="s">
        <v>5365</v>
      </c>
      <c r="P1356" s="12" t="s">
        <v>66</v>
      </c>
      <c r="Q1356" s="12" t="s">
        <v>67</v>
      </c>
      <c r="R1356" s="12" t="s">
        <v>623</v>
      </c>
      <c r="S1356" s="13">
        <v>197804296514</v>
      </c>
      <c r="T1356" s="12" t="s">
        <v>499</v>
      </c>
      <c r="U1356" s="12" t="s">
        <v>621</v>
      </c>
      <c r="V1356" s="12" t="s">
        <v>70</v>
      </c>
      <c r="W1356" s="12" t="s">
        <v>118</v>
      </c>
      <c r="X1356" s="14"/>
      <c r="Y1356" s="14"/>
      <c r="Z1356" s="14"/>
      <c r="AA1356" s="14"/>
      <c r="AB1356" s="14"/>
      <c r="AC1356" s="15">
        <v>36.4</v>
      </c>
      <c r="AD1356" s="15">
        <f>AC1356*AG1356</f>
        <v>145.6</v>
      </c>
      <c r="AE1356" s="15">
        <v>80</v>
      </c>
      <c r="AF1356" s="15">
        <f>AE1356*AG1356</f>
        <v>320</v>
      </c>
      <c r="AG1356" s="16">
        <v>4</v>
      </c>
    </row>
    <row r="1357" spans="1:33" ht="15" customHeight="1" x14ac:dyDescent="0.2">
      <c r="A1357" s="11" t="str">
        <f>HYPERLINK("https://assets.vans.eu/images/VN000P59E2Z-HERO/1","VN000P59E2Z1")</f>
        <v>VN000P59E2Z1</v>
      </c>
      <c r="B1357" s="12" t="s">
        <v>5366</v>
      </c>
      <c r="C1357" s="12" t="s">
        <v>3419</v>
      </c>
      <c r="D1357" s="12" t="s">
        <v>3420</v>
      </c>
      <c r="E1357" s="12" t="s">
        <v>5367</v>
      </c>
      <c r="F1357" s="12" t="s">
        <v>170</v>
      </c>
      <c r="G1357" s="14"/>
      <c r="H1357" s="12" t="s">
        <v>61</v>
      </c>
      <c r="I1357" s="12" t="s">
        <v>230</v>
      </c>
      <c r="J1357" s="12" t="s">
        <v>419</v>
      </c>
      <c r="K1357" s="12" t="s">
        <v>199</v>
      </c>
      <c r="L1357" s="12" t="s">
        <v>83</v>
      </c>
      <c r="M1357" s="12" t="s">
        <v>43</v>
      </c>
      <c r="N1357" s="12" t="s">
        <v>44</v>
      </c>
      <c r="O1357" s="12" t="s">
        <v>5368</v>
      </c>
      <c r="P1357" s="12" t="s">
        <v>66</v>
      </c>
      <c r="Q1357" s="12" t="s">
        <v>67</v>
      </c>
      <c r="R1357" s="12" t="s">
        <v>623</v>
      </c>
      <c r="S1357" s="13">
        <v>197803420163</v>
      </c>
      <c r="T1357" s="12" t="s">
        <v>499</v>
      </c>
      <c r="U1357" s="12" t="s">
        <v>170</v>
      </c>
      <c r="V1357" s="12" t="s">
        <v>423</v>
      </c>
      <c r="W1357" s="12" t="s">
        <v>262</v>
      </c>
      <c r="X1357" s="13">
        <v>0</v>
      </c>
      <c r="Y1357" s="12" t="s">
        <v>91</v>
      </c>
      <c r="Z1357" s="12" t="s">
        <v>108</v>
      </c>
      <c r="AA1357" s="13">
        <v>0</v>
      </c>
      <c r="AB1357" s="12" t="s">
        <v>616</v>
      </c>
      <c r="AC1357" s="15">
        <v>31.85</v>
      </c>
      <c r="AD1357" s="15">
        <f>AC1357*AG1357</f>
        <v>127.4</v>
      </c>
      <c r="AE1357" s="15">
        <v>70</v>
      </c>
      <c r="AF1357" s="15">
        <f>AE1357*AG1357</f>
        <v>280</v>
      </c>
      <c r="AG1357" s="16">
        <v>4</v>
      </c>
    </row>
    <row r="1358" spans="1:33" ht="15" customHeight="1" x14ac:dyDescent="0.2">
      <c r="A1358" s="11" t="str">
        <f>HYPERLINK("https://assets.vans.eu/images/VN000P59E2Z-HERO/1","VN000P59E2Z1")</f>
        <v>VN000P59E2Z1</v>
      </c>
      <c r="B1358" s="12" t="s">
        <v>5369</v>
      </c>
      <c r="C1358" s="12" t="s">
        <v>3419</v>
      </c>
      <c r="D1358" s="12" t="s">
        <v>3420</v>
      </c>
      <c r="E1358" s="12" t="s">
        <v>5370</v>
      </c>
      <c r="F1358" s="12" t="s">
        <v>403</v>
      </c>
      <c r="G1358" s="14"/>
      <c r="H1358" s="12" t="s">
        <v>61</v>
      </c>
      <c r="I1358" s="12" t="s">
        <v>230</v>
      </c>
      <c r="J1358" s="12" t="s">
        <v>419</v>
      </c>
      <c r="K1358" s="12" t="s">
        <v>199</v>
      </c>
      <c r="L1358" s="12" t="s">
        <v>83</v>
      </c>
      <c r="M1358" s="12" t="s">
        <v>43</v>
      </c>
      <c r="N1358" s="12" t="s">
        <v>44</v>
      </c>
      <c r="O1358" s="12" t="s">
        <v>5371</v>
      </c>
      <c r="P1358" s="12" t="s">
        <v>66</v>
      </c>
      <c r="Q1358" s="12" t="s">
        <v>67</v>
      </c>
      <c r="R1358" s="12" t="s">
        <v>623</v>
      </c>
      <c r="S1358" s="13">
        <v>197803420347</v>
      </c>
      <c r="T1358" s="12" t="s">
        <v>499</v>
      </c>
      <c r="U1358" s="12" t="s">
        <v>403</v>
      </c>
      <c r="V1358" s="12" t="s">
        <v>423</v>
      </c>
      <c r="W1358" s="12" t="s">
        <v>262</v>
      </c>
      <c r="X1358" s="13">
        <v>0</v>
      </c>
      <c r="Y1358" s="12" t="s">
        <v>91</v>
      </c>
      <c r="Z1358" s="12" t="s">
        <v>108</v>
      </c>
      <c r="AA1358" s="13">
        <v>0</v>
      </c>
      <c r="AB1358" s="12" t="s">
        <v>616</v>
      </c>
      <c r="AC1358" s="15">
        <v>31.85</v>
      </c>
      <c r="AD1358" s="15">
        <f>AC1358*AG1358</f>
        <v>127.4</v>
      </c>
      <c r="AE1358" s="15">
        <v>70</v>
      </c>
      <c r="AF1358" s="15">
        <f>AE1358*AG1358</f>
        <v>280</v>
      </c>
      <c r="AG1358" s="16">
        <v>4</v>
      </c>
    </row>
    <row r="1359" spans="1:33" ht="15" customHeight="1" x14ac:dyDescent="0.2">
      <c r="A1359" s="11" t="str">
        <f t="shared" si="353"/>
        <v>VN000P5GBLK1</v>
      </c>
      <c r="B1359" s="12" t="s">
        <v>5372</v>
      </c>
      <c r="C1359" s="12" t="s">
        <v>3424</v>
      </c>
      <c r="D1359" s="12" t="s">
        <v>76</v>
      </c>
      <c r="E1359" s="12" t="s">
        <v>5373</v>
      </c>
      <c r="F1359" s="12" t="s">
        <v>403</v>
      </c>
      <c r="G1359" s="14"/>
      <c r="H1359" s="12" t="s">
        <v>61</v>
      </c>
      <c r="I1359" s="12" t="s">
        <v>230</v>
      </c>
      <c r="J1359" s="12" t="s">
        <v>231</v>
      </c>
      <c r="K1359" s="12" t="s">
        <v>199</v>
      </c>
      <c r="L1359" s="14"/>
      <c r="M1359" s="12" t="s">
        <v>43</v>
      </c>
      <c r="N1359" s="12" t="s">
        <v>44</v>
      </c>
      <c r="O1359" s="12" t="s">
        <v>5374</v>
      </c>
      <c r="P1359" s="12" t="s">
        <v>66</v>
      </c>
      <c r="Q1359" s="12" t="s">
        <v>233</v>
      </c>
      <c r="R1359" s="12" t="s">
        <v>234</v>
      </c>
      <c r="S1359" s="13">
        <v>197643541936</v>
      </c>
      <c r="T1359" s="12" t="s">
        <v>49</v>
      </c>
      <c r="U1359" s="12" t="s">
        <v>403</v>
      </c>
      <c r="V1359" s="12" t="s">
        <v>3427</v>
      </c>
      <c r="W1359" s="12" t="s">
        <v>51</v>
      </c>
      <c r="X1359" s="13">
        <v>0</v>
      </c>
      <c r="Y1359" s="12" t="s">
        <v>53</v>
      </c>
      <c r="Z1359" s="12" t="s">
        <v>108</v>
      </c>
      <c r="AA1359" s="13">
        <v>0</v>
      </c>
      <c r="AB1359" s="13">
        <v>0</v>
      </c>
      <c r="AC1359" s="15">
        <v>29.55</v>
      </c>
      <c r="AD1359" s="15">
        <f>AC1359*AG1359</f>
        <v>118.2</v>
      </c>
      <c r="AE1359" s="15">
        <v>65</v>
      </c>
      <c r="AF1359" s="15">
        <f>AE1359*AG1359</f>
        <v>260</v>
      </c>
      <c r="AG1359" s="16">
        <v>4</v>
      </c>
    </row>
    <row r="1360" spans="1:33" ht="15" customHeight="1" x14ac:dyDescent="0.2">
      <c r="A1360" s="11" t="str">
        <f t="shared" ref="A1360:A1700" si="568">HYPERLINK("https://assets.vans.eu/images/VN000P5S14A-HERO/1","VN000P5S14A1")</f>
        <v>VN000P5S14A1</v>
      </c>
      <c r="B1360" s="12" t="s">
        <v>5375</v>
      </c>
      <c r="C1360" s="12" t="s">
        <v>5376</v>
      </c>
      <c r="D1360" s="12" t="s">
        <v>1932</v>
      </c>
      <c r="E1360" s="12" t="s">
        <v>5377</v>
      </c>
      <c r="F1360" s="12" t="s">
        <v>170</v>
      </c>
      <c r="G1360" s="14"/>
      <c r="H1360" s="12" t="s">
        <v>61</v>
      </c>
      <c r="I1360" s="12" t="s">
        <v>62</v>
      </c>
      <c r="J1360" s="12" t="s">
        <v>63</v>
      </c>
      <c r="K1360" s="12" t="s">
        <v>64</v>
      </c>
      <c r="L1360" s="12" t="s">
        <v>83</v>
      </c>
      <c r="M1360" s="12" t="s">
        <v>43</v>
      </c>
      <c r="N1360" s="12" t="s">
        <v>84</v>
      </c>
      <c r="O1360" s="12" t="s">
        <v>5378</v>
      </c>
      <c r="P1360" s="12" t="s">
        <v>66</v>
      </c>
      <c r="Q1360" s="12" t="s">
        <v>67</v>
      </c>
      <c r="R1360" s="12" t="s">
        <v>68</v>
      </c>
      <c r="S1360" s="13">
        <v>197804296583</v>
      </c>
      <c r="T1360" s="12" t="s">
        <v>422</v>
      </c>
      <c r="U1360" s="12" t="s">
        <v>170</v>
      </c>
      <c r="V1360" s="12" t="s">
        <v>70</v>
      </c>
      <c r="W1360" s="12" t="s">
        <v>262</v>
      </c>
      <c r="X1360" s="14"/>
      <c r="Y1360" s="14"/>
      <c r="Z1360" s="14"/>
      <c r="AA1360" s="14"/>
      <c r="AB1360" s="14"/>
      <c r="AC1360" s="15">
        <v>11.4</v>
      </c>
      <c r="AD1360" s="15">
        <f>AC1360*AG1360</f>
        <v>45.6</v>
      </c>
      <c r="AE1360" s="15">
        <v>25</v>
      </c>
      <c r="AF1360" s="15">
        <f>AE1360*AG1360</f>
        <v>100</v>
      </c>
      <c r="AG1360" s="16">
        <v>4</v>
      </c>
    </row>
    <row r="1361" spans="1:33" ht="15" customHeight="1" x14ac:dyDescent="0.2">
      <c r="A1361" s="11" t="str">
        <f t="shared" ref="A1361:A1702" si="569">HYPERLINK("https://assets.vans.eu/images/VN000P5SEMW-HERO/1","VN000P5SEMW1")</f>
        <v>VN000P5SEMW1</v>
      </c>
      <c r="B1361" s="12" t="s">
        <v>5379</v>
      </c>
      <c r="C1361" s="12" t="s">
        <v>5376</v>
      </c>
      <c r="D1361" s="12" t="s">
        <v>147</v>
      </c>
      <c r="E1361" s="12" t="s">
        <v>5380</v>
      </c>
      <c r="F1361" s="12" t="s">
        <v>179</v>
      </c>
      <c r="G1361" s="14"/>
      <c r="H1361" s="12" t="s">
        <v>61</v>
      </c>
      <c r="I1361" s="12" t="s">
        <v>62</v>
      </c>
      <c r="J1361" s="12" t="s">
        <v>63</v>
      </c>
      <c r="K1361" s="12" t="s">
        <v>64</v>
      </c>
      <c r="L1361" s="12" t="s">
        <v>83</v>
      </c>
      <c r="M1361" s="12" t="s">
        <v>43</v>
      </c>
      <c r="N1361" s="12" t="s">
        <v>84</v>
      </c>
      <c r="O1361" s="12" t="s">
        <v>5381</v>
      </c>
      <c r="P1361" s="12" t="s">
        <v>66</v>
      </c>
      <c r="Q1361" s="12" t="s">
        <v>67</v>
      </c>
      <c r="R1361" s="12" t="s">
        <v>68</v>
      </c>
      <c r="S1361" s="13">
        <v>197804296477</v>
      </c>
      <c r="T1361" s="12" t="s">
        <v>422</v>
      </c>
      <c r="U1361" s="12" t="s">
        <v>179</v>
      </c>
      <c r="V1361" s="12" t="s">
        <v>70</v>
      </c>
      <c r="W1361" s="12" t="s">
        <v>118</v>
      </c>
      <c r="X1361" s="14"/>
      <c r="Y1361" s="14"/>
      <c r="Z1361" s="14"/>
      <c r="AA1361" s="14"/>
      <c r="AB1361" s="14"/>
      <c r="AC1361" s="15">
        <v>11.4</v>
      </c>
      <c r="AD1361" s="15">
        <f>AC1361*AG1361</f>
        <v>45.6</v>
      </c>
      <c r="AE1361" s="15">
        <v>25</v>
      </c>
      <c r="AF1361" s="15">
        <f>AE1361*AG1361</f>
        <v>100</v>
      </c>
      <c r="AG1361" s="16">
        <v>4</v>
      </c>
    </row>
    <row r="1362" spans="1:33" ht="15" customHeight="1" x14ac:dyDescent="0.2">
      <c r="A1362" s="11" t="str">
        <f t="shared" ref="A1362:A2199" si="570">HYPERLINK("https://assets.vans.eu/images/VN000P5T5TU-HERO/1","VN000P5T5TU1")</f>
        <v>VN000P5T5TU1</v>
      </c>
      <c r="B1362" s="12" t="s">
        <v>5382</v>
      </c>
      <c r="C1362" s="12" t="s">
        <v>5383</v>
      </c>
      <c r="D1362" s="12" t="s">
        <v>1356</v>
      </c>
      <c r="E1362" s="12" t="s">
        <v>5384</v>
      </c>
      <c r="F1362" s="12" t="s">
        <v>179</v>
      </c>
      <c r="G1362" s="14"/>
      <c r="H1362" s="12" t="s">
        <v>61</v>
      </c>
      <c r="I1362" s="12" t="s">
        <v>62</v>
      </c>
      <c r="J1362" s="12" t="s">
        <v>63</v>
      </c>
      <c r="K1362" s="12" t="s">
        <v>64</v>
      </c>
      <c r="L1362" s="12" t="s">
        <v>83</v>
      </c>
      <c r="M1362" s="12" t="s">
        <v>43</v>
      </c>
      <c r="N1362" s="12" t="s">
        <v>84</v>
      </c>
      <c r="O1362" s="12" t="s">
        <v>5385</v>
      </c>
      <c r="P1362" s="12" t="s">
        <v>66</v>
      </c>
      <c r="Q1362" s="12" t="s">
        <v>67</v>
      </c>
      <c r="R1362" s="12" t="s">
        <v>730</v>
      </c>
      <c r="S1362" s="13">
        <v>197804296644</v>
      </c>
      <c r="T1362" s="12" t="s">
        <v>499</v>
      </c>
      <c r="U1362" s="12" t="s">
        <v>179</v>
      </c>
      <c r="V1362" s="12" t="s">
        <v>1378</v>
      </c>
      <c r="W1362" s="12" t="s">
        <v>284</v>
      </c>
      <c r="X1362" s="14"/>
      <c r="Y1362" s="14"/>
      <c r="Z1362" s="14"/>
      <c r="AA1362" s="14"/>
      <c r="AB1362" s="14"/>
      <c r="AC1362" s="15">
        <v>27.3</v>
      </c>
      <c r="AD1362" s="15">
        <f>AC1362*AG1362</f>
        <v>109.2</v>
      </c>
      <c r="AE1362" s="15">
        <v>60</v>
      </c>
      <c r="AF1362" s="15">
        <f>AE1362*AG1362</f>
        <v>240</v>
      </c>
      <c r="AG1362" s="16">
        <v>4</v>
      </c>
    </row>
    <row r="1363" spans="1:33" ht="15" customHeight="1" x14ac:dyDescent="0.2">
      <c r="A1363" s="11" t="str">
        <f t="shared" si="321"/>
        <v>VN000P5WCFL1</v>
      </c>
      <c r="B1363" s="12" t="s">
        <v>5386</v>
      </c>
      <c r="C1363" s="12" t="s">
        <v>3130</v>
      </c>
      <c r="D1363" s="12" t="s">
        <v>1258</v>
      </c>
      <c r="E1363" s="12" t="s">
        <v>5387</v>
      </c>
      <c r="F1363" s="12" t="s">
        <v>179</v>
      </c>
      <c r="G1363" s="14"/>
      <c r="H1363" s="12" t="s">
        <v>61</v>
      </c>
      <c r="I1363" s="12" t="s">
        <v>289</v>
      </c>
      <c r="J1363" s="12" t="s">
        <v>706</v>
      </c>
      <c r="K1363" s="12" t="s">
        <v>100</v>
      </c>
      <c r="L1363" s="12" t="s">
        <v>83</v>
      </c>
      <c r="M1363" s="12" t="s">
        <v>43</v>
      </c>
      <c r="N1363" s="12" t="s">
        <v>44</v>
      </c>
      <c r="O1363" s="12" t="s">
        <v>5388</v>
      </c>
      <c r="P1363" s="12" t="s">
        <v>66</v>
      </c>
      <c r="Q1363" s="12" t="s">
        <v>67</v>
      </c>
      <c r="R1363" s="12" t="s">
        <v>1146</v>
      </c>
      <c r="S1363" s="13">
        <v>197803406693</v>
      </c>
      <c r="T1363" s="12" t="s">
        <v>499</v>
      </c>
      <c r="U1363" s="12" t="s">
        <v>179</v>
      </c>
      <c r="V1363" s="12" t="s">
        <v>3133</v>
      </c>
      <c r="W1363" s="12" t="s">
        <v>284</v>
      </c>
      <c r="X1363" s="13">
        <v>0</v>
      </c>
      <c r="Y1363" s="12" t="s">
        <v>53</v>
      </c>
      <c r="Z1363" s="12" t="s">
        <v>108</v>
      </c>
      <c r="AA1363" s="13">
        <v>0</v>
      </c>
      <c r="AB1363" s="12" t="s">
        <v>616</v>
      </c>
      <c r="AC1363" s="15">
        <v>13.65</v>
      </c>
      <c r="AD1363" s="15">
        <f>AC1363*AG1363</f>
        <v>54.6</v>
      </c>
      <c r="AE1363" s="15">
        <v>30</v>
      </c>
      <c r="AF1363" s="15">
        <f>AE1363*AG1363</f>
        <v>120</v>
      </c>
      <c r="AG1363" s="16">
        <v>4</v>
      </c>
    </row>
    <row r="1364" spans="1:33" ht="15" customHeight="1" x14ac:dyDescent="0.2">
      <c r="A1364" s="11" t="str">
        <f t="shared" ref="A1364:A3310" si="571">HYPERLINK("https://assets.vans.eu/images/VN000P5WCFL-HERO/1","VN000P5WCFL1")</f>
        <v>VN000P5WCFL1</v>
      </c>
      <c r="B1364" s="12" t="s">
        <v>5389</v>
      </c>
      <c r="C1364" s="12" t="s">
        <v>3130</v>
      </c>
      <c r="D1364" s="12" t="s">
        <v>1258</v>
      </c>
      <c r="E1364" s="12" t="s">
        <v>5390</v>
      </c>
      <c r="F1364" s="12" t="s">
        <v>60</v>
      </c>
      <c r="G1364" s="14"/>
      <c r="H1364" s="12" t="s">
        <v>61</v>
      </c>
      <c r="I1364" s="12" t="s">
        <v>289</v>
      </c>
      <c r="J1364" s="12" t="s">
        <v>706</v>
      </c>
      <c r="K1364" s="12" t="s">
        <v>100</v>
      </c>
      <c r="L1364" s="12" t="s">
        <v>83</v>
      </c>
      <c r="M1364" s="12" t="s">
        <v>43</v>
      </c>
      <c r="N1364" s="12" t="s">
        <v>44</v>
      </c>
      <c r="O1364" s="12" t="s">
        <v>5391</v>
      </c>
      <c r="P1364" s="12" t="s">
        <v>66</v>
      </c>
      <c r="Q1364" s="12" t="s">
        <v>67</v>
      </c>
      <c r="R1364" s="12" t="s">
        <v>1146</v>
      </c>
      <c r="S1364" s="13">
        <v>197803407201</v>
      </c>
      <c r="T1364" s="12" t="s">
        <v>499</v>
      </c>
      <c r="U1364" s="12" t="s">
        <v>60</v>
      </c>
      <c r="V1364" s="12" t="s">
        <v>3133</v>
      </c>
      <c r="W1364" s="12" t="s">
        <v>284</v>
      </c>
      <c r="X1364" s="13">
        <v>0</v>
      </c>
      <c r="Y1364" s="12" t="s">
        <v>53</v>
      </c>
      <c r="Z1364" s="12" t="s">
        <v>108</v>
      </c>
      <c r="AA1364" s="13">
        <v>0</v>
      </c>
      <c r="AB1364" s="12" t="s">
        <v>616</v>
      </c>
      <c r="AC1364" s="15">
        <v>13.65</v>
      </c>
      <c r="AD1364" s="15">
        <f>AC1364*AG1364</f>
        <v>54.6</v>
      </c>
      <c r="AE1364" s="15">
        <v>30</v>
      </c>
      <c r="AF1364" s="15">
        <f>AE1364*AG1364</f>
        <v>120</v>
      </c>
      <c r="AG1364" s="16">
        <v>4</v>
      </c>
    </row>
    <row r="1365" spans="1:33" ht="15" customHeight="1" x14ac:dyDescent="0.2">
      <c r="A1365" s="11" t="str">
        <f t="shared" si="222"/>
        <v>VN000P77AFM1</v>
      </c>
      <c r="B1365" s="12" t="s">
        <v>5392</v>
      </c>
      <c r="C1365" s="12" t="s">
        <v>2372</v>
      </c>
      <c r="D1365" s="12" t="s">
        <v>2373</v>
      </c>
      <c r="E1365" s="12" t="s">
        <v>5393</v>
      </c>
      <c r="F1365" s="12" t="s">
        <v>621</v>
      </c>
      <c r="G1365" s="14"/>
      <c r="H1365" s="12" t="s">
        <v>61</v>
      </c>
      <c r="I1365" s="12" t="s">
        <v>230</v>
      </c>
      <c r="J1365" s="12" t="s">
        <v>762</v>
      </c>
      <c r="K1365" s="12" t="s">
        <v>199</v>
      </c>
      <c r="L1365" s="14"/>
      <c r="M1365" s="12" t="s">
        <v>43</v>
      </c>
      <c r="N1365" s="12" t="s">
        <v>84</v>
      </c>
      <c r="O1365" s="12" t="s">
        <v>5394</v>
      </c>
      <c r="P1365" s="12" t="s">
        <v>66</v>
      </c>
      <c r="Q1365" s="12" t="s">
        <v>764</v>
      </c>
      <c r="R1365" s="12" t="s">
        <v>765</v>
      </c>
      <c r="S1365" s="13">
        <v>197804351404</v>
      </c>
      <c r="T1365" s="12" t="s">
        <v>235</v>
      </c>
      <c r="U1365" s="12" t="s">
        <v>621</v>
      </c>
      <c r="V1365" s="12" t="s">
        <v>665</v>
      </c>
      <c r="W1365" s="12" t="s">
        <v>51</v>
      </c>
      <c r="X1365" s="14"/>
      <c r="Y1365" s="14"/>
      <c r="Z1365" s="14"/>
      <c r="AA1365" s="14"/>
      <c r="AB1365" s="14"/>
      <c r="AC1365" s="15">
        <v>40.950000000000003</v>
      </c>
      <c r="AD1365" s="15">
        <f>AC1365*AG1365</f>
        <v>163.80000000000001</v>
      </c>
      <c r="AE1365" s="15">
        <v>90</v>
      </c>
      <c r="AF1365" s="15">
        <f>AE1365*AG1365</f>
        <v>360</v>
      </c>
      <c r="AG1365" s="16">
        <v>4</v>
      </c>
    </row>
    <row r="1366" spans="1:33" ht="15" customHeight="1" x14ac:dyDescent="0.2">
      <c r="A1366" s="11" t="str">
        <f>HYPERLINK("https://assets.vans.eu/images/VN000P7AEN6-HERO/1","VN000P7AEN61")</f>
        <v>VN000P7AEN61</v>
      </c>
      <c r="B1366" s="12" t="s">
        <v>5395</v>
      </c>
      <c r="C1366" s="12" t="s">
        <v>1896</v>
      </c>
      <c r="D1366" s="12" t="s">
        <v>189</v>
      </c>
      <c r="E1366" s="12" t="s">
        <v>5396</v>
      </c>
      <c r="F1366" s="12" t="s">
        <v>60</v>
      </c>
      <c r="G1366" s="14"/>
      <c r="H1366" s="12" t="s">
        <v>61</v>
      </c>
      <c r="I1366" s="12" t="s">
        <v>230</v>
      </c>
      <c r="J1366" s="12" t="s">
        <v>762</v>
      </c>
      <c r="K1366" s="12" t="s">
        <v>199</v>
      </c>
      <c r="L1366" s="12" t="s">
        <v>115</v>
      </c>
      <c r="M1366" s="12" t="s">
        <v>43</v>
      </c>
      <c r="N1366" s="12" t="s">
        <v>84</v>
      </c>
      <c r="O1366" s="12" t="s">
        <v>5397</v>
      </c>
      <c r="P1366" s="12" t="s">
        <v>66</v>
      </c>
      <c r="Q1366" s="12" t="s">
        <v>764</v>
      </c>
      <c r="R1366" s="12" t="s">
        <v>765</v>
      </c>
      <c r="S1366" s="13">
        <v>198266996561</v>
      </c>
      <c r="T1366" s="12" t="s">
        <v>235</v>
      </c>
      <c r="U1366" s="12" t="s">
        <v>60</v>
      </c>
      <c r="V1366" s="12" t="s">
        <v>70</v>
      </c>
      <c r="W1366" s="12" t="s">
        <v>118</v>
      </c>
      <c r="X1366" s="14"/>
      <c r="Y1366" s="14"/>
      <c r="Z1366" s="14"/>
      <c r="AA1366" s="14"/>
      <c r="AB1366" s="14"/>
      <c r="AC1366" s="15">
        <v>59.1</v>
      </c>
      <c r="AD1366" s="15">
        <f>AC1366*AG1366</f>
        <v>236.4</v>
      </c>
      <c r="AE1366" s="15">
        <v>130</v>
      </c>
      <c r="AF1366" s="15">
        <f>AE1366*AG1366</f>
        <v>520</v>
      </c>
      <c r="AG1366" s="16">
        <v>4</v>
      </c>
    </row>
    <row r="1367" spans="1:33" ht="15" customHeight="1" x14ac:dyDescent="0.2">
      <c r="A1367" s="11" t="str">
        <f t="shared" ref="A1367:A3314" si="572">HYPERLINK("https://assets.vans.eu/images/VN000P7DCDX-HERO/1","VN000P7DCDX1")</f>
        <v>VN000P7DCDX1</v>
      </c>
      <c r="B1367" s="12" t="s">
        <v>5398</v>
      </c>
      <c r="C1367" s="12" t="s">
        <v>5399</v>
      </c>
      <c r="D1367" s="12" t="s">
        <v>760</v>
      </c>
      <c r="E1367" s="12" t="s">
        <v>5400</v>
      </c>
      <c r="F1367" s="12" t="s">
        <v>153</v>
      </c>
      <c r="G1367" s="14"/>
      <c r="H1367" s="12" t="s">
        <v>61</v>
      </c>
      <c r="I1367" s="12" t="s">
        <v>230</v>
      </c>
      <c r="J1367" s="12" t="s">
        <v>762</v>
      </c>
      <c r="K1367" s="12" t="s">
        <v>199</v>
      </c>
      <c r="L1367" s="14"/>
      <c r="M1367" s="12" t="s">
        <v>43</v>
      </c>
      <c r="N1367" s="12" t="s">
        <v>84</v>
      </c>
      <c r="O1367" s="12" t="s">
        <v>5401</v>
      </c>
      <c r="P1367" s="12" t="s">
        <v>66</v>
      </c>
      <c r="Q1367" s="12" t="s">
        <v>764</v>
      </c>
      <c r="R1367" s="12" t="s">
        <v>765</v>
      </c>
      <c r="S1367" s="13">
        <v>197804372201</v>
      </c>
      <c r="T1367" s="12" t="s">
        <v>235</v>
      </c>
      <c r="U1367" s="12" t="s">
        <v>153</v>
      </c>
      <c r="V1367" s="12" t="s">
        <v>665</v>
      </c>
      <c r="W1367" s="12" t="s">
        <v>284</v>
      </c>
      <c r="X1367" s="14"/>
      <c r="Y1367" s="14"/>
      <c r="Z1367" s="14"/>
      <c r="AA1367" s="14"/>
      <c r="AB1367" s="14"/>
      <c r="AC1367" s="15">
        <v>50</v>
      </c>
      <c r="AD1367" s="15">
        <f>AC1367*AG1367</f>
        <v>200</v>
      </c>
      <c r="AE1367" s="15">
        <v>110</v>
      </c>
      <c r="AF1367" s="15">
        <f>AE1367*AG1367</f>
        <v>440</v>
      </c>
      <c r="AG1367" s="16">
        <v>4</v>
      </c>
    </row>
    <row r="1368" spans="1:33" ht="15" customHeight="1" x14ac:dyDescent="0.2">
      <c r="A1368" s="11" t="str">
        <f>HYPERLINK("https://assets.vans.eu/images/VN000P7ECDX-HERO/1","VN000P7ECDX1")</f>
        <v>VN000P7ECDX1</v>
      </c>
      <c r="B1368" s="12" t="s">
        <v>5402</v>
      </c>
      <c r="C1368" s="12" t="s">
        <v>759</v>
      </c>
      <c r="D1368" s="12" t="s">
        <v>760</v>
      </c>
      <c r="E1368" s="12" t="s">
        <v>5403</v>
      </c>
      <c r="F1368" s="12" t="s">
        <v>153</v>
      </c>
      <c r="G1368" s="14"/>
      <c r="H1368" s="12" t="s">
        <v>61</v>
      </c>
      <c r="I1368" s="12" t="s">
        <v>230</v>
      </c>
      <c r="J1368" s="12" t="s">
        <v>762</v>
      </c>
      <c r="K1368" s="12" t="s">
        <v>199</v>
      </c>
      <c r="L1368" s="14"/>
      <c r="M1368" s="12" t="s">
        <v>43</v>
      </c>
      <c r="N1368" s="12" t="s">
        <v>84</v>
      </c>
      <c r="O1368" s="12" t="s">
        <v>5404</v>
      </c>
      <c r="P1368" s="12" t="s">
        <v>66</v>
      </c>
      <c r="Q1368" s="12" t="s">
        <v>764</v>
      </c>
      <c r="R1368" s="12" t="s">
        <v>765</v>
      </c>
      <c r="S1368" s="13">
        <v>197804383986</v>
      </c>
      <c r="T1368" s="12" t="s">
        <v>235</v>
      </c>
      <c r="U1368" s="12" t="s">
        <v>153</v>
      </c>
      <c r="V1368" s="12" t="s">
        <v>665</v>
      </c>
      <c r="W1368" s="12" t="s">
        <v>284</v>
      </c>
      <c r="X1368" s="14"/>
      <c r="Y1368" s="14"/>
      <c r="Z1368" s="14"/>
      <c r="AA1368" s="14"/>
      <c r="AB1368" s="14"/>
      <c r="AC1368" s="15">
        <v>59.1</v>
      </c>
      <c r="AD1368" s="15">
        <f>AC1368*AG1368</f>
        <v>236.4</v>
      </c>
      <c r="AE1368" s="15">
        <v>130</v>
      </c>
      <c r="AF1368" s="15">
        <f>AE1368*AG1368</f>
        <v>520</v>
      </c>
      <c r="AG1368" s="16">
        <v>4</v>
      </c>
    </row>
    <row r="1369" spans="1:33" ht="15" customHeight="1" x14ac:dyDescent="0.2">
      <c r="A1369" s="11" t="str">
        <f t="shared" ref="A1369:A1707" si="573">HYPERLINK("https://assets.vans.eu/images/VN000P8GBLK-HERO/1","VN000P8GBLK1")</f>
        <v>VN000P8GBLK1</v>
      </c>
      <c r="B1369" s="12" t="s">
        <v>5405</v>
      </c>
      <c r="C1369" s="12" t="s">
        <v>5406</v>
      </c>
      <c r="D1369" s="12" t="s">
        <v>76</v>
      </c>
      <c r="E1369" s="12" t="s">
        <v>5407</v>
      </c>
      <c r="F1369" s="12" t="s">
        <v>170</v>
      </c>
      <c r="G1369" s="14"/>
      <c r="H1369" s="12" t="s">
        <v>61</v>
      </c>
      <c r="I1369" s="12" t="s">
        <v>230</v>
      </c>
      <c r="J1369" s="12" t="s">
        <v>419</v>
      </c>
      <c r="K1369" s="12" t="s">
        <v>199</v>
      </c>
      <c r="L1369" s="14"/>
      <c r="M1369" s="12" t="s">
        <v>43</v>
      </c>
      <c r="N1369" s="12" t="s">
        <v>84</v>
      </c>
      <c r="O1369" s="12" t="s">
        <v>5408</v>
      </c>
      <c r="P1369" s="12" t="s">
        <v>66</v>
      </c>
      <c r="Q1369" s="12" t="s">
        <v>67</v>
      </c>
      <c r="R1369" s="12" t="s">
        <v>623</v>
      </c>
      <c r="S1369" s="13">
        <v>197804352937</v>
      </c>
      <c r="T1369" s="12" t="s">
        <v>709</v>
      </c>
      <c r="U1369" s="12" t="s">
        <v>170</v>
      </c>
      <c r="V1369" s="12" t="s">
        <v>710</v>
      </c>
      <c r="W1369" s="12" t="s">
        <v>51</v>
      </c>
      <c r="X1369" s="14"/>
      <c r="Y1369" s="14"/>
      <c r="Z1369" s="14"/>
      <c r="AA1369" s="14"/>
      <c r="AB1369" s="14"/>
      <c r="AC1369" s="15">
        <v>34.1</v>
      </c>
      <c r="AD1369" s="15">
        <f>AC1369*AG1369</f>
        <v>136.4</v>
      </c>
      <c r="AE1369" s="15">
        <v>75</v>
      </c>
      <c r="AF1369" s="15">
        <f>AE1369*AG1369</f>
        <v>300</v>
      </c>
      <c r="AG1369" s="16">
        <v>4</v>
      </c>
    </row>
    <row r="1370" spans="1:33" ht="15" customHeight="1" x14ac:dyDescent="0.2">
      <c r="A1370" s="11" t="str">
        <f t="shared" si="140"/>
        <v>VN000PE7WHT1</v>
      </c>
      <c r="B1370" s="12" t="s">
        <v>5409</v>
      </c>
      <c r="C1370" s="12" t="s">
        <v>1740</v>
      </c>
      <c r="D1370" s="12" t="s">
        <v>168</v>
      </c>
      <c r="E1370" s="12" t="s">
        <v>5410</v>
      </c>
      <c r="F1370" s="12" t="s">
        <v>621</v>
      </c>
      <c r="G1370" s="14"/>
      <c r="H1370" s="12" t="s">
        <v>61</v>
      </c>
      <c r="I1370" s="12" t="s">
        <v>230</v>
      </c>
      <c r="J1370" s="12" t="s">
        <v>419</v>
      </c>
      <c r="K1370" s="12" t="s">
        <v>199</v>
      </c>
      <c r="L1370" s="14"/>
      <c r="M1370" s="12" t="s">
        <v>43</v>
      </c>
      <c r="N1370" s="12" t="s">
        <v>84</v>
      </c>
      <c r="O1370" s="12" t="s">
        <v>5411</v>
      </c>
      <c r="P1370" s="12" t="s">
        <v>66</v>
      </c>
      <c r="Q1370" s="12" t="s">
        <v>67</v>
      </c>
      <c r="R1370" s="12" t="s">
        <v>421</v>
      </c>
      <c r="S1370" s="13">
        <v>197804357529</v>
      </c>
      <c r="T1370" s="12" t="s">
        <v>915</v>
      </c>
      <c r="U1370" s="12" t="s">
        <v>621</v>
      </c>
      <c r="V1370" s="12" t="s">
        <v>979</v>
      </c>
      <c r="W1370" s="12" t="s">
        <v>175</v>
      </c>
      <c r="X1370" s="14"/>
      <c r="Y1370" s="14"/>
      <c r="Z1370" s="14"/>
      <c r="AA1370" s="14"/>
      <c r="AB1370" s="14"/>
      <c r="AC1370" s="15">
        <v>18.2</v>
      </c>
      <c r="AD1370" s="15">
        <f>AC1370*AG1370</f>
        <v>72.8</v>
      </c>
      <c r="AE1370" s="15">
        <v>40</v>
      </c>
      <c r="AF1370" s="15">
        <f>AE1370*AG1370</f>
        <v>160</v>
      </c>
      <c r="AG1370" s="16">
        <v>4</v>
      </c>
    </row>
    <row r="1371" spans="1:33" ht="15" customHeight="1" x14ac:dyDescent="0.2">
      <c r="A1371" s="11" t="str">
        <f t="shared" ref="A1371:A3393" si="574">HYPERLINK("https://assets.vans.eu/images/VN000PFBEMU-HERO/1","VN000PFBEMU1")</f>
        <v>VN000PFBEMU1</v>
      </c>
      <c r="B1371" s="12" t="s">
        <v>5412</v>
      </c>
      <c r="C1371" s="12" t="s">
        <v>1588</v>
      </c>
      <c r="D1371" s="12" t="s">
        <v>1319</v>
      </c>
      <c r="E1371" s="12" t="s">
        <v>5413</v>
      </c>
      <c r="F1371" s="12" t="s">
        <v>621</v>
      </c>
      <c r="G1371" s="14"/>
      <c r="H1371" s="12" t="s">
        <v>61</v>
      </c>
      <c r="I1371" s="12" t="s">
        <v>230</v>
      </c>
      <c r="J1371" s="12" t="s">
        <v>419</v>
      </c>
      <c r="K1371" s="12" t="s">
        <v>199</v>
      </c>
      <c r="L1371" s="14"/>
      <c r="M1371" s="12" t="s">
        <v>43</v>
      </c>
      <c r="N1371" s="12" t="s">
        <v>84</v>
      </c>
      <c r="O1371" s="12" t="s">
        <v>5414</v>
      </c>
      <c r="P1371" s="12" t="s">
        <v>66</v>
      </c>
      <c r="Q1371" s="12" t="s">
        <v>67</v>
      </c>
      <c r="R1371" s="12" t="s">
        <v>421</v>
      </c>
      <c r="S1371" s="13">
        <v>197804384112</v>
      </c>
      <c r="T1371" s="12" t="s">
        <v>49</v>
      </c>
      <c r="U1371" s="12" t="s">
        <v>621</v>
      </c>
      <c r="V1371" s="12" t="s">
        <v>665</v>
      </c>
      <c r="W1371" s="12" t="s">
        <v>118</v>
      </c>
      <c r="X1371" s="14"/>
      <c r="Y1371" s="14"/>
      <c r="Z1371" s="14"/>
      <c r="AA1371" s="14"/>
      <c r="AB1371" s="14"/>
      <c r="AC1371" s="15">
        <v>20.5</v>
      </c>
      <c r="AD1371" s="15">
        <f>AC1371*AG1371</f>
        <v>82</v>
      </c>
      <c r="AE1371" s="15">
        <v>45</v>
      </c>
      <c r="AF1371" s="15">
        <f>AE1371*AG1371</f>
        <v>180</v>
      </c>
      <c r="AG1371" s="16">
        <v>4</v>
      </c>
    </row>
    <row r="1372" spans="1:33" ht="15" customHeight="1" x14ac:dyDescent="0.2">
      <c r="A1372" s="11" t="str">
        <f t="shared" si="388"/>
        <v>VN000PFBEN91</v>
      </c>
      <c r="B1372" s="12" t="s">
        <v>5415</v>
      </c>
      <c r="C1372" s="12" t="s">
        <v>1588</v>
      </c>
      <c r="D1372" s="12" t="s">
        <v>982</v>
      </c>
      <c r="E1372" s="12" t="s">
        <v>5416</v>
      </c>
      <c r="F1372" s="12" t="s">
        <v>621</v>
      </c>
      <c r="G1372" s="14"/>
      <c r="H1372" s="12" t="s">
        <v>61</v>
      </c>
      <c r="I1372" s="12" t="s">
        <v>230</v>
      </c>
      <c r="J1372" s="12" t="s">
        <v>419</v>
      </c>
      <c r="K1372" s="12" t="s">
        <v>199</v>
      </c>
      <c r="L1372" s="14"/>
      <c r="M1372" s="12" t="s">
        <v>43</v>
      </c>
      <c r="N1372" s="12" t="s">
        <v>84</v>
      </c>
      <c r="O1372" s="12" t="s">
        <v>5417</v>
      </c>
      <c r="P1372" s="12" t="s">
        <v>66</v>
      </c>
      <c r="Q1372" s="12" t="s">
        <v>67</v>
      </c>
      <c r="R1372" s="12" t="s">
        <v>421</v>
      </c>
      <c r="S1372" s="13">
        <v>197804384020</v>
      </c>
      <c r="T1372" s="12" t="s">
        <v>49</v>
      </c>
      <c r="U1372" s="12" t="s">
        <v>621</v>
      </c>
      <c r="V1372" s="12" t="s">
        <v>665</v>
      </c>
      <c r="W1372" s="12" t="s">
        <v>455</v>
      </c>
      <c r="X1372" s="14"/>
      <c r="Y1372" s="14"/>
      <c r="Z1372" s="14"/>
      <c r="AA1372" s="14"/>
      <c r="AB1372" s="14"/>
      <c r="AC1372" s="15">
        <v>20.5</v>
      </c>
      <c r="AD1372" s="15">
        <f>AC1372*AG1372</f>
        <v>82</v>
      </c>
      <c r="AE1372" s="15">
        <v>45</v>
      </c>
      <c r="AF1372" s="15">
        <f>AE1372*AG1372</f>
        <v>180</v>
      </c>
      <c r="AG1372" s="16">
        <v>4</v>
      </c>
    </row>
    <row r="1373" spans="1:33" ht="15" customHeight="1" x14ac:dyDescent="0.2">
      <c r="A1373" s="11" t="str">
        <f t="shared" si="493"/>
        <v>VN000PFF2B61</v>
      </c>
      <c r="B1373" s="12" t="s">
        <v>5418</v>
      </c>
      <c r="C1373" s="12" t="s">
        <v>1588</v>
      </c>
      <c r="D1373" s="12" t="s">
        <v>4375</v>
      </c>
      <c r="E1373" s="12" t="s">
        <v>5419</v>
      </c>
      <c r="F1373" s="12" t="s">
        <v>60</v>
      </c>
      <c r="G1373" s="14"/>
      <c r="H1373" s="12" t="s">
        <v>61</v>
      </c>
      <c r="I1373" s="12" t="s">
        <v>230</v>
      </c>
      <c r="J1373" s="12" t="s">
        <v>419</v>
      </c>
      <c r="K1373" s="12" t="s">
        <v>199</v>
      </c>
      <c r="L1373" s="14"/>
      <c r="M1373" s="12" t="s">
        <v>43</v>
      </c>
      <c r="N1373" s="12" t="s">
        <v>84</v>
      </c>
      <c r="O1373" s="12" t="s">
        <v>5420</v>
      </c>
      <c r="P1373" s="12" t="s">
        <v>66</v>
      </c>
      <c r="Q1373" s="12" t="s">
        <v>67</v>
      </c>
      <c r="R1373" s="12" t="s">
        <v>421</v>
      </c>
      <c r="S1373" s="13">
        <v>197804358571</v>
      </c>
      <c r="T1373" s="12" t="s">
        <v>49</v>
      </c>
      <c r="U1373" s="12" t="s">
        <v>60</v>
      </c>
      <c r="V1373" s="12" t="s">
        <v>665</v>
      </c>
      <c r="W1373" s="12" t="s">
        <v>51</v>
      </c>
      <c r="X1373" s="14"/>
      <c r="Y1373" s="14"/>
      <c r="Z1373" s="14"/>
      <c r="AA1373" s="14"/>
      <c r="AB1373" s="14"/>
      <c r="AC1373" s="15">
        <v>22.75</v>
      </c>
      <c r="AD1373" s="15">
        <f>AC1373*AG1373</f>
        <v>91</v>
      </c>
      <c r="AE1373" s="15">
        <v>50</v>
      </c>
      <c r="AF1373" s="15">
        <f>AE1373*AG1373</f>
        <v>200</v>
      </c>
      <c r="AG1373" s="16">
        <v>4</v>
      </c>
    </row>
    <row r="1374" spans="1:33" ht="15" customHeight="1" x14ac:dyDescent="0.2">
      <c r="A1374" s="11" t="str">
        <f t="shared" ref="A1374:A1715" si="575">HYPERLINK("https://assets.vans.eu/images/VN000PGKFS8-HERO/1","VN000PGKFS81")</f>
        <v>VN000PGKFS81</v>
      </c>
      <c r="B1374" s="12" t="s">
        <v>5421</v>
      </c>
      <c r="C1374" s="12" t="s">
        <v>5422</v>
      </c>
      <c r="D1374" s="12" t="s">
        <v>239</v>
      </c>
      <c r="E1374" s="12" t="s">
        <v>5423</v>
      </c>
      <c r="F1374" s="12" t="s">
        <v>621</v>
      </c>
      <c r="G1374" s="14"/>
      <c r="H1374" s="12" t="s">
        <v>61</v>
      </c>
      <c r="I1374" s="12" t="s">
        <v>230</v>
      </c>
      <c r="J1374" s="12" t="s">
        <v>419</v>
      </c>
      <c r="K1374" s="12" t="s">
        <v>199</v>
      </c>
      <c r="L1374" s="14"/>
      <c r="M1374" s="12" t="s">
        <v>43</v>
      </c>
      <c r="N1374" s="12" t="s">
        <v>84</v>
      </c>
      <c r="O1374" s="12" t="s">
        <v>5424</v>
      </c>
      <c r="P1374" s="12" t="s">
        <v>66</v>
      </c>
      <c r="Q1374" s="12" t="s">
        <v>67</v>
      </c>
      <c r="R1374" s="12" t="s">
        <v>623</v>
      </c>
      <c r="S1374" s="13">
        <v>197804359363</v>
      </c>
      <c r="T1374" s="12" t="s">
        <v>709</v>
      </c>
      <c r="U1374" s="12" t="s">
        <v>621</v>
      </c>
      <c r="V1374" s="12" t="s">
        <v>710</v>
      </c>
      <c r="W1374" s="12" t="s">
        <v>175</v>
      </c>
      <c r="X1374" s="14"/>
      <c r="Y1374" s="14"/>
      <c r="Z1374" s="14"/>
      <c r="AA1374" s="14"/>
      <c r="AB1374" s="14"/>
      <c r="AC1374" s="15">
        <v>36.4</v>
      </c>
      <c r="AD1374" s="15">
        <f>AC1374*AG1374</f>
        <v>145.6</v>
      </c>
      <c r="AE1374" s="15">
        <v>80</v>
      </c>
      <c r="AF1374" s="15">
        <f>AE1374*AG1374</f>
        <v>320</v>
      </c>
      <c r="AG1374" s="16">
        <v>4</v>
      </c>
    </row>
    <row r="1375" spans="1:33" ht="15" customHeight="1" x14ac:dyDescent="0.2">
      <c r="A1375" s="11" t="str">
        <f t="shared" si="494"/>
        <v>VN000PH6IYR1</v>
      </c>
      <c r="B1375" s="12" t="s">
        <v>5425</v>
      </c>
      <c r="C1375" s="12" t="s">
        <v>1577</v>
      </c>
      <c r="D1375" s="12" t="s">
        <v>1497</v>
      </c>
      <c r="E1375" s="12" t="s">
        <v>5426</v>
      </c>
      <c r="F1375" s="13">
        <v>36</v>
      </c>
      <c r="G1375" s="14"/>
      <c r="H1375" s="12" t="s">
        <v>61</v>
      </c>
      <c r="I1375" s="12" t="s">
        <v>230</v>
      </c>
      <c r="J1375" s="12" t="s">
        <v>231</v>
      </c>
      <c r="K1375" s="12" t="s">
        <v>199</v>
      </c>
      <c r="L1375" s="14"/>
      <c r="M1375" s="12" t="s">
        <v>43</v>
      </c>
      <c r="N1375" s="12" t="s">
        <v>84</v>
      </c>
      <c r="O1375" s="12" t="s">
        <v>5427</v>
      </c>
      <c r="P1375" s="12" t="s">
        <v>66</v>
      </c>
      <c r="Q1375" s="12" t="s">
        <v>233</v>
      </c>
      <c r="R1375" s="12" t="s">
        <v>361</v>
      </c>
      <c r="S1375" s="13">
        <v>197804581368</v>
      </c>
      <c r="T1375" s="12" t="s">
        <v>235</v>
      </c>
      <c r="U1375" s="13">
        <v>36</v>
      </c>
      <c r="V1375" s="12" t="s">
        <v>665</v>
      </c>
      <c r="W1375" s="12" t="s">
        <v>284</v>
      </c>
      <c r="X1375" s="14"/>
      <c r="Y1375" s="14"/>
      <c r="Z1375" s="14"/>
      <c r="AA1375" s="14"/>
      <c r="AB1375" s="14"/>
      <c r="AC1375" s="15">
        <v>36.4</v>
      </c>
      <c r="AD1375" s="15">
        <f>AC1375*AG1375</f>
        <v>145.6</v>
      </c>
      <c r="AE1375" s="15">
        <v>80</v>
      </c>
      <c r="AF1375" s="15">
        <f>AE1375*AG1375</f>
        <v>320</v>
      </c>
      <c r="AG1375" s="16">
        <v>4</v>
      </c>
    </row>
    <row r="1376" spans="1:33" ht="15" customHeight="1" x14ac:dyDescent="0.2">
      <c r="A1376" s="11" t="str">
        <f t="shared" ref="A1376:A1377" si="576">HYPERLINK("https://assets.vans.eu/images/VN000PJMBLK-HERO/1","VN000PJMBLK1")</f>
        <v>VN000PJMBLK1</v>
      </c>
      <c r="B1376" s="12" t="s">
        <v>5428</v>
      </c>
      <c r="C1376" s="12" t="s">
        <v>5429</v>
      </c>
      <c r="D1376" s="12" t="s">
        <v>76</v>
      </c>
      <c r="E1376" s="12" t="s">
        <v>5430</v>
      </c>
      <c r="F1376" s="12" t="s">
        <v>60</v>
      </c>
      <c r="G1376" s="14"/>
      <c r="H1376" s="12" t="s">
        <v>61</v>
      </c>
      <c r="I1376" s="12" t="s">
        <v>230</v>
      </c>
      <c r="J1376" s="12" t="s">
        <v>419</v>
      </c>
      <c r="K1376" s="12" t="s">
        <v>199</v>
      </c>
      <c r="L1376" s="14"/>
      <c r="M1376" s="12" t="s">
        <v>43</v>
      </c>
      <c r="N1376" s="12" t="s">
        <v>84</v>
      </c>
      <c r="O1376" s="12" t="s">
        <v>5431</v>
      </c>
      <c r="P1376" s="12" t="s">
        <v>66</v>
      </c>
      <c r="Q1376" s="12" t="s">
        <v>67</v>
      </c>
      <c r="R1376" s="12" t="s">
        <v>623</v>
      </c>
      <c r="S1376" s="13">
        <v>197804360062</v>
      </c>
      <c r="T1376" s="12" t="s">
        <v>49</v>
      </c>
      <c r="U1376" s="12" t="s">
        <v>60</v>
      </c>
      <c r="V1376" s="12" t="s">
        <v>1726</v>
      </c>
      <c r="W1376" s="12" t="s">
        <v>51</v>
      </c>
      <c r="X1376" s="14"/>
      <c r="Y1376" s="14"/>
      <c r="Z1376" s="14"/>
      <c r="AA1376" s="14"/>
      <c r="AB1376" s="14"/>
      <c r="AC1376" s="15">
        <v>43.2</v>
      </c>
      <c r="AD1376" s="15">
        <f>AC1376*AG1376</f>
        <v>172.8</v>
      </c>
      <c r="AE1376" s="15">
        <v>95</v>
      </c>
      <c r="AF1376" s="15">
        <f>AE1376*AG1376</f>
        <v>380</v>
      </c>
      <c r="AG1376" s="16">
        <v>4</v>
      </c>
    </row>
    <row r="1377" spans="1:33" ht="15" customHeight="1" x14ac:dyDescent="0.2">
      <c r="A1377" s="11" t="str">
        <f t="shared" si="576"/>
        <v>VN000PJMBLK1</v>
      </c>
      <c r="B1377" s="12" t="s">
        <v>5432</v>
      </c>
      <c r="C1377" s="12" t="s">
        <v>5429</v>
      </c>
      <c r="D1377" s="12" t="s">
        <v>76</v>
      </c>
      <c r="E1377" s="12" t="s">
        <v>5433</v>
      </c>
      <c r="F1377" s="12" t="s">
        <v>621</v>
      </c>
      <c r="G1377" s="14"/>
      <c r="H1377" s="12" t="s">
        <v>61</v>
      </c>
      <c r="I1377" s="12" t="s">
        <v>230</v>
      </c>
      <c r="J1377" s="12" t="s">
        <v>419</v>
      </c>
      <c r="K1377" s="12" t="s">
        <v>199</v>
      </c>
      <c r="L1377" s="14"/>
      <c r="M1377" s="12" t="s">
        <v>43</v>
      </c>
      <c r="N1377" s="12" t="s">
        <v>84</v>
      </c>
      <c r="O1377" s="12" t="s">
        <v>5434</v>
      </c>
      <c r="P1377" s="12" t="s">
        <v>66</v>
      </c>
      <c r="Q1377" s="12" t="s">
        <v>67</v>
      </c>
      <c r="R1377" s="12" t="s">
        <v>623</v>
      </c>
      <c r="S1377" s="13">
        <v>197804360147</v>
      </c>
      <c r="T1377" s="12" t="s">
        <v>49</v>
      </c>
      <c r="U1377" s="12" t="s">
        <v>621</v>
      </c>
      <c r="V1377" s="12" t="s">
        <v>1726</v>
      </c>
      <c r="W1377" s="12" t="s">
        <v>51</v>
      </c>
      <c r="X1377" s="14"/>
      <c r="Y1377" s="14"/>
      <c r="Z1377" s="14"/>
      <c r="AA1377" s="14"/>
      <c r="AB1377" s="14"/>
      <c r="AC1377" s="15">
        <v>43.2</v>
      </c>
      <c r="AD1377" s="15">
        <f>AC1377*AG1377</f>
        <v>172.8</v>
      </c>
      <c r="AE1377" s="15">
        <v>95</v>
      </c>
      <c r="AF1377" s="15">
        <f>AE1377*AG1377</f>
        <v>380</v>
      </c>
      <c r="AG1377" s="16">
        <v>4</v>
      </c>
    </row>
    <row r="1378" spans="1:33" ht="15" customHeight="1" x14ac:dyDescent="0.2">
      <c r="A1378" s="11" t="str">
        <f t="shared" ref="A1378:A1721" si="577">HYPERLINK("https://assets.vans.eu/images/VN000PJMZBF-HERO/1","VN000PJMZBF1")</f>
        <v>VN000PJMZBF1</v>
      </c>
      <c r="B1378" s="12" t="s">
        <v>5435</v>
      </c>
      <c r="C1378" s="12" t="s">
        <v>5429</v>
      </c>
      <c r="D1378" s="12" t="s">
        <v>680</v>
      </c>
      <c r="E1378" s="12" t="s">
        <v>5436</v>
      </c>
      <c r="F1378" s="12" t="s">
        <v>179</v>
      </c>
      <c r="G1378" s="14"/>
      <c r="H1378" s="12" t="s">
        <v>61</v>
      </c>
      <c r="I1378" s="12" t="s">
        <v>230</v>
      </c>
      <c r="J1378" s="12" t="s">
        <v>419</v>
      </c>
      <c r="K1378" s="12" t="s">
        <v>199</v>
      </c>
      <c r="L1378" s="14"/>
      <c r="M1378" s="12" t="s">
        <v>43</v>
      </c>
      <c r="N1378" s="12" t="s">
        <v>84</v>
      </c>
      <c r="O1378" s="12" t="s">
        <v>5437</v>
      </c>
      <c r="P1378" s="12" t="s">
        <v>66</v>
      </c>
      <c r="Q1378" s="12" t="s">
        <v>67</v>
      </c>
      <c r="R1378" s="12" t="s">
        <v>623</v>
      </c>
      <c r="S1378" s="13">
        <v>197804359967</v>
      </c>
      <c r="T1378" s="12" t="s">
        <v>49</v>
      </c>
      <c r="U1378" s="12" t="s">
        <v>179</v>
      </c>
      <c r="V1378" s="12" t="s">
        <v>1726</v>
      </c>
      <c r="W1378" s="12" t="s">
        <v>118</v>
      </c>
      <c r="X1378" s="14"/>
      <c r="Y1378" s="14"/>
      <c r="Z1378" s="14"/>
      <c r="AA1378" s="14"/>
      <c r="AB1378" s="14"/>
      <c r="AC1378" s="15">
        <v>43.2</v>
      </c>
      <c r="AD1378" s="15">
        <f>AC1378*AG1378</f>
        <v>172.8</v>
      </c>
      <c r="AE1378" s="15">
        <v>95</v>
      </c>
      <c r="AF1378" s="15">
        <f>AE1378*AG1378</f>
        <v>380</v>
      </c>
      <c r="AG1378" s="16">
        <v>4</v>
      </c>
    </row>
    <row r="1379" spans="1:33" ht="15" customHeight="1" x14ac:dyDescent="0.2">
      <c r="A1379" s="11" t="str">
        <f t="shared" si="495"/>
        <v>VN000PJSD3Z1</v>
      </c>
      <c r="B1379" s="12" t="s">
        <v>5438</v>
      </c>
      <c r="C1379" s="12" t="s">
        <v>4720</v>
      </c>
      <c r="D1379" s="12" t="s">
        <v>4721</v>
      </c>
      <c r="E1379" s="12" t="s">
        <v>5439</v>
      </c>
      <c r="F1379" s="12" t="s">
        <v>170</v>
      </c>
      <c r="G1379" s="14"/>
      <c r="H1379" s="12" t="s">
        <v>61</v>
      </c>
      <c r="I1379" s="12" t="s">
        <v>230</v>
      </c>
      <c r="J1379" s="12" t="s">
        <v>419</v>
      </c>
      <c r="K1379" s="12" t="s">
        <v>199</v>
      </c>
      <c r="L1379" s="14"/>
      <c r="M1379" s="12" t="s">
        <v>43</v>
      </c>
      <c r="N1379" s="12" t="s">
        <v>84</v>
      </c>
      <c r="O1379" s="12" t="s">
        <v>5440</v>
      </c>
      <c r="P1379" s="12" t="s">
        <v>66</v>
      </c>
      <c r="Q1379" s="12" t="s">
        <v>67</v>
      </c>
      <c r="R1379" s="12" t="s">
        <v>421</v>
      </c>
      <c r="S1379" s="13">
        <v>197804360222</v>
      </c>
      <c r="T1379" s="12" t="s">
        <v>49</v>
      </c>
      <c r="U1379" s="12" t="s">
        <v>170</v>
      </c>
      <c r="V1379" s="12" t="s">
        <v>665</v>
      </c>
      <c r="W1379" s="12" t="s">
        <v>118</v>
      </c>
      <c r="X1379" s="14"/>
      <c r="Y1379" s="14"/>
      <c r="Z1379" s="14"/>
      <c r="AA1379" s="14"/>
      <c r="AB1379" s="14"/>
      <c r="AC1379" s="15">
        <v>22.75</v>
      </c>
      <c r="AD1379" s="15">
        <f>AC1379*AG1379</f>
        <v>91</v>
      </c>
      <c r="AE1379" s="15">
        <v>50</v>
      </c>
      <c r="AF1379" s="15">
        <f>AE1379*AG1379</f>
        <v>200</v>
      </c>
      <c r="AG1379" s="16">
        <v>4</v>
      </c>
    </row>
    <row r="1380" spans="1:33" ht="15" customHeight="1" x14ac:dyDescent="0.2">
      <c r="A1380" s="11" t="str">
        <f t="shared" si="495"/>
        <v>VN000PJSD3Z1</v>
      </c>
      <c r="B1380" s="12" t="s">
        <v>5441</v>
      </c>
      <c r="C1380" s="12" t="s">
        <v>4720</v>
      </c>
      <c r="D1380" s="12" t="s">
        <v>4721</v>
      </c>
      <c r="E1380" s="12" t="s">
        <v>5442</v>
      </c>
      <c r="F1380" s="12" t="s">
        <v>403</v>
      </c>
      <c r="G1380" s="14"/>
      <c r="H1380" s="12" t="s">
        <v>61</v>
      </c>
      <c r="I1380" s="12" t="s">
        <v>230</v>
      </c>
      <c r="J1380" s="12" t="s">
        <v>419</v>
      </c>
      <c r="K1380" s="12" t="s">
        <v>199</v>
      </c>
      <c r="L1380" s="14"/>
      <c r="M1380" s="12" t="s">
        <v>43</v>
      </c>
      <c r="N1380" s="12" t="s">
        <v>84</v>
      </c>
      <c r="O1380" s="12" t="s">
        <v>5443</v>
      </c>
      <c r="P1380" s="12" t="s">
        <v>66</v>
      </c>
      <c r="Q1380" s="12" t="s">
        <v>67</v>
      </c>
      <c r="R1380" s="12" t="s">
        <v>421</v>
      </c>
      <c r="S1380" s="13">
        <v>197804360253</v>
      </c>
      <c r="T1380" s="12" t="s">
        <v>49</v>
      </c>
      <c r="U1380" s="12" t="s">
        <v>403</v>
      </c>
      <c r="V1380" s="12" t="s">
        <v>665</v>
      </c>
      <c r="W1380" s="12" t="s">
        <v>118</v>
      </c>
      <c r="X1380" s="14"/>
      <c r="Y1380" s="14"/>
      <c r="Z1380" s="14"/>
      <c r="AA1380" s="14"/>
      <c r="AB1380" s="14"/>
      <c r="AC1380" s="15">
        <v>22.75</v>
      </c>
      <c r="AD1380" s="15">
        <f>AC1380*AG1380</f>
        <v>91</v>
      </c>
      <c r="AE1380" s="15">
        <v>50</v>
      </c>
      <c r="AF1380" s="15">
        <f>AE1380*AG1380</f>
        <v>200</v>
      </c>
      <c r="AG1380" s="16">
        <v>4</v>
      </c>
    </row>
    <row r="1381" spans="1:33" ht="15" customHeight="1" x14ac:dyDescent="0.2">
      <c r="A1381" s="11" t="str">
        <f t="shared" si="495"/>
        <v>VN000PJSD3Z1</v>
      </c>
      <c r="B1381" s="12" t="s">
        <v>5444</v>
      </c>
      <c r="C1381" s="12" t="s">
        <v>4720</v>
      </c>
      <c r="D1381" s="12" t="s">
        <v>4721</v>
      </c>
      <c r="E1381" s="12" t="s">
        <v>5445</v>
      </c>
      <c r="F1381" s="12" t="s">
        <v>60</v>
      </c>
      <c r="G1381" s="14"/>
      <c r="H1381" s="12" t="s">
        <v>61</v>
      </c>
      <c r="I1381" s="12" t="s">
        <v>230</v>
      </c>
      <c r="J1381" s="12" t="s">
        <v>419</v>
      </c>
      <c r="K1381" s="12" t="s">
        <v>199</v>
      </c>
      <c r="L1381" s="14"/>
      <c r="M1381" s="12" t="s">
        <v>43</v>
      </c>
      <c r="N1381" s="12" t="s">
        <v>84</v>
      </c>
      <c r="O1381" s="12" t="s">
        <v>5446</v>
      </c>
      <c r="P1381" s="12" t="s">
        <v>66</v>
      </c>
      <c r="Q1381" s="12" t="s">
        <v>67</v>
      </c>
      <c r="R1381" s="12" t="s">
        <v>421</v>
      </c>
      <c r="S1381" s="13">
        <v>197804360420</v>
      </c>
      <c r="T1381" s="12" t="s">
        <v>49</v>
      </c>
      <c r="U1381" s="12" t="s">
        <v>60</v>
      </c>
      <c r="V1381" s="12" t="s">
        <v>665</v>
      </c>
      <c r="W1381" s="12" t="s">
        <v>118</v>
      </c>
      <c r="X1381" s="14"/>
      <c r="Y1381" s="14"/>
      <c r="Z1381" s="14"/>
      <c r="AA1381" s="14"/>
      <c r="AB1381" s="14"/>
      <c r="AC1381" s="15">
        <v>22.75</v>
      </c>
      <c r="AD1381" s="15">
        <f>AC1381*AG1381</f>
        <v>91</v>
      </c>
      <c r="AE1381" s="15">
        <v>50</v>
      </c>
      <c r="AF1381" s="15">
        <f>AE1381*AG1381</f>
        <v>200</v>
      </c>
      <c r="AG1381" s="16">
        <v>4</v>
      </c>
    </row>
    <row r="1382" spans="1:33" ht="15" customHeight="1" x14ac:dyDescent="0.2">
      <c r="A1382" s="11" t="str">
        <f>HYPERLINK("https://assets.vans.eu/images/VN000PK3BLK-HERO/1","VN000PK3BLK1")</f>
        <v>VN000PK3BLK1</v>
      </c>
      <c r="B1382" s="12" t="s">
        <v>5447</v>
      </c>
      <c r="C1382" s="12" t="s">
        <v>5448</v>
      </c>
      <c r="D1382" s="12" t="s">
        <v>76</v>
      </c>
      <c r="E1382" s="12" t="s">
        <v>5449</v>
      </c>
      <c r="F1382" s="12" t="s">
        <v>60</v>
      </c>
      <c r="G1382" s="14"/>
      <c r="H1382" s="12" t="s">
        <v>61</v>
      </c>
      <c r="I1382" s="12" t="s">
        <v>289</v>
      </c>
      <c r="J1382" s="12" t="s">
        <v>984</v>
      </c>
      <c r="K1382" s="12" t="s">
        <v>100</v>
      </c>
      <c r="L1382" s="14"/>
      <c r="M1382" s="12" t="s">
        <v>43</v>
      </c>
      <c r="N1382" s="12" t="s">
        <v>84</v>
      </c>
      <c r="O1382" s="12" t="s">
        <v>5450</v>
      </c>
      <c r="P1382" s="12" t="s">
        <v>66</v>
      </c>
      <c r="Q1382" s="12" t="s">
        <v>764</v>
      </c>
      <c r="R1382" s="12" t="s">
        <v>986</v>
      </c>
      <c r="S1382" s="13">
        <v>197804360925</v>
      </c>
      <c r="T1382" s="12" t="s">
        <v>235</v>
      </c>
      <c r="U1382" s="12" t="s">
        <v>60</v>
      </c>
      <c r="V1382" s="12" t="s">
        <v>90</v>
      </c>
      <c r="W1382" s="12" t="s">
        <v>51</v>
      </c>
      <c r="X1382" s="14"/>
      <c r="Y1382" s="14"/>
      <c r="Z1382" s="14"/>
      <c r="AA1382" s="14"/>
      <c r="AB1382" s="14"/>
      <c r="AC1382" s="15">
        <v>65.95</v>
      </c>
      <c r="AD1382" s="15">
        <f>AC1382*AG1382</f>
        <v>263.8</v>
      </c>
      <c r="AE1382" s="15">
        <v>145</v>
      </c>
      <c r="AF1382" s="15">
        <f>AE1382*AG1382</f>
        <v>580</v>
      </c>
      <c r="AG1382" s="16">
        <v>4</v>
      </c>
    </row>
    <row r="1383" spans="1:33" ht="15" customHeight="1" x14ac:dyDescent="0.2">
      <c r="A1383" s="11" t="str">
        <f t="shared" ref="A1383:A2265" si="578">HYPERLINK("https://assets.vans.eu/images/VN000PM39JC-HERO/1","VN000PM39JC1")</f>
        <v>VN000PM39JC1</v>
      </c>
      <c r="B1383" s="12" t="s">
        <v>5451</v>
      </c>
      <c r="C1383" s="12" t="s">
        <v>4201</v>
      </c>
      <c r="D1383" s="12" t="s">
        <v>4481</v>
      </c>
      <c r="E1383" s="12" t="s">
        <v>5452</v>
      </c>
      <c r="F1383" s="12" t="s">
        <v>170</v>
      </c>
      <c r="G1383" s="14"/>
      <c r="H1383" s="12" t="s">
        <v>61</v>
      </c>
      <c r="I1383" s="12" t="s">
        <v>230</v>
      </c>
      <c r="J1383" s="12" t="s">
        <v>231</v>
      </c>
      <c r="K1383" s="12" t="s">
        <v>199</v>
      </c>
      <c r="L1383" s="14"/>
      <c r="M1383" s="12" t="s">
        <v>43</v>
      </c>
      <c r="N1383" s="12" t="s">
        <v>84</v>
      </c>
      <c r="O1383" s="12" t="s">
        <v>5453</v>
      </c>
      <c r="P1383" s="12" t="s">
        <v>66</v>
      </c>
      <c r="Q1383" s="12" t="s">
        <v>233</v>
      </c>
      <c r="R1383" s="12" t="s">
        <v>361</v>
      </c>
      <c r="S1383" s="13">
        <v>197804610495</v>
      </c>
      <c r="T1383" s="12" t="s">
        <v>49</v>
      </c>
      <c r="U1383" s="12" t="s">
        <v>170</v>
      </c>
      <c r="V1383" s="12" t="s">
        <v>90</v>
      </c>
      <c r="W1383" s="12" t="s">
        <v>186</v>
      </c>
      <c r="X1383" s="14"/>
      <c r="Y1383" s="14"/>
      <c r="Z1383" s="14"/>
      <c r="AA1383" s="14"/>
      <c r="AB1383" s="14"/>
      <c r="AC1383" s="15">
        <v>136.4</v>
      </c>
      <c r="AD1383" s="15">
        <f>AC1383*AG1383</f>
        <v>545.6</v>
      </c>
      <c r="AE1383" s="15">
        <v>300</v>
      </c>
      <c r="AF1383" s="15">
        <f>AE1383*AG1383</f>
        <v>1200</v>
      </c>
      <c r="AG1383" s="16">
        <v>4</v>
      </c>
    </row>
    <row r="1384" spans="1:33" ht="15" customHeight="1" x14ac:dyDescent="0.2">
      <c r="A1384" s="11" t="str">
        <f t="shared" ref="A1384:A1725" si="579">HYPERLINK("https://assets.vans.eu/images/VN000PMABLK-HERO/1","VN000PMABLK1")</f>
        <v>VN000PMABLK1</v>
      </c>
      <c r="B1384" s="12" t="s">
        <v>5454</v>
      </c>
      <c r="C1384" s="12" t="s">
        <v>2076</v>
      </c>
      <c r="D1384" s="12" t="s">
        <v>76</v>
      </c>
      <c r="E1384" s="12" t="s">
        <v>5455</v>
      </c>
      <c r="F1384" s="12" t="s">
        <v>403</v>
      </c>
      <c r="G1384" s="14"/>
      <c r="H1384" s="12" t="s">
        <v>61</v>
      </c>
      <c r="I1384" s="12" t="s">
        <v>230</v>
      </c>
      <c r="J1384" s="12" t="s">
        <v>762</v>
      </c>
      <c r="K1384" s="12" t="s">
        <v>199</v>
      </c>
      <c r="L1384" s="14"/>
      <c r="M1384" s="12" t="s">
        <v>43</v>
      </c>
      <c r="N1384" s="12" t="s">
        <v>84</v>
      </c>
      <c r="O1384" s="12" t="s">
        <v>5456</v>
      </c>
      <c r="P1384" s="12" t="s">
        <v>66</v>
      </c>
      <c r="Q1384" s="12" t="s">
        <v>764</v>
      </c>
      <c r="R1384" s="12" t="s">
        <v>765</v>
      </c>
      <c r="S1384" s="13">
        <v>197804372751</v>
      </c>
      <c r="T1384" s="12" t="s">
        <v>49</v>
      </c>
      <c r="U1384" s="12" t="s">
        <v>403</v>
      </c>
      <c r="V1384" s="12" t="s">
        <v>90</v>
      </c>
      <c r="W1384" s="12" t="s">
        <v>51</v>
      </c>
      <c r="X1384" s="14"/>
      <c r="Y1384" s="14"/>
      <c r="Z1384" s="14"/>
      <c r="AA1384" s="14"/>
      <c r="AB1384" s="14"/>
      <c r="AC1384" s="15">
        <v>159.1</v>
      </c>
      <c r="AD1384" s="15">
        <f>AC1384*AG1384</f>
        <v>636.4</v>
      </c>
      <c r="AE1384" s="15">
        <v>350</v>
      </c>
      <c r="AF1384" s="15">
        <f>AE1384*AG1384</f>
        <v>1400</v>
      </c>
      <c r="AG1384" s="16">
        <v>4</v>
      </c>
    </row>
    <row r="1385" spans="1:33" ht="15" customHeight="1" x14ac:dyDescent="0.2">
      <c r="A1385" s="11" t="str">
        <f t="shared" si="440"/>
        <v>VN000PMDBLK1</v>
      </c>
      <c r="B1385" s="12" t="s">
        <v>5457</v>
      </c>
      <c r="C1385" s="12" t="s">
        <v>2243</v>
      </c>
      <c r="D1385" s="12" t="s">
        <v>76</v>
      </c>
      <c r="E1385" s="12" t="s">
        <v>5458</v>
      </c>
      <c r="F1385" s="12" t="s">
        <v>403</v>
      </c>
      <c r="G1385" s="14"/>
      <c r="H1385" s="12" t="s">
        <v>61</v>
      </c>
      <c r="I1385" s="12" t="s">
        <v>230</v>
      </c>
      <c r="J1385" s="12" t="s">
        <v>762</v>
      </c>
      <c r="K1385" s="12" t="s">
        <v>199</v>
      </c>
      <c r="L1385" s="14"/>
      <c r="M1385" s="12" t="s">
        <v>43</v>
      </c>
      <c r="N1385" s="12" t="s">
        <v>84</v>
      </c>
      <c r="O1385" s="12" t="s">
        <v>5459</v>
      </c>
      <c r="P1385" s="12" t="s">
        <v>66</v>
      </c>
      <c r="Q1385" s="12" t="s">
        <v>764</v>
      </c>
      <c r="R1385" s="12" t="s">
        <v>765</v>
      </c>
      <c r="S1385" s="13">
        <v>197804581900</v>
      </c>
      <c r="T1385" s="12" t="s">
        <v>49</v>
      </c>
      <c r="U1385" s="12" t="s">
        <v>403</v>
      </c>
      <c r="V1385" s="12" t="s">
        <v>90</v>
      </c>
      <c r="W1385" s="12" t="s">
        <v>51</v>
      </c>
      <c r="X1385" s="14"/>
      <c r="Y1385" s="14"/>
      <c r="Z1385" s="14"/>
      <c r="AA1385" s="14"/>
      <c r="AB1385" s="14"/>
      <c r="AC1385" s="15">
        <v>136.4</v>
      </c>
      <c r="AD1385" s="15">
        <f>AC1385*AG1385</f>
        <v>545.6</v>
      </c>
      <c r="AE1385" s="15">
        <v>300</v>
      </c>
      <c r="AF1385" s="15">
        <f>AE1385*AG1385</f>
        <v>1200</v>
      </c>
      <c r="AG1385" s="16">
        <v>4</v>
      </c>
    </row>
    <row r="1386" spans="1:33" ht="15" customHeight="1" x14ac:dyDescent="0.2">
      <c r="A1386" s="11" t="str">
        <f t="shared" si="325"/>
        <v>VN000PMFEB21</v>
      </c>
      <c r="B1386" s="12" t="s">
        <v>5460</v>
      </c>
      <c r="C1386" s="12" t="s">
        <v>3148</v>
      </c>
      <c r="D1386" s="12" t="s">
        <v>2693</v>
      </c>
      <c r="E1386" s="12" t="s">
        <v>5461</v>
      </c>
      <c r="F1386" s="12" t="s">
        <v>60</v>
      </c>
      <c r="G1386" s="14"/>
      <c r="H1386" s="12" t="s">
        <v>61</v>
      </c>
      <c r="I1386" s="12" t="s">
        <v>230</v>
      </c>
      <c r="J1386" s="12" t="s">
        <v>762</v>
      </c>
      <c r="K1386" s="12" t="s">
        <v>199</v>
      </c>
      <c r="L1386" s="14"/>
      <c r="M1386" s="12" t="s">
        <v>43</v>
      </c>
      <c r="N1386" s="12" t="s">
        <v>84</v>
      </c>
      <c r="O1386" s="12" t="s">
        <v>5462</v>
      </c>
      <c r="P1386" s="12" t="s">
        <v>66</v>
      </c>
      <c r="Q1386" s="12" t="s">
        <v>764</v>
      </c>
      <c r="R1386" s="12" t="s">
        <v>765</v>
      </c>
      <c r="S1386" s="13">
        <v>197804372959</v>
      </c>
      <c r="T1386" s="12" t="s">
        <v>49</v>
      </c>
      <c r="U1386" s="12" t="s">
        <v>60</v>
      </c>
      <c r="V1386" s="12" t="s">
        <v>1811</v>
      </c>
      <c r="W1386" s="12" t="s">
        <v>51</v>
      </c>
      <c r="X1386" s="14"/>
      <c r="Y1386" s="14"/>
      <c r="Z1386" s="14"/>
      <c r="AA1386" s="14"/>
      <c r="AB1386" s="14"/>
      <c r="AC1386" s="15">
        <v>136.4</v>
      </c>
      <c r="AD1386" s="15">
        <f>AC1386*AG1386</f>
        <v>545.6</v>
      </c>
      <c r="AE1386" s="15">
        <v>300</v>
      </c>
      <c r="AF1386" s="15">
        <f>AE1386*AG1386</f>
        <v>1200</v>
      </c>
      <c r="AG1386" s="16">
        <v>4</v>
      </c>
    </row>
    <row r="1387" spans="1:33" ht="15" customHeight="1" x14ac:dyDescent="0.2">
      <c r="A1387" s="11" t="str">
        <f>HYPERLINK("https://assets.vans.eu/images/VN000PMFENB-HERO/1","VN000PMFENB1")</f>
        <v>VN000PMFENB1</v>
      </c>
      <c r="B1387" s="12" t="s">
        <v>5463</v>
      </c>
      <c r="C1387" s="12" t="s">
        <v>3148</v>
      </c>
      <c r="D1387" s="12" t="s">
        <v>2917</v>
      </c>
      <c r="E1387" s="12" t="s">
        <v>5464</v>
      </c>
      <c r="F1387" s="12" t="s">
        <v>403</v>
      </c>
      <c r="G1387" s="14"/>
      <c r="H1387" s="12" t="s">
        <v>61</v>
      </c>
      <c r="I1387" s="12" t="s">
        <v>230</v>
      </c>
      <c r="J1387" s="12" t="s">
        <v>762</v>
      </c>
      <c r="K1387" s="12" t="s">
        <v>199</v>
      </c>
      <c r="L1387" s="14"/>
      <c r="M1387" s="12" t="s">
        <v>43</v>
      </c>
      <c r="N1387" s="12" t="s">
        <v>84</v>
      </c>
      <c r="O1387" s="12" t="s">
        <v>5465</v>
      </c>
      <c r="P1387" s="12" t="s">
        <v>66</v>
      </c>
      <c r="Q1387" s="12" t="s">
        <v>764</v>
      </c>
      <c r="R1387" s="12" t="s">
        <v>765</v>
      </c>
      <c r="S1387" s="13">
        <v>197804372942</v>
      </c>
      <c r="T1387" s="12" t="s">
        <v>49</v>
      </c>
      <c r="U1387" s="12" t="s">
        <v>403</v>
      </c>
      <c r="V1387" s="12" t="s">
        <v>1811</v>
      </c>
      <c r="W1387" s="12" t="s">
        <v>186</v>
      </c>
      <c r="X1387" s="14"/>
      <c r="Y1387" s="14"/>
      <c r="Z1387" s="14"/>
      <c r="AA1387" s="14"/>
      <c r="AB1387" s="14"/>
      <c r="AC1387" s="15">
        <v>136.4</v>
      </c>
      <c r="AD1387" s="15">
        <f>AC1387*AG1387</f>
        <v>545.6</v>
      </c>
      <c r="AE1387" s="15">
        <v>300</v>
      </c>
      <c r="AF1387" s="15">
        <f>AE1387*AG1387</f>
        <v>1200</v>
      </c>
      <c r="AG1387" s="16">
        <v>4</v>
      </c>
    </row>
    <row r="1388" spans="1:33" ht="15" customHeight="1" x14ac:dyDescent="0.2">
      <c r="A1388" s="11" t="str">
        <f t="shared" si="497"/>
        <v>VN000PMNEMP1</v>
      </c>
      <c r="B1388" s="12" t="s">
        <v>5466</v>
      </c>
      <c r="C1388" s="12" t="s">
        <v>4753</v>
      </c>
      <c r="D1388" s="12" t="s">
        <v>704</v>
      </c>
      <c r="E1388" s="12" t="s">
        <v>5467</v>
      </c>
      <c r="F1388" s="12" t="s">
        <v>621</v>
      </c>
      <c r="G1388" s="14"/>
      <c r="H1388" s="12" t="s">
        <v>61</v>
      </c>
      <c r="I1388" s="12" t="s">
        <v>230</v>
      </c>
      <c r="J1388" s="12" t="s">
        <v>762</v>
      </c>
      <c r="K1388" s="12" t="s">
        <v>199</v>
      </c>
      <c r="L1388" s="14"/>
      <c r="M1388" s="12" t="s">
        <v>43</v>
      </c>
      <c r="N1388" s="12" t="s">
        <v>84</v>
      </c>
      <c r="O1388" s="12" t="s">
        <v>5468</v>
      </c>
      <c r="P1388" s="12" t="s">
        <v>66</v>
      </c>
      <c r="Q1388" s="12" t="s">
        <v>764</v>
      </c>
      <c r="R1388" s="12" t="s">
        <v>765</v>
      </c>
      <c r="S1388" s="13">
        <v>197804373284</v>
      </c>
      <c r="T1388" s="12" t="s">
        <v>235</v>
      </c>
      <c r="U1388" s="12" t="s">
        <v>621</v>
      </c>
      <c r="V1388" s="12" t="s">
        <v>665</v>
      </c>
      <c r="W1388" s="12" t="s">
        <v>186</v>
      </c>
      <c r="X1388" s="14"/>
      <c r="Y1388" s="14"/>
      <c r="Z1388" s="14"/>
      <c r="AA1388" s="14"/>
      <c r="AB1388" s="14"/>
      <c r="AC1388" s="15">
        <v>43.2</v>
      </c>
      <c r="AD1388" s="15">
        <f>AC1388*AG1388</f>
        <v>172.8</v>
      </c>
      <c r="AE1388" s="15">
        <v>95</v>
      </c>
      <c r="AF1388" s="15">
        <f>AE1388*AG1388</f>
        <v>380</v>
      </c>
      <c r="AG1388" s="16">
        <v>4</v>
      </c>
    </row>
    <row r="1389" spans="1:33" ht="15" customHeight="1" x14ac:dyDescent="0.2">
      <c r="A1389" s="11" t="str">
        <f t="shared" ref="A1389:A1732" si="580">HYPERLINK("https://assets.vans.eu/images/VN000PMXEMU-HERO/1","VN000PMXEMU1")</f>
        <v>VN000PMXEMU1</v>
      </c>
      <c r="B1389" s="12" t="s">
        <v>5469</v>
      </c>
      <c r="C1389" s="12" t="s">
        <v>5470</v>
      </c>
      <c r="D1389" s="12" t="s">
        <v>1319</v>
      </c>
      <c r="E1389" s="12" t="s">
        <v>5471</v>
      </c>
      <c r="F1389" s="12" t="s">
        <v>170</v>
      </c>
      <c r="G1389" s="14"/>
      <c r="H1389" s="12" t="s">
        <v>61</v>
      </c>
      <c r="I1389" s="12" t="s">
        <v>230</v>
      </c>
      <c r="J1389" s="12" t="s">
        <v>419</v>
      </c>
      <c r="K1389" s="12" t="s">
        <v>199</v>
      </c>
      <c r="L1389" s="14"/>
      <c r="M1389" s="12" t="s">
        <v>43</v>
      </c>
      <c r="N1389" s="12" t="s">
        <v>84</v>
      </c>
      <c r="O1389" s="12" t="s">
        <v>5472</v>
      </c>
      <c r="P1389" s="12" t="s">
        <v>66</v>
      </c>
      <c r="Q1389" s="12" t="s">
        <v>67</v>
      </c>
      <c r="R1389" s="12" t="s">
        <v>1500</v>
      </c>
      <c r="S1389" s="13">
        <v>197804361878</v>
      </c>
      <c r="T1389" s="12" t="s">
        <v>49</v>
      </c>
      <c r="U1389" s="12" t="s">
        <v>170</v>
      </c>
      <c r="V1389" s="12" t="s">
        <v>665</v>
      </c>
      <c r="W1389" s="12" t="s">
        <v>118</v>
      </c>
      <c r="X1389" s="14"/>
      <c r="Y1389" s="14"/>
      <c r="Z1389" s="14"/>
      <c r="AA1389" s="14"/>
      <c r="AB1389" s="14"/>
      <c r="AC1389" s="15">
        <v>22.75</v>
      </c>
      <c r="AD1389" s="15">
        <f>AC1389*AG1389</f>
        <v>91</v>
      </c>
      <c r="AE1389" s="15">
        <v>50</v>
      </c>
      <c r="AF1389" s="15">
        <f>AE1389*AG1389</f>
        <v>200</v>
      </c>
      <c r="AG1389" s="16">
        <v>4</v>
      </c>
    </row>
    <row r="1390" spans="1:33" ht="15" customHeight="1" x14ac:dyDescent="0.2">
      <c r="A1390" s="11" t="str">
        <f t="shared" ref="A1390:A1734" si="581">HYPERLINK("https://assets.vans.eu/images/VN000PN9ZX7-HERO/1","VN000PN9ZX71")</f>
        <v>VN000PN9ZX71</v>
      </c>
      <c r="B1390" s="12" t="s">
        <v>5473</v>
      </c>
      <c r="C1390" s="12" t="s">
        <v>3457</v>
      </c>
      <c r="D1390" s="12" t="s">
        <v>3458</v>
      </c>
      <c r="E1390" s="12" t="s">
        <v>5474</v>
      </c>
      <c r="F1390" s="12" t="s">
        <v>60</v>
      </c>
      <c r="G1390" s="14"/>
      <c r="H1390" s="12" t="s">
        <v>61</v>
      </c>
      <c r="I1390" s="12" t="s">
        <v>230</v>
      </c>
      <c r="J1390" s="12" t="s">
        <v>419</v>
      </c>
      <c r="K1390" s="12" t="s">
        <v>199</v>
      </c>
      <c r="L1390" s="14"/>
      <c r="M1390" s="12" t="s">
        <v>43</v>
      </c>
      <c r="N1390" s="12" t="s">
        <v>84</v>
      </c>
      <c r="O1390" s="12" t="s">
        <v>5475</v>
      </c>
      <c r="P1390" s="12" t="s">
        <v>66</v>
      </c>
      <c r="Q1390" s="12" t="s">
        <v>67</v>
      </c>
      <c r="R1390" s="12" t="s">
        <v>421</v>
      </c>
      <c r="S1390" s="13">
        <v>197804362639</v>
      </c>
      <c r="T1390" s="12" t="s">
        <v>49</v>
      </c>
      <c r="U1390" s="12" t="s">
        <v>60</v>
      </c>
      <c r="V1390" s="12" t="s">
        <v>665</v>
      </c>
      <c r="W1390" s="12" t="s">
        <v>625</v>
      </c>
      <c r="X1390" s="14"/>
      <c r="Y1390" s="14"/>
      <c r="Z1390" s="14"/>
      <c r="AA1390" s="14"/>
      <c r="AB1390" s="14"/>
      <c r="AC1390" s="15">
        <v>19.100000000000001</v>
      </c>
      <c r="AD1390" s="15">
        <f>AC1390*AG1390</f>
        <v>76.400000000000006</v>
      </c>
      <c r="AE1390" s="15">
        <v>42</v>
      </c>
      <c r="AF1390" s="15">
        <f>AE1390*AG1390</f>
        <v>168</v>
      </c>
      <c r="AG1390" s="16">
        <v>4</v>
      </c>
    </row>
    <row r="1391" spans="1:33" ht="15" customHeight="1" x14ac:dyDescent="0.2">
      <c r="A1391" s="11" t="str">
        <f t="shared" si="498"/>
        <v>VN000PQWBLK1</v>
      </c>
      <c r="B1391" s="12" t="s">
        <v>5476</v>
      </c>
      <c r="C1391" s="12" t="s">
        <v>4766</v>
      </c>
      <c r="D1391" s="12" t="s">
        <v>76</v>
      </c>
      <c r="E1391" s="12" t="s">
        <v>5477</v>
      </c>
      <c r="F1391" s="12" t="s">
        <v>153</v>
      </c>
      <c r="G1391" s="14"/>
      <c r="H1391" s="12" t="s">
        <v>61</v>
      </c>
      <c r="I1391" s="12" t="s">
        <v>289</v>
      </c>
      <c r="J1391" s="12" t="s">
        <v>706</v>
      </c>
      <c r="K1391" s="12" t="s">
        <v>100</v>
      </c>
      <c r="L1391" s="14"/>
      <c r="M1391" s="12" t="s">
        <v>43</v>
      </c>
      <c r="N1391" s="12" t="s">
        <v>84</v>
      </c>
      <c r="O1391" s="12" t="s">
        <v>5478</v>
      </c>
      <c r="P1391" s="12" t="s">
        <v>66</v>
      </c>
      <c r="Q1391" s="12" t="s">
        <v>67</v>
      </c>
      <c r="R1391" s="12" t="s">
        <v>1146</v>
      </c>
      <c r="S1391" s="13">
        <v>197804611638</v>
      </c>
      <c r="T1391" s="12" t="s">
        <v>709</v>
      </c>
      <c r="U1391" s="12" t="s">
        <v>153</v>
      </c>
      <c r="V1391" s="12" t="s">
        <v>665</v>
      </c>
      <c r="W1391" s="12" t="s">
        <v>51</v>
      </c>
      <c r="X1391" s="14"/>
      <c r="Y1391" s="14"/>
      <c r="Z1391" s="14"/>
      <c r="AA1391" s="14"/>
      <c r="AB1391" s="14"/>
      <c r="AC1391" s="15">
        <v>13.65</v>
      </c>
      <c r="AD1391" s="15">
        <f>AC1391*AG1391</f>
        <v>54.6</v>
      </c>
      <c r="AE1391" s="15">
        <v>30</v>
      </c>
      <c r="AF1391" s="15">
        <f>AE1391*AG1391</f>
        <v>120</v>
      </c>
      <c r="AG1391" s="16">
        <v>4</v>
      </c>
    </row>
    <row r="1392" spans="1:33" ht="15" customHeight="1" x14ac:dyDescent="0.2">
      <c r="A1392" s="11" t="str">
        <f t="shared" ref="A1392:A1749" si="582">HYPERLINK("https://assets.vans.eu/images/VN000PREEMW-HERO/1","VN000PREEMW1")</f>
        <v>VN000PREEMW1</v>
      </c>
      <c r="B1392" s="12" t="s">
        <v>5479</v>
      </c>
      <c r="C1392" s="12" t="s">
        <v>5480</v>
      </c>
      <c r="D1392" s="12" t="s">
        <v>147</v>
      </c>
      <c r="E1392" s="12" t="s">
        <v>5481</v>
      </c>
      <c r="F1392" s="12" t="s">
        <v>153</v>
      </c>
      <c r="G1392" s="14"/>
      <c r="H1392" s="12" t="s">
        <v>61</v>
      </c>
      <c r="I1392" s="12" t="s">
        <v>289</v>
      </c>
      <c r="J1392" s="12" t="s">
        <v>706</v>
      </c>
      <c r="K1392" s="12" t="s">
        <v>100</v>
      </c>
      <c r="L1392" s="14"/>
      <c r="M1392" s="12" t="s">
        <v>43</v>
      </c>
      <c r="N1392" s="12" t="s">
        <v>84</v>
      </c>
      <c r="O1392" s="12" t="s">
        <v>5482</v>
      </c>
      <c r="P1392" s="12" t="s">
        <v>66</v>
      </c>
      <c r="Q1392" s="12" t="s">
        <v>67</v>
      </c>
      <c r="R1392" s="12" t="s">
        <v>1146</v>
      </c>
      <c r="S1392" s="13">
        <v>197804393022</v>
      </c>
      <c r="T1392" s="12" t="s">
        <v>709</v>
      </c>
      <c r="U1392" s="12" t="s">
        <v>153</v>
      </c>
      <c r="V1392" s="12" t="s">
        <v>665</v>
      </c>
      <c r="W1392" s="12" t="s">
        <v>118</v>
      </c>
      <c r="X1392" s="14"/>
      <c r="Y1392" s="14"/>
      <c r="Z1392" s="14"/>
      <c r="AA1392" s="14"/>
      <c r="AB1392" s="14"/>
      <c r="AC1392" s="15">
        <v>18.2</v>
      </c>
      <c r="AD1392" s="15">
        <f>AC1392*AG1392</f>
        <v>72.8</v>
      </c>
      <c r="AE1392" s="15">
        <v>40</v>
      </c>
      <c r="AF1392" s="15">
        <f>AE1392*AG1392</f>
        <v>160</v>
      </c>
      <c r="AG1392" s="16">
        <v>4</v>
      </c>
    </row>
    <row r="1393" spans="1:33" ht="15" customHeight="1" x14ac:dyDescent="0.2">
      <c r="A1393" s="11" t="str">
        <f t="shared" ref="A1393:A3467" si="583">HYPERLINK("https://assets.vans.eu/images/VN000PTGEN7-HERO/1","VN000PTGEN71")</f>
        <v>VN000PTGEN71</v>
      </c>
      <c r="B1393" s="12" t="s">
        <v>5483</v>
      </c>
      <c r="C1393" s="12" t="s">
        <v>5484</v>
      </c>
      <c r="D1393" s="12" t="s">
        <v>295</v>
      </c>
      <c r="E1393" s="12" t="s">
        <v>5485</v>
      </c>
      <c r="F1393" s="12" t="s">
        <v>179</v>
      </c>
      <c r="G1393" s="14"/>
      <c r="H1393" s="12" t="s">
        <v>61</v>
      </c>
      <c r="I1393" s="12" t="s">
        <v>62</v>
      </c>
      <c r="J1393" s="12" t="s">
        <v>63</v>
      </c>
      <c r="K1393" s="12" t="s">
        <v>1022</v>
      </c>
      <c r="L1393" s="14"/>
      <c r="M1393" s="12" t="s">
        <v>43</v>
      </c>
      <c r="N1393" s="12" t="s">
        <v>84</v>
      </c>
      <c r="O1393" s="12" t="s">
        <v>5486</v>
      </c>
      <c r="P1393" s="12" t="s">
        <v>66</v>
      </c>
      <c r="Q1393" s="12" t="s">
        <v>67</v>
      </c>
      <c r="R1393" s="12" t="s">
        <v>68</v>
      </c>
      <c r="S1393" s="13">
        <v>197804363995</v>
      </c>
      <c r="T1393" s="12" t="s">
        <v>709</v>
      </c>
      <c r="U1393" s="12" t="s">
        <v>179</v>
      </c>
      <c r="V1393" s="12" t="s">
        <v>423</v>
      </c>
      <c r="W1393" s="12" t="s">
        <v>299</v>
      </c>
      <c r="X1393" s="14"/>
      <c r="Y1393" s="14"/>
      <c r="Z1393" s="14"/>
      <c r="AA1393" s="14"/>
      <c r="AB1393" s="14"/>
      <c r="AC1393" s="15">
        <v>13.65</v>
      </c>
      <c r="AD1393" s="15">
        <f>AC1393*AG1393</f>
        <v>54.6</v>
      </c>
      <c r="AE1393" s="15">
        <v>30</v>
      </c>
      <c r="AF1393" s="15">
        <f>AE1393*AG1393</f>
        <v>120</v>
      </c>
      <c r="AG1393" s="16">
        <v>4</v>
      </c>
    </row>
    <row r="1394" spans="1:33" ht="15" customHeight="1" x14ac:dyDescent="0.2">
      <c r="A1394" s="11" t="str">
        <f t="shared" ref="A1394:A3474" si="584">HYPERLINK("https://assets.vans.eu/images/VN000PUEFS8-HERO/1","VN000PUEFS81")</f>
        <v>VN000PUEFS81</v>
      </c>
      <c r="B1394" s="12" t="s">
        <v>5487</v>
      </c>
      <c r="C1394" s="12" t="s">
        <v>5488</v>
      </c>
      <c r="D1394" s="12" t="s">
        <v>239</v>
      </c>
      <c r="E1394" s="12" t="s">
        <v>5489</v>
      </c>
      <c r="F1394" s="12" t="s">
        <v>403</v>
      </c>
      <c r="G1394" s="14"/>
      <c r="H1394" s="12" t="s">
        <v>61</v>
      </c>
      <c r="I1394" s="12" t="s">
        <v>62</v>
      </c>
      <c r="J1394" s="12" t="s">
        <v>63</v>
      </c>
      <c r="K1394" s="12" t="s">
        <v>1022</v>
      </c>
      <c r="L1394" s="14"/>
      <c r="M1394" s="12" t="s">
        <v>43</v>
      </c>
      <c r="N1394" s="12" t="s">
        <v>84</v>
      </c>
      <c r="O1394" s="12" t="s">
        <v>5490</v>
      </c>
      <c r="P1394" s="12" t="s">
        <v>66</v>
      </c>
      <c r="Q1394" s="12" t="s">
        <v>67</v>
      </c>
      <c r="R1394" s="12" t="s">
        <v>68</v>
      </c>
      <c r="S1394" s="13">
        <v>197804364732</v>
      </c>
      <c r="T1394" s="12" t="s">
        <v>915</v>
      </c>
      <c r="U1394" s="12" t="s">
        <v>403</v>
      </c>
      <c r="V1394" s="12" t="s">
        <v>1028</v>
      </c>
      <c r="W1394" s="12" t="s">
        <v>175</v>
      </c>
      <c r="X1394" s="14"/>
      <c r="Y1394" s="14"/>
      <c r="Z1394" s="14"/>
      <c r="AA1394" s="14"/>
      <c r="AB1394" s="14"/>
      <c r="AC1394" s="15">
        <v>15.95</v>
      </c>
      <c r="AD1394" s="15">
        <f>AC1394*AG1394</f>
        <v>63.8</v>
      </c>
      <c r="AE1394" s="15">
        <v>35</v>
      </c>
      <c r="AF1394" s="15">
        <f>AE1394*AG1394</f>
        <v>140</v>
      </c>
      <c r="AG1394" s="16">
        <v>4</v>
      </c>
    </row>
    <row r="1395" spans="1:33" ht="15" customHeight="1" x14ac:dyDescent="0.2">
      <c r="A1395" s="11" t="str">
        <f t="shared" ref="A1395:A1396" si="585">HYPERLINK("https://assets.vans.eu/images/VN000PXSWHT-HERO/1","VN000PXSWHT1")</f>
        <v>VN000PXSWHT1</v>
      </c>
      <c r="B1395" s="12" t="s">
        <v>5491</v>
      </c>
      <c r="C1395" s="12" t="s">
        <v>976</v>
      </c>
      <c r="D1395" s="12" t="s">
        <v>168</v>
      </c>
      <c r="E1395" s="12" t="s">
        <v>5492</v>
      </c>
      <c r="F1395" s="12" t="s">
        <v>170</v>
      </c>
      <c r="G1395" s="14"/>
      <c r="H1395" s="12" t="s">
        <v>61</v>
      </c>
      <c r="I1395" s="12" t="s">
        <v>62</v>
      </c>
      <c r="J1395" s="12" t="s">
        <v>63</v>
      </c>
      <c r="K1395" s="12" t="s">
        <v>64</v>
      </c>
      <c r="L1395" s="14"/>
      <c r="M1395" s="12" t="s">
        <v>43</v>
      </c>
      <c r="N1395" s="12" t="s">
        <v>84</v>
      </c>
      <c r="O1395" s="12" t="s">
        <v>5493</v>
      </c>
      <c r="P1395" s="12" t="s">
        <v>66</v>
      </c>
      <c r="Q1395" s="12" t="s">
        <v>67</v>
      </c>
      <c r="R1395" s="12" t="s">
        <v>68</v>
      </c>
      <c r="S1395" s="13">
        <v>197804365753</v>
      </c>
      <c r="T1395" s="12" t="s">
        <v>915</v>
      </c>
      <c r="U1395" s="12" t="s">
        <v>170</v>
      </c>
      <c r="V1395" s="12" t="s">
        <v>1028</v>
      </c>
      <c r="W1395" s="12" t="s">
        <v>175</v>
      </c>
      <c r="X1395" s="14"/>
      <c r="Y1395" s="14"/>
      <c r="Z1395" s="14"/>
      <c r="AA1395" s="14"/>
      <c r="AB1395" s="14"/>
      <c r="AC1395" s="15">
        <v>13.65</v>
      </c>
      <c r="AD1395" s="15">
        <f>AC1395*AG1395</f>
        <v>54.6</v>
      </c>
      <c r="AE1395" s="15">
        <v>30</v>
      </c>
      <c r="AF1395" s="15">
        <f>AE1395*AG1395</f>
        <v>120</v>
      </c>
      <c r="AG1395" s="16">
        <v>4</v>
      </c>
    </row>
    <row r="1396" spans="1:33" ht="15" customHeight="1" x14ac:dyDescent="0.2">
      <c r="A1396" s="11" t="str">
        <f t="shared" si="585"/>
        <v>VN000PXSWHT1</v>
      </c>
      <c r="B1396" s="12" t="s">
        <v>5494</v>
      </c>
      <c r="C1396" s="12" t="s">
        <v>976</v>
      </c>
      <c r="D1396" s="12" t="s">
        <v>168</v>
      </c>
      <c r="E1396" s="12" t="s">
        <v>5495</v>
      </c>
      <c r="F1396" s="12" t="s">
        <v>403</v>
      </c>
      <c r="G1396" s="14"/>
      <c r="H1396" s="12" t="s">
        <v>61</v>
      </c>
      <c r="I1396" s="12" t="s">
        <v>62</v>
      </c>
      <c r="J1396" s="12" t="s">
        <v>63</v>
      </c>
      <c r="K1396" s="12" t="s">
        <v>64</v>
      </c>
      <c r="L1396" s="14"/>
      <c r="M1396" s="12" t="s">
        <v>43</v>
      </c>
      <c r="N1396" s="12" t="s">
        <v>84</v>
      </c>
      <c r="O1396" s="12" t="s">
        <v>5496</v>
      </c>
      <c r="P1396" s="12" t="s">
        <v>66</v>
      </c>
      <c r="Q1396" s="12" t="s">
        <v>67</v>
      </c>
      <c r="R1396" s="12" t="s">
        <v>68</v>
      </c>
      <c r="S1396" s="13">
        <v>197804365913</v>
      </c>
      <c r="T1396" s="12" t="s">
        <v>915</v>
      </c>
      <c r="U1396" s="12" t="s">
        <v>403</v>
      </c>
      <c r="V1396" s="12" t="s">
        <v>1028</v>
      </c>
      <c r="W1396" s="12" t="s">
        <v>175</v>
      </c>
      <c r="X1396" s="14"/>
      <c r="Y1396" s="14"/>
      <c r="Z1396" s="14"/>
      <c r="AA1396" s="14"/>
      <c r="AB1396" s="14"/>
      <c r="AC1396" s="15">
        <v>13.65</v>
      </c>
      <c r="AD1396" s="15">
        <f>AC1396*AG1396</f>
        <v>54.6</v>
      </c>
      <c r="AE1396" s="15">
        <v>30</v>
      </c>
      <c r="AF1396" s="15">
        <f>AE1396*AG1396</f>
        <v>120</v>
      </c>
      <c r="AG1396" s="16">
        <v>4</v>
      </c>
    </row>
    <row r="1397" spans="1:33" ht="15" customHeight="1" x14ac:dyDescent="0.2">
      <c r="A1397" s="11" t="str">
        <f t="shared" si="327"/>
        <v>VN000PXWWHT1</v>
      </c>
      <c r="B1397" s="12" t="s">
        <v>5497</v>
      </c>
      <c r="C1397" s="12" t="s">
        <v>3164</v>
      </c>
      <c r="D1397" s="12" t="s">
        <v>168</v>
      </c>
      <c r="E1397" s="12" t="s">
        <v>5498</v>
      </c>
      <c r="F1397" s="12" t="s">
        <v>403</v>
      </c>
      <c r="G1397" s="14"/>
      <c r="H1397" s="12" t="s">
        <v>61</v>
      </c>
      <c r="I1397" s="12" t="s">
        <v>62</v>
      </c>
      <c r="J1397" s="12" t="s">
        <v>63</v>
      </c>
      <c r="K1397" s="12" t="s">
        <v>64</v>
      </c>
      <c r="L1397" s="14"/>
      <c r="M1397" s="12" t="s">
        <v>43</v>
      </c>
      <c r="N1397" s="12" t="s">
        <v>84</v>
      </c>
      <c r="O1397" s="12" t="s">
        <v>5499</v>
      </c>
      <c r="P1397" s="12" t="s">
        <v>66</v>
      </c>
      <c r="Q1397" s="12" t="s">
        <v>67</v>
      </c>
      <c r="R1397" s="12" t="s">
        <v>68</v>
      </c>
      <c r="S1397" s="13">
        <v>197804765980</v>
      </c>
      <c r="T1397" s="12" t="s">
        <v>915</v>
      </c>
      <c r="U1397" s="12" t="s">
        <v>403</v>
      </c>
      <c r="V1397" s="12" t="s">
        <v>1028</v>
      </c>
      <c r="W1397" s="12" t="s">
        <v>175</v>
      </c>
      <c r="X1397" s="14"/>
      <c r="Y1397" s="14"/>
      <c r="Z1397" s="14"/>
      <c r="AA1397" s="14"/>
      <c r="AB1397" s="14"/>
      <c r="AC1397" s="15">
        <v>15.95</v>
      </c>
      <c r="AD1397" s="15">
        <f>AC1397*AG1397</f>
        <v>63.8</v>
      </c>
      <c r="AE1397" s="15">
        <v>35</v>
      </c>
      <c r="AF1397" s="15">
        <f>AE1397*AG1397</f>
        <v>140</v>
      </c>
      <c r="AG1397" s="16">
        <v>4</v>
      </c>
    </row>
    <row r="1398" spans="1:33" ht="15" customHeight="1" x14ac:dyDescent="0.2">
      <c r="A1398" s="11" t="str">
        <f t="shared" ref="A1398:A2313" si="586">HYPERLINK("https://assets.vans.eu/images/VN000PY4BLK-HERO/1","VN000PY4BLK1")</f>
        <v>VN000PY4BLK1</v>
      </c>
      <c r="B1398" s="12" t="s">
        <v>5500</v>
      </c>
      <c r="C1398" s="12" t="s">
        <v>3168</v>
      </c>
      <c r="D1398" s="12" t="s">
        <v>76</v>
      </c>
      <c r="E1398" s="12" t="s">
        <v>5501</v>
      </c>
      <c r="F1398" s="12" t="s">
        <v>170</v>
      </c>
      <c r="G1398" s="14"/>
      <c r="H1398" s="12" t="s">
        <v>61</v>
      </c>
      <c r="I1398" s="12" t="s">
        <v>62</v>
      </c>
      <c r="J1398" s="12" t="s">
        <v>63</v>
      </c>
      <c r="K1398" s="12" t="s">
        <v>64</v>
      </c>
      <c r="L1398" s="14"/>
      <c r="M1398" s="12" t="s">
        <v>43</v>
      </c>
      <c r="N1398" s="12" t="s">
        <v>84</v>
      </c>
      <c r="O1398" s="12" t="s">
        <v>5502</v>
      </c>
      <c r="P1398" s="12" t="s">
        <v>66</v>
      </c>
      <c r="Q1398" s="12" t="s">
        <v>67</v>
      </c>
      <c r="R1398" s="12" t="s">
        <v>68</v>
      </c>
      <c r="S1398" s="13">
        <v>197804366026</v>
      </c>
      <c r="T1398" s="12" t="s">
        <v>915</v>
      </c>
      <c r="U1398" s="12" t="s">
        <v>170</v>
      </c>
      <c r="V1398" s="12" t="s">
        <v>1028</v>
      </c>
      <c r="W1398" s="12" t="s">
        <v>51</v>
      </c>
      <c r="X1398" s="14"/>
      <c r="Y1398" s="14"/>
      <c r="Z1398" s="14"/>
      <c r="AA1398" s="14"/>
      <c r="AB1398" s="14"/>
      <c r="AC1398" s="15">
        <v>13.65</v>
      </c>
      <c r="AD1398" s="15">
        <f>AC1398*AG1398</f>
        <v>54.6</v>
      </c>
      <c r="AE1398" s="15">
        <v>30</v>
      </c>
      <c r="AF1398" s="15">
        <f>AE1398*AG1398</f>
        <v>120</v>
      </c>
      <c r="AG1398" s="16">
        <v>4</v>
      </c>
    </row>
    <row r="1399" spans="1:33" ht="15" customHeight="1" x14ac:dyDescent="0.2">
      <c r="A1399" s="11" t="str">
        <f>HYPERLINK("https://assets.vans.eu/images/VN000PY8EMF-HERO/1","VN000PY8EMF1")</f>
        <v>VN000PY8EMF1</v>
      </c>
      <c r="B1399" s="12" t="s">
        <v>5503</v>
      </c>
      <c r="C1399" s="12" t="s">
        <v>5504</v>
      </c>
      <c r="D1399" s="12" t="s">
        <v>1282</v>
      </c>
      <c r="E1399" s="12" t="s">
        <v>5505</v>
      </c>
      <c r="F1399" s="12" t="s">
        <v>403</v>
      </c>
      <c r="G1399" s="14"/>
      <c r="H1399" s="12" t="s">
        <v>61</v>
      </c>
      <c r="I1399" s="12" t="s">
        <v>62</v>
      </c>
      <c r="J1399" s="12" t="s">
        <v>63</v>
      </c>
      <c r="K1399" s="12" t="s">
        <v>64</v>
      </c>
      <c r="L1399" s="14"/>
      <c r="M1399" s="12" t="s">
        <v>43</v>
      </c>
      <c r="N1399" s="12" t="s">
        <v>84</v>
      </c>
      <c r="O1399" s="12" t="s">
        <v>5506</v>
      </c>
      <c r="P1399" s="12" t="s">
        <v>66</v>
      </c>
      <c r="Q1399" s="12" t="s">
        <v>67</v>
      </c>
      <c r="R1399" s="12" t="s">
        <v>68</v>
      </c>
      <c r="S1399" s="13">
        <v>197804366293</v>
      </c>
      <c r="T1399" s="12" t="s">
        <v>915</v>
      </c>
      <c r="U1399" s="12" t="s">
        <v>403</v>
      </c>
      <c r="V1399" s="12" t="s">
        <v>1028</v>
      </c>
      <c r="W1399" s="12" t="s">
        <v>118</v>
      </c>
      <c r="X1399" s="14"/>
      <c r="Y1399" s="14"/>
      <c r="Z1399" s="14"/>
      <c r="AA1399" s="14"/>
      <c r="AB1399" s="14"/>
      <c r="AC1399" s="15">
        <v>13.65</v>
      </c>
      <c r="AD1399" s="15">
        <f>AC1399*AG1399</f>
        <v>54.6</v>
      </c>
      <c r="AE1399" s="15">
        <v>30</v>
      </c>
      <c r="AF1399" s="15">
        <f>AE1399*AG1399</f>
        <v>120</v>
      </c>
      <c r="AG1399" s="16">
        <v>4</v>
      </c>
    </row>
    <row r="1400" spans="1:33" ht="15" customHeight="1" x14ac:dyDescent="0.2">
      <c r="A1400" s="11" t="str">
        <f>HYPERLINK("https://assets.vans.eu/images/VN000Q08BLK-HERO/1","VN000Q08BLK1")</f>
        <v>VN000Q08BLK1</v>
      </c>
      <c r="B1400" s="12" t="s">
        <v>5507</v>
      </c>
      <c r="C1400" s="12" t="s">
        <v>1567</v>
      </c>
      <c r="D1400" s="12" t="s">
        <v>76</v>
      </c>
      <c r="E1400" s="12" t="s">
        <v>5508</v>
      </c>
      <c r="F1400" s="13">
        <v>30</v>
      </c>
      <c r="G1400" s="14"/>
      <c r="H1400" s="12" t="s">
        <v>61</v>
      </c>
      <c r="I1400" s="12" t="s">
        <v>62</v>
      </c>
      <c r="J1400" s="12" t="s">
        <v>972</v>
      </c>
      <c r="K1400" s="12" t="s">
        <v>64</v>
      </c>
      <c r="L1400" s="14"/>
      <c r="M1400" s="12" t="s">
        <v>43</v>
      </c>
      <c r="N1400" s="12" t="s">
        <v>84</v>
      </c>
      <c r="O1400" s="12" t="s">
        <v>5509</v>
      </c>
      <c r="P1400" s="12" t="s">
        <v>66</v>
      </c>
      <c r="Q1400" s="12" t="s">
        <v>233</v>
      </c>
      <c r="R1400" s="12" t="s">
        <v>974</v>
      </c>
      <c r="S1400" s="13">
        <v>197804669646</v>
      </c>
      <c r="T1400" s="12" t="s">
        <v>235</v>
      </c>
      <c r="U1400" s="13">
        <v>30</v>
      </c>
      <c r="V1400" s="12" t="s">
        <v>1570</v>
      </c>
      <c r="W1400" s="12" t="s">
        <v>51</v>
      </c>
      <c r="X1400" s="14"/>
      <c r="Y1400" s="14"/>
      <c r="Z1400" s="14"/>
      <c r="AA1400" s="14"/>
      <c r="AB1400" s="14"/>
      <c r="AC1400" s="15">
        <v>27.3</v>
      </c>
      <c r="AD1400" s="15">
        <f>AC1400*AG1400</f>
        <v>109.2</v>
      </c>
      <c r="AE1400" s="15">
        <v>60</v>
      </c>
      <c r="AF1400" s="15">
        <f>AE1400*AG1400</f>
        <v>240</v>
      </c>
      <c r="AG1400" s="16">
        <v>4</v>
      </c>
    </row>
    <row r="1401" spans="1:33" ht="15" customHeight="1" x14ac:dyDescent="0.2">
      <c r="A1401" s="11" t="str">
        <f t="shared" ref="A1401:A1772" si="587">HYPERLINK("https://assets.vans.eu/images/VN000Q0PEMP-HERO/1","VN000Q0PEMP1")</f>
        <v>VN000Q0PEMP1</v>
      </c>
      <c r="B1401" s="12" t="s">
        <v>5510</v>
      </c>
      <c r="C1401" s="12" t="s">
        <v>2737</v>
      </c>
      <c r="D1401" s="12" t="s">
        <v>704</v>
      </c>
      <c r="E1401" s="12" t="s">
        <v>5511</v>
      </c>
      <c r="F1401" s="12" t="s">
        <v>60</v>
      </c>
      <c r="G1401" s="14"/>
      <c r="H1401" s="12" t="s">
        <v>61</v>
      </c>
      <c r="I1401" s="12" t="s">
        <v>289</v>
      </c>
      <c r="J1401" s="12" t="s">
        <v>706</v>
      </c>
      <c r="K1401" s="12" t="s">
        <v>100</v>
      </c>
      <c r="L1401" s="14"/>
      <c r="M1401" s="12" t="s">
        <v>43</v>
      </c>
      <c r="N1401" s="12" t="s">
        <v>84</v>
      </c>
      <c r="O1401" s="12" t="s">
        <v>5512</v>
      </c>
      <c r="P1401" s="12" t="s">
        <v>66</v>
      </c>
      <c r="Q1401" s="12" t="s">
        <v>67</v>
      </c>
      <c r="R1401" s="12" t="s">
        <v>1200</v>
      </c>
      <c r="S1401" s="13">
        <v>197804582488</v>
      </c>
      <c r="T1401" s="12" t="s">
        <v>49</v>
      </c>
      <c r="U1401" s="12" t="s">
        <v>60</v>
      </c>
      <c r="V1401" s="12" t="s">
        <v>665</v>
      </c>
      <c r="W1401" s="12" t="s">
        <v>186</v>
      </c>
      <c r="X1401" s="14"/>
      <c r="Y1401" s="14"/>
      <c r="Z1401" s="14"/>
      <c r="AA1401" s="14"/>
      <c r="AB1401" s="14"/>
      <c r="AC1401" s="15">
        <v>20.5</v>
      </c>
      <c r="AD1401" s="15">
        <f>AC1401*AG1401</f>
        <v>82</v>
      </c>
      <c r="AE1401" s="15">
        <v>45</v>
      </c>
      <c r="AF1401" s="15">
        <f>AE1401*AG1401</f>
        <v>180</v>
      </c>
      <c r="AG1401" s="16">
        <v>4</v>
      </c>
    </row>
    <row r="1402" spans="1:33" ht="15" customHeight="1" x14ac:dyDescent="0.2">
      <c r="A1402" s="11" t="str">
        <f t="shared" si="360"/>
        <v>VN000Q30BLK1</v>
      </c>
      <c r="B1402" s="12" t="s">
        <v>5513</v>
      </c>
      <c r="C1402" s="12" t="s">
        <v>3472</v>
      </c>
      <c r="D1402" s="12" t="s">
        <v>76</v>
      </c>
      <c r="E1402" s="12" t="s">
        <v>5514</v>
      </c>
      <c r="F1402" s="12" t="s">
        <v>138</v>
      </c>
      <c r="G1402" s="14"/>
      <c r="H1402" s="12" t="s">
        <v>61</v>
      </c>
      <c r="I1402" s="12" t="s">
        <v>289</v>
      </c>
      <c r="J1402" s="12" t="s">
        <v>706</v>
      </c>
      <c r="K1402" s="12" t="s">
        <v>100</v>
      </c>
      <c r="L1402" s="14"/>
      <c r="M1402" s="12" t="s">
        <v>43</v>
      </c>
      <c r="N1402" s="12" t="s">
        <v>84</v>
      </c>
      <c r="O1402" s="12" t="s">
        <v>5515</v>
      </c>
      <c r="P1402" s="12" t="s">
        <v>66</v>
      </c>
      <c r="Q1402" s="12" t="s">
        <v>67</v>
      </c>
      <c r="R1402" s="12" t="s">
        <v>708</v>
      </c>
      <c r="S1402" s="13">
        <v>197804368525</v>
      </c>
      <c r="T1402" s="12" t="s">
        <v>709</v>
      </c>
      <c r="U1402" s="12" t="s">
        <v>138</v>
      </c>
      <c r="V1402" s="12" t="s">
        <v>710</v>
      </c>
      <c r="W1402" s="12" t="s">
        <v>51</v>
      </c>
      <c r="X1402" s="14"/>
      <c r="Y1402" s="14"/>
      <c r="Z1402" s="14"/>
      <c r="AA1402" s="14"/>
      <c r="AB1402" s="14"/>
      <c r="AC1402" s="15">
        <v>31.85</v>
      </c>
      <c r="AD1402" s="15">
        <f>AC1402*AG1402</f>
        <v>127.4</v>
      </c>
      <c r="AE1402" s="15">
        <v>70</v>
      </c>
      <c r="AF1402" s="15">
        <f>AE1402*AG1402</f>
        <v>280</v>
      </c>
      <c r="AG1402" s="16">
        <v>4</v>
      </c>
    </row>
    <row r="1403" spans="1:33" ht="15" customHeight="1" x14ac:dyDescent="0.2">
      <c r="A1403" s="11" t="str">
        <f>HYPERLINK("https://assets.vans.eu/images/VN000Q35EMP-HERO/1","VN000Q35EMP1")</f>
        <v>VN000Q35EMP1</v>
      </c>
      <c r="B1403" s="12" t="s">
        <v>5516</v>
      </c>
      <c r="C1403" s="12" t="s">
        <v>703</v>
      </c>
      <c r="D1403" s="12" t="s">
        <v>704</v>
      </c>
      <c r="E1403" s="12" t="s">
        <v>5517</v>
      </c>
      <c r="F1403" s="12" t="s">
        <v>60</v>
      </c>
      <c r="G1403" s="14"/>
      <c r="H1403" s="12" t="s">
        <v>61</v>
      </c>
      <c r="I1403" s="12" t="s">
        <v>289</v>
      </c>
      <c r="J1403" s="12" t="s">
        <v>706</v>
      </c>
      <c r="K1403" s="12" t="s">
        <v>100</v>
      </c>
      <c r="L1403" s="14"/>
      <c r="M1403" s="12" t="s">
        <v>43</v>
      </c>
      <c r="N1403" s="12" t="s">
        <v>84</v>
      </c>
      <c r="O1403" s="12" t="s">
        <v>5518</v>
      </c>
      <c r="P1403" s="12" t="s">
        <v>66</v>
      </c>
      <c r="Q1403" s="12" t="s">
        <v>67</v>
      </c>
      <c r="R1403" s="12" t="s">
        <v>708</v>
      </c>
      <c r="S1403" s="13">
        <v>197804686964</v>
      </c>
      <c r="T1403" s="12" t="s">
        <v>709</v>
      </c>
      <c r="U1403" s="12" t="s">
        <v>60</v>
      </c>
      <c r="V1403" s="12" t="s">
        <v>710</v>
      </c>
      <c r="W1403" s="12" t="s">
        <v>186</v>
      </c>
      <c r="X1403" s="14"/>
      <c r="Y1403" s="14"/>
      <c r="Z1403" s="14"/>
      <c r="AA1403" s="14"/>
      <c r="AB1403" s="14"/>
      <c r="AC1403" s="15">
        <v>34.1</v>
      </c>
      <c r="AD1403" s="15">
        <f>AC1403*AG1403</f>
        <v>136.4</v>
      </c>
      <c r="AE1403" s="15">
        <v>75</v>
      </c>
      <c r="AF1403" s="15">
        <f>AE1403*AG1403</f>
        <v>300</v>
      </c>
      <c r="AG1403" s="16">
        <v>4</v>
      </c>
    </row>
    <row r="1404" spans="1:33" ht="15" customHeight="1" x14ac:dyDescent="0.2">
      <c r="A1404" s="11" t="str">
        <f>HYPERLINK("https://assets.vans.eu/images/VN000Q35EMP-HERO/1","VN000Q35EMP1")</f>
        <v>VN000Q35EMP1</v>
      </c>
      <c r="B1404" s="12" t="s">
        <v>5519</v>
      </c>
      <c r="C1404" s="12" t="s">
        <v>703</v>
      </c>
      <c r="D1404" s="12" t="s">
        <v>704</v>
      </c>
      <c r="E1404" s="12" t="s">
        <v>5520</v>
      </c>
      <c r="F1404" s="12" t="s">
        <v>138</v>
      </c>
      <c r="G1404" s="14"/>
      <c r="H1404" s="12" t="s">
        <v>61</v>
      </c>
      <c r="I1404" s="12" t="s">
        <v>289</v>
      </c>
      <c r="J1404" s="12" t="s">
        <v>706</v>
      </c>
      <c r="K1404" s="12" t="s">
        <v>100</v>
      </c>
      <c r="L1404" s="14"/>
      <c r="M1404" s="12" t="s">
        <v>43</v>
      </c>
      <c r="N1404" s="12" t="s">
        <v>84</v>
      </c>
      <c r="O1404" s="12" t="s">
        <v>5521</v>
      </c>
      <c r="P1404" s="12" t="s">
        <v>66</v>
      </c>
      <c r="Q1404" s="12" t="s">
        <v>67</v>
      </c>
      <c r="R1404" s="12" t="s">
        <v>708</v>
      </c>
      <c r="S1404" s="13">
        <v>197804687152</v>
      </c>
      <c r="T1404" s="12" t="s">
        <v>709</v>
      </c>
      <c r="U1404" s="12" t="s">
        <v>138</v>
      </c>
      <c r="V1404" s="12" t="s">
        <v>710</v>
      </c>
      <c r="W1404" s="12" t="s">
        <v>186</v>
      </c>
      <c r="X1404" s="14"/>
      <c r="Y1404" s="14"/>
      <c r="Z1404" s="14"/>
      <c r="AA1404" s="14"/>
      <c r="AB1404" s="14"/>
      <c r="AC1404" s="15">
        <v>34.1</v>
      </c>
      <c r="AD1404" s="15">
        <f>AC1404*AG1404</f>
        <v>136.4</v>
      </c>
      <c r="AE1404" s="15">
        <v>75</v>
      </c>
      <c r="AF1404" s="15">
        <f>AE1404*AG1404</f>
        <v>300</v>
      </c>
      <c r="AG1404" s="16">
        <v>4</v>
      </c>
    </row>
    <row r="1405" spans="1:33" ht="15" customHeight="1" x14ac:dyDescent="0.2">
      <c r="A1405" s="11" t="str">
        <f t="shared" si="244"/>
        <v>VN000Q39EN91</v>
      </c>
      <c r="B1405" s="12" t="s">
        <v>5522</v>
      </c>
      <c r="C1405" s="12" t="s">
        <v>2542</v>
      </c>
      <c r="D1405" s="12" t="s">
        <v>982</v>
      </c>
      <c r="E1405" s="12" t="s">
        <v>5523</v>
      </c>
      <c r="F1405" s="12" t="s">
        <v>179</v>
      </c>
      <c r="G1405" s="14"/>
      <c r="H1405" s="12" t="s">
        <v>61</v>
      </c>
      <c r="I1405" s="12" t="s">
        <v>289</v>
      </c>
      <c r="J1405" s="12" t="s">
        <v>706</v>
      </c>
      <c r="K1405" s="12" t="s">
        <v>100</v>
      </c>
      <c r="L1405" s="14"/>
      <c r="M1405" s="12" t="s">
        <v>43</v>
      </c>
      <c r="N1405" s="12" t="s">
        <v>84</v>
      </c>
      <c r="O1405" s="12" t="s">
        <v>5524</v>
      </c>
      <c r="P1405" s="12" t="s">
        <v>66</v>
      </c>
      <c r="Q1405" s="12" t="s">
        <v>67</v>
      </c>
      <c r="R1405" s="12" t="s">
        <v>708</v>
      </c>
      <c r="S1405" s="13">
        <v>197804368396</v>
      </c>
      <c r="T1405" s="12" t="s">
        <v>49</v>
      </c>
      <c r="U1405" s="12" t="s">
        <v>179</v>
      </c>
      <c r="V1405" s="12" t="s">
        <v>1343</v>
      </c>
      <c r="W1405" s="12" t="s">
        <v>455</v>
      </c>
      <c r="X1405" s="14"/>
      <c r="Y1405" s="14"/>
      <c r="Z1405" s="14"/>
      <c r="AA1405" s="14"/>
      <c r="AB1405" s="14"/>
      <c r="AC1405" s="15">
        <v>38.65</v>
      </c>
      <c r="AD1405" s="15">
        <f>AC1405*AG1405</f>
        <v>154.6</v>
      </c>
      <c r="AE1405" s="15">
        <v>85</v>
      </c>
      <c r="AF1405" s="15">
        <f>AE1405*AG1405</f>
        <v>340</v>
      </c>
      <c r="AG1405" s="16">
        <v>4</v>
      </c>
    </row>
    <row r="1406" spans="1:33" ht="15" customHeight="1" x14ac:dyDescent="0.2">
      <c r="A1406" s="11" t="str">
        <f t="shared" ref="A1406:A1775" si="588">HYPERLINK("https://assets.vans.eu/images/VN000Q39EN9-HERO/1","VN000Q39EN91")</f>
        <v>VN000Q39EN91</v>
      </c>
      <c r="B1406" s="12" t="s">
        <v>5525</v>
      </c>
      <c r="C1406" s="12" t="s">
        <v>2542</v>
      </c>
      <c r="D1406" s="12" t="s">
        <v>982</v>
      </c>
      <c r="E1406" s="12" t="s">
        <v>5526</v>
      </c>
      <c r="F1406" s="12" t="s">
        <v>60</v>
      </c>
      <c r="G1406" s="14"/>
      <c r="H1406" s="12" t="s">
        <v>61</v>
      </c>
      <c r="I1406" s="12" t="s">
        <v>289</v>
      </c>
      <c r="J1406" s="12" t="s">
        <v>706</v>
      </c>
      <c r="K1406" s="12" t="s">
        <v>100</v>
      </c>
      <c r="L1406" s="14"/>
      <c r="M1406" s="12" t="s">
        <v>43</v>
      </c>
      <c r="N1406" s="12" t="s">
        <v>84</v>
      </c>
      <c r="O1406" s="12" t="s">
        <v>5527</v>
      </c>
      <c r="P1406" s="12" t="s">
        <v>66</v>
      </c>
      <c r="Q1406" s="12" t="s">
        <v>67</v>
      </c>
      <c r="R1406" s="12" t="s">
        <v>708</v>
      </c>
      <c r="S1406" s="13">
        <v>197804368747</v>
      </c>
      <c r="T1406" s="12" t="s">
        <v>49</v>
      </c>
      <c r="U1406" s="12" t="s">
        <v>60</v>
      </c>
      <c r="V1406" s="12" t="s">
        <v>1343</v>
      </c>
      <c r="W1406" s="12" t="s">
        <v>455</v>
      </c>
      <c r="X1406" s="14"/>
      <c r="Y1406" s="14"/>
      <c r="Z1406" s="14"/>
      <c r="AA1406" s="14"/>
      <c r="AB1406" s="14"/>
      <c r="AC1406" s="15">
        <v>38.65</v>
      </c>
      <c r="AD1406" s="15">
        <f>AC1406*AG1406</f>
        <v>154.6</v>
      </c>
      <c r="AE1406" s="15">
        <v>85</v>
      </c>
      <c r="AF1406" s="15">
        <f>AE1406*AG1406</f>
        <v>340</v>
      </c>
      <c r="AG1406" s="16">
        <v>4</v>
      </c>
    </row>
    <row r="1407" spans="1:33" ht="15" customHeight="1" x14ac:dyDescent="0.2">
      <c r="A1407" s="11" t="str">
        <f>HYPERLINK("https://assets.vans.eu/images/VN000Q53EMS-HERO/1","VN000Q53EMS1")</f>
        <v>VN000Q53EMS1</v>
      </c>
      <c r="B1407" s="12" t="s">
        <v>5528</v>
      </c>
      <c r="C1407" s="12" t="s">
        <v>5529</v>
      </c>
      <c r="D1407" s="12" t="s">
        <v>863</v>
      </c>
      <c r="E1407" s="12" t="s">
        <v>5530</v>
      </c>
      <c r="F1407" s="12" t="s">
        <v>153</v>
      </c>
      <c r="G1407" s="14"/>
      <c r="H1407" s="12" t="s">
        <v>61</v>
      </c>
      <c r="I1407" s="12" t="s">
        <v>289</v>
      </c>
      <c r="J1407" s="12" t="s">
        <v>984</v>
      </c>
      <c r="K1407" s="12" t="s">
        <v>100</v>
      </c>
      <c r="L1407" s="14"/>
      <c r="M1407" s="12" t="s">
        <v>43</v>
      </c>
      <c r="N1407" s="12" t="s">
        <v>84</v>
      </c>
      <c r="O1407" s="12" t="s">
        <v>5531</v>
      </c>
      <c r="P1407" s="12" t="s">
        <v>66</v>
      </c>
      <c r="Q1407" s="12" t="s">
        <v>764</v>
      </c>
      <c r="R1407" s="12" t="s">
        <v>986</v>
      </c>
      <c r="S1407" s="13">
        <v>197804369317</v>
      </c>
      <c r="T1407" s="12" t="s">
        <v>235</v>
      </c>
      <c r="U1407" s="12" t="s">
        <v>153</v>
      </c>
      <c r="V1407" s="12" t="s">
        <v>90</v>
      </c>
      <c r="W1407" s="12" t="s">
        <v>107</v>
      </c>
      <c r="X1407" s="14"/>
      <c r="Y1407" s="14"/>
      <c r="Z1407" s="14"/>
      <c r="AA1407" s="14"/>
      <c r="AB1407" s="14"/>
      <c r="AC1407" s="15">
        <v>61.4</v>
      </c>
      <c r="AD1407" s="15">
        <f>AC1407*AG1407</f>
        <v>245.6</v>
      </c>
      <c r="AE1407" s="15">
        <v>135</v>
      </c>
      <c r="AF1407" s="15">
        <f>AE1407*AG1407</f>
        <v>540</v>
      </c>
      <c r="AG1407" s="16">
        <v>4</v>
      </c>
    </row>
    <row r="1408" spans="1:33" ht="15" customHeight="1" x14ac:dyDescent="0.2">
      <c r="A1408" s="11" t="str">
        <f t="shared" ref="A1408:A1409" si="589">HYPERLINK("https://assets.vans.eu/images/VN000Q67EMX-HERO/1","VN000Q67EMX1")</f>
        <v>VN000Q67EMX1</v>
      </c>
      <c r="B1408" s="12" t="s">
        <v>5532</v>
      </c>
      <c r="C1408" s="12" t="s">
        <v>3788</v>
      </c>
      <c r="D1408" s="12" t="s">
        <v>2969</v>
      </c>
      <c r="E1408" s="12" t="s">
        <v>5533</v>
      </c>
      <c r="F1408" s="13">
        <v>22</v>
      </c>
      <c r="G1408" s="14"/>
      <c r="H1408" s="12" t="s">
        <v>61</v>
      </c>
      <c r="I1408" s="12" t="s">
        <v>289</v>
      </c>
      <c r="J1408" s="12" t="s">
        <v>290</v>
      </c>
      <c r="K1408" s="12" t="s">
        <v>100</v>
      </c>
      <c r="L1408" s="14"/>
      <c r="M1408" s="12" t="s">
        <v>43</v>
      </c>
      <c r="N1408" s="12" t="s">
        <v>84</v>
      </c>
      <c r="O1408" s="12" t="s">
        <v>5534</v>
      </c>
      <c r="P1408" s="12" t="s">
        <v>66</v>
      </c>
      <c r="Q1408" s="12" t="s">
        <v>233</v>
      </c>
      <c r="R1408" s="12" t="s">
        <v>664</v>
      </c>
      <c r="S1408" s="13">
        <v>197804392827</v>
      </c>
      <c r="T1408" s="12" t="s">
        <v>235</v>
      </c>
      <c r="U1408" s="13">
        <v>22</v>
      </c>
      <c r="V1408" s="12" t="s">
        <v>665</v>
      </c>
      <c r="W1408" s="12" t="s">
        <v>625</v>
      </c>
      <c r="X1408" s="14"/>
      <c r="Y1408" s="14"/>
      <c r="Z1408" s="14"/>
      <c r="AA1408" s="14"/>
      <c r="AB1408" s="14"/>
      <c r="AC1408" s="15">
        <v>36.4</v>
      </c>
      <c r="AD1408" s="15">
        <f>AC1408*AG1408</f>
        <v>145.6</v>
      </c>
      <c r="AE1408" s="15">
        <v>80</v>
      </c>
      <c r="AF1408" s="15">
        <f>AE1408*AG1408</f>
        <v>320</v>
      </c>
      <c r="AG1408" s="16">
        <v>4</v>
      </c>
    </row>
    <row r="1409" spans="1:33" ht="15" customHeight="1" x14ac:dyDescent="0.2">
      <c r="A1409" s="11" t="str">
        <f t="shared" si="589"/>
        <v>VN000Q67EMX1</v>
      </c>
      <c r="B1409" s="12" t="s">
        <v>5535</v>
      </c>
      <c r="C1409" s="12" t="s">
        <v>3788</v>
      </c>
      <c r="D1409" s="12" t="s">
        <v>2969</v>
      </c>
      <c r="E1409" s="12" t="s">
        <v>5536</v>
      </c>
      <c r="F1409" s="13">
        <v>24</v>
      </c>
      <c r="G1409" s="14"/>
      <c r="H1409" s="12" t="s">
        <v>61</v>
      </c>
      <c r="I1409" s="12" t="s">
        <v>289</v>
      </c>
      <c r="J1409" s="12" t="s">
        <v>290</v>
      </c>
      <c r="K1409" s="12" t="s">
        <v>100</v>
      </c>
      <c r="L1409" s="14"/>
      <c r="M1409" s="12" t="s">
        <v>43</v>
      </c>
      <c r="N1409" s="12" t="s">
        <v>84</v>
      </c>
      <c r="O1409" s="12" t="s">
        <v>5537</v>
      </c>
      <c r="P1409" s="12" t="s">
        <v>66</v>
      </c>
      <c r="Q1409" s="12" t="s">
        <v>233</v>
      </c>
      <c r="R1409" s="12" t="s">
        <v>664</v>
      </c>
      <c r="S1409" s="13">
        <v>197804393008</v>
      </c>
      <c r="T1409" s="12" t="s">
        <v>235</v>
      </c>
      <c r="U1409" s="13">
        <v>24</v>
      </c>
      <c r="V1409" s="12" t="s">
        <v>665</v>
      </c>
      <c r="W1409" s="12" t="s">
        <v>625</v>
      </c>
      <c r="X1409" s="14"/>
      <c r="Y1409" s="14"/>
      <c r="Z1409" s="14"/>
      <c r="AA1409" s="14"/>
      <c r="AB1409" s="14"/>
      <c r="AC1409" s="15">
        <v>36.4</v>
      </c>
      <c r="AD1409" s="15">
        <f>AC1409*AG1409</f>
        <v>145.6</v>
      </c>
      <c r="AE1409" s="15">
        <v>80</v>
      </c>
      <c r="AF1409" s="15">
        <f>AE1409*AG1409</f>
        <v>320</v>
      </c>
      <c r="AG1409" s="16">
        <v>4</v>
      </c>
    </row>
    <row r="1410" spans="1:33" ht="15" customHeight="1" x14ac:dyDescent="0.2">
      <c r="A1410" s="11" t="str">
        <f t="shared" ref="A1410:A1776" si="590">HYPERLINK("https://assets.vans.eu/images/VN000Q74EN6-HERO/1","VN000Q74EN61")</f>
        <v>VN000Q74EN61</v>
      </c>
      <c r="B1410" s="12" t="s">
        <v>5538</v>
      </c>
      <c r="C1410" s="12" t="s">
        <v>3186</v>
      </c>
      <c r="D1410" s="12" t="s">
        <v>189</v>
      </c>
      <c r="E1410" s="12" t="s">
        <v>5539</v>
      </c>
      <c r="F1410" s="13">
        <v>32</v>
      </c>
      <c r="G1410" s="14"/>
      <c r="H1410" s="12" t="s">
        <v>61</v>
      </c>
      <c r="I1410" s="12" t="s">
        <v>230</v>
      </c>
      <c r="J1410" s="12" t="s">
        <v>231</v>
      </c>
      <c r="K1410" s="12" t="s">
        <v>199</v>
      </c>
      <c r="L1410" s="14"/>
      <c r="M1410" s="12" t="s">
        <v>43</v>
      </c>
      <c r="N1410" s="12" t="s">
        <v>84</v>
      </c>
      <c r="O1410" s="12" t="s">
        <v>5540</v>
      </c>
      <c r="P1410" s="12" t="s">
        <v>66</v>
      </c>
      <c r="Q1410" s="12" t="s">
        <v>233</v>
      </c>
      <c r="R1410" s="12" t="s">
        <v>361</v>
      </c>
      <c r="S1410" s="13">
        <v>197804583652</v>
      </c>
      <c r="T1410" s="12" t="s">
        <v>235</v>
      </c>
      <c r="U1410" s="13">
        <v>32</v>
      </c>
      <c r="V1410" s="12" t="s">
        <v>423</v>
      </c>
      <c r="W1410" s="12" t="s">
        <v>118</v>
      </c>
      <c r="X1410" s="14"/>
      <c r="Y1410" s="14"/>
      <c r="Z1410" s="14"/>
      <c r="AA1410" s="14"/>
      <c r="AB1410" s="14"/>
      <c r="AC1410" s="15">
        <v>36.4</v>
      </c>
      <c r="AD1410" s="15">
        <f>AC1410*AG1410</f>
        <v>145.6</v>
      </c>
      <c r="AE1410" s="15">
        <v>80</v>
      </c>
      <c r="AF1410" s="15">
        <f>AE1410*AG1410</f>
        <v>320</v>
      </c>
      <c r="AG1410" s="16">
        <v>4</v>
      </c>
    </row>
    <row r="1411" spans="1:33" ht="15" customHeight="1" x14ac:dyDescent="0.2">
      <c r="A1411" s="11" t="str">
        <f t="shared" ref="A1411:A3531" si="591">HYPERLINK("https://assets.vans.eu/images/VN000Q77BLK-HERO/1","VN000Q77BLK1")</f>
        <v>VN000Q77BLK1</v>
      </c>
      <c r="B1411" s="12" t="s">
        <v>5541</v>
      </c>
      <c r="C1411" s="12" t="s">
        <v>4784</v>
      </c>
      <c r="D1411" s="12" t="s">
        <v>76</v>
      </c>
      <c r="E1411" s="12" t="s">
        <v>5542</v>
      </c>
      <c r="F1411" s="12" t="s">
        <v>621</v>
      </c>
      <c r="G1411" s="14"/>
      <c r="H1411" s="12" t="s">
        <v>61</v>
      </c>
      <c r="I1411" s="12" t="s">
        <v>230</v>
      </c>
      <c r="J1411" s="12" t="s">
        <v>419</v>
      </c>
      <c r="K1411" s="12" t="s">
        <v>199</v>
      </c>
      <c r="L1411" s="14"/>
      <c r="M1411" s="12" t="s">
        <v>43</v>
      </c>
      <c r="N1411" s="12" t="s">
        <v>84</v>
      </c>
      <c r="O1411" s="12" t="s">
        <v>5543</v>
      </c>
      <c r="P1411" s="12" t="s">
        <v>66</v>
      </c>
      <c r="Q1411" s="12" t="s">
        <v>67</v>
      </c>
      <c r="R1411" s="12" t="s">
        <v>623</v>
      </c>
      <c r="S1411" s="13">
        <v>197804583492</v>
      </c>
      <c r="T1411" s="12" t="s">
        <v>49</v>
      </c>
      <c r="U1411" s="12" t="s">
        <v>621</v>
      </c>
      <c r="V1411" s="12" t="s">
        <v>1731</v>
      </c>
      <c r="W1411" s="12" t="s">
        <v>51</v>
      </c>
      <c r="X1411" s="14"/>
      <c r="Y1411" s="14"/>
      <c r="Z1411" s="14"/>
      <c r="AA1411" s="14"/>
      <c r="AB1411" s="14"/>
      <c r="AC1411" s="15">
        <v>45.5</v>
      </c>
      <c r="AD1411" s="15">
        <f>AC1411*AG1411</f>
        <v>182</v>
      </c>
      <c r="AE1411" s="15">
        <v>100</v>
      </c>
      <c r="AF1411" s="15">
        <f>AE1411*AG1411</f>
        <v>400</v>
      </c>
      <c r="AG1411" s="16">
        <v>4</v>
      </c>
    </row>
    <row r="1412" spans="1:33" ht="15" customHeight="1" x14ac:dyDescent="0.2">
      <c r="A1412" s="11" t="str">
        <f t="shared" si="395"/>
        <v>VN000R02WHT1</v>
      </c>
      <c r="B1412" s="12" t="s">
        <v>5544</v>
      </c>
      <c r="C1412" s="12" t="s">
        <v>3692</v>
      </c>
      <c r="D1412" s="12" t="s">
        <v>168</v>
      </c>
      <c r="E1412" s="12" t="s">
        <v>5545</v>
      </c>
      <c r="F1412" s="12" t="s">
        <v>179</v>
      </c>
      <c r="G1412" s="14"/>
      <c r="H1412" s="12" t="s">
        <v>61</v>
      </c>
      <c r="I1412" s="12" t="s">
        <v>62</v>
      </c>
      <c r="J1412" s="12" t="s">
        <v>63</v>
      </c>
      <c r="K1412" s="12" t="s">
        <v>64</v>
      </c>
      <c r="L1412" s="14"/>
      <c r="M1412" s="12" t="s">
        <v>43</v>
      </c>
      <c r="N1412" s="12" t="s">
        <v>84</v>
      </c>
      <c r="O1412" s="12" t="s">
        <v>5546</v>
      </c>
      <c r="P1412" s="12" t="s">
        <v>66</v>
      </c>
      <c r="Q1412" s="12" t="s">
        <v>67</v>
      </c>
      <c r="R1412" s="12" t="s">
        <v>68</v>
      </c>
      <c r="S1412" s="13">
        <v>197804584833</v>
      </c>
      <c r="T1412" s="12" t="s">
        <v>915</v>
      </c>
      <c r="U1412" s="12" t="s">
        <v>179</v>
      </c>
      <c r="V1412" s="12" t="s">
        <v>1028</v>
      </c>
      <c r="W1412" s="12" t="s">
        <v>175</v>
      </c>
      <c r="X1412" s="14"/>
      <c r="Y1412" s="14"/>
      <c r="Z1412" s="14"/>
      <c r="AA1412" s="14"/>
      <c r="AB1412" s="14"/>
      <c r="AC1412" s="15">
        <v>15.95</v>
      </c>
      <c r="AD1412" s="15">
        <f>AC1412*AG1412</f>
        <v>63.8</v>
      </c>
      <c r="AE1412" s="15">
        <v>35</v>
      </c>
      <c r="AF1412" s="15">
        <f>AE1412*AG1412</f>
        <v>140</v>
      </c>
      <c r="AG1412" s="16">
        <v>4</v>
      </c>
    </row>
    <row r="1413" spans="1:33" ht="15" customHeight="1" x14ac:dyDescent="0.2">
      <c r="A1413" s="11" t="str">
        <f t="shared" si="446"/>
        <v>VN000R38EN61</v>
      </c>
      <c r="B1413" s="12" t="s">
        <v>5547</v>
      </c>
      <c r="C1413" s="12" t="s">
        <v>4247</v>
      </c>
      <c r="D1413" s="12" t="s">
        <v>189</v>
      </c>
      <c r="E1413" s="12" t="s">
        <v>5548</v>
      </c>
      <c r="F1413" s="12" t="s">
        <v>60</v>
      </c>
      <c r="G1413" s="14"/>
      <c r="H1413" s="12" t="s">
        <v>61</v>
      </c>
      <c r="I1413" s="12" t="s">
        <v>230</v>
      </c>
      <c r="J1413" s="12" t="s">
        <v>419</v>
      </c>
      <c r="K1413" s="12" t="s">
        <v>199</v>
      </c>
      <c r="L1413" s="14"/>
      <c r="M1413" s="12" t="s">
        <v>43</v>
      </c>
      <c r="N1413" s="12" t="s">
        <v>84</v>
      </c>
      <c r="O1413" s="12" t="s">
        <v>5549</v>
      </c>
      <c r="P1413" s="12" t="s">
        <v>66</v>
      </c>
      <c r="Q1413" s="12" t="s">
        <v>67</v>
      </c>
      <c r="R1413" s="12" t="s">
        <v>1500</v>
      </c>
      <c r="S1413" s="13">
        <v>197804369942</v>
      </c>
      <c r="T1413" s="12" t="s">
        <v>235</v>
      </c>
      <c r="U1413" s="12" t="s">
        <v>60</v>
      </c>
      <c r="V1413" s="12" t="s">
        <v>423</v>
      </c>
      <c r="W1413" s="12" t="s">
        <v>118</v>
      </c>
      <c r="X1413" s="14"/>
      <c r="Y1413" s="14"/>
      <c r="Z1413" s="14"/>
      <c r="AA1413" s="14"/>
      <c r="AB1413" s="14"/>
      <c r="AC1413" s="15">
        <v>38.65</v>
      </c>
      <c r="AD1413" s="15">
        <f>AC1413*AG1413</f>
        <v>154.6</v>
      </c>
      <c r="AE1413" s="15">
        <v>85</v>
      </c>
      <c r="AF1413" s="15">
        <f>AE1413*AG1413</f>
        <v>340</v>
      </c>
      <c r="AG1413" s="16">
        <v>4</v>
      </c>
    </row>
    <row r="1414" spans="1:33" ht="15" customHeight="1" x14ac:dyDescent="0.2">
      <c r="A1414" s="11" t="str">
        <f t="shared" ref="A1414:A1785" si="592">HYPERLINK("https://assets.vans.eu/images/VN000R4Z7D6-HERO/1","VN000R4Z7D61")</f>
        <v>VN000R4Z7D61</v>
      </c>
      <c r="B1414" s="12" t="s">
        <v>5550</v>
      </c>
      <c r="C1414" s="12" t="s">
        <v>3186</v>
      </c>
      <c r="D1414" s="12" t="s">
        <v>1231</v>
      </c>
      <c r="E1414" s="12" t="s">
        <v>5551</v>
      </c>
      <c r="F1414" s="13">
        <v>30</v>
      </c>
      <c r="G1414" s="14"/>
      <c r="H1414" s="12" t="s">
        <v>61</v>
      </c>
      <c r="I1414" s="12" t="s">
        <v>230</v>
      </c>
      <c r="J1414" s="12" t="s">
        <v>231</v>
      </c>
      <c r="K1414" s="12" t="s">
        <v>199</v>
      </c>
      <c r="L1414" s="14"/>
      <c r="M1414" s="12" t="s">
        <v>43</v>
      </c>
      <c r="N1414" s="12" t="s">
        <v>84</v>
      </c>
      <c r="O1414" s="12" t="s">
        <v>5552</v>
      </c>
      <c r="P1414" s="12" t="s">
        <v>66</v>
      </c>
      <c r="Q1414" s="12" t="s">
        <v>233</v>
      </c>
      <c r="R1414" s="12" t="s">
        <v>361</v>
      </c>
      <c r="S1414" s="13">
        <v>197804585687</v>
      </c>
      <c r="T1414" s="12" t="s">
        <v>235</v>
      </c>
      <c r="U1414" s="13">
        <v>30</v>
      </c>
      <c r="V1414" s="12" t="s">
        <v>665</v>
      </c>
      <c r="W1414" s="12" t="s">
        <v>186</v>
      </c>
      <c r="X1414" s="14"/>
      <c r="Y1414" s="14"/>
      <c r="Z1414" s="14"/>
      <c r="AA1414" s="14"/>
      <c r="AB1414" s="14"/>
      <c r="AC1414" s="15">
        <v>34.1</v>
      </c>
      <c r="AD1414" s="15">
        <f>AC1414*AG1414</f>
        <v>136.4</v>
      </c>
      <c r="AE1414" s="15">
        <v>75</v>
      </c>
      <c r="AF1414" s="15">
        <f>AE1414*AG1414</f>
        <v>300</v>
      </c>
      <c r="AG1414" s="16">
        <v>4</v>
      </c>
    </row>
    <row r="1415" spans="1:33" ht="15" customHeight="1" x14ac:dyDescent="0.2">
      <c r="A1415" s="11" t="str">
        <f t="shared" si="362"/>
        <v>VN000R8XBLK1</v>
      </c>
      <c r="B1415" s="12" t="s">
        <v>5553</v>
      </c>
      <c r="C1415" s="12" t="s">
        <v>3491</v>
      </c>
      <c r="D1415" s="12" t="s">
        <v>76</v>
      </c>
      <c r="E1415" s="12" t="s">
        <v>5554</v>
      </c>
      <c r="F1415" s="12" t="s">
        <v>170</v>
      </c>
      <c r="G1415" s="14"/>
      <c r="H1415" s="12" t="s">
        <v>61</v>
      </c>
      <c r="I1415" s="12" t="s">
        <v>230</v>
      </c>
      <c r="J1415" s="12" t="s">
        <v>762</v>
      </c>
      <c r="K1415" s="12" t="s">
        <v>199</v>
      </c>
      <c r="L1415" s="12" t="s">
        <v>83</v>
      </c>
      <c r="M1415" s="12" t="s">
        <v>43</v>
      </c>
      <c r="N1415" s="12" t="s">
        <v>84</v>
      </c>
      <c r="O1415" s="12" t="s">
        <v>5555</v>
      </c>
      <c r="P1415" s="12" t="s">
        <v>66</v>
      </c>
      <c r="Q1415" s="12" t="s">
        <v>764</v>
      </c>
      <c r="R1415" s="12" t="s">
        <v>765</v>
      </c>
      <c r="S1415" s="13">
        <v>197804296767</v>
      </c>
      <c r="T1415" s="12" t="s">
        <v>235</v>
      </c>
      <c r="U1415" s="12" t="s">
        <v>170</v>
      </c>
      <c r="V1415" s="12" t="s">
        <v>3494</v>
      </c>
      <c r="W1415" s="12" t="s">
        <v>51</v>
      </c>
      <c r="X1415" s="14"/>
      <c r="Y1415" s="14"/>
      <c r="Z1415" s="14"/>
      <c r="AA1415" s="14"/>
      <c r="AB1415" s="14"/>
      <c r="AC1415" s="15">
        <v>90.95</v>
      </c>
      <c r="AD1415" s="15">
        <f>AC1415*AG1415</f>
        <v>363.8</v>
      </c>
      <c r="AE1415" s="15">
        <v>200</v>
      </c>
      <c r="AF1415" s="15">
        <f>AE1415*AG1415</f>
        <v>800</v>
      </c>
      <c r="AG1415" s="16">
        <v>4</v>
      </c>
    </row>
    <row r="1416" spans="1:33" ht="15" customHeight="1" x14ac:dyDescent="0.2">
      <c r="A1416" s="11" t="str">
        <f t="shared" ref="A1416:A1798" si="593">HYPERLINK("https://assets.vans.eu/images/VN000RAPFS8-HERO/1","VN000RAPFS81")</f>
        <v>VN000RAPFS81</v>
      </c>
      <c r="B1416" s="12" t="s">
        <v>5556</v>
      </c>
      <c r="C1416" s="12" t="s">
        <v>4806</v>
      </c>
      <c r="D1416" s="12" t="s">
        <v>239</v>
      </c>
      <c r="E1416" s="12" t="s">
        <v>5557</v>
      </c>
      <c r="F1416" s="12" t="s">
        <v>403</v>
      </c>
      <c r="G1416" s="14"/>
      <c r="H1416" s="12" t="s">
        <v>61</v>
      </c>
      <c r="I1416" s="12" t="s">
        <v>230</v>
      </c>
      <c r="J1416" s="12" t="s">
        <v>419</v>
      </c>
      <c r="K1416" s="12" t="s">
        <v>199</v>
      </c>
      <c r="L1416" s="12" t="s">
        <v>83</v>
      </c>
      <c r="M1416" s="12" t="s">
        <v>43</v>
      </c>
      <c r="N1416" s="12" t="s">
        <v>84</v>
      </c>
      <c r="O1416" s="12" t="s">
        <v>5558</v>
      </c>
      <c r="P1416" s="12" t="s">
        <v>66</v>
      </c>
      <c r="Q1416" s="12" t="s">
        <v>67</v>
      </c>
      <c r="R1416" s="12" t="s">
        <v>421</v>
      </c>
      <c r="S1416" s="13">
        <v>197804325450</v>
      </c>
      <c r="T1416" s="12" t="s">
        <v>422</v>
      </c>
      <c r="U1416" s="12" t="s">
        <v>403</v>
      </c>
      <c r="V1416" s="12" t="s">
        <v>423</v>
      </c>
      <c r="W1416" s="12" t="s">
        <v>175</v>
      </c>
      <c r="X1416" s="13">
        <v>0</v>
      </c>
      <c r="Y1416" s="12" t="s">
        <v>91</v>
      </c>
      <c r="Z1416" s="12" t="s">
        <v>92</v>
      </c>
      <c r="AA1416" s="12" t="s">
        <v>626</v>
      </c>
      <c r="AB1416" s="12" t="s">
        <v>94</v>
      </c>
      <c r="AC1416" s="15">
        <v>15.95</v>
      </c>
      <c r="AD1416" s="15">
        <f>AC1416*AG1416</f>
        <v>63.8</v>
      </c>
      <c r="AE1416" s="15">
        <v>35</v>
      </c>
      <c r="AF1416" s="15">
        <f>AE1416*AG1416</f>
        <v>140</v>
      </c>
      <c r="AG1416" s="16">
        <v>4</v>
      </c>
    </row>
    <row r="1417" spans="1:33" ht="15" customHeight="1" x14ac:dyDescent="0.2">
      <c r="A1417" s="11" t="str">
        <f t="shared" ref="A1417:A2342" si="594">HYPERLINK("https://assets.vans.eu/images/VN000RBYY7U-HERO/1","VN000RBYY7U1")</f>
        <v>VN000RBYY7U1</v>
      </c>
      <c r="B1417" s="12" t="s">
        <v>5559</v>
      </c>
      <c r="C1417" s="12" t="s">
        <v>5560</v>
      </c>
      <c r="D1417" s="12" t="s">
        <v>740</v>
      </c>
      <c r="E1417" s="12" t="s">
        <v>5561</v>
      </c>
      <c r="F1417" s="12" t="s">
        <v>403</v>
      </c>
      <c r="G1417" s="14"/>
      <c r="H1417" s="12" t="s">
        <v>61</v>
      </c>
      <c r="I1417" s="12" t="s">
        <v>289</v>
      </c>
      <c r="J1417" s="12" t="s">
        <v>984</v>
      </c>
      <c r="K1417" s="12" t="s">
        <v>100</v>
      </c>
      <c r="L1417" s="14"/>
      <c r="M1417" s="12" t="s">
        <v>43</v>
      </c>
      <c r="N1417" s="12" t="s">
        <v>84</v>
      </c>
      <c r="O1417" s="12" t="s">
        <v>5562</v>
      </c>
      <c r="P1417" s="12" t="s">
        <v>66</v>
      </c>
      <c r="Q1417" s="12" t="s">
        <v>764</v>
      </c>
      <c r="R1417" s="12" t="s">
        <v>986</v>
      </c>
      <c r="S1417" s="13">
        <v>197804585755</v>
      </c>
      <c r="T1417" s="12" t="s">
        <v>235</v>
      </c>
      <c r="U1417" s="12" t="s">
        <v>403</v>
      </c>
      <c r="V1417" s="12" t="s">
        <v>423</v>
      </c>
      <c r="W1417" s="12" t="s">
        <v>455</v>
      </c>
      <c r="X1417" s="14"/>
      <c r="Y1417" s="14"/>
      <c r="Z1417" s="14"/>
      <c r="AA1417" s="14"/>
      <c r="AB1417" s="14"/>
      <c r="AC1417" s="15">
        <v>45.5</v>
      </c>
      <c r="AD1417" s="15">
        <f>AC1417*AG1417</f>
        <v>182</v>
      </c>
      <c r="AE1417" s="15">
        <v>100</v>
      </c>
      <c r="AF1417" s="15">
        <f>AE1417*AG1417</f>
        <v>400</v>
      </c>
      <c r="AG1417" s="16">
        <v>4</v>
      </c>
    </row>
    <row r="1418" spans="1:33" ht="15" customHeight="1" x14ac:dyDescent="0.2">
      <c r="A1418" s="11" t="str">
        <f t="shared" si="505"/>
        <v>VN000RC1O8W1</v>
      </c>
      <c r="B1418" s="12" t="s">
        <v>5563</v>
      </c>
      <c r="C1418" s="12" t="s">
        <v>4810</v>
      </c>
      <c r="D1418" s="12" t="s">
        <v>4811</v>
      </c>
      <c r="E1418" s="12" t="s">
        <v>5564</v>
      </c>
      <c r="F1418" s="12" t="s">
        <v>170</v>
      </c>
      <c r="G1418" s="14"/>
      <c r="H1418" s="12" t="s">
        <v>61</v>
      </c>
      <c r="I1418" s="12" t="s">
        <v>289</v>
      </c>
      <c r="J1418" s="12" t="s">
        <v>706</v>
      </c>
      <c r="K1418" s="12" t="s">
        <v>100</v>
      </c>
      <c r="L1418" s="14"/>
      <c r="M1418" s="12" t="s">
        <v>43</v>
      </c>
      <c r="N1418" s="12" t="s">
        <v>84</v>
      </c>
      <c r="O1418" s="12" t="s">
        <v>5565</v>
      </c>
      <c r="P1418" s="12" t="s">
        <v>66</v>
      </c>
      <c r="Q1418" s="12" t="s">
        <v>67</v>
      </c>
      <c r="R1418" s="12" t="s">
        <v>1146</v>
      </c>
      <c r="S1418" s="13">
        <v>197804396276</v>
      </c>
      <c r="T1418" s="12" t="s">
        <v>709</v>
      </c>
      <c r="U1418" s="12" t="s">
        <v>170</v>
      </c>
      <c r="V1418" s="12" t="s">
        <v>665</v>
      </c>
      <c r="W1418" s="12" t="s">
        <v>455</v>
      </c>
      <c r="X1418" s="14"/>
      <c r="Y1418" s="14"/>
      <c r="Z1418" s="14"/>
      <c r="AA1418" s="14"/>
      <c r="AB1418" s="14"/>
      <c r="AC1418" s="15">
        <v>18.2</v>
      </c>
      <c r="AD1418" s="15">
        <f>AC1418*AG1418</f>
        <v>72.8</v>
      </c>
      <c r="AE1418" s="15">
        <v>40</v>
      </c>
      <c r="AF1418" s="15">
        <f>AE1418*AG1418</f>
        <v>160</v>
      </c>
      <c r="AG1418" s="16">
        <v>4</v>
      </c>
    </row>
    <row r="1419" spans="1:33" ht="15" customHeight="1" x14ac:dyDescent="0.2">
      <c r="A1419" s="11" t="str">
        <f t="shared" ref="A1419:A2345" si="595">HYPERLINK("https://assets.vans.eu/images/VN000RCHWHT-HERO/1","VN000RCHWHT1")</f>
        <v>VN000RCHWHT1</v>
      </c>
      <c r="B1419" s="12" t="s">
        <v>5566</v>
      </c>
      <c r="C1419" s="12" t="s">
        <v>2949</v>
      </c>
      <c r="D1419" s="12" t="s">
        <v>168</v>
      </c>
      <c r="E1419" s="12" t="s">
        <v>5567</v>
      </c>
      <c r="F1419" s="12" t="s">
        <v>179</v>
      </c>
      <c r="G1419" s="14"/>
      <c r="H1419" s="12" t="s">
        <v>61</v>
      </c>
      <c r="I1419" s="12" t="s">
        <v>289</v>
      </c>
      <c r="J1419" s="12" t="s">
        <v>706</v>
      </c>
      <c r="K1419" s="12" t="s">
        <v>100</v>
      </c>
      <c r="L1419" s="14"/>
      <c r="M1419" s="12" t="s">
        <v>43</v>
      </c>
      <c r="N1419" s="12" t="s">
        <v>84</v>
      </c>
      <c r="O1419" s="12" t="s">
        <v>5568</v>
      </c>
      <c r="P1419" s="12" t="s">
        <v>66</v>
      </c>
      <c r="Q1419" s="12" t="s">
        <v>67</v>
      </c>
      <c r="R1419" s="12" t="s">
        <v>1146</v>
      </c>
      <c r="S1419" s="13">
        <v>197804666812</v>
      </c>
      <c r="T1419" s="12" t="s">
        <v>709</v>
      </c>
      <c r="U1419" s="12" t="s">
        <v>179</v>
      </c>
      <c r="V1419" s="12" t="s">
        <v>665</v>
      </c>
      <c r="W1419" s="12" t="s">
        <v>175</v>
      </c>
      <c r="X1419" s="14"/>
      <c r="Y1419" s="14"/>
      <c r="Z1419" s="14"/>
      <c r="AA1419" s="14"/>
      <c r="AB1419" s="14"/>
      <c r="AC1419" s="15">
        <v>20.5</v>
      </c>
      <c r="AD1419" s="15">
        <f>AC1419*AG1419</f>
        <v>82</v>
      </c>
      <c r="AE1419" s="15">
        <v>45</v>
      </c>
      <c r="AF1419" s="15">
        <f>AE1419*AG1419</f>
        <v>180</v>
      </c>
      <c r="AG1419" s="16">
        <v>4</v>
      </c>
    </row>
    <row r="1420" spans="1:33" ht="15" customHeight="1" x14ac:dyDescent="0.2">
      <c r="A1420" s="11" t="str">
        <f>HYPERLINK("https://assets.vans.eu/images/VN000RD71O7-HERO/1","VN000RD71O71")</f>
        <v>VN000RD71O71</v>
      </c>
      <c r="B1420" s="12" t="s">
        <v>5569</v>
      </c>
      <c r="C1420" s="12" t="s">
        <v>1238</v>
      </c>
      <c r="D1420" s="12" t="s">
        <v>637</v>
      </c>
      <c r="E1420" s="12" t="s">
        <v>5570</v>
      </c>
      <c r="F1420" s="12" t="s">
        <v>179</v>
      </c>
      <c r="G1420" s="14"/>
      <c r="H1420" s="12" t="s">
        <v>61</v>
      </c>
      <c r="I1420" s="12" t="s">
        <v>230</v>
      </c>
      <c r="J1420" s="12" t="s">
        <v>419</v>
      </c>
      <c r="K1420" s="12" t="s">
        <v>199</v>
      </c>
      <c r="L1420" s="12" t="s">
        <v>83</v>
      </c>
      <c r="M1420" s="12" t="s">
        <v>43</v>
      </c>
      <c r="N1420" s="12" t="s">
        <v>84</v>
      </c>
      <c r="O1420" s="12" t="s">
        <v>5571</v>
      </c>
      <c r="P1420" s="12" t="s">
        <v>66</v>
      </c>
      <c r="Q1420" s="12" t="s">
        <v>67</v>
      </c>
      <c r="R1420" s="12" t="s">
        <v>623</v>
      </c>
      <c r="S1420" s="13">
        <v>197804326198</v>
      </c>
      <c r="T1420" s="12" t="s">
        <v>69</v>
      </c>
      <c r="U1420" s="12" t="s">
        <v>179</v>
      </c>
      <c r="V1420" s="12" t="s">
        <v>70</v>
      </c>
      <c r="W1420" s="12" t="s">
        <v>455</v>
      </c>
      <c r="X1420" s="14"/>
      <c r="Y1420" s="14"/>
      <c r="Z1420" s="14"/>
      <c r="AA1420" s="14"/>
      <c r="AB1420" s="14"/>
      <c r="AC1420" s="15">
        <v>45.5</v>
      </c>
      <c r="AD1420" s="15">
        <f>AC1420*AG1420</f>
        <v>182</v>
      </c>
      <c r="AE1420" s="15">
        <v>100</v>
      </c>
      <c r="AF1420" s="15">
        <f>AE1420*AG1420</f>
        <v>400</v>
      </c>
      <c r="AG1420" s="16">
        <v>4</v>
      </c>
    </row>
    <row r="1421" spans="1:33" ht="15" customHeight="1" x14ac:dyDescent="0.2">
      <c r="A1421" s="11" t="str">
        <f t="shared" ref="A1421:A2352" si="596">HYPERLINK("https://assets.vans.eu/images/VN000REFWHT-HERO/1","VN000REFWHT1")</f>
        <v>VN000REFWHT1</v>
      </c>
      <c r="B1421" s="12" t="s">
        <v>5572</v>
      </c>
      <c r="C1421" s="12" t="s">
        <v>2392</v>
      </c>
      <c r="D1421" s="12" t="s">
        <v>168</v>
      </c>
      <c r="E1421" s="12" t="s">
        <v>5573</v>
      </c>
      <c r="F1421" s="12" t="s">
        <v>403</v>
      </c>
      <c r="G1421" s="14"/>
      <c r="H1421" s="12" t="s">
        <v>61</v>
      </c>
      <c r="I1421" s="12" t="s">
        <v>289</v>
      </c>
      <c r="J1421" s="12" t="s">
        <v>706</v>
      </c>
      <c r="K1421" s="12" t="s">
        <v>100</v>
      </c>
      <c r="L1421" s="12" t="s">
        <v>83</v>
      </c>
      <c r="M1421" s="12" t="s">
        <v>43</v>
      </c>
      <c r="N1421" s="12" t="s">
        <v>84</v>
      </c>
      <c r="O1421" s="12" t="s">
        <v>5574</v>
      </c>
      <c r="P1421" s="12" t="s">
        <v>66</v>
      </c>
      <c r="Q1421" s="12" t="s">
        <v>67</v>
      </c>
      <c r="R1421" s="12" t="s">
        <v>1146</v>
      </c>
      <c r="S1421" s="13">
        <v>197804299126</v>
      </c>
      <c r="T1421" s="12" t="s">
        <v>422</v>
      </c>
      <c r="U1421" s="12" t="s">
        <v>403</v>
      </c>
      <c r="V1421" s="12" t="s">
        <v>423</v>
      </c>
      <c r="W1421" s="12" t="s">
        <v>175</v>
      </c>
      <c r="X1421" s="14"/>
      <c r="Y1421" s="14"/>
      <c r="Z1421" s="14"/>
      <c r="AA1421" s="14"/>
      <c r="AB1421" s="14"/>
      <c r="AC1421" s="15">
        <v>18.2</v>
      </c>
      <c r="AD1421" s="15">
        <f>AC1421*AG1421</f>
        <v>72.8</v>
      </c>
      <c r="AE1421" s="15">
        <v>40</v>
      </c>
      <c r="AF1421" s="15">
        <f>AE1421*AG1421</f>
        <v>160</v>
      </c>
      <c r="AG1421" s="16">
        <v>4</v>
      </c>
    </row>
    <row r="1422" spans="1:33" ht="15" customHeight="1" x14ac:dyDescent="0.2">
      <c r="A1422" s="11" t="str">
        <f>HYPERLINK("https://assets.vans.eu/images/VN000RFMEMV-HERO/1","VN000RFMEMV1")</f>
        <v>VN000RFMEMV1</v>
      </c>
      <c r="B1422" s="12" t="s">
        <v>5575</v>
      </c>
      <c r="C1422" s="12" t="s">
        <v>2083</v>
      </c>
      <c r="D1422" s="12" t="s">
        <v>1908</v>
      </c>
      <c r="E1422" s="12" t="s">
        <v>5576</v>
      </c>
      <c r="F1422" s="12" t="s">
        <v>403</v>
      </c>
      <c r="G1422" s="14"/>
      <c r="H1422" s="12" t="s">
        <v>61</v>
      </c>
      <c r="I1422" s="12" t="s">
        <v>230</v>
      </c>
      <c r="J1422" s="12" t="s">
        <v>419</v>
      </c>
      <c r="K1422" s="12" t="s">
        <v>199</v>
      </c>
      <c r="L1422" s="12" t="s">
        <v>83</v>
      </c>
      <c r="M1422" s="12" t="s">
        <v>43</v>
      </c>
      <c r="N1422" s="12" t="s">
        <v>84</v>
      </c>
      <c r="O1422" s="12" t="s">
        <v>5577</v>
      </c>
      <c r="P1422" s="12" t="s">
        <v>66</v>
      </c>
      <c r="Q1422" s="12" t="s">
        <v>67</v>
      </c>
      <c r="R1422" s="12" t="s">
        <v>421</v>
      </c>
      <c r="S1422" s="13">
        <v>197804327577</v>
      </c>
      <c r="T1422" s="12" t="s">
        <v>422</v>
      </c>
      <c r="U1422" s="12" t="s">
        <v>403</v>
      </c>
      <c r="V1422" s="12" t="s">
        <v>423</v>
      </c>
      <c r="W1422" s="12" t="s">
        <v>51</v>
      </c>
      <c r="X1422" s="14"/>
      <c r="Y1422" s="14"/>
      <c r="Z1422" s="14"/>
      <c r="AA1422" s="14"/>
      <c r="AB1422" s="14"/>
      <c r="AC1422" s="15">
        <v>20.5</v>
      </c>
      <c r="AD1422" s="15">
        <f>AC1422*AG1422</f>
        <v>82</v>
      </c>
      <c r="AE1422" s="15">
        <v>45</v>
      </c>
      <c r="AF1422" s="15">
        <f>AE1422*AG1422</f>
        <v>180</v>
      </c>
      <c r="AG1422" s="16">
        <v>4</v>
      </c>
    </row>
    <row r="1423" spans="1:33" ht="15" customHeight="1" x14ac:dyDescent="0.2">
      <c r="A1423" s="11" t="str">
        <f t="shared" ref="A1423:A1801" si="597">HYPERLINK("https://assets.vans.eu/images/VN000RG0EML-HERO/1","VN000RG0EML1")</f>
        <v>VN000RG0EML1</v>
      </c>
      <c r="B1423" s="12" t="s">
        <v>5578</v>
      </c>
      <c r="C1423" s="12" t="s">
        <v>2953</v>
      </c>
      <c r="D1423" s="12" t="s">
        <v>3126</v>
      </c>
      <c r="E1423" s="12" t="s">
        <v>5579</v>
      </c>
      <c r="F1423" s="12" t="s">
        <v>179</v>
      </c>
      <c r="G1423" s="14"/>
      <c r="H1423" s="12" t="s">
        <v>61</v>
      </c>
      <c r="I1423" s="12" t="s">
        <v>230</v>
      </c>
      <c r="J1423" s="12" t="s">
        <v>419</v>
      </c>
      <c r="K1423" s="12" t="s">
        <v>199</v>
      </c>
      <c r="L1423" s="12" t="s">
        <v>83</v>
      </c>
      <c r="M1423" s="12" t="s">
        <v>43</v>
      </c>
      <c r="N1423" s="12" t="s">
        <v>84</v>
      </c>
      <c r="O1423" s="12" t="s">
        <v>5580</v>
      </c>
      <c r="P1423" s="12" t="s">
        <v>66</v>
      </c>
      <c r="Q1423" s="12" t="s">
        <v>67</v>
      </c>
      <c r="R1423" s="12" t="s">
        <v>623</v>
      </c>
      <c r="S1423" s="13">
        <v>197804327522</v>
      </c>
      <c r="T1423" s="12" t="s">
        <v>69</v>
      </c>
      <c r="U1423" s="12" t="s">
        <v>179</v>
      </c>
      <c r="V1423" s="12" t="s">
        <v>70</v>
      </c>
      <c r="W1423" s="12" t="s">
        <v>284</v>
      </c>
      <c r="X1423" s="14"/>
      <c r="Y1423" s="14"/>
      <c r="Z1423" s="14"/>
      <c r="AA1423" s="14"/>
      <c r="AB1423" s="14"/>
      <c r="AC1423" s="15">
        <v>45.5</v>
      </c>
      <c r="AD1423" s="15">
        <f>AC1423*AG1423</f>
        <v>182</v>
      </c>
      <c r="AE1423" s="15">
        <v>100</v>
      </c>
      <c r="AF1423" s="15">
        <f>AE1423*AG1423</f>
        <v>400</v>
      </c>
      <c r="AG1423" s="16">
        <v>4</v>
      </c>
    </row>
    <row r="1424" spans="1:33" ht="15" customHeight="1" x14ac:dyDescent="0.2">
      <c r="A1424" s="11" t="str">
        <f t="shared" ref="A1424:A1802" si="598">HYPERLINK("https://assets.vans.eu/images/VN000RG0EMS-HERO/1","VN000RG0EMS1")</f>
        <v>VN000RG0EMS1</v>
      </c>
      <c r="B1424" s="12" t="s">
        <v>5581</v>
      </c>
      <c r="C1424" s="12" t="s">
        <v>2953</v>
      </c>
      <c r="D1424" s="12" t="s">
        <v>863</v>
      </c>
      <c r="E1424" s="12" t="s">
        <v>5582</v>
      </c>
      <c r="F1424" s="12" t="s">
        <v>60</v>
      </c>
      <c r="G1424" s="14"/>
      <c r="H1424" s="12" t="s">
        <v>61</v>
      </c>
      <c r="I1424" s="12" t="s">
        <v>230</v>
      </c>
      <c r="J1424" s="12" t="s">
        <v>419</v>
      </c>
      <c r="K1424" s="12" t="s">
        <v>199</v>
      </c>
      <c r="L1424" s="12" t="s">
        <v>83</v>
      </c>
      <c r="M1424" s="12" t="s">
        <v>43</v>
      </c>
      <c r="N1424" s="12" t="s">
        <v>84</v>
      </c>
      <c r="O1424" s="12" t="s">
        <v>5583</v>
      </c>
      <c r="P1424" s="12" t="s">
        <v>66</v>
      </c>
      <c r="Q1424" s="12" t="s">
        <v>67</v>
      </c>
      <c r="R1424" s="12" t="s">
        <v>623</v>
      </c>
      <c r="S1424" s="13">
        <v>197804327997</v>
      </c>
      <c r="T1424" s="12" t="s">
        <v>69</v>
      </c>
      <c r="U1424" s="12" t="s">
        <v>60</v>
      </c>
      <c r="V1424" s="12" t="s">
        <v>70</v>
      </c>
      <c r="W1424" s="12" t="s">
        <v>107</v>
      </c>
      <c r="X1424" s="14"/>
      <c r="Y1424" s="14"/>
      <c r="Z1424" s="14"/>
      <c r="AA1424" s="14"/>
      <c r="AB1424" s="14"/>
      <c r="AC1424" s="15">
        <v>45.5</v>
      </c>
      <c r="AD1424" s="15">
        <f>AC1424*AG1424</f>
        <v>182</v>
      </c>
      <c r="AE1424" s="15">
        <v>100</v>
      </c>
      <c r="AF1424" s="15">
        <f>AE1424*AG1424</f>
        <v>400</v>
      </c>
      <c r="AG1424" s="16">
        <v>4</v>
      </c>
    </row>
    <row r="1425" spans="1:33" ht="15" customHeight="1" x14ac:dyDescent="0.2">
      <c r="A1425" s="11" t="str">
        <f t="shared" si="142"/>
        <v>VN000RG4WHT1</v>
      </c>
      <c r="B1425" s="12" t="s">
        <v>5584</v>
      </c>
      <c r="C1425" s="12" t="s">
        <v>417</v>
      </c>
      <c r="D1425" s="12" t="s">
        <v>168</v>
      </c>
      <c r="E1425" s="12" t="s">
        <v>5585</v>
      </c>
      <c r="F1425" s="12" t="s">
        <v>60</v>
      </c>
      <c r="G1425" s="14"/>
      <c r="H1425" s="12" t="s">
        <v>61</v>
      </c>
      <c r="I1425" s="12" t="s">
        <v>230</v>
      </c>
      <c r="J1425" s="12" t="s">
        <v>419</v>
      </c>
      <c r="K1425" s="12" t="s">
        <v>199</v>
      </c>
      <c r="L1425" s="12" t="s">
        <v>83</v>
      </c>
      <c r="M1425" s="12" t="s">
        <v>43</v>
      </c>
      <c r="N1425" s="12" t="s">
        <v>84</v>
      </c>
      <c r="O1425" s="12" t="s">
        <v>5586</v>
      </c>
      <c r="P1425" s="12" t="s">
        <v>66</v>
      </c>
      <c r="Q1425" s="12" t="s">
        <v>67</v>
      </c>
      <c r="R1425" s="12" t="s">
        <v>421</v>
      </c>
      <c r="S1425" s="13">
        <v>197804328345</v>
      </c>
      <c r="T1425" s="12" t="s">
        <v>422</v>
      </c>
      <c r="U1425" s="12" t="s">
        <v>60</v>
      </c>
      <c r="V1425" s="12" t="s">
        <v>423</v>
      </c>
      <c r="W1425" s="12" t="s">
        <v>175</v>
      </c>
      <c r="X1425" s="14"/>
      <c r="Y1425" s="14"/>
      <c r="Z1425" s="14"/>
      <c r="AA1425" s="14"/>
      <c r="AB1425" s="14"/>
      <c r="AC1425" s="15">
        <v>20.5</v>
      </c>
      <c r="AD1425" s="15">
        <f>AC1425*AG1425</f>
        <v>82</v>
      </c>
      <c r="AE1425" s="15">
        <v>45</v>
      </c>
      <c r="AF1425" s="15">
        <f>AE1425*AG1425</f>
        <v>180</v>
      </c>
      <c r="AG1425" s="16">
        <v>4</v>
      </c>
    </row>
    <row r="1426" spans="1:33" ht="15" customHeight="1" x14ac:dyDescent="0.2">
      <c r="A1426" s="11" t="str">
        <f>HYPERLINK("https://assets.vans.eu/images/VN000RG4WHT-HERO/1","VN000RG4WHT1")</f>
        <v>VN000RG4WHT1</v>
      </c>
      <c r="B1426" s="12" t="s">
        <v>5587</v>
      </c>
      <c r="C1426" s="12" t="s">
        <v>417</v>
      </c>
      <c r="D1426" s="12" t="s">
        <v>168</v>
      </c>
      <c r="E1426" s="12" t="s">
        <v>5588</v>
      </c>
      <c r="F1426" s="12" t="s">
        <v>621</v>
      </c>
      <c r="G1426" s="14"/>
      <c r="H1426" s="12" t="s">
        <v>61</v>
      </c>
      <c r="I1426" s="12" t="s">
        <v>230</v>
      </c>
      <c r="J1426" s="12" t="s">
        <v>419</v>
      </c>
      <c r="K1426" s="12" t="s">
        <v>199</v>
      </c>
      <c r="L1426" s="12" t="s">
        <v>83</v>
      </c>
      <c r="M1426" s="12" t="s">
        <v>43</v>
      </c>
      <c r="N1426" s="12" t="s">
        <v>84</v>
      </c>
      <c r="O1426" s="12" t="s">
        <v>5589</v>
      </c>
      <c r="P1426" s="12" t="s">
        <v>66</v>
      </c>
      <c r="Q1426" s="12" t="s">
        <v>67</v>
      </c>
      <c r="R1426" s="12" t="s">
        <v>421</v>
      </c>
      <c r="S1426" s="13">
        <v>197804328505</v>
      </c>
      <c r="T1426" s="12" t="s">
        <v>422</v>
      </c>
      <c r="U1426" s="12" t="s">
        <v>621</v>
      </c>
      <c r="V1426" s="12" t="s">
        <v>423</v>
      </c>
      <c r="W1426" s="12" t="s">
        <v>175</v>
      </c>
      <c r="X1426" s="14"/>
      <c r="Y1426" s="14"/>
      <c r="Z1426" s="14"/>
      <c r="AA1426" s="14"/>
      <c r="AB1426" s="14"/>
      <c r="AC1426" s="15">
        <v>20.5</v>
      </c>
      <c r="AD1426" s="15">
        <f>AC1426*AG1426</f>
        <v>82</v>
      </c>
      <c r="AE1426" s="15">
        <v>45</v>
      </c>
      <c r="AF1426" s="15">
        <f>AE1426*AG1426</f>
        <v>180</v>
      </c>
      <c r="AG1426" s="16">
        <v>4</v>
      </c>
    </row>
    <row r="1427" spans="1:33" ht="15" customHeight="1" x14ac:dyDescent="0.2">
      <c r="A1427" s="11" t="str">
        <f t="shared" si="45"/>
        <v>VN000SN1BLK1</v>
      </c>
      <c r="B1427" s="12" t="s">
        <v>5590</v>
      </c>
      <c r="C1427" s="12" t="s">
        <v>727</v>
      </c>
      <c r="D1427" s="12" t="s">
        <v>76</v>
      </c>
      <c r="E1427" s="12" t="s">
        <v>5591</v>
      </c>
      <c r="F1427" s="12" t="s">
        <v>60</v>
      </c>
      <c r="G1427" s="14"/>
      <c r="H1427" s="12" t="s">
        <v>61</v>
      </c>
      <c r="I1427" s="12" t="s">
        <v>62</v>
      </c>
      <c r="J1427" s="12" t="s">
        <v>63</v>
      </c>
      <c r="K1427" s="12" t="s">
        <v>64</v>
      </c>
      <c r="L1427" s="14"/>
      <c r="M1427" s="12" t="s">
        <v>43</v>
      </c>
      <c r="N1427" s="12" t="s">
        <v>84</v>
      </c>
      <c r="O1427" s="12" t="s">
        <v>5592</v>
      </c>
      <c r="P1427" s="12" t="s">
        <v>66</v>
      </c>
      <c r="Q1427" s="12" t="s">
        <v>67</v>
      </c>
      <c r="R1427" s="12" t="s">
        <v>730</v>
      </c>
      <c r="S1427" s="13">
        <v>197805981846</v>
      </c>
      <c r="T1427" s="12" t="s">
        <v>709</v>
      </c>
      <c r="U1427" s="12" t="s">
        <v>60</v>
      </c>
      <c r="V1427" s="12" t="s">
        <v>731</v>
      </c>
      <c r="W1427" s="12" t="s">
        <v>51</v>
      </c>
      <c r="X1427" s="14"/>
      <c r="Y1427" s="14"/>
      <c r="Z1427" s="14"/>
      <c r="AA1427" s="14"/>
      <c r="AB1427" s="14"/>
      <c r="AC1427" s="15">
        <v>27.3</v>
      </c>
      <c r="AD1427" s="15">
        <f>AC1427*AG1427</f>
        <v>109.2</v>
      </c>
      <c r="AE1427" s="15">
        <v>60</v>
      </c>
      <c r="AF1427" s="15">
        <f>AE1427*AG1427</f>
        <v>240</v>
      </c>
      <c r="AG1427" s="16">
        <v>4</v>
      </c>
    </row>
    <row r="1428" spans="1:33" ht="15" customHeight="1" x14ac:dyDescent="0.2">
      <c r="A1428" s="11" t="str">
        <f t="shared" si="449"/>
        <v>VN000XBZIZQ1</v>
      </c>
      <c r="B1428" s="12" t="s">
        <v>5593</v>
      </c>
      <c r="C1428" s="12" t="s">
        <v>4289</v>
      </c>
      <c r="D1428" s="12" t="s">
        <v>4290</v>
      </c>
      <c r="E1428" s="12" t="s">
        <v>5594</v>
      </c>
      <c r="F1428" s="12" t="s">
        <v>170</v>
      </c>
      <c r="G1428" s="14"/>
      <c r="H1428" s="12" t="s">
        <v>61</v>
      </c>
      <c r="I1428" s="12" t="s">
        <v>289</v>
      </c>
      <c r="J1428" s="12" t="s">
        <v>706</v>
      </c>
      <c r="K1428" s="12" t="s">
        <v>100</v>
      </c>
      <c r="L1428" s="12" t="s">
        <v>115</v>
      </c>
      <c r="M1428" s="12" t="s">
        <v>43</v>
      </c>
      <c r="N1428" s="12" t="s">
        <v>84</v>
      </c>
      <c r="O1428" s="12" t="s">
        <v>5595</v>
      </c>
      <c r="P1428" s="12" t="s">
        <v>66</v>
      </c>
      <c r="Q1428" s="12" t="s">
        <v>67</v>
      </c>
      <c r="R1428" s="12" t="s">
        <v>1146</v>
      </c>
      <c r="S1428" s="13">
        <v>198268198154</v>
      </c>
      <c r="T1428" s="12" t="s">
        <v>422</v>
      </c>
      <c r="U1428" s="12" t="s">
        <v>170</v>
      </c>
      <c r="V1428" s="12" t="s">
        <v>70</v>
      </c>
      <c r="W1428" s="12" t="s">
        <v>262</v>
      </c>
      <c r="X1428" s="14"/>
      <c r="Y1428" s="14"/>
      <c r="Z1428" s="14"/>
      <c r="AA1428" s="14"/>
      <c r="AB1428" s="14"/>
      <c r="AC1428" s="15">
        <v>15.95</v>
      </c>
      <c r="AD1428" s="15">
        <f>AC1428*AG1428</f>
        <v>63.8</v>
      </c>
      <c r="AE1428" s="15">
        <v>35</v>
      </c>
      <c r="AF1428" s="15">
        <f>AE1428*AG1428</f>
        <v>140</v>
      </c>
      <c r="AG1428" s="16">
        <v>4</v>
      </c>
    </row>
    <row r="1429" spans="1:33" ht="15" customHeight="1" x14ac:dyDescent="0.2">
      <c r="A1429" s="11" t="str">
        <f>HYPERLINK("https://assets.vans.eu/images/VN0A3CZEC9L-HERO/1","VN0A3CZEC9L1")</f>
        <v>VN0A3CZEC9L1</v>
      </c>
      <c r="B1429" s="12" t="s">
        <v>5596</v>
      </c>
      <c r="C1429" s="12" t="s">
        <v>3849</v>
      </c>
      <c r="D1429" s="12" t="s">
        <v>890</v>
      </c>
      <c r="E1429" s="12" t="s">
        <v>5597</v>
      </c>
      <c r="F1429" s="12" t="s">
        <v>60</v>
      </c>
      <c r="G1429" s="14"/>
      <c r="H1429" s="12" t="s">
        <v>61</v>
      </c>
      <c r="I1429" s="12" t="s">
        <v>230</v>
      </c>
      <c r="J1429" s="12" t="s">
        <v>419</v>
      </c>
      <c r="K1429" s="12" t="s">
        <v>199</v>
      </c>
      <c r="L1429" s="14"/>
      <c r="M1429" s="12" t="s">
        <v>43</v>
      </c>
      <c r="N1429" s="12" t="s">
        <v>44</v>
      </c>
      <c r="O1429" s="12" t="s">
        <v>5598</v>
      </c>
      <c r="P1429" s="12" t="s">
        <v>66</v>
      </c>
      <c r="Q1429" s="12" t="s">
        <v>67</v>
      </c>
      <c r="R1429" s="12" t="s">
        <v>421</v>
      </c>
      <c r="S1429" s="13">
        <v>197803498759</v>
      </c>
      <c r="T1429" s="12" t="s">
        <v>422</v>
      </c>
      <c r="U1429" s="12" t="s">
        <v>60</v>
      </c>
      <c r="V1429" s="12" t="s">
        <v>70</v>
      </c>
      <c r="W1429" s="12" t="s">
        <v>262</v>
      </c>
      <c r="X1429" s="12" t="s">
        <v>500</v>
      </c>
      <c r="Y1429" s="12" t="s">
        <v>91</v>
      </c>
      <c r="Z1429" s="12" t="s">
        <v>108</v>
      </c>
      <c r="AA1429" s="13">
        <v>0</v>
      </c>
      <c r="AB1429" s="13">
        <v>0</v>
      </c>
      <c r="AC1429" s="15">
        <v>10.95</v>
      </c>
      <c r="AD1429" s="15">
        <f>AC1429*AG1429</f>
        <v>43.8</v>
      </c>
      <c r="AE1429" s="15">
        <v>24</v>
      </c>
      <c r="AF1429" s="15">
        <f>AE1429*AG1429</f>
        <v>96</v>
      </c>
      <c r="AG1429" s="16">
        <v>4</v>
      </c>
    </row>
    <row r="1430" spans="1:33" ht="15" customHeight="1" x14ac:dyDescent="0.2">
      <c r="A1430" s="11" t="str">
        <f t="shared" si="401"/>
        <v>VN0A3CZEY281</v>
      </c>
      <c r="B1430" s="12" t="s">
        <v>5599</v>
      </c>
      <c r="C1430" s="12" t="s">
        <v>3849</v>
      </c>
      <c r="D1430" s="12" t="s">
        <v>58</v>
      </c>
      <c r="E1430" s="12" t="s">
        <v>5600</v>
      </c>
      <c r="F1430" s="12" t="s">
        <v>403</v>
      </c>
      <c r="G1430" s="14"/>
      <c r="H1430" s="12" t="s">
        <v>61</v>
      </c>
      <c r="I1430" s="12" t="s">
        <v>230</v>
      </c>
      <c r="J1430" s="12" t="s">
        <v>419</v>
      </c>
      <c r="K1430" s="12" t="s">
        <v>199</v>
      </c>
      <c r="L1430" s="14"/>
      <c r="M1430" s="12" t="s">
        <v>43</v>
      </c>
      <c r="N1430" s="12" t="s">
        <v>44</v>
      </c>
      <c r="O1430" s="12" t="s">
        <v>5601</v>
      </c>
      <c r="P1430" s="12" t="s">
        <v>66</v>
      </c>
      <c r="Q1430" s="12" t="s">
        <v>67</v>
      </c>
      <c r="R1430" s="12" t="s">
        <v>421</v>
      </c>
      <c r="S1430" s="13">
        <v>192825008511</v>
      </c>
      <c r="T1430" s="12" t="s">
        <v>422</v>
      </c>
      <c r="U1430" s="12" t="s">
        <v>403</v>
      </c>
      <c r="V1430" s="12" t="s">
        <v>70</v>
      </c>
      <c r="W1430" s="12" t="s">
        <v>51</v>
      </c>
      <c r="X1430" s="13">
        <v>0</v>
      </c>
      <c r="Y1430" s="12" t="s">
        <v>91</v>
      </c>
      <c r="Z1430" s="12" t="s">
        <v>108</v>
      </c>
      <c r="AA1430" s="13">
        <v>0</v>
      </c>
      <c r="AB1430" s="13">
        <v>0</v>
      </c>
      <c r="AC1430" s="15">
        <v>10.95</v>
      </c>
      <c r="AD1430" s="15">
        <f>AC1430*AG1430</f>
        <v>43.8</v>
      </c>
      <c r="AE1430" s="15">
        <v>24</v>
      </c>
      <c r="AF1430" s="15">
        <f>AE1430*AG1430</f>
        <v>96</v>
      </c>
      <c r="AG1430" s="16">
        <v>4</v>
      </c>
    </row>
    <row r="1431" spans="1:33" ht="15" customHeight="1" x14ac:dyDescent="0.2">
      <c r="A1431" s="11" t="str">
        <f t="shared" ref="A1431:A1809" si="599">HYPERLINK("https://assets.vans.eu/images/VN0A5FJJ1RE-HERO/1","VN0A5FJJ1RE1")</f>
        <v>VN0A5FJJ1RE1</v>
      </c>
      <c r="B1431" s="12" t="s">
        <v>5602</v>
      </c>
      <c r="C1431" s="12" t="s">
        <v>2960</v>
      </c>
      <c r="D1431" s="12" t="s">
        <v>4051</v>
      </c>
      <c r="E1431" s="12" t="s">
        <v>5603</v>
      </c>
      <c r="F1431" s="12" t="s">
        <v>170</v>
      </c>
      <c r="G1431" s="14"/>
      <c r="H1431" s="12" t="s">
        <v>61</v>
      </c>
      <c r="I1431" s="12" t="s">
        <v>230</v>
      </c>
      <c r="J1431" s="12" t="s">
        <v>231</v>
      </c>
      <c r="K1431" s="12" t="s">
        <v>199</v>
      </c>
      <c r="L1431" s="14"/>
      <c r="M1431" s="12" t="s">
        <v>43</v>
      </c>
      <c r="N1431" s="12" t="s">
        <v>44</v>
      </c>
      <c r="O1431" s="12" t="s">
        <v>5604</v>
      </c>
      <c r="P1431" s="12" t="s">
        <v>66</v>
      </c>
      <c r="Q1431" s="12" t="s">
        <v>233</v>
      </c>
      <c r="R1431" s="12" t="s">
        <v>361</v>
      </c>
      <c r="S1431" s="13">
        <v>197643462521</v>
      </c>
      <c r="T1431" s="12" t="s">
        <v>235</v>
      </c>
      <c r="U1431" s="12" t="s">
        <v>170</v>
      </c>
      <c r="V1431" s="12" t="s">
        <v>5273</v>
      </c>
      <c r="W1431" s="12" t="s">
        <v>118</v>
      </c>
      <c r="X1431" s="13">
        <v>0</v>
      </c>
      <c r="Y1431" s="12" t="s">
        <v>91</v>
      </c>
      <c r="Z1431" s="12" t="s">
        <v>108</v>
      </c>
      <c r="AA1431" s="13">
        <v>0</v>
      </c>
      <c r="AB1431" s="13">
        <v>0</v>
      </c>
      <c r="AC1431" s="15">
        <v>31.85</v>
      </c>
      <c r="AD1431" s="15">
        <f>AC1431*AG1431</f>
        <v>127.4</v>
      </c>
      <c r="AE1431" s="15">
        <v>70</v>
      </c>
      <c r="AF1431" s="15">
        <f>AE1431*AG1431</f>
        <v>280</v>
      </c>
      <c r="AG1431" s="16">
        <v>4</v>
      </c>
    </row>
    <row r="1432" spans="1:33" ht="15" customHeight="1" x14ac:dyDescent="0.2">
      <c r="A1432" s="11" t="str">
        <f>HYPERLINK("https://assets.vans.eu/images/VN0A5FLPD4C-HERO/1","VN0A5FLPD4C1")</f>
        <v>VN0A5FLPD4C1</v>
      </c>
      <c r="B1432" s="12" t="s">
        <v>5605</v>
      </c>
      <c r="C1432" s="12" t="s">
        <v>2256</v>
      </c>
      <c r="D1432" s="12" t="s">
        <v>1454</v>
      </c>
      <c r="E1432" s="12" t="s">
        <v>5606</v>
      </c>
      <c r="F1432" s="13">
        <v>26</v>
      </c>
      <c r="G1432" s="14"/>
      <c r="H1432" s="12" t="s">
        <v>61</v>
      </c>
      <c r="I1432" s="12" t="s">
        <v>62</v>
      </c>
      <c r="J1432" s="12" t="s">
        <v>972</v>
      </c>
      <c r="K1432" s="12" t="s">
        <v>64</v>
      </c>
      <c r="L1432" s="14"/>
      <c r="M1432" s="12" t="s">
        <v>43</v>
      </c>
      <c r="N1432" s="12" t="s">
        <v>161</v>
      </c>
      <c r="O1432" s="12" t="s">
        <v>5607</v>
      </c>
      <c r="P1432" s="12" t="s">
        <v>66</v>
      </c>
      <c r="Q1432" s="12" t="s">
        <v>233</v>
      </c>
      <c r="R1432" s="12" t="s">
        <v>974</v>
      </c>
      <c r="S1432" s="13">
        <v>197065714888</v>
      </c>
      <c r="T1432" s="12" t="s">
        <v>235</v>
      </c>
      <c r="U1432" s="13">
        <v>26</v>
      </c>
      <c r="V1432" s="12" t="s">
        <v>236</v>
      </c>
      <c r="W1432" s="12" t="s">
        <v>186</v>
      </c>
      <c r="X1432" s="13">
        <v>0</v>
      </c>
      <c r="Y1432" s="12" t="s">
        <v>91</v>
      </c>
      <c r="Z1432" s="12" t="s">
        <v>108</v>
      </c>
      <c r="AA1432" s="13">
        <v>0</v>
      </c>
      <c r="AB1432" s="13">
        <v>0</v>
      </c>
      <c r="AC1432" s="15">
        <v>25</v>
      </c>
      <c r="AD1432" s="15">
        <f>AC1432*AG1432</f>
        <v>100</v>
      </c>
      <c r="AE1432" s="15">
        <v>55</v>
      </c>
      <c r="AF1432" s="15">
        <f>AE1432*AG1432</f>
        <v>220</v>
      </c>
      <c r="AG1432" s="16">
        <v>4</v>
      </c>
    </row>
    <row r="1433" spans="1:33" ht="15" customHeight="1" x14ac:dyDescent="0.2">
      <c r="A1433" s="11" t="str">
        <f t="shared" si="450"/>
        <v>VN0A5JHIBLK1</v>
      </c>
      <c r="B1433" s="12" t="s">
        <v>5608</v>
      </c>
      <c r="C1433" s="12" t="s">
        <v>4302</v>
      </c>
      <c r="D1433" s="12" t="s">
        <v>76</v>
      </c>
      <c r="E1433" s="12" t="s">
        <v>5609</v>
      </c>
      <c r="F1433" s="12" t="s">
        <v>60</v>
      </c>
      <c r="G1433" s="14"/>
      <c r="H1433" s="12" t="s">
        <v>61</v>
      </c>
      <c r="I1433" s="12" t="s">
        <v>289</v>
      </c>
      <c r="J1433" s="12" t="s">
        <v>900</v>
      </c>
      <c r="K1433" s="12" t="s">
        <v>100</v>
      </c>
      <c r="L1433" s="14"/>
      <c r="M1433" s="12" t="s">
        <v>43</v>
      </c>
      <c r="N1433" s="12" t="s">
        <v>84</v>
      </c>
      <c r="O1433" s="12" t="s">
        <v>5610</v>
      </c>
      <c r="P1433" s="12" t="s">
        <v>66</v>
      </c>
      <c r="Q1433" s="12" t="s">
        <v>233</v>
      </c>
      <c r="R1433" s="12" t="s">
        <v>902</v>
      </c>
      <c r="S1433" s="13">
        <v>192825953385</v>
      </c>
      <c r="T1433" s="12" t="s">
        <v>235</v>
      </c>
      <c r="U1433" s="12" t="s">
        <v>60</v>
      </c>
      <c r="V1433" s="12" t="s">
        <v>665</v>
      </c>
      <c r="W1433" s="12" t="s">
        <v>51</v>
      </c>
      <c r="X1433" s="13">
        <v>0</v>
      </c>
      <c r="Y1433" s="12" t="s">
        <v>91</v>
      </c>
      <c r="Z1433" s="12" t="s">
        <v>108</v>
      </c>
      <c r="AA1433" s="13">
        <v>0</v>
      </c>
      <c r="AB1433" s="12" t="s">
        <v>616</v>
      </c>
      <c r="AC1433" s="15">
        <v>40.950000000000003</v>
      </c>
      <c r="AD1433" s="15">
        <f>AC1433*AG1433</f>
        <v>163.80000000000001</v>
      </c>
      <c r="AE1433" s="15">
        <v>90</v>
      </c>
      <c r="AF1433" s="15">
        <f>AE1433*AG1433</f>
        <v>360</v>
      </c>
      <c r="AG1433" s="16">
        <v>4</v>
      </c>
    </row>
    <row r="1434" spans="1:33" ht="15" customHeight="1" x14ac:dyDescent="0.2">
      <c r="A1434" s="11" t="str">
        <f>HYPERLINK("https://assets.vans.eu/images/VN0A7S4SE90-HERO/1","VN0A7S4SE901")</f>
        <v>VN0A7S4SE901</v>
      </c>
      <c r="B1434" s="12" t="s">
        <v>5611</v>
      </c>
      <c r="C1434" s="12" t="s">
        <v>5612</v>
      </c>
      <c r="D1434" s="12" t="s">
        <v>2922</v>
      </c>
      <c r="E1434" s="12" t="s">
        <v>5613</v>
      </c>
      <c r="F1434" s="13">
        <v>32</v>
      </c>
      <c r="G1434" s="14"/>
      <c r="H1434" s="12" t="s">
        <v>61</v>
      </c>
      <c r="I1434" s="12" t="s">
        <v>230</v>
      </c>
      <c r="J1434" s="12" t="s">
        <v>231</v>
      </c>
      <c r="K1434" s="12" t="s">
        <v>199</v>
      </c>
      <c r="L1434" s="14"/>
      <c r="M1434" s="12" t="s">
        <v>43</v>
      </c>
      <c r="N1434" s="12" t="s">
        <v>44</v>
      </c>
      <c r="O1434" s="12" t="s">
        <v>5614</v>
      </c>
      <c r="P1434" s="12" t="s">
        <v>66</v>
      </c>
      <c r="Q1434" s="12" t="s">
        <v>233</v>
      </c>
      <c r="R1434" s="12" t="s">
        <v>234</v>
      </c>
      <c r="S1434" s="13">
        <v>197643463610</v>
      </c>
      <c r="T1434" s="12" t="s">
        <v>235</v>
      </c>
      <c r="U1434" s="13">
        <v>32</v>
      </c>
      <c r="V1434" s="12" t="s">
        <v>665</v>
      </c>
      <c r="W1434" s="12" t="s">
        <v>598</v>
      </c>
      <c r="X1434" s="13">
        <v>0</v>
      </c>
      <c r="Y1434" s="12" t="s">
        <v>53</v>
      </c>
      <c r="Z1434" s="12" t="s">
        <v>108</v>
      </c>
      <c r="AA1434" s="13">
        <v>0</v>
      </c>
      <c r="AB1434" s="13">
        <v>0</v>
      </c>
      <c r="AC1434" s="15">
        <v>31.85</v>
      </c>
      <c r="AD1434" s="15">
        <f>AC1434*AG1434</f>
        <v>127.4</v>
      </c>
      <c r="AE1434" s="15">
        <v>70</v>
      </c>
      <c r="AF1434" s="15">
        <f>AE1434*AG1434</f>
        <v>280</v>
      </c>
      <c r="AG1434" s="16">
        <v>4</v>
      </c>
    </row>
    <row r="1435" spans="1:33" ht="15" customHeight="1" x14ac:dyDescent="0.2">
      <c r="A1435" s="11" t="str">
        <f t="shared" ref="A1435:A1437" si="600">HYPERLINK("https://assets.vans.eu/images/VN0A7YUTBLK-HERO/1","VN0A7YUTBLK1")</f>
        <v>VN0A7YUTBLK1</v>
      </c>
      <c r="B1435" s="12" t="s">
        <v>5615</v>
      </c>
      <c r="C1435" s="12" t="s">
        <v>1519</v>
      </c>
      <c r="D1435" s="12" t="s">
        <v>76</v>
      </c>
      <c r="E1435" s="12" t="s">
        <v>5616</v>
      </c>
      <c r="F1435" s="12" t="s">
        <v>179</v>
      </c>
      <c r="G1435" s="12" t="s">
        <v>1521</v>
      </c>
      <c r="H1435" s="12" t="s">
        <v>61</v>
      </c>
      <c r="I1435" s="12" t="s">
        <v>289</v>
      </c>
      <c r="J1435" s="12" t="s">
        <v>706</v>
      </c>
      <c r="K1435" s="12" t="s">
        <v>100</v>
      </c>
      <c r="L1435" s="12" t="s">
        <v>83</v>
      </c>
      <c r="M1435" s="12" t="s">
        <v>43</v>
      </c>
      <c r="N1435" s="12" t="s">
        <v>84</v>
      </c>
      <c r="O1435" s="12" t="s">
        <v>5617</v>
      </c>
      <c r="P1435" s="12" t="s">
        <v>66</v>
      </c>
      <c r="Q1435" s="12" t="s">
        <v>67</v>
      </c>
      <c r="R1435" s="12" t="s">
        <v>1146</v>
      </c>
      <c r="S1435" s="13">
        <v>196244354907</v>
      </c>
      <c r="T1435" s="12" t="s">
        <v>422</v>
      </c>
      <c r="U1435" s="12" t="s">
        <v>179</v>
      </c>
      <c r="V1435" s="12" t="s">
        <v>70</v>
      </c>
      <c r="W1435" s="12" t="s">
        <v>51</v>
      </c>
      <c r="X1435" s="13">
        <v>0</v>
      </c>
      <c r="Y1435" s="12" t="s">
        <v>91</v>
      </c>
      <c r="Z1435" s="12" t="s">
        <v>108</v>
      </c>
      <c r="AA1435" s="13">
        <v>0</v>
      </c>
      <c r="AB1435" s="13">
        <v>0</v>
      </c>
      <c r="AC1435" s="15">
        <v>15.95</v>
      </c>
      <c r="AD1435" s="15">
        <f>AC1435*AG1435</f>
        <v>63.8</v>
      </c>
      <c r="AE1435" s="15">
        <v>35</v>
      </c>
      <c r="AF1435" s="15">
        <f>AE1435*AG1435</f>
        <v>140</v>
      </c>
      <c r="AG1435" s="16">
        <v>4</v>
      </c>
    </row>
    <row r="1436" spans="1:33" ht="15" customHeight="1" x14ac:dyDescent="0.2">
      <c r="A1436" s="11" t="str">
        <f t="shared" si="600"/>
        <v>VN0A7YUTBLK1</v>
      </c>
      <c r="B1436" s="12" t="s">
        <v>5618</v>
      </c>
      <c r="C1436" s="12" t="s">
        <v>1519</v>
      </c>
      <c r="D1436" s="12" t="s">
        <v>76</v>
      </c>
      <c r="E1436" s="12" t="s">
        <v>5619</v>
      </c>
      <c r="F1436" s="12" t="s">
        <v>170</v>
      </c>
      <c r="G1436" s="12" t="s">
        <v>1521</v>
      </c>
      <c r="H1436" s="12" t="s">
        <v>61</v>
      </c>
      <c r="I1436" s="12" t="s">
        <v>289</v>
      </c>
      <c r="J1436" s="12" t="s">
        <v>706</v>
      </c>
      <c r="K1436" s="12" t="s">
        <v>100</v>
      </c>
      <c r="L1436" s="12" t="s">
        <v>83</v>
      </c>
      <c r="M1436" s="12" t="s">
        <v>43</v>
      </c>
      <c r="N1436" s="12" t="s">
        <v>84</v>
      </c>
      <c r="O1436" s="12" t="s">
        <v>5620</v>
      </c>
      <c r="P1436" s="12" t="s">
        <v>66</v>
      </c>
      <c r="Q1436" s="12" t="s">
        <v>67</v>
      </c>
      <c r="R1436" s="12" t="s">
        <v>1146</v>
      </c>
      <c r="S1436" s="13">
        <v>196244354990</v>
      </c>
      <c r="T1436" s="12" t="s">
        <v>422</v>
      </c>
      <c r="U1436" s="12" t="s">
        <v>170</v>
      </c>
      <c r="V1436" s="12" t="s">
        <v>70</v>
      </c>
      <c r="W1436" s="12" t="s">
        <v>51</v>
      </c>
      <c r="X1436" s="13">
        <v>0</v>
      </c>
      <c r="Y1436" s="12" t="s">
        <v>91</v>
      </c>
      <c r="Z1436" s="12" t="s">
        <v>108</v>
      </c>
      <c r="AA1436" s="13">
        <v>0</v>
      </c>
      <c r="AB1436" s="13">
        <v>0</v>
      </c>
      <c r="AC1436" s="15">
        <v>15.95</v>
      </c>
      <c r="AD1436" s="15">
        <f>AC1436*AG1436</f>
        <v>63.8</v>
      </c>
      <c r="AE1436" s="15">
        <v>35</v>
      </c>
      <c r="AF1436" s="15">
        <f>AE1436*AG1436</f>
        <v>140</v>
      </c>
      <c r="AG1436" s="16">
        <v>4</v>
      </c>
    </row>
    <row r="1437" spans="1:33" ht="15" customHeight="1" x14ac:dyDescent="0.2">
      <c r="A1437" s="11" t="str">
        <f t="shared" si="600"/>
        <v>VN0A7YUTBLK1</v>
      </c>
      <c r="B1437" s="12" t="s">
        <v>5621</v>
      </c>
      <c r="C1437" s="12" t="s">
        <v>1519</v>
      </c>
      <c r="D1437" s="12" t="s">
        <v>76</v>
      </c>
      <c r="E1437" s="12" t="s">
        <v>5622</v>
      </c>
      <c r="F1437" s="12" t="s">
        <v>138</v>
      </c>
      <c r="G1437" s="12" t="s">
        <v>1521</v>
      </c>
      <c r="H1437" s="12" t="s">
        <v>61</v>
      </c>
      <c r="I1437" s="12" t="s">
        <v>289</v>
      </c>
      <c r="J1437" s="12" t="s">
        <v>706</v>
      </c>
      <c r="K1437" s="12" t="s">
        <v>100</v>
      </c>
      <c r="L1437" s="12" t="s">
        <v>83</v>
      </c>
      <c r="M1437" s="12" t="s">
        <v>43</v>
      </c>
      <c r="N1437" s="12" t="s">
        <v>84</v>
      </c>
      <c r="O1437" s="12" t="s">
        <v>5623</v>
      </c>
      <c r="P1437" s="12" t="s">
        <v>66</v>
      </c>
      <c r="Q1437" s="12" t="s">
        <v>67</v>
      </c>
      <c r="R1437" s="12" t="s">
        <v>1146</v>
      </c>
      <c r="S1437" s="13">
        <v>196244355607</v>
      </c>
      <c r="T1437" s="12" t="s">
        <v>422</v>
      </c>
      <c r="U1437" s="12" t="s">
        <v>138</v>
      </c>
      <c r="V1437" s="12" t="s">
        <v>70</v>
      </c>
      <c r="W1437" s="12" t="s">
        <v>51</v>
      </c>
      <c r="X1437" s="13">
        <v>0</v>
      </c>
      <c r="Y1437" s="12" t="s">
        <v>91</v>
      </c>
      <c r="Z1437" s="12" t="s">
        <v>108</v>
      </c>
      <c r="AA1437" s="13">
        <v>0</v>
      </c>
      <c r="AB1437" s="13">
        <v>0</v>
      </c>
      <c r="AC1437" s="15">
        <v>15.95</v>
      </c>
      <c r="AD1437" s="15">
        <f>AC1437*AG1437</f>
        <v>63.8</v>
      </c>
      <c r="AE1437" s="15">
        <v>35</v>
      </c>
      <c r="AF1437" s="15">
        <f>AE1437*AG1437</f>
        <v>140</v>
      </c>
      <c r="AG1437" s="16">
        <v>4</v>
      </c>
    </row>
    <row r="1438" spans="1:33" ht="15" customHeight="1" x14ac:dyDescent="0.2">
      <c r="A1438" s="11" t="str">
        <f>HYPERLINK("https://assets.vans.eu/images/VN000H4YD3Z-HERO/1","VN000H4YD3Z1")</f>
        <v>VN000H4YD3Z1</v>
      </c>
      <c r="B1438" s="12" t="s">
        <v>5624</v>
      </c>
      <c r="C1438" s="12" t="s">
        <v>5625</v>
      </c>
      <c r="D1438" s="12" t="s">
        <v>4721</v>
      </c>
      <c r="E1438" s="12" t="s">
        <v>5626</v>
      </c>
      <c r="F1438" s="12" t="s">
        <v>78</v>
      </c>
      <c r="G1438" s="14"/>
      <c r="H1438" s="12" t="s">
        <v>441</v>
      </c>
      <c r="I1438" s="12" t="s">
        <v>442</v>
      </c>
      <c r="J1438" s="12" t="s">
        <v>443</v>
      </c>
      <c r="K1438" s="12" t="s">
        <v>82</v>
      </c>
      <c r="L1438" s="14"/>
      <c r="M1438" s="12" t="s">
        <v>43</v>
      </c>
      <c r="N1438" s="12" t="s">
        <v>161</v>
      </c>
      <c r="O1438" s="12" t="s">
        <v>5627</v>
      </c>
      <c r="P1438" s="12" t="s">
        <v>445</v>
      </c>
      <c r="Q1438" s="12" t="s">
        <v>446</v>
      </c>
      <c r="R1438" s="12" t="s">
        <v>447</v>
      </c>
      <c r="S1438" s="13">
        <v>197065711665</v>
      </c>
      <c r="T1438" s="12" t="s">
        <v>105</v>
      </c>
      <c r="U1438" s="12" t="s">
        <v>78</v>
      </c>
      <c r="V1438" s="12" t="s">
        <v>2570</v>
      </c>
      <c r="W1438" s="12" t="s">
        <v>118</v>
      </c>
      <c r="X1438" s="13">
        <v>0</v>
      </c>
      <c r="Y1438" s="12" t="s">
        <v>91</v>
      </c>
      <c r="Z1438" s="12" t="s">
        <v>108</v>
      </c>
      <c r="AA1438" s="13">
        <v>0</v>
      </c>
      <c r="AB1438" s="13">
        <v>0</v>
      </c>
      <c r="AC1438" s="15">
        <v>20.5</v>
      </c>
      <c r="AD1438" s="15">
        <f>AC1438*AG1438</f>
        <v>82</v>
      </c>
      <c r="AE1438" s="15">
        <v>45</v>
      </c>
      <c r="AF1438" s="15">
        <f>AE1438*AG1438</f>
        <v>180</v>
      </c>
      <c r="AG1438" s="16">
        <v>4</v>
      </c>
    </row>
    <row r="1439" spans="1:33" ht="15" customHeight="1" x14ac:dyDescent="0.2">
      <c r="A1439" s="11" t="str">
        <f>HYPERLINK("https://assets.vans.eu/images/VN000Q9829B-HERO/1","VN000Q9829B1")</f>
        <v>VN000Q9829B1</v>
      </c>
      <c r="B1439" s="12" t="s">
        <v>5628</v>
      </c>
      <c r="C1439" s="12" t="s">
        <v>1072</v>
      </c>
      <c r="D1439" s="12" t="s">
        <v>5629</v>
      </c>
      <c r="E1439" s="12" t="s">
        <v>5630</v>
      </c>
      <c r="F1439" s="12" t="s">
        <v>78</v>
      </c>
      <c r="G1439" s="14"/>
      <c r="H1439" s="12" t="s">
        <v>441</v>
      </c>
      <c r="I1439" s="12" t="s">
        <v>442</v>
      </c>
      <c r="J1439" s="12" t="s">
        <v>443</v>
      </c>
      <c r="K1439" s="12" t="s">
        <v>82</v>
      </c>
      <c r="L1439" s="14"/>
      <c r="M1439" s="12" t="s">
        <v>43</v>
      </c>
      <c r="N1439" s="12" t="s">
        <v>84</v>
      </c>
      <c r="O1439" s="12" t="s">
        <v>5631</v>
      </c>
      <c r="P1439" s="12" t="s">
        <v>445</v>
      </c>
      <c r="Q1439" s="12" t="s">
        <v>446</v>
      </c>
      <c r="R1439" s="12" t="s">
        <v>447</v>
      </c>
      <c r="S1439" s="13">
        <v>197804374083</v>
      </c>
      <c r="T1439" s="12" t="s">
        <v>130</v>
      </c>
      <c r="U1439" s="12" t="s">
        <v>78</v>
      </c>
      <c r="V1439" s="12" t="s">
        <v>5632</v>
      </c>
      <c r="W1439" s="12" t="s">
        <v>51</v>
      </c>
      <c r="X1439" s="14"/>
      <c r="Y1439" s="14"/>
      <c r="Z1439" s="14"/>
      <c r="AA1439" s="14"/>
      <c r="AB1439" s="14"/>
      <c r="AC1439" s="15">
        <v>34.1</v>
      </c>
      <c r="AD1439" s="15">
        <f>AC1439*AG1439</f>
        <v>136.4</v>
      </c>
      <c r="AE1439" s="15">
        <v>75</v>
      </c>
      <c r="AF1439" s="15">
        <f>AE1439*AG1439</f>
        <v>300</v>
      </c>
      <c r="AG1439" s="16">
        <v>4</v>
      </c>
    </row>
    <row r="1440" spans="1:33" ht="15" customHeight="1" x14ac:dyDescent="0.2">
      <c r="A1440" s="11" t="str">
        <f t="shared" si="272"/>
        <v>VN000BCE2N11</v>
      </c>
      <c r="B1440" s="12" t="s">
        <v>5633</v>
      </c>
      <c r="C1440" s="12" t="s">
        <v>1103</v>
      </c>
      <c r="D1440" s="12" t="s">
        <v>1082</v>
      </c>
      <c r="E1440" s="12" t="s">
        <v>5634</v>
      </c>
      <c r="F1440" s="13">
        <v>80</v>
      </c>
      <c r="G1440" s="14"/>
      <c r="H1440" s="12" t="s">
        <v>38</v>
      </c>
      <c r="I1440" s="12" t="s">
        <v>159</v>
      </c>
      <c r="J1440" s="12" t="s">
        <v>255</v>
      </c>
      <c r="K1440" s="12" t="s">
        <v>82</v>
      </c>
      <c r="L1440" s="14"/>
      <c r="M1440" s="12" t="s">
        <v>43</v>
      </c>
      <c r="N1440" s="12" t="s">
        <v>84</v>
      </c>
      <c r="O1440" s="12" t="s">
        <v>5635</v>
      </c>
      <c r="P1440" s="12" t="s">
        <v>46</v>
      </c>
      <c r="Q1440" s="12" t="s">
        <v>47</v>
      </c>
      <c r="R1440" s="12" t="s">
        <v>163</v>
      </c>
      <c r="S1440" s="13">
        <v>197804504374</v>
      </c>
      <c r="T1440" s="12" t="s">
        <v>49</v>
      </c>
      <c r="U1440" s="13">
        <v>40.5</v>
      </c>
      <c r="V1440" s="12" t="s">
        <v>50</v>
      </c>
      <c r="W1440" s="12" t="s">
        <v>580</v>
      </c>
      <c r="X1440" s="14"/>
      <c r="Y1440" s="14"/>
      <c r="Z1440" s="14"/>
      <c r="AA1440" s="14"/>
      <c r="AB1440" s="14"/>
      <c r="AC1440" s="15">
        <v>59.1</v>
      </c>
      <c r="AD1440" s="15">
        <f>AC1440*AG1440</f>
        <v>236.4</v>
      </c>
      <c r="AE1440" s="15">
        <v>130</v>
      </c>
      <c r="AF1440" s="15">
        <f>AE1440*AG1440</f>
        <v>520</v>
      </c>
      <c r="AG1440" s="16">
        <v>4</v>
      </c>
    </row>
    <row r="1441" spans="1:33" ht="15" customHeight="1" x14ac:dyDescent="0.2">
      <c r="A1441" s="11" t="str">
        <f t="shared" si="509"/>
        <v>VN000BCEBA21</v>
      </c>
      <c r="B1441" s="12" t="s">
        <v>5636</v>
      </c>
      <c r="C1441" s="12" t="s">
        <v>1103</v>
      </c>
      <c r="D1441" s="12" t="s">
        <v>1844</v>
      </c>
      <c r="E1441" s="12" t="s">
        <v>5637</v>
      </c>
      <c r="F1441" s="13">
        <v>35</v>
      </c>
      <c r="G1441" s="14"/>
      <c r="H1441" s="12" t="s">
        <v>38</v>
      </c>
      <c r="I1441" s="12" t="s">
        <v>159</v>
      </c>
      <c r="J1441" s="12" t="s">
        <v>255</v>
      </c>
      <c r="K1441" s="12" t="s">
        <v>82</v>
      </c>
      <c r="L1441" s="14"/>
      <c r="M1441" s="12" t="s">
        <v>43</v>
      </c>
      <c r="N1441" s="12" t="s">
        <v>84</v>
      </c>
      <c r="O1441" s="12" t="s">
        <v>5638</v>
      </c>
      <c r="P1441" s="12" t="s">
        <v>46</v>
      </c>
      <c r="Q1441" s="12" t="s">
        <v>47</v>
      </c>
      <c r="R1441" s="12" t="s">
        <v>163</v>
      </c>
      <c r="S1441" s="13">
        <v>196573431508</v>
      </c>
      <c r="T1441" s="12" t="s">
        <v>49</v>
      </c>
      <c r="U1441" s="13">
        <v>34.5</v>
      </c>
      <c r="V1441" s="12" t="s">
        <v>50</v>
      </c>
      <c r="W1441" s="12" t="s">
        <v>51</v>
      </c>
      <c r="X1441" s="14"/>
      <c r="Y1441" s="12" t="s">
        <v>91</v>
      </c>
      <c r="Z1441" s="12" t="s">
        <v>165</v>
      </c>
      <c r="AA1441" s="14"/>
      <c r="AB1441" s="14"/>
      <c r="AC1441" s="15">
        <v>59.1</v>
      </c>
      <c r="AD1441" s="15">
        <f>AC1441*AG1441</f>
        <v>236.4</v>
      </c>
      <c r="AE1441" s="15">
        <v>130</v>
      </c>
      <c r="AF1441" s="15">
        <f>AE1441*AG1441</f>
        <v>520</v>
      </c>
      <c r="AG1441" s="16">
        <v>4</v>
      </c>
    </row>
    <row r="1442" spans="1:33" ht="15" customHeight="1" x14ac:dyDescent="0.2">
      <c r="A1442" s="11" t="str">
        <f t="shared" si="509"/>
        <v>VN000BCEBA21</v>
      </c>
      <c r="B1442" s="12" t="s">
        <v>5639</v>
      </c>
      <c r="C1442" s="12" t="s">
        <v>1103</v>
      </c>
      <c r="D1442" s="12" t="s">
        <v>1844</v>
      </c>
      <c r="E1442" s="12" t="s">
        <v>5640</v>
      </c>
      <c r="F1442" s="13">
        <v>80</v>
      </c>
      <c r="G1442" s="14"/>
      <c r="H1442" s="12" t="s">
        <v>38</v>
      </c>
      <c r="I1442" s="12" t="s">
        <v>159</v>
      </c>
      <c r="J1442" s="12" t="s">
        <v>255</v>
      </c>
      <c r="K1442" s="12" t="s">
        <v>82</v>
      </c>
      <c r="L1442" s="14"/>
      <c r="M1442" s="12" t="s">
        <v>43</v>
      </c>
      <c r="N1442" s="12" t="s">
        <v>84</v>
      </c>
      <c r="O1442" s="12" t="s">
        <v>5641</v>
      </c>
      <c r="P1442" s="12" t="s">
        <v>46</v>
      </c>
      <c r="Q1442" s="12" t="s">
        <v>47</v>
      </c>
      <c r="R1442" s="12" t="s">
        <v>163</v>
      </c>
      <c r="S1442" s="13">
        <v>196573432758</v>
      </c>
      <c r="T1442" s="12" t="s">
        <v>49</v>
      </c>
      <c r="U1442" s="13">
        <v>40.5</v>
      </c>
      <c r="V1442" s="12" t="s">
        <v>50</v>
      </c>
      <c r="W1442" s="12" t="s">
        <v>51</v>
      </c>
      <c r="X1442" s="14"/>
      <c r="Y1442" s="12" t="s">
        <v>91</v>
      </c>
      <c r="Z1442" s="12" t="s">
        <v>165</v>
      </c>
      <c r="AA1442" s="14"/>
      <c r="AB1442" s="14"/>
      <c r="AC1442" s="15">
        <v>59.1</v>
      </c>
      <c r="AD1442" s="15">
        <f>AC1442*AG1442</f>
        <v>236.4</v>
      </c>
      <c r="AE1442" s="15">
        <v>130</v>
      </c>
      <c r="AF1442" s="15">
        <f>AE1442*AG1442</f>
        <v>520</v>
      </c>
      <c r="AG1442" s="16">
        <v>4</v>
      </c>
    </row>
    <row r="1443" spans="1:33" ht="15" customHeight="1" x14ac:dyDescent="0.2">
      <c r="A1443" s="11" t="str">
        <f t="shared" si="334"/>
        <v>VN000BVXKAQ1</v>
      </c>
      <c r="B1443" s="12" t="s">
        <v>5642</v>
      </c>
      <c r="C1443" s="12" t="s">
        <v>3221</v>
      </c>
      <c r="D1443" s="12" t="s">
        <v>2408</v>
      </c>
      <c r="E1443" s="12" t="s">
        <v>5643</v>
      </c>
      <c r="F1443" s="13">
        <v>45</v>
      </c>
      <c r="G1443" s="12" t="s">
        <v>551</v>
      </c>
      <c r="H1443" s="12" t="s">
        <v>38</v>
      </c>
      <c r="I1443" s="12" t="s">
        <v>159</v>
      </c>
      <c r="J1443" s="12" t="s">
        <v>160</v>
      </c>
      <c r="K1443" s="12" t="s">
        <v>82</v>
      </c>
      <c r="L1443" s="12" t="s">
        <v>42</v>
      </c>
      <c r="M1443" s="12" t="s">
        <v>43</v>
      </c>
      <c r="N1443" s="12" t="s">
        <v>274</v>
      </c>
      <c r="O1443" s="12" t="s">
        <v>5644</v>
      </c>
      <c r="P1443" s="12" t="s">
        <v>46</v>
      </c>
      <c r="Q1443" s="12" t="s">
        <v>47</v>
      </c>
      <c r="R1443" s="12" t="s">
        <v>163</v>
      </c>
      <c r="S1443" s="13">
        <v>197063263364</v>
      </c>
      <c r="T1443" s="12" t="s">
        <v>49</v>
      </c>
      <c r="U1443" s="13">
        <v>36</v>
      </c>
      <c r="V1443" s="12" t="s">
        <v>50</v>
      </c>
      <c r="W1443" s="12" t="s">
        <v>455</v>
      </c>
      <c r="X1443" s="14"/>
      <c r="Y1443" s="12" t="s">
        <v>53</v>
      </c>
      <c r="Z1443" s="12" t="s">
        <v>92</v>
      </c>
      <c r="AA1443" s="12" t="s">
        <v>3224</v>
      </c>
      <c r="AB1443" s="12" t="s">
        <v>55</v>
      </c>
      <c r="AC1443" s="15">
        <v>38.65</v>
      </c>
      <c r="AD1443" s="15">
        <f>AC1443*AG1443</f>
        <v>154.6</v>
      </c>
      <c r="AE1443" s="15">
        <v>85</v>
      </c>
      <c r="AF1443" s="15">
        <f>AE1443*AG1443</f>
        <v>340</v>
      </c>
      <c r="AG1443" s="16">
        <v>4</v>
      </c>
    </row>
    <row r="1444" spans="1:33" ht="15" customHeight="1" x14ac:dyDescent="0.2">
      <c r="A1444" s="11" t="str">
        <f t="shared" ref="A1444:A1820" si="601">HYPERLINK("https://assets.vans.eu/images/VN000BVZ239-HERO/1","VN000BVZ2391")</f>
        <v>VN000BVZ2391</v>
      </c>
      <c r="B1444" s="12" t="s">
        <v>5645</v>
      </c>
      <c r="C1444" s="12" t="s">
        <v>3586</v>
      </c>
      <c r="D1444" s="12" t="s">
        <v>1609</v>
      </c>
      <c r="E1444" s="12" t="s">
        <v>5646</v>
      </c>
      <c r="F1444" s="13">
        <v>90</v>
      </c>
      <c r="G1444" s="12" t="s">
        <v>5647</v>
      </c>
      <c r="H1444" s="12" t="s">
        <v>38</v>
      </c>
      <c r="I1444" s="12" t="s">
        <v>159</v>
      </c>
      <c r="J1444" s="12" t="s">
        <v>160</v>
      </c>
      <c r="K1444" s="12" t="s">
        <v>82</v>
      </c>
      <c r="L1444" s="14"/>
      <c r="M1444" s="12" t="s">
        <v>43</v>
      </c>
      <c r="N1444" s="12" t="s">
        <v>84</v>
      </c>
      <c r="O1444" s="12" t="s">
        <v>5648</v>
      </c>
      <c r="P1444" s="12" t="s">
        <v>46</v>
      </c>
      <c r="Q1444" s="12" t="s">
        <v>47</v>
      </c>
      <c r="R1444" s="12" t="s">
        <v>163</v>
      </c>
      <c r="S1444" s="13">
        <v>197804424665</v>
      </c>
      <c r="T1444" s="12" t="s">
        <v>49</v>
      </c>
      <c r="U1444" s="13">
        <v>42</v>
      </c>
      <c r="V1444" s="12" t="s">
        <v>209</v>
      </c>
      <c r="W1444" s="12" t="s">
        <v>455</v>
      </c>
      <c r="X1444" s="14"/>
      <c r="Y1444" s="14"/>
      <c r="Z1444" s="14"/>
      <c r="AA1444" s="14"/>
      <c r="AB1444" s="14"/>
      <c r="AC1444" s="15">
        <v>36.4</v>
      </c>
      <c r="AD1444" s="15">
        <f>AC1444*AG1444</f>
        <v>145.6</v>
      </c>
      <c r="AE1444" s="15">
        <v>80</v>
      </c>
      <c r="AF1444" s="15">
        <f>AE1444*AG1444</f>
        <v>320</v>
      </c>
      <c r="AG1444" s="16">
        <v>4</v>
      </c>
    </row>
    <row r="1445" spans="1:33" ht="15" customHeight="1" x14ac:dyDescent="0.2">
      <c r="A1445" s="11" t="str">
        <f t="shared" ref="A1445:A1446" si="602">HYPERLINK("https://assets.vans.eu/images/VN000CQ04C3-HERO/1","VN000CQ04C31")</f>
        <v>VN000CQ04C31</v>
      </c>
      <c r="B1445" s="12" t="s">
        <v>5649</v>
      </c>
      <c r="C1445" s="12" t="s">
        <v>1422</v>
      </c>
      <c r="D1445" s="12" t="s">
        <v>5650</v>
      </c>
      <c r="E1445" s="12" t="s">
        <v>5651</v>
      </c>
      <c r="F1445" s="13">
        <v>70</v>
      </c>
      <c r="G1445" s="12" t="s">
        <v>5652</v>
      </c>
      <c r="H1445" s="12" t="s">
        <v>38</v>
      </c>
      <c r="I1445" s="12" t="s">
        <v>242</v>
      </c>
      <c r="J1445" s="12" t="s">
        <v>243</v>
      </c>
      <c r="K1445" s="12" t="s">
        <v>244</v>
      </c>
      <c r="L1445" s="14"/>
      <c r="M1445" s="12" t="s">
        <v>43</v>
      </c>
      <c r="N1445" s="12" t="s">
        <v>84</v>
      </c>
      <c r="O1445" s="12" t="s">
        <v>5653</v>
      </c>
      <c r="P1445" s="12" t="s">
        <v>46</v>
      </c>
      <c r="Q1445" s="12" t="s">
        <v>47</v>
      </c>
      <c r="R1445" s="12" t="s">
        <v>313</v>
      </c>
      <c r="S1445" s="13">
        <v>197804507870</v>
      </c>
      <c r="T1445" s="12" t="s">
        <v>164</v>
      </c>
      <c r="U1445" s="13">
        <v>23.5</v>
      </c>
      <c r="V1445" s="12" t="s">
        <v>50</v>
      </c>
      <c r="W1445" s="12" t="s">
        <v>107</v>
      </c>
      <c r="X1445" s="14"/>
      <c r="Y1445" s="14"/>
      <c r="Z1445" s="14"/>
      <c r="AA1445" s="14"/>
      <c r="AB1445" s="14"/>
      <c r="AC1445" s="15">
        <v>22.75</v>
      </c>
      <c r="AD1445" s="15">
        <f>AC1445*AG1445</f>
        <v>91</v>
      </c>
      <c r="AE1445" s="15">
        <v>50</v>
      </c>
      <c r="AF1445" s="15">
        <f>AE1445*AG1445</f>
        <v>200</v>
      </c>
      <c r="AG1445" s="16">
        <v>4</v>
      </c>
    </row>
    <row r="1446" spans="1:33" ht="15" customHeight="1" x14ac:dyDescent="0.2">
      <c r="A1446" s="11" t="str">
        <f t="shared" si="602"/>
        <v>VN000CQ04C31</v>
      </c>
      <c r="B1446" s="12" t="s">
        <v>5654</v>
      </c>
      <c r="C1446" s="12" t="s">
        <v>1422</v>
      </c>
      <c r="D1446" s="12" t="s">
        <v>5650</v>
      </c>
      <c r="E1446" s="12" t="s">
        <v>5655</v>
      </c>
      <c r="F1446" s="13">
        <v>75</v>
      </c>
      <c r="G1446" s="12" t="s">
        <v>5652</v>
      </c>
      <c r="H1446" s="12" t="s">
        <v>38</v>
      </c>
      <c r="I1446" s="12" t="s">
        <v>242</v>
      </c>
      <c r="J1446" s="12" t="s">
        <v>243</v>
      </c>
      <c r="K1446" s="12" t="s">
        <v>244</v>
      </c>
      <c r="L1446" s="14"/>
      <c r="M1446" s="12" t="s">
        <v>43</v>
      </c>
      <c r="N1446" s="12" t="s">
        <v>84</v>
      </c>
      <c r="O1446" s="12" t="s">
        <v>5656</v>
      </c>
      <c r="P1446" s="12" t="s">
        <v>46</v>
      </c>
      <c r="Q1446" s="12" t="s">
        <v>47</v>
      </c>
      <c r="R1446" s="12" t="s">
        <v>313</v>
      </c>
      <c r="S1446" s="13">
        <v>197804508112</v>
      </c>
      <c r="T1446" s="12" t="s">
        <v>164</v>
      </c>
      <c r="U1446" s="13">
        <v>24</v>
      </c>
      <c r="V1446" s="12" t="s">
        <v>50</v>
      </c>
      <c r="W1446" s="12" t="s">
        <v>107</v>
      </c>
      <c r="X1446" s="14"/>
      <c r="Y1446" s="14"/>
      <c r="Z1446" s="14"/>
      <c r="AA1446" s="14"/>
      <c r="AB1446" s="14"/>
      <c r="AC1446" s="15">
        <v>22.75</v>
      </c>
      <c r="AD1446" s="15">
        <f>AC1446*AG1446</f>
        <v>91</v>
      </c>
      <c r="AE1446" s="15">
        <v>50</v>
      </c>
      <c r="AF1446" s="15">
        <f>AE1446*AG1446</f>
        <v>200</v>
      </c>
      <c r="AG1446" s="16">
        <v>4</v>
      </c>
    </row>
    <row r="1447" spans="1:33" ht="15" customHeight="1" x14ac:dyDescent="0.2">
      <c r="A1447" s="11" t="str">
        <f>HYPERLINK("https://assets.vans.eu/images/VN000CQR52K-HERO/1","VN000CQR52K1")</f>
        <v>VN000CQR52K1</v>
      </c>
      <c r="B1447" s="12" t="s">
        <v>5657</v>
      </c>
      <c r="C1447" s="12" t="s">
        <v>1458</v>
      </c>
      <c r="D1447" s="12" t="s">
        <v>929</v>
      </c>
      <c r="E1447" s="12" t="s">
        <v>5658</v>
      </c>
      <c r="F1447" s="13">
        <v>130</v>
      </c>
      <c r="G1447" s="12" t="s">
        <v>1460</v>
      </c>
      <c r="H1447" s="12" t="s">
        <v>38</v>
      </c>
      <c r="I1447" s="12" t="s">
        <v>113</v>
      </c>
      <c r="J1447" s="12" t="s">
        <v>529</v>
      </c>
      <c r="K1447" s="12" t="s">
        <v>82</v>
      </c>
      <c r="L1447" s="14"/>
      <c r="M1447" s="12" t="s">
        <v>43</v>
      </c>
      <c r="N1447" s="12" t="s">
        <v>44</v>
      </c>
      <c r="O1447" s="12" t="s">
        <v>5659</v>
      </c>
      <c r="P1447" s="12" t="s">
        <v>46</v>
      </c>
      <c r="Q1447" s="12" t="s">
        <v>47</v>
      </c>
      <c r="R1447" s="12" t="s">
        <v>117</v>
      </c>
      <c r="S1447" s="13">
        <v>197643237334</v>
      </c>
      <c r="T1447" s="12" t="s">
        <v>164</v>
      </c>
      <c r="U1447" s="13">
        <v>47</v>
      </c>
      <c r="V1447" s="12" t="s">
        <v>50</v>
      </c>
      <c r="W1447" s="12" t="s">
        <v>933</v>
      </c>
      <c r="X1447" s="14"/>
      <c r="Y1447" s="12" t="s">
        <v>53</v>
      </c>
      <c r="Z1447" s="12" t="s">
        <v>1462</v>
      </c>
      <c r="AA1447" s="14"/>
      <c r="AB1447" s="14"/>
      <c r="AC1447" s="15">
        <v>43.2</v>
      </c>
      <c r="AD1447" s="15">
        <f>AC1447*AG1447</f>
        <v>172.8</v>
      </c>
      <c r="AE1447" s="15">
        <v>95</v>
      </c>
      <c r="AF1447" s="15">
        <f>AE1447*AG1447</f>
        <v>380</v>
      </c>
      <c r="AG1447" s="16">
        <v>4</v>
      </c>
    </row>
    <row r="1448" spans="1:33" ht="15" customHeight="1" x14ac:dyDescent="0.2">
      <c r="A1448" s="11" t="str">
        <f t="shared" si="511"/>
        <v>VN000CQR6PH1</v>
      </c>
      <c r="B1448" s="12" t="s">
        <v>5660</v>
      </c>
      <c r="C1448" s="12" t="s">
        <v>1458</v>
      </c>
      <c r="D1448" s="12" t="s">
        <v>1878</v>
      </c>
      <c r="E1448" s="12" t="s">
        <v>5661</v>
      </c>
      <c r="F1448" s="13">
        <v>95</v>
      </c>
      <c r="G1448" s="12" t="s">
        <v>1460</v>
      </c>
      <c r="H1448" s="12" t="s">
        <v>38</v>
      </c>
      <c r="I1448" s="12" t="s">
        <v>113</v>
      </c>
      <c r="J1448" s="12" t="s">
        <v>529</v>
      </c>
      <c r="K1448" s="12" t="s">
        <v>82</v>
      </c>
      <c r="L1448" s="14"/>
      <c r="M1448" s="12" t="s">
        <v>43</v>
      </c>
      <c r="N1448" s="12" t="s">
        <v>44</v>
      </c>
      <c r="O1448" s="12" t="s">
        <v>5662</v>
      </c>
      <c r="P1448" s="12" t="s">
        <v>46</v>
      </c>
      <c r="Q1448" s="12" t="s">
        <v>47</v>
      </c>
      <c r="R1448" s="12" t="s">
        <v>117</v>
      </c>
      <c r="S1448" s="13">
        <v>197643236849</v>
      </c>
      <c r="T1448" s="12" t="s">
        <v>49</v>
      </c>
      <c r="U1448" s="13">
        <v>42.5</v>
      </c>
      <c r="V1448" s="12" t="s">
        <v>50</v>
      </c>
      <c r="W1448" s="12" t="s">
        <v>107</v>
      </c>
      <c r="X1448" s="14"/>
      <c r="Y1448" s="12" t="s">
        <v>53</v>
      </c>
      <c r="Z1448" s="12" t="s">
        <v>1462</v>
      </c>
      <c r="AA1448" s="14"/>
      <c r="AB1448" s="14"/>
      <c r="AC1448" s="15">
        <v>43.2</v>
      </c>
      <c r="AD1448" s="15">
        <f>AC1448*AG1448</f>
        <v>172.8</v>
      </c>
      <c r="AE1448" s="15">
        <v>95</v>
      </c>
      <c r="AF1448" s="15">
        <f>AE1448*AG1448</f>
        <v>380</v>
      </c>
      <c r="AG1448" s="16">
        <v>4</v>
      </c>
    </row>
    <row r="1449" spans="1:33" ht="15" customHeight="1" x14ac:dyDescent="0.2">
      <c r="A1449" s="11" t="str">
        <f t="shared" ref="A1449:A1450" si="603">HYPERLINK("https://assets.vans.eu/images/VN000CQRBO5-HERO/1","VN000CQRBO51")</f>
        <v>VN000CQRBO51</v>
      </c>
      <c r="B1449" s="12" t="s">
        <v>5663</v>
      </c>
      <c r="C1449" s="12" t="s">
        <v>1458</v>
      </c>
      <c r="D1449" s="12" t="s">
        <v>2835</v>
      </c>
      <c r="E1449" s="12" t="s">
        <v>5664</v>
      </c>
      <c r="F1449" s="13">
        <v>40</v>
      </c>
      <c r="G1449" s="14"/>
      <c r="H1449" s="12" t="s">
        <v>38</v>
      </c>
      <c r="I1449" s="12" t="s">
        <v>113</v>
      </c>
      <c r="J1449" s="12" t="s">
        <v>529</v>
      </c>
      <c r="K1449" s="12" t="s">
        <v>82</v>
      </c>
      <c r="L1449" s="14"/>
      <c r="M1449" s="12" t="s">
        <v>43</v>
      </c>
      <c r="N1449" s="12" t="s">
        <v>84</v>
      </c>
      <c r="O1449" s="12" t="s">
        <v>5665</v>
      </c>
      <c r="P1449" s="12" t="s">
        <v>46</v>
      </c>
      <c r="Q1449" s="12" t="s">
        <v>47</v>
      </c>
      <c r="R1449" s="12" t="s">
        <v>117</v>
      </c>
      <c r="S1449" s="13">
        <v>196575346046</v>
      </c>
      <c r="T1449" s="12" t="s">
        <v>105</v>
      </c>
      <c r="U1449" s="13">
        <v>35</v>
      </c>
      <c r="V1449" s="12" t="s">
        <v>50</v>
      </c>
      <c r="W1449" s="12" t="s">
        <v>598</v>
      </c>
      <c r="X1449" s="14"/>
      <c r="Y1449" s="12" t="s">
        <v>53</v>
      </c>
      <c r="Z1449" s="12" t="s">
        <v>3884</v>
      </c>
      <c r="AA1449" s="14"/>
      <c r="AB1449" s="14"/>
      <c r="AC1449" s="15">
        <v>43.2</v>
      </c>
      <c r="AD1449" s="15">
        <f>AC1449*AG1449</f>
        <v>172.8</v>
      </c>
      <c r="AE1449" s="15">
        <v>95</v>
      </c>
      <c r="AF1449" s="15">
        <f>AE1449*AG1449</f>
        <v>380</v>
      </c>
      <c r="AG1449" s="16">
        <v>4</v>
      </c>
    </row>
    <row r="1450" spans="1:33" ht="15" customHeight="1" x14ac:dyDescent="0.2">
      <c r="A1450" s="11" t="str">
        <f t="shared" si="603"/>
        <v>VN000CQRBO51</v>
      </c>
      <c r="B1450" s="12" t="s">
        <v>5666</v>
      </c>
      <c r="C1450" s="12" t="s">
        <v>1458</v>
      </c>
      <c r="D1450" s="12" t="s">
        <v>2835</v>
      </c>
      <c r="E1450" s="12" t="s">
        <v>5667</v>
      </c>
      <c r="F1450" s="13">
        <v>80</v>
      </c>
      <c r="G1450" s="14"/>
      <c r="H1450" s="12" t="s">
        <v>38</v>
      </c>
      <c r="I1450" s="12" t="s">
        <v>113</v>
      </c>
      <c r="J1450" s="12" t="s">
        <v>529</v>
      </c>
      <c r="K1450" s="12" t="s">
        <v>82</v>
      </c>
      <c r="L1450" s="14"/>
      <c r="M1450" s="12" t="s">
        <v>43</v>
      </c>
      <c r="N1450" s="12" t="s">
        <v>84</v>
      </c>
      <c r="O1450" s="12" t="s">
        <v>5668</v>
      </c>
      <c r="P1450" s="12" t="s">
        <v>46</v>
      </c>
      <c r="Q1450" s="12" t="s">
        <v>47</v>
      </c>
      <c r="R1450" s="12" t="s">
        <v>117</v>
      </c>
      <c r="S1450" s="13">
        <v>196575347654</v>
      </c>
      <c r="T1450" s="12" t="s">
        <v>105</v>
      </c>
      <c r="U1450" s="13">
        <v>40.5</v>
      </c>
      <c r="V1450" s="12" t="s">
        <v>50</v>
      </c>
      <c r="W1450" s="12" t="s">
        <v>598</v>
      </c>
      <c r="X1450" s="14"/>
      <c r="Y1450" s="12" t="s">
        <v>53</v>
      </c>
      <c r="Z1450" s="12" t="s">
        <v>3884</v>
      </c>
      <c r="AA1450" s="14"/>
      <c r="AB1450" s="14"/>
      <c r="AC1450" s="15">
        <v>43.2</v>
      </c>
      <c r="AD1450" s="15">
        <f>AC1450*AG1450</f>
        <v>172.8</v>
      </c>
      <c r="AE1450" s="15">
        <v>95</v>
      </c>
      <c r="AF1450" s="15">
        <f>AE1450*AG1450</f>
        <v>380</v>
      </c>
      <c r="AG1450" s="16">
        <v>4</v>
      </c>
    </row>
    <row r="1451" spans="1:33" ht="15" customHeight="1" x14ac:dyDescent="0.2">
      <c r="A1451" s="11" t="str">
        <f t="shared" si="112"/>
        <v>VN000CQRO3N1</v>
      </c>
      <c r="B1451" s="12" t="s">
        <v>5669</v>
      </c>
      <c r="C1451" s="12" t="s">
        <v>1458</v>
      </c>
      <c r="D1451" s="12" t="s">
        <v>744</v>
      </c>
      <c r="E1451" s="12" t="s">
        <v>5670</v>
      </c>
      <c r="F1451" s="13">
        <v>80</v>
      </c>
      <c r="G1451" s="12" t="s">
        <v>1460</v>
      </c>
      <c r="H1451" s="12" t="s">
        <v>38</v>
      </c>
      <c r="I1451" s="12" t="s">
        <v>113</v>
      </c>
      <c r="J1451" s="12" t="s">
        <v>529</v>
      </c>
      <c r="K1451" s="12" t="s">
        <v>82</v>
      </c>
      <c r="L1451" s="14"/>
      <c r="M1451" s="12" t="s">
        <v>43</v>
      </c>
      <c r="N1451" s="12" t="s">
        <v>44</v>
      </c>
      <c r="O1451" s="12" t="s">
        <v>5671</v>
      </c>
      <c r="P1451" s="12" t="s">
        <v>46</v>
      </c>
      <c r="Q1451" s="12" t="s">
        <v>47</v>
      </c>
      <c r="R1451" s="12" t="s">
        <v>117</v>
      </c>
      <c r="S1451" s="13">
        <v>197643238683</v>
      </c>
      <c r="T1451" s="12" t="s">
        <v>49</v>
      </c>
      <c r="U1451" s="13">
        <v>40.5</v>
      </c>
      <c r="V1451" s="12" t="s">
        <v>50</v>
      </c>
      <c r="W1451" s="12" t="s">
        <v>299</v>
      </c>
      <c r="X1451" s="14"/>
      <c r="Y1451" s="12" t="s">
        <v>53</v>
      </c>
      <c r="Z1451" s="12" t="s">
        <v>1462</v>
      </c>
      <c r="AA1451" s="14"/>
      <c r="AB1451" s="14"/>
      <c r="AC1451" s="15">
        <v>43.2</v>
      </c>
      <c r="AD1451" s="15">
        <f>AC1451*AG1451</f>
        <v>172.8</v>
      </c>
      <c r="AE1451" s="15">
        <v>95</v>
      </c>
      <c r="AF1451" s="15">
        <f>AE1451*AG1451</f>
        <v>380</v>
      </c>
      <c r="AG1451" s="16">
        <v>4</v>
      </c>
    </row>
    <row r="1452" spans="1:33" ht="15" customHeight="1" x14ac:dyDescent="0.2">
      <c r="A1452" s="11" t="str">
        <f t="shared" si="300"/>
        <v>VN000CQRYLW1</v>
      </c>
      <c r="B1452" s="12" t="s">
        <v>5672</v>
      </c>
      <c r="C1452" s="12" t="s">
        <v>1458</v>
      </c>
      <c r="D1452" s="12" t="s">
        <v>2981</v>
      </c>
      <c r="E1452" s="12" t="s">
        <v>5673</v>
      </c>
      <c r="F1452" s="13">
        <v>50</v>
      </c>
      <c r="G1452" s="12" t="s">
        <v>2983</v>
      </c>
      <c r="H1452" s="12" t="s">
        <v>38</v>
      </c>
      <c r="I1452" s="12" t="s">
        <v>113</v>
      </c>
      <c r="J1452" s="12" t="s">
        <v>529</v>
      </c>
      <c r="K1452" s="12" t="s">
        <v>82</v>
      </c>
      <c r="L1452" s="14"/>
      <c r="M1452" s="12" t="s">
        <v>43</v>
      </c>
      <c r="N1452" s="12" t="s">
        <v>161</v>
      </c>
      <c r="O1452" s="12" t="s">
        <v>5674</v>
      </c>
      <c r="P1452" s="12" t="s">
        <v>46</v>
      </c>
      <c r="Q1452" s="12" t="s">
        <v>47</v>
      </c>
      <c r="R1452" s="12" t="s">
        <v>117</v>
      </c>
      <c r="S1452" s="13">
        <v>197065639600</v>
      </c>
      <c r="T1452" s="12" t="s">
        <v>105</v>
      </c>
      <c r="U1452" s="13">
        <v>36.5</v>
      </c>
      <c r="V1452" s="12" t="s">
        <v>50</v>
      </c>
      <c r="W1452" s="12" t="s">
        <v>625</v>
      </c>
      <c r="X1452" s="14"/>
      <c r="Y1452" s="12" t="s">
        <v>53</v>
      </c>
      <c r="Z1452" s="12" t="s">
        <v>263</v>
      </c>
      <c r="AA1452" s="14"/>
      <c r="AB1452" s="14"/>
      <c r="AC1452" s="15">
        <v>40.950000000000003</v>
      </c>
      <c r="AD1452" s="15">
        <f>AC1452*AG1452</f>
        <v>163.80000000000001</v>
      </c>
      <c r="AE1452" s="15">
        <v>90</v>
      </c>
      <c r="AF1452" s="15">
        <f>AE1452*AG1452</f>
        <v>360</v>
      </c>
      <c r="AG1452" s="16">
        <v>4</v>
      </c>
    </row>
    <row r="1453" spans="1:33" ht="15" customHeight="1" x14ac:dyDescent="0.2">
      <c r="A1453" s="11" t="str">
        <f t="shared" si="403"/>
        <v>VN000CRRBJ41</v>
      </c>
      <c r="B1453" s="12" t="s">
        <v>5675</v>
      </c>
      <c r="C1453" s="12" t="s">
        <v>2125</v>
      </c>
      <c r="D1453" s="12" t="s">
        <v>3886</v>
      </c>
      <c r="E1453" s="12" t="s">
        <v>5676</v>
      </c>
      <c r="F1453" s="13">
        <v>60</v>
      </c>
      <c r="G1453" s="14"/>
      <c r="H1453" s="12" t="s">
        <v>38</v>
      </c>
      <c r="I1453" s="12" t="s">
        <v>113</v>
      </c>
      <c r="J1453" s="12" t="s">
        <v>529</v>
      </c>
      <c r="K1453" s="12" t="s">
        <v>82</v>
      </c>
      <c r="L1453" s="14"/>
      <c r="M1453" s="12" t="s">
        <v>43</v>
      </c>
      <c r="N1453" s="12" t="s">
        <v>84</v>
      </c>
      <c r="O1453" s="12" t="s">
        <v>5677</v>
      </c>
      <c r="P1453" s="12" t="s">
        <v>46</v>
      </c>
      <c r="Q1453" s="12" t="s">
        <v>47</v>
      </c>
      <c r="R1453" s="12" t="s">
        <v>117</v>
      </c>
      <c r="S1453" s="13">
        <v>197064653102</v>
      </c>
      <c r="T1453" s="12" t="s">
        <v>49</v>
      </c>
      <c r="U1453" s="13">
        <v>38</v>
      </c>
      <c r="V1453" s="12" t="s">
        <v>209</v>
      </c>
      <c r="W1453" s="12" t="s">
        <v>51</v>
      </c>
      <c r="X1453" s="14"/>
      <c r="Y1453" s="12" t="s">
        <v>91</v>
      </c>
      <c r="Z1453" s="12" t="s">
        <v>165</v>
      </c>
      <c r="AA1453" s="14"/>
      <c r="AB1453" s="14"/>
      <c r="AC1453" s="15">
        <v>34.1</v>
      </c>
      <c r="AD1453" s="15">
        <f>AC1453*AG1453</f>
        <v>136.4</v>
      </c>
      <c r="AE1453" s="15">
        <v>75</v>
      </c>
      <c r="AF1453" s="15">
        <f>AE1453*AG1453</f>
        <v>300</v>
      </c>
      <c r="AG1453" s="16">
        <v>4</v>
      </c>
    </row>
    <row r="1454" spans="1:33" ht="15" customHeight="1" x14ac:dyDescent="0.2">
      <c r="A1454" s="11" t="str">
        <f t="shared" ref="A1454:A1456" si="604">HYPERLINK("https://assets.vans.eu/images/VN000CRRBJ4-HERO/1","VN000CRRBJ41")</f>
        <v>VN000CRRBJ41</v>
      </c>
      <c r="B1454" s="12" t="s">
        <v>5678</v>
      </c>
      <c r="C1454" s="12" t="s">
        <v>2125</v>
      </c>
      <c r="D1454" s="12" t="s">
        <v>3886</v>
      </c>
      <c r="E1454" s="12" t="s">
        <v>5679</v>
      </c>
      <c r="F1454" s="13">
        <v>65</v>
      </c>
      <c r="G1454" s="14"/>
      <c r="H1454" s="12" t="s">
        <v>38</v>
      </c>
      <c r="I1454" s="12" t="s">
        <v>113</v>
      </c>
      <c r="J1454" s="12" t="s">
        <v>529</v>
      </c>
      <c r="K1454" s="12" t="s">
        <v>82</v>
      </c>
      <c r="L1454" s="14"/>
      <c r="M1454" s="12" t="s">
        <v>43</v>
      </c>
      <c r="N1454" s="12" t="s">
        <v>84</v>
      </c>
      <c r="O1454" s="12" t="s">
        <v>5680</v>
      </c>
      <c r="P1454" s="12" t="s">
        <v>46</v>
      </c>
      <c r="Q1454" s="12" t="s">
        <v>47</v>
      </c>
      <c r="R1454" s="12" t="s">
        <v>117</v>
      </c>
      <c r="S1454" s="13">
        <v>197064653348</v>
      </c>
      <c r="T1454" s="12" t="s">
        <v>49</v>
      </c>
      <c r="U1454" s="13">
        <v>38.5</v>
      </c>
      <c r="V1454" s="12" t="s">
        <v>209</v>
      </c>
      <c r="W1454" s="12" t="s">
        <v>51</v>
      </c>
      <c r="X1454" s="14"/>
      <c r="Y1454" s="12" t="s">
        <v>91</v>
      </c>
      <c r="Z1454" s="12" t="s">
        <v>165</v>
      </c>
      <c r="AA1454" s="14"/>
      <c r="AB1454" s="14"/>
      <c r="AC1454" s="15">
        <v>34.1</v>
      </c>
      <c r="AD1454" s="15">
        <f>AC1454*AG1454</f>
        <v>136.4</v>
      </c>
      <c r="AE1454" s="15">
        <v>75</v>
      </c>
      <c r="AF1454" s="15">
        <f>AE1454*AG1454</f>
        <v>300</v>
      </c>
      <c r="AG1454" s="16">
        <v>4</v>
      </c>
    </row>
    <row r="1455" spans="1:33" ht="15" customHeight="1" x14ac:dyDescent="0.2">
      <c r="A1455" s="11" t="str">
        <f t="shared" si="604"/>
        <v>VN000CRRBJ41</v>
      </c>
      <c r="B1455" s="12" t="s">
        <v>5681</v>
      </c>
      <c r="C1455" s="12" t="s">
        <v>2125</v>
      </c>
      <c r="D1455" s="12" t="s">
        <v>3886</v>
      </c>
      <c r="E1455" s="12" t="s">
        <v>5682</v>
      </c>
      <c r="F1455" s="13">
        <v>80</v>
      </c>
      <c r="G1455" s="14"/>
      <c r="H1455" s="12" t="s">
        <v>38</v>
      </c>
      <c r="I1455" s="12" t="s">
        <v>113</v>
      </c>
      <c r="J1455" s="12" t="s">
        <v>529</v>
      </c>
      <c r="K1455" s="12" t="s">
        <v>82</v>
      </c>
      <c r="L1455" s="14"/>
      <c r="M1455" s="12" t="s">
        <v>43</v>
      </c>
      <c r="N1455" s="12" t="s">
        <v>84</v>
      </c>
      <c r="O1455" s="12" t="s">
        <v>5683</v>
      </c>
      <c r="P1455" s="12" t="s">
        <v>46</v>
      </c>
      <c r="Q1455" s="12" t="s">
        <v>47</v>
      </c>
      <c r="R1455" s="12" t="s">
        <v>117</v>
      </c>
      <c r="S1455" s="13">
        <v>197064653942</v>
      </c>
      <c r="T1455" s="12" t="s">
        <v>49</v>
      </c>
      <c r="U1455" s="13">
        <v>40.5</v>
      </c>
      <c r="V1455" s="12" t="s">
        <v>209</v>
      </c>
      <c r="W1455" s="12" t="s">
        <v>51</v>
      </c>
      <c r="X1455" s="14"/>
      <c r="Y1455" s="12" t="s">
        <v>91</v>
      </c>
      <c r="Z1455" s="12" t="s">
        <v>165</v>
      </c>
      <c r="AA1455" s="14"/>
      <c r="AB1455" s="14"/>
      <c r="AC1455" s="15">
        <v>34.1</v>
      </c>
      <c r="AD1455" s="15">
        <f>AC1455*AG1455</f>
        <v>136.4</v>
      </c>
      <c r="AE1455" s="15">
        <v>75</v>
      </c>
      <c r="AF1455" s="15">
        <f>AE1455*AG1455</f>
        <v>300</v>
      </c>
      <c r="AG1455" s="16">
        <v>4</v>
      </c>
    </row>
    <row r="1456" spans="1:33" ht="15" customHeight="1" x14ac:dyDescent="0.2">
      <c r="A1456" s="11" t="str">
        <f t="shared" si="604"/>
        <v>VN000CRRBJ41</v>
      </c>
      <c r="B1456" s="12" t="s">
        <v>5684</v>
      </c>
      <c r="C1456" s="12" t="s">
        <v>2125</v>
      </c>
      <c r="D1456" s="12" t="s">
        <v>3886</v>
      </c>
      <c r="E1456" s="12" t="s">
        <v>5685</v>
      </c>
      <c r="F1456" s="13">
        <v>100</v>
      </c>
      <c r="G1456" s="14"/>
      <c r="H1456" s="12" t="s">
        <v>38</v>
      </c>
      <c r="I1456" s="12" t="s">
        <v>113</v>
      </c>
      <c r="J1456" s="12" t="s">
        <v>529</v>
      </c>
      <c r="K1456" s="12" t="s">
        <v>82</v>
      </c>
      <c r="L1456" s="14"/>
      <c r="M1456" s="12" t="s">
        <v>43</v>
      </c>
      <c r="N1456" s="12" t="s">
        <v>84</v>
      </c>
      <c r="O1456" s="12" t="s">
        <v>5686</v>
      </c>
      <c r="P1456" s="12" t="s">
        <v>46</v>
      </c>
      <c r="Q1456" s="12" t="s">
        <v>47</v>
      </c>
      <c r="R1456" s="12" t="s">
        <v>117</v>
      </c>
      <c r="S1456" s="13">
        <v>197064654611</v>
      </c>
      <c r="T1456" s="12" t="s">
        <v>49</v>
      </c>
      <c r="U1456" s="13">
        <v>43</v>
      </c>
      <c r="V1456" s="12" t="s">
        <v>209</v>
      </c>
      <c r="W1456" s="12" t="s">
        <v>51</v>
      </c>
      <c r="X1456" s="14"/>
      <c r="Y1456" s="12" t="s">
        <v>91</v>
      </c>
      <c r="Z1456" s="12" t="s">
        <v>165</v>
      </c>
      <c r="AA1456" s="14"/>
      <c r="AB1456" s="14"/>
      <c r="AC1456" s="15">
        <v>34.1</v>
      </c>
      <c r="AD1456" s="15">
        <f>AC1456*AG1456</f>
        <v>136.4</v>
      </c>
      <c r="AE1456" s="15">
        <v>75</v>
      </c>
      <c r="AF1456" s="15">
        <f>AE1456*AG1456</f>
        <v>300</v>
      </c>
      <c r="AG1456" s="16">
        <v>4</v>
      </c>
    </row>
    <row r="1457" spans="1:33" ht="15" customHeight="1" x14ac:dyDescent="0.2">
      <c r="A1457" s="11" t="str">
        <f>HYPERLINK("https://assets.vans.eu/images/VN000CRRCCZ-HERO/1","VN000CRRCCZ1")</f>
        <v>VN000CRRCCZ1</v>
      </c>
      <c r="B1457" s="12" t="s">
        <v>5687</v>
      </c>
      <c r="C1457" s="12" t="s">
        <v>2125</v>
      </c>
      <c r="D1457" s="12" t="s">
        <v>1104</v>
      </c>
      <c r="E1457" s="12" t="s">
        <v>5688</v>
      </c>
      <c r="F1457" s="13">
        <v>35</v>
      </c>
      <c r="G1457" s="12" t="s">
        <v>3891</v>
      </c>
      <c r="H1457" s="12" t="s">
        <v>38</v>
      </c>
      <c r="I1457" s="12" t="s">
        <v>113</v>
      </c>
      <c r="J1457" s="12" t="s">
        <v>529</v>
      </c>
      <c r="K1457" s="12" t="s">
        <v>82</v>
      </c>
      <c r="L1457" s="14"/>
      <c r="M1457" s="12" t="s">
        <v>43</v>
      </c>
      <c r="N1457" s="12" t="s">
        <v>44</v>
      </c>
      <c r="O1457" s="12" t="s">
        <v>5689</v>
      </c>
      <c r="P1457" s="12" t="s">
        <v>46</v>
      </c>
      <c r="Q1457" s="12" t="s">
        <v>47</v>
      </c>
      <c r="R1457" s="12" t="s">
        <v>117</v>
      </c>
      <c r="S1457" s="13">
        <v>197643238164</v>
      </c>
      <c r="T1457" s="12" t="s">
        <v>49</v>
      </c>
      <c r="U1457" s="13">
        <v>34.5</v>
      </c>
      <c r="V1457" s="12" t="s">
        <v>50</v>
      </c>
      <c r="W1457" s="12" t="s">
        <v>175</v>
      </c>
      <c r="X1457" s="14"/>
      <c r="Y1457" s="12" t="s">
        <v>53</v>
      </c>
      <c r="Z1457" s="12" t="s">
        <v>263</v>
      </c>
      <c r="AA1457" s="14"/>
      <c r="AB1457" s="14"/>
      <c r="AC1457" s="15">
        <v>38.65</v>
      </c>
      <c r="AD1457" s="15">
        <f>AC1457*AG1457</f>
        <v>154.6</v>
      </c>
      <c r="AE1457" s="15">
        <v>85</v>
      </c>
      <c r="AF1457" s="15">
        <f>AE1457*AG1457</f>
        <v>340</v>
      </c>
      <c r="AG1457" s="16">
        <v>4</v>
      </c>
    </row>
    <row r="1458" spans="1:33" ht="15" customHeight="1" x14ac:dyDescent="0.2">
      <c r="A1458" s="11" t="str">
        <f t="shared" ref="A1458:A1827" si="605">HYPERLINK("https://assets.vans.eu/images/VN000CRRD3X-HERO/1","VN000CRRD3X1")</f>
        <v>VN000CRRD3X1</v>
      </c>
      <c r="B1458" s="12" t="s">
        <v>5690</v>
      </c>
      <c r="C1458" s="12" t="s">
        <v>2125</v>
      </c>
      <c r="D1458" s="12" t="s">
        <v>668</v>
      </c>
      <c r="E1458" s="12" t="s">
        <v>5691</v>
      </c>
      <c r="F1458" s="13">
        <v>80</v>
      </c>
      <c r="G1458" s="12" t="s">
        <v>2127</v>
      </c>
      <c r="H1458" s="12" t="s">
        <v>38</v>
      </c>
      <c r="I1458" s="12" t="s">
        <v>113</v>
      </c>
      <c r="J1458" s="12" t="s">
        <v>529</v>
      </c>
      <c r="K1458" s="12" t="s">
        <v>82</v>
      </c>
      <c r="L1458" s="14"/>
      <c r="M1458" s="12" t="s">
        <v>43</v>
      </c>
      <c r="N1458" s="12" t="s">
        <v>44</v>
      </c>
      <c r="O1458" s="12" t="s">
        <v>5692</v>
      </c>
      <c r="P1458" s="12" t="s">
        <v>46</v>
      </c>
      <c r="Q1458" s="12" t="s">
        <v>47</v>
      </c>
      <c r="R1458" s="12" t="s">
        <v>117</v>
      </c>
      <c r="S1458" s="13">
        <v>197643240952</v>
      </c>
      <c r="T1458" s="12" t="s">
        <v>49</v>
      </c>
      <c r="U1458" s="13">
        <v>40.5</v>
      </c>
      <c r="V1458" s="12" t="s">
        <v>209</v>
      </c>
      <c r="W1458" s="12" t="s">
        <v>299</v>
      </c>
      <c r="X1458" s="14"/>
      <c r="Y1458" s="12" t="s">
        <v>53</v>
      </c>
      <c r="Z1458" s="12" t="s">
        <v>263</v>
      </c>
      <c r="AA1458" s="14"/>
      <c r="AB1458" s="14"/>
      <c r="AC1458" s="15">
        <v>34.1</v>
      </c>
      <c r="AD1458" s="15">
        <f>AC1458*AG1458</f>
        <v>136.4</v>
      </c>
      <c r="AE1458" s="15">
        <v>75</v>
      </c>
      <c r="AF1458" s="15">
        <f>AE1458*AG1458</f>
        <v>300</v>
      </c>
      <c r="AG1458" s="16">
        <v>4</v>
      </c>
    </row>
    <row r="1459" spans="1:33" ht="15" customHeight="1" x14ac:dyDescent="0.2">
      <c r="A1459" s="11" t="str">
        <f t="shared" ref="A1459:A2465" si="606">HYPERLINK("https://assets.vans.eu/images/VN000CS0D4C-HERO/1","VN000CS0D4C1")</f>
        <v>VN000CS0D4C1</v>
      </c>
      <c r="B1459" s="12" t="s">
        <v>5693</v>
      </c>
      <c r="C1459" s="12" t="s">
        <v>110</v>
      </c>
      <c r="D1459" s="12" t="s">
        <v>1454</v>
      </c>
      <c r="E1459" s="12" t="s">
        <v>5694</v>
      </c>
      <c r="F1459" s="13">
        <v>70</v>
      </c>
      <c r="G1459" s="12" t="s">
        <v>5695</v>
      </c>
      <c r="H1459" s="12" t="s">
        <v>38</v>
      </c>
      <c r="I1459" s="12" t="s">
        <v>113</v>
      </c>
      <c r="J1459" s="12" t="s">
        <v>114</v>
      </c>
      <c r="K1459" s="12" t="s">
        <v>82</v>
      </c>
      <c r="L1459" s="14"/>
      <c r="M1459" s="12" t="s">
        <v>43</v>
      </c>
      <c r="N1459" s="12" t="s">
        <v>44</v>
      </c>
      <c r="O1459" s="12" t="s">
        <v>5696</v>
      </c>
      <c r="P1459" s="12" t="s">
        <v>46</v>
      </c>
      <c r="Q1459" s="12" t="s">
        <v>47</v>
      </c>
      <c r="R1459" s="12" t="s">
        <v>117</v>
      </c>
      <c r="S1459" s="13">
        <v>197065546557</v>
      </c>
      <c r="T1459" s="12" t="s">
        <v>164</v>
      </c>
      <c r="U1459" s="13">
        <v>39</v>
      </c>
      <c r="V1459" s="12" t="s">
        <v>50</v>
      </c>
      <c r="W1459" s="12" t="s">
        <v>186</v>
      </c>
      <c r="X1459" s="14"/>
      <c r="Y1459" s="12" t="s">
        <v>53</v>
      </c>
      <c r="Z1459" s="12" t="s">
        <v>263</v>
      </c>
      <c r="AA1459" s="14"/>
      <c r="AB1459" s="14"/>
      <c r="AC1459" s="15">
        <v>43.2</v>
      </c>
      <c r="AD1459" s="15">
        <f>AC1459*AG1459</f>
        <v>172.8</v>
      </c>
      <c r="AE1459" s="15">
        <v>95</v>
      </c>
      <c r="AF1459" s="15">
        <f>AE1459*AG1459</f>
        <v>380</v>
      </c>
      <c r="AG1459" s="16">
        <v>4</v>
      </c>
    </row>
    <row r="1460" spans="1:33" ht="15" customHeight="1" x14ac:dyDescent="0.2">
      <c r="A1460" s="11" t="str">
        <f t="shared" si="515"/>
        <v>VN000CTG4481</v>
      </c>
      <c r="B1460" s="12" t="s">
        <v>5697</v>
      </c>
      <c r="C1460" s="12" t="s">
        <v>238</v>
      </c>
      <c r="D1460" s="12" t="s">
        <v>3898</v>
      </c>
      <c r="E1460" s="12" t="s">
        <v>5698</v>
      </c>
      <c r="F1460" s="13">
        <v>40</v>
      </c>
      <c r="G1460" s="12" t="s">
        <v>3900</v>
      </c>
      <c r="H1460" s="12" t="s">
        <v>38</v>
      </c>
      <c r="I1460" s="12" t="s">
        <v>242</v>
      </c>
      <c r="J1460" s="12" t="s">
        <v>243</v>
      </c>
      <c r="K1460" s="12" t="s">
        <v>244</v>
      </c>
      <c r="L1460" s="14"/>
      <c r="M1460" s="12" t="s">
        <v>43</v>
      </c>
      <c r="N1460" s="12" t="s">
        <v>84</v>
      </c>
      <c r="O1460" s="12" t="s">
        <v>5699</v>
      </c>
      <c r="P1460" s="12" t="s">
        <v>46</v>
      </c>
      <c r="Q1460" s="12" t="s">
        <v>47</v>
      </c>
      <c r="R1460" s="12" t="s">
        <v>48</v>
      </c>
      <c r="S1460" s="13">
        <v>197804670055</v>
      </c>
      <c r="T1460" s="12" t="s">
        <v>49</v>
      </c>
      <c r="U1460" s="13">
        <v>19</v>
      </c>
      <c r="V1460" s="12" t="s">
        <v>50</v>
      </c>
      <c r="W1460" s="12" t="s">
        <v>175</v>
      </c>
      <c r="X1460" s="14"/>
      <c r="Y1460" s="14"/>
      <c r="Z1460" s="14"/>
      <c r="AA1460" s="14"/>
      <c r="AB1460" s="14"/>
      <c r="AC1460" s="15">
        <v>20.5</v>
      </c>
      <c r="AD1460" s="15">
        <f>AC1460*AG1460</f>
        <v>82</v>
      </c>
      <c r="AE1460" s="15">
        <v>45</v>
      </c>
      <c r="AF1460" s="15">
        <f>AE1460*AG1460</f>
        <v>180</v>
      </c>
      <c r="AG1460" s="16">
        <v>4</v>
      </c>
    </row>
    <row r="1461" spans="1:33" ht="15" customHeight="1" x14ac:dyDescent="0.2">
      <c r="A1461" s="11" t="str">
        <f t="shared" si="515"/>
        <v>VN000CTG4481</v>
      </c>
      <c r="B1461" s="12" t="s">
        <v>5700</v>
      </c>
      <c r="C1461" s="12" t="s">
        <v>238</v>
      </c>
      <c r="D1461" s="12" t="s">
        <v>3898</v>
      </c>
      <c r="E1461" s="12" t="s">
        <v>5701</v>
      </c>
      <c r="F1461" s="13">
        <v>85</v>
      </c>
      <c r="G1461" s="12" t="s">
        <v>3900</v>
      </c>
      <c r="H1461" s="12" t="s">
        <v>38</v>
      </c>
      <c r="I1461" s="12" t="s">
        <v>242</v>
      </c>
      <c r="J1461" s="12" t="s">
        <v>243</v>
      </c>
      <c r="K1461" s="12" t="s">
        <v>244</v>
      </c>
      <c r="L1461" s="14"/>
      <c r="M1461" s="12" t="s">
        <v>43</v>
      </c>
      <c r="N1461" s="12" t="s">
        <v>84</v>
      </c>
      <c r="O1461" s="12" t="s">
        <v>5702</v>
      </c>
      <c r="P1461" s="12" t="s">
        <v>46</v>
      </c>
      <c r="Q1461" s="12" t="s">
        <v>47</v>
      </c>
      <c r="R1461" s="12" t="s">
        <v>48</v>
      </c>
      <c r="S1461" s="13">
        <v>197804670598</v>
      </c>
      <c r="T1461" s="12" t="s">
        <v>49</v>
      </c>
      <c r="U1461" s="13">
        <v>25</v>
      </c>
      <c r="V1461" s="12" t="s">
        <v>50</v>
      </c>
      <c r="W1461" s="12" t="s">
        <v>175</v>
      </c>
      <c r="X1461" s="14"/>
      <c r="Y1461" s="14"/>
      <c r="Z1461" s="14"/>
      <c r="AA1461" s="14"/>
      <c r="AB1461" s="14"/>
      <c r="AC1461" s="15">
        <v>20.5</v>
      </c>
      <c r="AD1461" s="15">
        <f>AC1461*AG1461</f>
        <v>82</v>
      </c>
      <c r="AE1461" s="15">
        <v>45</v>
      </c>
      <c r="AF1461" s="15">
        <f>AE1461*AG1461</f>
        <v>180</v>
      </c>
      <c r="AG1461" s="16">
        <v>4</v>
      </c>
    </row>
    <row r="1462" spans="1:33" ht="15" customHeight="1" x14ac:dyDescent="0.2">
      <c r="A1462" s="11" t="str">
        <f>HYPERLINK("https://assets.vans.eu/images/VN000CTG7VF-HERO/1","VN000CTG7VF1")</f>
        <v>VN000CTG7VF1</v>
      </c>
      <c r="B1462" s="12" t="s">
        <v>5703</v>
      </c>
      <c r="C1462" s="12" t="s">
        <v>238</v>
      </c>
      <c r="D1462" s="12" t="s">
        <v>641</v>
      </c>
      <c r="E1462" s="12" t="s">
        <v>5704</v>
      </c>
      <c r="F1462" s="13">
        <v>30</v>
      </c>
      <c r="G1462" s="12" t="s">
        <v>643</v>
      </c>
      <c r="H1462" s="12" t="s">
        <v>38</v>
      </c>
      <c r="I1462" s="12" t="s">
        <v>242</v>
      </c>
      <c r="J1462" s="12" t="s">
        <v>243</v>
      </c>
      <c r="K1462" s="12" t="s">
        <v>244</v>
      </c>
      <c r="L1462" s="14"/>
      <c r="M1462" s="12" t="s">
        <v>43</v>
      </c>
      <c r="N1462" s="12" t="s">
        <v>84</v>
      </c>
      <c r="O1462" s="12" t="s">
        <v>5705</v>
      </c>
      <c r="P1462" s="12" t="s">
        <v>46</v>
      </c>
      <c r="Q1462" s="12" t="s">
        <v>47</v>
      </c>
      <c r="R1462" s="12" t="s">
        <v>48</v>
      </c>
      <c r="S1462" s="13">
        <v>197804510795</v>
      </c>
      <c r="T1462" s="12" t="s">
        <v>49</v>
      </c>
      <c r="U1462" s="13">
        <v>18</v>
      </c>
      <c r="V1462" s="12" t="s">
        <v>278</v>
      </c>
      <c r="W1462" s="12" t="s">
        <v>455</v>
      </c>
      <c r="X1462" s="14"/>
      <c r="Y1462" s="14"/>
      <c r="Z1462" s="14"/>
      <c r="AA1462" s="14"/>
      <c r="AB1462" s="14"/>
      <c r="AC1462" s="15">
        <v>25</v>
      </c>
      <c r="AD1462" s="15">
        <f>AC1462*AG1462</f>
        <v>100</v>
      </c>
      <c r="AE1462" s="15">
        <v>55</v>
      </c>
      <c r="AF1462" s="15">
        <f>AE1462*AG1462</f>
        <v>220</v>
      </c>
      <c r="AG1462" s="16">
        <v>4</v>
      </c>
    </row>
    <row r="1463" spans="1:33" ht="15" customHeight="1" x14ac:dyDescent="0.2">
      <c r="A1463" s="11" t="str">
        <f>HYPERLINK("https://assets.vans.eu/images/VN000CTG7VF-HERO/1","VN000CTG7VF1")</f>
        <v>VN000CTG7VF1</v>
      </c>
      <c r="B1463" s="12" t="s">
        <v>5706</v>
      </c>
      <c r="C1463" s="12" t="s">
        <v>238</v>
      </c>
      <c r="D1463" s="12" t="s">
        <v>641</v>
      </c>
      <c r="E1463" s="12" t="s">
        <v>5707</v>
      </c>
      <c r="F1463" s="13">
        <v>75</v>
      </c>
      <c r="G1463" s="12" t="s">
        <v>643</v>
      </c>
      <c r="H1463" s="12" t="s">
        <v>38</v>
      </c>
      <c r="I1463" s="12" t="s">
        <v>242</v>
      </c>
      <c r="J1463" s="12" t="s">
        <v>243</v>
      </c>
      <c r="K1463" s="12" t="s">
        <v>244</v>
      </c>
      <c r="L1463" s="14"/>
      <c r="M1463" s="12" t="s">
        <v>43</v>
      </c>
      <c r="N1463" s="12" t="s">
        <v>84</v>
      </c>
      <c r="O1463" s="12" t="s">
        <v>5708</v>
      </c>
      <c r="P1463" s="12" t="s">
        <v>46</v>
      </c>
      <c r="Q1463" s="12" t="s">
        <v>47</v>
      </c>
      <c r="R1463" s="12" t="s">
        <v>48</v>
      </c>
      <c r="S1463" s="13">
        <v>197804512317</v>
      </c>
      <c r="T1463" s="12" t="s">
        <v>49</v>
      </c>
      <c r="U1463" s="13">
        <v>24</v>
      </c>
      <c r="V1463" s="12" t="s">
        <v>278</v>
      </c>
      <c r="W1463" s="12" t="s">
        <v>455</v>
      </c>
      <c r="X1463" s="14"/>
      <c r="Y1463" s="14"/>
      <c r="Z1463" s="14"/>
      <c r="AA1463" s="14"/>
      <c r="AB1463" s="14"/>
      <c r="AC1463" s="15">
        <v>25</v>
      </c>
      <c r="AD1463" s="15">
        <f>AC1463*AG1463</f>
        <v>100</v>
      </c>
      <c r="AE1463" s="15">
        <v>55</v>
      </c>
      <c r="AF1463" s="15">
        <f>AE1463*AG1463</f>
        <v>220</v>
      </c>
      <c r="AG1463" s="16">
        <v>4</v>
      </c>
    </row>
    <row r="1464" spans="1:33" ht="15" customHeight="1" x14ac:dyDescent="0.2">
      <c r="A1464" s="11" t="str">
        <f t="shared" ref="A1464:A1466" si="607">HYPERLINK("https://assets.vans.eu/images/VN000CTGYJ7-HERO/1","VN000CTGYJ71")</f>
        <v>VN000CTGYJ71</v>
      </c>
      <c r="B1464" s="12" t="s">
        <v>5709</v>
      </c>
      <c r="C1464" s="12" t="s">
        <v>238</v>
      </c>
      <c r="D1464" s="12" t="s">
        <v>1300</v>
      </c>
      <c r="E1464" s="12" t="s">
        <v>5710</v>
      </c>
      <c r="F1464" s="13">
        <v>25</v>
      </c>
      <c r="G1464" s="12" t="s">
        <v>1302</v>
      </c>
      <c r="H1464" s="12" t="s">
        <v>38</v>
      </c>
      <c r="I1464" s="12" t="s">
        <v>242</v>
      </c>
      <c r="J1464" s="12" t="s">
        <v>243</v>
      </c>
      <c r="K1464" s="12" t="s">
        <v>244</v>
      </c>
      <c r="L1464" s="14"/>
      <c r="M1464" s="12" t="s">
        <v>43</v>
      </c>
      <c r="N1464" s="12" t="s">
        <v>84</v>
      </c>
      <c r="O1464" s="12" t="s">
        <v>5711</v>
      </c>
      <c r="P1464" s="12" t="s">
        <v>46</v>
      </c>
      <c r="Q1464" s="12" t="s">
        <v>47</v>
      </c>
      <c r="R1464" s="12" t="s">
        <v>48</v>
      </c>
      <c r="S1464" s="13">
        <v>197804513079</v>
      </c>
      <c r="T1464" s="12" t="s">
        <v>164</v>
      </c>
      <c r="U1464" s="13">
        <v>17.5</v>
      </c>
      <c r="V1464" s="12" t="s">
        <v>50</v>
      </c>
      <c r="W1464" s="12" t="s">
        <v>51</v>
      </c>
      <c r="X1464" s="14"/>
      <c r="Y1464" s="14"/>
      <c r="Z1464" s="14"/>
      <c r="AA1464" s="14"/>
      <c r="AB1464" s="14"/>
      <c r="AC1464" s="15">
        <v>22.75</v>
      </c>
      <c r="AD1464" s="15">
        <f>AC1464*AG1464</f>
        <v>91</v>
      </c>
      <c r="AE1464" s="15">
        <v>50</v>
      </c>
      <c r="AF1464" s="15">
        <f>AE1464*AG1464</f>
        <v>200</v>
      </c>
      <c r="AG1464" s="16">
        <v>4</v>
      </c>
    </row>
    <row r="1465" spans="1:33" ht="15" customHeight="1" x14ac:dyDescent="0.2">
      <c r="A1465" s="11" t="str">
        <f t="shared" si="607"/>
        <v>VN000CTGYJ71</v>
      </c>
      <c r="B1465" s="12" t="s">
        <v>5712</v>
      </c>
      <c r="C1465" s="12" t="s">
        <v>238</v>
      </c>
      <c r="D1465" s="12" t="s">
        <v>1300</v>
      </c>
      <c r="E1465" s="12" t="s">
        <v>5713</v>
      </c>
      <c r="F1465" s="13">
        <v>30</v>
      </c>
      <c r="G1465" s="12" t="s">
        <v>1302</v>
      </c>
      <c r="H1465" s="12" t="s">
        <v>38</v>
      </c>
      <c r="I1465" s="12" t="s">
        <v>242</v>
      </c>
      <c r="J1465" s="12" t="s">
        <v>243</v>
      </c>
      <c r="K1465" s="12" t="s">
        <v>244</v>
      </c>
      <c r="L1465" s="14"/>
      <c r="M1465" s="12" t="s">
        <v>43</v>
      </c>
      <c r="N1465" s="12" t="s">
        <v>84</v>
      </c>
      <c r="O1465" s="12" t="s">
        <v>5714</v>
      </c>
      <c r="P1465" s="12" t="s">
        <v>46</v>
      </c>
      <c r="Q1465" s="12" t="s">
        <v>47</v>
      </c>
      <c r="R1465" s="12" t="s">
        <v>48</v>
      </c>
      <c r="S1465" s="13">
        <v>197804513406</v>
      </c>
      <c r="T1465" s="12" t="s">
        <v>164</v>
      </c>
      <c r="U1465" s="13">
        <v>18</v>
      </c>
      <c r="V1465" s="12" t="s">
        <v>50</v>
      </c>
      <c r="W1465" s="12" t="s">
        <v>51</v>
      </c>
      <c r="X1465" s="14"/>
      <c r="Y1465" s="14"/>
      <c r="Z1465" s="14"/>
      <c r="AA1465" s="14"/>
      <c r="AB1465" s="14"/>
      <c r="AC1465" s="15">
        <v>22.75</v>
      </c>
      <c r="AD1465" s="15">
        <f>AC1465*AG1465</f>
        <v>91</v>
      </c>
      <c r="AE1465" s="15">
        <v>50</v>
      </c>
      <c r="AF1465" s="15">
        <f>AE1465*AG1465</f>
        <v>200</v>
      </c>
      <c r="AG1465" s="16">
        <v>4</v>
      </c>
    </row>
    <row r="1466" spans="1:33" ht="15" customHeight="1" x14ac:dyDescent="0.2">
      <c r="A1466" s="11" t="str">
        <f t="shared" si="607"/>
        <v>VN000CTGYJ71</v>
      </c>
      <c r="B1466" s="12" t="s">
        <v>5715</v>
      </c>
      <c r="C1466" s="12" t="s">
        <v>238</v>
      </c>
      <c r="D1466" s="12" t="s">
        <v>1300</v>
      </c>
      <c r="E1466" s="12" t="s">
        <v>5716</v>
      </c>
      <c r="F1466" s="13">
        <v>35</v>
      </c>
      <c r="G1466" s="12" t="s">
        <v>1302</v>
      </c>
      <c r="H1466" s="12" t="s">
        <v>38</v>
      </c>
      <c r="I1466" s="12" t="s">
        <v>242</v>
      </c>
      <c r="J1466" s="12" t="s">
        <v>243</v>
      </c>
      <c r="K1466" s="12" t="s">
        <v>244</v>
      </c>
      <c r="L1466" s="14"/>
      <c r="M1466" s="12" t="s">
        <v>43</v>
      </c>
      <c r="N1466" s="12" t="s">
        <v>84</v>
      </c>
      <c r="O1466" s="12" t="s">
        <v>5717</v>
      </c>
      <c r="P1466" s="12" t="s">
        <v>46</v>
      </c>
      <c r="Q1466" s="12" t="s">
        <v>47</v>
      </c>
      <c r="R1466" s="12" t="s">
        <v>48</v>
      </c>
      <c r="S1466" s="13">
        <v>197804513444</v>
      </c>
      <c r="T1466" s="12" t="s">
        <v>164</v>
      </c>
      <c r="U1466" s="13">
        <v>18.5</v>
      </c>
      <c r="V1466" s="12" t="s">
        <v>50</v>
      </c>
      <c r="W1466" s="12" t="s">
        <v>51</v>
      </c>
      <c r="X1466" s="14"/>
      <c r="Y1466" s="14"/>
      <c r="Z1466" s="14"/>
      <c r="AA1466" s="14"/>
      <c r="AB1466" s="14"/>
      <c r="AC1466" s="15">
        <v>22.75</v>
      </c>
      <c r="AD1466" s="15">
        <f>AC1466*AG1466</f>
        <v>91</v>
      </c>
      <c r="AE1466" s="15">
        <v>50</v>
      </c>
      <c r="AF1466" s="15">
        <f>AE1466*AG1466</f>
        <v>200</v>
      </c>
      <c r="AG1466" s="16">
        <v>4</v>
      </c>
    </row>
    <row r="1467" spans="1:33" ht="15" customHeight="1" x14ac:dyDescent="0.2">
      <c r="A1467" s="11" t="str">
        <f>HYPERLINK("https://assets.vans.eu/images/VN000CV4EMR-HERO/1","VN000CV4EMR1")</f>
        <v>VN000CV4EMR1</v>
      </c>
      <c r="B1467" s="12" t="s">
        <v>5718</v>
      </c>
      <c r="C1467" s="12" t="s">
        <v>607</v>
      </c>
      <c r="D1467" s="12" t="s">
        <v>5719</v>
      </c>
      <c r="E1467" s="12" t="s">
        <v>5720</v>
      </c>
      <c r="F1467" s="13">
        <v>65</v>
      </c>
      <c r="G1467" s="12" t="s">
        <v>372</v>
      </c>
      <c r="H1467" s="12" t="s">
        <v>38</v>
      </c>
      <c r="I1467" s="12" t="s">
        <v>113</v>
      </c>
      <c r="J1467" s="12" t="s">
        <v>529</v>
      </c>
      <c r="K1467" s="12" t="s">
        <v>100</v>
      </c>
      <c r="L1467" s="14"/>
      <c r="M1467" s="12" t="s">
        <v>43</v>
      </c>
      <c r="N1467" s="12" t="s">
        <v>84</v>
      </c>
      <c r="O1467" s="12" t="s">
        <v>5721</v>
      </c>
      <c r="P1467" s="12" t="s">
        <v>46</v>
      </c>
      <c r="Q1467" s="12" t="s">
        <v>47</v>
      </c>
      <c r="R1467" s="12" t="s">
        <v>117</v>
      </c>
      <c r="S1467" s="13">
        <v>197804429080</v>
      </c>
      <c r="T1467" s="12" t="s">
        <v>164</v>
      </c>
      <c r="U1467" s="13">
        <v>36.5</v>
      </c>
      <c r="V1467" s="12" t="s">
        <v>375</v>
      </c>
      <c r="W1467" s="12" t="s">
        <v>933</v>
      </c>
      <c r="X1467" s="14"/>
      <c r="Y1467" s="14"/>
      <c r="Z1467" s="14"/>
      <c r="AA1467" s="14"/>
      <c r="AB1467" s="14"/>
      <c r="AC1467" s="15">
        <v>26.2</v>
      </c>
      <c r="AD1467" s="15">
        <f>AC1467*AG1467</f>
        <v>104.8</v>
      </c>
      <c r="AE1467" s="15">
        <v>55</v>
      </c>
      <c r="AF1467" s="15">
        <f>AE1467*AG1467</f>
        <v>220</v>
      </c>
      <c r="AG1467" s="16">
        <v>4</v>
      </c>
    </row>
    <row r="1468" spans="1:33" ht="15" customHeight="1" x14ac:dyDescent="0.2">
      <c r="A1468" s="11" t="str">
        <f>HYPERLINK("https://assets.vans.eu/images/VN000CV4WWW-HERO/1","VN000CV4WWW1")</f>
        <v>VN000CV4WWW1</v>
      </c>
      <c r="B1468" s="12" t="s">
        <v>5722</v>
      </c>
      <c r="C1468" s="12" t="s">
        <v>607</v>
      </c>
      <c r="D1468" s="12" t="s">
        <v>2588</v>
      </c>
      <c r="E1468" s="12" t="s">
        <v>5723</v>
      </c>
      <c r="F1468" s="13">
        <v>80</v>
      </c>
      <c r="G1468" s="12" t="s">
        <v>372</v>
      </c>
      <c r="H1468" s="12" t="s">
        <v>38</v>
      </c>
      <c r="I1468" s="12" t="s">
        <v>113</v>
      </c>
      <c r="J1468" s="12" t="s">
        <v>529</v>
      </c>
      <c r="K1468" s="12" t="s">
        <v>100</v>
      </c>
      <c r="L1468" s="14"/>
      <c r="M1468" s="12" t="s">
        <v>43</v>
      </c>
      <c r="N1468" s="12" t="s">
        <v>84</v>
      </c>
      <c r="O1468" s="12" t="s">
        <v>5724</v>
      </c>
      <c r="P1468" s="12" t="s">
        <v>46</v>
      </c>
      <c r="Q1468" s="12" t="s">
        <v>47</v>
      </c>
      <c r="R1468" s="12" t="s">
        <v>117</v>
      </c>
      <c r="S1468" s="13">
        <v>197643162629</v>
      </c>
      <c r="T1468" s="12" t="s">
        <v>105</v>
      </c>
      <c r="U1468" s="13">
        <v>38.5</v>
      </c>
      <c r="V1468" s="12" t="s">
        <v>375</v>
      </c>
      <c r="W1468" s="12" t="s">
        <v>175</v>
      </c>
      <c r="X1468" s="14"/>
      <c r="Y1468" s="12" t="s">
        <v>71</v>
      </c>
      <c r="Z1468" s="12" t="s">
        <v>376</v>
      </c>
      <c r="AA1468" s="14"/>
      <c r="AB1468" s="14"/>
      <c r="AC1468" s="15">
        <v>26.2</v>
      </c>
      <c r="AD1468" s="15">
        <f>AC1468*AG1468</f>
        <v>104.8</v>
      </c>
      <c r="AE1468" s="15">
        <v>55</v>
      </c>
      <c r="AF1468" s="15">
        <f>AE1468*AG1468</f>
        <v>220</v>
      </c>
      <c r="AG1468" s="16">
        <v>4</v>
      </c>
    </row>
    <row r="1469" spans="1:33" ht="15" customHeight="1" x14ac:dyDescent="0.2">
      <c r="A1469" s="11" t="str">
        <f>HYPERLINK("https://assets.vans.eu/images/VN000CVM7YO-HERO/1","VN000CVM7YO1")</f>
        <v>VN000CVM7YO1</v>
      </c>
      <c r="B1469" s="12" t="s">
        <v>5725</v>
      </c>
      <c r="C1469" s="12" t="s">
        <v>5726</v>
      </c>
      <c r="D1469" s="12" t="s">
        <v>2353</v>
      </c>
      <c r="E1469" s="12" t="s">
        <v>5727</v>
      </c>
      <c r="F1469" s="13">
        <v>80</v>
      </c>
      <c r="G1469" s="14"/>
      <c r="H1469" s="12" t="s">
        <v>38</v>
      </c>
      <c r="I1469" s="12" t="s">
        <v>159</v>
      </c>
      <c r="J1469" s="12" t="s">
        <v>160</v>
      </c>
      <c r="K1469" s="12" t="s">
        <v>82</v>
      </c>
      <c r="L1469" s="14"/>
      <c r="M1469" s="12" t="s">
        <v>43</v>
      </c>
      <c r="N1469" s="12" t="s">
        <v>161</v>
      </c>
      <c r="O1469" s="12" t="s">
        <v>5728</v>
      </c>
      <c r="P1469" s="12" t="s">
        <v>46</v>
      </c>
      <c r="Q1469" s="12" t="s">
        <v>47</v>
      </c>
      <c r="R1469" s="12" t="s">
        <v>343</v>
      </c>
      <c r="S1469" s="13">
        <v>197065558161</v>
      </c>
      <c r="T1469" s="12" t="s">
        <v>49</v>
      </c>
      <c r="U1469" s="13">
        <v>40.5</v>
      </c>
      <c r="V1469" s="12" t="s">
        <v>50</v>
      </c>
      <c r="W1469" s="12" t="s">
        <v>186</v>
      </c>
      <c r="X1469" s="14"/>
      <c r="Y1469" s="12" t="s">
        <v>53</v>
      </c>
      <c r="Z1469" s="12" t="s">
        <v>165</v>
      </c>
      <c r="AA1469" s="14"/>
      <c r="AB1469" s="14"/>
      <c r="AC1469" s="15">
        <v>86.4</v>
      </c>
      <c r="AD1469" s="15">
        <f>AC1469*AG1469</f>
        <v>345.6</v>
      </c>
      <c r="AE1469" s="15">
        <v>190</v>
      </c>
      <c r="AF1469" s="15">
        <f>AE1469*AG1469</f>
        <v>760</v>
      </c>
      <c r="AG1469" s="16">
        <v>4</v>
      </c>
    </row>
    <row r="1470" spans="1:33" ht="15" customHeight="1" x14ac:dyDescent="0.2">
      <c r="A1470" s="11" t="str">
        <f>HYPERLINK("https://assets.vans.eu/images/VN000CVTGRN-HERO/1","VN000CVTGRN1")</f>
        <v>VN000CVTGRN1</v>
      </c>
      <c r="B1470" s="12" t="s">
        <v>5729</v>
      </c>
      <c r="C1470" s="12" t="s">
        <v>944</v>
      </c>
      <c r="D1470" s="12" t="s">
        <v>2428</v>
      </c>
      <c r="E1470" s="12" t="s">
        <v>5730</v>
      </c>
      <c r="F1470" s="13">
        <v>65</v>
      </c>
      <c r="G1470" s="14"/>
      <c r="H1470" s="12" t="s">
        <v>38</v>
      </c>
      <c r="I1470" s="12" t="s">
        <v>113</v>
      </c>
      <c r="J1470" s="12" t="s">
        <v>114</v>
      </c>
      <c r="K1470" s="12" t="s">
        <v>82</v>
      </c>
      <c r="L1470" s="14"/>
      <c r="M1470" s="12" t="s">
        <v>43</v>
      </c>
      <c r="N1470" s="12" t="s">
        <v>161</v>
      </c>
      <c r="O1470" s="12" t="s">
        <v>5731</v>
      </c>
      <c r="P1470" s="12" t="s">
        <v>46</v>
      </c>
      <c r="Q1470" s="12" t="s">
        <v>47</v>
      </c>
      <c r="R1470" s="12" t="s">
        <v>948</v>
      </c>
      <c r="S1470" s="13">
        <v>197065565954</v>
      </c>
      <c r="T1470" s="12" t="s">
        <v>49</v>
      </c>
      <c r="U1470" s="13">
        <v>38.5</v>
      </c>
      <c r="V1470" s="12" t="s">
        <v>50</v>
      </c>
      <c r="W1470" s="12" t="s">
        <v>118</v>
      </c>
      <c r="X1470" s="14"/>
      <c r="Y1470" s="12" t="s">
        <v>91</v>
      </c>
      <c r="Z1470" s="12" t="s">
        <v>165</v>
      </c>
      <c r="AA1470" s="14"/>
      <c r="AB1470" s="14"/>
      <c r="AC1470" s="15">
        <v>65.95</v>
      </c>
      <c r="AD1470" s="15">
        <f>AC1470*AG1470</f>
        <v>263.8</v>
      </c>
      <c r="AE1470" s="15">
        <v>145</v>
      </c>
      <c r="AF1470" s="15">
        <f>AE1470*AG1470</f>
        <v>580</v>
      </c>
      <c r="AG1470" s="16">
        <v>4</v>
      </c>
    </row>
    <row r="1471" spans="1:33" ht="15" customHeight="1" x14ac:dyDescent="0.2">
      <c r="A1471" s="11" t="str">
        <f t="shared" ref="A1471:A2487" si="608">HYPERLINK("https://assets.vans.eu/images/VN000CVUBLK-HERO/1","VN000CVUBLK1")</f>
        <v>VN000CVUBLK1</v>
      </c>
      <c r="B1471" s="12" t="s">
        <v>5732</v>
      </c>
      <c r="C1471" s="12" t="s">
        <v>2993</v>
      </c>
      <c r="D1471" s="12" t="s">
        <v>76</v>
      </c>
      <c r="E1471" s="12" t="s">
        <v>5733</v>
      </c>
      <c r="F1471" s="13">
        <v>90</v>
      </c>
      <c r="G1471" s="12" t="s">
        <v>5734</v>
      </c>
      <c r="H1471" s="12" t="s">
        <v>38</v>
      </c>
      <c r="I1471" s="12" t="s">
        <v>159</v>
      </c>
      <c r="J1471" s="12" t="s">
        <v>255</v>
      </c>
      <c r="K1471" s="12" t="s">
        <v>82</v>
      </c>
      <c r="L1471" s="14"/>
      <c r="M1471" s="12" t="s">
        <v>43</v>
      </c>
      <c r="N1471" s="12" t="s">
        <v>84</v>
      </c>
      <c r="O1471" s="12" t="s">
        <v>5735</v>
      </c>
      <c r="P1471" s="12" t="s">
        <v>46</v>
      </c>
      <c r="Q1471" s="12" t="s">
        <v>47</v>
      </c>
      <c r="R1471" s="12" t="s">
        <v>343</v>
      </c>
      <c r="S1471" s="13">
        <v>197804433018</v>
      </c>
      <c r="T1471" s="12" t="s">
        <v>49</v>
      </c>
      <c r="U1471" s="13">
        <v>42</v>
      </c>
      <c r="V1471" s="12" t="s">
        <v>278</v>
      </c>
      <c r="W1471" s="12" t="s">
        <v>51</v>
      </c>
      <c r="X1471" s="14"/>
      <c r="Y1471" s="14"/>
      <c r="Z1471" s="14"/>
      <c r="AA1471" s="14"/>
      <c r="AB1471" s="14"/>
      <c r="AC1471" s="15">
        <v>63.65</v>
      </c>
      <c r="AD1471" s="15">
        <f>AC1471*AG1471</f>
        <v>254.6</v>
      </c>
      <c r="AE1471" s="15">
        <v>140</v>
      </c>
      <c r="AF1471" s="15">
        <f>AE1471*AG1471</f>
        <v>560</v>
      </c>
      <c r="AG1471" s="16">
        <v>4</v>
      </c>
    </row>
    <row r="1472" spans="1:33" ht="15" customHeight="1" x14ac:dyDescent="0.2">
      <c r="A1472" s="11" t="str">
        <f>HYPERLINK("https://assets.vans.eu/images/VN000CWCY49-HERO/1","VN000CWCY491")</f>
        <v>VN000CWCY491</v>
      </c>
      <c r="B1472" s="12" t="s">
        <v>5736</v>
      </c>
      <c r="C1472" s="12" t="s">
        <v>1016</v>
      </c>
      <c r="D1472" s="12" t="s">
        <v>5737</v>
      </c>
      <c r="E1472" s="12" t="s">
        <v>5738</v>
      </c>
      <c r="F1472" s="13">
        <v>75</v>
      </c>
      <c r="G1472" s="14"/>
      <c r="H1472" s="12" t="s">
        <v>38</v>
      </c>
      <c r="I1472" s="12" t="s">
        <v>159</v>
      </c>
      <c r="J1472" s="12" t="s">
        <v>255</v>
      </c>
      <c r="K1472" s="12" t="s">
        <v>82</v>
      </c>
      <c r="L1472" s="14"/>
      <c r="M1472" s="12" t="s">
        <v>43</v>
      </c>
      <c r="N1472" s="12" t="s">
        <v>161</v>
      </c>
      <c r="O1472" s="12" t="s">
        <v>5739</v>
      </c>
      <c r="P1472" s="12" t="s">
        <v>46</v>
      </c>
      <c r="Q1472" s="12" t="s">
        <v>47</v>
      </c>
      <c r="R1472" s="12" t="s">
        <v>163</v>
      </c>
      <c r="S1472" s="13">
        <v>197065662905</v>
      </c>
      <c r="T1472" s="12" t="s">
        <v>105</v>
      </c>
      <c r="U1472" s="13">
        <v>40</v>
      </c>
      <c r="V1472" s="12" t="s">
        <v>278</v>
      </c>
      <c r="W1472" s="12" t="s">
        <v>186</v>
      </c>
      <c r="X1472" s="14"/>
      <c r="Y1472" s="12" t="s">
        <v>91</v>
      </c>
      <c r="Z1472" s="12" t="s">
        <v>165</v>
      </c>
      <c r="AA1472" s="14"/>
      <c r="AB1472" s="14"/>
      <c r="AC1472" s="15">
        <v>52.3</v>
      </c>
      <c r="AD1472" s="15">
        <f>AC1472*AG1472</f>
        <v>209.2</v>
      </c>
      <c r="AE1472" s="15">
        <v>115</v>
      </c>
      <c r="AF1472" s="15">
        <f>AE1472*AG1472</f>
        <v>460</v>
      </c>
      <c r="AG1472" s="16">
        <v>4</v>
      </c>
    </row>
    <row r="1473" spans="1:33" ht="15" customHeight="1" x14ac:dyDescent="0.2">
      <c r="A1473" s="11" t="str">
        <f t="shared" ref="A1473:A2509" si="609">HYPERLINK("https://assets.vans.eu/images/VN000CWDCRM-HERO/1","VN000CWDCRM1")</f>
        <v>VN000CWDCRM1</v>
      </c>
      <c r="B1473" s="12" t="s">
        <v>5740</v>
      </c>
      <c r="C1473" s="12" t="s">
        <v>2782</v>
      </c>
      <c r="D1473" s="12" t="s">
        <v>2783</v>
      </c>
      <c r="E1473" s="12" t="s">
        <v>5741</v>
      </c>
      <c r="F1473" s="13">
        <v>50</v>
      </c>
      <c r="G1473" s="12" t="s">
        <v>2785</v>
      </c>
      <c r="H1473" s="12" t="s">
        <v>38</v>
      </c>
      <c r="I1473" s="12" t="s">
        <v>113</v>
      </c>
      <c r="J1473" s="12" t="s">
        <v>529</v>
      </c>
      <c r="K1473" s="12" t="s">
        <v>82</v>
      </c>
      <c r="L1473" s="14"/>
      <c r="M1473" s="12" t="s">
        <v>43</v>
      </c>
      <c r="N1473" s="12" t="s">
        <v>161</v>
      </c>
      <c r="O1473" s="12" t="s">
        <v>5742</v>
      </c>
      <c r="P1473" s="12" t="s">
        <v>46</v>
      </c>
      <c r="Q1473" s="12" t="s">
        <v>47</v>
      </c>
      <c r="R1473" s="12" t="s">
        <v>117</v>
      </c>
      <c r="S1473" s="13">
        <v>197065664268</v>
      </c>
      <c r="T1473" s="12" t="s">
        <v>49</v>
      </c>
      <c r="U1473" s="13">
        <v>36.5</v>
      </c>
      <c r="V1473" s="12" t="s">
        <v>50</v>
      </c>
      <c r="W1473" s="12" t="s">
        <v>580</v>
      </c>
      <c r="X1473" s="14"/>
      <c r="Y1473" s="12" t="s">
        <v>91</v>
      </c>
      <c r="Z1473" s="12" t="s">
        <v>165</v>
      </c>
      <c r="AA1473" s="14"/>
      <c r="AB1473" s="14"/>
      <c r="AC1473" s="15">
        <v>54.55</v>
      </c>
      <c r="AD1473" s="15">
        <f>AC1473*AG1473</f>
        <v>218.2</v>
      </c>
      <c r="AE1473" s="15">
        <v>120</v>
      </c>
      <c r="AF1473" s="15">
        <f>AE1473*AG1473</f>
        <v>480</v>
      </c>
      <c r="AG1473" s="16">
        <v>4</v>
      </c>
    </row>
    <row r="1474" spans="1:33" ht="15" customHeight="1" x14ac:dyDescent="0.2">
      <c r="A1474" s="11" t="str">
        <f>HYPERLINK("https://assets.vans.eu/images/VN000CWE9JC-HERO/1","VN000CWE9JC1")</f>
        <v>VN000CWE9JC1</v>
      </c>
      <c r="B1474" s="12" t="s">
        <v>5743</v>
      </c>
      <c r="C1474" s="12" t="s">
        <v>1248</v>
      </c>
      <c r="D1474" s="12" t="s">
        <v>4481</v>
      </c>
      <c r="E1474" s="12" t="s">
        <v>5744</v>
      </c>
      <c r="F1474" s="13">
        <v>40</v>
      </c>
      <c r="G1474" s="12" t="s">
        <v>4912</v>
      </c>
      <c r="H1474" s="12" t="s">
        <v>38</v>
      </c>
      <c r="I1474" s="12" t="s">
        <v>159</v>
      </c>
      <c r="J1474" s="12" t="s">
        <v>255</v>
      </c>
      <c r="K1474" s="12" t="s">
        <v>82</v>
      </c>
      <c r="L1474" s="14"/>
      <c r="M1474" s="12" t="s">
        <v>43</v>
      </c>
      <c r="N1474" s="12" t="s">
        <v>161</v>
      </c>
      <c r="O1474" s="12" t="s">
        <v>5745</v>
      </c>
      <c r="P1474" s="12" t="s">
        <v>46</v>
      </c>
      <c r="Q1474" s="12" t="s">
        <v>47</v>
      </c>
      <c r="R1474" s="12" t="s">
        <v>163</v>
      </c>
      <c r="S1474" s="13">
        <v>197065667818</v>
      </c>
      <c r="T1474" s="12" t="s">
        <v>49</v>
      </c>
      <c r="U1474" s="13">
        <v>35</v>
      </c>
      <c r="V1474" s="12" t="s">
        <v>50</v>
      </c>
      <c r="W1474" s="12" t="s">
        <v>186</v>
      </c>
      <c r="X1474" s="14"/>
      <c r="Y1474" s="12" t="s">
        <v>91</v>
      </c>
      <c r="Z1474" s="12" t="s">
        <v>165</v>
      </c>
      <c r="AA1474" s="14"/>
      <c r="AB1474" s="14"/>
      <c r="AC1474" s="15">
        <v>59.1</v>
      </c>
      <c r="AD1474" s="15">
        <f>AC1474*AG1474</f>
        <v>236.4</v>
      </c>
      <c r="AE1474" s="15">
        <v>130</v>
      </c>
      <c r="AF1474" s="15">
        <f>AE1474*AG1474</f>
        <v>520</v>
      </c>
      <c r="AG1474" s="16">
        <v>4</v>
      </c>
    </row>
    <row r="1475" spans="1:33" ht="15" customHeight="1" x14ac:dyDescent="0.2">
      <c r="A1475" s="11" t="str">
        <f t="shared" si="519"/>
        <v>VN000CWEBLU1</v>
      </c>
      <c r="B1475" s="12" t="s">
        <v>5746</v>
      </c>
      <c r="C1475" s="12" t="s">
        <v>1248</v>
      </c>
      <c r="D1475" s="12" t="s">
        <v>4910</v>
      </c>
      <c r="E1475" s="12" t="s">
        <v>5747</v>
      </c>
      <c r="F1475" s="13">
        <v>130</v>
      </c>
      <c r="G1475" s="12" t="s">
        <v>4912</v>
      </c>
      <c r="H1475" s="12" t="s">
        <v>38</v>
      </c>
      <c r="I1475" s="12" t="s">
        <v>113</v>
      </c>
      <c r="J1475" s="12" t="s">
        <v>529</v>
      </c>
      <c r="K1475" s="12" t="s">
        <v>82</v>
      </c>
      <c r="L1475" s="14"/>
      <c r="M1475" s="12" t="s">
        <v>43</v>
      </c>
      <c r="N1475" s="12" t="s">
        <v>161</v>
      </c>
      <c r="O1475" s="12" t="s">
        <v>5748</v>
      </c>
      <c r="P1475" s="12" t="s">
        <v>46</v>
      </c>
      <c r="Q1475" s="12" t="s">
        <v>47</v>
      </c>
      <c r="R1475" s="12" t="s">
        <v>117</v>
      </c>
      <c r="S1475" s="13">
        <v>197065667894</v>
      </c>
      <c r="T1475" s="12" t="s">
        <v>49</v>
      </c>
      <c r="U1475" s="13">
        <v>47</v>
      </c>
      <c r="V1475" s="12" t="s">
        <v>50</v>
      </c>
      <c r="W1475" s="12" t="s">
        <v>284</v>
      </c>
      <c r="X1475" s="14"/>
      <c r="Y1475" s="12" t="s">
        <v>91</v>
      </c>
      <c r="Z1475" s="12" t="s">
        <v>165</v>
      </c>
      <c r="AA1475" s="14"/>
      <c r="AB1475" s="14"/>
      <c r="AC1475" s="15">
        <v>59.1</v>
      </c>
      <c r="AD1475" s="15">
        <f>AC1475*AG1475</f>
        <v>236.4</v>
      </c>
      <c r="AE1475" s="15">
        <v>130</v>
      </c>
      <c r="AF1475" s="15">
        <f>AE1475*AG1475</f>
        <v>520</v>
      </c>
      <c r="AG1475" s="16">
        <v>4</v>
      </c>
    </row>
    <row r="1476" spans="1:33" ht="15" customHeight="1" x14ac:dyDescent="0.2">
      <c r="A1476" s="11" t="str">
        <f t="shared" si="520"/>
        <v>VN000CYABMC1</v>
      </c>
      <c r="B1476" s="12" t="s">
        <v>5749</v>
      </c>
      <c r="C1476" s="12" t="s">
        <v>238</v>
      </c>
      <c r="D1476" s="12" t="s">
        <v>4915</v>
      </c>
      <c r="E1476" s="12" t="s">
        <v>5750</v>
      </c>
      <c r="F1476" s="13">
        <v>25</v>
      </c>
      <c r="G1476" s="12" t="s">
        <v>3900</v>
      </c>
      <c r="H1476" s="12" t="s">
        <v>38</v>
      </c>
      <c r="I1476" s="12" t="s">
        <v>39</v>
      </c>
      <c r="J1476" s="12" t="s">
        <v>40</v>
      </c>
      <c r="K1476" s="12" t="s">
        <v>41</v>
      </c>
      <c r="L1476" s="14"/>
      <c r="M1476" s="12" t="s">
        <v>43</v>
      </c>
      <c r="N1476" s="12" t="s">
        <v>84</v>
      </c>
      <c r="O1476" s="12" t="s">
        <v>5751</v>
      </c>
      <c r="P1476" s="12" t="s">
        <v>46</v>
      </c>
      <c r="Q1476" s="12" t="s">
        <v>47</v>
      </c>
      <c r="R1476" s="12" t="s">
        <v>48</v>
      </c>
      <c r="S1476" s="13">
        <v>197804669929</v>
      </c>
      <c r="T1476" s="12" t="s">
        <v>49</v>
      </c>
      <c r="U1476" s="13">
        <v>33</v>
      </c>
      <c r="V1476" s="12" t="s">
        <v>50</v>
      </c>
      <c r="W1476" s="12" t="s">
        <v>598</v>
      </c>
      <c r="X1476" s="14"/>
      <c r="Y1476" s="14"/>
      <c r="Z1476" s="14"/>
      <c r="AA1476" s="14"/>
      <c r="AB1476" s="14"/>
      <c r="AC1476" s="15">
        <v>25</v>
      </c>
      <c r="AD1476" s="15">
        <f>AC1476*AG1476</f>
        <v>100</v>
      </c>
      <c r="AE1476" s="15">
        <v>55</v>
      </c>
      <c r="AF1476" s="15">
        <f>AE1476*AG1476</f>
        <v>220</v>
      </c>
      <c r="AG1476" s="16">
        <v>4</v>
      </c>
    </row>
    <row r="1477" spans="1:33" ht="15" customHeight="1" x14ac:dyDescent="0.2">
      <c r="A1477" s="11" t="str">
        <f t="shared" ref="A1477:A2518" si="610">HYPERLINK("https://assets.vans.eu/images/VN000CYARV2-HERO/1","VN000CYARV21")</f>
        <v>VN000CYARV21</v>
      </c>
      <c r="B1477" s="12" t="s">
        <v>5752</v>
      </c>
      <c r="C1477" s="12" t="s">
        <v>238</v>
      </c>
      <c r="D1477" s="12" t="s">
        <v>1428</v>
      </c>
      <c r="E1477" s="12" t="s">
        <v>5753</v>
      </c>
      <c r="F1477" s="13">
        <v>25</v>
      </c>
      <c r="G1477" s="12" t="s">
        <v>2273</v>
      </c>
      <c r="H1477" s="12" t="s">
        <v>38</v>
      </c>
      <c r="I1477" s="12" t="s">
        <v>39</v>
      </c>
      <c r="J1477" s="12" t="s">
        <v>40</v>
      </c>
      <c r="K1477" s="12" t="s">
        <v>41</v>
      </c>
      <c r="L1477" s="14"/>
      <c r="M1477" s="12" t="s">
        <v>43</v>
      </c>
      <c r="N1477" s="12" t="s">
        <v>84</v>
      </c>
      <c r="O1477" s="12" t="s">
        <v>5754</v>
      </c>
      <c r="P1477" s="12" t="s">
        <v>46</v>
      </c>
      <c r="Q1477" s="12" t="s">
        <v>47</v>
      </c>
      <c r="R1477" s="12" t="s">
        <v>48</v>
      </c>
      <c r="S1477" s="13">
        <v>197804515929</v>
      </c>
      <c r="T1477" s="12" t="s">
        <v>164</v>
      </c>
      <c r="U1477" s="13">
        <v>33</v>
      </c>
      <c r="V1477" s="12" t="s">
        <v>50</v>
      </c>
      <c r="W1477" s="12" t="s">
        <v>51</v>
      </c>
      <c r="X1477" s="14"/>
      <c r="Y1477" s="14"/>
      <c r="Z1477" s="14"/>
      <c r="AA1477" s="14"/>
      <c r="AB1477" s="14"/>
      <c r="AC1477" s="15">
        <v>27.3</v>
      </c>
      <c r="AD1477" s="15">
        <f>AC1477*AG1477</f>
        <v>109.2</v>
      </c>
      <c r="AE1477" s="15">
        <v>60</v>
      </c>
      <c r="AF1477" s="15">
        <f>AE1477*AG1477</f>
        <v>240</v>
      </c>
      <c r="AG1477" s="16">
        <v>4</v>
      </c>
    </row>
    <row r="1478" spans="1:33" ht="15" customHeight="1" x14ac:dyDescent="0.2">
      <c r="A1478" s="11" t="str">
        <f t="shared" si="453"/>
        <v>VN000CYAYJ71</v>
      </c>
      <c r="B1478" s="12" t="s">
        <v>5755</v>
      </c>
      <c r="C1478" s="12" t="s">
        <v>238</v>
      </c>
      <c r="D1478" s="12" t="s">
        <v>1300</v>
      </c>
      <c r="E1478" s="12" t="s">
        <v>5756</v>
      </c>
      <c r="F1478" s="13">
        <v>30</v>
      </c>
      <c r="G1478" s="12" t="s">
        <v>1302</v>
      </c>
      <c r="H1478" s="12" t="s">
        <v>38</v>
      </c>
      <c r="I1478" s="12" t="s">
        <v>39</v>
      </c>
      <c r="J1478" s="12" t="s">
        <v>40</v>
      </c>
      <c r="K1478" s="12" t="s">
        <v>41</v>
      </c>
      <c r="L1478" s="14"/>
      <c r="M1478" s="12" t="s">
        <v>43</v>
      </c>
      <c r="N1478" s="12" t="s">
        <v>84</v>
      </c>
      <c r="O1478" s="12" t="s">
        <v>5757</v>
      </c>
      <c r="P1478" s="12" t="s">
        <v>46</v>
      </c>
      <c r="Q1478" s="12" t="s">
        <v>47</v>
      </c>
      <c r="R1478" s="12" t="s">
        <v>48</v>
      </c>
      <c r="S1478" s="13">
        <v>197804515967</v>
      </c>
      <c r="T1478" s="12" t="s">
        <v>164</v>
      </c>
      <c r="U1478" s="13">
        <v>34</v>
      </c>
      <c r="V1478" s="12" t="s">
        <v>50</v>
      </c>
      <c r="W1478" s="12" t="s">
        <v>51</v>
      </c>
      <c r="X1478" s="14"/>
      <c r="Y1478" s="14"/>
      <c r="Z1478" s="14"/>
      <c r="AA1478" s="14"/>
      <c r="AB1478" s="14"/>
      <c r="AC1478" s="15">
        <v>27.3</v>
      </c>
      <c r="AD1478" s="15">
        <f>AC1478*AG1478</f>
        <v>109.2</v>
      </c>
      <c r="AE1478" s="15">
        <v>60</v>
      </c>
      <c r="AF1478" s="15">
        <f>AE1478*AG1478</f>
        <v>240</v>
      </c>
      <c r="AG1478" s="16">
        <v>4</v>
      </c>
    </row>
    <row r="1479" spans="1:33" ht="15" customHeight="1" x14ac:dyDescent="0.2">
      <c r="A1479" s="11" t="str">
        <f t="shared" ref="A1479:A1855" si="611">HYPERLINK("https://assets.vans.eu/images/VN000CYVENA-HERO/1","VN000CYVENA1")</f>
        <v>VN000CYVENA1</v>
      </c>
      <c r="B1479" s="12" t="s">
        <v>5758</v>
      </c>
      <c r="C1479" s="12" t="s">
        <v>34</v>
      </c>
      <c r="D1479" s="12" t="s">
        <v>280</v>
      </c>
      <c r="E1479" s="12" t="s">
        <v>5759</v>
      </c>
      <c r="F1479" s="13">
        <v>105</v>
      </c>
      <c r="G1479" s="12" t="s">
        <v>3002</v>
      </c>
      <c r="H1479" s="12" t="s">
        <v>38</v>
      </c>
      <c r="I1479" s="12" t="s">
        <v>39</v>
      </c>
      <c r="J1479" s="12" t="s">
        <v>40</v>
      </c>
      <c r="K1479" s="12" t="s">
        <v>41</v>
      </c>
      <c r="L1479" s="14"/>
      <c r="M1479" s="12" t="s">
        <v>43</v>
      </c>
      <c r="N1479" s="12" t="s">
        <v>84</v>
      </c>
      <c r="O1479" s="12" t="s">
        <v>5760</v>
      </c>
      <c r="P1479" s="12" t="s">
        <v>46</v>
      </c>
      <c r="Q1479" s="12" t="s">
        <v>47</v>
      </c>
      <c r="R1479" s="12" t="s">
        <v>48</v>
      </c>
      <c r="S1479" s="13">
        <v>197804518104</v>
      </c>
      <c r="T1479" s="12" t="s">
        <v>105</v>
      </c>
      <c r="U1479" s="13">
        <v>27</v>
      </c>
      <c r="V1479" s="12" t="s">
        <v>50</v>
      </c>
      <c r="W1479" s="12" t="s">
        <v>284</v>
      </c>
      <c r="X1479" s="14"/>
      <c r="Y1479" s="14"/>
      <c r="Z1479" s="14"/>
      <c r="AA1479" s="14"/>
      <c r="AB1479" s="14"/>
      <c r="AC1479" s="15">
        <v>25</v>
      </c>
      <c r="AD1479" s="15">
        <f>AC1479*AG1479</f>
        <v>100</v>
      </c>
      <c r="AE1479" s="15">
        <v>55</v>
      </c>
      <c r="AF1479" s="15">
        <f>AE1479*AG1479</f>
        <v>220</v>
      </c>
      <c r="AG1479" s="16">
        <v>4</v>
      </c>
    </row>
    <row r="1480" spans="1:33" ht="15" customHeight="1" x14ac:dyDescent="0.2">
      <c r="A1480" s="11" t="str">
        <f t="shared" si="524"/>
        <v>VN000CZ7BLA1</v>
      </c>
      <c r="B1480" s="12" t="s">
        <v>5761</v>
      </c>
      <c r="C1480" s="12" t="s">
        <v>2412</v>
      </c>
      <c r="D1480" s="12" t="s">
        <v>919</v>
      </c>
      <c r="E1480" s="12" t="s">
        <v>5762</v>
      </c>
      <c r="F1480" s="13">
        <v>15</v>
      </c>
      <c r="G1480" s="12" t="s">
        <v>4948</v>
      </c>
      <c r="H1480" s="12" t="s">
        <v>38</v>
      </c>
      <c r="I1480" s="12" t="s">
        <v>39</v>
      </c>
      <c r="J1480" s="12" t="s">
        <v>40</v>
      </c>
      <c r="K1480" s="12" t="s">
        <v>41</v>
      </c>
      <c r="L1480" s="14"/>
      <c r="M1480" s="12" t="s">
        <v>43</v>
      </c>
      <c r="N1480" s="12" t="s">
        <v>84</v>
      </c>
      <c r="O1480" s="12" t="s">
        <v>5763</v>
      </c>
      <c r="P1480" s="12" t="s">
        <v>46</v>
      </c>
      <c r="Q1480" s="12" t="s">
        <v>47</v>
      </c>
      <c r="R1480" s="12" t="s">
        <v>313</v>
      </c>
      <c r="S1480" s="13">
        <v>197804518654</v>
      </c>
      <c r="T1480" s="12" t="s">
        <v>105</v>
      </c>
      <c r="U1480" s="13">
        <v>32</v>
      </c>
      <c r="V1480" s="12" t="s">
        <v>50</v>
      </c>
      <c r="W1480" s="12" t="s">
        <v>51</v>
      </c>
      <c r="X1480" s="14"/>
      <c r="Y1480" s="14"/>
      <c r="Z1480" s="14"/>
      <c r="AA1480" s="14"/>
      <c r="AB1480" s="14"/>
      <c r="AC1480" s="15">
        <v>31.85</v>
      </c>
      <c r="AD1480" s="15">
        <f>AC1480*AG1480</f>
        <v>127.4</v>
      </c>
      <c r="AE1480" s="15">
        <v>70</v>
      </c>
      <c r="AF1480" s="15">
        <f>AE1480*AG1480</f>
        <v>280</v>
      </c>
      <c r="AG1480" s="16">
        <v>4</v>
      </c>
    </row>
    <row r="1481" spans="1:33" ht="15" customHeight="1" x14ac:dyDescent="0.2">
      <c r="A1481" s="11" t="str">
        <f t="shared" si="249"/>
        <v>VN000D0H11E1</v>
      </c>
      <c r="B1481" s="12" t="s">
        <v>5764</v>
      </c>
      <c r="C1481" s="12" t="s">
        <v>1108</v>
      </c>
      <c r="D1481" s="12" t="s">
        <v>1148</v>
      </c>
      <c r="E1481" s="12" t="s">
        <v>5765</v>
      </c>
      <c r="F1481" s="13">
        <v>110</v>
      </c>
      <c r="G1481" s="12" t="s">
        <v>1111</v>
      </c>
      <c r="H1481" s="12" t="s">
        <v>38</v>
      </c>
      <c r="I1481" s="12" t="s">
        <v>39</v>
      </c>
      <c r="J1481" s="12" t="s">
        <v>40</v>
      </c>
      <c r="K1481" s="12" t="s">
        <v>41</v>
      </c>
      <c r="L1481" s="14"/>
      <c r="M1481" s="12" t="s">
        <v>43</v>
      </c>
      <c r="N1481" s="12" t="s">
        <v>84</v>
      </c>
      <c r="O1481" s="12" t="s">
        <v>5766</v>
      </c>
      <c r="P1481" s="12" t="s">
        <v>46</v>
      </c>
      <c r="Q1481" s="12" t="s">
        <v>47</v>
      </c>
      <c r="R1481" s="12" t="s">
        <v>780</v>
      </c>
      <c r="S1481" s="13">
        <v>197804435968</v>
      </c>
      <c r="T1481" s="12" t="s">
        <v>105</v>
      </c>
      <c r="U1481" s="13">
        <v>27.5</v>
      </c>
      <c r="V1481" s="12" t="s">
        <v>50</v>
      </c>
      <c r="W1481" s="12" t="s">
        <v>107</v>
      </c>
      <c r="X1481" s="14"/>
      <c r="Y1481" s="14"/>
      <c r="Z1481" s="14"/>
      <c r="AA1481" s="14"/>
      <c r="AB1481" s="14"/>
      <c r="AC1481" s="15">
        <v>34.1</v>
      </c>
      <c r="AD1481" s="15">
        <f>AC1481*AG1481</f>
        <v>136.4</v>
      </c>
      <c r="AE1481" s="15">
        <v>75</v>
      </c>
      <c r="AF1481" s="15">
        <f>AE1481*AG1481</f>
        <v>300</v>
      </c>
      <c r="AG1481" s="16">
        <v>4</v>
      </c>
    </row>
    <row r="1482" spans="1:33" ht="15" customHeight="1" x14ac:dyDescent="0.2">
      <c r="A1482" s="11" t="str">
        <f t="shared" ref="A1482:A2537" si="612">HYPERLINK("https://assets.vans.eu/images/VN000D0HBMV-HERO/1","VN000D0HBMV1")</f>
        <v>VN000D0HBMV1</v>
      </c>
      <c r="B1482" s="12" t="s">
        <v>5767</v>
      </c>
      <c r="C1482" s="12" t="s">
        <v>1108</v>
      </c>
      <c r="D1482" s="12" t="s">
        <v>2276</v>
      </c>
      <c r="E1482" s="12" t="s">
        <v>5768</v>
      </c>
      <c r="F1482" s="13">
        <v>120</v>
      </c>
      <c r="G1482" s="12" t="s">
        <v>528</v>
      </c>
      <c r="H1482" s="12" t="s">
        <v>38</v>
      </c>
      <c r="I1482" s="12" t="s">
        <v>39</v>
      </c>
      <c r="J1482" s="12" t="s">
        <v>40</v>
      </c>
      <c r="K1482" s="12" t="s">
        <v>41</v>
      </c>
      <c r="L1482" s="14"/>
      <c r="M1482" s="12" t="s">
        <v>43</v>
      </c>
      <c r="N1482" s="12" t="s">
        <v>84</v>
      </c>
      <c r="O1482" s="12" t="s">
        <v>5769</v>
      </c>
      <c r="P1482" s="12" t="s">
        <v>46</v>
      </c>
      <c r="Q1482" s="12" t="s">
        <v>47</v>
      </c>
      <c r="R1482" s="12" t="s">
        <v>780</v>
      </c>
      <c r="S1482" s="13">
        <v>197804436422</v>
      </c>
      <c r="T1482" s="12" t="s">
        <v>105</v>
      </c>
      <c r="U1482" s="13">
        <v>29</v>
      </c>
      <c r="V1482" s="12" t="s">
        <v>50</v>
      </c>
      <c r="W1482" s="12" t="s">
        <v>51</v>
      </c>
      <c r="X1482" s="14"/>
      <c r="Y1482" s="14"/>
      <c r="Z1482" s="14"/>
      <c r="AA1482" s="14"/>
      <c r="AB1482" s="14"/>
      <c r="AC1482" s="15">
        <v>34.1</v>
      </c>
      <c r="AD1482" s="15">
        <f>AC1482*AG1482</f>
        <v>136.4</v>
      </c>
      <c r="AE1482" s="15">
        <v>75</v>
      </c>
      <c r="AF1482" s="15">
        <f>AE1482*AG1482</f>
        <v>300</v>
      </c>
      <c r="AG1482" s="16">
        <v>4</v>
      </c>
    </row>
    <row r="1483" spans="1:33" ht="15" customHeight="1" x14ac:dyDescent="0.2">
      <c r="A1483" s="11" t="str">
        <f t="shared" si="525"/>
        <v>VN000D0HBZW1</v>
      </c>
      <c r="B1483" s="12" t="s">
        <v>5770</v>
      </c>
      <c r="C1483" s="12" t="s">
        <v>1108</v>
      </c>
      <c r="D1483" s="12" t="s">
        <v>58</v>
      </c>
      <c r="E1483" s="12" t="s">
        <v>5771</v>
      </c>
      <c r="F1483" s="13">
        <v>125</v>
      </c>
      <c r="G1483" s="14"/>
      <c r="H1483" s="12" t="s">
        <v>38</v>
      </c>
      <c r="I1483" s="12" t="s">
        <v>39</v>
      </c>
      <c r="J1483" s="12" t="s">
        <v>40</v>
      </c>
      <c r="K1483" s="12" t="s">
        <v>41</v>
      </c>
      <c r="L1483" s="14"/>
      <c r="M1483" s="12" t="s">
        <v>43</v>
      </c>
      <c r="N1483" s="12" t="s">
        <v>84</v>
      </c>
      <c r="O1483" s="12" t="s">
        <v>5772</v>
      </c>
      <c r="P1483" s="12" t="s">
        <v>46</v>
      </c>
      <c r="Q1483" s="12" t="s">
        <v>47</v>
      </c>
      <c r="R1483" s="12" t="s">
        <v>780</v>
      </c>
      <c r="S1483" s="13">
        <v>197804436606</v>
      </c>
      <c r="T1483" s="12" t="s">
        <v>49</v>
      </c>
      <c r="U1483" s="13">
        <v>30</v>
      </c>
      <c r="V1483" s="12" t="s">
        <v>50</v>
      </c>
      <c r="W1483" s="12" t="s">
        <v>51</v>
      </c>
      <c r="X1483" s="14"/>
      <c r="Y1483" s="14"/>
      <c r="Z1483" s="14"/>
      <c r="AA1483" s="14"/>
      <c r="AB1483" s="14"/>
      <c r="AC1483" s="15">
        <v>34.1</v>
      </c>
      <c r="AD1483" s="15">
        <f>AC1483*AG1483</f>
        <v>136.4</v>
      </c>
      <c r="AE1483" s="15">
        <v>75</v>
      </c>
      <c r="AF1483" s="15">
        <f>AE1483*AG1483</f>
        <v>300</v>
      </c>
      <c r="AG1483" s="16">
        <v>4</v>
      </c>
    </row>
    <row r="1484" spans="1:33" ht="15" customHeight="1" x14ac:dyDescent="0.2">
      <c r="A1484" s="11" t="str">
        <f t="shared" si="369"/>
        <v>VN000D0HEMY1</v>
      </c>
      <c r="B1484" s="12" t="s">
        <v>5773</v>
      </c>
      <c r="C1484" s="12" t="s">
        <v>1108</v>
      </c>
      <c r="D1484" s="12" t="s">
        <v>1155</v>
      </c>
      <c r="E1484" s="12" t="s">
        <v>5774</v>
      </c>
      <c r="F1484" s="13">
        <v>125</v>
      </c>
      <c r="G1484" s="12" t="s">
        <v>2417</v>
      </c>
      <c r="H1484" s="12" t="s">
        <v>38</v>
      </c>
      <c r="I1484" s="12" t="s">
        <v>39</v>
      </c>
      <c r="J1484" s="12" t="s">
        <v>40</v>
      </c>
      <c r="K1484" s="12" t="s">
        <v>41</v>
      </c>
      <c r="L1484" s="14"/>
      <c r="M1484" s="12" t="s">
        <v>43</v>
      </c>
      <c r="N1484" s="12" t="s">
        <v>84</v>
      </c>
      <c r="O1484" s="12" t="s">
        <v>5775</v>
      </c>
      <c r="P1484" s="12" t="s">
        <v>46</v>
      </c>
      <c r="Q1484" s="12" t="s">
        <v>47</v>
      </c>
      <c r="R1484" s="12" t="s">
        <v>780</v>
      </c>
      <c r="S1484" s="13">
        <v>197804436590</v>
      </c>
      <c r="T1484" s="12" t="s">
        <v>105</v>
      </c>
      <c r="U1484" s="13">
        <v>30</v>
      </c>
      <c r="V1484" s="12" t="s">
        <v>50</v>
      </c>
      <c r="W1484" s="12" t="s">
        <v>107</v>
      </c>
      <c r="X1484" s="14"/>
      <c r="Y1484" s="14"/>
      <c r="Z1484" s="14"/>
      <c r="AA1484" s="14"/>
      <c r="AB1484" s="14"/>
      <c r="AC1484" s="15">
        <v>34.1</v>
      </c>
      <c r="AD1484" s="15">
        <f>AC1484*AG1484</f>
        <v>136.4</v>
      </c>
      <c r="AE1484" s="15">
        <v>75</v>
      </c>
      <c r="AF1484" s="15">
        <f>AE1484*AG1484</f>
        <v>300</v>
      </c>
      <c r="AG1484" s="16">
        <v>4</v>
      </c>
    </row>
    <row r="1485" spans="1:33" ht="15" customHeight="1" x14ac:dyDescent="0.2">
      <c r="A1485" s="11" t="str">
        <f t="shared" ref="A1485:A1865" si="613">HYPERLINK("https://assets.vans.eu/images/VN000D0KEN6-HERO/1","VN000D0KEN61")</f>
        <v>VN000D0KEN61</v>
      </c>
      <c r="B1485" s="12" t="s">
        <v>5776</v>
      </c>
      <c r="C1485" s="12" t="s">
        <v>1207</v>
      </c>
      <c r="D1485" s="12" t="s">
        <v>189</v>
      </c>
      <c r="E1485" s="12" t="s">
        <v>5777</v>
      </c>
      <c r="F1485" s="13">
        <v>70</v>
      </c>
      <c r="G1485" s="14"/>
      <c r="H1485" s="12" t="s">
        <v>38</v>
      </c>
      <c r="I1485" s="12" t="s">
        <v>242</v>
      </c>
      <c r="J1485" s="12" t="s">
        <v>243</v>
      </c>
      <c r="K1485" s="12" t="s">
        <v>244</v>
      </c>
      <c r="L1485" s="14"/>
      <c r="M1485" s="12" t="s">
        <v>43</v>
      </c>
      <c r="N1485" s="12" t="s">
        <v>84</v>
      </c>
      <c r="O1485" s="12" t="s">
        <v>5778</v>
      </c>
      <c r="P1485" s="12" t="s">
        <v>46</v>
      </c>
      <c r="Q1485" s="12" t="s">
        <v>47</v>
      </c>
      <c r="R1485" s="12" t="s">
        <v>48</v>
      </c>
      <c r="S1485" s="13">
        <v>197804439034</v>
      </c>
      <c r="T1485" s="12" t="s">
        <v>105</v>
      </c>
      <c r="U1485" s="13">
        <v>23.5</v>
      </c>
      <c r="V1485" s="12" t="s">
        <v>50</v>
      </c>
      <c r="W1485" s="12" t="s">
        <v>118</v>
      </c>
      <c r="X1485" s="14"/>
      <c r="Y1485" s="14"/>
      <c r="Z1485" s="14"/>
      <c r="AA1485" s="14"/>
      <c r="AB1485" s="14"/>
      <c r="AC1485" s="15">
        <v>25</v>
      </c>
      <c r="AD1485" s="15">
        <f>AC1485*AG1485</f>
        <v>100</v>
      </c>
      <c r="AE1485" s="15">
        <v>55</v>
      </c>
      <c r="AF1485" s="15">
        <f>AE1485*AG1485</f>
        <v>220</v>
      </c>
      <c r="AG1485" s="16">
        <v>4</v>
      </c>
    </row>
    <row r="1486" spans="1:33" ht="15" customHeight="1" x14ac:dyDescent="0.2">
      <c r="A1486" s="11" t="str">
        <f>HYPERLINK("https://assets.vans.eu/images/VN000D0MKCZ-HERO/1","VN000D0MKCZ1")</f>
        <v>VN000D0MKCZ1</v>
      </c>
      <c r="B1486" s="12" t="s">
        <v>5779</v>
      </c>
      <c r="C1486" s="12" t="s">
        <v>1763</v>
      </c>
      <c r="D1486" s="12" t="s">
        <v>1109</v>
      </c>
      <c r="E1486" s="12" t="s">
        <v>5780</v>
      </c>
      <c r="F1486" s="13">
        <v>40</v>
      </c>
      <c r="G1486" s="12" t="s">
        <v>1111</v>
      </c>
      <c r="H1486" s="12" t="s">
        <v>38</v>
      </c>
      <c r="I1486" s="12" t="s">
        <v>242</v>
      </c>
      <c r="J1486" s="12" t="s">
        <v>243</v>
      </c>
      <c r="K1486" s="12" t="s">
        <v>244</v>
      </c>
      <c r="L1486" s="14"/>
      <c r="M1486" s="12" t="s">
        <v>43</v>
      </c>
      <c r="N1486" s="12" t="s">
        <v>84</v>
      </c>
      <c r="O1486" s="12" t="s">
        <v>5781</v>
      </c>
      <c r="P1486" s="12" t="s">
        <v>46</v>
      </c>
      <c r="Q1486" s="12" t="s">
        <v>47</v>
      </c>
      <c r="R1486" s="12" t="s">
        <v>780</v>
      </c>
      <c r="S1486" s="13">
        <v>197804437917</v>
      </c>
      <c r="T1486" s="12" t="s">
        <v>105</v>
      </c>
      <c r="U1486" s="13">
        <v>19</v>
      </c>
      <c r="V1486" s="12" t="s">
        <v>50</v>
      </c>
      <c r="W1486" s="12" t="s">
        <v>118</v>
      </c>
      <c r="X1486" s="14"/>
      <c r="Y1486" s="14"/>
      <c r="Z1486" s="14"/>
      <c r="AA1486" s="14"/>
      <c r="AB1486" s="14"/>
      <c r="AC1486" s="15">
        <v>29.55</v>
      </c>
      <c r="AD1486" s="15">
        <f>AC1486*AG1486</f>
        <v>118.2</v>
      </c>
      <c r="AE1486" s="15">
        <v>65</v>
      </c>
      <c r="AF1486" s="15">
        <f>AE1486*AG1486</f>
        <v>260</v>
      </c>
      <c r="AG1486" s="16">
        <v>4</v>
      </c>
    </row>
    <row r="1487" spans="1:33" ht="15" customHeight="1" x14ac:dyDescent="0.2">
      <c r="A1487" s="11" t="str">
        <f>HYPERLINK("https://assets.vans.eu/images/VN000D0MKCZ-HERO/1","VN000D0MKCZ1")</f>
        <v>VN000D0MKCZ1</v>
      </c>
      <c r="B1487" s="12" t="s">
        <v>5782</v>
      </c>
      <c r="C1487" s="12" t="s">
        <v>1763</v>
      </c>
      <c r="D1487" s="12" t="s">
        <v>1109</v>
      </c>
      <c r="E1487" s="12" t="s">
        <v>5783</v>
      </c>
      <c r="F1487" s="13">
        <v>70</v>
      </c>
      <c r="G1487" s="12" t="s">
        <v>1111</v>
      </c>
      <c r="H1487" s="12" t="s">
        <v>38</v>
      </c>
      <c r="I1487" s="12" t="s">
        <v>242</v>
      </c>
      <c r="J1487" s="12" t="s">
        <v>243</v>
      </c>
      <c r="K1487" s="12" t="s">
        <v>244</v>
      </c>
      <c r="L1487" s="14"/>
      <c r="M1487" s="12" t="s">
        <v>43</v>
      </c>
      <c r="N1487" s="12" t="s">
        <v>84</v>
      </c>
      <c r="O1487" s="12" t="s">
        <v>5784</v>
      </c>
      <c r="P1487" s="12" t="s">
        <v>46</v>
      </c>
      <c r="Q1487" s="12" t="s">
        <v>47</v>
      </c>
      <c r="R1487" s="12" t="s">
        <v>780</v>
      </c>
      <c r="S1487" s="13">
        <v>197804438754</v>
      </c>
      <c r="T1487" s="12" t="s">
        <v>105</v>
      </c>
      <c r="U1487" s="13">
        <v>23.5</v>
      </c>
      <c r="V1487" s="12" t="s">
        <v>50</v>
      </c>
      <c r="W1487" s="12" t="s">
        <v>118</v>
      </c>
      <c r="X1487" s="14"/>
      <c r="Y1487" s="14"/>
      <c r="Z1487" s="14"/>
      <c r="AA1487" s="14"/>
      <c r="AB1487" s="14"/>
      <c r="AC1487" s="15">
        <v>29.55</v>
      </c>
      <c r="AD1487" s="15">
        <f>AC1487*AG1487</f>
        <v>118.2</v>
      </c>
      <c r="AE1487" s="15">
        <v>65</v>
      </c>
      <c r="AF1487" s="15">
        <f>AE1487*AG1487</f>
        <v>260</v>
      </c>
      <c r="AG1487" s="16">
        <v>4</v>
      </c>
    </row>
    <row r="1488" spans="1:33" ht="15" customHeight="1" x14ac:dyDescent="0.2">
      <c r="A1488" s="11" t="str">
        <f>HYPERLINK("https://assets.vans.eu/images/VN000D0MKCZ-HERO/1","VN000D0MKCZ1")</f>
        <v>VN000D0MKCZ1</v>
      </c>
      <c r="B1488" s="12" t="s">
        <v>5785</v>
      </c>
      <c r="C1488" s="12" t="s">
        <v>1763</v>
      </c>
      <c r="D1488" s="12" t="s">
        <v>1109</v>
      </c>
      <c r="E1488" s="12" t="s">
        <v>5786</v>
      </c>
      <c r="F1488" s="13">
        <v>85</v>
      </c>
      <c r="G1488" s="12" t="s">
        <v>1111</v>
      </c>
      <c r="H1488" s="12" t="s">
        <v>38</v>
      </c>
      <c r="I1488" s="12" t="s">
        <v>242</v>
      </c>
      <c r="J1488" s="12" t="s">
        <v>243</v>
      </c>
      <c r="K1488" s="12" t="s">
        <v>244</v>
      </c>
      <c r="L1488" s="14"/>
      <c r="M1488" s="12" t="s">
        <v>43</v>
      </c>
      <c r="N1488" s="12" t="s">
        <v>84</v>
      </c>
      <c r="O1488" s="12" t="s">
        <v>5787</v>
      </c>
      <c r="P1488" s="12" t="s">
        <v>46</v>
      </c>
      <c r="Q1488" s="12" t="s">
        <v>47</v>
      </c>
      <c r="R1488" s="12" t="s">
        <v>780</v>
      </c>
      <c r="S1488" s="13">
        <v>197804439201</v>
      </c>
      <c r="T1488" s="12" t="s">
        <v>105</v>
      </c>
      <c r="U1488" s="13">
        <v>25</v>
      </c>
      <c r="V1488" s="12" t="s">
        <v>50</v>
      </c>
      <c r="W1488" s="12" t="s">
        <v>118</v>
      </c>
      <c r="X1488" s="14"/>
      <c r="Y1488" s="14"/>
      <c r="Z1488" s="14"/>
      <c r="AA1488" s="14"/>
      <c r="AB1488" s="14"/>
      <c r="AC1488" s="15">
        <v>29.55</v>
      </c>
      <c r="AD1488" s="15">
        <f>AC1488*AG1488</f>
        <v>118.2</v>
      </c>
      <c r="AE1488" s="15">
        <v>65</v>
      </c>
      <c r="AF1488" s="15">
        <f>AE1488*AG1488</f>
        <v>260</v>
      </c>
      <c r="AG1488" s="16">
        <v>4</v>
      </c>
    </row>
    <row r="1489" spans="1:33" ht="15" customHeight="1" x14ac:dyDescent="0.2">
      <c r="A1489" s="11" t="str">
        <f t="shared" ref="A1489:A2563" si="614">HYPERLINK("https://assets.vans.eu/images/VN000D0SYJ7-HERO/1","VN000D0SYJ71")</f>
        <v>VN000D0SYJ71</v>
      </c>
      <c r="B1489" s="12" t="s">
        <v>5788</v>
      </c>
      <c r="C1489" s="12" t="s">
        <v>2280</v>
      </c>
      <c r="D1489" s="12" t="s">
        <v>1300</v>
      </c>
      <c r="E1489" s="12" t="s">
        <v>5789</v>
      </c>
      <c r="F1489" s="13">
        <v>45</v>
      </c>
      <c r="G1489" s="12" t="s">
        <v>1302</v>
      </c>
      <c r="H1489" s="12" t="s">
        <v>38</v>
      </c>
      <c r="I1489" s="12" t="s">
        <v>242</v>
      </c>
      <c r="J1489" s="12" t="s">
        <v>243</v>
      </c>
      <c r="K1489" s="12" t="s">
        <v>244</v>
      </c>
      <c r="L1489" s="14"/>
      <c r="M1489" s="12" t="s">
        <v>43</v>
      </c>
      <c r="N1489" s="12" t="s">
        <v>84</v>
      </c>
      <c r="O1489" s="12" t="s">
        <v>5790</v>
      </c>
      <c r="P1489" s="12" t="s">
        <v>46</v>
      </c>
      <c r="Q1489" s="12" t="s">
        <v>47</v>
      </c>
      <c r="R1489" s="12" t="s">
        <v>48</v>
      </c>
      <c r="S1489" s="13">
        <v>197804521876</v>
      </c>
      <c r="T1489" s="12" t="s">
        <v>164</v>
      </c>
      <c r="U1489" s="13">
        <v>20</v>
      </c>
      <c r="V1489" s="12" t="s">
        <v>375</v>
      </c>
      <c r="W1489" s="12" t="s">
        <v>51</v>
      </c>
      <c r="X1489" s="14"/>
      <c r="Y1489" s="14"/>
      <c r="Z1489" s="14"/>
      <c r="AA1489" s="14"/>
      <c r="AB1489" s="14"/>
      <c r="AC1489" s="15">
        <v>22.75</v>
      </c>
      <c r="AD1489" s="15">
        <f>AC1489*AG1489</f>
        <v>91</v>
      </c>
      <c r="AE1489" s="15">
        <v>50</v>
      </c>
      <c r="AF1489" s="15">
        <f>AE1489*AG1489</f>
        <v>200</v>
      </c>
      <c r="AG1489" s="16">
        <v>4</v>
      </c>
    </row>
    <row r="1490" spans="1:33" ht="15" customHeight="1" x14ac:dyDescent="0.2">
      <c r="A1490" s="11" t="str">
        <f t="shared" si="412"/>
        <v>VN000D0SYLZ1</v>
      </c>
      <c r="B1490" s="12" t="s">
        <v>5791</v>
      </c>
      <c r="C1490" s="12" t="s">
        <v>2280</v>
      </c>
      <c r="D1490" s="12" t="s">
        <v>458</v>
      </c>
      <c r="E1490" s="12" t="s">
        <v>5792</v>
      </c>
      <c r="F1490" s="13">
        <v>75</v>
      </c>
      <c r="G1490" s="12" t="s">
        <v>775</v>
      </c>
      <c r="H1490" s="12" t="s">
        <v>38</v>
      </c>
      <c r="I1490" s="12" t="s">
        <v>242</v>
      </c>
      <c r="J1490" s="12" t="s">
        <v>243</v>
      </c>
      <c r="K1490" s="12" t="s">
        <v>244</v>
      </c>
      <c r="L1490" s="14"/>
      <c r="M1490" s="12" t="s">
        <v>43</v>
      </c>
      <c r="N1490" s="12" t="s">
        <v>84</v>
      </c>
      <c r="O1490" s="12" t="s">
        <v>5793</v>
      </c>
      <c r="P1490" s="12" t="s">
        <v>46</v>
      </c>
      <c r="Q1490" s="12" t="s">
        <v>47</v>
      </c>
      <c r="R1490" s="12" t="s">
        <v>48</v>
      </c>
      <c r="S1490" s="13">
        <v>197804522453</v>
      </c>
      <c r="T1490" s="12" t="s">
        <v>105</v>
      </c>
      <c r="U1490" s="13">
        <v>24</v>
      </c>
      <c r="V1490" s="12" t="s">
        <v>278</v>
      </c>
      <c r="W1490" s="12" t="s">
        <v>299</v>
      </c>
      <c r="X1490" s="14"/>
      <c r="Y1490" s="14"/>
      <c r="Z1490" s="14"/>
      <c r="AA1490" s="14"/>
      <c r="AB1490" s="14"/>
      <c r="AC1490" s="15">
        <v>22.75</v>
      </c>
      <c r="AD1490" s="15">
        <f>AC1490*AG1490</f>
        <v>91</v>
      </c>
      <c r="AE1490" s="15">
        <v>50</v>
      </c>
      <c r="AF1490" s="15">
        <f>AE1490*AG1490</f>
        <v>200</v>
      </c>
      <c r="AG1490" s="16">
        <v>4</v>
      </c>
    </row>
    <row r="1491" spans="1:33" ht="15" customHeight="1" x14ac:dyDescent="0.2">
      <c r="A1491" s="11" t="str">
        <f t="shared" ref="A1491:A1493" si="615">HYPERLINK("https://assets.vans.eu/images/VN000D11N1Z-HERO/1","VN000D11N1Z1")</f>
        <v>VN000D11N1Z1</v>
      </c>
      <c r="B1491" s="12" t="s">
        <v>5794</v>
      </c>
      <c r="C1491" s="12" t="s">
        <v>2136</v>
      </c>
      <c r="D1491" s="12" t="s">
        <v>1656</v>
      </c>
      <c r="E1491" s="12" t="s">
        <v>5795</v>
      </c>
      <c r="F1491" s="13">
        <v>60</v>
      </c>
      <c r="G1491" s="12" t="s">
        <v>528</v>
      </c>
      <c r="H1491" s="12" t="s">
        <v>38</v>
      </c>
      <c r="I1491" s="12" t="s">
        <v>242</v>
      </c>
      <c r="J1491" s="12" t="s">
        <v>243</v>
      </c>
      <c r="K1491" s="12" t="s">
        <v>244</v>
      </c>
      <c r="L1491" s="14"/>
      <c r="M1491" s="12" t="s">
        <v>43</v>
      </c>
      <c r="N1491" s="12" t="s">
        <v>84</v>
      </c>
      <c r="O1491" s="12" t="s">
        <v>5796</v>
      </c>
      <c r="P1491" s="12" t="s">
        <v>46</v>
      </c>
      <c r="Q1491" s="12" t="s">
        <v>47</v>
      </c>
      <c r="R1491" s="12" t="s">
        <v>313</v>
      </c>
      <c r="S1491" s="13">
        <v>197804523610</v>
      </c>
      <c r="T1491" s="12" t="s">
        <v>49</v>
      </c>
      <c r="U1491" s="13">
        <v>22</v>
      </c>
      <c r="V1491" s="12" t="s">
        <v>50</v>
      </c>
      <c r="W1491" s="12" t="s">
        <v>186</v>
      </c>
      <c r="X1491" s="14"/>
      <c r="Y1491" s="14"/>
      <c r="Z1491" s="14"/>
      <c r="AA1491" s="14"/>
      <c r="AB1491" s="14"/>
      <c r="AC1491" s="15">
        <v>27.3</v>
      </c>
      <c r="AD1491" s="15">
        <f>AC1491*AG1491</f>
        <v>109.2</v>
      </c>
      <c r="AE1491" s="15">
        <v>60</v>
      </c>
      <c r="AF1491" s="15">
        <f>AE1491*AG1491</f>
        <v>240</v>
      </c>
      <c r="AG1491" s="16">
        <v>4</v>
      </c>
    </row>
    <row r="1492" spans="1:33" ht="15" customHeight="1" x14ac:dyDescent="0.2">
      <c r="A1492" s="11" t="str">
        <f t="shared" si="615"/>
        <v>VN000D11N1Z1</v>
      </c>
      <c r="B1492" s="12" t="s">
        <v>5797</v>
      </c>
      <c r="C1492" s="12" t="s">
        <v>2136</v>
      </c>
      <c r="D1492" s="12" t="s">
        <v>1656</v>
      </c>
      <c r="E1492" s="12" t="s">
        <v>5798</v>
      </c>
      <c r="F1492" s="13">
        <v>65</v>
      </c>
      <c r="G1492" s="12" t="s">
        <v>528</v>
      </c>
      <c r="H1492" s="12" t="s">
        <v>38</v>
      </c>
      <c r="I1492" s="12" t="s">
        <v>242</v>
      </c>
      <c r="J1492" s="12" t="s">
        <v>243</v>
      </c>
      <c r="K1492" s="12" t="s">
        <v>244</v>
      </c>
      <c r="L1492" s="14"/>
      <c r="M1492" s="12" t="s">
        <v>43</v>
      </c>
      <c r="N1492" s="12" t="s">
        <v>84</v>
      </c>
      <c r="O1492" s="12" t="s">
        <v>5799</v>
      </c>
      <c r="P1492" s="12" t="s">
        <v>46</v>
      </c>
      <c r="Q1492" s="12" t="s">
        <v>47</v>
      </c>
      <c r="R1492" s="12" t="s">
        <v>313</v>
      </c>
      <c r="S1492" s="13">
        <v>197804523641</v>
      </c>
      <c r="T1492" s="12" t="s">
        <v>49</v>
      </c>
      <c r="U1492" s="13">
        <v>22.5</v>
      </c>
      <c r="V1492" s="12" t="s">
        <v>50</v>
      </c>
      <c r="W1492" s="12" t="s">
        <v>186</v>
      </c>
      <c r="X1492" s="14"/>
      <c r="Y1492" s="14"/>
      <c r="Z1492" s="14"/>
      <c r="AA1492" s="14"/>
      <c r="AB1492" s="14"/>
      <c r="AC1492" s="15">
        <v>27.3</v>
      </c>
      <c r="AD1492" s="15">
        <f>AC1492*AG1492</f>
        <v>109.2</v>
      </c>
      <c r="AE1492" s="15">
        <v>60</v>
      </c>
      <c r="AF1492" s="15">
        <f>AE1492*AG1492</f>
        <v>240</v>
      </c>
      <c r="AG1492" s="16">
        <v>4</v>
      </c>
    </row>
    <row r="1493" spans="1:33" ht="15" customHeight="1" x14ac:dyDescent="0.2">
      <c r="A1493" s="11" t="str">
        <f t="shared" si="615"/>
        <v>VN000D11N1Z1</v>
      </c>
      <c r="B1493" s="12" t="s">
        <v>5800</v>
      </c>
      <c r="C1493" s="12" t="s">
        <v>2136</v>
      </c>
      <c r="D1493" s="12" t="s">
        <v>1656</v>
      </c>
      <c r="E1493" s="12" t="s">
        <v>5801</v>
      </c>
      <c r="F1493" s="13">
        <v>100</v>
      </c>
      <c r="G1493" s="12" t="s">
        <v>528</v>
      </c>
      <c r="H1493" s="12" t="s">
        <v>38</v>
      </c>
      <c r="I1493" s="12" t="s">
        <v>242</v>
      </c>
      <c r="J1493" s="12" t="s">
        <v>243</v>
      </c>
      <c r="K1493" s="12" t="s">
        <v>244</v>
      </c>
      <c r="L1493" s="14"/>
      <c r="M1493" s="12" t="s">
        <v>43</v>
      </c>
      <c r="N1493" s="12" t="s">
        <v>84</v>
      </c>
      <c r="O1493" s="12" t="s">
        <v>5802</v>
      </c>
      <c r="P1493" s="12" t="s">
        <v>46</v>
      </c>
      <c r="Q1493" s="12" t="s">
        <v>47</v>
      </c>
      <c r="R1493" s="12" t="s">
        <v>313</v>
      </c>
      <c r="S1493" s="13">
        <v>197804524334</v>
      </c>
      <c r="T1493" s="12" t="s">
        <v>49</v>
      </c>
      <c r="U1493" s="13">
        <v>26.5</v>
      </c>
      <c r="V1493" s="12" t="s">
        <v>50</v>
      </c>
      <c r="W1493" s="12" t="s">
        <v>186</v>
      </c>
      <c r="X1493" s="14"/>
      <c r="Y1493" s="14"/>
      <c r="Z1493" s="14"/>
      <c r="AA1493" s="14"/>
      <c r="AB1493" s="14"/>
      <c r="AC1493" s="15">
        <v>27.3</v>
      </c>
      <c r="AD1493" s="15">
        <f>AC1493*AG1493</f>
        <v>109.2</v>
      </c>
      <c r="AE1493" s="15">
        <v>60</v>
      </c>
      <c r="AF1493" s="15">
        <f>AE1493*AG1493</f>
        <v>240</v>
      </c>
      <c r="AG1493" s="16">
        <v>4</v>
      </c>
    </row>
    <row r="1494" spans="1:33" ht="15" customHeight="1" x14ac:dyDescent="0.2">
      <c r="A1494" s="11" t="str">
        <f>HYPERLINK("https://assets.vans.eu/images/VN000D1HWWW-HERO/1","VN000D1HWWW1")</f>
        <v>VN000D1HWWW1</v>
      </c>
      <c r="B1494" s="12" t="s">
        <v>5803</v>
      </c>
      <c r="C1494" s="12" t="s">
        <v>1614</v>
      </c>
      <c r="D1494" s="12" t="s">
        <v>2588</v>
      </c>
      <c r="E1494" s="12" t="s">
        <v>5804</v>
      </c>
      <c r="F1494" s="13">
        <v>50</v>
      </c>
      <c r="G1494" s="14"/>
      <c r="H1494" s="12" t="s">
        <v>38</v>
      </c>
      <c r="I1494" s="12" t="s">
        <v>113</v>
      </c>
      <c r="J1494" s="12" t="s">
        <v>529</v>
      </c>
      <c r="K1494" s="12" t="s">
        <v>82</v>
      </c>
      <c r="L1494" s="14"/>
      <c r="M1494" s="12" t="s">
        <v>43</v>
      </c>
      <c r="N1494" s="12" t="s">
        <v>84</v>
      </c>
      <c r="O1494" s="12" t="s">
        <v>5805</v>
      </c>
      <c r="P1494" s="12" t="s">
        <v>46</v>
      </c>
      <c r="Q1494" s="12" t="s">
        <v>47</v>
      </c>
      <c r="R1494" s="12" t="s">
        <v>117</v>
      </c>
      <c r="S1494" s="13">
        <v>197065690052</v>
      </c>
      <c r="T1494" s="12" t="s">
        <v>49</v>
      </c>
      <c r="U1494" s="13">
        <v>36.5</v>
      </c>
      <c r="V1494" s="12" t="s">
        <v>50</v>
      </c>
      <c r="W1494" s="12" t="s">
        <v>175</v>
      </c>
      <c r="X1494" s="14"/>
      <c r="Y1494" s="12" t="s">
        <v>53</v>
      </c>
      <c r="Z1494" s="12" t="s">
        <v>263</v>
      </c>
      <c r="AA1494" s="14"/>
      <c r="AB1494" s="14"/>
      <c r="AC1494" s="15">
        <v>52.3</v>
      </c>
      <c r="AD1494" s="15">
        <f>AC1494*AG1494</f>
        <v>209.2</v>
      </c>
      <c r="AE1494" s="15">
        <v>115</v>
      </c>
      <c r="AF1494" s="15">
        <f>AE1494*AG1494</f>
        <v>460</v>
      </c>
      <c r="AG1494" s="16">
        <v>4</v>
      </c>
    </row>
    <row r="1495" spans="1:33" ht="15" customHeight="1" x14ac:dyDescent="0.2">
      <c r="A1495" s="11" t="str">
        <f t="shared" ref="A1495:A4097" si="616">HYPERLINK("https://assets.vans.eu/images/VN000D1J4VT-HERO/1","VN000D1J4VT1")</f>
        <v>VN000D1J4VT1</v>
      </c>
      <c r="B1495" s="12" t="s">
        <v>5806</v>
      </c>
      <c r="C1495" s="12" t="s">
        <v>251</v>
      </c>
      <c r="D1495" s="12" t="s">
        <v>5807</v>
      </c>
      <c r="E1495" s="12" t="s">
        <v>5808</v>
      </c>
      <c r="F1495" s="13">
        <v>70</v>
      </c>
      <c r="G1495" s="14"/>
      <c r="H1495" s="12" t="s">
        <v>38</v>
      </c>
      <c r="I1495" s="12" t="s">
        <v>159</v>
      </c>
      <c r="J1495" s="12" t="s">
        <v>255</v>
      </c>
      <c r="K1495" s="12" t="s">
        <v>82</v>
      </c>
      <c r="L1495" s="12" t="s">
        <v>260</v>
      </c>
      <c r="M1495" s="12" t="s">
        <v>43</v>
      </c>
      <c r="N1495" s="12" t="s">
        <v>84</v>
      </c>
      <c r="O1495" s="12" t="s">
        <v>5809</v>
      </c>
      <c r="P1495" s="12" t="s">
        <v>46</v>
      </c>
      <c r="Q1495" s="12" t="s">
        <v>47</v>
      </c>
      <c r="R1495" s="12" t="s">
        <v>163</v>
      </c>
      <c r="S1495" s="13">
        <v>197804836277</v>
      </c>
      <c r="T1495" s="12" t="s">
        <v>49</v>
      </c>
      <c r="U1495" s="13">
        <v>39</v>
      </c>
      <c r="V1495" s="12" t="s">
        <v>50</v>
      </c>
      <c r="W1495" s="12" t="s">
        <v>51</v>
      </c>
      <c r="X1495" s="14"/>
      <c r="Y1495" s="14"/>
      <c r="Z1495" s="14"/>
      <c r="AA1495" s="14"/>
      <c r="AB1495" s="14"/>
      <c r="AC1495" s="15">
        <v>50</v>
      </c>
      <c r="AD1495" s="15">
        <f>AC1495*AG1495</f>
        <v>200</v>
      </c>
      <c r="AE1495" s="15">
        <v>110</v>
      </c>
      <c r="AF1495" s="15">
        <f>AE1495*AG1495</f>
        <v>440</v>
      </c>
      <c r="AG1495" s="16">
        <v>4</v>
      </c>
    </row>
    <row r="1496" spans="1:33" ht="15" customHeight="1" x14ac:dyDescent="0.2">
      <c r="A1496" s="11" t="str">
        <f>HYPERLINK("https://assets.vans.eu/images/VN000D1JBO9-HERO/1","VN000D1JBO91")</f>
        <v>VN000D1JBO91</v>
      </c>
      <c r="B1496" s="12" t="s">
        <v>5810</v>
      </c>
      <c r="C1496" s="12" t="s">
        <v>251</v>
      </c>
      <c r="D1496" s="12" t="s">
        <v>3014</v>
      </c>
      <c r="E1496" s="12" t="s">
        <v>5811</v>
      </c>
      <c r="F1496" s="13">
        <v>120</v>
      </c>
      <c r="G1496" s="14"/>
      <c r="H1496" s="12" t="s">
        <v>38</v>
      </c>
      <c r="I1496" s="12" t="s">
        <v>113</v>
      </c>
      <c r="J1496" s="12" t="s">
        <v>529</v>
      </c>
      <c r="K1496" s="12" t="s">
        <v>82</v>
      </c>
      <c r="L1496" s="12" t="s">
        <v>260</v>
      </c>
      <c r="M1496" s="12" t="s">
        <v>43</v>
      </c>
      <c r="N1496" s="12" t="s">
        <v>84</v>
      </c>
      <c r="O1496" s="12" t="s">
        <v>5812</v>
      </c>
      <c r="P1496" s="12" t="s">
        <v>46</v>
      </c>
      <c r="Q1496" s="12" t="s">
        <v>47</v>
      </c>
      <c r="R1496" s="12" t="s">
        <v>117</v>
      </c>
      <c r="S1496" s="13">
        <v>197804838172</v>
      </c>
      <c r="T1496" s="12" t="s">
        <v>49</v>
      </c>
      <c r="U1496" s="13">
        <v>46</v>
      </c>
      <c r="V1496" s="12" t="s">
        <v>50</v>
      </c>
      <c r="W1496" s="12" t="s">
        <v>299</v>
      </c>
      <c r="X1496" s="14"/>
      <c r="Y1496" s="14"/>
      <c r="Z1496" s="14"/>
      <c r="AA1496" s="14"/>
      <c r="AB1496" s="14"/>
      <c r="AC1496" s="15">
        <v>50</v>
      </c>
      <c r="AD1496" s="15">
        <f>AC1496*AG1496</f>
        <v>200</v>
      </c>
      <c r="AE1496" s="15">
        <v>110</v>
      </c>
      <c r="AF1496" s="15">
        <f>AE1496*AG1496</f>
        <v>440</v>
      </c>
      <c r="AG1496" s="16">
        <v>4</v>
      </c>
    </row>
    <row r="1497" spans="1:33" ht="15" customHeight="1" x14ac:dyDescent="0.2">
      <c r="A1497" s="11" t="str">
        <f t="shared" si="529"/>
        <v>VN000D1JOVM1</v>
      </c>
      <c r="B1497" s="12" t="s">
        <v>5813</v>
      </c>
      <c r="C1497" s="12" t="s">
        <v>251</v>
      </c>
      <c r="D1497" s="12" t="s">
        <v>4982</v>
      </c>
      <c r="E1497" s="12" t="s">
        <v>5814</v>
      </c>
      <c r="F1497" s="13">
        <v>50</v>
      </c>
      <c r="G1497" s="12" t="s">
        <v>1111</v>
      </c>
      <c r="H1497" s="12" t="s">
        <v>38</v>
      </c>
      <c r="I1497" s="12" t="s">
        <v>113</v>
      </c>
      <c r="J1497" s="12" t="s">
        <v>529</v>
      </c>
      <c r="K1497" s="12" t="s">
        <v>82</v>
      </c>
      <c r="L1497" s="14"/>
      <c r="M1497" s="12" t="s">
        <v>43</v>
      </c>
      <c r="N1497" s="12" t="s">
        <v>84</v>
      </c>
      <c r="O1497" s="12" t="s">
        <v>5815</v>
      </c>
      <c r="P1497" s="12" t="s">
        <v>46</v>
      </c>
      <c r="Q1497" s="12" t="s">
        <v>47</v>
      </c>
      <c r="R1497" s="12" t="s">
        <v>117</v>
      </c>
      <c r="S1497" s="13">
        <v>197804439782</v>
      </c>
      <c r="T1497" s="12" t="s">
        <v>49</v>
      </c>
      <c r="U1497" s="13">
        <v>36.5</v>
      </c>
      <c r="V1497" s="12" t="s">
        <v>50</v>
      </c>
      <c r="W1497" s="12" t="s">
        <v>175</v>
      </c>
      <c r="X1497" s="14"/>
      <c r="Y1497" s="14"/>
      <c r="Z1497" s="14"/>
      <c r="AA1497" s="14"/>
      <c r="AB1497" s="14"/>
      <c r="AC1497" s="15">
        <v>50</v>
      </c>
      <c r="AD1497" s="15">
        <f>AC1497*AG1497</f>
        <v>200</v>
      </c>
      <c r="AE1497" s="15">
        <v>110</v>
      </c>
      <c r="AF1497" s="15">
        <f>AE1497*AG1497</f>
        <v>440</v>
      </c>
      <c r="AG1497" s="16">
        <v>4</v>
      </c>
    </row>
    <row r="1498" spans="1:33" ht="15" customHeight="1" x14ac:dyDescent="0.2">
      <c r="A1498" s="11" t="str">
        <f t="shared" si="529"/>
        <v>VN000D1JOVM1</v>
      </c>
      <c r="B1498" s="12" t="s">
        <v>5816</v>
      </c>
      <c r="C1498" s="12" t="s">
        <v>251</v>
      </c>
      <c r="D1498" s="12" t="s">
        <v>4982</v>
      </c>
      <c r="E1498" s="12" t="s">
        <v>5817</v>
      </c>
      <c r="F1498" s="13">
        <v>130</v>
      </c>
      <c r="G1498" s="12" t="s">
        <v>1111</v>
      </c>
      <c r="H1498" s="12" t="s">
        <v>38</v>
      </c>
      <c r="I1498" s="12" t="s">
        <v>113</v>
      </c>
      <c r="J1498" s="12" t="s">
        <v>529</v>
      </c>
      <c r="K1498" s="12" t="s">
        <v>82</v>
      </c>
      <c r="L1498" s="14"/>
      <c r="M1498" s="12" t="s">
        <v>43</v>
      </c>
      <c r="N1498" s="12" t="s">
        <v>84</v>
      </c>
      <c r="O1498" s="12" t="s">
        <v>5818</v>
      </c>
      <c r="P1498" s="12" t="s">
        <v>46</v>
      </c>
      <c r="Q1498" s="12" t="s">
        <v>47</v>
      </c>
      <c r="R1498" s="12" t="s">
        <v>117</v>
      </c>
      <c r="S1498" s="13">
        <v>197804440948</v>
      </c>
      <c r="T1498" s="12" t="s">
        <v>49</v>
      </c>
      <c r="U1498" s="13">
        <v>47</v>
      </c>
      <c r="V1498" s="12" t="s">
        <v>50</v>
      </c>
      <c r="W1498" s="12" t="s">
        <v>175</v>
      </c>
      <c r="X1498" s="14"/>
      <c r="Y1498" s="14"/>
      <c r="Z1498" s="14"/>
      <c r="AA1498" s="14"/>
      <c r="AB1498" s="14"/>
      <c r="AC1498" s="15">
        <v>50</v>
      </c>
      <c r="AD1498" s="15">
        <f>AC1498*AG1498</f>
        <v>200</v>
      </c>
      <c r="AE1498" s="15">
        <v>110</v>
      </c>
      <c r="AF1498" s="15">
        <f>AE1498*AG1498</f>
        <v>440</v>
      </c>
      <c r="AG1498" s="16">
        <v>4</v>
      </c>
    </row>
    <row r="1499" spans="1:33" ht="15" customHeight="1" x14ac:dyDescent="0.2">
      <c r="A1499" s="11" t="str">
        <f t="shared" si="340"/>
        <v>VN000D1PDJR1</v>
      </c>
      <c r="B1499" s="12" t="s">
        <v>5819</v>
      </c>
      <c r="C1499" s="12" t="s">
        <v>1458</v>
      </c>
      <c r="D1499" s="12" t="s">
        <v>2829</v>
      </c>
      <c r="E1499" s="12" t="s">
        <v>5820</v>
      </c>
      <c r="F1499" s="13">
        <v>80</v>
      </c>
      <c r="G1499" s="14"/>
      <c r="H1499" s="12" t="s">
        <v>38</v>
      </c>
      <c r="I1499" s="12" t="s">
        <v>113</v>
      </c>
      <c r="J1499" s="12" t="s">
        <v>529</v>
      </c>
      <c r="K1499" s="12" t="s">
        <v>82</v>
      </c>
      <c r="L1499" s="14"/>
      <c r="M1499" s="12" t="s">
        <v>43</v>
      </c>
      <c r="N1499" s="12" t="s">
        <v>44</v>
      </c>
      <c r="O1499" s="12" t="s">
        <v>5821</v>
      </c>
      <c r="P1499" s="12" t="s">
        <v>46</v>
      </c>
      <c r="Q1499" s="12" t="s">
        <v>47</v>
      </c>
      <c r="R1499" s="12" t="s">
        <v>117</v>
      </c>
      <c r="S1499" s="13">
        <v>197643267867</v>
      </c>
      <c r="T1499" s="12" t="s">
        <v>105</v>
      </c>
      <c r="U1499" s="13">
        <v>40.5</v>
      </c>
      <c r="V1499" s="12" t="s">
        <v>50</v>
      </c>
      <c r="W1499" s="12" t="s">
        <v>175</v>
      </c>
      <c r="X1499" s="14"/>
      <c r="Y1499" s="12" t="s">
        <v>53</v>
      </c>
      <c r="Z1499" s="12" t="s">
        <v>1462</v>
      </c>
      <c r="AA1499" s="14"/>
      <c r="AB1499" s="14"/>
      <c r="AC1499" s="15">
        <v>43.2</v>
      </c>
      <c r="AD1499" s="15">
        <f>AC1499*AG1499</f>
        <v>172.8</v>
      </c>
      <c r="AE1499" s="15">
        <v>95</v>
      </c>
      <c r="AF1499" s="15">
        <f>AE1499*AG1499</f>
        <v>380</v>
      </c>
      <c r="AG1499" s="16">
        <v>4</v>
      </c>
    </row>
    <row r="1500" spans="1:33" ht="15" customHeight="1" x14ac:dyDescent="0.2">
      <c r="A1500" s="11" t="str">
        <f t="shared" ref="A1500:A2599" si="617">HYPERLINK("https://assets.vans.eu/images/VN000D26DFN-HERO/1","VN000D26DFN1")</f>
        <v>VN000D26DFN1</v>
      </c>
      <c r="B1500" s="12" t="s">
        <v>5822</v>
      </c>
      <c r="C1500" s="12" t="s">
        <v>251</v>
      </c>
      <c r="D1500" s="12" t="s">
        <v>5823</v>
      </c>
      <c r="E1500" s="12" t="s">
        <v>5824</v>
      </c>
      <c r="F1500" s="13">
        <v>65</v>
      </c>
      <c r="G1500" s="12" t="s">
        <v>2814</v>
      </c>
      <c r="H1500" s="12" t="s">
        <v>38</v>
      </c>
      <c r="I1500" s="12" t="s">
        <v>159</v>
      </c>
      <c r="J1500" s="12" t="s">
        <v>255</v>
      </c>
      <c r="K1500" s="12" t="s">
        <v>82</v>
      </c>
      <c r="L1500" s="14"/>
      <c r="M1500" s="12" t="s">
        <v>43</v>
      </c>
      <c r="N1500" s="12" t="s">
        <v>84</v>
      </c>
      <c r="O1500" s="12" t="s">
        <v>5825</v>
      </c>
      <c r="P1500" s="12" t="s">
        <v>46</v>
      </c>
      <c r="Q1500" s="12" t="s">
        <v>47</v>
      </c>
      <c r="R1500" s="12" t="s">
        <v>163</v>
      </c>
      <c r="S1500" s="13">
        <v>197804443697</v>
      </c>
      <c r="T1500" s="12" t="s">
        <v>49</v>
      </c>
      <c r="U1500" s="13">
        <v>38.5</v>
      </c>
      <c r="V1500" s="12" t="s">
        <v>50</v>
      </c>
      <c r="W1500" s="12" t="s">
        <v>186</v>
      </c>
      <c r="X1500" s="14"/>
      <c r="Y1500" s="14"/>
      <c r="Z1500" s="14"/>
      <c r="AA1500" s="14"/>
      <c r="AB1500" s="14"/>
      <c r="AC1500" s="15">
        <v>45.5</v>
      </c>
      <c r="AD1500" s="15">
        <f>AC1500*AG1500</f>
        <v>182</v>
      </c>
      <c r="AE1500" s="15">
        <v>100</v>
      </c>
      <c r="AF1500" s="15">
        <f>AE1500*AG1500</f>
        <v>400</v>
      </c>
      <c r="AG1500" s="16">
        <v>4</v>
      </c>
    </row>
    <row r="1501" spans="1:33" ht="15" customHeight="1" x14ac:dyDescent="0.2">
      <c r="A1501" s="11" t="str">
        <f>HYPERLINK("https://assets.vans.eu/images/VN000D26EWR-HERO/1","VN000D26EWR1")</f>
        <v>VN000D26EWR1</v>
      </c>
      <c r="B1501" s="12" t="s">
        <v>5826</v>
      </c>
      <c r="C1501" s="12" t="s">
        <v>251</v>
      </c>
      <c r="D1501" s="12" t="s">
        <v>549</v>
      </c>
      <c r="E1501" s="12" t="s">
        <v>5827</v>
      </c>
      <c r="F1501" s="13">
        <v>35</v>
      </c>
      <c r="G1501" s="12" t="s">
        <v>551</v>
      </c>
      <c r="H1501" s="12" t="s">
        <v>38</v>
      </c>
      <c r="I1501" s="12" t="s">
        <v>159</v>
      </c>
      <c r="J1501" s="12" t="s">
        <v>255</v>
      </c>
      <c r="K1501" s="12" t="s">
        <v>82</v>
      </c>
      <c r="L1501" s="14"/>
      <c r="M1501" s="12" t="s">
        <v>43</v>
      </c>
      <c r="N1501" s="12" t="s">
        <v>84</v>
      </c>
      <c r="O1501" s="12" t="s">
        <v>5828</v>
      </c>
      <c r="P1501" s="12" t="s">
        <v>46</v>
      </c>
      <c r="Q1501" s="12" t="s">
        <v>47</v>
      </c>
      <c r="R1501" s="12" t="s">
        <v>163</v>
      </c>
      <c r="S1501" s="13">
        <v>197804443499</v>
      </c>
      <c r="T1501" s="12" t="s">
        <v>49</v>
      </c>
      <c r="U1501" s="13">
        <v>34.5</v>
      </c>
      <c r="V1501" s="12" t="s">
        <v>50</v>
      </c>
      <c r="W1501" s="12" t="s">
        <v>455</v>
      </c>
      <c r="X1501" s="14"/>
      <c r="Y1501" s="14"/>
      <c r="Z1501" s="14"/>
      <c r="AA1501" s="14"/>
      <c r="AB1501" s="14"/>
      <c r="AC1501" s="15">
        <v>45.5</v>
      </c>
      <c r="AD1501" s="15">
        <f>AC1501*AG1501</f>
        <v>182</v>
      </c>
      <c r="AE1501" s="15">
        <v>100</v>
      </c>
      <c r="AF1501" s="15">
        <f>AE1501*AG1501</f>
        <v>400</v>
      </c>
      <c r="AG1501" s="16">
        <v>4</v>
      </c>
    </row>
    <row r="1502" spans="1:33" ht="15" customHeight="1" x14ac:dyDescent="0.2">
      <c r="A1502" s="11" t="str">
        <f t="shared" ref="A1502:A1881" si="618">HYPERLINK("https://assets.vans.eu/images/VN000D26GWT-HERO/1","VN000D26GWT1")</f>
        <v>VN000D26GWT1</v>
      </c>
      <c r="B1502" s="12" t="s">
        <v>5829</v>
      </c>
      <c r="C1502" s="12" t="s">
        <v>251</v>
      </c>
      <c r="D1502" s="12" t="s">
        <v>2812</v>
      </c>
      <c r="E1502" s="12" t="s">
        <v>5830</v>
      </c>
      <c r="F1502" s="13">
        <v>40</v>
      </c>
      <c r="G1502" s="12" t="s">
        <v>2291</v>
      </c>
      <c r="H1502" s="12" t="s">
        <v>38</v>
      </c>
      <c r="I1502" s="12" t="s">
        <v>159</v>
      </c>
      <c r="J1502" s="12" t="s">
        <v>255</v>
      </c>
      <c r="K1502" s="12" t="s">
        <v>82</v>
      </c>
      <c r="L1502" s="14"/>
      <c r="M1502" s="12" t="s">
        <v>43</v>
      </c>
      <c r="N1502" s="12" t="s">
        <v>84</v>
      </c>
      <c r="O1502" s="12" t="s">
        <v>5831</v>
      </c>
      <c r="P1502" s="12" t="s">
        <v>46</v>
      </c>
      <c r="Q1502" s="12" t="s">
        <v>47</v>
      </c>
      <c r="R1502" s="12" t="s">
        <v>163</v>
      </c>
      <c r="S1502" s="13">
        <v>197804444281</v>
      </c>
      <c r="T1502" s="12" t="s">
        <v>49</v>
      </c>
      <c r="U1502" s="13">
        <v>35</v>
      </c>
      <c r="V1502" s="12" t="s">
        <v>50</v>
      </c>
      <c r="W1502" s="12" t="s">
        <v>186</v>
      </c>
      <c r="X1502" s="14"/>
      <c r="Y1502" s="14"/>
      <c r="Z1502" s="14"/>
      <c r="AA1502" s="14"/>
      <c r="AB1502" s="14"/>
      <c r="AC1502" s="15">
        <v>45.5</v>
      </c>
      <c r="AD1502" s="15">
        <f>AC1502*AG1502</f>
        <v>182</v>
      </c>
      <c r="AE1502" s="15">
        <v>100</v>
      </c>
      <c r="AF1502" s="15">
        <f>AE1502*AG1502</f>
        <v>400</v>
      </c>
      <c r="AG1502" s="16">
        <v>4</v>
      </c>
    </row>
    <row r="1503" spans="1:33" ht="15" customHeight="1" x14ac:dyDescent="0.2">
      <c r="A1503" s="11" t="str">
        <f t="shared" ref="A1503:A4220" si="619">HYPERLINK("https://assets.vans.eu/images/VN000D2YBKA-HERO/1","VN000D2YBKA1")</f>
        <v>VN000D2YBKA1</v>
      </c>
      <c r="B1503" s="12" t="s">
        <v>5832</v>
      </c>
      <c r="C1503" s="12" t="s">
        <v>5833</v>
      </c>
      <c r="D1503" s="12" t="s">
        <v>252</v>
      </c>
      <c r="E1503" s="12" t="s">
        <v>5834</v>
      </c>
      <c r="F1503" s="13">
        <v>50</v>
      </c>
      <c r="G1503" s="14"/>
      <c r="H1503" s="12" t="s">
        <v>38</v>
      </c>
      <c r="I1503" s="12" t="s">
        <v>205</v>
      </c>
      <c r="J1503" s="12" t="s">
        <v>206</v>
      </c>
      <c r="K1503" s="12" t="s">
        <v>207</v>
      </c>
      <c r="L1503" s="14"/>
      <c r="M1503" s="12" t="s">
        <v>43</v>
      </c>
      <c r="N1503" s="12" t="s">
        <v>84</v>
      </c>
      <c r="O1503" s="12" t="s">
        <v>5835</v>
      </c>
      <c r="P1503" s="12" t="s">
        <v>46</v>
      </c>
      <c r="Q1503" s="12" t="s">
        <v>47</v>
      </c>
      <c r="R1503" s="12" t="s">
        <v>313</v>
      </c>
      <c r="S1503" s="13">
        <v>197804527823</v>
      </c>
      <c r="T1503" s="12" t="s">
        <v>105</v>
      </c>
      <c r="U1503" s="13">
        <v>36.5</v>
      </c>
      <c r="V1503" s="12" t="s">
        <v>50</v>
      </c>
      <c r="W1503" s="12" t="s">
        <v>51</v>
      </c>
      <c r="X1503" s="14"/>
      <c r="Y1503" s="14"/>
      <c r="Z1503" s="14"/>
      <c r="AA1503" s="14"/>
      <c r="AB1503" s="14"/>
      <c r="AC1503" s="15">
        <v>31.85</v>
      </c>
      <c r="AD1503" s="15">
        <f>AC1503*AG1503</f>
        <v>127.4</v>
      </c>
      <c r="AE1503" s="15">
        <v>70</v>
      </c>
      <c r="AF1503" s="15">
        <f>AE1503*AG1503</f>
        <v>280</v>
      </c>
      <c r="AG1503" s="16">
        <v>4</v>
      </c>
    </row>
    <row r="1504" spans="1:33" ht="15" customHeight="1" x14ac:dyDescent="0.2">
      <c r="A1504" s="11" t="str">
        <f t="shared" ref="A1504:A4221" si="620">HYPERLINK("https://assets.vans.eu/images/VN000D3212S-HERO/1","VN000D3212S1")</f>
        <v>VN000D3212S1</v>
      </c>
      <c r="B1504" s="12" t="s">
        <v>5836</v>
      </c>
      <c r="C1504" s="12" t="s">
        <v>309</v>
      </c>
      <c r="D1504" s="12" t="s">
        <v>5837</v>
      </c>
      <c r="E1504" s="12" t="s">
        <v>5838</v>
      </c>
      <c r="F1504" s="13">
        <v>50</v>
      </c>
      <c r="G1504" s="12" t="s">
        <v>5839</v>
      </c>
      <c r="H1504" s="12" t="s">
        <v>38</v>
      </c>
      <c r="I1504" s="12" t="s">
        <v>159</v>
      </c>
      <c r="J1504" s="12" t="s">
        <v>160</v>
      </c>
      <c r="K1504" s="12" t="s">
        <v>82</v>
      </c>
      <c r="L1504" s="14"/>
      <c r="M1504" s="12" t="s">
        <v>43</v>
      </c>
      <c r="N1504" s="12" t="s">
        <v>44</v>
      </c>
      <c r="O1504" s="12" t="s">
        <v>5840</v>
      </c>
      <c r="P1504" s="12" t="s">
        <v>46</v>
      </c>
      <c r="Q1504" s="12" t="s">
        <v>47</v>
      </c>
      <c r="R1504" s="12" t="s">
        <v>1660</v>
      </c>
      <c r="S1504" s="13">
        <v>197643269656</v>
      </c>
      <c r="T1504" s="12" t="s">
        <v>105</v>
      </c>
      <c r="U1504" s="13">
        <v>36.5</v>
      </c>
      <c r="V1504" s="12" t="s">
        <v>50</v>
      </c>
      <c r="W1504" s="12" t="s">
        <v>284</v>
      </c>
      <c r="X1504" s="14"/>
      <c r="Y1504" s="12" t="s">
        <v>53</v>
      </c>
      <c r="Z1504" s="12" t="s">
        <v>2600</v>
      </c>
      <c r="AA1504" s="14"/>
      <c r="AB1504" s="14"/>
      <c r="AC1504" s="15">
        <v>50</v>
      </c>
      <c r="AD1504" s="15">
        <f>AC1504*AG1504</f>
        <v>200</v>
      </c>
      <c r="AE1504" s="15">
        <v>110</v>
      </c>
      <c r="AF1504" s="15">
        <f>AE1504*AG1504</f>
        <v>440</v>
      </c>
      <c r="AG1504" s="16">
        <v>4</v>
      </c>
    </row>
    <row r="1505" spans="1:33" ht="15" customHeight="1" x14ac:dyDescent="0.2">
      <c r="A1505" s="11" t="str">
        <f t="shared" ref="A1505:A1506" si="621">HYPERLINK("https://assets.vans.eu/images/VN000D4MKCZ-HERO/1","VN000D4MKCZ1")</f>
        <v>VN000D4MKCZ1</v>
      </c>
      <c r="B1505" s="12" t="s">
        <v>5841</v>
      </c>
      <c r="C1505" s="12" t="s">
        <v>1608</v>
      </c>
      <c r="D1505" s="12" t="s">
        <v>1109</v>
      </c>
      <c r="E1505" s="12" t="s">
        <v>5842</v>
      </c>
      <c r="F1505" s="13">
        <v>45</v>
      </c>
      <c r="G1505" s="14"/>
      <c r="H1505" s="12" t="s">
        <v>38</v>
      </c>
      <c r="I1505" s="12" t="s">
        <v>242</v>
      </c>
      <c r="J1505" s="12" t="s">
        <v>1611</v>
      </c>
      <c r="K1505" s="12" t="s">
        <v>244</v>
      </c>
      <c r="L1505" s="14"/>
      <c r="M1505" s="12" t="s">
        <v>43</v>
      </c>
      <c r="N1505" s="12" t="s">
        <v>84</v>
      </c>
      <c r="O1505" s="12" t="s">
        <v>5843</v>
      </c>
      <c r="P1505" s="12" t="s">
        <v>46</v>
      </c>
      <c r="Q1505" s="12" t="s">
        <v>47</v>
      </c>
      <c r="R1505" s="12" t="s">
        <v>48</v>
      </c>
      <c r="S1505" s="13">
        <v>197804448470</v>
      </c>
      <c r="T1505" s="12" t="s">
        <v>49</v>
      </c>
      <c r="U1505" s="13">
        <v>20</v>
      </c>
      <c r="V1505" s="12" t="s">
        <v>1468</v>
      </c>
      <c r="W1505" s="12" t="s">
        <v>118</v>
      </c>
      <c r="X1505" s="14"/>
      <c r="Y1505" s="14"/>
      <c r="Z1505" s="14"/>
      <c r="AA1505" s="14"/>
      <c r="AB1505" s="14"/>
      <c r="AC1505" s="15">
        <v>25</v>
      </c>
      <c r="AD1505" s="15">
        <f>AC1505*AG1505</f>
        <v>100</v>
      </c>
      <c r="AE1505" s="15">
        <v>55</v>
      </c>
      <c r="AF1505" s="15">
        <f>AE1505*AG1505</f>
        <v>220</v>
      </c>
      <c r="AG1505" s="16">
        <v>4</v>
      </c>
    </row>
    <row r="1506" spans="1:33" ht="15" customHeight="1" x14ac:dyDescent="0.2">
      <c r="A1506" s="11" t="str">
        <f t="shared" si="621"/>
        <v>VN000D4MKCZ1</v>
      </c>
      <c r="B1506" s="12" t="s">
        <v>5844</v>
      </c>
      <c r="C1506" s="12" t="s">
        <v>1608</v>
      </c>
      <c r="D1506" s="12" t="s">
        <v>1109</v>
      </c>
      <c r="E1506" s="12" t="s">
        <v>5845</v>
      </c>
      <c r="F1506" s="13">
        <v>50</v>
      </c>
      <c r="G1506" s="14"/>
      <c r="H1506" s="12" t="s">
        <v>38</v>
      </c>
      <c r="I1506" s="12" t="s">
        <v>242</v>
      </c>
      <c r="J1506" s="12" t="s">
        <v>1611</v>
      </c>
      <c r="K1506" s="12" t="s">
        <v>244</v>
      </c>
      <c r="L1506" s="14"/>
      <c r="M1506" s="12" t="s">
        <v>43</v>
      </c>
      <c r="N1506" s="12" t="s">
        <v>84</v>
      </c>
      <c r="O1506" s="12" t="s">
        <v>5846</v>
      </c>
      <c r="P1506" s="12" t="s">
        <v>46</v>
      </c>
      <c r="Q1506" s="12" t="s">
        <v>47</v>
      </c>
      <c r="R1506" s="12" t="s">
        <v>48</v>
      </c>
      <c r="S1506" s="13">
        <v>197804448715</v>
      </c>
      <c r="T1506" s="12" t="s">
        <v>49</v>
      </c>
      <c r="U1506" s="13">
        <v>21</v>
      </c>
      <c r="V1506" s="12" t="s">
        <v>1468</v>
      </c>
      <c r="W1506" s="12" t="s">
        <v>118</v>
      </c>
      <c r="X1506" s="14"/>
      <c r="Y1506" s="14"/>
      <c r="Z1506" s="14"/>
      <c r="AA1506" s="14"/>
      <c r="AB1506" s="14"/>
      <c r="AC1506" s="15">
        <v>25</v>
      </c>
      <c r="AD1506" s="15">
        <f>AC1506*AG1506</f>
        <v>100</v>
      </c>
      <c r="AE1506" s="15">
        <v>55</v>
      </c>
      <c r="AF1506" s="15">
        <f>AE1506*AG1506</f>
        <v>220</v>
      </c>
      <c r="AG1506" s="16">
        <v>4</v>
      </c>
    </row>
    <row r="1507" spans="1:33" ht="15" customHeight="1" x14ac:dyDescent="0.2">
      <c r="A1507" s="11" t="str">
        <f t="shared" ref="A1507:A1509" si="622">HYPERLINK("https://assets.vans.eu/images/VN000D4NDJR-HERO/1","VN000D4NDJR1")</f>
        <v>VN000D4NDJR1</v>
      </c>
      <c r="B1507" s="12" t="s">
        <v>5847</v>
      </c>
      <c r="C1507" s="12" t="s">
        <v>251</v>
      </c>
      <c r="D1507" s="12" t="s">
        <v>2829</v>
      </c>
      <c r="E1507" s="12" t="s">
        <v>5848</v>
      </c>
      <c r="F1507" s="13">
        <v>15</v>
      </c>
      <c r="G1507" s="12" t="s">
        <v>3002</v>
      </c>
      <c r="H1507" s="12" t="s">
        <v>38</v>
      </c>
      <c r="I1507" s="12" t="s">
        <v>39</v>
      </c>
      <c r="J1507" s="12" t="s">
        <v>2430</v>
      </c>
      <c r="K1507" s="12" t="s">
        <v>41</v>
      </c>
      <c r="L1507" s="14"/>
      <c r="M1507" s="12" t="s">
        <v>43</v>
      </c>
      <c r="N1507" s="12" t="s">
        <v>84</v>
      </c>
      <c r="O1507" s="12" t="s">
        <v>5849</v>
      </c>
      <c r="P1507" s="12" t="s">
        <v>46</v>
      </c>
      <c r="Q1507" s="12" t="s">
        <v>47</v>
      </c>
      <c r="R1507" s="12" t="s">
        <v>48</v>
      </c>
      <c r="S1507" s="13">
        <v>197804448555</v>
      </c>
      <c r="T1507" s="12" t="s">
        <v>49</v>
      </c>
      <c r="U1507" s="13">
        <v>32</v>
      </c>
      <c r="V1507" s="12" t="s">
        <v>1468</v>
      </c>
      <c r="W1507" s="12" t="s">
        <v>175</v>
      </c>
      <c r="X1507" s="14"/>
      <c r="Y1507" s="14"/>
      <c r="Z1507" s="14"/>
      <c r="AA1507" s="14"/>
      <c r="AB1507" s="14"/>
      <c r="AC1507" s="15">
        <v>29.55</v>
      </c>
      <c r="AD1507" s="15">
        <f>AC1507*AG1507</f>
        <v>118.2</v>
      </c>
      <c r="AE1507" s="15">
        <v>65</v>
      </c>
      <c r="AF1507" s="15">
        <f>AE1507*AG1507</f>
        <v>260</v>
      </c>
      <c r="AG1507" s="16">
        <v>4</v>
      </c>
    </row>
    <row r="1508" spans="1:33" ht="15" customHeight="1" x14ac:dyDescent="0.2">
      <c r="A1508" s="11" t="str">
        <f t="shared" si="622"/>
        <v>VN000D4NDJR1</v>
      </c>
      <c r="B1508" s="12" t="s">
        <v>5850</v>
      </c>
      <c r="C1508" s="12" t="s">
        <v>251</v>
      </c>
      <c r="D1508" s="12" t="s">
        <v>2829</v>
      </c>
      <c r="E1508" s="12" t="s">
        <v>5851</v>
      </c>
      <c r="F1508" s="13">
        <v>115</v>
      </c>
      <c r="G1508" s="12" t="s">
        <v>3002</v>
      </c>
      <c r="H1508" s="12" t="s">
        <v>38</v>
      </c>
      <c r="I1508" s="12" t="s">
        <v>39</v>
      </c>
      <c r="J1508" s="12" t="s">
        <v>2430</v>
      </c>
      <c r="K1508" s="12" t="s">
        <v>41</v>
      </c>
      <c r="L1508" s="14"/>
      <c r="M1508" s="12" t="s">
        <v>43</v>
      </c>
      <c r="N1508" s="12" t="s">
        <v>84</v>
      </c>
      <c r="O1508" s="12" t="s">
        <v>5852</v>
      </c>
      <c r="P1508" s="12" t="s">
        <v>46</v>
      </c>
      <c r="Q1508" s="12" t="s">
        <v>47</v>
      </c>
      <c r="R1508" s="12" t="s">
        <v>48</v>
      </c>
      <c r="S1508" s="13">
        <v>197804449446</v>
      </c>
      <c r="T1508" s="12" t="s">
        <v>49</v>
      </c>
      <c r="U1508" s="13">
        <v>28</v>
      </c>
      <c r="V1508" s="12" t="s">
        <v>1468</v>
      </c>
      <c r="W1508" s="12" t="s">
        <v>175</v>
      </c>
      <c r="X1508" s="14"/>
      <c r="Y1508" s="14"/>
      <c r="Z1508" s="14"/>
      <c r="AA1508" s="14"/>
      <c r="AB1508" s="14"/>
      <c r="AC1508" s="15">
        <v>29.55</v>
      </c>
      <c r="AD1508" s="15">
        <f>AC1508*AG1508</f>
        <v>118.2</v>
      </c>
      <c r="AE1508" s="15">
        <v>65</v>
      </c>
      <c r="AF1508" s="15">
        <f>AE1508*AG1508</f>
        <v>260</v>
      </c>
      <c r="AG1508" s="16">
        <v>4</v>
      </c>
    </row>
    <row r="1509" spans="1:33" ht="15" customHeight="1" x14ac:dyDescent="0.2">
      <c r="A1509" s="11" t="str">
        <f t="shared" si="622"/>
        <v>VN000D4NDJR1</v>
      </c>
      <c r="B1509" s="12" t="s">
        <v>5853</v>
      </c>
      <c r="C1509" s="12" t="s">
        <v>251</v>
      </c>
      <c r="D1509" s="12" t="s">
        <v>2829</v>
      </c>
      <c r="E1509" s="12" t="s">
        <v>5854</v>
      </c>
      <c r="F1509" s="13">
        <v>120</v>
      </c>
      <c r="G1509" s="12" t="s">
        <v>3002</v>
      </c>
      <c r="H1509" s="12" t="s">
        <v>38</v>
      </c>
      <c r="I1509" s="12" t="s">
        <v>39</v>
      </c>
      <c r="J1509" s="12" t="s">
        <v>2430</v>
      </c>
      <c r="K1509" s="12" t="s">
        <v>41</v>
      </c>
      <c r="L1509" s="14"/>
      <c r="M1509" s="12" t="s">
        <v>43</v>
      </c>
      <c r="N1509" s="12" t="s">
        <v>84</v>
      </c>
      <c r="O1509" s="12" t="s">
        <v>5855</v>
      </c>
      <c r="P1509" s="12" t="s">
        <v>46</v>
      </c>
      <c r="Q1509" s="12" t="s">
        <v>47</v>
      </c>
      <c r="R1509" s="12" t="s">
        <v>48</v>
      </c>
      <c r="S1509" s="13">
        <v>197804449460</v>
      </c>
      <c r="T1509" s="12" t="s">
        <v>49</v>
      </c>
      <c r="U1509" s="13">
        <v>29</v>
      </c>
      <c r="V1509" s="12" t="s">
        <v>1468</v>
      </c>
      <c r="W1509" s="12" t="s">
        <v>175</v>
      </c>
      <c r="X1509" s="14"/>
      <c r="Y1509" s="14"/>
      <c r="Z1509" s="14"/>
      <c r="AA1509" s="14"/>
      <c r="AB1509" s="14"/>
      <c r="AC1509" s="15">
        <v>29.55</v>
      </c>
      <c r="AD1509" s="15">
        <f>AC1509*AG1509</f>
        <v>118.2</v>
      </c>
      <c r="AE1509" s="15">
        <v>65</v>
      </c>
      <c r="AF1509" s="15">
        <f>AE1509*AG1509</f>
        <v>260</v>
      </c>
      <c r="AG1509" s="16">
        <v>4</v>
      </c>
    </row>
    <row r="1510" spans="1:33" ht="15" customHeight="1" x14ac:dyDescent="0.2">
      <c r="A1510" s="11" t="str">
        <f t="shared" si="533"/>
        <v>VN000D4SCFL1</v>
      </c>
      <c r="B1510" s="12" t="s">
        <v>5856</v>
      </c>
      <c r="C1510" s="12" t="s">
        <v>1257</v>
      </c>
      <c r="D1510" s="12" t="s">
        <v>1258</v>
      </c>
      <c r="E1510" s="12" t="s">
        <v>5857</v>
      </c>
      <c r="F1510" s="13">
        <v>55</v>
      </c>
      <c r="G1510" s="14"/>
      <c r="H1510" s="12" t="s">
        <v>38</v>
      </c>
      <c r="I1510" s="12" t="s">
        <v>242</v>
      </c>
      <c r="J1510" s="12" t="s">
        <v>243</v>
      </c>
      <c r="K1510" s="12" t="s">
        <v>244</v>
      </c>
      <c r="L1510" s="14"/>
      <c r="M1510" s="12" t="s">
        <v>43</v>
      </c>
      <c r="N1510" s="12" t="s">
        <v>84</v>
      </c>
      <c r="O1510" s="12" t="s">
        <v>5858</v>
      </c>
      <c r="P1510" s="12" t="s">
        <v>46</v>
      </c>
      <c r="Q1510" s="12" t="s">
        <v>47</v>
      </c>
      <c r="R1510" s="12" t="s">
        <v>48</v>
      </c>
      <c r="S1510" s="13">
        <v>197804531011</v>
      </c>
      <c r="T1510" s="12" t="s">
        <v>105</v>
      </c>
      <c r="U1510" s="13">
        <v>21.5</v>
      </c>
      <c r="V1510" s="12" t="s">
        <v>50</v>
      </c>
      <c r="W1510" s="12" t="s">
        <v>284</v>
      </c>
      <c r="X1510" s="14"/>
      <c r="Y1510" s="14"/>
      <c r="Z1510" s="14"/>
      <c r="AA1510" s="14"/>
      <c r="AB1510" s="14"/>
      <c r="AC1510" s="15">
        <v>22.75</v>
      </c>
      <c r="AD1510" s="15">
        <f>AC1510*AG1510</f>
        <v>91</v>
      </c>
      <c r="AE1510" s="15">
        <v>50</v>
      </c>
      <c r="AF1510" s="15">
        <f>AE1510*AG1510</f>
        <v>200</v>
      </c>
      <c r="AG1510" s="16">
        <v>4</v>
      </c>
    </row>
    <row r="1511" spans="1:33" ht="15" customHeight="1" x14ac:dyDescent="0.2">
      <c r="A1511" s="11" t="str">
        <f t="shared" ref="A1511:A1900" si="623">HYPERLINK("https://assets.vans.eu/images/VN000D4SCFL-HERO/1","VN000D4SCFL1")</f>
        <v>VN000D4SCFL1</v>
      </c>
      <c r="B1511" s="12" t="s">
        <v>5859</v>
      </c>
      <c r="C1511" s="12" t="s">
        <v>1257</v>
      </c>
      <c r="D1511" s="12" t="s">
        <v>1258</v>
      </c>
      <c r="E1511" s="12" t="s">
        <v>5860</v>
      </c>
      <c r="F1511" s="13">
        <v>85</v>
      </c>
      <c r="G1511" s="14"/>
      <c r="H1511" s="12" t="s">
        <v>38</v>
      </c>
      <c r="I1511" s="12" t="s">
        <v>242</v>
      </c>
      <c r="J1511" s="12" t="s">
        <v>243</v>
      </c>
      <c r="K1511" s="12" t="s">
        <v>244</v>
      </c>
      <c r="L1511" s="14"/>
      <c r="M1511" s="12" t="s">
        <v>43</v>
      </c>
      <c r="N1511" s="12" t="s">
        <v>84</v>
      </c>
      <c r="O1511" s="12" t="s">
        <v>5861</v>
      </c>
      <c r="P1511" s="12" t="s">
        <v>46</v>
      </c>
      <c r="Q1511" s="12" t="s">
        <v>47</v>
      </c>
      <c r="R1511" s="12" t="s">
        <v>48</v>
      </c>
      <c r="S1511" s="13">
        <v>197804531509</v>
      </c>
      <c r="T1511" s="12" t="s">
        <v>105</v>
      </c>
      <c r="U1511" s="13">
        <v>25</v>
      </c>
      <c r="V1511" s="12" t="s">
        <v>50</v>
      </c>
      <c r="W1511" s="12" t="s">
        <v>284</v>
      </c>
      <c r="X1511" s="14"/>
      <c r="Y1511" s="14"/>
      <c r="Z1511" s="14"/>
      <c r="AA1511" s="14"/>
      <c r="AB1511" s="14"/>
      <c r="AC1511" s="15">
        <v>22.75</v>
      </c>
      <c r="AD1511" s="15">
        <f>AC1511*AG1511</f>
        <v>91</v>
      </c>
      <c r="AE1511" s="15">
        <v>50</v>
      </c>
      <c r="AF1511" s="15">
        <f>AE1511*AG1511</f>
        <v>200</v>
      </c>
      <c r="AG1511" s="16">
        <v>4</v>
      </c>
    </row>
    <row r="1512" spans="1:33" ht="15" customHeight="1" x14ac:dyDescent="0.2">
      <c r="A1512" s="11" t="str">
        <f>HYPERLINK("https://assets.vans.eu/images/VN000D5NWHT-HERO/1","VN000D5NWHT1")</f>
        <v>VN000D5NWHT1</v>
      </c>
      <c r="B1512" s="12" t="s">
        <v>5862</v>
      </c>
      <c r="C1512" s="12" t="s">
        <v>34</v>
      </c>
      <c r="D1512" s="12" t="s">
        <v>168</v>
      </c>
      <c r="E1512" s="12" t="s">
        <v>5863</v>
      </c>
      <c r="F1512" s="13">
        <v>65</v>
      </c>
      <c r="G1512" s="12" t="s">
        <v>5864</v>
      </c>
      <c r="H1512" s="12" t="s">
        <v>38</v>
      </c>
      <c r="I1512" s="12" t="s">
        <v>159</v>
      </c>
      <c r="J1512" s="12" t="s">
        <v>160</v>
      </c>
      <c r="K1512" s="12" t="s">
        <v>82</v>
      </c>
      <c r="L1512" s="14"/>
      <c r="M1512" s="12" t="s">
        <v>43</v>
      </c>
      <c r="N1512" s="12" t="s">
        <v>44</v>
      </c>
      <c r="O1512" s="12" t="s">
        <v>5865</v>
      </c>
      <c r="P1512" s="12" t="s">
        <v>46</v>
      </c>
      <c r="Q1512" s="12" t="s">
        <v>47</v>
      </c>
      <c r="R1512" s="12" t="s">
        <v>163</v>
      </c>
      <c r="S1512" s="13">
        <v>197643279112</v>
      </c>
      <c r="T1512" s="12" t="s">
        <v>49</v>
      </c>
      <c r="U1512" s="13">
        <v>38.5</v>
      </c>
      <c r="V1512" s="12" t="s">
        <v>50</v>
      </c>
      <c r="W1512" s="12" t="s">
        <v>175</v>
      </c>
      <c r="X1512" s="14"/>
      <c r="Y1512" s="12" t="s">
        <v>53</v>
      </c>
      <c r="Z1512" s="12" t="s">
        <v>165</v>
      </c>
      <c r="AA1512" s="14"/>
      <c r="AB1512" s="14"/>
      <c r="AC1512" s="15">
        <v>43.2</v>
      </c>
      <c r="AD1512" s="15">
        <f>AC1512*AG1512</f>
        <v>172.8</v>
      </c>
      <c r="AE1512" s="15">
        <v>95</v>
      </c>
      <c r="AF1512" s="15">
        <f>AE1512*AG1512</f>
        <v>380</v>
      </c>
      <c r="AG1512" s="16">
        <v>4</v>
      </c>
    </row>
    <row r="1513" spans="1:33" ht="15" customHeight="1" x14ac:dyDescent="0.2">
      <c r="A1513" s="11" t="str">
        <f t="shared" ref="A1513:A1907" si="624">HYPERLINK("https://assets.vans.eu/images/VN000D5RBRG-HERO/1","VN000D5RBRG1")</f>
        <v>VN000D5RBRG1</v>
      </c>
      <c r="B1513" s="12" t="s">
        <v>5866</v>
      </c>
      <c r="C1513" s="12" t="s">
        <v>5867</v>
      </c>
      <c r="D1513" s="12" t="s">
        <v>5868</v>
      </c>
      <c r="E1513" s="12" t="s">
        <v>5869</v>
      </c>
      <c r="F1513" s="13">
        <v>90</v>
      </c>
      <c r="G1513" s="12" t="s">
        <v>1460</v>
      </c>
      <c r="H1513" s="12" t="s">
        <v>38</v>
      </c>
      <c r="I1513" s="12" t="s">
        <v>159</v>
      </c>
      <c r="J1513" s="12" t="s">
        <v>341</v>
      </c>
      <c r="K1513" s="12" t="s">
        <v>199</v>
      </c>
      <c r="L1513" s="14"/>
      <c r="M1513" s="12" t="s">
        <v>43</v>
      </c>
      <c r="N1513" s="12" t="s">
        <v>84</v>
      </c>
      <c r="O1513" s="12" t="s">
        <v>5870</v>
      </c>
      <c r="P1513" s="12" t="s">
        <v>46</v>
      </c>
      <c r="Q1513" s="12" t="s">
        <v>47</v>
      </c>
      <c r="R1513" s="12" t="s">
        <v>163</v>
      </c>
      <c r="S1513" s="13">
        <v>197804533190</v>
      </c>
      <c r="T1513" s="12" t="s">
        <v>49</v>
      </c>
      <c r="U1513" s="13">
        <v>42</v>
      </c>
      <c r="V1513" s="12" t="s">
        <v>50</v>
      </c>
      <c r="W1513" s="12" t="s">
        <v>107</v>
      </c>
      <c r="X1513" s="14"/>
      <c r="Y1513" s="14"/>
      <c r="Z1513" s="14"/>
      <c r="AA1513" s="14"/>
      <c r="AB1513" s="14"/>
      <c r="AC1513" s="15">
        <v>38.65</v>
      </c>
      <c r="AD1513" s="15">
        <f>AC1513*AG1513</f>
        <v>154.6</v>
      </c>
      <c r="AE1513" s="15">
        <v>85</v>
      </c>
      <c r="AF1513" s="15">
        <f>AE1513*AG1513</f>
        <v>340</v>
      </c>
      <c r="AG1513" s="16">
        <v>4</v>
      </c>
    </row>
    <row r="1514" spans="1:33" ht="15" customHeight="1" x14ac:dyDescent="0.2">
      <c r="A1514" s="11" t="str">
        <f>HYPERLINK("https://assets.vans.eu/images/VN000D60O3N-HERO/1","VN000D60O3N1")</f>
        <v>VN000D60O3N1</v>
      </c>
      <c r="B1514" s="12" t="s">
        <v>5871</v>
      </c>
      <c r="C1514" s="12" t="s">
        <v>1470</v>
      </c>
      <c r="D1514" s="12" t="s">
        <v>744</v>
      </c>
      <c r="E1514" s="12" t="s">
        <v>5872</v>
      </c>
      <c r="F1514" s="13">
        <v>130</v>
      </c>
      <c r="G1514" s="14"/>
      <c r="H1514" s="12" t="s">
        <v>38</v>
      </c>
      <c r="I1514" s="12" t="s">
        <v>113</v>
      </c>
      <c r="J1514" s="12" t="s">
        <v>529</v>
      </c>
      <c r="K1514" s="12" t="s">
        <v>82</v>
      </c>
      <c r="L1514" s="14"/>
      <c r="M1514" s="12" t="s">
        <v>43</v>
      </c>
      <c r="N1514" s="12" t="s">
        <v>44</v>
      </c>
      <c r="O1514" s="12" t="s">
        <v>5873</v>
      </c>
      <c r="P1514" s="12" t="s">
        <v>46</v>
      </c>
      <c r="Q1514" s="12" t="s">
        <v>47</v>
      </c>
      <c r="R1514" s="12" t="s">
        <v>117</v>
      </c>
      <c r="S1514" s="13">
        <v>197643284062</v>
      </c>
      <c r="T1514" s="12" t="s">
        <v>49</v>
      </c>
      <c r="U1514" s="13">
        <v>47</v>
      </c>
      <c r="V1514" s="12" t="s">
        <v>278</v>
      </c>
      <c r="W1514" s="12" t="s">
        <v>299</v>
      </c>
      <c r="X1514" s="14"/>
      <c r="Y1514" s="12" t="s">
        <v>91</v>
      </c>
      <c r="Z1514" s="12" t="s">
        <v>165</v>
      </c>
      <c r="AA1514" s="14"/>
      <c r="AB1514" s="14"/>
      <c r="AC1514" s="15">
        <v>52.3</v>
      </c>
      <c r="AD1514" s="15">
        <f>AC1514*AG1514</f>
        <v>209.2</v>
      </c>
      <c r="AE1514" s="15">
        <v>115</v>
      </c>
      <c r="AF1514" s="15">
        <f>AE1514*AG1514</f>
        <v>460</v>
      </c>
      <c r="AG1514" s="16">
        <v>4</v>
      </c>
    </row>
    <row r="1515" spans="1:33" ht="15" customHeight="1" x14ac:dyDescent="0.2">
      <c r="A1515" s="11" t="str">
        <f t="shared" si="278"/>
        <v>VN000D6WEMG1</v>
      </c>
      <c r="B1515" s="12" t="s">
        <v>5874</v>
      </c>
      <c r="C1515" s="12" t="s">
        <v>34</v>
      </c>
      <c r="D1515" s="12" t="s">
        <v>2807</v>
      </c>
      <c r="E1515" s="12" t="s">
        <v>5875</v>
      </c>
      <c r="F1515" s="13">
        <v>100</v>
      </c>
      <c r="G1515" s="12" t="s">
        <v>2809</v>
      </c>
      <c r="H1515" s="12" t="s">
        <v>38</v>
      </c>
      <c r="I1515" s="12" t="s">
        <v>113</v>
      </c>
      <c r="J1515" s="12" t="s">
        <v>114</v>
      </c>
      <c r="K1515" s="12" t="s">
        <v>82</v>
      </c>
      <c r="L1515" s="14"/>
      <c r="M1515" s="12" t="s">
        <v>43</v>
      </c>
      <c r="N1515" s="12" t="s">
        <v>84</v>
      </c>
      <c r="O1515" s="12" t="s">
        <v>5876</v>
      </c>
      <c r="P1515" s="12" t="s">
        <v>46</v>
      </c>
      <c r="Q1515" s="12" t="s">
        <v>47</v>
      </c>
      <c r="R1515" s="12" t="s">
        <v>117</v>
      </c>
      <c r="S1515" s="13">
        <v>197804541553</v>
      </c>
      <c r="T1515" s="12" t="s">
        <v>164</v>
      </c>
      <c r="U1515" s="13">
        <v>43</v>
      </c>
      <c r="V1515" s="12" t="s">
        <v>50</v>
      </c>
      <c r="W1515" s="12" t="s">
        <v>284</v>
      </c>
      <c r="X1515" s="14"/>
      <c r="Y1515" s="14"/>
      <c r="Z1515" s="14"/>
      <c r="AA1515" s="14"/>
      <c r="AB1515" s="14"/>
      <c r="AC1515" s="15">
        <v>38.65</v>
      </c>
      <c r="AD1515" s="15">
        <f>AC1515*AG1515</f>
        <v>154.6</v>
      </c>
      <c r="AE1515" s="15">
        <v>85</v>
      </c>
      <c r="AF1515" s="15">
        <f>AE1515*AG1515</f>
        <v>340</v>
      </c>
      <c r="AG1515" s="16">
        <v>4</v>
      </c>
    </row>
    <row r="1516" spans="1:33" ht="15" customHeight="1" x14ac:dyDescent="0.2">
      <c r="A1516" s="11" t="str">
        <f t="shared" ref="A1516:A1923" si="625">HYPERLINK("https://assets.vans.eu/images/VN000D6WRPK-HERO/1","VN000D6WRPK1")</f>
        <v>VN000D6WRPK1</v>
      </c>
      <c r="B1516" s="12" t="s">
        <v>5877</v>
      </c>
      <c r="C1516" s="12" t="s">
        <v>34</v>
      </c>
      <c r="D1516" s="12" t="s">
        <v>5878</v>
      </c>
      <c r="E1516" s="12" t="s">
        <v>5879</v>
      </c>
      <c r="F1516" s="13">
        <v>50</v>
      </c>
      <c r="G1516" s="12" t="s">
        <v>528</v>
      </c>
      <c r="H1516" s="12" t="s">
        <v>38</v>
      </c>
      <c r="I1516" s="12" t="s">
        <v>113</v>
      </c>
      <c r="J1516" s="12" t="s">
        <v>114</v>
      </c>
      <c r="K1516" s="12" t="s">
        <v>82</v>
      </c>
      <c r="L1516" s="14"/>
      <c r="M1516" s="12" t="s">
        <v>43</v>
      </c>
      <c r="N1516" s="12" t="s">
        <v>84</v>
      </c>
      <c r="O1516" s="12" t="s">
        <v>5880</v>
      </c>
      <c r="P1516" s="12" t="s">
        <v>46</v>
      </c>
      <c r="Q1516" s="12" t="s">
        <v>47</v>
      </c>
      <c r="R1516" s="12" t="s">
        <v>117</v>
      </c>
      <c r="S1516" s="13">
        <v>197804540372</v>
      </c>
      <c r="T1516" s="12" t="s">
        <v>164</v>
      </c>
      <c r="U1516" s="13">
        <v>36.5</v>
      </c>
      <c r="V1516" s="12" t="s">
        <v>50</v>
      </c>
      <c r="W1516" s="12" t="s">
        <v>186</v>
      </c>
      <c r="X1516" s="14"/>
      <c r="Y1516" s="14"/>
      <c r="Z1516" s="14"/>
      <c r="AA1516" s="14"/>
      <c r="AB1516" s="14"/>
      <c r="AC1516" s="15">
        <v>38.65</v>
      </c>
      <c r="AD1516" s="15">
        <f>AC1516*AG1516</f>
        <v>154.6</v>
      </c>
      <c r="AE1516" s="15">
        <v>85</v>
      </c>
      <c r="AF1516" s="15">
        <f>AE1516*AG1516</f>
        <v>340</v>
      </c>
      <c r="AG1516" s="16">
        <v>4</v>
      </c>
    </row>
    <row r="1517" spans="1:33" ht="15" customHeight="1" x14ac:dyDescent="0.2">
      <c r="A1517" s="11" t="str">
        <f t="shared" ref="A1517:A1926" si="626">HYPERLINK("https://assets.vans.eu/images/VN000D6YEMH-HERO/1","VN000D6YEMH1")</f>
        <v>VN000D6YEMH1</v>
      </c>
      <c r="B1517" s="12" t="s">
        <v>5881</v>
      </c>
      <c r="C1517" s="12" t="s">
        <v>3586</v>
      </c>
      <c r="D1517" s="12" t="s">
        <v>5882</v>
      </c>
      <c r="E1517" s="12" t="s">
        <v>5883</v>
      </c>
      <c r="F1517" s="13">
        <v>60</v>
      </c>
      <c r="G1517" s="14"/>
      <c r="H1517" s="12" t="s">
        <v>38</v>
      </c>
      <c r="I1517" s="12" t="s">
        <v>113</v>
      </c>
      <c r="J1517" s="12" t="s">
        <v>114</v>
      </c>
      <c r="K1517" s="12" t="s">
        <v>82</v>
      </c>
      <c r="L1517" s="14"/>
      <c r="M1517" s="12" t="s">
        <v>43</v>
      </c>
      <c r="N1517" s="12" t="s">
        <v>84</v>
      </c>
      <c r="O1517" s="12" t="s">
        <v>5884</v>
      </c>
      <c r="P1517" s="12" t="s">
        <v>46</v>
      </c>
      <c r="Q1517" s="12" t="s">
        <v>47</v>
      </c>
      <c r="R1517" s="12" t="s">
        <v>117</v>
      </c>
      <c r="S1517" s="13">
        <v>197804454358</v>
      </c>
      <c r="T1517" s="12" t="s">
        <v>49</v>
      </c>
      <c r="U1517" s="13">
        <v>38</v>
      </c>
      <c r="V1517" s="12" t="s">
        <v>50</v>
      </c>
      <c r="W1517" s="12" t="s">
        <v>186</v>
      </c>
      <c r="X1517" s="14"/>
      <c r="Y1517" s="14"/>
      <c r="Z1517" s="14"/>
      <c r="AA1517" s="14"/>
      <c r="AB1517" s="14"/>
      <c r="AC1517" s="15">
        <v>38.65</v>
      </c>
      <c r="AD1517" s="15">
        <f>AC1517*AG1517</f>
        <v>154.6</v>
      </c>
      <c r="AE1517" s="15">
        <v>85</v>
      </c>
      <c r="AF1517" s="15">
        <f>AE1517*AG1517</f>
        <v>340</v>
      </c>
      <c r="AG1517" s="16">
        <v>4</v>
      </c>
    </row>
    <row r="1518" spans="1:33" ht="15" customHeight="1" x14ac:dyDescent="0.2">
      <c r="A1518" s="11" t="str">
        <f t="shared" ref="A1518:A1519" si="627">HYPERLINK("https://assets.vans.eu/images/VN000D6YEMY-HERO/1","VN000D6YEMY1")</f>
        <v>VN000D6YEMY1</v>
      </c>
      <c r="B1518" s="12" t="s">
        <v>5885</v>
      </c>
      <c r="C1518" s="12" t="s">
        <v>3586</v>
      </c>
      <c r="D1518" s="12" t="s">
        <v>1155</v>
      </c>
      <c r="E1518" s="12" t="s">
        <v>5886</v>
      </c>
      <c r="F1518" s="13">
        <v>60</v>
      </c>
      <c r="G1518" s="12" t="s">
        <v>2809</v>
      </c>
      <c r="H1518" s="12" t="s">
        <v>38</v>
      </c>
      <c r="I1518" s="12" t="s">
        <v>113</v>
      </c>
      <c r="J1518" s="12" t="s">
        <v>114</v>
      </c>
      <c r="K1518" s="12" t="s">
        <v>82</v>
      </c>
      <c r="L1518" s="14"/>
      <c r="M1518" s="12" t="s">
        <v>43</v>
      </c>
      <c r="N1518" s="12" t="s">
        <v>84</v>
      </c>
      <c r="O1518" s="12" t="s">
        <v>5887</v>
      </c>
      <c r="P1518" s="12" t="s">
        <v>46</v>
      </c>
      <c r="Q1518" s="12" t="s">
        <v>47</v>
      </c>
      <c r="R1518" s="12" t="s">
        <v>117</v>
      </c>
      <c r="S1518" s="13">
        <v>197804454716</v>
      </c>
      <c r="T1518" s="12" t="s">
        <v>164</v>
      </c>
      <c r="U1518" s="13">
        <v>38</v>
      </c>
      <c r="V1518" s="12" t="s">
        <v>375</v>
      </c>
      <c r="W1518" s="12" t="s">
        <v>107</v>
      </c>
      <c r="X1518" s="14"/>
      <c r="Y1518" s="14"/>
      <c r="Z1518" s="14"/>
      <c r="AA1518" s="14"/>
      <c r="AB1518" s="14"/>
      <c r="AC1518" s="15">
        <v>34.1</v>
      </c>
      <c r="AD1518" s="15">
        <f>AC1518*AG1518</f>
        <v>136.4</v>
      </c>
      <c r="AE1518" s="15">
        <v>75</v>
      </c>
      <c r="AF1518" s="15">
        <f>AE1518*AG1518</f>
        <v>300</v>
      </c>
      <c r="AG1518" s="16">
        <v>4</v>
      </c>
    </row>
    <row r="1519" spans="1:33" ht="15" customHeight="1" x14ac:dyDescent="0.2">
      <c r="A1519" s="11" t="str">
        <f t="shared" si="627"/>
        <v>VN000D6YEMY1</v>
      </c>
      <c r="B1519" s="12" t="s">
        <v>5888</v>
      </c>
      <c r="C1519" s="12" t="s">
        <v>3586</v>
      </c>
      <c r="D1519" s="12" t="s">
        <v>1155</v>
      </c>
      <c r="E1519" s="12" t="s">
        <v>5889</v>
      </c>
      <c r="F1519" s="13">
        <v>70</v>
      </c>
      <c r="G1519" s="12" t="s">
        <v>2809</v>
      </c>
      <c r="H1519" s="12" t="s">
        <v>38</v>
      </c>
      <c r="I1519" s="12" t="s">
        <v>113</v>
      </c>
      <c r="J1519" s="12" t="s">
        <v>114</v>
      </c>
      <c r="K1519" s="12" t="s">
        <v>82</v>
      </c>
      <c r="L1519" s="14"/>
      <c r="M1519" s="12" t="s">
        <v>43</v>
      </c>
      <c r="N1519" s="12" t="s">
        <v>84</v>
      </c>
      <c r="O1519" s="12" t="s">
        <v>5890</v>
      </c>
      <c r="P1519" s="12" t="s">
        <v>46</v>
      </c>
      <c r="Q1519" s="12" t="s">
        <v>47</v>
      </c>
      <c r="R1519" s="12" t="s">
        <v>117</v>
      </c>
      <c r="S1519" s="13">
        <v>197804454754</v>
      </c>
      <c r="T1519" s="12" t="s">
        <v>164</v>
      </c>
      <c r="U1519" s="13">
        <v>39</v>
      </c>
      <c r="V1519" s="12" t="s">
        <v>375</v>
      </c>
      <c r="W1519" s="12" t="s">
        <v>107</v>
      </c>
      <c r="X1519" s="14"/>
      <c r="Y1519" s="14"/>
      <c r="Z1519" s="14"/>
      <c r="AA1519" s="14"/>
      <c r="AB1519" s="14"/>
      <c r="AC1519" s="15">
        <v>34.1</v>
      </c>
      <c r="AD1519" s="15">
        <f>AC1519*AG1519</f>
        <v>136.4</v>
      </c>
      <c r="AE1519" s="15">
        <v>75</v>
      </c>
      <c r="AF1519" s="15">
        <f>AE1519*AG1519</f>
        <v>300</v>
      </c>
      <c r="AG1519" s="16">
        <v>4</v>
      </c>
    </row>
    <row r="1520" spans="1:33" ht="15" customHeight="1" x14ac:dyDescent="0.2">
      <c r="A1520" s="11" t="str">
        <f>HYPERLINK("https://assets.vans.eu/images/VN000D6ZE2S-HERO/1","VN000D6ZE2S1")</f>
        <v>VN000D6ZE2S1</v>
      </c>
      <c r="B1520" s="12" t="s">
        <v>5891</v>
      </c>
      <c r="C1520" s="12" t="s">
        <v>110</v>
      </c>
      <c r="D1520" s="12" t="s">
        <v>5892</v>
      </c>
      <c r="E1520" s="12" t="s">
        <v>5893</v>
      </c>
      <c r="F1520" s="13">
        <v>95</v>
      </c>
      <c r="G1520" s="12" t="s">
        <v>5894</v>
      </c>
      <c r="H1520" s="12" t="s">
        <v>38</v>
      </c>
      <c r="I1520" s="12" t="s">
        <v>113</v>
      </c>
      <c r="J1520" s="12" t="s">
        <v>114</v>
      </c>
      <c r="K1520" s="12" t="s">
        <v>82</v>
      </c>
      <c r="L1520" s="14"/>
      <c r="M1520" s="12" t="s">
        <v>43</v>
      </c>
      <c r="N1520" s="12" t="s">
        <v>44</v>
      </c>
      <c r="O1520" s="12" t="s">
        <v>5895</v>
      </c>
      <c r="P1520" s="12" t="s">
        <v>46</v>
      </c>
      <c r="Q1520" s="12" t="s">
        <v>47</v>
      </c>
      <c r="R1520" s="12" t="s">
        <v>117</v>
      </c>
      <c r="S1520" s="13">
        <v>197643215097</v>
      </c>
      <c r="T1520" s="12" t="s">
        <v>49</v>
      </c>
      <c r="U1520" s="13">
        <v>42.5</v>
      </c>
      <c r="V1520" s="12" t="s">
        <v>50</v>
      </c>
      <c r="W1520" s="12" t="s">
        <v>580</v>
      </c>
      <c r="X1520" s="14"/>
      <c r="Y1520" s="12" t="s">
        <v>53</v>
      </c>
      <c r="Z1520" s="12" t="s">
        <v>165</v>
      </c>
      <c r="AA1520" s="14"/>
      <c r="AB1520" s="14"/>
      <c r="AC1520" s="15">
        <v>43.2</v>
      </c>
      <c r="AD1520" s="15">
        <f>AC1520*AG1520</f>
        <v>172.8</v>
      </c>
      <c r="AE1520" s="15">
        <v>95</v>
      </c>
      <c r="AF1520" s="15">
        <f>AE1520*AG1520</f>
        <v>380</v>
      </c>
      <c r="AG1520" s="16">
        <v>4</v>
      </c>
    </row>
    <row r="1521" spans="1:33" ht="15" customHeight="1" x14ac:dyDescent="0.2">
      <c r="A1521" s="11" t="str">
        <f t="shared" ref="A1521:A1932" si="628">HYPERLINK("https://assets.vans.eu/images/VN000D6ZO3N-HERO/1","VN000D6ZO3N1")</f>
        <v>VN000D6ZO3N1</v>
      </c>
      <c r="B1521" s="12" t="s">
        <v>5896</v>
      </c>
      <c r="C1521" s="12" t="s">
        <v>110</v>
      </c>
      <c r="D1521" s="12" t="s">
        <v>744</v>
      </c>
      <c r="E1521" s="12" t="s">
        <v>5897</v>
      </c>
      <c r="F1521" s="13">
        <v>130</v>
      </c>
      <c r="G1521" s="12" t="s">
        <v>1460</v>
      </c>
      <c r="H1521" s="12" t="s">
        <v>38</v>
      </c>
      <c r="I1521" s="12" t="s">
        <v>113</v>
      </c>
      <c r="J1521" s="12" t="s">
        <v>114</v>
      </c>
      <c r="K1521" s="12" t="s">
        <v>82</v>
      </c>
      <c r="L1521" s="14"/>
      <c r="M1521" s="12" t="s">
        <v>43</v>
      </c>
      <c r="N1521" s="12" t="s">
        <v>44</v>
      </c>
      <c r="O1521" s="12" t="s">
        <v>5898</v>
      </c>
      <c r="P1521" s="12" t="s">
        <v>46</v>
      </c>
      <c r="Q1521" s="12" t="s">
        <v>47</v>
      </c>
      <c r="R1521" s="12" t="s">
        <v>117</v>
      </c>
      <c r="S1521" s="13">
        <v>197643216216</v>
      </c>
      <c r="T1521" s="12" t="s">
        <v>49</v>
      </c>
      <c r="U1521" s="13">
        <v>47</v>
      </c>
      <c r="V1521" s="12" t="s">
        <v>50</v>
      </c>
      <c r="W1521" s="12" t="s">
        <v>299</v>
      </c>
      <c r="X1521" s="14"/>
      <c r="Y1521" s="12" t="s">
        <v>91</v>
      </c>
      <c r="Z1521" s="12" t="s">
        <v>165</v>
      </c>
      <c r="AA1521" s="14"/>
      <c r="AB1521" s="14"/>
      <c r="AC1521" s="15">
        <v>43.2</v>
      </c>
      <c r="AD1521" s="15">
        <f>AC1521*AG1521</f>
        <v>172.8</v>
      </c>
      <c r="AE1521" s="15">
        <v>95</v>
      </c>
      <c r="AF1521" s="15">
        <f>AE1521*AG1521</f>
        <v>380</v>
      </c>
      <c r="AG1521" s="16">
        <v>4</v>
      </c>
    </row>
    <row r="1522" spans="1:33" ht="15" customHeight="1" x14ac:dyDescent="0.2">
      <c r="A1522" s="11" t="str">
        <f t="shared" ref="A1522:A2693" si="629">HYPERLINK("https://assets.vans.eu/images/VN000D6ZORA-HERO/1","VN000D6ZORA1")</f>
        <v>VN000D6ZORA1</v>
      </c>
      <c r="B1522" s="12" t="s">
        <v>5899</v>
      </c>
      <c r="C1522" s="12" t="s">
        <v>110</v>
      </c>
      <c r="D1522" s="12" t="s">
        <v>5900</v>
      </c>
      <c r="E1522" s="12" t="s">
        <v>5901</v>
      </c>
      <c r="F1522" s="13">
        <v>60</v>
      </c>
      <c r="G1522" s="12" t="s">
        <v>3986</v>
      </c>
      <c r="H1522" s="12" t="s">
        <v>38</v>
      </c>
      <c r="I1522" s="12" t="s">
        <v>113</v>
      </c>
      <c r="J1522" s="12" t="s">
        <v>114</v>
      </c>
      <c r="K1522" s="12" t="s">
        <v>82</v>
      </c>
      <c r="L1522" s="14"/>
      <c r="M1522" s="12" t="s">
        <v>43</v>
      </c>
      <c r="N1522" s="12" t="s">
        <v>84</v>
      </c>
      <c r="O1522" s="12" t="s">
        <v>5902</v>
      </c>
      <c r="P1522" s="12" t="s">
        <v>46</v>
      </c>
      <c r="Q1522" s="12" t="s">
        <v>47</v>
      </c>
      <c r="R1522" s="12" t="s">
        <v>117</v>
      </c>
      <c r="S1522" s="13">
        <v>197804456703</v>
      </c>
      <c r="T1522" s="12" t="s">
        <v>105</v>
      </c>
      <c r="U1522" s="13">
        <v>38</v>
      </c>
      <c r="V1522" s="12" t="s">
        <v>50</v>
      </c>
      <c r="W1522" s="12" t="s">
        <v>933</v>
      </c>
      <c r="X1522" s="14"/>
      <c r="Y1522" s="14"/>
      <c r="Z1522" s="14"/>
      <c r="AA1522" s="14"/>
      <c r="AB1522" s="14"/>
      <c r="AC1522" s="15">
        <v>43.2</v>
      </c>
      <c r="AD1522" s="15">
        <f>AC1522*AG1522</f>
        <v>172.8</v>
      </c>
      <c r="AE1522" s="15">
        <v>95</v>
      </c>
      <c r="AF1522" s="15">
        <f>AE1522*AG1522</f>
        <v>380</v>
      </c>
      <c r="AG1522" s="16">
        <v>4</v>
      </c>
    </row>
    <row r="1523" spans="1:33" ht="15" customHeight="1" x14ac:dyDescent="0.2">
      <c r="A1523" s="11" t="str">
        <f>HYPERLINK("https://assets.vans.eu/images/VN000D75Y28-HERO/1","VN000D75Y281")</f>
        <v>VN000D75Y281</v>
      </c>
      <c r="B1523" s="12" t="s">
        <v>5903</v>
      </c>
      <c r="C1523" s="12" t="s">
        <v>110</v>
      </c>
      <c r="D1523" s="12" t="s">
        <v>58</v>
      </c>
      <c r="E1523" s="12" t="s">
        <v>5904</v>
      </c>
      <c r="F1523" s="13">
        <v>130</v>
      </c>
      <c r="G1523" s="12" t="s">
        <v>414</v>
      </c>
      <c r="H1523" s="12" t="s">
        <v>38</v>
      </c>
      <c r="I1523" s="12" t="s">
        <v>113</v>
      </c>
      <c r="J1523" s="12" t="s">
        <v>114</v>
      </c>
      <c r="K1523" s="12" t="s">
        <v>82</v>
      </c>
      <c r="L1523" s="14"/>
      <c r="M1523" s="12" t="s">
        <v>43</v>
      </c>
      <c r="N1523" s="12" t="s">
        <v>84</v>
      </c>
      <c r="O1523" s="12" t="s">
        <v>5905</v>
      </c>
      <c r="P1523" s="12" t="s">
        <v>46</v>
      </c>
      <c r="Q1523" s="12" t="s">
        <v>47</v>
      </c>
      <c r="R1523" s="12" t="s">
        <v>117</v>
      </c>
      <c r="S1523" s="13">
        <v>197804666614</v>
      </c>
      <c r="T1523" s="12" t="s">
        <v>49</v>
      </c>
      <c r="U1523" s="13">
        <v>47</v>
      </c>
      <c r="V1523" s="12" t="s">
        <v>50</v>
      </c>
      <c r="W1523" s="12" t="s">
        <v>51</v>
      </c>
      <c r="X1523" s="14"/>
      <c r="Y1523" s="14"/>
      <c r="Z1523" s="14"/>
      <c r="AA1523" s="14"/>
      <c r="AB1523" s="14"/>
      <c r="AC1523" s="15">
        <v>45.5</v>
      </c>
      <c r="AD1523" s="15">
        <f>AC1523*AG1523</f>
        <v>182</v>
      </c>
      <c r="AE1523" s="15">
        <v>100</v>
      </c>
      <c r="AF1523" s="15">
        <f>AE1523*AG1523</f>
        <v>400</v>
      </c>
      <c r="AG1523" s="16">
        <v>4</v>
      </c>
    </row>
    <row r="1524" spans="1:33" ht="15" customHeight="1" x14ac:dyDescent="0.2">
      <c r="A1524" s="11" t="str">
        <f t="shared" ref="A1524:A1525" si="630">HYPERLINK("https://assets.vans.eu/images/VN000D80BF0-HERO/1","VN000D80BF01")</f>
        <v>VN000D80BF01</v>
      </c>
      <c r="B1524" s="12" t="s">
        <v>5906</v>
      </c>
      <c r="C1524" s="12" t="s">
        <v>309</v>
      </c>
      <c r="D1524" s="12" t="s">
        <v>5907</v>
      </c>
      <c r="E1524" s="12" t="s">
        <v>5908</v>
      </c>
      <c r="F1524" s="13">
        <v>60</v>
      </c>
      <c r="G1524" s="12" t="s">
        <v>5909</v>
      </c>
      <c r="H1524" s="12" t="s">
        <v>38</v>
      </c>
      <c r="I1524" s="12" t="s">
        <v>159</v>
      </c>
      <c r="J1524" s="12" t="s">
        <v>160</v>
      </c>
      <c r="K1524" s="12" t="s">
        <v>82</v>
      </c>
      <c r="L1524" s="14"/>
      <c r="M1524" s="12" t="s">
        <v>43</v>
      </c>
      <c r="N1524" s="12" t="s">
        <v>84</v>
      </c>
      <c r="O1524" s="12" t="s">
        <v>5910</v>
      </c>
      <c r="P1524" s="12" t="s">
        <v>46</v>
      </c>
      <c r="Q1524" s="12" t="s">
        <v>47</v>
      </c>
      <c r="R1524" s="12" t="s">
        <v>1660</v>
      </c>
      <c r="S1524" s="13">
        <v>197804546381</v>
      </c>
      <c r="T1524" s="12" t="s">
        <v>49</v>
      </c>
      <c r="U1524" s="13">
        <v>38</v>
      </c>
      <c r="V1524" s="12" t="s">
        <v>50</v>
      </c>
      <c r="W1524" s="12" t="s">
        <v>186</v>
      </c>
      <c r="X1524" s="14"/>
      <c r="Y1524" s="14"/>
      <c r="Z1524" s="14"/>
      <c r="AA1524" s="14"/>
      <c r="AB1524" s="14"/>
      <c r="AC1524" s="15">
        <v>43.2</v>
      </c>
      <c r="AD1524" s="15">
        <f>AC1524*AG1524</f>
        <v>172.8</v>
      </c>
      <c r="AE1524" s="15">
        <v>95</v>
      </c>
      <c r="AF1524" s="15">
        <f>AE1524*AG1524</f>
        <v>380</v>
      </c>
      <c r="AG1524" s="16">
        <v>4</v>
      </c>
    </row>
    <row r="1525" spans="1:33" ht="15" customHeight="1" x14ac:dyDescent="0.2">
      <c r="A1525" s="11" t="str">
        <f t="shared" si="630"/>
        <v>VN000D80BF01</v>
      </c>
      <c r="B1525" s="12" t="s">
        <v>5911</v>
      </c>
      <c r="C1525" s="12" t="s">
        <v>309</v>
      </c>
      <c r="D1525" s="12" t="s">
        <v>5907</v>
      </c>
      <c r="E1525" s="12" t="s">
        <v>5912</v>
      </c>
      <c r="F1525" s="13">
        <v>70</v>
      </c>
      <c r="G1525" s="12" t="s">
        <v>5909</v>
      </c>
      <c r="H1525" s="12" t="s">
        <v>38</v>
      </c>
      <c r="I1525" s="12" t="s">
        <v>159</v>
      </c>
      <c r="J1525" s="12" t="s">
        <v>160</v>
      </c>
      <c r="K1525" s="12" t="s">
        <v>82</v>
      </c>
      <c r="L1525" s="14"/>
      <c r="M1525" s="12" t="s">
        <v>43</v>
      </c>
      <c r="N1525" s="12" t="s">
        <v>84</v>
      </c>
      <c r="O1525" s="12" t="s">
        <v>5913</v>
      </c>
      <c r="P1525" s="12" t="s">
        <v>46</v>
      </c>
      <c r="Q1525" s="12" t="s">
        <v>47</v>
      </c>
      <c r="R1525" s="12" t="s">
        <v>1660</v>
      </c>
      <c r="S1525" s="13">
        <v>197804546589</v>
      </c>
      <c r="T1525" s="12" t="s">
        <v>49</v>
      </c>
      <c r="U1525" s="13">
        <v>39</v>
      </c>
      <c r="V1525" s="12" t="s">
        <v>50</v>
      </c>
      <c r="W1525" s="12" t="s">
        <v>186</v>
      </c>
      <c r="X1525" s="14"/>
      <c r="Y1525" s="14"/>
      <c r="Z1525" s="14"/>
      <c r="AA1525" s="14"/>
      <c r="AB1525" s="14"/>
      <c r="AC1525" s="15">
        <v>43.2</v>
      </c>
      <c r="AD1525" s="15">
        <f>AC1525*AG1525</f>
        <v>172.8</v>
      </c>
      <c r="AE1525" s="15">
        <v>95</v>
      </c>
      <c r="AF1525" s="15">
        <f>AE1525*AG1525</f>
        <v>380</v>
      </c>
      <c r="AG1525" s="16">
        <v>4</v>
      </c>
    </row>
    <row r="1526" spans="1:33" ht="15" customHeight="1" x14ac:dyDescent="0.2">
      <c r="A1526" s="11" t="str">
        <f t="shared" ref="A1526:A1940" si="631">HYPERLINK("https://assets.vans.eu/images/VN000D83SQ7-HERO/1","VN000D83SQ71")</f>
        <v>VN000D83SQ71</v>
      </c>
      <c r="B1526" s="12" t="s">
        <v>5914</v>
      </c>
      <c r="C1526" s="12" t="s">
        <v>3611</v>
      </c>
      <c r="D1526" s="12" t="s">
        <v>5915</v>
      </c>
      <c r="E1526" s="12" t="s">
        <v>5916</v>
      </c>
      <c r="F1526" s="13">
        <v>130</v>
      </c>
      <c r="G1526" s="14"/>
      <c r="H1526" s="12" t="s">
        <v>38</v>
      </c>
      <c r="I1526" s="12" t="s">
        <v>113</v>
      </c>
      <c r="J1526" s="12" t="s">
        <v>529</v>
      </c>
      <c r="K1526" s="12" t="s">
        <v>82</v>
      </c>
      <c r="L1526" s="14"/>
      <c r="M1526" s="12" t="s">
        <v>43</v>
      </c>
      <c r="N1526" s="12" t="s">
        <v>44</v>
      </c>
      <c r="O1526" s="12" t="s">
        <v>5917</v>
      </c>
      <c r="P1526" s="12" t="s">
        <v>46</v>
      </c>
      <c r="Q1526" s="12" t="s">
        <v>47</v>
      </c>
      <c r="R1526" s="12" t="s">
        <v>117</v>
      </c>
      <c r="S1526" s="13">
        <v>197643299530</v>
      </c>
      <c r="T1526" s="12" t="s">
        <v>49</v>
      </c>
      <c r="U1526" s="13">
        <v>47</v>
      </c>
      <c r="V1526" s="12" t="s">
        <v>50</v>
      </c>
      <c r="W1526" s="12" t="s">
        <v>580</v>
      </c>
      <c r="X1526" s="14"/>
      <c r="Y1526" s="12" t="s">
        <v>53</v>
      </c>
      <c r="Z1526" s="12" t="s">
        <v>263</v>
      </c>
      <c r="AA1526" s="14"/>
      <c r="AB1526" s="14"/>
      <c r="AC1526" s="15">
        <v>45.5</v>
      </c>
      <c r="AD1526" s="15">
        <f>AC1526*AG1526</f>
        <v>182</v>
      </c>
      <c r="AE1526" s="15">
        <v>100</v>
      </c>
      <c r="AF1526" s="15">
        <f>AE1526*AG1526</f>
        <v>400</v>
      </c>
      <c r="AG1526" s="16">
        <v>4</v>
      </c>
    </row>
    <row r="1527" spans="1:33" ht="15" customHeight="1" x14ac:dyDescent="0.2">
      <c r="A1527" s="11" t="str">
        <f t="shared" ref="A1527:A1528" si="632">HYPERLINK("https://assets.vans.eu/images/VN000D85EME-HERO/1","VN000D85EME1")</f>
        <v>VN000D85EME1</v>
      </c>
      <c r="B1527" s="12" t="s">
        <v>5918</v>
      </c>
      <c r="C1527" s="12" t="s">
        <v>5919</v>
      </c>
      <c r="D1527" s="12" t="s">
        <v>5920</v>
      </c>
      <c r="E1527" s="12" t="s">
        <v>5921</v>
      </c>
      <c r="F1527" s="13">
        <v>75</v>
      </c>
      <c r="G1527" s="14"/>
      <c r="H1527" s="12" t="s">
        <v>38</v>
      </c>
      <c r="I1527" s="12" t="s">
        <v>159</v>
      </c>
      <c r="J1527" s="12" t="s">
        <v>341</v>
      </c>
      <c r="K1527" s="12" t="s">
        <v>199</v>
      </c>
      <c r="L1527" s="14"/>
      <c r="M1527" s="12" t="s">
        <v>43</v>
      </c>
      <c r="N1527" s="12" t="s">
        <v>84</v>
      </c>
      <c r="O1527" s="12" t="s">
        <v>5922</v>
      </c>
      <c r="P1527" s="12" t="s">
        <v>46</v>
      </c>
      <c r="Q1527" s="12" t="s">
        <v>47</v>
      </c>
      <c r="R1527" s="12" t="s">
        <v>163</v>
      </c>
      <c r="S1527" s="13">
        <v>197804549443</v>
      </c>
      <c r="T1527" s="12" t="s">
        <v>49</v>
      </c>
      <c r="U1527" s="13">
        <v>40</v>
      </c>
      <c r="V1527" s="12" t="s">
        <v>50</v>
      </c>
      <c r="W1527" s="12" t="s">
        <v>118</v>
      </c>
      <c r="X1527" s="14"/>
      <c r="Y1527" s="14"/>
      <c r="Z1527" s="14"/>
      <c r="AA1527" s="14"/>
      <c r="AB1527" s="14"/>
      <c r="AC1527" s="15">
        <v>40.950000000000003</v>
      </c>
      <c r="AD1527" s="15">
        <f>AC1527*AG1527</f>
        <v>163.80000000000001</v>
      </c>
      <c r="AE1527" s="15">
        <v>90</v>
      </c>
      <c r="AF1527" s="15">
        <f>AE1527*AG1527</f>
        <v>360</v>
      </c>
      <c r="AG1527" s="16">
        <v>4</v>
      </c>
    </row>
    <row r="1528" spans="1:33" ht="15" customHeight="1" x14ac:dyDescent="0.2">
      <c r="A1528" s="11" t="str">
        <f t="shared" si="632"/>
        <v>VN000D85EME1</v>
      </c>
      <c r="B1528" s="12" t="s">
        <v>5923</v>
      </c>
      <c r="C1528" s="12" t="s">
        <v>5919</v>
      </c>
      <c r="D1528" s="12" t="s">
        <v>5920</v>
      </c>
      <c r="E1528" s="12" t="s">
        <v>5924</v>
      </c>
      <c r="F1528" s="13">
        <v>85</v>
      </c>
      <c r="G1528" s="14"/>
      <c r="H1528" s="12" t="s">
        <v>38</v>
      </c>
      <c r="I1528" s="12" t="s">
        <v>159</v>
      </c>
      <c r="J1528" s="12" t="s">
        <v>341</v>
      </c>
      <c r="K1528" s="12" t="s">
        <v>199</v>
      </c>
      <c r="L1528" s="14"/>
      <c r="M1528" s="12" t="s">
        <v>43</v>
      </c>
      <c r="N1528" s="12" t="s">
        <v>84</v>
      </c>
      <c r="O1528" s="12" t="s">
        <v>5925</v>
      </c>
      <c r="P1528" s="12" t="s">
        <v>46</v>
      </c>
      <c r="Q1528" s="12" t="s">
        <v>47</v>
      </c>
      <c r="R1528" s="12" t="s">
        <v>163</v>
      </c>
      <c r="S1528" s="13">
        <v>197804549665</v>
      </c>
      <c r="T1528" s="12" t="s">
        <v>49</v>
      </c>
      <c r="U1528" s="13">
        <v>41</v>
      </c>
      <c r="V1528" s="12" t="s">
        <v>50</v>
      </c>
      <c r="W1528" s="12" t="s">
        <v>118</v>
      </c>
      <c r="X1528" s="14"/>
      <c r="Y1528" s="14"/>
      <c r="Z1528" s="14"/>
      <c r="AA1528" s="14"/>
      <c r="AB1528" s="14"/>
      <c r="AC1528" s="15">
        <v>40.950000000000003</v>
      </c>
      <c r="AD1528" s="15">
        <f>AC1528*AG1528</f>
        <v>163.80000000000001</v>
      </c>
      <c r="AE1528" s="15">
        <v>90</v>
      </c>
      <c r="AF1528" s="15">
        <f>AE1528*AG1528</f>
        <v>360</v>
      </c>
      <c r="AG1528" s="16">
        <v>4</v>
      </c>
    </row>
    <row r="1529" spans="1:33" ht="15" customHeight="1" x14ac:dyDescent="0.2">
      <c r="A1529" s="11" t="str">
        <f t="shared" ref="A1529:A1531" si="633">HYPERLINK("https://assets.vans.eu/images/VN000D9ACJ7-HERO/1","VN000D9ACJ71")</f>
        <v>VN000D9ACJ71</v>
      </c>
      <c r="B1529" s="12" t="s">
        <v>5926</v>
      </c>
      <c r="C1529" s="12" t="s">
        <v>2143</v>
      </c>
      <c r="D1529" s="12" t="s">
        <v>2144</v>
      </c>
      <c r="E1529" s="12" t="s">
        <v>5927</v>
      </c>
      <c r="F1529" s="13">
        <v>35</v>
      </c>
      <c r="G1529" s="12" t="s">
        <v>2146</v>
      </c>
      <c r="H1529" s="12" t="s">
        <v>38</v>
      </c>
      <c r="I1529" s="12" t="s">
        <v>113</v>
      </c>
      <c r="J1529" s="12" t="s">
        <v>529</v>
      </c>
      <c r="K1529" s="12" t="s">
        <v>82</v>
      </c>
      <c r="L1529" s="14"/>
      <c r="M1529" s="12" t="s">
        <v>43</v>
      </c>
      <c r="N1529" s="12" t="s">
        <v>84</v>
      </c>
      <c r="O1529" s="12" t="s">
        <v>5928</v>
      </c>
      <c r="P1529" s="12" t="s">
        <v>46</v>
      </c>
      <c r="Q1529" s="12" t="s">
        <v>47</v>
      </c>
      <c r="R1529" s="12" t="s">
        <v>117</v>
      </c>
      <c r="S1529" s="13">
        <v>197804548200</v>
      </c>
      <c r="T1529" s="12" t="s">
        <v>49</v>
      </c>
      <c r="U1529" s="13">
        <v>34.5</v>
      </c>
      <c r="V1529" s="12" t="s">
        <v>50</v>
      </c>
      <c r="W1529" s="12" t="s">
        <v>175</v>
      </c>
      <c r="X1529" s="14"/>
      <c r="Y1529" s="14"/>
      <c r="Z1529" s="14"/>
      <c r="AA1529" s="14"/>
      <c r="AB1529" s="14"/>
      <c r="AC1529" s="15">
        <v>40.950000000000003</v>
      </c>
      <c r="AD1529" s="15">
        <f>AC1529*AG1529</f>
        <v>163.80000000000001</v>
      </c>
      <c r="AE1529" s="15">
        <v>90</v>
      </c>
      <c r="AF1529" s="15">
        <f>AE1529*AG1529</f>
        <v>360</v>
      </c>
      <c r="AG1529" s="16">
        <v>4</v>
      </c>
    </row>
    <row r="1530" spans="1:33" ht="15" customHeight="1" x14ac:dyDescent="0.2">
      <c r="A1530" s="11" t="str">
        <f t="shared" si="633"/>
        <v>VN000D9ACJ71</v>
      </c>
      <c r="B1530" s="12" t="s">
        <v>5929</v>
      </c>
      <c r="C1530" s="12" t="s">
        <v>2143</v>
      </c>
      <c r="D1530" s="12" t="s">
        <v>2144</v>
      </c>
      <c r="E1530" s="12" t="s">
        <v>5930</v>
      </c>
      <c r="F1530" s="13">
        <v>105</v>
      </c>
      <c r="G1530" s="12" t="s">
        <v>2146</v>
      </c>
      <c r="H1530" s="12" t="s">
        <v>38</v>
      </c>
      <c r="I1530" s="12" t="s">
        <v>113</v>
      </c>
      <c r="J1530" s="12" t="s">
        <v>529</v>
      </c>
      <c r="K1530" s="12" t="s">
        <v>82</v>
      </c>
      <c r="L1530" s="14"/>
      <c r="M1530" s="12" t="s">
        <v>43</v>
      </c>
      <c r="N1530" s="12" t="s">
        <v>84</v>
      </c>
      <c r="O1530" s="12" t="s">
        <v>5931</v>
      </c>
      <c r="P1530" s="12" t="s">
        <v>46</v>
      </c>
      <c r="Q1530" s="12" t="s">
        <v>47</v>
      </c>
      <c r="R1530" s="12" t="s">
        <v>117</v>
      </c>
      <c r="S1530" s="13">
        <v>197804549979</v>
      </c>
      <c r="T1530" s="12" t="s">
        <v>49</v>
      </c>
      <c r="U1530" s="13">
        <v>44</v>
      </c>
      <c r="V1530" s="12" t="s">
        <v>50</v>
      </c>
      <c r="W1530" s="12" t="s">
        <v>175</v>
      </c>
      <c r="X1530" s="14"/>
      <c r="Y1530" s="14"/>
      <c r="Z1530" s="14"/>
      <c r="AA1530" s="14"/>
      <c r="AB1530" s="14"/>
      <c r="AC1530" s="15">
        <v>40.950000000000003</v>
      </c>
      <c r="AD1530" s="15">
        <f>AC1530*AG1530</f>
        <v>163.80000000000001</v>
      </c>
      <c r="AE1530" s="15">
        <v>90</v>
      </c>
      <c r="AF1530" s="15">
        <f>AE1530*AG1530</f>
        <v>360</v>
      </c>
      <c r="AG1530" s="16">
        <v>4</v>
      </c>
    </row>
    <row r="1531" spans="1:33" ht="15" customHeight="1" x14ac:dyDescent="0.2">
      <c r="A1531" s="11" t="str">
        <f t="shared" si="633"/>
        <v>VN000D9ACJ71</v>
      </c>
      <c r="B1531" s="12" t="s">
        <v>5932</v>
      </c>
      <c r="C1531" s="12" t="s">
        <v>2143</v>
      </c>
      <c r="D1531" s="12" t="s">
        <v>2144</v>
      </c>
      <c r="E1531" s="12" t="s">
        <v>5933</v>
      </c>
      <c r="F1531" s="13">
        <v>120</v>
      </c>
      <c r="G1531" s="12" t="s">
        <v>2146</v>
      </c>
      <c r="H1531" s="12" t="s">
        <v>38</v>
      </c>
      <c r="I1531" s="12" t="s">
        <v>113</v>
      </c>
      <c r="J1531" s="12" t="s">
        <v>529</v>
      </c>
      <c r="K1531" s="12" t="s">
        <v>82</v>
      </c>
      <c r="L1531" s="14"/>
      <c r="M1531" s="12" t="s">
        <v>43</v>
      </c>
      <c r="N1531" s="12" t="s">
        <v>84</v>
      </c>
      <c r="O1531" s="12" t="s">
        <v>5934</v>
      </c>
      <c r="P1531" s="12" t="s">
        <v>46</v>
      </c>
      <c r="Q1531" s="12" t="s">
        <v>47</v>
      </c>
      <c r="R1531" s="12" t="s">
        <v>117</v>
      </c>
      <c r="S1531" s="13">
        <v>197804550159</v>
      </c>
      <c r="T1531" s="12" t="s">
        <v>49</v>
      </c>
      <c r="U1531" s="13">
        <v>46</v>
      </c>
      <c r="V1531" s="12" t="s">
        <v>50</v>
      </c>
      <c r="W1531" s="12" t="s">
        <v>175</v>
      </c>
      <c r="X1531" s="14"/>
      <c r="Y1531" s="14"/>
      <c r="Z1531" s="14"/>
      <c r="AA1531" s="14"/>
      <c r="AB1531" s="14"/>
      <c r="AC1531" s="15">
        <v>40.950000000000003</v>
      </c>
      <c r="AD1531" s="15">
        <f>AC1531*AG1531</f>
        <v>163.80000000000001</v>
      </c>
      <c r="AE1531" s="15">
        <v>90</v>
      </c>
      <c r="AF1531" s="15">
        <f>AE1531*AG1531</f>
        <v>360</v>
      </c>
      <c r="AG1531" s="16">
        <v>4</v>
      </c>
    </row>
    <row r="1532" spans="1:33" ht="15" customHeight="1" x14ac:dyDescent="0.2">
      <c r="A1532" s="11" t="str">
        <f t="shared" ref="A1532:A1945" si="634">HYPERLINK("https://assets.vans.eu/images/VN000D9YRWZ-HERO/1","VN000D9YRWZ1")</f>
        <v>VN000D9YRWZ1</v>
      </c>
      <c r="B1532" s="12" t="s">
        <v>5935</v>
      </c>
      <c r="C1532" s="12" t="s">
        <v>34</v>
      </c>
      <c r="D1532" s="12" t="s">
        <v>5936</v>
      </c>
      <c r="E1532" s="12" t="s">
        <v>5937</v>
      </c>
      <c r="F1532" s="13">
        <v>50</v>
      </c>
      <c r="G1532" s="14"/>
      <c r="H1532" s="12" t="s">
        <v>38</v>
      </c>
      <c r="I1532" s="12" t="s">
        <v>113</v>
      </c>
      <c r="J1532" s="12" t="s">
        <v>114</v>
      </c>
      <c r="K1532" s="12" t="s">
        <v>82</v>
      </c>
      <c r="L1532" s="12" t="s">
        <v>260</v>
      </c>
      <c r="M1532" s="12" t="s">
        <v>43</v>
      </c>
      <c r="N1532" s="12" t="s">
        <v>84</v>
      </c>
      <c r="O1532" s="12" t="s">
        <v>5938</v>
      </c>
      <c r="P1532" s="12" t="s">
        <v>46</v>
      </c>
      <c r="Q1532" s="12" t="s">
        <v>47</v>
      </c>
      <c r="R1532" s="12" t="s">
        <v>117</v>
      </c>
      <c r="S1532" s="13">
        <v>197804612338</v>
      </c>
      <c r="T1532" s="12" t="s">
        <v>164</v>
      </c>
      <c r="U1532" s="13">
        <v>36.5</v>
      </c>
      <c r="V1532" s="12" t="s">
        <v>50</v>
      </c>
      <c r="W1532" s="12" t="s">
        <v>299</v>
      </c>
      <c r="X1532" s="14"/>
      <c r="Y1532" s="14"/>
      <c r="Z1532" s="14"/>
      <c r="AA1532" s="14"/>
      <c r="AB1532" s="14"/>
      <c r="AC1532" s="15">
        <v>38.65</v>
      </c>
      <c r="AD1532" s="15">
        <f>AC1532*AG1532</f>
        <v>154.6</v>
      </c>
      <c r="AE1532" s="15">
        <v>85</v>
      </c>
      <c r="AF1532" s="15">
        <f>AE1532*AG1532</f>
        <v>340</v>
      </c>
      <c r="AG1532" s="16">
        <v>4</v>
      </c>
    </row>
    <row r="1533" spans="1:33" ht="15" customHeight="1" x14ac:dyDescent="0.2">
      <c r="A1533" s="11" t="str">
        <f t="shared" ref="A1533:A1534" si="635">HYPERLINK("https://assets.vans.eu/images/VN000D9YTUP-HERO/1","VN000D9YTUP1")</f>
        <v>VN000D9YTUP1</v>
      </c>
      <c r="B1533" s="12" t="s">
        <v>5939</v>
      </c>
      <c r="C1533" s="12" t="s">
        <v>34</v>
      </c>
      <c r="D1533" s="12" t="s">
        <v>576</v>
      </c>
      <c r="E1533" s="12" t="s">
        <v>5940</v>
      </c>
      <c r="F1533" s="13">
        <v>45</v>
      </c>
      <c r="G1533" s="12" t="s">
        <v>4912</v>
      </c>
      <c r="H1533" s="12" t="s">
        <v>38</v>
      </c>
      <c r="I1533" s="12" t="s">
        <v>159</v>
      </c>
      <c r="J1533" s="12" t="s">
        <v>160</v>
      </c>
      <c r="K1533" s="12" t="s">
        <v>82</v>
      </c>
      <c r="L1533" s="14"/>
      <c r="M1533" s="12" t="s">
        <v>43</v>
      </c>
      <c r="N1533" s="12" t="s">
        <v>84</v>
      </c>
      <c r="O1533" s="12" t="s">
        <v>5941</v>
      </c>
      <c r="P1533" s="12" t="s">
        <v>46</v>
      </c>
      <c r="Q1533" s="12" t="s">
        <v>47</v>
      </c>
      <c r="R1533" s="12" t="s">
        <v>163</v>
      </c>
      <c r="S1533" s="13">
        <v>197804551040</v>
      </c>
      <c r="T1533" s="12" t="s">
        <v>49</v>
      </c>
      <c r="U1533" s="13">
        <v>36</v>
      </c>
      <c r="V1533" s="12" t="s">
        <v>50</v>
      </c>
      <c r="W1533" s="12" t="s">
        <v>580</v>
      </c>
      <c r="X1533" s="14"/>
      <c r="Y1533" s="14"/>
      <c r="Z1533" s="14"/>
      <c r="AA1533" s="14"/>
      <c r="AB1533" s="14"/>
      <c r="AC1533" s="15">
        <v>43.2</v>
      </c>
      <c r="AD1533" s="15">
        <f>AC1533*AG1533</f>
        <v>172.8</v>
      </c>
      <c r="AE1533" s="15">
        <v>95</v>
      </c>
      <c r="AF1533" s="15">
        <f>AE1533*AG1533</f>
        <v>380</v>
      </c>
      <c r="AG1533" s="16">
        <v>4</v>
      </c>
    </row>
    <row r="1534" spans="1:33" ht="15" customHeight="1" x14ac:dyDescent="0.2">
      <c r="A1534" s="11" t="str">
        <f t="shared" si="635"/>
        <v>VN000D9YTUP1</v>
      </c>
      <c r="B1534" s="12" t="s">
        <v>5942</v>
      </c>
      <c r="C1534" s="12" t="s">
        <v>34</v>
      </c>
      <c r="D1534" s="12" t="s">
        <v>576</v>
      </c>
      <c r="E1534" s="12" t="s">
        <v>5943</v>
      </c>
      <c r="F1534" s="13">
        <v>55</v>
      </c>
      <c r="G1534" s="12" t="s">
        <v>4912</v>
      </c>
      <c r="H1534" s="12" t="s">
        <v>38</v>
      </c>
      <c r="I1534" s="12" t="s">
        <v>159</v>
      </c>
      <c r="J1534" s="12" t="s">
        <v>160</v>
      </c>
      <c r="K1534" s="12" t="s">
        <v>82</v>
      </c>
      <c r="L1534" s="14"/>
      <c r="M1534" s="12" t="s">
        <v>43</v>
      </c>
      <c r="N1534" s="12" t="s">
        <v>84</v>
      </c>
      <c r="O1534" s="12" t="s">
        <v>5944</v>
      </c>
      <c r="P1534" s="12" t="s">
        <v>46</v>
      </c>
      <c r="Q1534" s="12" t="s">
        <v>47</v>
      </c>
      <c r="R1534" s="12" t="s">
        <v>163</v>
      </c>
      <c r="S1534" s="13">
        <v>197804551309</v>
      </c>
      <c r="T1534" s="12" t="s">
        <v>49</v>
      </c>
      <c r="U1534" s="13">
        <v>37</v>
      </c>
      <c r="V1534" s="12" t="s">
        <v>50</v>
      </c>
      <c r="W1534" s="12" t="s">
        <v>580</v>
      </c>
      <c r="X1534" s="14"/>
      <c r="Y1534" s="14"/>
      <c r="Z1534" s="14"/>
      <c r="AA1534" s="14"/>
      <c r="AB1534" s="14"/>
      <c r="AC1534" s="15">
        <v>43.2</v>
      </c>
      <c r="AD1534" s="15">
        <f>AC1534*AG1534</f>
        <v>172.8</v>
      </c>
      <c r="AE1534" s="15">
        <v>95</v>
      </c>
      <c r="AF1534" s="15">
        <f>AE1534*AG1534</f>
        <v>380</v>
      </c>
      <c r="AG1534" s="16">
        <v>4</v>
      </c>
    </row>
    <row r="1535" spans="1:33" ht="15" customHeight="1" x14ac:dyDescent="0.2">
      <c r="A1535" s="11" t="str">
        <f t="shared" ref="A1535:A1947" si="636">HYPERLINK("https://assets.vans.eu/images/VN000DA1Z34-HERO/1","VN000DA1Z341")</f>
        <v>VN000DA1Z341</v>
      </c>
      <c r="B1535" s="12" t="s">
        <v>5945</v>
      </c>
      <c r="C1535" s="12" t="s">
        <v>5946</v>
      </c>
      <c r="D1535" s="12" t="s">
        <v>5947</v>
      </c>
      <c r="E1535" s="12" t="s">
        <v>5948</v>
      </c>
      <c r="F1535" s="13">
        <v>105</v>
      </c>
      <c r="G1535" s="12" t="s">
        <v>5949</v>
      </c>
      <c r="H1535" s="12" t="s">
        <v>38</v>
      </c>
      <c r="I1535" s="12" t="s">
        <v>159</v>
      </c>
      <c r="J1535" s="12" t="s">
        <v>341</v>
      </c>
      <c r="K1535" s="12" t="s">
        <v>199</v>
      </c>
      <c r="L1535" s="14"/>
      <c r="M1535" s="12" t="s">
        <v>43</v>
      </c>
      <c r="N1535" s="12" t="s">
        <v>84</v>
      </c>
      <c r="O1535" s="12" t="s">
        <v>5950</v>
      </c>
      <c r="P1535" s="12" t="s">
        <v>46</v>
      </c>
      <c r="Q1535" s="12" t="s">
        <v>47</v>
      </c>
      <c r="R1535" s="12" t="s">
        <v>163</v>
      </c>
      <c r="S1535" s="13">
        <v>197804554393</v>
      </c>
      <c r="T1535" s="12" t="s">
        <v>49</v>
      </c>
      <c r="U1535" s="13">
        <v>44</v>
      </c>
      <c r="V1535" s="12" t="s">
        <v>50</v>
      </c>
      <c r="W1535" s="12" t="s">
        <v>175</v>
      </c>
      <c r="X1535" s="14"/>
      <c r="Y1535" s="14"/>
      <c r="Z1535" s="14"/>
      <c r="AA1535" s="14"/>
      <c r="AB1535" s="14"/>
      <c r="AC1535" s="15">
        <v>54.55</v>
      </c>
      <c r="AD1535" s="15">
        <f>AC1535*AG1535</f>
        <v>218.2</v>
      </c>
      <c r="AE1535" s="15">
        <v>120</v>
      </c>
      <c r="AF1535" s="15">
        <f>AE1535*AG1535</f>
        <v>480</v>
      </c>
      <c r="AG1535" s="16">
        <v>4</v>
      </c>
    </row>
    <row r="1536" spans="1:33" ht="15" customHeight="1" x14ac:dyDescent="0.2">
      <c r="A1536" s="11" t="str">
        <f t="shared" ref="A1536:A1949" si="637">HYPERLINK("https://assets.vans.eu/images/VN000DA2B9M-HERO/1","VN000DA2B9M1")</f>
        <v>VN000DA2B9M1</v>
      </c>
      <c r="B1536" s="12" t="s">
        <v>5951</v>
      </c>
      <c r="C1536" s="12" t="s">
        <v>3032</v>
      </c>
      <c r="D1536" s="12" t="s">
        <v>339</v>
      </c>
      <c r="E1536" s="12" t="s">
        <v>5952</v>
      </c>
      <c r="F1536" s="13">
        <v>75</v>
      </c>
      <c r="G1536" s="12" t="s">
        <v>5949</v>
      </c>
      <c r="H1536" s="12" t="s">
        <v>38</v>
      </c>
      <c r="I1536" s="12" t="s">
        <v>159</v>
      </c>
      <c r="J1536" s="12" t="s">
        <v>341</v>
      </c>
      <c r="K1536" s="12" t="s">
        <v>199</v>
      </c>
      <c r="L1536" s="14"/>
      <c r="M1536" s="12" t="s">
        <v>43</v>
      </c>
      <c r="N1536" s="12" t="s">
        <v>84</v>
      </c>
      <c r="O1536" s="12" t="s">
        <v>5953</v>
      </c>
      <c r="P1536" s="12" t="s">
        <v>46</v>
      </c>
      <c r="Q1536" s="12" t="s">
        <v>47</v>
      </c>
      <c r="R1536" s="12" t="s">
        <v>163</v>
      </c>
      <c r="S1536" s="13">
        <v>197804554614</v>
      </c>
      <c r="T1536" s="12" t="s">
        <v>105</v>
      </c>
      <c r="U1536" s="13">
        <v>40</v>
      </c>
      <c r="V1536" s="12" t="s">
        <v>50</v>
      </c>
      <c r="W1536" s="12" t="s">
        <v>51</v>
      </c>
      <c r="X1536" s="14"/>
      <c r="Y1536" s="14"/>
      <c r="Z1536" s="14"/>
      <c r="AA1536" s="14"/>
      <c r="AB1536" s="14"/>
      <c r="AC1536" s="15">
        <v>40.950000000000003</v>
      </c>
      <c r="AD1536" s="15">
        <f>AC1536*AG1536</f>
        <v>163.80000000000001</v>
      </c>
      <c r="AE1536" s="15">
        <v>90</v>
      </c>
      <c r="AF1536" s="15">
        <f>AE1536*AG1536</f>
        <v>360</v>
      </c>
      <c r="AG1536" s="16">
        <v>4</v>
      </c>
    </row>
    <row r="1537" spans="1:33" ht="15" customHeight="1" x14ac:dyDescent="0.2">
      <c r="A1537" s="11" t="str">
        <f t="shared" ref="A1537:A2734" si="638">HYPERLINK("https://assets.vans.eu/images/VN000DAHY40-HERO/1","VN000DAHY401")</f>
        <v>VN000DAHY401</v>
      </c>
      <c r="B1537" s="12" t="s">
        <v>5954</v>
      </c>
      <c r="C1537" s="12" t="s">
        <v>3586</v>
      </c>
      <c r="D1537" s="12" t="s">
        <v>5955</v>
      </c>
      <c r="E1537" s="12" t="s">
        <v>5956</v>
      </c>
      <c r="F1537" s="13">
        <v>90</v>
      </c>
      <c r="G1537" s="12" t="s">
        <v>5909</v>
      </c>
      <c r="H1537" s="12" t="s">
        <v>38</v>
      </c>
      <c r="I1537" s="12" t="s">
        <v>159</v>
      </c>
      <c r="J1537" s="12" t="s">
        <v>160</v>
      </c>
      <c r="K1537" s="12" t="s">
        <v>82</v>
      </c>
      <c r="L1537" s="14"/>
      <c r="M1537" s="12" t="s">
        <v>43</v>
      </c>
      <c r="N1537" s="12" t="s">
        <v>84</v>
      </c>
      <c r="O1537" s="12" t="s">
        <v>5957</v>
      </c>
      <c r="P1537" s="12" t="s">
        <v>46</v>
      </c>
      <c r="Q1537" s="12" t="s">
        <v>47</v>
      </c>
      <c r="R1537" s="12" t="s">
        <v>163</v>
      </c>
      <c r="S1537" s="13">
        <v>197804484133</v>
      </c>
      <c r="T1537" s="12" t="s">
        <v>49</v>
      </c>
      <c r="U1537" s="13">
        <v>42</v>
      </c>
      <c r="V1537" s="12" t="s">
        <v>209</v>
      </c>
      <c r="W1537" s="12" t="s">
        <v>284</v>
      </c>
      <c r="X1537" s="14"/>
      <c r="Y1537" s="14"/>
      <c r="Z1537" s="14"/>
      <c r="AA1537" s="14"/>
      <c r="AB1537" s="14"/>
      <c r="AC1537" s="15">
        <v>36.4</v>
      </c>
      <c r="AD1537" s="15">
        <f>AC1537*AG1537</f>
        <v>145.6</v>
      </c>
      <c r="AE1537" s="15">
        <v>80</v>
      </c>
      <c r="AF1537" s="15">
        <f>AE1537*AG1537</f>
        <v>320</v>
      </c>
      <c r="AG1537" s="16">
        <v>4</v>
      </c>
    </row>
    <row r="1538" spans="1:33" ht="15" customHeight="1" x14ac:dyDescent="0.2">
      <c r="A1538" s="11" t="str">
        <f t="shared" ref="A1538:A1953" si="639">HYPERLINK("https://assets.vans.eu/images/VN000DAMLM3-HERO/1","VN000DAMLM31")</f>
        <v>VN000DAMLM31</v>
      </c>
      <c r="B1538" s="12" t="s">
        <v>5958</v>
      </c>
      <c r="C1538" s="12" t="s">
        <v>5959</v>
      </c>
      <c r="D1538" s="12" t="s">
        <v>5960</v>
      </c>
      <c r="E1538" s="12" t="s">
        <v>5961</v>
      </c>
      <c r="F1538" s="13">
        <v>50</v>
      </c>
      <c r="G1538" s="14"/>
      <c r="H1538" s="12" t="s">
        <v>38</v>
      </c>
      <c r="I1538" s="12" t="s">
        <v>113</v>
      </c>
      <c r="J1538" s="12" t="s">
        <v>529</v>
      </c>
      <c r="K1538" s="12" t="s">
        <v>82</v>
      </c>
      <c r="L1538" s="14"/>
      <c r="M1538" s="12" t="s">
        <v>43</v>
      </c>
      <c r="N1538" s="12" t="s">
        <v>84</v>
      </c>
      <c r="O1538" s="12" t="s">
        <v>5962</v>
      </c>
      <c r="P1538" s="12" t="s">
        <v>46</v>
      </c>
      <c r="Q1538" s="12" t="s">
        <v>47</v>
      </c>
      <c r="R1538" s="12" t="s">
        <v>117</v>
      </c>
      <c r="S1538" s="13">
        <v>197804484546</v>
      </c>
      <c r="T1538" s="12" t="s">
        <v>49</v>
      </c>
      <c r="U1538" s="13">
        <v>36.5</v>
      </c>
      <c r="V1538" s="12" t="s">
        <v>50</v>
      </c>
      <c r="W1538" s="12" t="s">
        <v>299</v>
      </c>
      <c r="X1538" s="14"/>
      <c r="Y1538" s="14"/>
      <c r="Z1538" s="14"/>
      <c r="AA1538" s="14"/>
      <c r="AB1538" s="14"/>
      <c r="AC1538" s="15">
        <v>88.65</v>
      </c>
      <c r="AD1538" s="15">
        <f>AC1538*AG1538</f>
        <v>354.6</v>
      </c>
      <c r="AE1538" s="15">
        <v>195</v>
      </c>
      <c r="AF1538" s="15">
        <f>AE1538*AG1538</f>
        <v>780</v>
      </c>
      <c r="AG1538" s="16">
        <v>4</v>
      </c>
    </row>
    <row r="1539" spans="1:33" ht="15" customHeight="1" x14ac:dyDescent="0.2">
      <c r="A1539" s="11" t="str">
        <f t="shared" ref="A1539:A2749" si="640">HYPERLINK("https://assets.vans.eu/images/VN000DAQRPK-HERO/1","VN000DAQRPK1")</f>
        <v>VN000DAQRPK1</v>
      </c>
      <c r="B1539" s="12" t="s">
        <v>5963</v>
      </c>
      <c r="C1539" s="12" t="s">
        <v>2817</v>
      </c>
      <c r="D1539" s="12" t="s">
        <v>5878</v>
      </c>
      <c r="E1539" s="12" t="s">
        <v>5964</v>
      </c>
      <c r="F1539" s="13">
        <v>50</v>
      </c>
      <c r="G1539" s="14"/>
      <c r="H1539" s="12" t="s">
        <v>38</v>
      </c>
      <c r="I1539" s="12" t="s">
        <v>113</v>
      </c>
      <c r="J1539" s="12" t="s">
        <v>114</v>
      </c>
      <c r="K1539" s="12" t="s">
        <v>82</v>
      </c>
      <c r="L1539" s="14"/>
      <c r="M1539" s="12" t="s">
        <v>43</v>
      </c>
      <c r="N1539" s="12" t="s">
        <v>84</v>
      </c>
      <c r="O1539" s="12" t="s">
        <v>5965</v>
      </c>
      <c r="P1539" s="12" t="s">
        <v>46</v>
      </c>
      <c r="Q1539" s="12" t="s">
        <v>47</v>
      </c>
      <c r="R1539" s="12" t="s">
        <v>948</v>
      </c>
      <c r="S1539" s="13">
        <v>197804558247</v>
      </c>
      <c r="T1539" s="12" t="s">
        <v>49</v>
      </c>
      <c r="U1539" s="13">
        <v>36.5</v>
      </c>
      <c r="V1539" s="12" t="s">
        <v>50</v>
      </c>
      <c r="W1539" s="12" t="s">
        <v>186</v>
      </c>
      <c r="X1539" s="14"/>
      <c r="Y1539" s="14"/>
      <c r="Z1539" s="14"/>
      <c r="AA1539" s="14"/>
      <c r="AB1539" s="14"/>
      <c r="AC1539" s="15">
        <v>65.95</v>
      </c>
      <c r="AD1539" s="15">
        <f>AC1539*AG1539</f>
        <v>263.8</v>
      </c>
      <c r="AE1539" s="15">
        <v>145</v>
      </c>
      <c r="AF1539" s="15">
        <f>AE1539*AG1539</f>
        <v>580</v>
      </c>
      <c r="AG1539" s="16">
        <v>4</v>
      </c>
    </row>
    <row r="1540" spans="1:33" ht="15" customHeight="1" x14ac:dyDescent="0.2">
      <c r="A1540" s="11" t="str">
        <f t="shared" ref="A1540:A1960" si="641">HYPERLINK("https://assets.vans.eu/images/VN000DARBKL-HERO/1","VN000DARBKL1")</f>
        <v>VN000DARBKL1</v>
      </c>
      <c r="B1540" s="12" t="s">
        <v>5966</v>
      </c>
      <c r="C1540" s="12" t="s">
        <v>4405</v>
      </c>
      <c r="D1540" s="12" t="s">
        <v>5967</v>
      </c>
      <c r="E1540" s="12" t="s">
        <v>5968</v>
      </c>
      <c r="F1540" s="13">
        <v>65</v>
      </c>
      <c r="G1540" s="14"/>
      <c r="H1540" s="12" t="s">
        <v>38</v>
      </c>
      <c r="I1540" s="12" t="s">
        <v>159</v>
      </c>
      <c r="J1540" s="12" t="s">
        <v>160</v>
      </c>
      <c r="K1540" s="12" t="s">
        <v>82</v>
      </c>
      <c r="L1540" s="14"/>
      <c r="M1540" s="12" t="s">
        <v>43</v>
      </c>
      <c r="N1540" s="12" t="s">
        <v>84</v>
      </c>
      <c r="O1540" s="12" t="s">
        <v>5969</v>
      </c>
      <c r="P1540" s="12" t="s">
        <v>46</v>
      </c>
      <c r="Q1540" s="12" t="s">
        <v>47</v>
      </c>
      <c r="R1540" s="12" t="s">
        <v>1660</v>
      </c>
      <c r="S1540" s="13">
        <v>197804559886</v>
      </c>
      <c r="T1540" s="12" t="s">
        <v>49</v>
      </c>
      <c r="U1540" s="13">
        <v>38.5</v>
      </c>
      <c r="V1540" s="12" t="s">
        <v>50</v>
      </c>
      <c r="W1540" s="12" t="s">
        <v>186</v>
      </c>
      <c r="X1540" s="14"/>
      <c r="Y1540" s="14"/>
      <c r="Z1540" s="14"/>
      <c r="AA1540" s="14"/>
      <c r="AB1540" s="14"/>
      <c r="AC1540" s="15">
        <v>84.1</v>
      </c>
      <c r="AD1540" s="15">
        <f>AC1540*AG1540</f>
        <v>336.4</v>
      </c>
      <c r="AE1540" s="15">
        <v>185</v>
      </c>
      <c r="AF1540" s="15">
        <f>AE1540*AG1540</f>
        <v>740</v>
      </c>
      <c r="AG1540" s="16">
        <v>4</v>
      </c>
    </row>
    <row r="1541" spans="1:33" ht="15" customHeight="1" x14ac:dyDescent="0.2">
      <c r="A1541" s="11" t="str">
        <f t="shared" si="463"/>
        <v>VN000DARC9F1</v>
      </c>
      <c r="B1541" s="12" t="s">
        <v>5970</v>
      </c>
      <c r="C1541" s="12" t="s">
        <v>4405</v>
      </c>
      <c r="D1541" s="12" t="s">
        <v>2056</v>
      </c>
      <c r="E1541" s="12" t="s">
        <v>5971</v>
      </c>
      <c r="F1541" s="13">
        <v>60</v>
      </c>
      <c r="G1541" s="14"/>
      <c r="H1541" s="12" t="s">
        <v>38</v>
      </c>
      <c r="I1541" s="12" t="s">
        <v>113</v>
      </c>
      <c r="J1541" s="12" t="s">
        <v>114</v>
      </c>
      <c r="K1541" s="12" t="s">
        <v>82</v>
      </c>
      <c r="L1541" s="14"/>
      <c r="M1541" s="12" t="s">
        <v>43</v>
      </c>
      <c r="N1541" s="12" t="s">
        <v>84</v>
      </c>
      <c r="O1541" s="12" t="s">
        <v>5972</v>
      </c>
      <c r="P1541" s="12" t="s">
        <v>46</v>
      </c>
      <c r="Q1541" s="12" t="s">
        <v>47</v>
      </c>
      <c r="R1541" s="12" t="s">
        <v>948</v>
      </c>
      <c r="S1541" s="13">
        <v>197804559657</v>
      </c>
      <c r="T1541" s="12" t="s">
        <v>49</v>
      </c>
      <c r="U1541" s="13">
        <v>38</v>
      </c>
      <c r="V1541" s="12" t="s">
        <v>50</v>
      </c>
      <c r="W1541" s="12" t="s">
        <v>175</v>
      </c>
      <c r="X1541" s="14"/>
      <c r="Y1541" s="14"/>
      <c r="Z1541" s="14"/>
      <c r="AA1541" s="14"/>
      <c r="AB1541" s="14"/>
      <c r="AC1541" s="15">
        <v>84.1</v>
      </c>
      <c r="AD1541" s="15">
        <f>AC1541*AG1541</f>
        <v>336.4</v>
      </c>
      <c r="AE1541" s="15">
        <v>185</v>
      </c>
      <c r="AF1541" s="15">
        <f>AE1541*AG1541</f>
        <v>740</v>
      </c>
      <c r="AG1541" s="16">
        <v>4</v>
      </c>
    </row>
    <row r="1542" spans="1:33" ht="15" customHeight="1" x14ac:dyDescent="0.2">
      <c r="A1542" s="11" t="str">
        <f t="shared" ref="A1542:A1543" si="642">HYPERLINK("https://assets.vans.eu/images/VN000DAZSTN-HERO/1","VN000DAZSTN1")</f>
        <v>VN000DAZSTN1</v>
      </c>
      <c r="B1542" s="12" t="s">
        <v>5973</v>
      </c>
      <c r="C1542" s="12" t="s">
        <v>4001</v>
      </c>
      <c r="D1542" s="12" t="s">
        <v>5974</v>
      </c>
      <c r="E1542" s="12" t="s">
        <v>5975</v>
      </c>
      <c r="F1542" s="13">
        <v>60</v>
      </c>
      <c r="G1542" s="14"/>
      <c r="H1542" s="12" t="s">
        <v>38</v>
      </c>
      <c r="I1542" s="12" t="s">
        <v>113</v>
      </c>
      <c r="J1542" s="12" t="s">
        <v>114</v>
      </c>
      <c r="K1542" s="12" t="s">
        <v>82</v>
      </c>
      <c r="L1542" s="14"/>
      <c r="M1542" s="12" t="s">
        <v>43</v>
      </c>
      <c r="N1542" s="12" t="s">
        <v>84</v>
      </c>
      <c r="O1542" s="12" t="s">
        <v>5976</v>
      </c>
      <c r="P1542" s="12" t="s">
        <v>46</v>
      </c>
      <c r="Q1542" s="12" t="s">
        <v>47</v>
      </c>
      <c r="R1542" s="12" t="s">
        <v>117</v>
      </c>
      <c r="S1542" s="13">
        <v>197804489206</v>
      </c>
      <c r="T1542" s="12" t="s">
        <v>49</v>
      </c>
      <c r="U1542" s="13">
        <v>38</v>
      </c>
      <c r="V1542" s="12" t="s">
        <v>50</v>
      </c>
      <c r="W1542" s="12" t="s">
        <v>299</v>
      </c>
      <c r="X1542" s="14"/>
      <c r="Y1542" s="14"/>
      <c r="Z1542" s="14"/>
      <c r="AA1542" s="14"/>
      <c r="AB1542" s="14"/>
      <c r="AC1542" s="15">
        <v>61.4</v>
      </c>
      <c r="AD1542" s="15">
        <f>AC1542*AG1542</f>
        <v>245.6</v>
      </c>
      <c r="AE1542" s="15">
        <v>135</v>
      </c>
      <c r="AF1542" s="15">
        <f>AE1542*AG1542</f>
        <v>540</v>
      </c>
      <c r="AG1542" s="16">
        <v>4</v>
      </c>
    </row>
    <row r="1543" spans="1:33" ht="15" customHeight="1" x14ac:dyDescent="0.2">
      <c r="A1543" s="11" t="str">
        <f t="shared" si="642"/>
        <v>VN000DAZSTN1</v>
      </c>
      <c r="B1543" s="12" t="s">
        <v>5977</v>
      </c>
      <c r="C1543" s="12" t="s">
        <v>4001</v>
      </c>
      <c r="D1543" s="12" t="s">
        <v>5974</v>
      </c>
      <c r="E1543" s="12" t="s">
        <v>5978</v>
      </c>
      <c r="F1543" s="13">
        <v>65</v>
      </c>
      <c r="G1543" s="14"/>
      <c r="H1543" s="12" t="s">
        <v>38</v>
      </c>
      <c r="I1543" s="12" t="s">
        <v>113</v>
      </c>
      <c r="J1543" s="12" t="s">
        <v>114</v>
      </c>
      <c r="K1543" s="12" t="s">
        <v>82</v>
      </c>
      <c r="L1543" s="14"/>
      <c r="M1543" s="12" t="s">
        <v>43</v>
      </c>
      <c r="N1543" s="12" t="s">
        <v>84</v>
      </c>
      <c r="O1543" s="12" t="s">
        <v>5979</v>
      </c>
      <c r="P1543" s="12" t="s">
        <v>46</v>
      </c>
      <c r="Q1543" s="12" t="s">
        <v>47</v>
      </c>
      <c r="R1543" s="12" t="s">
        <v>117</v>
      </c>
      <c r="S1543" s="13">
        <v>197804489299</v>
      </c>
      <c r="T1543" s="12" t="s">
        <v>49</v>
      </c>
      <c r="U1543" s="13">
        <v>38.5</v>
      </c>
      <c r="V1543" s="12" t="s">
        <v>50</v>
      </c>
      <c r="W1543" s="12" t="s">
        <v>299</v>
      </c>
      <c r="X1543" s="14"/>
      <c r="Y1543" s="14"/>
      <c r="Z1543" s="14"/>
      <c r="AA1543" s="14"/>
      <c r="AB1543" s="14"/>
      <c r="AC1543" s="15">
        <v>61.4</v>
      </c>
      <c r="AD1543" s="15">
        <f>AC1543*AG1543</f>
        <v>245.6</v>
      </c>
      <c r="AE1543" s="15">
        <v>135</v>
      </c>
      <c r="AF1543" s="15">
        <f>AE1543*AG1543</f>
        <v>540</v>
      </c>
      <c r="AG1543" s="16">
        <v>4</v>
      </c>
    </row>
    <row r="1544" spans="1:33" ht="15" customHeight="1" x14ac:dyDescent="0.2">
      <c r="A1544" s="11" t="str">
        <f t="shared" ref="A1544:A4588" si="643">HYPERLINK("https://assets.vans.eu/images/VN000DB3Y23-HERO/1","VN000DB3Y231")</f>
        <v>VN000DB3Y231</v>
      </c>
      <c r="B1544" s="12" t="s">
        <v>5980</v>
      </c>
      <c r="C1544" s="12" t="s">
        <v>34</v>
      </c>
      <c r="D1544" s="12" t="s">
        <v>1312</v>
      </c>
      <c r="E1544" s="12" t="s">
        <v>5981</v>
      </c>
      <c r="F1544" s="13">
        <v>110</v>
      </c>
      <c r="G1544" s="14"/>
      <c r="H1544" s="12" t="s">
        <v>38</v>
      </c>
      <c r="I1544" s="12" t="s">
        <v>159</v>
      </c>
      <c r="J1544" s="12" t="s">
        <v>160</v>
      </c>
      <c r="K1544" s="12" t="s">
        <v>82</v>
      </c>
      <c r="L1544" s="12" t="s">
        <v>260</v>
      </c>
      <c r="M1544" s="12" t="s">
        <v>43</v>
      </c>
      <c r="N1544" s="12" t="s">
        <v>84</v>
      </c>
      <c r="O1544" s="12" t="s">
        <v>5982</v>
      </c>
      <c r="P1544" s="12" t="s">
        <v>46</v>
      </c>
      <c r="Q1544" s="12" t="s">
        <v>47</v>
      </c>
      <c r="R1544" s="12" t="s">
        <v>163</v>
      </c>
      <c r="S1544" s="13">
        <v>197804591244</v>
      </c>
      <c r="T1544" s="12" t="s">
        <v>49</v>
      </c>
      <c r="U1544" s="13">
        <v>44.5</v>
      </c>
      <c r="V1544" s="12" t="s">
        <v>50</v>
      </c>
      <c r="W1544" s="12" t="s">
        <v>51</v>
      </c>
      <c r="X1544" s="14"/>
      <c r="Y1544" s="14"/>
      <c r="Z1544" s="14"/>
      <c r="AA1544" s="14"/>
      <c r="AB1544" s="14"/>
      <c r="AC1544" s="15">
        <v>40.950000000000003</v>
      </c>
      <c r="AD1544" s="15">
        <f>AC1544*AG1544</f>
        <v>163.80000000000001</v>
      </c>
      <c r="AE1544" s="15">
        <v>90</v>
      </c>
      <c r="AF1544" s="15">
        <f>AE1544*AG1544</f>
        <v>360</v>
      </c>
      <c r="AG1544" s="16">
        <v>4</v>
      </c>
    </row>
    <row r="1545" spans="1:33" ht="15" customHeight="1" x14ac:dyDescent="0.2">
      <c r="A1545" s="11" t="str">
        <f t="shared" ref="A1545:A2768" si="644">HYPERLINK("https://assets.vans.eu/images/VN000DCBYJ7-HERO/1","VN000DCBYJ71")</f>
        <v>VN000DCBYJ71</v>
      </c>
      <c r="B1545" s="12" t="s">
        <v>5983</v>
      </c>
      <c r="C1545" s="12" t="s">
        <v>5984</v>
      </c>
      <c r="D1545" s="12" t="s">
        <v>1300</v>
      </c>
      <c r="E1545" s="12" t="s">
        <v>5985</v>
      </c>
      <c r="F1545" s="13">
        <v>35</v>
      </c>
      <c r="G1545" s="12" t="s">
        <v>953</v>
      </c>
      <c r="H1545" s="12" t="s">
        <v>38</v>
      </c>
      <c r="I1545" s="12" t="s">
        <v>159</v>
      </c>
      <c r="J1545" s="12" t="s">
        <v>160</v>
      </c>
      <c r="K1545" s="12" t="s">
        <v>82</v>
      </c>
      <c r="L1545" s="14"/>
      <c r="M1545" s="12" t="s">
        <v>43</v>
      </c>
      <c r="N1545" s="12" t="s">
        <v>84</v>
      </c>
      <c r="O1545" s="12" t="s">
        <v>5986</v>
      </c>
      <c r="P1545" s="12" t="s">
        <v>46</v>
      </c>
      <c r="Q1545" s="12" t="s">
        <v>47</v>
      </c>
      <c r="R1545" s="12" t="s">
        <v>1660</v>
      </c>
      <c r="S1545" s="13">
        <v>197804563050</v>
      </c>
      <c r="T1545" s="12" t="s">
        <v>49</v>
      </c>
      <c r="U1545" s="13">
        <v>34.5</v>
      </c>
      <c r="V1545" s="12" t="s">
        <v>50</v>
      </c>
      <c r="W1545" s="12" t="s">
        <v>51</v>
      </c>
      <c r="X1545" s="14"/>
      <c r="Y1545" s="14"/>
      <c r="Z1545" s="14"/>
      <c r="AA1545" s="14"/>
      <c r="AB1545" s="14"/>
      <c r="AC1545" s="15">
        <v>63.65</v>
      </c>
      <c r="AD1545" s="15">
        <f>AC1545*AG1545</f>
        <v>254.6</v>
      </c>
      <c r="AE1545" s="15">
        <v>140</v>
      </c>
      <c r="AF1545" s="15">
        <f>AE1545*AG1545</f>
        <v>560</v>
      </c>
      <c r="AG1545" s="16">
        <v>4</v>
      </c>
    </row>
    <row r="1546" spans="1:33" ht="15" customHeight="1" x14ac:dyDescent="0.2">
      <c r="A1546" s="11" t="str">
        <f t="shared" ref="A1546:A2770" si="645">HYPERLINK("https://assets.vans.eu/images/VN000DCE2VZ-HERO/1","VN000DCE2VZ1")</f>
        <v>VN000DCE2VZ1</v>
      </c>
      <c r="B1546" s="12" t="s">
        <v>5987</v>
      </c>
      <c r="C1546" s="12" t="s">
        <v>266</v>
      </c>
      <c r="D1546" s="12" t="s">
        <v>5988</v>
      </c>
      <c r="E1546" s="12" t="s">
        <v>5989</v>
      </c>
      <c r="F1546" s="13">
        <v>65</v>
      </c>
      <c r="G1546" s="12" t="s">
        <v>5990</v>
      </c>
      <c r="H1546" s="12" t="s">
        <v>38</v>
      </c>
      <c r="I1546" s="12" t="s">
        <v>113</v>
      </c>
      <c r="J1546" s="12" t="s">
        <v>114</v>
      </c>
      <c r="K1546" s="12" t="s">
        <v>82</v>
      </c>
      <c r="L1546" s="14"/>
      <c r="M1546" s="12" t="s">
        <v>43</v>
      </c>
      <c r="N1546" s="12" t="s">
        <v>84</v>
      </c>
      <c r="O1546" s="12" t="s">
        <v>5991</v>
      </c>
      <c r="P1546" s="12" t="s">
        <v>46</v>
      </c>
      <c r="Q1546" s="12" t="s">
        <v>47</v>
      </c>
      <c r="R1546" s="12" t="s">
        <v>117</v>
      </c>
      <c r="S1546" s="13">
        <v>197804563739</v>
      </c>
      <c r="T1546" s="12" t="s">
        <v>49</v>
      </c>
      <c r="U1546" s="13">
        <v>38.5</v>
      </c>
      <c r="V1546" s="12" t="s">
        <v>50</v>
      </c>
      <c r="W1546" s="12" t="s">
        <v>175</v>
      </c>
      <c r="X1546" s="14"/>
      <c r="Y1546" s="14"/>
      <c r="Z1546" s="14"/>
      <c r="AA1546" s="14"/>
      <c r="AB1546" s="14"/>
      <c r="AC1546" s="15">
        <v>40.950000000000003</v>
      </c>
      <c r="AD1546" s="15">
        <f>AC1546*AG1546</f>
        <v>163.80000000000001</v>
      </c>
      <c r="AE1546" s="15">
        <v>90</v>
      </c>
      <c r="AF1546" s="15">
        <f>AE1546*AG1546</f>
        <v>360</v>
      </c>
      <c r="AG1546" s="16">
        <v>4</v>
      </c>
    </row>
    <row r="1547" spans="1:33" ht="15" customHeight="1" x14ac:dyDescent="0.2">
      <c r="A1547" s="11" t="str">
        <f t="shared" ref="A1547:A1548" si="646">HYPERLINK("https://assets.vans.eu/images/VN000DCEBRD-HERO/1","VN000DCEBRD1")</f>
        <v>VN000DCEBRD1</v>
      </c>
      <c r="B1547" s="12" t="s">
        <v>5992</v>
      </c>
      <c r="C1547" s="12" t="s">
        <v>266</v>
      </c>
      <c r="D1547" s="12" t="s">
        <v>590</v>
      </c>
      <c r="E1547" s="12" t="s">
        <v>5993</v>
      </c>
      <c r="F1547" s="13">
        <v>50</v>
      </c>
      <c r="G1547" s="12" t="s">
        <v>5990</v>
      </c>
      <c r="H1547" s="12" t="s">
        <v>38</v>
      </c>
      <c r="I1547" s="12" t="s">
        <v>113</v>
      </c>
      <c r="J1547" s="12" t="s">
        <v>114</v>
      </c>
      <c r="K1547" s="12" t="s">
        <v>82</v>
      </c>
      <c r="L1547" s="14"/>
      <c r="M1547" s="12" t="s">
        <v>43</v>
      </c>
      <c r="N1547" s="12" t="s">
        <v>84</v>
      </c>
      <c r="O1547" s="12" t="s">
        <v>5994</v>
      </c>
      <c r="P1547" s="12" t="s">
        <v>46</v>
      </c>
      <c r="Q1547" s="12" t="s">
        <v>47</v>
      </c>
      <c r="R1547" s="12" t="s">
        <v>117</v>
      </c>
      <c r="S1547" s="13">
        <v>197804563517</v>
      </c>
      <c r="T1547" s="12" t="s">
        <v>49</v>
      </c>
      <c r="U1547" s="13">
        <v>36.5</v>
      </c>
      <c r="V1547" s="12" t="s">
        <v>50</v>
      </c>
      <c r="W1547" s="12" t="s">
        <v>262</v>
      </c>
      <c r="X1547" s="14"/>
      <c r="Y1547" s="14"/>
      <c r="Z1547" s="14"/>
      <c r="AA1547" s="14"/>
      <c r="AB1547" s="14"/>
      <c r="AC1547" s="15">
        <v>40.950000000000003</v>
      </c>
      <c r="AD1547" s="15">
        <f>AC1547*AG1547</f>
        <v>163.80000000000001</v>
      </c>
      <c r="AE1547" s="15">
        <v>90</v>
      </c>
      <c r="AF1547" s="15">
        <f>AE1547*AG1547</f>
        <v>360</v>
      </c>
      <c r="AG1547" s="16">
        <v>4</v>
      </c>
    </row>
    <row r="1548" spans="1:33" ht="15" customHeight="1" x14ac:dyDescent="0.2">
      <c r="A1548" s="11" t="str">
        <f t="shared" si="646"/>
        <v>VN000DCEBRD1</v>
      </c>
      <c r="B1548" s="12" t="s">
        <v>5995</v>
      </c>
      <c r="C1548" s="12" t="s">
        <v>266</v>
      </c>
      <c r="D1548" s="12" t="s">
        <v>590</v>
      </c>
      <c r="E1548" s="12" t="s">
        <v>5996</v>
      </c>
      <c r="F1548" s="13">
        <v>65</v>
      </c>
      <c r="G1548" s="12" t="s">
        <v>5990</v>
      </c>
      <c r="H1548" s="12" t="s">
        <v>38</v>
      </c>
      <c r="I1548" s="12" t="s">
        <v>113</v>
      </c>
      <c r="J1548" s="12" t="s">
        <v>114</v>
      </c>
      <c r="K1548" s="12" t="s">
        <v>82</v>
      </c>
      <c r="L1548" s="14"/>
      <c r="M1548" s="12" t="s">
        <v>43</v>
      </c>
      <c r="N1548" s="12" t="s">
        <v>84</v>
      </c>
      <c r="O1548" s="12" t="s">
        <v>5997</v>
      </c>
      <c r="P1548" s="12" t="s">
        <v>46</v>
      </c>
      <c r="Q1548" s="12" t="s">
        <v>47</v>
      </c>
      <c r="R1548" s="12" t="s">
        <v>117</v>
      </c>
      <c r="S1548" s="13">
        <v>197804563814</v>
      </c>
      <c r="T1548" s="12" t="s">
        <v>49</v>
      </c>
      <c r="U1548" s="13">
        <v>38.5</v>
      </c>
      <c r="V1548" s="12" t="s">
        <v>50</v>
      </c>
      <c r="W1548" s="12" t="s">
        <v>262</v>
      </c>
      <c r="X1548" s="14"/>
      <c r="Y1548" s="14"/>
      <c r="Z1548" s="14"/>
      <c r="AA1548" s="14"/>
      <c r="AB1548" s="14"/>
      <c r="AC1548" s="15">
        <v>40.950000000000003</v>
      </c>
      <c r="AD1548" s="15">
        <f>AC1548*AG1548</f>
        <v>163.80000000000001</v>
      </c>
      <c r="AE1548" s="15">
        <v>90</v>
      </c>
      <c r="AF1548" s="15">
        <f>AE1548*AG1548</f>
        <v>360</v>
      </c>
      <c r="AG1548" s="16">
        <v>4</v>
      </c>
    </row>
    <row r="1549" spans="1:33" ht="15" customHeight="1" x14ac:dyDescent="0.2">
      <c r="A1549" s="11" t="str">
        <f t="shared" ref="A1549:A2772" si="647">HYPERLINK("https://assets.vans.eu/images/VN000DCJGRN-HERO/1","VN000DCJGRN1")</f>
        <v>VN000DCJGRN1</v>
      </c>
      <c r="B1549" s="12" t="s">
        <v>5998</v>
      </c>
      <c r="C1549" s="12" t="s">
        <v>2427</v>
      </c>
      <c r="D1549" s="12" t="s">
        <v>2428</v>
      </c>
      <c r="E1549" s="12" t="s">
        <v>5999</v>
      </c>
      <c r="F1549" s="13">
        <v>135</v>
      </c>
      <c r="G1549" s="14"/>
      <c r="H1549" s="12" t="s">
        <v>38</v>
      </c>
      <c r="I1549" s="12" t="s">
        <v>39</v>
      </c>
      <c r="J1549" s="12" t="s">
        <v>2430</v>
      </c>
      <c r="K1549" s="12" t="s">
        <v>373</v>
      </c>
      <c r="L1549" s="14"/>
      <c r="M1549" s="12" t="s">
        <v>43</v>
      </c>
      <c r="N1549" s="12" t="s">
        <v>84</v>
      </c>
      <c r="O1549" s="12" t="s">
        <v>6000</v>
      </c>
      <c r="P1549" s="12" t="s">
        <v>46</v>
      </c>
      <c r="Q1549" s="12" t="s">
        <v>2432</v>
      </c>
      <c r="R1549" s="12" t="s">
        <v>2433</v>
      </c>
      <c r="S1549" s="13">
        <v>197804565054</v>
      </c>
      <c r="T1549" s="12" t="s">
        <v>49</v>
      </c>
      <c r="U1549" s="13">
        <v>31</v>
      </c>
      <c r="V1549" s="12" t="s">
        <v>50</v>
      </c>
      <c r="W1549" s="12" t="s">
        <v>118</v>
      </c>
      <c r="X1549" s="14"/>
      <c r="Y1549" s="14"/>
      <c r="Z1549" s="14"/>
      <c r="AA1549" s="14"/>
      <c r="AB1549" s="14"/>
      <c r="AC1549" s="15">
        <v>31.85</v>
      </c>
      <c r="AD1549" s="15">
        <f>AC1549*AG1549</f>
        <v>127.4</v>
      </c>
      <c r="AE1549" s="15">
        <v>70</v>
      </c>
      <c r="AF1549" s="15">
        <f>AE1549*AG1549</f>
        <v>280</v>
      </c>
      <c r="AG1549" s="16">
        <v>4</v>
      </c>
    </row>
    <row r="1550" spans="1:33" ht="15" customHeight="1" x14ac:dyDescent="0.2">
      <c r="A1550" s="11" t="str">
        <f t="shared" ref="A1550:A1967" si="648">HYPERLINK("https://assets.vans.eu/images/VN000E89YG4-HERO/1","VN000E89YG41")</f>
        <v>VN000E89YG41</v>
      </c>
      <c r="B1550" s="12" t="s">
        <v>6001</v>
      </c>
      <c r="C1550" s="12" t="s">
        <v>3611</v>
      </c>
      <c r="D1550" s="12" t="s">
        <v>6002</v>
      </c>
      <c r="E1550" s="12" t="s">
        <v>6003</v>
      </c>
      <c r="F1550" s="13">
        <v>50</v>
      </c>
      <c r="G1550" s="12" t="s">
        <v>2814</v>
      </c>
      <c r="H1550" s="12" t="s">
        <v>38</v>
      </c>
      <c r="I1550" s="12" t="s">
        <v>113</v>
      </c>
      <c r="J1550" s="12" t="s">
        <v>529</v>
      </c>
      <c r="K1550" s="12" t="s">
        <v>82</v>
      </c>
      <c r="L1550" s="12" t="s">
        <v>42</v>
      </c>
      <c r="M1550" s="12" t="s">
        <v>43</v>
      </c>
      <c r="N1550" s="12" t="s">
        <v>84</v>
      </c>
      <c r="O1550" s="12" t="s">
        <v>6004</v>
      </c>
      <c r="P1550" s="12" t="s">
        <v>46</v>
      </c>
      <c r="Q1550" s="12" t="s">
        <v>47</v>
      </c>
      <c r="R1550" s="12" t="s">
        <v>117</v>
      </c>
      <c r="S1550" s="13">
        <v>198266543048</v>
      </c>
      <c r="T1550" s="12" t="s">
        <v>49</v>
      </c>
      <c r="U1550" s="13">
        <v>36.5</v>
      </c>
      <c r="V1550" s="12" t="s">
        <v>50</v>
      </c>
      <c r="W1550" s="12" t="s">
        <v>51</v>
      </c>
      <c r="X1550" s="14"/>
      <c r="Y1550" s="14"/>
      <c r="Z1550" s="14"/>
      <c r="AA1550" s="14"/>
      <c r="AB1550" s="14"/>
      <c r="AC1550" s="15">
        <v>45.5</v>
      </c>
      <c r="AD1550" s="15">
        <f>AC1550*AG1550</f>
        <v>182</v>
      </c>
      <c r="AE1550" s="15">
        <v>100</v>
      </c>
      <c r="AF1550" s="15">
        <f>AE1550*AG1550</f>
        <v>400</v>
      </c>
      <c r="AG1550" s="16">
        <v>4</v>
      </c>
    </row>
    <row r="1551" spans="1:33" ht="15" customHeight="1" x14ac:dyDescent="0.2">
      <c r="A1551" s="11" t="str">
        <f t="shared" ref="A1551:A1969" si="649">HYPERLINK("https://assets.vans.eu/images/VN000E9RG58-HERO/1","VN000E9RG581")</f>
        <v>VN000E9RG581</v>
      </c>
      <c r="B1551" s="12" t="s">
        <v>6005</v>
      </c>
      <c r="C1551" s="12" t="s">
        <v>34</v>
      </c>
      <c r="D1551" s="12" t="s">
        <v>2149</v>
      </c>
      <c r="E1551" s="12" t="s">
        <v>6006</v>
      </c>
      <c r="F1551" s="13">
        <v>135</v>
      </c>
      <c r="G1551" s="14"/>
      <c r="H1551" s="12" t="s">
        <v>38</v>
      </c>
      <c r="I1551" s="12" t="s">
        <v>39</v>
      </c>
      <c r="J1551" s="12" t="s">
        <v>40</v>
      </c>
      <c r="K1551" s="12" t="s">
        <v>373</v>
      </c>
      <c r="L1551" s="12" t="s">
        <v>260</v>
      </c>
      <c r="M1551" s="12" t="s">
        <v>43</v>
      </c>
      <c r="N1551" s="12" t="s">
        <v>84</v>
      </c>
      <c r="O1551" s="12" t="s">
        <v>6007</v>
      </c>
      <c r="P1551" s="12" t="s">
        <v>46</v>
      </c>
      <c r="Q1551" s="12" t="s">
        <v>47</v>
      </c>
      <c r="R1551" s="12" t="s">
        <v>48</v>
      </c>
      <c r="S1551" s="13">
        <v>198266177267</v>
      </c>
      <c r="T1551" s="12" t="s">
        <v>164</v>
      </c>
      <c r="U1551" s="13">
        <v>31</v>
      </c>
      <c r="V1551" s="12" t="s">
        <v>50</v>
      </c>
      <c r="W1551" s="12" t="s">
        <v>51</v>
      </c>
      <c r="X1551" s="14"/>
      <c r="Y1551" s="14"/>
      <c r="Z1551" s="14"/>
      <c r="AA1551" s="14"/>
      <c r="AB1551" s="14"/>
      <c r="AC1551" s="15">
        <v>27.3</v>
      </c>
      <c r="AD1551" s="15">
        <f>AC1551*AG1551</f>
        <v>109.2</v>
      </c>
      <c r="AE1551" s="15">
        <v>60</v>
      </c>
      <c r="AF1551" s="15">
        <f>AE1551*AG1551</f>
        <v>240</v>
      </c>
      <c r="AG1551" s="16">
        <v>4</v>
      </c>
    </row>
    <row r="1552" spans="1:33" ht="15" customHeight="1" x14ac:dyDescent="0.2">
      <c r="A1552" s="11" t="str">
        <f>HYPERLINK("https://assets.vans.eu/images/VN000EB4BRO-HERO/1","VN000EB4BRO1")</f>
        <v>VN000EB4BRO1</v>
      </c>
      <c r="B1552" s="12" t="s">
        <v>6008</v>
      </c>
      <c r="C1552" s="12" t="s">
        <v>6009</v>
      </c>
      <c r="D1552" s="12" t="s">
        <v>1471</v>
      </c>
      <c r="E1552" s="12" t="s">
        <v>6010</v>
      </c>
      <c r="F1552" s="13">
        <v>110</v>
      </c>
      <c r="G1552" s="14"/>
      <c r="H1552" s="12" t="s">
        <v>38</v>
      </c>
      <c r="I1552" s="12" t="s">
        <v>159</v>
      </c>
      <c r="J1552" s="12" t="s">
        <v>160</v>
      </c>
      <c r="K1552" s="12" t="s">
        <v>82</v>
      </c>
      <c r="L1552" s="14"/>
      <c r="M1552" s="12" t="s">
        <v>43</v>
      </c>
      <c r="N1552" s="12" t="s">
        <v>84</v>
      </c>
      <c r="O1552" s="12" t="s">
        <v>6011</v>
      </c>
      <c r="P1552" s="12" t="s">
        <v>46</v>
      </c>
      <c r="Q1552" s="12" t="s">
        <v>47</v>
      </c>
      <c r="R1552" s="12" t="s">
        <v>1660</v>
      </c>
      <c r="S1552" s="13">
        <v>197804566723</v>
      </c>
      <c r="T1552" s="12" t="s">
        <v>49</v>
      </c>
      <c r="U1552" s="13">
        <v>44.5</v>
      </c>
      <c r="V1552" s="12" t="s">
        <v>50</v>
      </c>
      <c r="W1552" s="12" t="s">
        <v>186</v>
      </c>
      <c r="X1552" s="14"/>
      <c r="Y1552" s="14"/>
      <c r="Z1552" s="14"/>
      <c r="AA1552" s="14"/>
      <c r="AB1552" s="14"/>
      <c r="AC1552" s="15">
        <v>54.55</v>
      </c>
      <c r="AD1552" s="15">
        <f>AC1552*AG1552</f>
        <v>218.2</v>
      </c>
      <c r="AE1552" s="15">
        <v>120</v>
      </c>
      <c r="AF1552" s="15">
        <f>AE1552*AG1552</f>
        <v>480</v>
      </c>
      <c r="AG1552" s="16">
        <v>4</v>
      </c>
    </row>
    <row r="1553" spans="1:33" ht="15" customHeight="1" x14ac:dyDescent="0.2">
      <c r="A1553" s="11" t="str">
        <f t="shared" ref="A1553:A2789" si="650">HYPERLINK("https://assets.vans.eu/images/VN000EB4KAQ-HERO/1","VN000EB4KAQ1")</f>
        <v>VN000EB4KAQ1</v>
      </c>
      <c r="B1553" s="12" t="s">
        <v>6012</v>
      </c>
      <c r="C1553" s="12" t="s">
        <v>6009</v>
      </c>
      <c r="D1553" s="12" t="s">
        <v>2408</v>
      </c>
      <c r="E1553" s="12" t="s">
        <v>6013</v>
      </c>
      <c r="F1553" s="13">
        <v>50</v>
      </c>
      <c r="G1553" s="14"/>
      <c r="H1553" s="12" t="s">
        <v>38</v>
      </c>
      <c r="I1553" s="12" t="s">
        <v>113</v>
      </c>
      <c r="J1553" s="12" t="s">
        <v>114</v>
      </c>
      <c r="K1553" s="12" t="s">
        <v>82</v>
      </c>
      <c r="L1553" s="14"/>
      <c r="M1553" s="12" t="s">
        <v>43</v>
      </c>
      <c r="N1553" s="12" t="s">
        <v>84</v>
      </c>
      <c r="O1553" s="12" t="s">
        <v>6014</v>
      </c>
      <c r="P1553" s="12" t="s">
        <v>46</v>
      </c>
      <c r="Q1553" s="12" t="s">
        <v>47</v>
      </c>
      <c r="R1553" s="12" t="s">
        <v>948</v>
      </c>
      <c r="S1553" s="13">
        <v>197804565160</v>
      </c>
      <c r="T1553" s="12" t="s">
        <v>49</v>
      </c>
      <c r="U1553" s="13">
        <v>36.5</v>
      </c>
      <c r="V1553" s="12" t="s">
        <v>50</v>
      </c>
      <c r="W1553" s="12" t="s">
        <v>455</v>
      </c>
      <c r="X1553" s="14"/>
      <c r="Y1553" s="14"/>
      <c r="Z1553" s="14"/>
      <c r="AA1553" s="14"/>
      <c r="AB1553" s="14"/>
      <c r="AC1553" s="15">
        <v>54.55</v>
      </c>
      <c r="AD1553" s="15">
        <f>AC1553*AG1553</f>
        <v>218.2</v>
      </c>
      <c r="AE1553" s="15">
        <v>120</v>
      </c>
      <c r="AF1553" s="15">
        <f>AE1553*AG1553</f>
        <v>480</v>
      </c>
      <c r="AG1553" s="16">
        <v>4</v>
      </c>
    </row>
    <row r="1554" spans="1:33" ht="15" customHeight="1" x14ac:dyDescent="0.2">
      <c r="A1554" s="11" t="str">
        <f t="shared" ref="A1554:A2810" si="651">HYPERLINK("https://assets.vans.eu/images/VN000EFBCJK-HERO/1","VN000EFBCJK1")</f>
        <v>VN000EFBCJK1</v>
      </c>
      <c r="B1554" s="12" t="s">
        <v>6015</v>
      </c>
      <c r="C1554" s="12" t="s">
        <v>1207</v>
      </c>
      <c r="D1554" s="12" t="s">
        <v>919</v>
      </c>
      <c r="E1554" s="12" t="s">
        <v>6016</v>
      </c>
      <c r="F1554" s="13">
        <v>65</v>
      </c>
      <c r="G1554" s="12" t="s">
        <v>643</v>
      </c>
      <c r="H1554" s="12" t="s">
        <v>38</v>
      </c>
      <c r="I1554" s="12" t="s">
        <v>242</v>
      </c>
      <c r="J1554" s="12" t="s">
        <v>243</v>
      </c>
      <c r="K1554" s="12" t="s">
        <v>244</v>
      </c>
      <c r="L1554" s="14"/>
      <c r="M1554" s="12" t="s">
        <v>43</v>
      </c>
      <c r="N1554" s="12" t="s">
        <v>84</v>
      </c>
      <c r="O1554" s="12" t="s">
        <v>6017</v>
      </c>
      <c r="P1554" s="12" t="s">
        <v>46</v>
      </c>
      <c r="Q1554" s="12" t="s">
        <v>47</v>
      </c>
      <c r="R1554" s="12" t="s">
        <v>48</v>
      </c>
      <c r="S1554" s="13">
        <v>198266572680</v>
      </c>
      <c r="T1554" s="12" t="s">
        <v>105</v>
      </c>
      <c r="U1554" s="13">
        <v>22.5</v>
      </c>
      <c r="V1554" s="12" t="s">
        <v>278</v>
      </c>
      <c r="W1554" s="12" t="s">
        <v>51</v>
      </c>
      <c r="X1554" s="14"/>
      <c r="Y1554" s="14"/>
      <c r="Z1554" s="14"/>
      <c r="AA1554" s="14"/>
      <c r="AB1554" s="14"/>
      <c r="AC1554" s="15">
        <v>29.55</v>
      </c>
      <c r="AD1554" s="15">
        <f>AC1554*AG1554</f>
        <v>118.2</v>
      </c>
      <c r="AE1554" s="15">
        <v>65</v>
      </c>
      <c r="AF1554" s="15">
        <f>AE1554*AG1554</f>
        <v>260</v>
      </c>
      <c r="AG1554" s="16">
        <v>4</v>
      </c>
    </row>
    <row r="1555" spans="1:33" ht="15" customHeight="1" x14ac:dyDescent="0.2">
      <c r="A1555" s="11" t="str">
        <f>HYPERLINK("https://assets.vans.eu/images/VN000EG8B5T-HERO/1","VN000EG8B5T1")</f>
        <v>VN000EG8B5T1</v>
      </c>
      <c r="B1555" s="12" t="s">
        <v>6018</v>
      </c>
      <c r="C1555" s="12" t="s">
        <v>6019</v>
      </c>
      <c r="D1555" s="12" t="s">
        <v>4019</v>
      </c>
      <c r="E1555" s="12" t="s">
        <v>6020</v>
      </c>
      <c r="F1555" s="13">
        <v>80</v>
      </c>
      <c r="G1555" s="12" t="s">
        <v>2814</v>
      </c>
      <c r="H1555" s="12" t="s">
        <v>38</v>
      </c>
      <c r="I1555" s="12" t="s">
        <v>159</v>
      </c>
      <c r="J1555" s="12" t="s">
        <v>160</v>
      </c>
      <c r="K1555" s="12" t="s">
        <v>82</v>
      </c>
      <c r="L1555" s="14"/>
      <c r="M1555" s="12" t="s">
        <v>43</v>
      </c>
      <c r="N1555" s="12" t="s">
        <v>84</v>
      </c>
      <c r="O1555" s="12" t="s">
        <v>6021</v>
      </c>
      <c r="P1555" s="12" t="s">
        <v>46</v>
      </c>
      <c r="Q1555" s="12" t="s">
        <v>47</v>
      </c>
      <c r="R1555" s="12" t="s">
        <v>163</v>
      </c>
      <c r="S1555" s="13">
        <v>197805084493</v>
      </c>
      <c r="T1555" s="12" t="s">
        <v>105</v>
      </c>
      <c r="U1555" s="13">
        <v>40.5</v>
      </c>
      <c r="V1555" s="12" t="s">
        <v>50</v>
      </c>
      <c r="W1555" s="12" t="s">
        <v>51</v>
      </c>
      <c r="X1555" s="14"/>
      <c r="Y1555" s="14"/>
      <c r="Z1555" s="14"/>
      <c r="AA1555" s="14"/>
      <c r="AB1555" s="14"/>
      <c r="AC1555" s="15">
        <v>45.5</v>
      </c>
      <c r="AD1555" s="15">
        <f>AC1555*AG1555</f>
        <v>182</v>
      </c>
      <c r="AE1555" s="15">
        <v>100</v>
      </c>
      <c r="AF1555" s="15">
        <f>AE1555*AG1555</f>
        <v>400</v>
      </c>
      <c r="AG1555" s="16">
        <v>4</v>
      </c>
    </row>
    <row r="1556" spans="1:33" ht="15" customHeight="1" x14ac:dyDescent="0.2">
      <c r="A1556" s="11" t="str">
        <f t="shared" ref="A1556:A4671" si="652">HYPERLINK("https://assets.vans.eu/images/VN000KI5186-HERO/1","VN000KI51861")</f>
        <v>VN000KI51861</v>
      </c>
      <c r="B1556" s="12" t="s">
        <v>6022</v>
      </c>
      <c r="C1556" s="12" t="s">
        <v>369</v>
      </c>
      <c r="D1556" s="12" t="s">
        <v>370</v>
      </c>
      <c r="E1556" s="12" t="s">
        <v>6023</v>
      </c>
      <c r="F1556" s="13">
        <v>110</v>
      </c>
      <c r="G1556" s="12" t="s">
        <v>372</v>
      </c>
      <c r="H1556" s="12" t="s">
        <v>38</v>
      </c>
      <c r="I1556" s="12" t="s">
        <v>39</v>
      </c>
      <c r="J1556" s="12" t="s">
        <v>40</v>
      </c>
      <c r="K1556" s="12" t="s">
        <v>373</v>
      </c>
      <c r="L1556" s="14"/>
      <c r="M1556" s="12" t="s">
        <v>43</v>
      </c>
      <c r="N1556" s="12" t="s">
        <v>84</v>
      </c>
      <c r="O1556" s="12" t="s">
        <v>6024</v>
      </c>
      <c r="P1556" s="12" t="s">
        <v>46</v>
      </c>
      <c r="Q1556" s="12" t="s">
        <v>47</v>
      </c>
      <c r="R1556" s="12" t="s">
        <v>48</v>
      </c>
      <c r="S1556" s="13">
        <v>766182060583</v>
      </c>
      <c r="T1556" s="12" t="s">
        <v>105</v>
      </c>
      <c r="U1556" s="13">
        <v>27.5</v>
      </c>
      <c r="V1556" s="12" t="s">
        <v>375</v>
      </c>
      <c r="W1556" s="12" t="s">
        <v>51</v>
      </c>
      <c r="X1556" s="14"/>
      <c r="Y1556" s="12" t="s">
        <v>71</v>
      </c>
      <c r="Z1556" s="12" t="s">
        <v>376</v>
      </c>
      <c r="AA1556" s="14"/>
      <c r="AB1556" s="14"/>
      <c r="AC1556" s="15">
        <v>19.05</v>
      </c>
      <c r="AD1556" s="15">
        <f>AC1556*AG1556</f>
        <v>76.2</v>
      </c>
      <c r="AE1556" s="15">
        <v>40</v>
      </c>
      <c r="AF1556" s="15">
        <f>AE1556*AG1556</f>
        <v>160</v>
      </c>
      <c r="AG1556" s="16">
        <v>4</v>
      </c>
    </row>
    <row r="1557" spans="1:33" ht="15" customHeight="1" x14ac:dyDescent="0.2">
      <c r="A1557" s="11" t="str">
        <f>HYPERLINK("https://assets.vans.eu/images/VN000SF4N3U-HERO/1","VN000SF4N3U1")</f>
        <v>VN000SF4N3U1</v>
      </c>
      <c r="B1557" s="12" t="s">
        <v>6025</v>
      </c>
      <c r="C1557" s="12" t="s">
        <v>502</v>
      </c>
      <c r="D1557" s="12" t="s">
        <v>6026</v>
      </c>
      <c r="E1557" s="12" t="s">
        <v>6027</v>
      </c>
      <c r="F1557" s="13">
        <v>80</v>
      </c>
      <c r="G1557" s="14"/>
      <c r="H1557" s="12" t="s">
        <v>38</v>
      </c>
      <c r="I1557" s="12" t="s">
        <v>159</v>
      </c>
      <c r="J1557" s="12" t="s">
        <v>255</v>
      </c>
      <c r="K1557" s="12" t="s">
        <v>82</v>
      </c>
      <c r="L1557" s="14"/>
      <c r="M1557" s="12" t="s">
        <v>43</v>
      </c>
      <c r="N1557" s="12" t="s">
        <v>84</v>
      </c>
      <c r="O1557" s="12" t="s">
        <v>6028</v>
      </c>
      <c r="P1557" s="12" t="s">
        <v>46</v>
      </c>
      <c r="Q1557" s="12" t="s">
        <v>47</v>
      </c>
      <c r="R1557" s="12" t="s">
        <v>163</v>
      </c>
      <c r="S1557" s="13">
        <v>197803562498</v>
      </c>
      <c r="T1557" s="12" t="s">
        <v>164</v>
      </c>
      <c r="U1557" s="13">
        <v>40.5</v>
      </c>
      <c r="V1557" s="12" t="s">
        <v>50</v>
      </c>
      <c r="W1557" s="12" t="s">
        <v>118</v>
      </c>
      <c r="X1557" s="14"/>
      <c r="Y1557" s="14"/>
      <c r="Z1557" s="14"/>
      <c r="AA1557" s="14"/>
      <c r="AB1557" s="14"/>
      <c r="AC1557" s="15">
        <v>38.65</v>
      </c>
      <c r="AD1557" s="15">
        <f>AC1557*AG1557</f>
        <v>154.6</v>
      </c>
      <c r="AE1557" s="15">
        <v>85</v>
      </c>
      <c r="AF1557" s="15">
        <f>AE1557*AG1557</f>
        <v>340</v>
      </c>
      <c r="AG1557" s="16">
        <v>4</v>
      </c>
    </row>
    <row r="1558" spans="1:33" ht="15" customHeight="1" x14ac:dyDescent="0.2">
      <c r="A1558" s="11" t="str">
        <f t="shared" ref="A1558:A1984" si="653">HYPERLINK("https://assets.vans.eu/images/VN000VO44K1-HERO/1","VN000VO44K11")</f>
        <v>VN000VO44K11</v>
      </c>
      <c r="B1558" s="12" t="s">
        <v>6029</v>
      </c>
      <c r="C1558" s="12" t="s">
        <v>5098</v>
      </c>
      <c r="D1558" s="12" t="s">
        <v>5099</v>
      </c>
      <c r="E1558" s="12" t="s">
        <v>6030</v>
      </c>
      <c r="F1558" s="13">
        <v>120</v>
      </c>
      <c r="G1558" s="12" t="s">
        <v>372</v>
      </c>
      <c r="H1558" s="12" t="s">
        <v>38</v>
      </c>
      <c r="I1558" s="12" t="s">
        <v>39</v>
      </c>
      <c r="J1558" s="12" t="s">
        <v>2430</v>
      </c>
      <c r="K1558" s="12" t="s">
        <v>373</v>
      </c>
      <c r="L1558" s="12" t="s">
        <v>350</v>
      </c>
      <c r="M1558" s="12" t="s">
        <v>43</v>
      </c>
      <c r="N1558" s="12" t="s">
        <v>84</v>
      </c>
      <c r="O1558" s="12" t="s">
        <v>6031</v>
      </c>
      <c r="P1558" s="12" t="s">
        <v>46</v>
      </c>
      <c r="Q1558" s="12" t="s">
        <v>47</v>
      </c>
      <c r="R1558" s="12" t="s">
        <v>48</v>
      </c>
      <c r="S1558" s="13">
        <v>885928318501</v>
      </c>
      <c r="T1558" s="12" t="s">
        <v>105</v>
      </c>
      <c r="U1558" s="13">
        <v>29</v>
      </c>
      <c r="V1558" s="12" t="s">
        <v>209</v>
      </c>
      <c r="W1558" s="12" t="s">
        <v>284</v>
      </c>
      <c r="X1558" s="14"/>
      <c r="Y1558" s="12" t="s">
        <v>71</v>
      </c>
      <c r="Z1558" s="12" t="s">
        <v>92</v>
      </c>
      <c r="AA1558" s="12" t="s">
        <v>354</v>
      </c>
      <c r="AB1558" s="12" t="s">
        <v>888</v>
      </c>
      <c r="AC1558" s="15">
        <v>21.45</v>
      </c>
      <c r="AD1558" s="15">
        <f>AC1558*AG1558</f>
        <v>85.8</v>
      </c>
      <c r="AE1558" s="15">
        <v>45</v>
      </c>
      <c r="AF1558" s="15">
        <f>AE1558*AG1558</f>
        <v>180</v>
      </c>
      <c r="AG1558" s="16">
        <v>4</v>
      </c>
    </row>
    <row r="1559" spans="1:33" ht="15" customHeight="1" x14ac:dyDescent="0.2">
      <c r="A1559" s="11" t="str">
        <f t="shared" si="548"/>
        <v>VN000VOB4K11</v>
      </c>
      <c r="B1559" s="12" t="s">
        <v>6032</v>
      </c>
      <c r="C1559" s="12" t="s">
        <v>5098</v>
      </c>
      <c r="D1559" s="12" t="s">
        <v>5099</v>
      </c>
      <c r="E1559" s="12" t="s">
        <v>6033</v>
      </c>
      <c r="F1559" s="13">
        <v>90</v>
      </c>
      <c r="G1559" s="12" t="s">
        <v>372</v>
      </c>
      <c r="H1559" s="12" t="s">
        <v>38</v>
      </c>
      <c r="I1559" s="12" t="s">
        <v>159</v>
      </c>
      <c r="J1559" s="12" t="s">
        <v>255</v>
      </c>
      <c r="K1559" s="12" t="s">
        <v>199</v>
      </c>
      <c r="L1559" s="12" t="s">
        <v>350</v>
      </c>
      <c r="M1559" s="12" t="s">
        <v>43</v>
      </c>
      <c r="N1559" s="12" t="s">
        <v>84</v>
      </c>
      <c r="O1559" s="12" t="s">
        <v>6034</v>
      </c>
      <c r="P1559" s="12" t="s">
        <v>46</v>
      </c>
      <c r="Q1559" s="12" t="s">
        <v>47</v>
      </c>
      <c r="R1559" s="12" t="s">
        <v>163</v>
      </c>
      <c r="S1559" s="13">
        <v>885928669955</v>
      </c>
      <c r="T1559" s="12" t="s">
        <v>105</v>
      </c>
      <c r="U1559" s="13">
        <v>42</v>
      </c>
      <c r="V1559" s="12" t="s">
        <v>209</v>
      </c>
      <c r="W1559" s="12" t="s">
        <v>284</v>
      </c>
      <c r="X1559" s="14"/>
      <c r="Y1559" s="12" t="s">
        <v>71</v>
      </c>
      <c r="Z1559" s="12" t="s">
        <v>92</v>
      </c>
      <c r="AA1559" s="12" t="s">
        <v>354</v>
      </c>
      <c r="AB1559" s="12" t="s">
        <v>888</v>
      </c>
      <c r="AC1559" s="15">
        <v>33.35</v>
      </c>
      <c r="AD1559" s="15">
        <f>AC1559*AG1559</f>
        <v>133.4</v>
      </c>
      <c r="AE1559" s="15">
        <v>70</v>
      </c>
      <c r="AF1559" s="15">
        <f>AE1559*AG1559</f>
        <v>280</v>
      </c>
      <c r="AG1559" s="16">
        <v>4</v>
      </c>
    </row>
    <row r="1560" spans="1:33" ht="15" customHeight="1" x14ac:dyDescent="0.2">
      <c r="A1560" s="11" t="str">
        <f>HYPERLINK("https://assets.vans.eu/images/VN000Y12YS5-HERO/1","VN000Y12YS51")</f>
        <v>VN000Y12YS51</v>
      </c>
      <c r="B1560" s="12" t="s">
        <v>6035</v>
      </c>
      <c r="C1560" s="12" t="s">
        <v>6036</v>
      </c>
      <c r="D1560" s="12" t="s">
        <v>6037</v>
      </c>
      <c r="E1560" s="12" t="s">
        <v>6038</v>
      </c>
      <c r="F1560" s="13">
        <v>120</v>
      </c>
      <c r="G1560" s="14"/>
      <c r="H1560" s="12" t="s">
        <v>38</v>
      </c>
      <c r="I1560" s="12" t="s">
        <v>113</v>
      </c>
      <c r="J1560" s="12" t="s">
        <v>529</v>
      </c>
      <c r="K1560" s="12" t="s">
        <v>82</v>
      </c>
      <c r="L1560" s="14"/>
      <c r="M1560" s="12" t="s">
        <v>43</v>
      </c>
      <c r="N1560" s="12" t="s">
        <v>84</v>
      </c>
      <c r="O1560" s="12" t="s">
        <v>6039</v>
      </c>
      <c r="P1560" s="12" t="s">
        <v>46</v>
      </c>
      <c r="Q1560" s="12" t="s">
        <v>47</v>
      </c>
      <c r="R1560" s="12" t="s">
        <v>117</v>
      </c>
      <c r="S1560" s="13">
        <v>198267010884</v>
      </c>
      <c r="T1560" s="12" t="s">
        <v>49</v>
      </c>
      <c r="U1560" s="13">
        <v>46</v>
      </c>
      <c r="V1560" s="12" t="s">
        <v>209</v>
      </c>
      <c r="W1560" s="12" t="s">
        <v>598</v>
      </c>
      <c r="X1560" s="14"/>
      <c r="Y1560" s="14"/>
      <c r="Z1560" s="14"/>
      <c r="AA1560" s="14"/>
      <c r="AB1560" s="14"/>
      <c r="AC1560" s="15">
        <v>36.4</v>
      </c>
      <c r="AD1560" s="15">
        <f>AC1560*AG1560</f>
        <v>145.6</v>
      </c>
      <c r="AE1560" s="15">
        <v>80</v>
      </c>
      <c r="AF1560" s="15">
        <f>AE1560*AG1560</f>
        <v>320</v>
      </c>
      <c r="AG1560" s="16">
        <v>4</v>
      </c>
    </row>
    <row r="1561" spans="1:33" ht="15" customHeight="1" x14ac:dyDescent="0.2">
      <c r="A1561" s="11" t="str">
        <f t="shared" ref="A1561:A1993" si="654">HYPERLINK("https://assets.vans.eu/images/VN0A347ZDDU-HERO/1","VN0A347ZDDU1")</f>
        <v>VN0A347ZDDU1</v>
      </c>
      <c r="B1561" s="12" t="s">
        <v>6040</v>
      </c>
      <c r="C1561" s="12" t="s">
        <v>5098</v>
      </c>
      <c r="D1561" s="12" t="s">
        <v>6041</v>
      </c>
      <c r="E1561" s="12" t="s">
        <v>6042</v>
      </c>
      <c r="F1561" s="13">
        <v>90</v>
      </c>
      <c r="G1561" s="12" t="s">
        <v>372</v>
      </c>
      <c r="H1561" s="12" t="s">
        <v>38</v>
      </c>
      <c r="I1561" s="12" t="s">
        <v>159</v>
      </c>
      <c r="J1561" s="12" t="s">
        <v>255</v>
      </c>
      <c r="K1561" s="12" t="s">
        <v>199</v>
      </c>
      <c r="L1561" s="12" t="s">
        <v>350</v>
      </c>
      <c r="M1561" s="12" t="s">
        <v>43</v>
      </c>
      <c r="N1561" s="12" t="s">
        <v>84</v>
      </c>
      <c r="O1561" s="12" t="s">
        <v>6043</v>
      </c>
      <c r="P1561" s="12" t="s">
        <v>46</v>
      </c>
      <c r="Q1561" s="12" t="s">
        <v>47</v>
      </c>
      <c r="R1561" s="12" t="s">
        <v>163</v>
      </c>
      <c r="S1561" s="13">
        <v>190285956915</v>
      </c>
      <c r="T1561" s="12" t="s">
        <v>49</v>
      </c>
      <c r="U1561" s="13">
        <v>42</v>
      </c>
      <c r="V1561" s="12" t="s">
        <v>209</v>
      </c>
      <c r="W1561" s="12" t="s">
        <v>262</v>
      </c>
      <c r="X1561" s="14"/>
      <c r="Y1561" s="12" t="s">
        <v>71</v>
      </c>
      <c r="Z1561" s="12" t="s">
        <v>92</v>
      </c>
      <c r="AA1561" s="12" t="s">
        <v>354</v>
      </c>
      <c r="AB1561" s="12" t="s">
        <v>888</v>
      </c>
      <c r="AC1561" s="15">
        <v>33.35</v>
      </c>
      <c r="AD1561" s="15">
        <f>AC1561*AG1561</f>
        <v>133.4</v>
      </c>
      <c r="AE1561" s="15">
        <v>70</v>
      </c>
      <c r="AF1561" s="15">
        <f>AE1561*AG1561</f>
        <v>280</v>
      </c>
      <c r="AG1561" s="16">
        <v>4</v>
      </c>
    </row>
    <row r="1562" spans="1:33" ht="15" customHeight="1" x14ac:dyDescent="0.2">
      <c r="A1562" s="11" t="str">
        <f t="shared" ref="A1562:A4736" si="655">HYPERLINK("https://assets.vans.eu/images/VN0A4UWM2QL-HERO/1","VN0A4UWM2QL1")</f>
        <v>VN0A4UWM2QL1</v>
      </c>
      <c r="B1562" s="12" t="s">
        <v>6044</v>
      </c>
      <c r="C1562" s="12" t="s">
        <v>6045</v>
      </c>
      <c r="D1562" s="12" t="s">
        <v>6046</v>
      </c>
      <c r="E1562" s="12" t="s">
        <v>6047</v>
      </c>
      <c r="F1562" s="13">
        <v>65</v>
      </c>
      <c r="G1562" s="12" t="s">
        <v>6048</v>
      </c>
      <c r="H1562" s="12" t="s">
        <v>38</v>
      </c>
      <c r="I1562" s="12" t="s">
        <v>159</v>
      </c>
      <c r="J1562" s="12" t="s">
        <v>255</v>
      </c>
      <c r="K1562" s="12" t="s">
        <v>82</v>
      </c>
      <c r="L1562" s="12" t="s">
        <v>42</v>
      </c>
      <c r="M1562" s="12" t="s">
        <v>43</v>
      </c>
      <c r="N1562" s="12" t="s">
        <v>274</v>
      </c>
      <c r="O1562" s="12" t="s">
        <v>6049</v>
      </c>
      <c r="P1562" s="12" t="s">
        <v>46</v>
      </c>
      <c r="Q1562" s="12" t="s">
        <v>47</v>
      </c>
      <c r="R1562" s="12" t="s">
        <v>163</v>
      </c>
      <c r="S1562" s="13">
        <v>197063428831</v>
      </c>
      <c r="T1562" s="12" t="s">
        <v>49</v>
      </c>
      <c r="U1562" s="13">
        <v>38.5</v>
      </c>
      <c r="V1562" s="12" t="s">
        <v>209</v>
      </c>
      <c r="W1562" s="12" t="s">
        <v>51</v>
      </c>
      <c r="X1562" s="14"/>
      <c r="Y1562" s="12" t="s">
        <v>91</v>
      </c>
      <c r="Z1562" s="12" t="s">
        <v>92</v>
      </c>
      <c r="AA1562" s="12" t="s">
        <v>3224</v>
      </c>
      <c r="AB1562" s="12" t="s">
        <v>55</v>
      </c>
      <c r="AC1562" s="15">
        <v>54.55</v>
      </c>
      <c r="AD1562" s="15">
        <f>AC1562*AG1562</f>
        <v>218.2</v>
      </c>
      <c r="AE1562" s="15">
        <v>120</v>
      </c>
      <c r="AF1562" s="15">
        <f>AE1562*AG1562</f>
        <v>480</v>
      </c>
      <c r="AG1562" s="16">
        <v>4</v>
      </c>
    </row>
    <row r="1563" spans="1:33" ht="15" customHeight="1" x14ac:dyDescent="0.2">
      <c r="A1563" s="11" t="str">
        <f t="shared" ref="A1563:A1564" si="656">HYPERLINK("https://assets.vans.eu/images/VN0A5FCAPIB-HERO/1","VN0A5FCAPIB1")</f>
        <v>VN0A5FCAPIB1</v>
      </c>
      <c r="B1563" s="12" t="s">
        <v>6050</v>
      </c>
      <c r="C1563" s="12" t="s">
        <v>4427</v>
      </c>
      <c r="D1563" s="12" t="s">
        <v>829</v>
      </c>
      <c r="E1563" s="12" t="s">
        <v>6051</v>
      </c>
      <c r="F1563" s="13">
        <v>80</v>
      </c>
      <c r="G1563" s="14"/>
      <c r="H1563" s="12" t="s">
        <v>38</v>
      </c>
      <c r="I1563" s="12" t="s">
        <v>159</v>
      </c>
      <c r="J1563" s="12" t="s">
        <v>341</v>
      </c>
      <c r="K1563" s="12" t="s">
        <v>199</v>
      </c>
      <c r="L1563" s="14"/>
      <c r="M1563" s="12" t="s">
        <v>43</v>
      </c>
      <c r="N1563" s="12" t="s">
        <v>84</v>
      </c>
      <c r="O1563" s="12" t="s">
        <v>6052</v>
      </c>
      <c r="P1563" s="12" t="s">
        <v>46</v>
      </c>
      <c r="Q1563" s="12" t="s">
        <v>47</v>
      </c>
      <c r="R1563" s="12" t="s">
        <v>163</v>
      </c>
      <c r="S1563" s="13">
        <v>197804573837</v>
      </c>
      <c r="T1563" s="12" t="s">
        <v>49</v>
      </c>
      <c r="U1563" s="13">
        <v>40.5</v>
      </c>
      <c r="V1563" s="12" t="s">
        <v>50</v>
      </c>
      <c r="W1563" s="12" t="s">
        <v>299</v>
      </c>
      <c r="X1563" s="14"/>
      <c r="Y1563" s="14"/>
      <c r="Z1563" s="14"/>
      <c r="AA1563" s="14"/>
      <c r="AB1563" s="14"/>
      <c r="AC1563" s="15">
        <v>36.4</v>
      </c>
      <c r="AD1563" s="15">
        <f>AC1563*AG1563</f>
        <v>145.6</v>
      </c>
      <c r="AE1563" s="15">
        <v>80</v>
      </c>
      <c r="AF1563" s="15">
        <f>AE1563*AG1563</f>
        <v>320</v>
      </c>
      <c r="AG1563" s="16">
        <v>4</v>
      </c>
    </row>
    <row r="1564" spans="1:33" ht="15" customHeight="1" x14ac:dyDescent="0.2">
      <c r="A1564" s="11" t="str">
        <f t="shared" si="656"/>
        <v>VN0A5FCAPIB1</v>
      </c>
      <c r="B1564" s="12" t="s">
        <v>6053</v>
      </c>
      <c r="C1564" s="12" t="s">
        <v>4427</v>
      </c>
      <c r="D1564" s="12" t="s">
        <v>829</v>
      </c>
      <c r="E1564" s="12" t="s">
        <v>6054</v>
      </c>
      <c r="F1564" s="13">
        <v>100</v>
      </c>
      <c r="G1564" s="14"/>
      <c r="H1564" s="12" t="s">
        <v>38</v>
      </c>
      <c r="I1564" s="12" t="s">
        <v>159</v>
      </c>
      <c r="J1564" s="12" t="s">
        <v>341</v>
      </c>
      <c r="K1564" s="12" t="s">
        <v>199</v>
      </c>
      <c r="L1564" s="14"/>
      <c r="M1564" s="12" t="s">
        <v>43</v>
      </c>
      <c r="N1564" s="12" t="s">
        <v>84</v>
      </c>
      <c r="O1564" s="12" t="s">
        <v>6055</v>
      </c>
      <c r="P1564" s="12" t="s">
        <v>46</v>
      </c>
      <c r="Q1564" s="12" t="s">
        <v>47</v>
      </c>
      <c r="R1564" s="12" t="s">
        <v>163</v>
      </c>
      <c r="S1564" s="13">
        <v>197804573899</v>
      </c>
      <c r="T1564" s="12" t="s">
        <v>49</v>
      </c>
      <c r="U1564" s="13">
        <v>43</v>
      </c>
      <c r="V1564" s="12" t="s">
        <v>50</v>
      </c>
      <c r="W1564" s="12" t="s">
        <v>299</v>
      </c>
      <c r="X1564" s="14"/>
      <c r="Y1564" s="14"/>
      <c r="Z1564" s="14"/>
      <c r="AA1564" s="14"/>
      <c r="AB1564" s="14"/>
      <c r="AC1564" s="15">
        <v>36.4</v>
      </c>
      <c r="AD1564" s="15">
        <f>AC1564*AG1564</f>
        <v>145.6</v>
      </c>
      <c r="AE1564" s="15">
        <v>80</v>
      </c>
      <c r="AF1564" s="15">
        <f>AE1564*AG1564</f>
        <v>320</v>
      </c>
      <c r="AG1564" s="16">
        <v>4</v>
      </c>
    </row>
    <row r="1565" spans="1:33" ht="15" customHeight="1" x14ac:dyDescent="0.2">
      <c r="A1565" s="11" t="str">
        <f t="shared" ref="A1565:A1997" si="657">HYPERLINK("https://assets.vans.eu/images/VN0A5FCB1N6-HERO/1","VN0A5FCB1N61")</f>
        <v>VN0A5FCB1N61</v>
      </c>
      <c r="B1565" s="12" t="s">
        <v>6056</v>
      </c>
      <c r="C1565" s="12" t="s">
        <v>996</v>
      </c>
      <c r="D1565" s="12" t="s">
        <v>2181</v>
      </c>
      <c r="E1565" s="12" t="s">
        <v>6057</v>
      </c>
      <c r="F1565" s="13">
        <v>50</v>
      </c>
      <c r="G1565" s="14"/>
      <c r="H1565" s="12" t="s">
        <v>38</v>
      </c>
      <c r="I1565" s="12" t="s">
        <v>159</v>
      </c>
      <c r="J1565" s="12" t="s">
        <v>341</v>
      </c>
      <c r="K1565" s="12" t="s">
        <v>199</v>
      </c>
      <c r="L1565" s="14"/>
      <c r="M1565" s="12" t="s">
        <v>43</v>
      </c>
      <c r="N1565" s="12" t="s">
        <v>84</v>
      </c>
      <c r="O1565" s="12" t="s">
        <v>6058</v>
      </c>
      <c r="P1565" s="12" t="s">
        <v>46</v>
      </c>
      <c r="Q1565" s="12" t="s">
        <v>47</v>
      </c>
      <c r="R1565" s="12" t="s">
        <v>163</v>
      </c>
      <c r="S1565" s="13">
        <v>197063314059</v>
      </c>
      <c r="T1565" s="12" t="s">
        <v>49</v>
      </c>
      <c r="U1565" s="13">
        <v>36.5</v>
      </c>
      <c r="V1565" s="12" t="s">
        <v>50</v>
      </c>
      <c r="W1565" s="12" t="s">
        <v>455</v>
      </c>
      <c r="X1565" s="14"/>
      <c r="Y1565" s="12" t="s">
        <v>91</v>
      </c>
      <c r="Z1565" s="12" t="s">
        <v>344</v>
      </c>
      <c r="AA1565" s="14"/>
      <c r="AB1565" s="14"/>
      <c r="AC1565" s="15">
        <v>38.65</v>
      </c>
      <c r="AD1565" s="15">
        <f>AC1565*AG1565</f>
        <v>154.6</v>
      </c>
      <c r="AE1565" s="15">
        <v>85</v>
      </c>
      <c r="AF1565" s="15">
        <f>AE1565*AG1565</f>
        <v>340</v>
      </c>
      <c r="AG1565" s="16">
        <v>4</v>
      </c>
    </row>
    <row r="1566" spans="1:33" ht="15" customHeight="1" x14ac:dyDescent="0.2">
      <c r="A1566" s="11" t="str">
        <f t="shared" ref="A1566:A4770" si="658">HYPERLINK("https://assets.vans.eu/images/VN0A5HZY6J6-HERO/1","VN0A5HZY6J61")</f>
        <v>VN0A5HZY6J61</v>
      </c>
      <c r="B1566" s="12" t="s">
        <v>6059</v>
      </c>
      <c r="C1566" s="12" t="s">
        <v>6060</v>
      </c>
      <c r="D1566" s="12" t="s">
        <v>6061</v>
      </c>
      <c r="E1566" s="12" t="s">
        <v>6062</v>
      </c>
      <c r="F1566" s="13">
        <v>40</v>
      </c>
      <c r="G1566" s="14"/>
      <c r="H1566" s="12" t="s">
        <v>38</v>
      </c>
      <c r="I1566" s="12" t="s">
        <v>113</v>
      </c>
      <c r="J1566" s="12" t="s">
        <v>114</v>
      </c>
      <c r="K1566" s="12" t="s">
        <v>82</v>
      </c>
      <c r="L1566" s="14"/>
      <c r="M1566" s="12" t="s">
        <v>43</v>
      </c>
      <c r="N1566" s="12" t="s">
        <v>161</v>
      </c>
      <c r="O1566" s="12" t="s">
        <v>6063</v>
      </c>
      <c r="P1566" s="12" t="s">
        <v>46</v>
      </c>
      <c r="Q1566" s="12" t="s">
        <v>47</v>
      </c>
      <c r="R1566" s="12" t="s">
        <v>948</v>
      </c>
      <c r="S1566" s="13">
        <v>195438549358</v>
      </c>
      <c r="T1566" s="12" t="s">
        <v>49</v>
      </c>
      <c r="U1566" s="13">
        <v>35</v>
      </c>
      <c r="V1566" s="12" t="s">
        <v>50</v>
      </c>
      <c r="W1566" s="12" t="s">
        <v>455</v>
      </c>
      <c r="X1566" s="14"/>
      <c r="Y1566" s="12" t="s">
        <v>91</v>
      </c>
      <c r="Z1566" s="12" t="s">
        <v>165</v>
      </c>
      <c r="AA1566" s="14"/>
      <c r="AB1566" s="14"/>
      <c r="AC1566" s="15">
        <v>52.3</v>
      </c>
      <c r="AD1566" s="15">
        <f>AC1566*AG1566</f>
        <v>209.2</v>
      </c>
      <c r="AE1566" s="15">
        <v>115</v>
      </c>
      <c r="AF1566" s="15">
        <f>AE1566*AG1566</f>
        <v>460</v>
      </c>
      <c r="AG1566" s="16">
        <v>4</v>
      </c>
    </row>
    <row r="1567" spans="1:33" ht="15" customHeight="1" x14ac:dyDescent="0.2">
      <c r="A1567" s="11" t="str">
        <f t="shared" ref="A1567:A2847" si="659">HYPERLINK("https://assets.vans.eu/images/VN0A5JICNUT-HERO/1","VN0A5JICNUT1")</f>
        <v>VN0A5JICNUT1</v>
      </c>
      <c r="B1567" s="12" t="s">
        <v>6064</v>
      </c>
      <c r="C1567" s="12" t="s">
        <v>6065</v>
      </c>
      <c r="D1567" s="12" t="s">
        <v>6066</v>
      </c>
      <c r="E1567" s="12" t="s">
        <v>6067</v>
      </c>
      <c r="F1567" s="13">
        <v>80</v>
      </c>
      <c r="G1567" s="14"/>
      <c r="H1567" s="12" t="s">
        <v>38</v>
      </c>
      <c r="I1567" s="12" t="s">
        <v>159</v>
      </c>
      <c r="J1567" s="12" t="s">
        <v>341</v>
      </c>
      <c r="K1567" s="12" t="s">
        <v>199</v>
      </c>
      <c r="L1567" s="14"/>
      <c r="M1567" s="12" t="s">
        <v>43</v>
      </c>
      <c r="N1567" s="12" t="s">
        <v>84</v>
      </c>
      <c r="O1567" s="12" t="s">
        <v>6068</v>
      </c>
      <c r="P1567" s="12" t="s">
        <v>46</v>
      </c>
      <c r="Q1567" s="12" t="s">
        <v>47</v>
      </c>
      <c r="R1567" s="12" t="s">
        <v>163</v>
      </c>
      <c r="S1567" s="13">
        <v>197804575640</v>
      </c>
      <c r="T1567" s="12" t="s">
        <v>49</v>
      </c>
      <c r="U1567" s="13">
        <v>40.5</v>
      </c>
      <c r="V1567" s="12" t="s">
        <v>50</v>
      </c>
      <c r="W1567" s="12" t="s">
        <v>284</v>
      </c>
      <c r="X1567" s="14"/>
      <c r="Y1567" s="14"/>
      <c r="Z1567" s="14"/>
      <c r="AA1567" s="14"/>
      <c r="AB1567" s="14"/>
      <c r="AC1567" s="15">
        <v>40.950000000000003</v>
      </c>
      <c r="AD1567" s="15">
        <f>AC1567*AG1567</f>
        <v>163.80000000000001</v>
      </c>
      <c r="AE1567" s="15">
        <v>90</v>
      </c>
      <c r="AF1567" s="15">
        <f>AE1567*AG1567</f>
        <v>360</v>
      </c>
      <c r="AG1567" s="16">
        <v>4</v>
      </c>
    </row>
    <row r="1568" spans="1:33" ht="15" customHeight="1" x14ac:dyDescent="0.2">
      <c r="A1568" s="11" t="str">
        <f t="shared" ref="A1568:A1569" si="660">HYPERLINK("https://assets.vans.eu/images/VN0A5JLTJBW-HERO/1","VN0A5JLTJBW1")</f>
        <v>VN0A5JLTJBW1</v>
      </c>
      <c r="B1568" s="12" t="s">
        <v>6069</v>
      </c>
      <c r="C1568" s="12" t="s">
        <v>6070</v>
      </c>
      <c r="D1568" s="12" t="s">
        <v>464</v>
      </c>
      <c r="E1568" s="12" t="s">
        <v>6071</v>
      </c>
      <c r="F1568" s="13">
        <v>45</v>
      </c>
      <c r="G1568" s="12" t="s">
        <v>466</v>
      </c>
      <c r="H1568" s="12" t="s">
        <v>38</v>
      </c>
      <c r="I1568" s="12" t="s">
        <v>242</v>
      </c>
      <c r="J1568" s="12" t="s">
        <v>243</v>
      </c>
      <c r="K1568" s="12" t="s">
        <v>244</v>
      </c>
      <c r="L1568" s="12" t="s">
        <v>350</v>
      </c>
      <c r="M1568" s="12" t="s">
        <v>43</v>
      </c>
      <c r="N1568" s="12" t="s">
        <v>84</v>
      </c>
      <c r="O1568" s="12" t="s">
        <v>6072</v>
      </c>
      <c r="P1568" s="12" t="s">
        <v>46</v>
      </c>
      <c r="Q1568" s="12" t="s">
        <v>47</v>
      </c>
      <c r="R1568" s="12" t="s">
        <v>48</v>
      </c>
      <c r="S1568" s="13">
        <v>196571170041</v>
      </c>
      <c r="T1568" s="12" t="s">
        <v>49</v>
      </c>
      <c r="U1568" s="13">
        <v>20</v>
      </c>
      <c r="V1568" s="12" t="s">
        <v>50</v>
      </c>
      <c r="W1568" s="12" t="s">
        <v>175</v>
      </c>
      <c r="X1568" s="14"/>
      <c r="Y1568" s="14"/>
      <c r="Z1568" s="14"/>
      <c r="AA1568" s="14"/>
      <c r="AB1568" s="14"/>
      <c r="AC1568" s="15">
        <v>21.45</v>
      </c>
      <c r="AD1568" s="15">
        <f>AC1568*AG1568</f>
        <v>85.8</v>
      </c>
      <c r="AE1568" s="15">
        <v>45</v>
      </c>
      <c r="AF1568" s="15">
        <f>AE1568*AG1568</f>
        <v>180</v>
      </c>
      <c r="AG1568" s="16">
        <v>4</v>
      </c>
    </row>
    <row r="1569" spans="1:33" ht="15" customHeight="1" x14ac:dyDescent="0.2">
      <c r="A1569" s="11" t="str">
        <f t="shared" si="660"/>
        <v>VN0A5JLTJBW1</v>
      </c>
      <c r="B1569" s="12" t="s">
        <v>6073</v>
      </c>
      <c r="C1569" s="12" t="s">
        <v>6070</v>
      </c>
      <c r="D1569" s="12" t="s">
        <v>464</v>
      </c>
      <c r="E1569" s="12" t="s">
        <v>6074</v>
      </c>
      <c r="F1569" s="13">
        <v>50</v>
      </c>
      <c r="G1569" s="12" t="s">
        <v>466</v>
      </c>
      <c r="H1569" s="12" t="s">
        <v>38</v>
      </c>
      <c r="I1569" s="12" t="s">
        <v>242</v>
      </c>
      <c r="J1569" s="12" t="s">
        <v>243</v>
      </c>
      <c r="K1569" s="12" t="s">
        <v>244</v>
      </c>
      <c r="L1569" s="12" t="s">
        <v>350</v>
      </c>
      <c r="M1569" s="12" t="s">
        <v>43</v>
      </c>
      <c r="N1569" s="12" t="s">
        <v>84</v>
      </c>
      <c r="O1569" s="12" t="s">
        <v>6075</v>
      </c>
      <c r="P1569" s="12" t="s">
        <v>46</v>
      </c>
      <c r="Q1569" s="12" t="s">
        <v>47</v>
      </c>
      <c r="R1569" s="12" t="s">
        <v>48</v>
      </c>
      <c r="S1569" s="13">
        <v>196571170096</v>
      </c>
      <c r="T1569" s="12" t="s">
        <v>49</v>
      </c>
      <c r="U1569" s="13">
        <v>21</v>
      </c>
      <c r="V1569" s="12" t="s">
        <v>50</v>
      </c>
      <c r="W1569" s="12" t="s">
        <v>175</v>
      </c>
      <c r="X1569" s="14"/>
      <c r="Y1569" s="14"/>
      <c r="Z1569" s="14"/>
      <c r="AA1569" s="14"/>
      <c r="AB1569" s="14"/>
      <c r="AC1569" s="15">
        <v>21.45</v>
      </c>
      <c r="AD1569" s="15">
        <f>AC1569*AG1569</f>
        <v>85.8</v>
      </c>
      <c r="AE1569" s="15">
        <v>45</v>
      </c>
      <c r="AF1569" s="15">
        <f>AE1569*AG1569</f>
        <v>180</v>
      </c>
      <c r="AG1569" s="16">
        <v>4</v>
      </c>
    </row>
    <row r="1570" spans="1:33" ht="15" customHeight="1" x14ac:dyDescent="0.2">
      <c r="A1570" s="11" t="str">
        <f>HYPERLINK("https://assets.vans.eu/images/VN0A5KY9BRO-HERO/1","VN0A5KY9BRO1")</f>
        <v>VN0A5KY9BRO1</v>
      </c>
      <c r="B1570" s="12" t="s">
        <v>6076</v>
      </c>
      <c r="C1570" s="12" t="s">
        <v>6077</v>
      </c>
      <c r="D1570" s="12" t="s">
        <v>1471</v>
      </c>
      <c r="E1570" s="12" t="s">
        <v>6078</v>
      </c>
      <c r="F1570" s="13">
        <v>40</v>
      </c>
      <c r="G1570" s="12" t="s">
        <v>6079</v>
      </c>
      <c r="H1570" s="12" t="s">
        <v>38</v>
      </c>
      <c r="I1570" s="12" t="s">
        <v>159</v>
      </c>
      <c r="J1570" s="12" t="s">
        <v>341</v>
      </c>
      <c r="K1570" s="12" t="s">
        <v>82</v>
      </c>
      <c r="L1570" s="14"/>
      <c r="M1570" s="12" t="s">
        <v>43</v>
      </c>
      <c r="N1570" s="12" t="s">
        <v>467</v>
      </c>
      <c r="O1570" s="12" t="s">
        <v>6080</v>
      </c>
      <c r="P1570" s="12" t="s">
        <v>46</v>
      </c>
      <c r="Q1570" s="12" t="s">
        <v>47</v>
      </c>
      <c r="R1570" s="12" t="s">
        <v>163</v>
      </c>
      <c r="S1570" s="13">
        <v>196571317170</v>
      </c>
      <c r="T1570" s="12" t="s">
        <v>143</v>
      </c>
      <c r="U1570" s="13">
        <v>35</v>
      </c>
      <c r="V1570" s="12" t="s">
        <v>278</v>
      </c>
      <c r="W1570" s="12" t="s">
        <v>186</v>
      </c>
      <c r="X1570" s="14"/>
      <c r="Y1570" s="12" t="s">
        <v>53</v>
      </c>
      <c r="Z1570" s="12" t="s">
        <v>344</v>
      </c>
      <c r="AA1570" s="14"/>
      <c r="AB1570" s="12" t="s">
        <v>6081</v>
      </c>
      <c r="AC1570" s="15">
        <v>43.2</v>
      </c>
      <c r="AD1570" s="15">
        <f>AC1570*AG1570</f>
        <v>172.8</v>
      </c>
      <c r="AE1570" s="15">
        <v>95</v>
      </c>
      <c r="AF1570" s="15">
        <f>AE1570*AG1570</f>
        <v>380</v>
      </c>
      <c r="AG1570" s="16">
        <v>4</v>
      </c>
    </row>
    <row r="1571" spans="1:33" ht="15" customHeight="1" x14ac:dyDescent="0.2">
      <c r="A1571" s="11" t="str">
        <f>HYPERLINK("https://assets.vans.eu/images/VN000EZ1BZ0-HERO/1","VN000EZ1BZ01")</f>
        <v>VN000EZ1BZ01</v>
      </c>
      <c r="B1571" s="12" t="s">
        <v>6082</v>
      </c>
      <c r="C1571" s="12" t="s">
        <v>3325</v>
      </c>
      <c r="D1571" s="12" t="s">
        <v>6083</v>
      </c>
      <c r="E1571" s="12" t="s">
        <v>6084</v>
      </c>
      <c r="F1571" s="13">
        <v>101</v>
      </c>
      <c r="G1571" s="14"/>
      <c r="H1571" s="12" t="s">
        <v>79</v>
      </c>
      <c r="I1571" s="12" t="s">
        <v>125</v>
      </c>
      <c r="J1571" s="12" t="s">
        <v>139</v>
      </c>
      <c r="K1571" s="12" t="s">
        <v>64</v>
      </c>
      <c r="L1571" s="14"/>
      <c r="M1571" s="12" t="s">
        <v>43</v>
      </c>
      <c r="N1571" s="12" t="s">
        <v>2457</v>
      </c>
      <c r="O1571" s="12" t="s">
        <v>6085</v>
      </c>
      <c r="P1571" s="12" t="s">
        <v>86</v>
      </c>
      <c r="Q1571" s="12" t="s">
        <v>141</v>
      </c>
      <c r="R1571" s="12" t="s">
        <v>142</v>
      </c>
      <c r="S1571" s="13">
        <v>196574906487</v>
      </c>
      <c r="T1571" s="12" t="s">
        <v>69</v>
      </c>
      <c r="U1571" s="12" t="s">
        <v>517</v>
      </c>
      <c r="V1571" s="12" t="s">
        <v>6086</v>
      </c>
      <c r="W1571" s="12" t="s">
        <v>118</v>
      </c>
      <c r="X1571" s="13">
        <v>0</v>
      </c>
      <c r="Y1571" s="12" t="s">
        <v>91</v>
      </c>
      <c r="Z1571" s="12" t="s">
        <v>108</v>
      </c>
      <c r="AA1571" s="13">
        <v>0</v>
      </c>
      <c r="AB1571" s="13">
        <v>0</v>
      </c>
      <c r="AC1571" s="15">
        <v>8.1999999999999993</v>
      </c>
      <c r="AD1571" s="15">
        <f>AC1571*AG1571</f>
        <v>24.599999999999998</v>
      </c>
      <c r="AE1571" s="15">
        <v>18</v>
      </c>
      <c r="AF1571" s="15">
        <f>AE1571*AG1571</f>
        <v>54</v>
      </c>
      <c r="AG1571" s="16">
        <v>3</v>
      </c>
    </row>
    <row r="1572" spans="1:33" ht="15" customHeight="1" x14ac:dyDescent="0.2">
      <c r="A1572" s="11" t="str">
        <f>HYPERLINK("https://assets.vans.eu/images/VN000EZ1OC2-HERO/1","VN000EZ1OC21")</f>
        <v>VN000EZ1OC21</v>
      </c>
      <c r="B1572" s="12" t="s">
        <v>6087</v>
      </c>
      <c r="C1572" s="12" t="s">
        <v>3325</v>
      </c>
      <c r="D1572" s="12" t="s">
        <v>6088</v>
      </c>
      <c r="E1572" s="12" t="s">
        <v>6089</v>
      </c>
      <c r="F1572" s="13">
        <v>101</v>
      </c>
      <c r="G1572" s="14"/>
      <c r="H1572" s="12" t="s">
        <v>79</v>
      </c>
      <c r="I1572" s="12" t="s">
        <v>125</v>
      </c>
      <c r="J1572" s="12" t="s">
        <v>139</v>
      </c>
      <c r="K1572" s="12" t="s">
        <v>64</v>
      </c>
      <c r="L1572" s="14"/>
      <c r="M1572" s="12" t="s">
        <v>43</v>
      </c>
      <c r="N1572" s="12" t="s">
        <v>2457</v>
      </c>
      <c r="O1572" s="12" t="s">
        <v>6090</v>
      </c>
      <c r="P1572" s="12" t="s">
        <v>86</v>
      </c>
      <c r="Q1572" s="12" t="s">
        <v>141</v>
      </c>
      <c r="R1572" s="12" t="s">
        <v>142</v>
      </c>
      <c r="S1572" s="13">
        <v>196574906708</v>
      </c>
      <c r="T1572" s="12" t="s">
        <v>69</v>
      </c>
      <c r="U1572" s="12" t="s">
        <v>517</v>
      </c>
      <c r="V1572" s="12" t="s">
        <v>3328</v>
      </c>
      <c r="W1572" s="12" t="s">
        <v>598</v>
      </c>
      <c r="X1572" s="13">
        <v>0</v>
      </c>
      <c r="Y1572" s="12" t="s">
        <v>91</v>
      </c>
      <c r="Z1572" s="12" t="s">
        <v>108</v>
      </c>
      <c r="AA1572" s="13">
        <v>0</v>
      </c>
      <c r="AB1572" s="13">
        <v>0</v>
      </c>
      <c r="AC1572" s="15">
        <v>8.1999999999999993</v>
      </c>
      <c r="AD1572" s="15">
        <f>AC1572*AG1572</f>
        <v>24.599999999999998</v>
      </c>
      <c r="AE1572" s="15">
        <v>18</v>
      </c>
      <c r="AF1572" s="15">
        <f>AE1572*AG1572</f>
        <v>54</v>
      </c>
      <c r="AG1572" s="16">
        <v>3</v>
      </c>
    </row>
    <row r="1573" spans="1:33" ht="15" customHeight="1" x14ac:dyDescent="0.2">
      <c r="A1573" s="11" t="str">
        <f>HYPERLINK("https://assets.vans.eu/images/VN000EZ4YB2-HERO/1","VN000EZ4YB21")</f>
        <v>VN000EZ4YB21</v>
      </c>
      <c r="B1573" s="12" t="s">
        <v>6091</v>
      </c>
      <c r="C1573" s="12" t="s">
        <v>6092</v>
      </c>
      <c r="D1573" s="12" t="s">
        <v>1138</v>
      </c>
      <c r="E1573" s="12" t="s">
        <v>6093</v>
      </c>
      <c r="F1573" s="13">
        <v>16</v>
      </c>
      <c r="G1573" s="14"/>
      <c r="H1573" s="12" t="s">
        <v>79</v>
      </c>
      <c r="I1573" s="12" t="s">
        <v>125</v>
      </c>
      <c r="J1573" s="12" t="s">
        <v>139</v>
      </c>
      <c r="K1573" s="12" t="s">
        <v>64</v>
      </c>
      <c r="L1573" s="14"/>
      <c r="M1573" s="12" t="s">
        <v>43</v>
      </c>
      <c r="N1573" s="12" t="s">
        <v>44</v>
      </c>
      <c r="O1573" s="12" t="s">
        <v>6094</v>
      </c>
      <c r="P1573" s="12" t="s">
        <v>86</v>
      </c>
      <c r="Q1573" s="12" t="s">
        <v>141</v>
      </c>
      <c r="R1573" s="12" t="s">
        <v>142</v>
      </c>
      <c r="S1573" s="13">
        <v>196574906777</v>
      </c>
      <c r="T1573" s="12" t="s">
        <v>143</v>
      </c>
      <c r="U1573" s="12" t="s">
        <v>517</v>
      </c>
      <c r="V1573" s="12" t="s">
        <v>6095</v>
      </c>
      <c r="W1573" s="12" t="s">
        <v>175</v>
      </c>
      <c r="X1573" s="13">
        <v>0</v>
      </c>
      <c r="Y1573" s="12" t="s">
        <v>91</v>
      </c>
      <c r="Z1573" s="12" t="s">
        <v>108</v>
      </c>
      <c r="AA1573" s="13">
        <v>0</v>
      </c>
      <c r="AB1573" s="13">
        <v>0</v>
      </c>
      <c r="AC1573" s="15">
        <v>6.4</v>
      </c>
      <c r="AD1573" s="15">
        <f>AC1573*AG1573</f>
        <v>19.200000000000003</v>
      </c>
      <c r="AE1573" s="15">
        <v>14</v>
      </c>
      <c r="AF1573" s="15">
        <f>AE1573*AG1573</f>
        <v>42</v>
      </c>
      <c r="AG1573" s="16">
        <v>3</v>
      </c>
    </row>
    <row r="1574" spans="1:33" ht="15" customHeight="1" x14ac:dyDescent="0.2">
      <c r="A1574" s="11" t="str">
        <f>HYPERLINK("https://assets.vans.eu/images/VN000F0GZCF-HERO/1","VN000F0GZCF1")</f>
        <v>VN000F0GZCF1</v>
      </c>
      <c r="B1574" s="12" t="s">
        <v>6096</v>
      </c>
      <c r="C1574" s="12" t="s">
        <v>6097</v>
      </c>
      <c r="D1574" s="12" t="s">
        <v>5009</v>
      </c>
      <c r="E1574" s="12" t="s">
        <v>6098</v>
      </c>
      <c r="F1574" s="13">
        <v>951</v>
      </c>
      <c r="G1574" s="14"/>
      <c r="H1574" s="12" t="s">
        <v>79</v>
      </c>
      <c r="I1574" s="12" t="s">
        <v>80</v>
      </c>
      <c r="J1574" s="12" t="s">
        <v>171</v>
      </c>
      <c r="K1574" s="12" t="s">
        <v>199</v>
      </c>
      <c r="L1574" s="14"/>
      <c r="M1574" s="12" t="s">
        <v>43</v>
      </c>
      <c r="N1574" s="12" t="s">
        <v>44</v>
      </c>
      <c r="O1574" s="12" t="s">
        <v>6099</v>
      </c>
      <c r="P1574" s="12" t="s">
        <v>86</v>
      </c>
      <c r="Q1574" s="12" t="s">
        <v>141</v>
      </c>
      <c r="R1574" s="12" t="s">
        <v>173</v>
      </c>
      <c r="S1574" s="13">
        <v>197643553816</v>
      </c>
      <c r="T1574" s="12" t="s">
        <v>143</v>
      </c>
      <c r="U1574" s="12" t="s">
        <v>1402</v>
      </c>
      <c r="V1574" s="12" t="s">
        <v>6100</v>
      </c>
      <c r="W1574" s="12" t="s">
        <v>262</v>
      </c>
      <c r="X1574" s="12" t="s">
        <v>500</v>
      </c>
      <c r="Y1574" s="12" t="s">
        <v>91</v>
      </c>
      <c r="Z1574" s="12" t="s">
        <v>108</v>
      </c>
      <c r="AA1574" s="13">
        <v>0</v>
      </c>
      <c r="AB1574" s="13">
        <v>0</v>
      </c>
      <c r="AC1574" s="15">
        <v>9.1</v>
      </c>
      <c r="AD1574" s="15">
        <f>AC1574*AG1574</f>
        <v>27.299999999999997</v>
      </c>
      <c r="AE1574" s="15">
        <v>20</v>
      </c>
      <c r="AF1574" s="15">
        <f>AE1574*AG1574</f>
        <v>60</v>
      </c>
      <c r="AG1574" s="16">
        <v>3</v>
      </c>
    </row>
    <row r="1575" spans="1:33" ht="15" customHeight="1" x14ac:dyDescent="0.2">
      <c r="A1575" s="11" t="str">
        <f>HYPERLINK("https://assets.vans.eu/images/VN000FTEBLK-HERO/1","VN000FTEBLK1")</f>
        <v>VN000FTEBLK1</v>
      </c>
      <c r="B1575" s="12" t="s">
        <v>6101</v>
      </c>
      <c r="C1575" s="12" t="s">
        <v>6102</v>
      </c>
      <c r="D1575" s="12" t="s">
        <v>76</v>
      </c>
      <c r="E1575" s="12" t="s">
        <v>6103</v>
      </c>
      <c r="F1575" s="13">
        <v>16</v>
      </c>
      <c r="G1575" s="14"/>
      <c r="H1575" s="12" t="s">
        <v>79</v>
      </c>
      <c r="I1575" s="12" t="s">
        <v>125</v>
      </c>
      <c r="J1575" s="12" t="s">
        <v>139</v>
      </c>
      <c r="K1575" s="12" t="s">
        <v>64</v>
      </c>
      <c r="L1575" s="14"/>
      <c r="M1575" s="12" t="s">
        <v>43</v>
      </c>
      <c r="N1575" s="12" t="s">
        <v>2457</v>
      </c>
      <c r="O1575" s="12" t="s">
        <v>6104</v>
      </c>
      <c r="P1575" s="12" t="s">
        <v>86</v>
      </c>
      <c r="Q1575" s="12" t="s">
        <v>141</v>
      </c>
      <c r="R1575" s="12" t="s">
        <v>142</v>
      </c>
      <c r="S1575" s="13">
        <v>196574871136</v>
      </c>
      <c r="T1575" s="12" t="s">
        <v>143</v>
      </c>
      <c r="U1575" s="12" t="s">
        <v>517</v>
      </c>
      <c r="V1575" s="12" t="s">
        <v>6105</v>
      </c>
      <c r="W1575" s="12" t="s">
        <v>51</v>
      </c>
      <c r="X1575" s="13">
        <v>0</v>
      </c>
      <c r="Y1575" s="12" t="s">
        <v>91</v>
      </c>
      <c r="Z1575" s="12" t="s">
        <v>108</v>
      </c>
      <c r="AA1575" s="13">
        <v>0</v>
      </c>
      <c r="AB1575" s="13">
        <v>0</v>
      </c>
      <c r="AC1575" s="15">
        <v>7.3</v>
      </c>
      <c r="AD1575" s="15">
        <f>AC1575*AG1575</f>
        <v>21.9</v>
      </c>
      <c r="AE1575" s="15">
        <v>16</v>
      </c>
      <c r="AF1575" s="15">
        <f>AE1575*AG1575</f>
        <v>48</v>
      </c>
      <c r="AG1575" s="16">
        <v>3</v>
      </c>
    </row>
    <row r="1576" spans="1:33" ht="15" customHeight="1" x14ac:dyDescent="0.2">
      <c r="A1576" s="11" t="str">
        <f t="shared" ref="A1576:A2871" si="661">HYPERLINK("https://assets.vans.eu/images/VN000GM0BLK-HERO/1","VN000GM0BLK1")</f>
        <v>VN000GM0BLK1</v>
      </c>
      <c r="B1576" s="12" t="s">
        <v>6106</v>
      </c>
      <c r="C1576" s="12" t="s">
        <v>6107</v>
      </c>
      <c r="D1576" s="12" t="s">
        <v>76</v>
      </c>
      <c r="E1576" s="12" t="s">
        <v>6108</v>
      </c>
      <c r="F1576" s="12" t="s">
        <v>491</v>
      </c>
      <c r="G1576" s="14"/>
      <c r="H1576" s="12" t="s">
        <v>79</v>
      </c>
      <c r="I1576" s="12" t="s">
        <v>80</v>
      </c>
      <c r="J1576" s="12" t="s">
        <v>349</v>
      </c>
      <c r="K1576" s="12" t="s">
        <v>82</v>
      </c>
      <c r="L1576" s="14"/>
      <c r="M1576" s="12" t="s">
        <v>43</v>
      </c>
      <c r="N1576" s="12" t="s">
        <v>274</v>
      </c>
      <c r="O1576" s="12" t="s">
        <v>6109</v>
      </c>
      <c r="P1576" s="12" t="s">
        <v>86</v>
      </c>
      <c r="Q1576" s="12" t="s">
        <v>128</v>
      </c>
      <c r="R1576" s="12" t="s">
        <v>352</v>
      </c>
      <c r="S1576" s="13">
        <v>197063478393</v>
      </c>
      <c r="T1576" s="12" t="s">
        <v>235</v>
      </c>
      <c r="U1576" s="12" t="s">
        <v>491</v>
      </c>
      <c r="V1576" s="12" t="s">
        <v>6110</v>
      </c>
      <c r="W1576" s="12" t="s">
        <v>51</v>
      </c>
      <c r="X1576" s="13">
        <v>0</v>
      </c>
      <c r="Y1576" s="12" t="s">
        <v>91</v>
      </c>
      <c r="Z1576" s="12" t="s">
        <v>108</v>
      </c>
      <c r="AA1576" s="13">
        <v>0</v>
      </c>
      <c r="AB1576" s="13">
        <v>0</v>
      </c>
      <c r="AC1576" s="15">
        <v>21.85</v>
      </c>
      <c r="AD1576" s="15">
        <f>AC1576*AG1576</f>
        <v>65.550000000000011</v>
      </c>
      <c r="AE1576" s="15">
        <v>48</v>
      </c>
      <c r="AF1576" s="15">
        <f>AE1576*AG1576</f>
        <v>144</v>
      </c>
      <c r="AG1576" s="16">
        <v>3</v>
      </c>
    </row>
    <row r="1577" spans="1:33" ht="15" customHeight="1" x14ac:dyDescent="0.2">
      <c r="A1577" s="11" t="str">
        <f>HYPERLINK("https://assets.vans.eu/images/VN000GMTCHN-HERO/1","VN000GMTCHN1")</f>
        <v>VN000GMTCHN1</v>
      </c>
      <c r="B1577" s="12" t="s">
        <v>6111</v>
      </c>
      <c r="C1577" s="12" t="s">
        <v>6112</v>
      </c>
      <c r="D1577" s="12" t="s">
        <v>6113</v>
      </c>
      <c r="E1577" s="12" t="s">
        <v>6114</v>
      </c>
      <c r="F1577" s="13">
        <v>651</v>
      </c>
      <c r="G1577" s="14"/>
      <c r="H1577" s="12" t="s">
        <v>79</v>
      </c>
      <c r="I1577" s="12" t="s">
        <v>80</v>
      </c>
      <c r="J1577" s="12" t="s">
        <v>171</v>
      </c>
      <c r="K1577" s="12" t="s">
        <v>100</v>
      </c>
      <c r="L1577" s="14"/>
      <c r="M1577" s="12" t="s">
        <v>43</v>
      </c>
      <c r="N1577" s="12" t="s">
        <v>274</v>
      </c>
      <c r="O1577" s="12" t="s">
        <v>6115</v>
      </c>
      <c r="P1577" s="12" t="s">
        <v>86</v>
      </c>
      <c r="Q1577" s="12" t="s">
        <v>141</v>
      </c>
      <c r="R1577" s="12" t="s">
        <v>173</v>
      </c>
      <c r="S1577" s="13">
        <v>197063495352</v>
      </c>
      <c r="T1577" s="12" t="s">
        <v>143</v>
      </c>
      <c r="U1577" s="12" t="s">
        <v>800</v>
      </c>
      <c r="V1577" s="12" t="s">
        <v>6116</v>
      </c>
      <c r="W1577" s="12" t="s">
        <v>299</v>
      </c>
      <c r="X1577" s="13">
        <v>0</v>
      </c>
      <c r="Y1577" s="12" t="s">
        <v>91</v>
      </c>
      <c r="Z1577" s="12" t="s">
        <v>108</v>
      </c>
      <c r="AA1577" s="13">
        <v>0</v>
      </c>
      <c r="AB1577" s="13">
        <v>0</v>
      </c>
      <c r="AC1577" s="15">
        <v>9.1</v>
      </c>
      <c r="AD1577" s="15">
        <f>AC1577*AG1577</f>
        <v>27.299999999999997</v>
      </c>
      <c r="AE1577" s="15">
        <v>20</v>
      </c>
      <c r="AF1577" s="15">
        <f>AE1577*AG1577</f>
        <v>60</v>
      </c>
      <c r="AG1577" s="16">
        <v>3</v>
      </c>
    </row>
    <row r="1578" spans="1:33" ht="15" customHeight="1" x14ac:dyDescent="0.2">
      <c r="A1578" s="11" t="str">
        <f>HYPERLINK("https://assets.vans.eu/images/VN000GMZWHT-HERO/1","VN000GMZWHT1")</f>
        <v>VN000GMZWHT1</v>
      </c>
      <c r="B1578" s="12" t="s">
        <v>6117</v>
      </c>
      <c r="C1578" s="12" t="s">
        <v>4050</v>
      </c>
      <c r="D1578" s="12" t="s">
        <v>168</v>
      </c>
      <c r="E1578" s="12" t="s">
        <v>6118</v>
      </c>
      <c r="F1578" s="12" t="s">
        <v>78</v>
      </c>
      <c r="G1578" s="14"/>
      <c r="H1578" s="12" t="s">
        <v>79</v>
      </c>
      <c r="I1578" s="12" t="s">
        <v>80</v>
      </c>
      <c r="J1578" s="12" t="s">
        <v>99</v>
      </c>
      <c r="K1578" s="12" t="s">
        <v>82</v>
      </c>
      <c r="L1578" s="14"/>
      <c r="M1578" s="12" t="s">
        <v>43</v>
      </c>
      <c r="N1578" s="12" t="s">
        <v>84</v>
      </c>
      <c r="O1578" s="12" t="s">
        <v>6119</v>
      </c>
      <c r="P1578" s="12" t="s">
        <v>86</v>
      </c>
      <c r="Q1578" s="12" t="s">
        <v>716</v>
      </c>
      <c r="R1578" s="12" t="s">
        <v>717</v>
      </c>
      <c r="S1578" s="13">
        <v>197063464013</v>
      </c>
      <c r="T1578" s="12" t="s">
        <v>143</v>
      </c>
      <c r="U1578" s="12" t="s">
        <v>78</v>
      </c>
      <c r="V1578" s="12" t="s">
        <v>718</v>
      </c>
      <c r="W1578" s="12" t="s">
        <v>175</v>
      </c>
      <c r="X1578" s="13">
        <v>0</v>
      </c>
      <c r="Y1578" s="12" t="s">
        <v>91</v>
      </c>
      <c r="Z1578" s="12" t="s">
        <v>108</v>
      </c>
      <c r="AA1578" s="13">
        <v>0</v>
      </c>
      <c r="AB1578" s="13">
        <v>0</v>
      </c>
      <c r="AC1578" s="15">
        <v>8.1999999999999993</v>
      </c>
      <c r="AD1578" s="15">
        <f>AC1578*AG1578</f>
        <v>24.599999999999998</v>
      </c>
      <c r="AE1578" s="15">
        <v>18</v>
      </c>
      <c r="AF1578" s="15">
        <f>AE1578*AG1578</f>
        <v>54</v>
      </c>
      <c r="AG1578" s="16">
        <v>3</v>
      </c>
    </row>
    <row r="1579" spans="1:33" ht="15" customHeight="1" x14ac:dyDescent="0.2">
      <c r="A1579" s="11" t="str">
        <f t="shared" ref="A1579:A2874" si="662">HYPERLINK("https://assets.vans.eu/images/VN000GNDBLK-HERO/1","VN000GNDBLK1")</f>
        <v>VN000GNDBLK1</v>
      </c>
      <c r="B1579" s="12" t="s">
        <v>6120</v>
      </c>
      <c r="C1579" s="12" t="s">
        <v>6121</v>
      </c>
      <c r="D1579" s="12" t="s">
        <v>76</v>
      </c>
      <c r="E1579" s="12" t="s">
        <v>6122</v>
      </c>
      <c r="F1579" s="13">
        <v>101</v>
      </c>
      <c r="G1579" s="14"/>
      <c r="H1579" s="12" t="s">
        <v>79</v>
      </c>
      <c r="I1579" s="12" t="s">
        <v>125</v>
      </c>
      <c r="J1579" s="12" t="s">
        <v>139</v>
      </c>
      <c r="K1579" s="12" t="s">
        <v>41</v>
      </c>
      <c r="L1579" s="14"/>
      <c r="M1579" s="12" t="s">
        <v>43</v>
      </c>
      <c r="N1579" s="12" t="s">
        <v>274</v>
      </c>
      <c r="O1579" s="12" t="s">
        <v>6123</v>
      </c>
      <c r="P1579" s="12" t="s">
        <v>86</v>
      </c>
      <c r="Q1579" s="12" t="s">
        <v>141</v>
      </c>
      <c r="R1579" s="12" t="s">
        <v>142</v>
      </c>
      <c r="S1579" s="13">
        <v>197063498995</v>
      </c>
      <c r="T1579" s="12" t="s">
        <v>143</v>
      </c>
      <c r="U1579" s="13">
        <v>101</v>
      </c>
      <c r="V1579" s="12" t="s">
        <v>6124</v>
      </c>
      <c r="W1579" s="12" t="s">
        <v>51</v>
      </c>
      <c r="X1579" s="13">
        <v>0</v>
      </c>
      <c r="Y1579" s="12" t="s">
        <v>91</v>
      </c>
      <c r="Z1579" s="12" t="s">
        <v>108</v>
      </c>
      <c r="AA1579" s="13">
        <v>0</v>
      </c>
      <c r="AB1579" s="13">
        <v>0</v>
      </c>
      <c r="AC1579" s="15">
        <v>10.95</v>
      </c>
      <c r="AD1579" s="15">
        <f>AC1579*AG1579</f>
        <v>32.849999999999994</v>
      </c>
      <c r="AE1579" s="15">
        <v>24</v>
      </c>
      <c r="AF1579" s="15">
        <f>AE1579*AG1579</f>
        <v>72</v>
      </c>
      <c r="AG1579" s="16">
        <v>3</v>
      </c>
    </row>
    <row r="1580" spans="1:33" ht="15" customHeight="1" x14ac:dyDescent="0.2">
      <c r="A1580" s="11" t="str">
        <f>HYPERLINK("https://assets.vans.eu/images/VN000HEARNE-HERO/1","VN000HEARNE1")</f>
        <v>VN000HEARNE1</v>
      </c>
      <c r="B1580" s="12" t="s">
        <v>6125</v>
      </c>
      <c r="C1580" s="12" t="s">
        <v>6126</v>
      </c>
      <c r="D1580" s="12" t="s">
        <v>4661</v>
      </c>
      <c r="E1580" s="12" t="s">
        <v>6127</v>
      </c>
      <c r="F1580" s="12" t="s">
        <v>78</v>
      </c>
      <c r="G1580" s="14"/>
      <c r="H1580" s="12" t="s">
        <v>79</v>
      </c>
      <c r="I1580" s="12" t="s">
        <v>80</v>
      </c>
      <c r="J1580" s="12" t="s">
        <v>349</v>
      </c>
      <c r="K1580" s="12" t="s">
        <v>82</v>
      </c>
      <c r="L1580" s="14"/>
      <c r="M1580" s="12" t="s">
        <v>43</v>
      </c>
      <c r="N1580" s="12" t="s">
        <v>44</v>
      </c>
      <c r="O1580" s="12" t="s">
        <v>6128</v>
      </c>
      <c r="P1580" s="12" t="s">
        <v>86</v>
      </c>
      <c r="Q1580" s="12" t="s">
        <v>128</v>
      </c>
      <c r="R1580" s="12" t="s">
        <v>352</v>
      </c>
      <c r="S1580" s="13">
        <v>197643554929</v>
      </c>
      <c r="T1580" s="12" t="s">
        <v>143</v>
      </c>
      <c r="U1580" s="12" t="s">
        <v>78</v>
      </c>
      <c r="V1580" s="12" t="s">
        <v>965</v>
      </c>
      <c r="W1580" s="12" t="s">
        <v>118</v>
      </c>
      <c r="X1580" s="13">
        <v>0</v>
      </c>
      <c r="Y1580" s="12" t="s">
        <v>91</v>
      </c>
      <c r="Z1580" s="12" t="s">
        <v>108</v>
      </c>
      <c r="AA1580" s="13">
        <v>0</v>
      </c>
      <c r="AB1580" s="13">
        <v>0</v>
      </c>
      <c r="AC1580" s="15">
        <v>14.55</v>
      </c>
      <c r="AD1580" s="15">
        <f>AC1580*AG1580</f>
        <v>43.650000000000006</v>
      </c>
      <c r="AE1580" s="15">
        <v>32</v>
      </c>
      <c r="AF1580" s="15">
        <f>AE1580*AG1580</f>
        <v>96</v>
      </c>
      <c r="AG1580" s="16">
        <v>3</v>
      </c>
    </row>
    <row r="1581" spans="1:33" ht="15" customHeight="1" x14ac:dyDescent="0.2">
      <c r="A1581" s="11" t="str">
        <f t="shared" ref="A1581:A2876" si="663">HYPERLINK("https://assets.vans.eu/images/VN000HMSE8A-HERO/1","VN000HMSE8A1")</f>
        <v>VN000HMSE8A1</v>
      </c>
      <c r="B1581" s="12" t="s">
        <v>6129</v>
      </c>
      <c r="C1581" s="12" t="s">
        <v>6130</v>
      </c>
      <c r="D1581" s="12" t="s">
        <v>6131</v>
      </c>
      <c r="E1581" s="12" t="s">
        <v>6132</v>
      </c>
      <c r="F1581" s="13">
        <v>951</v>
      </c>
      <c r="G1581" s="14"/>
      <c r="H1581" s="12" t="s">
        <v>79</v>
      </c>
      <c r="I1581" s="12" t="s">
        <v>80</v>
      </c>
      <c r="J1581" s="12" t="s">
        <v>171</v>
      </c>
      <c r="K1581" s="12" t="s">
        <v>199</v>
      </c>
      <c r="L1581" s="14"/>
      <c r="M1581" s="12" t="s">
        <v>43</v>
      </c>
      <c r="N1581" s="12" t="s">
        <v>161</v>
      </c>
      <c r="O1581" s="12" t="s">
        <v>6133</v>
      </c>
      <c r="P1581" s="12" t="s">
        <v>86</v>
      </c>
      <c r="Q1581" s="12" t="s">
        <v>141</v>
      </c>
      <c r="R1581" s="12" t="s">
        <v>173</v>
      </c>
      <c r="S1581" s="13">
        <v>197065820152</v>
      </c>
      <c r="T1581" s="12" t="s">
        <v>143</v>
      </c>
      <c r="U1581" s="12" t="s">
        <v>1402</v>
      </c>
      <c r="V1581" s="12" t="s">
        <v>6134</v>
      </c>
      <c r="W1581" s="12" t="s">
        <v>284</v>
      </c>
      <c r="X1581" s="13">
        <v>0</v>
      </c>
      <c r="Y1581" s="12" t="s">
        <v>1011</v>
      </c>
      <c r="Z1581" s="12" t="s">
        <v>6135</v>
      </c>
      <c r="AA1581" s="13">
        <v>0</v>
      </c>
      <c r="AB1581" s="13">
        <v>0</v>
      </c>
      <c r="AC1581" s="15">
        <v>9.1</v>
      </c>
      <c r="AD1581" s="15">
        <f>AC1581*AG1581</f>
        <v>27.299999999999997</v>
      </c>
      <c r="AE1581" s="15">
        <v>20</v>
      </c>
      <c r="AF1581" s="15">
        <f>AE1581*AG1581</f>
        <v>60</v>
      </c>
      <c r="AG1581" s="16">
        <v>3</v>
      </c>
    </row>
    <row r="1582" spans="1:33" ht="15" customHeight="1" x14ac:dyDescent="0.2">
      <c r="A1582" s="11" t="str">
        <f>HYPERLINK("https://assets.vans.eu/images/VN000J4VRV2-HERO/1","VN000J4VRV21")</f>
        <v>VN000J4VRV21</v>
      </c>
      <c r="B1582" s="12" t="s">
        <v>6136</v>
      </c>
      <c r="C1582" s="12" t="s">
        <v>5121</v>
      </c>
      <c r="D1582" s="12" t="s">
        <v>1428</v>
      </c>
      <c r="E1582" s="12" t="s">
        <v>6137</v>
      </c>
      <c r="F1582" s="12" t="s">
        <v>78</v>
      </c>
      <c r="G1582" s="14"/>
      <c r="H1582" s="12" t="s">
        <v>79</v>
      </c>
      <c r="I1582" s="12" t="s">
        <v>125</v>
      </c>
      <c r="J1582" s="12" t="s">
        <v>126</v>
      </c>
      <c r="K1582" s="12" t="s">
        <v>41</v>
      </c>
      <c r="L1582" s="14"/>
      <c r="M1582" s="12" t="s">
        <v>43</v>
      </c>
      <c r="N1582" s="12" t="s">
        <v>44</v>
      </c>
      <c r="O1582" s="12" t="s">
        <v>6138</v>
      </c>
      <c r="P1582" s="12" t="s">
        <v>86</v>
      </c>
      <c r="Q1582" s="12" t="s">
        <v>128</v>
      </c>
      <c r="R1582" s="12" t="s">
        <v>129</v>
      </c>
      <c r="S1582" s="13">
        <v>197643555292</v>
      </c>
      <c r="T1582" s="12" t="s">
        <v>235</v>
      </c>
      <c r="U1582" s="12" t="s">
        <v>78</v>
      </c>
      <c r="V1582" s="12" t="s">
        <v>1179</v>
      </c>
      <c r="W1582" s="12" t="s">
        <v>51</v>
      </c>
      <c r="X1582" s="12" t="s">
        <v>500</v>
      </c>
      <c r="Y1582" s="12" t="s">
        <v>91</v>
      </c>
      <c r="Z1582" s="12" t="s">
        <v>108</v>
      </c>
      <c r="AA1582" s="13">
        <v>0</v>
      </c>
      <c r="AB1582" s="13">
        <v>0</v>
      </c>
      <c r="AC1582" s="15">
        <v>12.75</v>
      </c>
      <c r="AD1582" s="15">
        <f>AC1582*AG1582</f>
        <v>38.25</v>
      </c>
      <c r="AE1582" s="15">
        <v>28</v>
      </c>
      <c r="AF1582" s="15">
        <f>AE1582*AG1582</f>
        <v>84</v>
      </c>
      <c r="AG1582" s="16">
        <v>3</v>
      </c>
    </row>
    <row r="1583" spans="1:33" ht="15" customHeight="1" x14ac:dyDescent="0.2">
      <c r="A1583" s="11" t="str">
        <f>HYPERLINK("https://assets.vans.eu/images/VN000J4ZDAB-HERO/1","VN000J4ZDAB1")</f>
        <v>VN000J4ZDAB1</v>
      </c>
      <c r="B1583" s="12" t="s">
        <v>6139</v>
      </c>
      <c r="C1583" s="12" t="s">
        <v>6140</v>
      </c>
      <c r="D1583" s="12" t="s">
        <v>6141</v>
      </c>
      <c r="E1583" s="12" t="s">
        <v>6142</v>
      </c>
      <c r="F1583" s="12" t="s">
        <v>78</v>
      </c>
      <c r="G1583" s="14"/>
      <c r="H1583" s="12" t="s">
        <v>79</v>
      </c>
      <c r="I1583" s="12" t="s">
        <v>125</v>
      </c>
      <c r="J1583" s="12" t="s">
        <v>126</v>
      </c>
      <c r="K1583" s="12" t="s">
        <v>41</v>
      </c>
      <c r="L1583" s="14"/>
      <c r="M1583" s="12" t="s">
        <v>43</v>
      </c>
      <c r="N1583" s="12" t="s">
        <v>161</v>
      </c>
      <c r="O1583" s="12" t="s">
        <v>6143</v>
      </c>
      <c r="P1583" s="12" t="s">
        <v>86</v>
      </c>
      <c r="Q1583" s="12" t="s">
        <v>128</v>
      </c>
      <c r="R1583" s="12" t="s">
        <v>129</v>
      </c>
      <c r="S1583" s="13">
        <v>197065462833</v>
      </c>
      <c r="T1583" s="12" t="s">
        <v>130</v>
      </c>
      <c r="U1583" s="12" t="s">
        <v>78</v>
      </c>
      <c r="V1583" s="12" t="s">
        <v>391</v>
      </c>
      <c r="W1583" s="12" t="s">
        <v>580</v>
      </c>
      <c r="X1583" s="13">
        <v>0</v>
      </c>
      <c r="Y1583" s="12" t="s">
        <v>91</v>
      </c>
      <c r="Z1583" s="12" t="s">
        <v>108</v>
      </c>
      <c r="AA1583" s="13">
        <v>0</v>
      </c>
      <c r="AB1583" s="13">
        <v>0</v>
      </c>
      <c r="AC1583" s="15">
        <v>11.85</v>
      </c>
      <c r="AD1583" s="15">
        <f>AC1583*AG1583</f>
        <v>35.549999999999997</v>
      </c>
      <c r="AE1583" s="15">
        <v>26</v>
      </c>
      <c r="AF1583" s="15">
        <f>AE1583*AG1583</f>
        <v>78</v>
      </c>
      <c r="AG1583" s="16">
        <v>3</v>
      </c>
    </row>
    <row r="1584" spans="1:33" ht="15" customHeight="1" x14ac:dyDescent="0.2">
      <c r="A1584" s="11" t="str">
        <f>HYPERLINK("https://assets.vans.eu/images/VN000K61BLK-HERO/1","VN000K61BLK1")</f>
        <v>VN000K61BLK1</v>
      </c>
      <c r="B1584" s="12" t="s">
        <v>6144</v>
      </c>
      <c r="C1584" s="12" t="s">
        <v>6145</v>
      </c>
      <c r="D1584" s="12" t="s">
        <v>76</v>
      </c>
      <c r="E1584" s="12" t="s">
        <v>6146</v>
      </c>
      <c r="F1584" s="12" t="s">
        <v>78</v>
      </c>
      <c r="G1584" s="14"/>
      <c r="H1584" s="12" t="s">
        <v>79</v>
      </c>
      <c r="I1584" s="12" t="s">
        <v>80</v>
      </c>
      <c r="J1584" s="12" t="s">
        <v>349</v>
      </c>
      <c r="K1584" s="12" t="s">
        <v>82</v>
      </c>
      <c r="L1584" s="14"/>
      <c r="M1584" s="12" t="s">
        <v>43</v>
      </c>
      <c r="N1584" s="12" t="s">
        <v>44</v>
      </c>
      <c r="O1584" s="12" t="s">
        <v>6147</v>
      </c>
      <c r="P1584" s="12" t="s">
        <v>86</v>
      </c>
      <c r="Q1584" s="12" t="s">
        <v>128</v>
      </c>
      <c r="R1584" s="12" t="s">
        <v>352</v>
      </c>
      <c r="S1584" s="13">
        <v>197643555421</v>
      </c>
      <c r="T1584" s="12" t="s">
        <v>235</v>
      </c>
      <c r="U1584" s="12" t="s">
        <v>78</v>
      </c>
      <c r="V1584" s="12" t="s">
        <v>6148</v>
      </c>
      <c r="W1584" s="12" t="s">
        <v>51</v>
      </c>
      <c r="X1584" s="13">
        <v>0</v>
      </c>
      <c r="Y1584" s="12" t="s">
        <v>91</v>
      </c>
      <c r="Z1584" s="12" t="s">
        <v>108</v>
      </c>
      <c r="AA1584" s="13">
        <v>0</v>
      </c>
      <c r="AB1584" s="13">
        <v>0</v>
      </c>
      <c r="AC1584" s="15">
        <v>16.399999999999999</v>
      </c>
      <c r="AD1584" s="15">
        <f>AC1584*AG1584</f>
        <v>49.199999999999996</v>
      </c>
      <c r="AE1584" s="15">
        <v>36</v>
      </c>
      <c r="AF1584" s="15">
        <f>AE1584*AG1584</f>
        <v>108</v>
      </c>
      <c r="AG1584" s="16">
        <v>3</v>
      </c>
    </row>
    <row r="1585" spans="1:33" ht="15" customHeight="1" x14ac:dyDescent="0.2">
      <c r="A1585" s="11" t="str">
        <f t="shared" si="181"/>
        <v>VN000KYE1NU1</v>
      </c>
      <c r="B1585" s="12" t="s">
        <v>6149</v>
      </c>
      <c r="C1585" s="12" t="s">
        <v>2020</v>
      </c>
      <c r="D1585" s="12" t="s">
        <v>783</v>
      </c>
      <c r="E1585" s="12" t="s">
        <v>6150</v>
      </c>
      <c r="F1585" s="13">
        <v>951</v>
      </c>
      <c r="G1585" s="14"/>
      <c r="H1585" s="12" t="s">
        <v>79</v>
      </c>
      <c r="I1585" s="12" t="s">
        <v>80</v>
      </c>
      <c r="J1585" s="12" t="s">
        <v>171</v>
      </c>
      <c r="K1585" s="12" t="s">
        <v>199</v>
      </c>
      <c r="L1585" s="14"/>
      <c r="M1585" s="12" t="s">
        <v>43</v>
      </c>
      <c r="N1585" s="12" t="s">
        <v>44</v>
      </c>
      <c r="O1585" s="12" t="s">
        <v>6151</v>
      </c>
      <c r="P1585" s="12" t="s">
        <v>86</v>
      </c>
      <c r="Q1585" s="12" t="s">
        <v>141</v>
      </c>
      <c r="R1585" s="12" t="s">
        <v>173</v>
      </c>
      <c r="S1585" s="13">
        <v>197643536802</v>
      </c>
      <c r="T1585" s="12" t="s">
        <v>143</v>
      </c>
      <c r="U1585" s="12" t="s">
        <v>1402</v>
      </c>
      <c r="V1585" s="12" t="s">
        <v>2024</v>
      </c>
      <c r="W1585" s="12" t="s">
        <v>186</v>
      </c>
      <c r="X1585" s="13">
        <v>0</v>
      </c>
      <c r="Y1585" s="12" t="s">
        <v>91</v>
      </c>
      <c r="Z1585" s="12" t="s">
        <v>108</v>
      </c>
      <c r="AA1585" s="13">
        <v>0</v>
      </c>
      <c r="AB1585" s="13">
        <v>0</v>
      </c>
      <c r="AC1585" s="15">
        <v>9.1</v>
      </c>
      <c r="AD1585" s="15">
        <f>AC1585*AG1585</f>
        <v>27.299999999999997</v>
      </c>
      <c r="AE1585" s="15">
        <v>20</v>
      </c>
      <c r="AF1585" s="15">
        <f>AE1585*AG1585</f>
        <v>60</v>
      </c>
      <c r="AG1585" s="16">
        <v>3</v>
      </c>
    </row>
    <row r="1586" spans="1:33" ht="15" customHeight="1" x14ac:dyDescent="0.2">
      <c r="A1586" s="11" t="str">
        <f>HYPERLINK("https://assets.vans.eu/images/VN000LC0C9L-HERO/1","VN000LC0C9L1")</f>
        <v>VN000LC0C9L1</v>
      </c>
      <c r="B1586" s="12" t="s">
        <v>6152</v>
      </c>
      <c r="C1586" s="12" t="s">
        <v>712</v>
      </c>
      <c r="D1586" s="12" t="s">
        <v>890</v>
      </c>
      <c r="E1586" s="12" t="s">
        <v>6153</v>
      </c>
      <c r="F1586" s="12" t="s">
        <v>78</v>
      </c>
      <c r="G1586" s="14"/>
      <c r="H1586" s="12" t="s">
        <v>79</v>
      </c>
      <c r="I1586" s="12" t="s">
        <v>80</v>
      </c>
      <c r="J1586" s="12" t="s">
        <v>99</v>
      </c>
      <c r="K1586" s="12" t="s">
        <v>82</v>
      </c>
      <c r="L1586" s="14"/>
      <c r="M1586" s="12" t="s">
        <v>43</v>
      </c>
      <c r="N1586" s="12" t="s">
        <v>44</v>
      </c>
      <c r="O1586" s="12" t="s">
        <v>6154</v>
      </c>
      <c r="P1586" s="12" t="s">
        <v>86</v>
      </c>
      <c r="Q1586" s="12" t="s">
        <v>716</v>
      </c>
      <c r="R1586" s="12" t="s">
        <v>717</v>
      </c>
      <c r="S1586" s="13">
        <v>197643555384</v>
      </c>
      <c r="T1586" s="12" t="s">
        <v>143</v>
      </c>
      <c r="U1586" s="12" t="s">
        <v>78</v>
      </c>
      <c r="V1586" s="12" t="s">
        <v>718</v>
      </c>
      <c r="W1586" s="12" t="s">
        <v>262</v>
      </c>
      <c r="X1586" s="12" t="s">
        <v>500</v>
      </c>
      <c r="Y1586" s="12" t="s">
        <v>91</v>
      </c>
      <c r="Z1586" s="12" t="s">
        <v>108</v>
      </c>
      <c r="AA1586" s="13">
        <v>0</v>
      </c>
      <c r="AB1586" s="13">
        <v>0</v>
      </c>
      <c r="AC1586" s="15">
        <v>8.1999999999999993</v>
      </c>
      <c r="AD1586" s="15">
        <f>AC1586*AG1586</f>
        <v>24.599999999999998</v>
      </c>
      <c r="AE1586" s="15">
        <v>18</v>
      </c>
      <c r="AF1586" s="15">
        <f>AE1586*AG1586</f>
        <v>54</v>
      </c>
      <c r="AG1586" s="16">
        <v>3</v>
      </c>
    </row>
    <row r="1587" spans="1:33" ht="15" customHeight="1" x14ac:dyDescent="0.2">
      <c r="A1587" s="11" t="str">
        <f>HYPERLINK("https://assets.vans.eu/images/VN000MNFO3N-HERO/1","VN000MNFO3N1")</f>
        <v>VN000MNFO3N1</v>
      </c>
      <c r="B1587" s="12" t="s">
        <v>6155</v>
      </c>
      <c r="C1587" s="12" t="s">
        <v>364</v>
      </c>
      <c r="D1587" s="12" t="s">
        <v>744</v>
      </c>
      <c r="E1587" s="12" t="s">
        <v>6156</v>
      </c>
      <c r="F1587" s="13">
        <v>16</v>
      </c>
      <c r="G1587" s="14"/>
      <c r="H1587" s="12" t="s">
        <v>79</v>
      </c>
      <c r="I1587" s="12" t="s">
        <v>125</v>
      </c>
      <c r="J1587" s="12" t="s">
        <v>139</v>
      </c>
      <c r="K1587" s="12" t="s">
        <v>41</v>
      </c>
      <c r="L1587" s="14"/>
      <c r="M1587" s="12" t="s">
        <v>43</v>
      </c>
      <c r="N1587" s="12" t="s">
        <v>44</v>
      </c>
      <c r="O1587" s="12" t="s">
        <v>6157</v>
      </c>
      <c r="P1587" s="12" t="s">
        <v>86</v>
      </c>
      <c r="Q1587" s="12" t="s">
        <v>141</v>
      </c>
      <c r="R1587" s="12" t="s">
        <v>142</v>
      </c>
      <c r="S1587" s="13">
        <v>197643539995</v>
      </c>
      <c r="T1587" s="12" t="s">
        <v>143</v>
      </c>
      <c r="U1587" s="13">
        <v>16</v>
      </c>
      <c r="V1587" s="12" t="s">
        <v>6158</v>
      </c>
      <c r="W1587" s="12" t="s">
        <v>299</v>
      </c>
      <c r="X1587" s="13">
        <v>0</v>
      </c>
      <c r="Y1587" s="12" t="s">
        <v>91</v>
      </c>
      <c r="Z1587" s="12" t="s">
        <v>108</v>
      </c>
      <c r="AA1587" s="13">
        <v>0</v>
      </c>
      <c r="AB1587" s="13">
        <v>0</v>
      </c>
      <c r="AC1587" s="15">
        <v>6.4</v>
      </c>
      <c r="AD1587" s="15">
        <f>AC1587*AG1587</f>
        <v>19.200000000000003</v>
      </c>
      <c r="AE1587" s="15">
        <v>14</v>
      </c>
      <c r="AF1587" s="15">
        <f>AE1587*AG1587</f>
        <v>42</v>
      </c>
      <c r="AG1587" s="16">
        <v>3</v>
      </c>
    </row>
    <row r="1588" spans="1:33" ht="15" customHeight="1" x14ac:dyDescent="0.2">
      <c r="A1588" s="11" t="str">
        <f>HYPERLINK("https://assets.vans.eu/images/VN000Q1F7WM-HERO/1","VN000Q1F7WM1")</f>
        <v>VN000Q1F7WM1</v>
      </c>
      <c r="B1588" s="12" t="s">
        <v>6159</v>
      </c>
      <c r="C1588" s="12" t="s">
        <v>1534</v>
      </c>
      <c r="D1588" s="12" t="s">
        <v>388</v>
      </c>
      <c r="E1588" s="12" t="s">
        <v>6160</v>
      </c>
      <c r="F1588" s="12" t="s">
        <v>78</v>
      </c>
      <c r="G1588" s="14"/>
      <c r="H1588" s="12" t="s">
        <v>79</v>
      </c>
      <c r="I1588" s="12" t="s">
        <v>125</v>
      </c>
      <c r="J1588" s="12" t="s">
        <v>126</v>
      </c>
      <c r="K1588" s="12" t="s">
        <v>41</v>
      </c>
      <c r="L1588" s="14"/>
      <c r="M1588" s="12" t="s">
        <v>43</v>
      </c>
      <c r="N1588" s="12" t="s">
        <v>84</v>
      </c>
      <c r="O1588" s="12" t="s">
        <v>6161</v>
      </c>
      <c r="P1588" s="12" t="s">
        <v>86</v>
      </c>
      <c r="Q1588" s="12" t="s">
        <v>128</v>
      </c>
      <c r="R1588" s="12" t="s">
        <v>129</v>
      </c>
      <c r="S1588" s="13">
        <v>197804373444</v>
      </c>
      <c r="T1588" s="12" t="s">
        <v>130</v>
      </c>
      <c r="U1588" s="12" t="s">
        <v>78</v>
      </c>
      <c r="V1588" s="12" t="s">
        <v>454</v>
      </c>
      <c r="W1588" s="12" t="s">
        <v>284</v>
      </c>
      <c r="X1588" s="14"/>
      <c r="Y1588" s="14"/>
      <c r="Z1588" s="14"/>
      <c r="AA1588" s="14"/>
      <c r="AB1588" s="14"/>
      <c r="AC1588" s="15">
        <v>10.95</v>
      </c>
      <c r="AD1588" s="15">
        <f>AC1588*AG1588</f>
        <v>32.849999999999994</v>
      </c>
      <c r="AE1588" s="15">
        <v>24</v>
      </c>
      <c r="AF1588" s="15">
        <f>AE1588*AG1588</f>
        <v>72</v>
      </c>
      <c r="AG1588" s="16">
        <v>3</v>
      </c>
    </row>
    <row r="1589" spans="1:33" ht="15" customHeight="1" x14ac:dyDescent="0.2">
      <c r="A1589" s="11" t="str">
        <f t="shared" si="122"/>
        <v>VN000QBEF0E1</v>
      </c>
      <c r="B1589" s="12" t="s">
        <v>6162</v>
      </c>
      <c r="C1589" s="12" t="s">
        <v>146</v>
      </c>
      <c r="D1589" s="12" t="s">
        <v>1542</v>
      </c>
      <c r="E1589" s="12" t="s">
        <v>6163</v>
      </c>
      <c r="F1589" s="12" t="s">
        <v>170</v>
      </c>
      <c r="G1589" s="14"/>
      <c r="H1589" s="12" t="s">
        <v>79</v>
      </c>
      <c r="I1589" s="12" t="s">
        <v>80</v>
      </c>
      <c r="J1589" s="12" t="s">
        <v>171</v>
      </c>
      <c r="K1589" s="12" t="s">
        <v>82</v>
      </c>
      <c r="L1589" s="14"/>
      <c r="M1589" s="12" t="s">
        <v>43</v>
      </c>
      <c r="N1589" s="12" t="s">
        <v>84</v>
      </c>
      <c r="O1589" s="12" t="s">
        <v>6164</v>
      </c>
      <c r="P1589" s="12" t="s">
        <v>86</v>
      </c>
      <c r="Q1589" s="12" t="s">
        <v>141</v>
      </c>
      <c r="R1589" s="12" t="s">
        <v>173</v>
      </c>
      <c r="S1589" s="13">
        <v>197804395323</v>
      </c>
      <c r="T1589" s="12" t="s">
        <v>143</v>
      </c>
      <c r="U1589" s="12" t="s">
        <v>170</v>
      </c>
      <c r="V1589" s="12" t="s">
        <v>1545</v>
      </c>
      <c r="W1589" s="12" t="s">
        <v>51</v>
      </c>
      <c r="X1589" s="14"/>
      <c r="Y1589" s="14"/>
      <c r="Z1589" s="14"/>
      <c r="AA1589" s="14"/>
      <c r="AB1589" s="14"/>
      <c r="AC1589" s="15">
        <v>9.1</v>
      </c>
      <c r="AD1589" s="15">
        <f>AC1589*AG1589</f>
        <v>27.299999999999997</v>
      </c>
      <c r="AE1589" s="15">
        <v>20</v>
      </c>
      <c r="AF1589" s="15">
        <f>AE1589*AG1589</f>
        <v>60</v>
      </c>
      <c r="AG1589" s="16">
        <v>3</v>
      </c>
    </row>
    <row r="1590" spans="1:33" ht="15" customHeight="1" x14ac:dyDescent="0.2">
      <c r="A1590" s="11" t="str">
        <f t="shared" si="27"/>
        <v>VN000QBKYLZ1</v>
      </c>
      <c r="B1590" s="12" t="s">
        <v>6165</v>
      </c>
      <c r="C1590" s="12" t="s">
        <v>457</v>
      </c>
      <c r="D1590" s="12" t="s">
        <v>458</v>
      </c>
      <c r="E1590" s="12" t="s">
        <v>6166</v>
      </c>
      <c r="F1590" s="12" t="s">
        <v>403</v>
      </c>
      <c r="G1590" s="14"/>
      <c r="H1590" s="12" t="s">
        <v>79</v>
      </c>
      <c r="I1590" s="12" t="s">
        <v>80</v>
      </c>
      <c r="J1590" s="12" t="s">
        <v>171</v>
      </c>
      <c r="K1590" s="12" t="s">
        <v>82</v>
      </c>
      <c r="L1590" s="14"/>
      <c r="M1590" s="12" t="s">
        <v>43</v>
      </c>
      <c r="N1590" s="12" t="s">
        <v>84</v>
      </c>
      <c r="O1590" s="12" t="s">
        <v>6167</v>
      </c>
      <c r="P1590" s="12" t="s">
        <v>86</v>
      </c>
      <c r="Q1590" s="12" t="s">
        <v>141</v>
      </c>
      <c r="R1590" s="12" t="s">
        <v>173</v>
      </c>
      <c r="S1590" s="13">
        <v>197804395118</v>
      </c>
      <c r="T1590" s="12" t="s">
        <v>105</v>
      </c>
      <c r="U1590" s="12" t="s">
        <v>403</v>
      </c>
      <c r="V1590" s="12" t="s">
        <v>461</v>
      </c>
      <c r="W1590" s="12" t="s">
        <v>299</v>
      </c>
      <c r="X1590" s="14"/>
      <c r="Y1590" s="14"/>
      <c r="Z1590" s="14"/>
      <c r="AA1590" s="14"/>
      <c r="AB1590" s="14"/>
      <c r="AC1590" s="15">
        <v>7.3</v>
      </c>
      <c r="AD1590" s="15">
        <f>AC1590*AG1590</f>
        <v>21.9</v>
      </c>
      <c r="AE1590" s="15">
        <v>16</v>
      </c>
      <c r="AF1590" s="15">
        <f>AE1590*AG1590</f>
        <v>48</v>
      </c>
      <c r="AG1590" s="16">
        <v>3</v>
      </c>
    </row>
    <row r="1591" spans="1:33" ht="15" customHeight="1" x14ac:dyDescent="0.2">
      <c r="A1591" s="11" t="str">
        <f t="shared" si="18"/>
        <v>VN000QBM7UG1</v>
      </c>
      <c r="B1591" s="12" t="s">
        <v>6168</v>
      </c>
      <c r="C1591" s="12" t="s">
        <v>332</v>
      </c>
      <c r="D1591" s="12" t="s">
        <v>333</v>
      </c>
      <c r="E1591" s="12" t="s">
        <v>6169</v>
      </c>
      <c r="F1591" s="12" t="s">
        <v>403</v>
      </c>
      <c r="G1591" s="14"/>
      <c r="H1591" s="12" t="s">
        <v>79</v>
      </c>
      <c r="I1591" s="12" t="s">
        <v>80</v>
      </c>
      <c r="J1591" s="12" t="s">
        <v>171</v>
      </c>
      <c r="K1591" s="12" t="s">
        <v>82</v>
      </c>
      <c r="L1591" s="14"/>
      <c r="M1591" s="12" t="s">
        <v>43</v>
      </c>
      <c r="N1591" s="12" t="s">
        <v>84</v>
      </c>
      <c r="O1591" s="12" t="s">
        <v>6170</v>
      </c>
      <c r="P1591" s="12" t="s">
        <v>86</v>
      </c>
      <c r="Q1591" s="12" t="s">
        <v>141</v>
      </c>
      <c r="R1591" s="12" t="s">
        <v>173</v>
      </c>
      <c r="S1591" s="13">
        <v>197804394784</v>
      </c>
      <c r="T1591" s="12" t="s">
        <v>143</v>
      </c>
      <c r="U1591" s="12" t="s">
        <v>403</v>
      </c>
      <c r="V1591" s="12" t="s">
        <v>336</v>
      </c>
      <c r="W1591" s="12" t="s">
        <v>186</v>
      </c>
      <c r="X1591" s="14"/>
      <c r="Y1591" s="14"/>
      <c r="Z1591" s="14"/>
      <c r="AA1591" s="14"/>
      <c r="AB1591" s="14"/>
      <c r="AC1591" s="15">
        <v>8.1999999999999993</v>
      </c>
      <c r="AD1591" s="15">
        <f>AC1591*AG1591</f>
        <v>24.599999999999998</v>
      </c>
      <c r="AE1591" s="15">
        <v>18</v>
      </c>
      <c r="AF1591" s="15">
        <f>AE1591*AG1591</f>
        <v>54</v>
      </c>
      <c r="AG1591" s="16">
        <v>3</v>
      </c>
    </row>
    <row r="1592" spans="1:33" ht="15" customHeight="1" x14ac:dyDescent="0.2">
      <c r="A1592" s="11" t="str">
        <f t="shared" si="29"/>
        <v>VN000QBWEN71</v>
      </c>
      <c r="B1592" s="12" t="s">
        <v>6171</v>
      </c>
      <c r="C1592" s="12" t="s">
        <v>481</v>
      </c>
      <c r="D1592" s="12" t="s">
        <v>295</v>
      </c>
      <c r="E1592" s="12" t="s">
        <v>6172</v>
      </c>
      <c r="F1592" s="12" t="s">
        <v>179</v>
      </c>
      <c r="G1592" s="14"/>
      <c r="H1592" s="12" t="s">
        <v>79</v>
      </c>
      <c r="I1592" s="12" t="s">
        <v>80</v>
      </c>
      <c r="J1592" s="12" t="s">
        <v>171</v>
      </c>
      <c r="K1592" s="12" t="s">
        <v>82</v>
      </c>
      <c r="L1592" s="14"/>
      <c r="M1592" s="12" t="s">
        <v>43</v>
      </c>
      <c r="N1592" s="12" t="s">
        <v>84</v>
      </c>
      <c r="O1592" s="12" t="s">
        <v>6173</v>
      </c>
      <c r="P1592" s="12" t="s">
        <v>86</v>
      </c>
      <c r="Q1592" s="12" t="s">
        <v>141</v>
      </c>
      <c r="R1592" s="12" t="s">
        <v>173</v>
      </c>
      <c r="S1592" s="13">
        <v>197804583591</v>
      </c>
      <c r="T1592" s="12" t="s">
        <v>143</v>
      </c>
      <c r="U1592" s="12" t="s">
        <v>179</v>
      </c>
      <c r="V1592" s="12" t="s">
        <v>484</v>
      </c>
      <c r="W1592" s="12" t="s">
        <v>299</v>
      </c>
      <c r="X1592" s="14"/>
      <c r="Y1592" s="14"/>
      <c r="Z1592" s="14"/>
      <c r="AA1592" s="14"/>
      <c r="AB1592" s="14"/>
      <c r="AC1592" s="15">
        <v>9.1</v>
      </c>
      <c r="AD1592" s="15">
        <f>AC1592*AG1592</f>
        <v>27.299999999999997</v>
      </c>
      <c r="AE1592" s="15">
        <v>20</v>
      </c>
      <c r="AF1592" s="15">
        <f>AE1592*AG1592</f>
        <v>60</v>
      </c>
      <c r="AG1592" s="16">
        <v>3</v>
      </c>
    </row>
    <row r="1593" spans="1:33" ht="15" customHeight="1" x14ac:dyDescent="0.2">
      <c r="A1593" s="11" t="str">
        <f>HYPERLINK("https://assets.vans.eu/images/VN000UOUYEH-HERO/1","VN000UOUYEH1")</f>
        <v>VN000UOUYEH1</v>
      </c>
      <c r="B1593" s="12" t="s">
        <v>6174</v>
      </c>
      <c r="C1593" s="12" t="s">
        <v>1702</v>
      </c>
      <c r="D1593" s="12" t="s">
        <v>358</v>
      </c>
      <c r="E1593" s="12" t="s">
        <v>6175</v>
      </c>
      <c r="F1593" s="12" t="s">
        <v>78</v>
      </c>
      <c r="G1593" s="14"/>
      <c r="H1593" s="12" t="s">
        <v>79</v>
      </c>
      <c r="I1593" s="12" t="s">
        <v>80</v>
      </c>
      <c r="J1593" s="12" t="s">
        <v>349</v>
      </c>
      <c r="K1593" s="12" t="s">
        <v>199</v>
      </c>
      <c r="L1593" s="14"/>
      <c r="M1593" s="12" t="s">
        <v>43</v>
      </c>
      <c r="N1593" s="12" t="s">
        <v>101</v>
      </c>
      <c r="O1593" s="12" t="s">
        <v>6176</v>
      </c>
      <c r="P1593" s="12" t="s">
        <v>86</v>
      </c>
      <c r="Q1593" s="12" t="s">
        <v>128</v>
      </c>
      <c r="R1593" s="12" t="s">
        <v>352</v>
      </c>
      <c r="S1593" s="13">
        <v>196573556843</v>
      </c>
      <c r="T1593" s="12" t="s">
        <v>143</v>
      </c>
      <c r="U1593" s="12" t="s">
        <v>78</v>
      </c>
      <c r="V1593" s="12" t="s">
        <v>353</v>
      </c>
      <c r="W1593" s="12" t="s">
        <v>186</v>
      </c>
      <c r="X1593" s="13">
        <v>0</v>
      </c>
      <c r="Y1593" s="12" t="s">
        <v>91</v>
      </c>
      <c r="Z1593" s="12" t="s">
        <v>108</v>
      </c>
      <c r="AA1593" s="13">
        <v>0</v>
      </c>
      <c r="AB1593" s="13">
        <v>0</v>
      </c>
      <c r="AC1593" s="15">
        <v>12.75</v>
      </c>
      <c r="AD1593" s="15">
        <f>AC1593*AG1593</f>
        <v>38.25</v>
      </c>
      <c r="AE1593" s="15">
        <v>28</v>
      </c>
      <c r="AF1593" s="15">
        <f>AE1593*AG1593</f>
        <v>84</v>
      </c>
      <c r="AG1593" s="16">
        <v>3</v>
      </c>
    </row>
    <row r="1594" spans="1:33" ht="15" customHeight="1" x14ac:dyDescent="0.2">
      <c r="A1594" s="11" t="str">
        <f>HYPERLINK("https://assets.vans.eu/images/VN000V3HCRO-HERO/1","VN000V3HCRO1")</f>
        <v>VN000V3HCRO1</v>
      </c>
      <c r="B1594" s="12" t="s">
        <v>6177</v>
      </c>
      <c r="C1594" s="12" t="s">
        <v>6178</v>
      </c>
      <c r="D1594" s="12" t="s">
        <v>6179</v>
      </c>
      <c r="E1594" s="12" t="s">
        <v>6180</v>
      </c>
      <c r="F1594" s="12" t="s">
        <v>78</v>
      </c>
      <c r="G1594" s="14"/>
      <c r="H1594" s="12" t="s">
        <v>79</v>
      </c>
      <c r="I1594" s="12" t="s">
        <v>6181</v>
      </c>
      <c r="J1594" s="12" t="s">
        <v>6182</v>
      </c>
      <c r="K1594" s="12" t="s">
        <v>199</v>
      </c>
      <c r="L1594" s="12" t="s">
        <v>872</v>
      </c>
      <c r="M1594" s="12" t="s">
        <v>43</v>
      </c>
      <c r="N1594" s="12" t="s">
        <v>6183</v>
      </c>
      <c r="O1594" s="12" t="s">
        <v>6184</v>
      </c>
      <c r="P1594" s="12" t="s">
        <v>86</v>
      </c>
      <c r="Q1594" s="12" t="s">
        <v>716</v>
      </c>
      <c r="R1594" s="12" t="s">
        <v>6185</v>
      </c>
      <c r="S1594" s="13">
        <v>827399462536</v>
      </c>
      <c r="T1594" s="12" t="s">
        <v>143</v>
      </c>
      <c r="U1594" s="12" t="s">
        <v>78</v>
      </c>
      <c r="V1594" s="13">
        <v>0</v>
      </c>
      <c r="W1594" s="13">
        <v>0</v>
      </c>
      <c r="X1594" s="14"/>
      <c r="Y1594" s="14"/>
      <c r="Z1594" s="14"/>
      <c r="AA1594" s="14"/>
      <c r="AB1594" s="14"/>
      <c r="AC1594" s="15">
        <v>0</v>
      </c>
      <c r="AD1594" s="15">
        <f>AC1594*AG1594</f>
        <v>0</v>
      </c>
      <c r="AE1594" s="15">
        <v>0</v>
      </c>
      <c r="AF1594" s="15">
        <f>AE1594*AG1594</f>
        <v>0</v>
      </c>
      <c r="AG1594" s="16">
        <v>3</v>
      </c>
    </row>
    <row r="1595" spans="1:33" ht="15" customHeight="1" x14ac:dyDescent="0.2">
      <c r="A1595" s="11" t="str">
        <f>HYPERLINK("https://assets.vans.eu/images/VN000XZY4QU-HERO/1","VN000XZY4QU1")</f>
        <v>VN000XZY4QU1</v>
      </c>
      <c r="B1595" s="12" t="s">
        <v>6186</v>
      </c>
      <c r="C1595" s="12" t="s">
        <v>215</v>
      </c>
      <c r="D1595" s="12" t="s">
        <v>1057</v>
      </c>
      <c r="E1595" s="12" t="s">
        <v>6187</v>
      </c>
      <c r="F1595" s="12" t="s">
        <v>78</v>
      </c>
      <c r="G1595" s="14"/>
      <c r="H1595" s="12" t="s">
        <v>79</v>
      </c>
      <c r="I1595" s="12" t="s">
        <v>80</v>
      </c>
      <c r="J1595" s="12" t="s">
        <v>81</v>
      </c>
      <c r="K1595" s="12" t="s">
        <v>199</v>
      </c>
      <c r="L1595" s="14"/>
      <c r="M1595" s="12" t="s">
        <v>43</v>
      </c>
      <c r="N1595" s="12" t="s">
        <v>6188</v>
      </c>
      <c r="O1595" s="12" t="s">
        <v>6189</v>
      </c>
      <c r="P1595" s="12" t="s">
        <v>86</v>
      </c>
      <c r="Q1595" s="12" t="s">
        <v>87</v>
      </c>
      <c r="R1595" s="12" t="s">
        <v>88</v>
      </c>
      <c r="S1595" s="13">
        <v>889589550126</v>
      </c>
      <c r="T1595" s="12" t="s">
        <v>89</v>
      </c>
      <c r="U1595" s="12" t="s">
        <v>78</v>
      </c>
      <c r="V1595" s="12" t="s">
        <v>201</v>
      </c>
      <c r="W1595" s="12" t="s">
        <v>262</v>
      </c>
      <c r="X1595" s="14"/>
      <c r="Y1595" s="14"/>
      <c r="Z1595" s="14"/>
      <c r="AA1595" s="14"/>
      <c r="AB1595" s="13">
        <v>0</v>
      </c>
      <c r="AC1595" s="15">
        <v>2.2999999999999998</v>
      </c>
      <c r="AD1595" s="15">
        <f>AC1595*AG1595</f>
        <v>6.8999999999999995</v>
      </c>
      <c r="AE1595" s="15">
        <v>0</v>
      </c>
      <c r="AF1595" s="15">
        <f>AE1595*AG1595</f>
        <v>0</v>
      </c>
      <c r="AG1595" s="16">
        <v>3</v>
      </c>
    </row>
    <row r="1596" spans="1:33" ht="15" customHeight="1" x14ac:dyDescent="0.2">
      <c r="A1596" s="11" t="str">
        <f>HYPERLINK("https://assets.vans.eu/images/VN000XZYKCZ-HERO/1","VN000XZYKCZ1")</f>
        <v>VN000XZYKCZ1</v>
      </c>
      <c r="B1596" s="12" t="s">
        <v>6190</v>
      </c>
      <c r="C1596" s="12" t="s">
        <v>215</v>
      </c>
      <c r="D1596" s="12" t="s">
        <v>1109</v>
      </c>
      <c r="E1596" s="12" t="s">
        <v>6191</v>
      </c>
      <c r="F1596" s="12" t="s">
        <v>78</v>
      </c>
      <c r="G1596" s="14"/>
      <c r="H1596" s="12" t="s">
        <v>79</v>
      </c>
      <c r="I1596" s="12" t="s">
        <v>80</v>
      </c>
      <c r="J1596" s="12" t="s">
        <v>81</v>
      </c>
      <c r="K1596" s="12" t="s">
        <v>199</v>
      </c>
      <c r="L1596" s="14"/>
      <c r="M1596" s="12" t="s">
        <v>43</v>
      </c>
      <c r="N1596" s="12" t="s">
        <v>6188</v>
      </c>
      <c r="O1596" s="12" t="s">
        <v>6192</v>
      </c>
      <c r="P1596" s="12" t="s">
        <v>86</v>
      </c>
      <c r="Q1596" s="12" t="s">
        <v>87</v>
      </c>
      <c r="R1596" s="12" t="s">
        <v>88</v>
      </c>
      <c r="S1596" s="13">
        <v>889589555770</v>
      </c>
      <c r="T1596" s="12" t="s">
        <v>89</v>
      </c>
      <c r="U1596" s="12" t="s">
        <v>78</v>
      </c>
      <c r="V1596" s="12" t="s">
        <v>201</v>
      </c>
      <c r="W1596" s="12" t="s">
        <v>118</v>
      </c>
      <c r="X1596" s="14"/>
      <c r="Y1596" s="14"/>
      <c r="Z1596" s="14"/>
      <c r="AA1596" s="14"/>
      <c r="AB1596" s="13">
        <v>0</v>
      </c>
      <c r="AC1596" s="15">
        <v>2.2999999999999998</v>
      </c>
      <c r="AD1596" s="15">
        <f>AC1596*AG1596</f>
        <v>6.8999999999999995</v>
      </c>
      <c r="AE1596" s="15">
        <v>0</v>
      </c>
      <c r="AF1596" s="15">
        <f>AE1596*AG1596</f>
        <v>0</v>
      </c>
      <c r="AG1596" s="16">
        <v>3</v>
      </c>
    </row>
    <row r="1597" spans="1:33" ht="15" customHeight="1" x14ac:dyDescent="0.2">
      <c r="A1597" s="11" t="str">
        <f>HYPERLINK("https://assets.vans.eu/images/VN000YBSWHT-HERO/1","VN000YBSWHT1")</f>
        <v>VN000YBSWHT1</v>
      </c>
      <c r="B1597" s="12" t="s">
        <v>6193</v>
      </c>
      <c r="C1597" s="12" t="s">
        <v>6194</v>
      </c>
      <c r="D1597" s="12" t="s">
        <v>168</v>
      </c>
      <c r="E1597" s="12" t="s">
        <v>6195</v>
      </c>
      <c r="F1597" s="12" t="s">
        <v>78</v>
      </c>
      <c r="G1597" s="14"/>
      <c r="H1597" s="12" t="s">
        <v>79</v>
      </c>
      <c r="I1597" s="12" t="s">
        <v>125</v>
      </c>
      <c r="J1597" s="12" t="s">
        <v>139</v>
      </c>
      <c r="K1597" s="12" t="s">
        <v>41</v>
      </c>
      <c r="L1597" s="14"/>
      <c r="M1597" s="12" t="s">
        <v>43</v>
      </c>
      <c r="N1597" s="12" t="s">
        <v>101</v>
      </c>
      <c r="O1597" s="12" t="s">
        <v>6196</v>
      </c>
      <c r="P1597" s="12" t="s">
        <v>86</v>
      </c>
      <c r="Q1597" s="12" t="s">
        <v>141</v>
      </c>
      <c r="R1597" s="12" t="s">
        <v>142</v>
      </c>
      <c r="S1597" s="13">
        <v>888366340721</v>
      </c>
      <c r="T1597" s="12" t="s">
        <v>143</v>
      </c>
      <c r="U1597" s="12" t="s">
        <v>78</v>
      </c>
      <c r="V1597" s="12" t="s">
        <v>6197</v>
      </c>
      <c r="W1597" s="12" t="s">
        <v>175</v>
      </c>
      <c r="X1597" s="13">
        <v>0</v>
      </c>
      <c r="Y1597" s="12" t="s">
        <v>91</v>
      </c>
      <c r="Z1597" s="12" t="s">
        <v>108</v>
      </c>
      <c r="AA1597" s="13">
        <v>0</v>
      </c>
      <c r="AB1597" s="13">
        <v>0</v>
      </c>
      <c r="AC1597" s="15">
        <v>6.4</v>
      </c>
      <c r="AD1597" s="15">
        <f>AC1597*AG1597</f>
        <v>19.200000000000003</v>
      </c>
      <c r="AE1597" s="15">
        <v>14</v>
      </c>
      <c r="AF1597" s="15">
        <f>AE1597*AG1597</f>
        <v>42</v>
      </c>
      <c r="AG1597" s="16">
        <v>3</v>
      </c>
    </row>
    <row r="1598" spans="1:33" ht="15" customHeight="1" x14ac:dyDescent="0.2">
      <c r="A1598" s="11" t="str">
        <f>HYPERLINK("https://assets.vans.eu/images/VN0A3I5L2N1-HERO/1","VN0A3I5L2N11")</f>
        <v>VN0A3I5L2N11</v>
      </c>
      <c r="B1598" s="12" t="s">
        <v>6198</v>
      </c>
      <c r="C1598" s="12" t="s">
        <v>6199</v>
      </c>
      <c r="D1598" s="12" t="s">
        <v>1082</v>
      </c>
      <c r="E1598" s="12" t="s">
        <v>6200</v>
      </c>
      <c r="F1598" s="12" t="s">
        <v>78</v>
      </c>
      <c r="G1598" s="14"/>
      <c r="H1598" s="12" t="s">
        <v>79</v>
      </c>
      <c r="I1598" s="12" t="s">
        <v>80</v>
      </c>
      <c r="J1598" s="12" t="s">
        <v>349</v>
      </c>
      <c r="K1598" s="12" t="s">
        <v>199</v>
      </c>
      <c r="L1598" s="14"/>
      <c r="M1598" s="12" t="s">
        <v>43</v>
      </c>
      <c r="N1598" s="12" t="s">
        <v>101</v>
      </c>
      <c r="O1598" s="12" t="s">
        <v>6201</v>
      </c>
      <c r="P1598" s="12" t="s">
        <v>86</v>
      </c>
      <c r="Q1598" s="12" t="s">
        <v>128</v>
      </c>
      <c r="R1598" s="12" t="s">
        <v>352</v>
      </c>
      <c r="S1598" s="13">
        <v>195441352341</v>
      </c>
      <c r="T1598" s="12" t="s">
        <v>130</v>
      </c>
      <c r="U1598" s="12" t="s">
        <v>78</v>
      </c>
      <c r="V1598" s="12" t="s">
        <v>353</v>
      </c>
      <c r="W1598" s="12" t="s">
        <v>580</v>
      </c>
      <c r="X1598" s="13">
        <v>0</v>
      </c>
      <c r="Y1598" s="12" t="s">
        <v>91</v>
      </c>
      <c r="Z1598" s="12" t="s">
        <v>108</v>
      </c>
      <c r="AA1598" s="13">
        <v>0</v>
      </c>
      <c r="AB1598" s="13">
        <v>0</v>
      </c>
      <c r="AC1598" s="15">
        <v>12.75</v>
      </c>
      <c r="AD1598" s="15">
        <f>AC1598*AG1598</f>
        <v>38.25</v>
      </c>
      <c r="AE1598" s="15">
        <v>28</v>
      </c>
      <c r="AF1598" s="15">
        <f>AE1598*AG1598</f>
        <v>84</v>
      </c>
      <c r="AG1598" s="16">
        <v>3</v>
      </c>
    </row>
    <row r="1599" spans="1:33" ht="15" customHeight="1" x14ac:dyDescent="0.2">
      <c r="A1599" s="11" t="str">
        <f>HYPERLINK("https://assets.vans.eu/images/VN0A48HI448-HERO/1","VN0A48HI4481")</f>
        <v>VN0A48HI4481</v>
      </c>
      <c r="B1599" s="12" t="s">
        <v>6202</v>
      </c>
      <c r="C1599" s="12" t="s">
        <v>6203</v>
      </c>
      <c r="D1599" s="12" t="s">
        <v>3898</v>
      </c>
      <c r="E1599" s="12" t="s">
        <v>6204</v>
      </c>
      <c r="F1599" s="12" t="s">
        <v>78</v>
      </c>
      <c r="G1599" s="14"/>
      <c r="H1599" s="12" t="s">
        <v>79</v>
      </c>
      <c r="I1599" s="12" t="s">
        <v>125</v>
      </c>
      <c r="J1599" s="12" t="s">
        <v>139</v>
      </c>
      <c r="K1599" s="12" t="s">
        <v>100</v>
      </c>
      <c r="L1599" s="14"/>
      <c r="M1599" s="12" t="s">
        <v>43</v>
      </c>
      <c r="N1599" s="12" t="s">
        <v>6205</v>
      </c>
      <c r="O1599" s="12" t="s">
        <v>6206</v>
      </c>
      <c r="P1599" s="12" t="s">
        <v>86</v>
      </c>
      <c r="Q1599" s="12" t="s">
        <v>141</v>
      </c>
      <c r="R1599" s="12" t="s">
        <v>142</v>
      </c>
      <c r="S1599" s="13">
        <v>192828413824</v>
      </c>
      <c r="T1599" s="12" t="s">
        <v>69</v>
      </c>
      <c r="U1599" s="12" t="s">
        <v>78</v>
      </c>
      <c r="V1599" s="12" t="s">
        <v>6207</v>
      </c>
      <c r="W1599" s="12" t="s">
        <v>175</v>
      </c>
      <c r="X1599" s="14"/>
      <c r="Y1599" s="12" t="s">
        <v>91</v>
      </c>
      <c r="Z1599" s="12" t="s">
        <v>165</v>
      </c>
      <c r="AA1599" s="14"/>
      <c r="AB1599" s="13">
        <v>0</v>
      </c>
      <c r="AC1599" s="15">
        <v>9.1</v>
      </c>
      <c r="AD1599" s="15">
        <f>AC1599*AG1599</f>
        <v>27.299999999999997</v>
      </c>
      <c r="AE1599" s="15">
        <v>20</v>
      </c>
      <c r="AF1599" s="15">
        <f>AE1599*AG1599</f>
        <v>60</v>
      </c>
      <c r="AG1599" s="16">
        <v>3</v>
      </c>
    </row>
    <row r="1600" spans="1:33" ht="15" customHeight="1" x14ac:dyDescent="0.2">
      <c r="A1600" s="11" t="str">
        <f>HYPERLINK("https://assets.vans.eu/images/VN0A7PTC85W-HERO/1","VN0A7PTC85W1")</f>
        <v>VN0A7PTC85W1</v>
      </c>
      <c r="B1600" s="12" t="s">
        <v>6208</v>
      </c>
      <c r="C1600" s="12" t="s">
        <v>6209</v>
      </c>
      <c r="D1600" s="12" t="s">
        <v>6210</v>
      </c>
      <c r="E1600" s="12" t="s">
        <v>6211</v>
      </c>
      <c r="F1600" s="12" t="s">
        <v>78</v>
      </c>
      <c r="G1600" s="14"/>
      <c r="H1600" s="12" t="s">
        <v>79</v>
      </c>
      <c r="I1600" s="12" t="s">
        <v>472</v>
      </c>
      <c r="J1600" s="12" t="s">
        <v>473</v>
      </c>
      <c r="K1600" s="12" t="s">
        <v>474</v>
      </c>
      <c r="L1600" s="14"/>
      <c r="M1600" s="12" t="s">
        <v>43</v>
      </c>
      <c r="N1600" s="12" t="s">
        <v>84</v>
      </c>
      <c r="O1600" s="12" t="s">
        <v>6212</v>
      </c>
      <c r="P1600" s="12" t="s">
        <v>86</v>
      </c>
      <c r="Q1600" s="12" t="s">
        <v>141</v>
      </c>
      <c r="R1600" s="12" t="s">
        <v>142</v>
      </c>
      <c r="S1600" s="13">
        <v>197065814670</v>
      </c>
      <c r="T1600" s="12" t="s">
        <v>143</v>
      </c>
      <c r="U1600" s="12" t="s">
        <v>78</v>
      </c>
      <c r="V1600" s="12" t="s">
        <v>6213</v>
      </c>
      <c r="W1600" s="12" t="s">
        <v>625</v>
      </c>
      <c r="X1600" s="13">
        <v>0</v>
      </c>
      <c r="Y1600" s="12" t="s">
        <v>91</v>
      </c>
      <c r="Z1600" s="12" t="s">
        <v>108</v>
      </c>
      <c r="AA1600" s="13">
        <v>0</v>
      </c>
      <c r="AB1600" s="13">
        <v>0</v>
      </c>
      <c r="AC1600" s="15">
        <v>3.65</v>
      </c>
      <c r="AD1600" s="15">
        <f>AC1600*AG1600</f>
        <v>10.95</v>
      </c>
      <c r="AE1600" s="15">
        <v>8</v>
      </c>
      <c r="AF1600" s="15">
        <f>AE1600*AG1600</f>
        <v>24</v>
      </c>
      <c r="AG1600" s="16">
        <v>3</v>
      </c>
    </row>
    <row r="1601" spans="1:33" ht="15" customHeight="1" x14ac:dyDescent="0.2">
      <c r="A1601" s="11" t="str">
        <f>HYPERLINK("https://assets.vans.eu/images/VN0A7S96D6Z-HERO/1","VN0A7S96D6Z1")</f>
        <v>VN0A7S96D6Z1</v>
      </c>
      <c r="B1601" s="12" t="s">
        <v>6214</v>
      </c>
      <c r="C1601" s="12" t="s">
        <v>6215</v>
      </c>
      <c r="D1601" s="12" t="s">
        <v>1277</v>
      </c>
      <c r="E1601" s="12" t="s">
        <v>6216</v>
      </c>
      <c r="F1601" s="12" t="s">
        <v>853</v>
      </c>
      <c r="G1601" s="14"/>
      <c r="H1601" s="12" t="s">
        <v>79</v>
      </c>
      <c r="I1601" s="12" t="s">
        <v>80</v>
      </c>
      <c r="J1601" s="12" t="s">
        <v>349</v>
      </c>
      <c r="K1601" s="12" t="s">
        <v>82</v>
      </c>
      <c r="L1601" s="14"/>
      <c r="M1601" s="12" t="s">
        <v>43</v>
      </c>
      <c r="N1601" s="12" t="s">
        <v>44</v>
      </c>
      <c r="O1601" s="12" t="s">
        <v>6217</v>
      </c>
      <c r="P1601" s="12" t="s">
        <v>86</v>
      </c>
      <c r="Q1601" s="12" t="s">
        <v>128</v>
      </c>
      <c r="R1601" s="12" t="s">
        <v>352</v>
      </c>
      <c r="S1601" s="13">
        <v>197643555865</v>
      </c>
      <c r="T1601" s="12" t="s">
        <v>164</v>
      </c>
      <c r="U1601" s="12" t="s">
        <v>853</v>
      </c>
      <c r="V1601" s="12" t="s">
        <v>5176</v>
      </c>
      <c r="W1601" s="12" t="s">
        <v>299</v>
      </c>
      <c r="X1601" s="13">
        <v>0</v>
      </c>
      <c r="Y1601" s="12" t="s">
        <v>91</v>
      </c>
      <c r="Z1601" s="12" t="s">
        <v>108</v>
      </c>
      <c r="AA1601" s="13">
        <v>0</v>
      </c>
      <c r="AB1601" s="13">
        <v>0</v>
      </c>
      <c r="AC1601" s="15">
        <v>19.100000000000001</v>
      </c>
      <c r="AD1601" s="15">
        <f>AC1601*AG1601</f>
        <v>57.300000000000004</v>
      </c>
      <c r="AE1601" s="15">
        <v>42</v>
      </c>
      <c r="AF1601" s="15">
        <f>AE1601*AG1601</f>
        <v>126</v>
      </c>
      <c r="AG1601" s="16">
        <v>3</v>
      </c>
    </row>
    <row r="1602" spans="1:33" ht="15" customHeight="1" x14ac:dyDescent="0.2">
      <c r="A1602" s="11" t="str">
        <f>HYPERLINK("https://assets.vans.eu/images/VN0A7SCBOC2-HERO/1","VN0A7SCBOC21")</f>
        <v>VN0A7SCBOC21</v>
      </c>
      <c r="B1602" s="12" t="s">
        <v>6218</v>
      </c>
      <c r="C1602" s="12" t="s">
        <v>6219</v>
      </c>
      <c r="D1602" s="12" t="s">
        <v>6088</v>
      </c>
      <c r="E1602" s="12" t="s">
        <v>6220</v>
      </c>
      <c r="F1602" s="12" t="s">
        <v>78</v>
      </c>
      <c r="G1602" s="14"/>
      <c r="H1602" s="12" t="s">
        <v>79</v>
      </c>
      <c r="I1602" s="12" t="s">
        <v>80</v>
      </c>
      <c r="J1602" s="12" t="s">
        <v>349</v>
      </c>
      <c r="K1602" s="12" t="s">
        <v>199</v>
      </c>
      <c r="L1602" s="14"/>
      <c r="M1602" s="12" t="s">
        <v>43</v>
      </c>
      <c r="N1602" s="12" t="s">
        <v>2457</v>
      </c>
      <c r="O1602" s="12" t="s">
        <v>6221</v>
      </c>
      <c r="P1602" s="12" t="s">
        <v>86</v>
      </c>
      <c r="Q1602" s="12" t="s">
        <v>128</v>
      </c>
      <c r="R1602" s="12" t="s">
        <v>352</v>
      </c>
      <c r="S1602" s="13">
        <v>196574922982</v>
      </c>
      <c r="T1602" s="12" t="s">
        <v>130</v>
      </c>
      <c r="U1602" s="12" t="s">
        <v>78</v>
      </c>
      <c r="V1602" s="12" t="s">
        <v>6222</v>
      </c>
      <c r="W1602" s="12" t="s">
        <v>598</v>
      </c>
      <c r="X1602" s="13">
        <v>0</v>
      </c>
      <c r="Y1602" s="12" t="s">
        <v>91</v>
      </c>
      <c r="Z1602" s="12" t="s">
        <v>108</v>
      </c>
      <c r="AA1602" s="13">
        <v>0</v>
      </c>
      <c r="AB1602" s="13">
        <v>0</v>
      </c>
      <c r="AC1602" s="15">
        <v>13.65</v>
      </c>
      <c r="AD1602" s="15">
        <f>AC1602*AG1602</f>
        <v>40.950000000000003</v>
      </c>
      <c r="AE1602" s="15">
        <v>30</v>
      </c>
      <c r="AF1602" s="15">
        <f>AE1602*AG1602</f>
        <v>90</v>
      </c>
      <c r="AG1602" s="16">
        <v>3</v>
      </c>
    </row>
    <row r="1603" spans="1:33" ht="15" customHeight="1" x14ac:dyDescent="0.2">
      <c r="A1603" s="11" t="str">
        <f>HYPERLINK("https://assets.vans.eu/images/VN00000D1LE-HERO/1","VN00000D1LE1")</f>
        <v>VN00000D1LE1</v>
      </c>
      <c r="B1603" s="12" t="s">
        <v>6223</v>
      </c>
      <c r="C1603" s="12" t="s">
        <v>2863</v>
      </c>
      <c r="D1603" s="12" t="s">
        <v>2864</v>
      </c>
      <c r="E1603" s="12" t="s">
        <v>6224</v>
      </c>
      <c r="F1603" s="12" t="s">
        <v>170</v>
      </c>
      <c r="G1603" s="14"/>
      <c r="H1603" s="12" t="s">
        <v>61</v>
      </c>
      <c r="I1603" s="12" t="s">
        <v>230</v>
      </c>
      <c r="J1603" s="12" t="s">
        <v>231</v>
      </c>
      <c r="K1603" s="12" t="s">
        <v>199</v>
      </c>
      <c r="L1603" s="14"/>
      <c r="M1603" s="12" t="s">
        <v>43</v>
      </c>
      <c r="N1603" s="12" t="s">
        <v>84</v>
      </c>
      <c r="O1603" s="12" t="s">
        <v>6225</v>
      </c>
      <c r="P1603" s="12" t="s">
        <v>66</v>
      </c>
      <c r="Q1603" s="12" t="s">
        <v>233</v>
      </c>
      <c r="R1603" s="12" t="s">
        <v>361</v>
      </c>
      <c r="S1603" s="13">
        <v>196244918635</v>
      </c>
      <c r="T1603" s="12" t="s">
        <v>235</v>
      </c>
      <c r="U1603" s="12" t="s">
        <v>170</v>
      </c>
      <c r="V1603" s="12" t="s">
        <v>423</v>
      </c>
      <c r="W1603" s="12" t="s">
        <v>51</v>
      </c>
      <c r="X1603" s="13">
        <v>0</v>
      </c>
      <c r="Y1603" s="12" t="s">
        <v>91</v>
      </c>
      <c r="Z1603" s="12" t="s">
        <v>108</v>
      </c>
      <c r="AA1603" s="13">
        <v>0</v>
      </c>
      <c r="AB1603" s="13">
        <v>0</v>
      </c>
      <c r="AC1603" s="15">
        <v>31.85</v>
      </c>
      <c r="AD1603" s="15">
        <f>AC1603*AG1603</f>
        <v>95.550000000000011</v>
      </c>
      <c r="AE1603" s="15">
        <v>70</v>
      </c>
      <c r="AF1603" s="15">
        <f>AE1603*AG1603</f>
        <v>210</v>
      </c>
      <c r="AG1603" s="16">
        <v>3</v>
      </c>
    </row>
    <row r="1604" spans="1:33" ht="15" customHeight="1" x14ac:dyDescent="0.2">
      <c r="A1604" s="11" t="str">
        <f>HYPERLINK("https://assets.vans.eu/images/VN0007VBG5O-HERO/1","VN0007VBG5O1")</f>
        <v>VN0007VBG5O1</v>
      </c>
      <c r="B1604" s="12" t="s">
        <v>6226</v>
      </c>
      <c r="C1604" s="12" t="s">
        <v>6227</v>
      </c>
      <c r="D1604" s="12" t="s">
        <v>6228</v>
      </c>
      <c r="E1604" s="12" t="s">
        <v>6229</v>
      </c>
      <c r="F1604" s="12" t="s">
        <v>403</v>
      </c>
      <c r="G1604" s="14"/>
      <c r="H1604" s="12" t="s">
        <v>61</v>
      </c>
      <c r="I1604" s="12" t="s">
        <v>230</v>
      </c>
      <c r="J1604" s="12" t="s">
        <v>419</v>
      </c>
      <c r="K1604" s="12" t="s">
        <v>199</v>
      </c>
      <c r="L1604" s="14"/>
      <c r="M1604" s="12" t="s">
        <v>43</v>
      </c>
      <c r="N1604" s="12" t="s">
        <v>467</v>
      </c>
      <c r="O1604" s="12" t="s">
        <v>6230</v>
      </c>
      <c r="P1604" s="12" t="s">
        <v>66</v>
      </c>
      <c r="Q1604" s="12" t="s">
        <v>67</v>
      </c>
      <c r="R1604" s="12" t="s">
        <v>421</v>
      </c>
      <c r="S1604" s="13">
        <v>196571432484</v>
      </c>
      <c r="T1604" s="12" t="s">
        <v>143</v>
      </c>
      <c r="U1604" s="12" t="s">
        <v>403</v>
      </c>
      <c r="V1604" s="12" t="s">
        <v>6231</v>
      </c>
      <c r="W1604" s="12" t="s">
        <v>284</v>
      </c>
      <c r="X1604" s="13">
        <v>0</v>
      </c>
      <c r="Y1604" s="12" t="s">
        <v>91</v>
      </c>
      <c r="Z1604" s="12" t="s">
        <v>1180</v>
      </c>
      <c r="AA1604" s="13">
        <v>0</v>
      </c>
      <c r="AB1604" s="13">
        <v>0</v>
      </c>
      <c r="AC1604" s="15">
        <v>25</v>
      </c>
      <c r="AD1604" s="15">
        <f>AC1604*AG1604</f>
        <v>75</v>
      </c>
      <c r="AE1604" s="15">
        <v>55</v>
      </c>
      <c r="AF1604" s="15">
        <f>AE1604*AG1604</f>
        <v>165</v>
      </c>
      <c r="AG1604" s="16">
        <v>3</v>
      </c>
    </row>
    <row r="1605" spans="1:33" ht="15" customHeight="1" x14ac:dyDescent="0.2">
      <c r="A1605" s="11" t="str">
        <f t="shared" ref="A1605:A2932" si="664">HYPERLINK("https://assets.vans.eu/images/VN0008N5CR6-HERO/1","VN0008N5CR61")</f>
        <v>VN0008N5CR61</v>
      </c>
      <c r="B1605" s="12" t="s">
        <v>6232</v>
      </c>
      <c r="C1605" s="12" t="s">
        <v>6233</v>
      </c>
      <c r="D1605" s="12" t="s">
        <v>6234</v>
      </c>
      <c r="E1605" s="12" t="s">
        <v>6235</v>
      </c>
      <c r="F1605" s="13">
        <v>31</v>
      </c>
      <c r="G1605" s="14"/>
      <c r="H1605" s="12" t="s">
        <v>61</v>
      </c>
      <c r="I1605" s="12" t="s">
        <v>230</v>
      </c>
      <c r="J1605" s="12" t="s">
        <v>231</v>
      </c>
      <c r="K1605" s="12" t="s">
        <v>199</v>
      </c>
      <c r="L1605" s="14"/>
      <c r="M1605" s="12" t="s">
        <v>43</v>
      </c>
      <c r="N1605" s="12" t="s">
        <v>274</v>
      </c>
      <c r="O1605" s="12" t="s">
        <v>6236</v>
      </c>
      <c r="P1605" s="12" t="s">
        <v>66</v>
      </c>
      <c r="Q1605" s="12" t="s">
        <v>233</v>
      </c>
      <c r="R1605" s="12" t="s">
        <v>361</v>
      </c>
      <c r="S1605" s="13">
        <v>197063453208</v>
      </c>
      <c r="T1605" s="12" t="s">
        <v>1517</v>
      </c>
      <c r="U1605" s="13">
        <v>31</v>
      </c>
      <c r="V1605" s="12" t="s">
        <v>665</v>
      </c>
      <c r="W1605" s="12" t="s">
        <v>186</v>
      </c>
      <c r="X1605" s="13">
        <v>0</v>
      </c>
      <c r="Y1605" s="12" t="s">
        <v>53</v>
      </c>
      <c r="Z1605" s="12" t="s">
        <v>108</v>
      </c>
      <c r="AA1605" s="13">
        <v>0</v>
      </c>
      <c r="AB1605" s="13">
        <v>0</v>
      </c>
      <c r="AC1605" s="15">
        <v>40.950000000000003</v>
      </c>
      <c r="AD1605" s="15">
        <f>AC1605*AG1605</f>
        <v>122.85000000000001</v>
      </c>
      <c r="AE1605" s="15">
        <v>90</v>
      </c>
      <c r="AF1605" s="15">
        <f>AE1605*AG1605</f>
        <v>270</v>
      </c>
      <c r="AG1605" s="16">
        <v>3</v>
      </c>
    </row>
    <row r="1606" spans="1:33" ht="15" customHeight="1" x14ac:dyDescent="0.2">
      <c r="A1606" s="11" t="str">
        <f t="shared" si="472"/>
        <v>VN0008N6BLK1</v>
      </c>
      <c r="B1606" s="12" t="s">
        <v>6237</v>
      </c>
      <c r="C1606" s="12" t="s">
        <v>2042</v>
      </c>
      <c r="D1606" s="12" t="s">
        <v>76</v>
      </c>
      <c r="E1606" s="12" t="s">
        <v>6238</v>
      </c>
      <c r="F1606" s="13">
        <v>36</v>
      </c>
      <c r="G1606" s="14"/>
      <c r="H1606" s="12" t="s">
        <v>61</v>
      </c>
      <c r="I1606" s="12" t="s">
        <v>230</v>
      </c>
      <c r="J1606" s="12" t="s">
        <v>231</v>
      </c>
      <c r="K1606" s="12" t="s">
        <v>199</v>
      </c>
      <c r="L1606" s="14"/>
      <c r="M1606" s="12" t="s">
        <v>43</v>
      </c>
      <c r="N1606" s="12" t="s">
        <v>84</v>
      </c>
      <c r="O1606" s="12" t="s">
        <v>6239</v>
      </c>
      <c r="P1606" s="12" t="s">
        <v>66</v>
      </c>
      <c r="Q1606" s="12" t="s">
        <v>233</v>
      </c>
      <c r="R1606" s="12" t="s">
        <v>361</v>
      </c>
      <c r="S1606" s="13">
        <v>197063494867</v>
      </c>
      <c r="T1606" s="12" t="s">
        <v>235</v>
      </c>
      <c r="U1606" s="13">
        <v>36</v>
      </c>
      <c r="V1606" s="12" t="s">
        <v>665</v>
      </c>
      <c r="W1606" s="12" t="s">
        <v>51</v>
      </c>
      <c r="X1606" s="13">
        <v>0</v>
      </c>
      <c r="Y1606" s="12" t="s">
        <v>91</v>
      </c>
      <c r="Z1606" s="12" t="s">
        <v>108</v>
      </c>
      <c r="AA1606" s="13">
        <v>0</v>
      </c>
      <c r="AB1606" s="13">
        <v>0</v>
      </c>
      <c r="AC1606" s="15">
        <v>36.4</v>
      </c>
      <c r="AD1606" s="15">
        <f>AC1606*AG1606</f>
        <v>109.19999999999999</v>
      </c>
      <c r="AE1606" s="15">
        <v>80</v>
      </c>
      <c r="AF1606" s="15">
        <f>AE1606*AG1606</f>
        <v>240</v>
      </c>
      <c r="AG1606" s="16">
        <v>3</v>
      </c>
    </row>
    <row r="1607" spans="1:33" ht="15" customHeight="1" x14ac:dyDescent="0.2">
      <c r="A1607" s="11" t="str">
        <f>HYPERLINK("https://assets.vans.eu/images/VN0008TKD02-HERO/1","VN0008TKD021")</f>
        <v>VN0008TKD021</v>
      </c>
      <c r="B1607" s="12" t="s">
        <v>6240</v>
      </c>
      <c r="C1607" s="12" t="s">
        <v>6241</v>
      </c>
      <c r="D1607" s="12" t="s">
        <v>6242</v>
      </c>
      <c r="E1607" s="12" t="s">
        <v>6243</v>
      </c>
      <c r="F1607" s="12" t="s">
        <v>403</v>
      </c>
      <c r="G1607" s="14"/>
      <c r="H1607" s="12" t="s">
        <v>61</v>
      </c>
      <c r="I1607" s="12" t="s">
        <v>230</v>
      </c>
      <c r="J1607" s="12" t="s">
        <v>419</v>
      </c>
      <c r="K1607" s="12" t="s">
        <v>199</v>
      </c>
      <c r="L1607" s="12" t="s">
        <v>350</v>
      </c>
      <c r="M1607" s="12" t="s">
        <v>43</v>
      </c>
      <c r="N1607" s="12" t="s">
        <v>44</v>
      </c>
      <c r="O1607" s="12" t="s">
        <v>6244</v>
      </c>
      <c r="P1607" s="12" t="s">
        <v>66</v>
      </c>
      <c r="Q1607" s="12" t="s">
        <v>67</v>
      </c>
      <c r="R1607" s="12" t="s">
        <v>421</v>
      </c>
      <c r="S1607" s="13">
        <v>197063396864</v>
      </c>
      <c r="T1607" s="12" t="s">
        <v>422</v>
      </c>
      <c r="U1607" s="12" t="s">
        <v>403</v>
      </c>
      <c r="V1607" s="12" t="s">
        <v>70</v>
      </c>
      <c r="W1607" s="12" t="s">
        <v>118</v>
      </c>
      <c r="X1607" s="13">
        <v>0</v>
      </c>
      <c r="Y1607" s="12" t="s">
        <v>91</v>
      </c>
      <c r="Z1607" s="12" t="s">
        <v>108</v>
      </c>
      <c r="AA1607" s="13">
        <v>0</v>
      </c>
      <c r="AB1607" s="13">
        <v>0</v>
      </c>
      <c r="AC1607" s="15">
        <v>14.55</v>
      </c>
      <c r="AD1607" s="15">
        <f>AC1607*AG1607</f>
        <v>43.650000000000006</v>
      </c>
      <c r="AE1607" s="15">
        <v>32</v>
      </c>
      <c r="AF1607" s="15">
        <f>AE1607*AG1607</f>
        <v>96</v>
      </c>
      <c r="AG1607" s="16">
        <v>3</v>
      </c>
    </row>
    <row r="1608" spans="1:33" ht="15" customHeight="1" x14ac:dyDescent="0.2">
      <c r="A1608" s="11" t="str">
        <f>HYPERLINK("https://assets.vans.eu/images/VN000A7DCDC-HERO/1","VN000A7DCDC1")</f>
        <v>VN000A7DCDC1</v>
      </c>
      <c r="B1608" s="12" t="s">
        <v>6245</v>
      </c>
      <c r="C1608" s="12" t="s">
        <v>6246</v>
      </c>
      <c r="D1608" s="12" t="s">
        <v>6247</v>
      </c>
      <c r="E1608" s="12" t="s">
        <v>6248</v>
      </c>
      <c r="F1608" s="12" t="s">
        <v>3517</v>
      </c>
      <c r="G1608" s="12" t="s">
        <v>6249</v>
      </c>
      <c r="H1608" s="12" t="s">
        <v>61</v>
      </c>
      <c r="I1608" s="12" t="s">
        <v>289</v>
      </c>
      <c r="J1608" s="12" t="s">
        <v>706</v>
      </c>
      <c r="K1608" s="12" t="s">
        <v>100</v>
      </c>
      <c r="L1608" s="14"/>
      <c r="M1608" s="12" t="s">
        <v>43</v>
      </c>
      <c r="N1608" s="12" t="s">
        <v>101</v>
      </c>
      <c r="O1608" s="12" t="s">
        <v>6250</v>
      </c>
      <c r="P1608" s="12" t="s">
        <v>66</v>
      </c>
      <c r="Q1608" s="12" t="s">
        <v>67</v>
      </c>
      <c r="R1608" s="12" t="s">
        <v>1782</v>
      </c>
      <c r="S1608" s="13">
        <v>196573550919</v>
      </c>
      <c r="T1608" s="12" t="s">
        <v>143</v>
      </c>
      <c r="U1608" s="12" t="s">
        <v>3517</v>
      </c>
      <c r="V1608" s="12" t="s">
        <v>6251</v>
      </c>
      <c r="W1608" s="12" t="s">
        <v>51</v>
      </c>
      <c r="X1608" s="13">
        <v>0</v>
      </c>
      <c r="Y1608" s="12" t="s">
        <v>53</v>
      </c>
      <c r="Z1608" s="12" t="s">
        <v>108</v>
      </c>
      <c r="AA1608" s="13">
        <v>0</v>
      </c>
      <c r="AB1608" s="13">
        <v>0</v>
      </c>
      <c r="AC1608" s="15">
        <v>45.5</v>
      </c>
      <c r="AD1608" s="15">
        <f>AC1608*AG1608</f>
        <v>136.5</v>
      </c>
      <c r="AE1608" s="15">
        <v>100</v>
      </c>
      <c r="AF1608" s="15">
        <f>AE1608*AG1608</f>
        <v>300</v>
      </c>
      <c r="AG1608" s="16">
        <v>3</v>
      </c>
    </row>
    <row r="1609" spans="1:33" ht="15" customHeight="1" x14ac:dyDescent="0.2">
      <c r="A1609" s="11" t="str">
        <f t="shared" ref="A1609:A2940" si="665">HYPERLINK("https://assets.vans.eu/images/VN000EUMDSB-HERO/1","VN000EUMDSB1")</f>
        <v>VN000EUMDSB1</v>
      </c>
      <c r="B1609" s="12" t="s">
        <v>6252</v>
      </c>
      <c r="C1609" s="12" t="s">
        <v>6253</v>
      </c>
      <c r="D1609" s="12" t="s">
        <v>6254</v>
      </c>
      <c r="E1609" s="12" t="s">
        <v>6255</v>
      </c>
      <c r="F1609" s="13">
        <v>5</v>
      </c>
      <c r="G1609" s="14"/>
      <c r="H1609" s="12" t="s">
        <v>61</v>
      </c>
      <c r="I1609" s="12" t="s">
        <v>1340</v>
      </c>
      <c r="J1609" s="12" t="s">
        <v>1341</v>
      </c>
      <c r="K1609" s="12" t="s">
        <v>64</v>
      </c>
      <c r="L1609" s="12" t="s">
        <v>350</v>
      </c>
      <c r="M1609" s="12" t="s">
        <v>43</v>
      </c>
      <c r="N1609" s="12" t="s">
        <v>44</v>
      </c>
      <c r="O1609" s="12" t="s">
        <v>6256</v>
      </c>
      <c r="P1609" s="12" t="s">
        <v>66</v>
      </c>
      <c r="Q1609" s="12" t="s">
        <v>67</v>
      </c>
      <c r="R1609" s="12" t="s">
        <v>68</v>
      </c>
      <c r="S1609" s="13">
        <v>197063396567</v>
      </c>
      <c r="T1609" s="12" t="s">
        <v>422</v>
      </c>
      <c r="U1609" s="13">
        <v>5</v>
      </c>
      <c r="V1609" s="12" t="s">
        <v>423</v>
      </c>
      <c r="W1609" s="12" t="s">
        <v>284</v>
      </c>
      <c r="X1609" s="13">
        <v>0</v>
      </c>
      <c r="Y1609" s="12" t="s">
        <v>91</v>
      </c>
      <c r="Z1609" s="12" t="s">
        <v>108</v>
      </c>
      <c r="AA1609" s="13">
        <v>0</v>
      </c>
      <c r="AB1609" s="13">
        <v>0</v>
      </c>
      <c r="AC1609" s="15">
        <v>10.95</v>
      </c>
      <c r="AD1609" s="15">
        <f>AC1609*AG1609</f>
        <v>32.849999999999994</v>
      </c>
      <c r="AE1609" s="15">
        <v>24</v>
      </c>
      <c r="AF1609" s="15">
        <f>AE1609*AG1609</f>
        <v>72</v>
      </c>
      <c r="AG1609" s="16">
        <v>3</v>
      </c>
    </row>
    <row r="1610" spans="1:33" ht="15" customHeight="1" x14ac:dyDescent="0.2">
      <c r="A1610" s="11" t="str">
        <f>HYPERLINK("https://assets.vans.eu/images/VN000G8MEHC-HERO/1","VN000G8MEHC1")</f>
        <v>VN000G8MEHC1</v>
      </c>
      <c r="B1610" s="12" t="s">
        <v>6257</v>
      </c>
      <c r="C1610" s="12" t="s">
        <v>6258</v>
      </c>
      <c r="D1610" s="12" t="s">
        <v>6259</v>
      </c>
      <c r="E1610" s="12" t="s">
        <v>6260</v>
      </c>
      <c r="F1610" s="12" t="s">
        <v>170</v>
      </c>
      <c r="G1610" s="14"/>
      <c r="H1610" s="12" t="s">
        <v>61</v>
      </c>
      <c r="I1610" s="12" t="s">
        <v>62</v>
      </c>
      <c r="J1610" s="12" t="s">
        <v>63</v>
      </c>
      <c r="K1610" s="12" t="s">
        <v>1022</v>
      </c>
      <c r="L1610" s="14"/>
      <c r="M1610" s="12" t="s">
        <v>43</v>
      </c>
      <c r="N1610" s="12" t="s">
        <v>274</v>
      </c>
      <c r="O1610" s="12" t="s">
        <v>6261</v>
      </c>
      <c r="P1610" s="12" t="s">
        <v>66</v>
      </c>
      <c r="Q1610" s="12" t="s">
        <v>67</v>
      </c>
      <c r="R1610" s="12" t="s">
        <v>1791</v>
      </c>
      <c r="S1610" s="13">
        <v>197063498254</v>
      </c>
      <c r="T1610" s="12" t="s">
        <v>1517</v>
      </c>
      <c r="U1610" s="12" t="s">
        <v>170</v>
      </c>
      <c r="V1610" s="12" t="s">
        <v>6262</v>
      </c>
      <c r="W1610" s="12" t="s">
        <v>51</v>
      </c>
      <c r="X1610" s="13">
        <v>0</v>
      </c>
      <c r="Y1610" s="12" t="s">
        <v>91</v>
      </c>
      <c r="Z1610" s="12" t="s">
        <v>108</v>
      </c>
      <c r="AA1610" s="13">
        <v>0</v>
      </c>
      <c r="AB1610" s="13">
        <v>0</v>
      </c>
      <c r="AC1610" s="15">
        <v>15.95</v>
      </c>
      <c r="AD1610" s="15">
        <f>AC1610*AG1610</f>
        <v>47.849999999999994</v>
      </c>
      <c r="AE1610" s="15">
        <v>35</v>
      </c>
      <c r="AF1610" s="15">
        <f>AE1610*AG1610</f>
        <v>105</v>
      </c>
      <c r="AG1610" s="16">
        <v>3</v>
      </c>
    </row>
    <row r="1611" spans="1:33" ht="15" customHeight="1" x14ac:dyDescent="0.2">
      <c r="A1611" s="11" t="str">
        <f>HYPERLINK("https://assets.vans.eu/images/VN000GA0DJR-HERO/1","VN000GA0DJR1")</f>
        <v>VN000GA0DJR1</v>
      </c>
      <c r="B1611" s="12" t="s">
        <v>6263</v>
      </c>
      <c r="C1611" s="12" t="s">
        <v>6264</v>
      </c>
      <c r="D1611" s="12" t="s">
        <v>2829</v>
      </c>
      <c r="E1611" s="12" t="s">
        <v>6265</v>
      </c>
      <c r="F1611" s="13">
        <v>26</v>
      </c>
      <c r="G1611" s="14"/>
      <c r="H1611" s="12" t="s">
        <v>61</v>
      </c>
      <c r="I1611" s="12" t="s">
        <v>289</v>
      </c>
      <c r="J1611" s="12" t="s">
        <v>290</v>
      </c>
      <c r="K1611" s="12" t="s">
        <v>100</v>
      </c>
      <c r="L1611" s="14"/>
      <c r="M1611" s="12" t="s">
        <v>43</v>
      </c>
      <c r="N1611" s="12" t="s">
        <v>274</v>
      </c>
      <c r="O1611" s="12" t="s">
        <v>6266</v>
      </c>
      <c r="P1611" s="12" t="s">
        <v>66</v>
      </c>
      <c r="Q1611" s="12" t="s">
        <v>233</v>
      </c>
      <c r="R1611" s="12" t="s">
        <v>664</v>
      </c>
      <c r="S1611" s="13">
        <v>197063476658</v>
      </c>
      <c r="T1611" s="12" t="s">
        <v>235</v>
      </c>
      <c r="U1611" s="13">
        <v>26</v>
      </c>
      <c r="V1611" s="12" t="s">
        <v>6267</v>
      </c>
      <c r="W1611" s="12" t="s">
        <v>175</v>
      </c>
      <c r="X1611" s="13">
        <v>0</v>
      </c>
      <c r="Y1611" s="12" t="s">
        <v>53</v>
      </c>
      <c r="Z1611" s="12" t="s">
        <v>108</v>
      </c>
      <c r="AA1611" s="13">
        <v>0</v>
      </c>
      <c r="AB1611" s="13">
        <v>0</v>
      </c>
      <c r="AC1611" s="15">
        <v>36.4</v>
      </c>
      <c r="AD1611" s="15">
        <f>AC1611*AG1611</f>
        <v>109.19999999999999</v>
      </c>
      <c r="AE1611" s="15">
        <v>80</v>
      </c>
      <c r="AF1611" s="15">
        <f>AE1611*AG1611</f>
        <v>240</v>
      </c>
      <c r="AG1611" s="16">
        <v>3</v>
      </c>
    </row>
    <row r="1612" spans="1:33" ht="15" customHeight="1" x14ac:dyDescent="0.2">
      <c r="A1612" s="11" t="str">
        <f>HYPERLINK("https://assets.vans.eu/images/VN000GBECJL-HERO/1","VN000GBECJL1")</f>
        <v>VN000GBECJL1</v>
      </c>
      <c r="B1612" s="12" t="s">
        <v>6268</v>
      </c>
      <c r="C1612" s="12" t="s">
        <v>6269</v>
      </c>
      <c r="D1612" s="12" t="s">
        <v>6270</v>
      </c>
      <c r="E1612" s="12" t="s">
        <v>6271</v>
      </c>
      <c r="F1612" s="12" t="s">
        <v>179</v>
      </c>
      <c r="G1612" s="14"/>
      <c r="H1612" s="12" t="s">
        <v>61</v>
      </c>
      <c r="I1612" s="12" t="s">
        <v>62</v>
      </c>
      <c r="J1612" s="12" t="s">
        <v>63</v>
      </c>
      <c r="K1612" s="12" t="s">
        <v>64</v>
      </c>
      <c r="L1612" s="14"/>
      <c r="M1612" s="12" t="s">
        <v>43</v>
      </c>
      <c r="N1612" s="12" t="s">
        <v>274</v>
      </c>
      <c r="O1612" s="12" t="s">
        <v>6272</v>
      </c>
      <c r="P1612" s="12" t="s">
        <v>66</v>
      </c>
      <c r="Q1612" s="12" t="s">
        <v>67</v>
      </c>
      <c r="R1612" s="12" t="s">
        <v>1791</v>
      </c>
      <c r="S1612" s="13">
        <v>197063461814</v>
      </c>
      <c r="T1612" s="12" t="s">
        <v>1517</v>
      </c>
      <c r="U1612" s="12" t="s">
        <v>179</v>
      </c>
      <c r="V1612" s="12" t="s">
        <v>6273</v>
      </c>
      <c r="W1612" s="12" t="s">
        <v>118</v>
      </c>
      <c r="X1612" s="13">
        <v>0</v>
      </c>
      <c r="Y1612" s="12" t="s">
        <v>91</v>
      </c>
      <c r="Z1612" s="12" t="s">
        <v>108</v>
      </c>
      <c r="AA1612" s="13">
        <v>0</v>
      </c>
      <c r="AB1612" s="13">
        <v>0</v>
      </c>
      <c r="AC1612" s="15">
        <v>20.5</v>
      </c>
      <c r="AD1612" s="15">
        <f>AC1612*AG1612</f>
        <v>61.5</v>
      </c>
      <c r="AE1612" s="15">
        <v>45</v>
      </c>
      <c r="AF1612" s="15">
        <f>AE1612*AG1612</f>
        <v>135</v>
      </c>
      <c r="AG1612" s="16">
        <v>3</v>
      </c>
    </row>
    <row r="1613" spans="1:33" ht="15" customHeight="1" x14ac:dyDescent="0.2">
      <c r="A1613" s="11" t="str">
        <f>HYPERLINK("https://assets.vans.eu/images/VN000GDCBLK-HERO/1","VN000GDCBLK1")</f>
        <v>VN000GDCBLK1</v>
      </c>
      <c r="B1613" s="12" t="s">
        <v>6274</v>
      </c>
      <c r="C1613" s="12" t="s">
        <v>6275</v>
      </c>
      <c r="D1613" s="12" t="s">
        <v>76</v>
      </c>
      <c r="E1613" s="12" t="s">
        <v>6276</v>
      </c>
      <c r="F1613" s="12" t="s">
        <v>170</v>
      </c>
      <c r="G1613" s="14"/>
      <c r="H1613" s="12" t="s">
        <v>61</v>
      </c>
      <c r="I1613" s="12" t="s">
        <v>62</v>
      </c>
      <c r="J1613" s="12" t="s">
        <v>63</v>
      </c>
      <c r="K1613" s="12" t="s">
        <v>64</v>
      </c>
      <c r="L1613" s="12" t="s">
        <v>350</v>
      </c>
      <c r="M1613" s="12" t="s">
        <v>43</v>
      </c>
      <c r="N1613" s="12" t="s">
        <v>44</v>
      </c>
      <c r="O1613" s="12" t="s">
        <v>6277</v>
      </c>
      <c r="P1613" s="12" t="s">
        <v>66</v>
      </c>
      <c r="Q1613" s="12" t="s">
        <v>67</v>
      </c>
      <c r="R1613" s="12" t="s">
        <v>68</v>
      </c>
      <c r="S1613" s="13">
        <v>197063404989</v>
      </c>
      <c r="T1613" s="12" t="s">
        <v>422</v>
      </c>
      <c r="U1613" s="12" t="s">
        <v>170</v>
      </c>
      <c r="V1613" s="12" t="s">
        <v>70</v>
      </c>
      <c r="W1613" s="12" t="s">
        <v>51</v>
      </c>
      <c r="X1613" s="13">
        <v>0</v>
      </c>
      <c r="Y1613" s="12" t="s">
        <v>91</v>
      </c>
      <c r="Z1613" s="12" t="s">
        <v>108</v>
      </c>
      <c r="AA1613" s="13">
        <v>0</v>
      </c>
      <c r="AB1613" s="13">
        <v>0</v>
      </c>
      <c r="AC1613" s="15">
        <v>13.65</v>
      </c>
      <c r="AD1613" s="15">
        <f>AC1613*AG1613</f>
        <v>40.950000000000003</v>
      </c>
      <c r="AE1613" s="15">
        <v>30</v>
      </c>
      <c r="AF1613" s="15">
        <f>AE1613*AG1613</f>
        <v>90</v>
      </c>
      <c r="AG1613" s="16">
        <v>3</v>
      </c>
    </row>
    <row r="1614" spans="1:33" ht="15" customHeight="1" x14ac:dyDescent="0.2">
      <c r="A1614" s="11" t="str">
        <f t="shared" ref="A1614:A2052" si="666">HYPERLINK("https://assets.vans.eu/images/VN000GDFBLK-HERO/1","VN000GDFBLK1")</f>
        <v>VN000GDFBLK1</v>
      </c>
      <c r="B1614" s="12" t="s">
        <v>6278</v>
      </c>
      <c r="C1614" s="12" t="s">
        <v>6279</v>
      </c>
      <c r="D1614" s="12" t="s">
        <v>76</v>
      </c>
      <c r="E1614" s="12" t="s">
        <v>6280</v>
      </c>
      <c r="F1614" s="12" t="s">
        <v>170</v>
      </c>
      <c r="G1614" s="14"/>
      <c r="H1614" s="12" t="s">
        <v>61</v>
      </c>
      <c r="I1614" s="12" t="s">
        <v>62</v>
      </c>
      <c r="J1614" s="12" t="s">
        <v>63</v>
      </c>
      <c r="K1614" s="12" t="s">
        <v>64</v>
      </c>
      <c r="L1614" s="12" t="s">
        <v>350</v>
      </c>
      <c r="M1614" s="12" t="s">
        <v>43</v>
      </c>
      <c r="N1614" s="12" t="s">
        <v>44</v>
      </c>
      <c r="O1614" s="12" t="s">
        <v>6281</v>
      </c>
      <c r="P1614" s="12" t="s">
        <v>66</v>
      </c>
      <c r="Q1614" s="12" t="s">
        <v>67</v>
      </c>
      <c r="R1614" s="12" t="s">
        <v>68</v>
      </c>
      <c r="S1614" s="13">
        <v>197063404835</v>
      </c>
      <c r="T1614" s="12" t="s">
        <v>422</v>
      </c>
      <c r="U1614" s="12" t="s">
        <v>170</v>
      </c>
      <c r="V1614" s="12" t="s">
        <v>70</v>
      </c>
      <c r="W1614" s="12" t="s">
        <v>51</v>
      </c>
      <c r="X1614" s="13">
        <v>0</v>
      </c>
      <c r="Y1614" s="12" t="s">
        <v>91</v>
      </c>
      <c r="Z1614" s="12" t="s">
        <v>108</v>
      </c>
      <c r="AA1614" s="13">
        <v>0</v>
      </c>
      <c r="AB1614" s="13">
        <v>0</v>
      </c>
      <c r="AC1614" s="15">
        <v>17.3</v>
      </c>
      <c r="AD1614" s="15">
        <f>AC1614*AG1614</f>
        <v>51.900000000000006</v>
      </c>
      <c r="AE1614" s="15">
        <v>38</v>
      </c>
      <c r="AF1614" s="15">
        <f>AE1614*AG1614</f>
        <v>114</v>
      </c>
      <c r="AG1614" s="16">
        <v>3</v>
      </c>
    </row>
    <row r="1615" spans="1:33" ht="15" customHeight="1" x14ac:dyDescent="0.2">
      <c r="A1615" s="11" t="str">
        <f>HYPERLINK("https://assets.vans.eu/images/VN000GDGWHT-HERO/1","VN000GDGWHT1")</f>
        <v>VN000GDGWHT1</v>
      </c>
      <c r="B1615" s="12" t="s">
        <v>6282</v>
      </c>
      <c r="C1615" s="12" t="s">
        <v>6283</v>
      </c>
      <c r="D1615" s="12" t="s">
        <v>168</v>
      </c>
      <c r="E1615" s="12" t="s">
        <v>6284</v>
      </c>
      <c r="F1615" s="12" t="s">
        <v>403</v>
      </c>
      <c r="G1615" s="14"/>
      <c r="H1615" s="12" t="s">
        <v>61</v>
      </c>
      <c r="I1615" s="12" t="s">
        <v>62</v>
      </c>
      <c r="J1615" s="12" t="s">
        <v>63</v>
      </c>
      <c r="K1615" s="12" t="s">
        <v>64</v>
      </c>
      <c r="L1615" s="12" t="s">
        <v>83</v>
      </c>
      <c r="M1615" s="12" t="s">
        <v>43</v>
      </c>
      <c r="N1615" s="12" t="s">
        <v>44</v>
      </c>
      <c r="O1615" s="12" t="s">
        <v>6285</v>
      </c>
      <c r="P1615" s="12" t="s">
        <v>66</v>
      </c>
      <c r="Q1615" s="12" t="s">
        <v>67</v>
      </c>
      <c r="R1615" s="12" t="s">
        <v>68</v>
      </c>
      <c r="S1615" s="13">
        <v>197063405214</v>
      </c>
      <c r="T1615" s="12" t="s">
        <v>422</v>
      </c>
      <c r="U1615" s="12" t="s">
        <v>403</v>
      </c>
      <c r="V1615" s="12" t="s">
        <v>423</v>
      </c>
      <c r="W1615" s="12" t="s">
        <v>175</v>
      </c>
      <c r="X1615" s="13">
        <v>0</v>
      </c>
      <c r="Y1615" s="12" t="s">
        <v>91</v>
      </c>
      <c r="Z1615" s="12" t="s">
        <v>108</v>
      </c>
      <c r="AA1615" s="13">
        <v>0</v>
      </c>
      <c r="AB1615" s="13">
        <v>0</v>
      </c>
      <c r="AC1615" s="15">
        <v>13.65</v>
      </c>
      <c r="AD1615" s="15">
        <f>AC1615*AG1615</f>
        <v>40.950000000000003</v>
      </c>
      <c r="AE1615" s="15">
        <v>30</v>
      </c>
      <c r="AF1615" s="15">
        <f>AE1615*AG1615</f>
        <v>90</v>
      </c>
      <c r="AG1615" s="16">
        <v>3</v>
      </c>
    </row>
    <row r="1616" spans="1:33" ht="15" customHeight="1" x14ac:dyDescent="0.2">
      <c r="A1616" s="11" t="str">
        <f t="shared" ref="A1616:A2054" si="667">HYPERLINK("https://assets.vans.eu/images/VN000GGC15P-HERO/1","VN000GGC15P1")</f>
        <v>VN000GGC15P1</v>
      </c>
      <c r="B1616" s="12" t="s">
        <v>6286</v>
      </c>
      <c r="C1616" s="12" t="s">
        <v>6287</v>
      </c>
      <c r="D1616" s="12" t="s">
        <v>6288</v>
      </c>
      <c r="E1616" s="12" t="s">
        <v>6289</v>
      </c>
      <c r="F1616" s="12" t="s">
        <v>403</v>
      </c>
      <c r="G1616" s="14"/>
      <c r="H1616" s="12" t="s">
        <v>61</v>
      </c>
      <c r="I1616" s="12" t="s">
        <v>289</v>
      </c>
      <c r="J1616" s="12" t="s">
        <v>706</v>
      </c>
      <c r="K1616" s="12" t="s">
        <v>100</v>
      </c>
      <c r="L1616" s="14"/>
      <c r="M1616" s="12" t="s">
        <v>43</v>
      </c>
      <c r="N1616" s="12" t="s">
        <v>274</v>
      </c>
      <c r="O1616" s="12" t="s">
        <v>6290</v>
      </c>
      <c r="P1616" s="12" t="s">
        <v>66</v>
      </c>
      <c r="Q1616" s="12" t="s">
        <v>67</v>
      </c>
      <c r="R1616" s="12" t="s">
        <v>1200</v>
      </c>
      <c r="S1616" s="13">
        <v>197063462088</v>
      </c>
      <c r="T1616" s="12" t="s">
        <v>49</v>
      </c>
      <c r="U1616" s="12" t="s">
        <v>403</v>
      </c>
      <c r="V1616" s="12" t="s">
        <v>6291</v>
      </c>
      <c r="W1616" s="12" t="s">
        <v>175</v>
      </c>
      <c r="X1616" s="13">
        <v>0</v>
      </c>
      <c r="Y1616" s="12" t="s">
        <v>53</v>
      </c>
      <c r="Z1616" s="12" t="s">
        <v>108</v>
      </c>
      <c r="AA1616" s="13">
        <v>0</v>
      </c>
      <c r="AB1616" s="13">
        <v>0</v>
      </c>
      <c r="AC1616" s="15">
        <v>36.4</v>
      </c>
      <c r="AD1616" s="15">
        <f>AC1616*AG1616</f>
        <v>109.19999999999999</v>
      </c>
      <c r="AE1616" s="15">
        <v>80</v>
      </c>
      <c r="AF1616" s="15">
        <f>AE1616*AG1616</f>
        <v>240</v>
      </c>
      <c r="AG1616" s="16">
        <v>3</v>
      </c>
    </row>
    <row r="1617" spans="1:33" ht="15" customHeight="1" x14ac:dyDescent="0.2">
      <c r="A1617" s="11" t="str">
        <f t="shared" si="550"/>
        <v>VN000GGGEAY1</v>
      </c>
      <c r="B1617" s="12" t="s">
        <v>6292</v>
      </c>
      <c r="C1617" s="12" t="s">
        <v>3095</v>
      </c>
      <c r="D1617" s="12" t="s">
        <v>5212</v>
      </c>
      <c r="E1617" s="12" t="s">
        <v>6293</v>
      </c>
      <c r="F1617" s="12" t="s">
        <v>403</v>
      </c>
      <c r="G1617" s="14"/>
      <c r="H1617" s="12" t="s">
        <v>61</v>
      </c>
      <c r="I1617" s="12" t="s">
        <v>230</v>
      </c>
      <c r="J1617" s="12" t="s">
        <v>419</v>
      </c>
      <c r="K1617" s="12" t="s">
        <v>199</v>
      </c>
      <c r="L1617" s="14"/>
      <c r="M1617" s="12" t="s">
        <v>43</v>
      </c>
      <c r="N1617" s="12" t="s">
        <v>44</v>
      </c>
      <c r="O1617" s="12" t="s">
        <v>6294</v>
      </c>
      <c r="P1617" s="12" t="s">
        <v>66</v>
      </c>
      <c r="Q1617" s="12" t="s">
        <v>67</v>
      </c>
      <c r="R1617" s="12" t="s">
        <v>421</v>
      </c>
      <c r="S1617" s="13">
        <v>197643456520</v>
      </c>
      <c r="T1617" s="12" t="s">
        <v>422</v>
      </c>
      <c r="U1617" s="12" t="s">
        <v>403</v>
      </c>
      <c r="V1617" s="12" t="s">
        <v>70</v>
      </c>
      <c r="W1617" s="12" t="s">
        <v>625</v>
      </c>
      <c r="X1617" s="12" t="s">
        <v>500</v>
      </c>
      <c r="Y1617" s="12" t="s">
        <v>91</v>
      </c>
      <c r="Z1617" s="12" t="s">
        <v>108</v>
      </c>
      <c r="AA1617" s="13">
        <v>0</v>
      </c>
      <c r="AB1617" s="13">
        <v>0</v>
      </c>
      <c r="AC1617" s="15">
        <v>14.55</v>
      </c>
      <c r="AD1617" s="15">
        <f>AC1617*AG1617</f>
        <v>43.650000000000006</v>
      </c>
      <c r="AE1617" s="15">
        <v>32</v>
      </c>
      <c r="AF1617" s="15">
        <f>AE1617*AG1617</f>
        <v>96</v>
      </c>
      <c r="AG1617" s="16">
        <v>3</v>
      </c>
    </row>
    <row r="1618" spans="1:33" ht="15" customHeight="1" x14ac:dyDescent="0.2">
      <c r="A1618" s="11" t="str">
        <f t="shared" si="551"/>
        <v>VN000GGGYB21</v>
      </c>
      <c r="B1618" s="12" t="s">
        <v>6295</v>
      </c>
      <c r="C1618" s="12" t="s">
        <v>3095</v>
      </c>
      <c r="D1618" s="12" t="s">
        <v>1138</v>
      </c>
      <c r="E1618" s="12" t="s">
        <v>6296</v>
      </c>
      <c r="F1618" s="12" t="s">
        <v>153</v>
      </c>
      <c r="G1618" s="14"/>
      <c r="H1618" s="12" t="s">
        <v>61</v>
      </c>
      <c r="I1618" s="12" t="s">
        <v>230</v>
      </c>
      <c r="J1618" s="12" t="s">
        <v>419</v>
      </c>
      <c r="K1618" s="12" t="s">
        <v>199</v>
      </c>
      <c r="L1618" s="14"/>
      <c r="M1618" s="12" t="s">
        <v>43</v>
      </c>
      <c r="N1618" s="12" t="s">
        <v>44</v>
      </c>
      <c r="O1618" s="12" t="s">
        <v>6297</v>
      </c>
      <c r="P1618" s="12" t="s">
        <v>66</v>
      </c>
      <c r="Q1618" s="12" t="s">
        <v>67</v>
      </c>
      <c r="R1618" s="12" t="s">
        <v>421</v>
      </c>
      <c r="S1618" s="13">
        <v>700054508940</v>
      </c>
      <c r="T1618" s="12" t="s">
        <v>422</v>
      </c>
      <c r="U1618" s="12" t="s">
        <v>153</v>
      </c>
      <c r="V1618" s="12" t="s">
        <v>70</v>
      </c>
      <c r="W1618" s="12" t="s">
        <v>175</v>
      </c>
      <c r="X1618" s="13">
        <v>0</v>
      </c>
      <c r="Y1618" s="12" t="s">
        <v>91</v>
      </c>
      <c r="Z1618" s="12" t="s">
        <v>108</v>
      </c>
      <c r="AA1618" s="13">
        <v>0</v>
      </c>
      <c r="AB1618" s="13">
        <v>0</v>
      </c>
      <c r="AC1618" s="15">
        <v>14.55</v>
      </c>
      <c r="AD1618" s="15">
        <f>AC1618*AG1618</f>
        <v>43.650000000000006</v>
      </c>
      <c r="AE1618" s="15">
        <v>32</v>
      </c>
      <c r="AF1618" s="15">
        <f>AE1618*AG1618</f>
        <v>96</v>
      </c>
      <c r="AG1618" s="16">
        <v>3</v>
      </c>
    </row>
    <row r="1619" spans="1:33" ht="15" customHeight="1" x14ac:dyDescent="0.2">
      <c r="A1619" s="11" t="str">
        <f t="shared" ref="A1619:A2985" si="668">HYPERLINK("https://assets.vans.eu/images/VN000GWNBLK-HERO/1","VN000GWNBLK1")</f>
        <v>VN000GWNBLK1</v>
      </c>
      <c r="B1619" s="12" t="s">
        <v>6298</v>
      </c>
      <c r="C1619" s="12" t="s">
        <v>6299</v>
      </c>
      <c r="D1619" s="12" t="s">
        <v>76</v>
      </c>
      <c r="E1619" s="12" t="s">
        <v>6300</v>
      </c>
      <c r="F1619" s="12" t="s">
        <v>153</v>
      </c>
      <c r="G1619" s="14"/>
      <c r="H1619" s="12" t="s">
        <v>61</v>
      </c>
      <c r="I1619" s="12" t="s">
        <v>289</v>
      </c>
      <c r="J1619" s="12" t="s">
        <v>290</v>
      </c>
      <c r="K1619" s="12" t="s">
        <v>100</v>
      </c>
      <c r="L1619" s="14"/>
      <c r="M1619" s="12" t="s">
        <v>43</v>
      </c>
      <c r="N1619" s="12" t="s">
        <v>161</v>
      </c>
      <c r="O1619" s="12" t="s">
        <v>6301</v>
      </c>
      <c r="P1619" s="12" t="s">
        <v>66</v>
      </c>
      <c r="Q1619" s="12" t="s">
        <v>233</v>
      </c>
      <c r="R1619" s="12" t="s">
        <v>664</v>
      </c>
      <c r="S1619" s="13">
        <v>196574971539</v>
      </c>
      <c r="T1619" s="12" t="s">
        <v>235</v>
      </c>
      <c r="U1619" s="12" t="s">
        <v>153</v>
      </c>
      <c r="V1619" s="12" t="s">
        <v>665</v>
      </c>
      <c r="W1619" s="12" t="s">
        <v>51</v>
      </c>
      <c r="X1619" s="13">
        <v>0</v>
      </c>
      <c r="Y1619" s="12" t="s">
        <v>53</v>
      </c>
      <c r="Z1619" s="12" t="s">
        <v>108</v>
      </c>
      <c r="AA1619" s="13">
        <v>0</v>
      </c>
      <c r="AB1619" s="13">
        <v>0</v>
      </c>
      <c r="AC1619" s="15">
        <v>36.4</v>
      </c>
      <c r="AD1619" s="15">
        <f>AC1619*AG1619</f>
        <v>109.19999999999999</v>
      </c>
      <c r="AE1619" s="15">
        <v>80</v>
      </c>
      <c r="AF1619" s="15">
        <f>AE1619*AG1619</f>
        <v>240</v>
      </c>
      <c r="AG1619" s="16">
        <v>3</v>
      </c>
    </row>
    <row r="1620" spans="1:33" ht="15" customHeight="1" x14ac:dyDescent="0.2">
      <c r="A1620" s="11" t="str">
        <f>HYPERLINK("https://assets.vans.eu/images/VN000H5EFS8-HERO/1","VN000H5EFS81")</f>
        <v>VN000H5EFS81</v>
      </c>
      <c r="B1620" s="12" t="s">
        <v>6302</v>
      </c>
      <c r="C1620" s="12" t="s">
        <v>6303</v>
      </c>
      <c r="D1620" s="12" t="s">
        <v>239</v>
      </c>
      <c r="E1620" s="12" t="s">
        <v>6304</v>
      </c>
      <c r="F1620" s="12" t="s">
        <v>403</v>
      </c>
      <c r="G1620" s="14"/>
      <c r="H1620" s="12" t="s">
        <v>61</v>
      </c>
      <c r="I1620" s="12" t="s">
        <v>289</v>
      </c>
      <c r="J1620" s="12" t="s">
        <v>984</v>
      </c>
      <c r="K1620" s="12" t="s">
        <v>100</v>
      </c>
      <c r="L1620" s="14"/>
      <c r="M1620" s="12" t="s">
        <v>43</v>
      </c>
      <c r="N1620" s="12" t="s">
        <v>161</v>
      </c>
      <c r="O1620" s="12" t="s">
        <v>6305</v>
      </c>
      <c r="P1620" s="12" t="s">
        <v>66</v>
      </c>
      <c r="Q1620" s="12" t="s">
        <v>764</v>
      </c>
      <c r="R1620" s="12" t="s">
        <v>986</v>
      </c>
      <c r="S1620" s="13">
        <v>197065712389</v>
      </c>
      <c r="T1620" s="12" t="s">
        <v>235</v>
      </c>
      <c r="U1620" s="12" t="s">
        <v>403</v>
      </c>
      <c r="V1620" s="12" t="s">
        <v>90</v>
      </c>
      <c r="W1620" s="12" t="s">
        <v>175</v>
      </c>
      <c r="X1620" s="13">
        <v>0</v>
      </c>
      <c r="Y1620" s="12" t="s">
        <v>91</v>
      </c>
      <c r="Z1620" s="12" t="s">
        <v>108</v>
      </c>
      <c r="AA1620" s="13">
        <v>0</v>
      </c>
      <c r="AB1620" s="13">
        <v>0</v>
      </c>
      <c r="AC1620" s="15">
        <v>56.85</v>
      </c>
      <c r="AD1620" s="15">
        <f>AC1620*AG1620</f>
        <v>170.55</v>
      </c>
      <c r="AE1620" s="15">
        <v>125</v>
      </c>
      <c r="AF1620" s="15">
        <f>AE1620*AG1620</f>
        <v>375</v>
      </c>
      <c r="AG1620" s="16">
        <v>3</v>
      </c>
    </row>
    <row r="1621" spans="1:33" ht="15" customHeight="1" x14ac:dyDescent="0.2">
      <c r="A1621" s="11" t="str">
        <f t="shared" ref="A1621:A2990" si="669">HYPERLINK("https://assets.vans.eu/images/VN000HAWBLK-HERO/1","VN000HAWBLK1")</f>
        <v>VN000HAWBLK1</v>
      </c>
      <c r="B1621" s="12" t="s">
        <v>6306</v>
      </c>
      <c r="C1621" s="12" t="s">
        <v>6307</v>
      </c>
      <c r="D1621" s="12" t="s">
        <v>76</v>
      </c>
      <c r="E1621" s="12" t="s">
        <v>6308</v>
      </c>
      <c r="F1621" s="12" t="s">
        <v>153</v>
      </c>
      <c r="G1621" s="14"/>
      <c r="H1621" s="12" t="s">
        <v>61</v>
      </c>
      <c r="I1621" s="12" t="s">
        <v>230</v>
      </c>
      <c r="J1621" s="12" t="s">
        <v>231</v>
      </c>
      <c r="K1621" s="12" t="s">
        <v>199</v>
      </c>
      <c r="L1621" s="14"/>
      <c r="M1621" s="12" t="s">
        <v>43</v>
      </c>
      <c r="N1621" s="12" t="s">
        <v>161</v>
      </c>
      <c r="O1621" s="12" t="s">
        <v>6309</v>
      </c>
      <c r="P1621" s="12" t="s">
        <v>66</v>
      </c>
      <c r="Q1621" s="12" t="s">
        <v>233</v>
      </c>
      <c r="R1621" s="12" t="s">
        <v>361</v>
      </c>
      <c r="S1621" s="13">
        <v>197065482442</v>
      </c>
      <c r="T1621" s="12" t="s">
        <v>105</v>
      </c>
      <c r="U1621" s="12" t="s">
        <v>153</v>
      </c>
      <c r="V1621" s="12" t="s">
        <v>90</v>
      </c>
      <c r="W1621" s="12" t="s">
        <v>51</v>
      </c>
      <c r="X1621" s="13">
        <v>0</v>
      </c>
      <c r="Y1621" s="12" t="s">
        <v>91</v>
      </c>
      <c r="Z1621" s="12" t="s">
        <v>108</v>
      </c>
      <c r="AA1621" s="13">
        <v>0</v>
      </c>
      <c r="AB1621" s="13">
        <v>0</v>
      </c>
      <c r="AC1621" s="15">
        <v>50</v>
      </c>
      <c r="AD1621" s="15">
        <f>AC1621*AG1621</f>
        <v>150</v>
      </c>
      <c r="AE1621" s="15">
        <v>110</v>
      </c>
      <c r="AF1621" s="15">
        <f>AE1621*AG1621</f>
        <v>330</v>
      </c>
      <c r="AG1621" s="16">
        <v>3</v>
      </c>
    </row>
    <row r="1622" spans="1:33" ht="15" customHeight="1" x14ac:dyDescent="0.2">
      <c r="A1622" s="11" t="str">
        <f t="shared" si="474"/>
        <v>VN000HGJFS81</v>
      </c>
      <c r="B1622" s="12" t="s">
        <v>6310</v>
      </c>
      <c r="C1622" s="12" t="s">
        <v>4539</v>
      </c>
      <c r="D1622" s="12" t="s">
        <v>239</v>
      </c>
      <c r="E1622" s="12" t="s">
        <v>6311</v>
      </c>
      <c r="F1622" s="13">
        <v>22</v>
      </c>
      <c r="G1622" s="14"/>
      <c r="H1622" s="12" t="s">
        <v>61</v>
      </c>
      <c r="I1622" s="12" t="s">
        <v>289</v>
      </c>
      <c r="J1622" s="12" t="s">
        <v>290</v>
      </c>
      <c r="K1622" s="12" t="s">
        <v>100</v>
      </c>
      <c r="L1622" s="14"/>
      <c r="M1622" s="12" t="s">
        <v>43</v>
      </c>
      <c r="N1622" s="12" t="s">
        <v>44</v>
      </c>
      <c r="O1622" s="12" t="s">
        <v>6312</v>
      </c>
      <c r="P1622" s="12" t="s">
        <v>66</v>
      </c>
      <c r="Q1622" s="12" t="s">
        <v>233</v>
      </c>
      <c r="R1622" s="12" t="s">
        <v>664</v>
      </c>
      <c r="S1622" s="13">
        <v>197643458272</v>
      </c>
      <c r="T1622" s="12" t="s">
        <v>235</v>
      </c>
      <c r="U1622" s="13">
        <v>22</v>
      </c>
      <c r="V1622" s="12" t="s">
        <v>665</v>
      </c>
      <c r="W1622" s="12" t="s">
        <v>175</v>
      </c>
      <c r="X1622" s="13">
        <v>0</v>
      </c>
      <c r="Y1622" s="12" t="s">
        <v>91</v>
      </c>
      <c r="Z1622" s="12" t="s">
        <v>108</v>
      </c>
      <c r="AA1622" s="13">
        <v>0</v>
      </c>
      <c r="AB1622" s="13">
        <v>0</v>
      </c>
      <c r="AC1622" s="15">
        <v>29.55</v>
      </c>
      <c r="AD1622" s="15">
        <f>AC1622*AG1622</f>
        <v>88.65</v>
      </c>
      <c r="AE1622" s="15">
        <v>65</v>
      </c>
      <c r="AF1622" s="15">
        <f>AE1622*AG1622</f>
        <v>195</v>
      </c>
      <c r="AG1622" s="16">
        <v>3</v>
      </c>
    </row>
    <row r="1623" spans="1:33" ht="15" customHeight="1" x14ac:dyDescent="0.2">
      <c r="A1623" s="11" t="str">
        <f>HYPERLINK("https://assets.vans.eu/images/VN000HHEC9J-HERO/1","VN000HHEC9J1")</f>
        <v>VN000HHEC9J1</v>
      </c>
      <c r="B1623" s="12" t="s">
        <v>6313</v>
      </c>
      <c r="C1623" s="12" t="s">
        <v>4094</v>
      </c>
      <c r="D1623" s="12" t="s">
        <v>2876</v>
      </c>
      <c r="E1623" s="12" t="s">
        <v>6314</v>
      </c>
      <c r="F1623" s="12" t="s">
        <v>179</v>
      </c>
      <c r="G1623" s="14"/>
      <c r="H1623" s="12" t="s">
        <v>61</v>
      </c>
      <c r="I1623" s="12" t="s">
        <v>289</v>
      </c>
      <c r="J1623" s="12" t="s">
        <v>706</v>
      </c>
      <c r="K1623" s="12" t="s">
        <v>100</v>
      </c>
      <c r="L1623" s="14"/>
      <c r="M1623" s="12" t="s">
        <v>43</v>
      </c>
      <c r="N1623" s="12" t="s">
        <v>84</v>
      </c>
      <c r="O1623" s="12" t="s">
        <v>6315</v>
      </c>
      <c r="P1623" s="12" t="s">
        <v>66</v>
      </c>
      <c r="Q1623" s="12" t="s">
        <v>67</v>
      </c>
      <c r="R1623" s="12" t="s">
        <v>1146</v>
      </c>
      <c r="S1623" s="13">
        <v>197065455668</v>
      </c>
      <c r="T1623" s="12" t="s">
        <v>69</v>
      </c>
      <c r="U1623" s="12" t="s">
        <v>179</v>
      </c>
      <c r="V1623" s="12" t="s">
        <v>70</v>
      </c>
      <c r="W1623" s="12" t="s">
        <v>186</v>
      </c>
      <c r="X1623" s="13">
        <v>0</v>
      </c>
      <c r="Y1623" s="12" t="s">
        <v>91</v>
      </c>
      <c r="Z1623" s="12" t="s">
        <v>108</v>
      </c>
      <c r="AA1623" s="13">
        <v>0</v>
      </c>
      <c r="AB1623" s="13">
        <v>0</v>
      </c>
      <c r="AC1623" s="15">
        <v>15.5</v>
      </c>
      <c r="AD1623" s="15">
        <f>AC1623*AG1623</f>
        <v>46.5</v>
      </c>
      <c r="AE1623" s="15">
        <v>34</v>
      </c>
      <c r="AF1623" s="15">
        <f>AE1623*AG1623</f>
        <v>102</v>
      </c>
      <c r="AG1623" s="16">
        <v>3</v>
      </c>
    </row>
    <row r="1624" spans="1:33" ht="15" customHeight="1" x14ac:dyDescent="0.2">
      <c r="A1624" s="11" t="str">
        <f>HYPERLINK("https://assets.vans.eu/images/VN000HMQ1CI-HERO/1","VN000HMQ1CI1")</f>
        <v>VN000HMQ1CI1</v>
      </c>
      <c r="B1624" s="12" t="s">
        <v>6316</v>
      </c>
      <c r="C1624" s="12" t="s">
        <v>6317</v>
      </c>
      <c r="D1624" s="12" t="s">
        <v>884</v>
      </c>
      <c r="E1624" s="12" t="s">
        <v>6318</v>
      </c>
      <c r="F1624" s="12" t="s">
        <v>621</v>
      </c>
      <c r="G1624" s="14"/>
      <c r="H1624" s="12" t="s">
        <v>61</v>
      </c>
      <c r="I1624" s="12" t="s">
        <v>230</v>
      </c>
      <c r="J1624" s="12" t="s">
        <v>762</v>
      </c>
      <c r="K1624" s="12" t="s">
        <v>199</v>
      </c>
      <c r="L1624" s="14"/>
      <c r="M1624" s="12" t="s">
        <v>43</v>
      </c>
      <c r="N1624" s="12" t="s">
        <v>161</v>
      </c>
      <c r="O1624" s="12" t="s">
        <v>6319</v>
      </c>
      <c r="P1624" s="12" t="s">
        <v>66</v>
      </c>
      <c r="Q1624" s="12" t="s">
        <v>764</v>
      </c>
      <c r="R1624" s="12" t="s">
        <v>765</v>
      </c>
      <c r="S1624" s="13">
        <v>197065459338</v>
      </c>
      <c r="T1624" s="12" t="s">
        <v>49</v>
      </c>
      <c r="U1624" s="12" t="s">
        <v>621</v>
      </c>
      <c r="V1624" s="12" t="s">
        <v>1811</v>
      </c>
      <c r="W1624" s="12" t="s">
        <v>51</v>
      </c>
      <c r="X1624" s="13">
        <v>0</v>
      </c>
      <c r="Y1624" s="12" t="s">
        <v>91</v>
      </c>
      <c r="Z1624" s="12" t="s">
        <v>108</v>
      </c>
      <c r="AA1624" s="13">
        <v>0</v>
      </c>
      <c r="AB1624" s="13">
        <v>0</v>
      </c>
      <c r="AC1624" s="15">
        <v>59.1</v>
      </c>
      <c r="AD1624" s="15">
        <f>AC1624*AG1624</f>
        <v>177.3</v>
      </c>
      <c r="AE1624" s="15">
        <v>130</v>
      </c>
      <c r="AF1624" s="15">
        <f>AE1624*AG1624</f>
        <v>390</v>
      </c>
      <c r="AG1624" s="16">
        <v>3</v>
      </c>
    </row>
    <row r="1625" spans="1:33" ht="15" customHeight="1" x14ac:dyDescent="0.2">
      <c r="A1625" s="11" t="str">
        <f>HYPERLINK("https://assets.vans.eu/images/VN000HNE2LN-HERO/1","VN000HNE2LN1")</f>
        <v>VN000HNE2LN1</v>
      </c>
      <c r="B1625" s="12" t="s">
        <v>6320</v>
      </c>
      <c r="C1625" s="12" t="s">
        <v>6321</v>
      </c>
      <c r="D1625" s="12" t="s">
        <v>6322</v>
      </c>
      <c r="E1625" s="12" t="s">
        <v>6323</v>
      </c>
      <c r="F1625" s="12" t="s">
        <v>170</v>
      </c>
      <c r="G1625" s="14"/>
      <c r="H1625" s="12" t="s">
        <v>61</v>
      </c>
      <c r="I1625" s="12" t="s">
        <v>230</v>
      </c>
      <c r="J1625" s="12" t="s">
        <v>762</v>
      </c>
      <c r="K1625" s="12" t="s">
        <v>199</v>
      </c>
      <c r="L1625" s="14"/>
      <c r="M1625" s="12" t="s">
        <v>43</v>
      </c>
      <c r="N1625" s="12" t="s">
        <v>161</v>
      </c>
      <c r="O1625" s="12" t="s">
        <v>6324</v>
      </c>
      <c r="P1625" s="12" t="s">
        <v>66</v>
      </c>
      <c r="Q1625" s="12" t="s">
        <v>764</v>
      </c>
      <c r="R1625" s="12" t="s">
        <v>765</v>
      </c>
      <c r="S1625" s="13">
        <v>197065460020</v>
      </c>
      <c r="T1625" s="12" t="s">
        <v>49</v>
      </c>
      <c r="U1625" s="12" t="s">
        <v>170</v>
      </c>
      <c r="V1625" s="12" t="s">
        <v>1811</v>
      </c>
      <c r="W1625" s="12" t="s">
        <v>118</v>
      </c>
      <c r="X1625" s="13">
        <v>0</v>
      </c>
      <c r="Y1625" s="12" t="s">
        <v>53</v>
      </c>
      <c r="Z1625" s="12" t="s">
        <v>108</v>
      </c>
      <c r="AA1625" s="13">
        <v>0</v>
      </c>
      <c r="AB1625" s="13">
        <v>0</v>
      </c>
      <c r="AC1625" s="15">
        <v>86.4</v>
      </c>
      <c r="AD1625" s="15">
        <f>AC1625*AG1625</f>
        <v>259.20000000000005</v>
      </c>
      <c r="AE1625" s="15">
        <v>190</v>
      </c>
      <c r="AF1625" s="15">
        <f>AE1625*AG1625</f>
        <v>570</v>
      </c>
      <c r="AG1625" s="16">
        <v>3</v>
      </c>
    </row>
    <row r="1626" spans="1:33" ht="15" customHeight="1" x14ac:dyDescent="0.2">
      <c r="A1626" s="11" t="str">
        <f>HYPERLINK("https://assets.vans.eu/images/VN000HQ3M8I-HERO/1","VN000HQ3M8I1")</f>
        <v>VN000HQ3M8I1</v>
      </c>
      <c r="B1626" s="12" t="s">
        <v>6325</v>
      </c>
      <c r="C1626" s="12" t="s">
        <v>1779</v>
      </c>
      <c r="D1626" s="12" t="s">
        <v>1487</v>
      </c>
      <c r="E1626" s="12" t="s">
        <v>6326</v>
      </c>
      <c r="F1626" s="12" t="s">
        <v>403</v>
      </c>
      <c r="G1626" s="14"/>
      <c r="H1626" s="12" t="s">
        <v>61</v>
      </c>
      <c r="I1626" s="12" t="s">
        <v>289</v>
      </c>
      <c r="J1626" s="12" t="s">
        <v>706</v>
      </c>
      <c r="K1626" s="12" t="s">
        <v>100</v>
      </c>
      <c r="L1626" s="14"/>
      <c r="M1626" s="12" t="s">
        <v>43</v>
      </c>
      <c r="N1626" s="12" t="s">
        <v>161</v>
      </c>
      <c r="O1626" s="12" t="s">
        <v>6327</v>
      </c>
      <c r="P1626" s="12" t="s">
        <v>66</v>
      </c>
      <c r="Q1626" s="12" t="s">
        <v>67</v>
      </c>
      <c r="R1626" s="12" t="s">
        <v>1782</v>
      </c>
      <c r="S1626" s="13">
        <v>197065933791</v>
      </c>
      <c r="T1626" s="12" t="s">
        <v>143</v>
      </c>
      <c r="U1626" s="12" t="s">
        <v>403</v>
      </c>
      <c r="V1626" s="12" t="s">
        <v>1783</v>
      </c>
      <c r="W1626" s="12" t="s">
        <v>118</v>
      </c>
      <c r="X1626" s="13">
        <v>0</v>
      </c>
      <c r="Y1626" s="12" t="s">
        <v>91</v>
      </c>
      <c r="Z1626" s="12" t="s">
        <v>108</v>
      </c>
      <c r="AA1626" s="13">
        <v>0</v>
      </c>
      <c r="AB1626" s="13">
        <v>0</v>
      </c>
      <c r="AC1626" s="15">
        <v>25</v>
      </c>
      <c r="AD1626" s="15">
        <f>AC1626*AG1626</f>
        <v>75</v>
      </c>
      <c r="AE1626" s="15">
        <v>55</v>
      </c>
      <c r="AF1626" s="15">
        <f>AE1626*AG1626</f>
        <v>165</v>
      </c>
      <c r="AG1626" s="16">
        <v>3</v>
      </c>
    </row>
    <row r="1627" spans="1:33" ht="15" customHeight="1" x14ac:dyDescent="0.2">
      <c r="A1627" s="11" t="str">
        <f>HYPERLINK("https://assets.vans.eu/images/VN000HZABLK-HERO/1","VN000HZABLK1")</f>
        <v>VN000HZABLK1</v>
      </c>
      <c r="B1627" s="12" t="s">
        <v>6328</v>
      </c>
      <c r="C1627" s="12" t="s">
        <v>1413</v>
      </c>
      <c r="D1627" s="12" t="s">
        <v>76</v>
      </c>
      <c r="E1627" s="12" t="s">
        <v>6329</v>
      </c>
      <c r="F1627" s="13">
        <v>25</v>
      </c>
      <c r="G1627" s="14"/>
      <c r="H1627" s="12" t="s">
        <v>61</v>
      </c>
      <c r="I1627" s="12" t="s">
        <v>230</v>
      </c>
      <c r="J1627" s="12" t="s">
        <v>231</v>
      </c>
      <c r="K1627" s="12" t="s">
        <v>199</v>
      </c>
      <c r="L1627" s="14"/>
      <c r="M1627" s="12" t="s">
        <v>43</v>
      </c>
      <c r="N1627" s="12" t="s">
        <v>84</v>
      </c>
      <c r="O1627" s="12" t="s">
        <v>6330</v>
      </c>
      <c r="P1627" s="12" t="s">
        <v>66</v>
      </c>
      <c r="Q1627" s="12" t="s">
        <v>233</v>
      </c>
      <c r="R1627" s="12" t="s">
        <v>361</v>
      </c>
      <c r="S1627" s="13">
        <v>197065838249</v>
      </c>
      <c r="T1627" s="12" t="s">
        <v>235</v>
      </c>
      <c r="U1627" s="13">
        <v>25</v>
      </c>
      <c r="V1627" s="12" t="s">
        <v>1416</v>
      </c>
      <c r="W1627" s="12" t="s">
        <v>51</v>
      </c>
      <c r="X1627" s="13">
        <v>0</v>
      </c>
      <c r="Y1627" s="12" t="s">
        <v>91</v>
      </c>
      <c r="Z1627" s="12" t="s">
        <v>108</v>
      </c>
      <c r="AA1627" s="13">
        <v>0</v>
      </c>
      <c r="AB1627" s="13">
        <v>0</v>
      </c>
      <c r="AC1627" s="15">
        <v>34.1</v>
      </c>
      <c r="AD1627" s="15">
        <f>AC1627*AG1627</f>
        <v>102.30000000000001</v>
      </c>
      <c r="AE1627" s="15">
        <v>75</v>
      </c>
      <c r="AF1627" s="15">
        <f>AE1627*AG1627</f>
        <v>225</v>
      </c>
      <c r="AG1627" s="16">
        <v>3</v>
      </c>
    </row>
    <row r="1628" spans="1:33" ht="15" customHeight="1" x14ac:dyDescent="0.2">
      <c r="A1628" s="11" t="str">
        <f t="shared" si="316"/>
        <v>VN000HZBBLK1</v>
      </c>
      <c r="B1628" s="12" t="s">
        <v>6331</v>
      </c>
      <c r="C1628" s="12" t="s">
        <v>357</v>
      </c>
      <c r="D1628" s="12" t="s">
        <v>76</v>
      </c>
      <c r="E1628" s="12" t="s">
        <v>6332</v>
      </c>
      <c r="F1628" s="13">
        <v>36</v>
      </c>
      <c r="G1628" s="14"/>
      <c r="H1628" s="12" t="s">
        <v>61</v>
      </c>
      <c r="I1628" s="12" t="s">
        <v>230</v>
      </c>
      <c r="J1628" s="12" t="s">
        <v>231</v>
      </c>
      <c r="K1628" s="12" t="s">
        <v>199</v>
      </c>
      <c r="L1628" s="14"/>
      <c r="M1628" s="12" t="s">
        <v>43</v>
      </c>
      <c r="N1628" s="12" t="s">
        <v>84</v>
      </c>
      <c r="O1628" s="12" t="s">
        <v>6333</v>
      </c>
      <c r="P1628" s="12" t="s">
        <v>66</v>
      </c>
      <c r="Q1628" s="12" t="s">
        <v>233</v>
      </c>
      <c r="R1628" s="12" t="s">
        <v>361</v>
      </c>
      <c r="S1628" s="13">
        <v>197065840945</v>
      </c>
      <c r="T1628" s="12" t="s">
        <v>235</v>
      </c>
      <c r="U1628" s="13">
        <v>36</v>
      </c>
      <c r="V1628" s="12" t="s">
        <v>362</v>
      </c>
      <c r="W1628" s="12" t="s">
        <v>51</v>
      </c>
      <c r="X1628" s="13">
        <v>0</v>
      </c>
      <c r="Y1628" s="12" t="s">
        <v>91</v>
      </c>
      <c r="Z1628" s="12" t="s">
        <v>108</v>
      </c>
      <c r="AA1628" s="13">
        <v>0</v>
      </c>
      <c r="AB1628" s="13">
        <v>0</v>
      </c>
      <c r="AC1628" s="15">
        <v>34.1</v>
      </c>
      <c r="AD1628" s="15">
        <f>AC1628*AG1628</f>
        <v>102.30000000000001</v>
      </c>
      <c r="AE1628" s="15">
        <v>75</v>
      </c>
      <c r="AF1628" s="15">
        <f>AE1628*AG1628</f>
        <v>225</v>
      </c>
      <c r="AG1628" s="16">
        <v>3</v>
      </c>
    </row>
    <row r="1629" spans="1:33" ht="15" customHeight="1" x14ac:dyDescent="0.2">
      <c r="A1629" s="11" t="str">
        <f t="shared" si="380"/>
        <v>VN000HZBEMP1</v>
      </c>
      <c r="B1629" s="12" t="s">
        <v>6334</v>
      </c>
      <c r="C1629" s="12" t="s">
        <v>357</v>
      </c>
      <c r="D1629" s="12" t="s">
        <v>704</v>
      </c>
      <c r="E1629" s="12" t="s">
        <v>6335</v>
      </c>
      <c r="F1629" s="13">
        <v>28</v>
      </c>
      <c r="G1629" s="14"/>
      <c r="H1629" s="12" t="s">
        <v>61</v>
      </c>
      <c r="I1629" s="12" t="s">
        <v>230</v>
      </c>
      <c r="J1629" s="12" t="s">
        <v>231</v>
      </c>
      <c r="K1629" s="12" t="s">
        <v>199</v>
      </c>
      <c r="L1629" s="14"/>
      <c r="M1629" s="12" t="s">
        <v>43</v>
      </c>
      <c r="N1629" s="12" t="s">
        <v>84</v>
      </c>
      <c r="O1629" s="12" t="s">
        <v>6336</v>
      </c>
      <c r="P1629" s="12" t="s">
        <v>66</v>
      </c>
      <c r="Q1629" s="12" t="s">
        <v>233</v>
      </c>
      <c r="R1629" s="12" t="s">
        <v>361</v>
      </c>
      <c r="S1629" s="13">
        <v>197804385683</v>
      </c>
      <c r="T1629" s="12" t="s">
        <v>235</v>
      </c>
      <c r="U1629" s="13">
        <v>28</v>
      </c>
      <c r="V1629" s="12" t="s">
        <v>362</v>
      </c>
      <c r="W1629" s="12" t="s">
        <v>186</v>
      </c>
      <c r="X1629" s="14"/>
      <c r="Y1629" s="14"/>
      <c r="Z1629" s="14"/>
      <c r="AA1629" s="14"/>
      <c r="AB1629" s="14"/>
      <c r="AC1629" s="15">
        <v>34.1</v>
      </c>
      <c r="AD1629" s="15">
        <f>AC1629*AG1629</f>
        <v>102.30000000000001</v>
      </c>
      <c r="AE1629" s="15">
        <v>75</v>
      </c>
      <c r="AF1629" s="15">
        <f>AE1629*AG1629</f>
        <v>225</v>
      </c>
      <c r="AG1629" s="16">
        <v>3</v>
      </c>
    </row>
    <row r="1630" spans="1:33" ht="15" customHeight="1" x14ac:dyDescent="0.2">
      <c r="A1630" s="11" t="str">
        <f t="shared" si="475"/>
        <v>VN000HZBYEH1</v>
      </c>
      <c r="B1630" s="12" t="s">
        <v>6337</v>
      </c>
      <c r="C1630" s="12" t="s">
        <v>357</v>
      </c>
      <c r="D1630" s="12" t="s">
        <v>358</v>
      </c>
      <c r="E1630" s="12" t="s">
        <v>6338</v>
      </c>
      <c r="F1630" s="13">
        <v>25</v>
      </c>
      <c r="G1630" s="14"/>
      <c r="H1630" s="12" t="s">
        <v>61</v>
      </c>
      <c r="I1630" s="12" t="s">
        <v>230</v>
      </c>
      <c r="J1630" s="12" t="s">
        <v>231</v>
      </c>
      <c r="K1630" s="12" t="s">
        <v>199</v>
      </c>
      <c r="L1630" s="14"/>
      <c r="M1630" s="12" t="s">
        <v>43</v>
      </c>
      <c r="N1630" s="12" t="s">
        <v>84</v>
      </c>
      <c r="O1630" s="12" t="s">
        <v>6339</v>
      </c>
      <c r="P1630" s="12" t="s">
        <v>66</v>
      </c>
      <c r="Q1630" s="12" t="s">
        <v>233</v>
      </c>
      <c r="R1630" s="12" t="s">
        <v>361</v>
      </c>
      <c r="S1630" s="13">
        <v>197065838416</v>
      </c>
      <c r="T1630" s="12" t="s">
        <v>235</v>
      </c>
      <c r="U1630" s="13">
        <v>25</v>
      </c>
      <c r="V1630" s="12" t="s">
        <v>362</v>
      </c>
      <c r="W1630" s="12" t="s">
        <v>186</v>
      </c>
      <c r="X1630" s="13">
        <v>0</v>
      </c>
      <c r="Y1630" s="12" t="s">
        <v>91</v>
      </c>
      <c r="Z1630" s="12" t="s">
        <v>108</v>
      </c>
      <c r="AA1630" s="13">
        <v>0</v>
      </c>
      <c r="AB1630" s="13">
        <v>0</v>
      </c>
      <c r="AC1630" s="15">
        <v>34.1</v>
      </c>
      <c r="AD1630" s="15">
        <f>AC1630*AG1630</f>
        <v>102.30000000000001</v>
      </c>
      <c r="AE1630" s="15">
        <v>75</v>
      </c>
      <c r="AF1630" s="15">
        <f>AE1630*AG1630</f>
        <v>225</v>
      </c>
      <c r="AG1630" s="16">
        <v>3</v>
      </c>
    </row>
    <row r="1631" spans="1:33" ht="15" customHeight="1" x14ac:dyDescent="0.2">
      <c r="A1631" s="11" t="str">
        <f t="shared" ref="A1631:A2068" si="670">HYPERLINK("https://assets.vans.eu/images/VN000HZCBLK-HERO/1","VN000HZCBLK1")</f>
        <v>VN000HZCBLK1</v>
      </c>
      <c r="B1631" s="12" t="s">
        <v>6340</v>
      </c>
      <c r="C1631" s="12" t="s">
        <v>1567</v>
      </c>
      <c r="D1631" s="12" t="s">
        <v>76</v>
      </c>
      <c r="E1631" s="12" t="s">
        <v>6341</v>
      </c>
      <c r="F1631" s="13">
        <v>29</v>
      </c>
      <c r="G1631" s="14"/>
      <c r="H1631" s="12" t="s">
        <v>61</v>
      </c>
      <c r="I1631" s="12" t="s">
        <v>230</v>
      </c>
      <c r="J1631" s="12" t="s">
        <v>231</v>
      </c>
      <c r="K1631" s="12" t="s">
        <v>199</v>
      </c>
      <c r="L1631" s="14"/>
      <c r="M1631" s="12" t="s">
        <v>43</v>
      </c>
      <c r="N1631" s="12" t="s">
        <v>84</v>
      </c>
      <c r="O1631" s="12" t="s">
        <v>6342</v>
      </c>
      <c r="P1631" s="12" t="s">
        <v>66</v>
      </c>
      <c r="Q1631" s="12" t="s">
        <v>233</v>
      </c>
      <c r="R1631" s="12" t="s">
        <v>361</v>
      </c>
      <c r="S1631" s="13">
        <v>197065839109</v>
      </c>
      <c r="T1631" s="12" t="s">
        <v>235</v>
      </c>
      <c r="U1631" s="13">
        <v>29</v>
      </c>
      <c r="V1631" s="12" t="s">
        <v>1570</v>
      </c>
      <c r="W1631" s="12" t="s">
        <v>51</v>
      </c>
      <c r="X1631" s="13">
        <v>0</v>
      </c>
      <c r="Y1631" s="12" t="s">
        <v>91</v>
      </c>
      <c r="Z1631" s="12" t="s">
        <v>108</v>
      </c>
      <c r="AA1631" s="13">
        <v>0</v>
      </c>
      <c r="AB1631" s="13">
        <v>0</v>
      </c>
      <c r="AC1631" s="15">
        <v>34.1</v>
      </c>
      <c r="AD1631" s="15">
        <f>AC1631*AG1631</f>
        <v>102.30000000000001</v>
      </c>
      <c r="AE1631" s="15">
        <v>75</v>
      </c>
      <c r="AF1631" s="15">
        <f>AE1631*AG1631</f>
        <v>225</v>
      </c>
      <c r="AG1631" s="16">
        <v>3</v>
      </c>
    </row>
    <row r="1632" spans="1:33" ht="15" customHeight="1" x14ac:dyDescent="0.2">
      <c r="A1632" s="11" t="str">
        <f t="shared" ref="A1632:A3040" si="671">HYPERLINK("https://assets.vans.eu/images/VN000IVEBLK-HERO/1","VN000IVEBLK1")</f>
        <v>VN000IVEBLK1</v>
      </c>
      <c r="B1632" s="12" t="s">
        <v>6343</v>
      </c>
      <c r="C1632" s="12" t="s">
        <v>4111</v>
      </c>
      <c r="D1632" s="12" t="s">
        <v>76</v>
      </c>
      <c r="E1632" s="12" t="s">
        <v>6344</v>
      </c>
      <c r="F1632" s="12" t="s">
        <v>60</v>
      </c>
      <c r="G1632" s="14"/>
      <c r="H1632" s="12" t="s">
        <v>61</v>
      </c>
      <c r="I1632" s="12" t="s">
        <v>62</v>
      </c>
      <c r="J1632" s="12" t="s">
        <v>63</v>
      </c>
      <c r="K1632" s="12" t="s">
        <v>64</v>
      </c>
      <c r="L1632" s="12" t="s">
        <v>83</v>
      </c>
      <c r="M1632" s="12" t="s">
        <v>43</v>
      </c>
      <c r="N1632" s="12" t="s">
        <v>84</v>
      </c>
      <c r="O1632" s="12" t="s">
        <v>6345</v>
      </c>
      <c r="P1632" s="12" t="s">
        <v>66</v>
      </c>
      <c r="Q1632" s="12" t="s">
        <v>67</v>
      </c>
      <c r="R1632" s="12" t="s">
        <v>68</v>
      </c>
      <c r="S1632" s="13">
        <v>197641026541</v>
      </c>
      <c r="T1632" s="12" t="s">
        <v>422</v>
      </c>
      <c r="U1632" s="12" t="s">
        <v>60</v>
      </c>
      <c r="V1632" s="12" t="s">
        <v>70</v>
      </c>
      <c r="W1632" s="12" t="s">
        <v>51</v>
      </c>
      <c r="X1632" s="13">
        <v>0</v>
      </c>
      <c r="Y1632" s="12" t="s">
        <v>91</v>
      </c>
      <c r="Z1632" s="12" t="s">
        <v>108</v>
      </c>
      <c r="AA1632" s="13">
        <v>0</v>
      </c>
      <c r="AB1632" s="13">
        <v>0</v>
      </c>
      <c r="AC1632" s="15">
        <v>11.4</v>
      </c>
      <c r="AD1632" s="15">
        <f>AC1632*AG1632</f>
        <v>34.200000000000003</v>
      </c>
      <c r="AE1632" s="15">
        <v>25</v>
      </c>
      <c r="AF1632" s="15">
        <f>AE1632*AG1632</f>
        <v>75</v>
      </c>
      <c r="AG1632" s="16">
        <v>3</v>
      </c>
    </row>
    <row r="1633" spans="1:33" ht="15" customHeight="1" x14ac:dyDescent="0.2">
      <c r="A1633" s="11" t="str">
        <f t="shared" ref="A1633:A3042" si="672">HYPERLINK("https://assets.vans.eu/images/VN000IVEWHT-HERO/1","VN000IVEWHT1")</f>
        <v>VN000IVEWHT1</v>
      </c>
      <c r="B1633" s="12" t="s">
        <v>6346</v>
      </c>
      <c r="C1633" s="12" t="s">
        <v>4111</v>
      </c>
      <c r="D1633" s="12" t="s">
        <v>168</v>
      </c>
      <c r="E1633" s="12" t="s">
        <v>6347</v>
      </c>
      <c r="F1633" s="12" t="s">
        <v>170</v>
      </c>
      <c r="G1633" s="14"/>
      <c r="H1633" s="12" t="s">
        <v>61</v>
      </c>
      <c r="I1633" s="12" t="s">
        <v>62</v>
      </c>
      <c r="J1633" s="12" t="s">
        <v>63</v>
      </c>
      <c r="K1633" s="12" t="s">
        <v>64</v>
      </c>
      <c r="L1633" s="12" t="s">
        <v>83</v>
      </c>
      <c r="M1633" s="12" t="s">
        <v>43</v>
      </c>
      <c r="N1633" s="12" t="s">
        <v>84</v>
      </c>
      <c r="O1633" s="12" t="s">
        <v>6348</v>
      </c>
      <c r="P1633" s="12" t="s">
        <v>66</v>
      </c>
      <c r="Q1633" s="12" t="s">
        <v>67</v>
      </c>
      <c r="R1633" s="12" t="s">
        <v>68</v>
      </c>
      <c r="S1633" s="13">
        <v>197641026626</v>
      </c>
      <c r="T1633" s="12" t="s">
        <v>422</v>
      </c>
      <c r="U1633" s="12" t="s">
        <v>170</v>
      </c>
      <c r="V1633" s="12" t="s">
        <v>70</v>
      </c>
      <c r="W1633" s="12" t="s">
        <v>175</v>
      </c>
      <c r="X1633" s="13">
        <v>0</v>
      </c>
      <c r="Y1633" s="12" t="s">
        <v>91</v>
      </c>
      <c r="Z1633" s="12" t="s">
        <v>108</v>
      </c>
      <c r="AA1633" s="13">
        <v>0</v>
      </c>
      <c r="AB1633" s="13">
        <v>0</v>
      </c>
      <c r="AC1633" s="15">
        <v>11.4</v>
      </c>
      <c r="AD1633" s="15">
        <f>AC1633*AG1633</f>
        <v>34.200000000000003</v>
      </c>
      <c r="AE1633" s="15">
        <v>25</v>
      </c>
      <c r="AF1633" s="15">
        <f>AE1633*AG1633</f>
        <v>75</v>
      </c>
      <c r="AG1633" s="16">
        <v>3</v>
      </c>
    </row>
    <row r="1634" spans="1:33" ht="15" customHeight="1" x14ac:dyDescent="0.2">
      <c r="A1634" s="11" t="str">
        <f t="shared" si="554"/>
        <v>VN000J9JZR61</v>
      </c>
      <c r="B1634" s="12" t="s">
        <v>6349</v>
      </c>
      <c r="C1634" s="12" t="s">
        <v>5233</v>
      </c>
      <c r="D1634" s="12" t="s">
        <v>5234</v>
      </c>
      <c r="E1634" s="12" t="s">
        <v>6350</v>
      </c>
      <c r="F1634" s="13">
        <v>29</v>
      </c>
      <c r="G1634" s="14"/>
      <c r="H1634" s="12" t="s">
        <v>61</v>
      </c>
      <c r="I1634" s="12" t="s">
        <v>230</v>
      </c>
      <c r="J1634" s="12" t="s">
        <v>231</v>
      </c>
      <c r="K1634" s="12" t="s">
        <v>199</v>
      </c>
      <c r="L1634" s="14"/>
      <c r="M1634" s="12" t="s">
        <v>43</v>
      </c>
      <c r="N1634" s="12" t="s">
        <v>161</v>
      </c>
      <c r="O1634" s="12" t="s">
        <v>6351</v>
      </c>
      <c r="P1634" s="12" t="s">
        <v>66</v>
      </c>
      <c r="Q1634" s="12" t="s">
        <v>233</v>
      </c>
      <c r="R1634" s="12" t="s">
        <v>361</v>
      </c>
      <c r="S1634" s="13">
        <v>197065491581</v>
      </c>
      <c r="T1634" s="12" t="s">
        <v>235</v>
      </c>
      <c r="U1634" s="13">
        <v>29</v>
      </c>
      <c r="V1634" s="12" t="s">
        <v>665</v>
      </c>
      <c r="W1634" s="12" t="s">
        <v>186</v>
      </c>
      <c r="X1634" s="13">
        <v>0</v>
      </c>
      <c r="Y1634" s="12" t="s">
        <v>53</v>
      </c>
      <c r="Z1634" s="12" t="s">
        <v>108</v>
      </c>
      <c r="AA1634" s="13">
        <v>0</v>
      </c>
      <c r="AB1634" s="13">
        <v>0</v>
      </c>
      <c r="AC1634" s="15">
        <v>38.65</v>
      </c>
      <c r="AD1634" s="15">
        <f>AC1634*AG1634</f>
        <v>115.94999999999999</v>
      </c>
      <c r="AE1634" s="15">
        <v>85</v>
      </c>
      <c r="AF1634" s="15">
        <f>AE1634*AG1634</f>
        <v>255</v>
      </c>
      <c r="AG1634" s="16">
        <v>3</v>
      </c>
    </row>
    <row r="1635" spans="1:33" ht="15" customHeight="1" x14ac:dyDescent="0.2">
      <c r="A1635" s="11" t="str">
        <f>HYPERLINK("https://assets.vans.eu/images/VN000JB5JDU-HERO/1","VN000JB5JDU1")</f>
        <v>VN000JB5JDU1</v>
      </c>
      <c r="B1635" s="12" t="s">
        <v>6352</v>
      </c>
      <c r="C1635" s="12" t="s">
        <v>6317</v>
      </c>
      <c r="D1635" s="12" t="s">
        <v>814</v>
      </c>
      <c r="E1635" s="12" t="s">
        <v>6353</v>
      </c>
      <c r="F1635" s="12" t="s">
        <v>60</v>
      </c>
      <c r="G1635" s="14"/>
      <c r="H1635" s="12" t="s">
        <v>61</v>
      </c>
      <c r="I1635" s="12" t="s">
        <v>62</v>
      </c>
      <c r="J1635" s="12" t="s">
        <v>2938</v>
      </c>
      <c r="K1635" s="12" t="s">
        <v>64</v>
      </c>
      <c r="L1635" s="14"/>
      <c r="M1635" s="12" t="s">
        <v>43</v>
      </c>
      <c r="N1635" s="12" t="s">
        <v>44</v>
      </c>
      <c r="O1635" s="12" t="s">
        <v>6354</v>
      </c>
      <c r="P1635" s="12" t="s">
        <v>66</v>
      </c>
      <c r="Q1635" s="12" t="s">
        <v>764</v>
      </c>
      <c r="R1635" s="12" t="s">
        <v>2940</v>
      </c>
      <c r="S1635" s="13">
        <v>197643459484</v>
      </c>
      <c r="T1635" s="12" t="s">
        <v>235</v>
      </c>
      <c r="U1635" s="12" t="s">
        <v>60</v>
      </c>
      <c r="V1635" s="12" t="s">
        <v>1811</v>
      </c>
      <c r="W1635" s="12" t="s">
        <v>284</v>
      </c>
      <c r="X1635" s="13">
        <v>0</v>
      </c>
      <c r="Y1635" s="12" t="s">
        <v>91</v>
      </c>
      <c r="Z1635" s="12" t="s">
        <v>108</v>
      </c>
      <c r="AA1635" s="13">
        <v>0</v>
      </c>
      <c r="AB1635" s="13">
        <v>0</v>
      </c>
      <c r="AC1635" s="15">
        <v>40.950000000000003</v>
      </c>
      <c r="AD1635" s="15">
        <f>AC1635*AG1635</f>
        <v>122.85000000000001</v>
      </c>
      <c r="AE1635" s="15">
        <v>90</v>
      </c>
      <c r="AF1635" s="15">
        <f>AE1635*AG1635</f>
        <v>270</v>
      </c>
      <c r="AG1635" s="16">
        <v>3</v>
      </c>
    </row>
    <row r="1636" spans="1:33" ht="15" customHeight="1" x14ac:dyDescent="0.2">
      <c r="A1636" s="11" t="str">
        <f>HYPERLINK("https://assets.vans.eu/images/VN000JBEBLK-HERO/1","VN000JBEBLK1")</f>
        <v>VN000JBEBLK1</v>
      </c>
      <c r="B1636" s="12" t="s">
        <v>6355</v>
      </c>
      <c r="C1636" s="12" t="s">
        <v>6356</v>
      </c>
      <c r="D1636" s="12" t="s">
        <v>76</v>
      </c>
      <c r="E1636" s="12" t="s">
        <v>6357</v>
      </c>
      <c r="F1636" s="12" t="s">
        <v>170</v>
      </c>
      <c r="G1636" s="14"/>
      <c r="H1636" s="12" t="s">
        <v>61</v>
      </c>
      <c r="I1636" s="12" t="s">
        <v>62</v>
      </c>
      <c r="J1636" s="12" t="s">
        <v>63</v>
      </c>
      <c r="K1636" s="12" t="s">
        <v>64</v>
      </c>
      <c r="L1636" s="12" t="s">
        <v>83</v>
      </c>
      <c r="M1636" s="12" t="s">
        <v>43</v>
      </c>
      <c r="N1636" s="12" t="s">
        <v>84</v>
      </c>
      <c r="O1636" s="12" t="s">
        <v>6358</v>
      </c>
      <c r="P1636" s="12" t="s">
        <v>66</v>
      </c>
      <c r="Q1636" s="12" t="s">
        <v>67</v>
      </c>
      <c r="R1636" s="12" t="s">
        <v>730</v>
      </c>
      <c r="S1636" s="13">
        <v>197641035789</v>
      </c>
      <c r="T1636" s="12" t="s">
        <v>499</v>
      </c>
      <c r="U1636" s="12" t="s">
        <v>170</v>
      </c>
      <c r="V1636" s="12" t="s">
        <v>1378</v>
      </c>
      <c r="W1636" s="12" t="s">
        <v>51</v>
      </c>
      <c r="X1636" s="13">
        <v>0</v>
      </c>
      <c r="Y1636" s="12" t="s">
        <v>91</v>
      </c>
      <c r="Z1636" s="12" t="s">
        <v>108</v>
      </c>
      <c r="AA1636" s="13">
        <v>0</v>
      </c>
      <c r="AB1636" s="13">
        <v>0</v>
      </c>
      <c r="AC1636" s="15">
        <v>29.55</v>
      </c>
      <c r="AD1636" s="15">
        <f>AC1636*AG1636</f>
        <v>88.65</v>
      </c>
      <c r="AE1636" s="15">
        <v>65</v>
      </c>
      <c r="AF1636" s="15">
        <f>AE1636*AG1636</f>
        <v>195</v>
      </c>
      <c r="AG1636" s="16">
        <v>3</v>
      </c>
    </row>
    <row r="1637" spans="1:33" ht="15" customHeight="1" x14ac:dyDescent="0.2">
      <c r="A1637" s="11" t="str">
        <f t="shared" ref="A1637:A2073" si="673">HYPERLINK("https://assets.vans.eu/images/VN000JBK02F-HERO/1","VN000JBK02F1")</f>
        <v>VN000JBK02F1</v>
      </c>
      <c r="B1637" s="12" t="s">
        <v>6359</v>
      </c>
      <c r="C1637" s="12" t="s">
        <v>6360</v>
      </c>
      <c r="D1637" s="12" t="s">
        <v>857</v>
      </c>
      <c r="E1637" s="12" t="s">
        <v>6361</v>
      </c>
      <c r="F1637" s="12" t="s">
        <v>403</v>
      </c>
      <c r="G1637" s="14"/>
      <c r="H1637" s="12" t="s">
        <v>61</v>
      </c>
      <c r="I1637" s="12" t="s">
        <v>62</v>
      </c>
      <c r="J1637" s="12" t="s">
        <v>63</v>
      </c>
      <c r="K1637" s="12" t="s">
        <v>64</v>
      </c>
      <c r="L1637" s="14"/>
      <c r="M1637" s="12" t="s">
        <v>43</v>
      </c>
      <c r="N1637" s="12" t="s">
        <v>161</v>
      </c>
      <c r="O1637" s="12" t="s">
        <v>6362</v>
      </c>
      <c r="P1637" s="12" t="s">
        <v>66</v>
      </c>
      <c r="Q1637" s="12" t="s">
        <v>67</v>
      </c>
      <c r="R1637" s="12" t="s">
        <v>730</v>
      </c>
      <c r="S1637" s="13">
        <v>197641036083</v>
      </c>
      <c r="T1637" s="12" t="s">
        <v>69</v>
      </c>
      <c r="U1637" s="12" t="s">
        <v>403</v>
      </c>
      <c r="V1637" s="12" t="s">
        <v>6363</v>
      </c>
      <c r="W1637" s="12" t="s">
        <v>455</v>
      </c>
      <c r="X1637" s="13">
        <v>0</v>
      </c>
      <c r="Y1637" s="12" t="s">
        <v>91</v>
      </c>
      <c r="Z1637" s="12" t="s">
        <v>108</v>
      </c>
      <c r="AA1637" s="13">
        <v>0</v>
      </c>
      <c r="AB1637" s="13">
        <v>0</v>
      </c>
      <c r="AC1637" s="15">
        <v>29.55</v>
      </c>
      <c r="AD1637" s="15">
        <f>AC1637*AG1637</f>
        <v>88.65</v>
      </c>
      <c r="AE1637" s="15">
        <v>65</v>
      </c>
      <c r="AF1637" s="15">
        <f>AE1637*AG1637</f>
        <v>195</v>
      </c>
      <c r="AG1637" s="16">
        <v>3</v>
      </c>
    </row>
    <row r="1638" spans="1:33" ht="15" customHeight="1" x14ac:dyDescent="0.2">
      <c r="A1638" s="11" t="str">
        <f t="shared" ref="A1638:A2076" si="674">HYPERLINK("https://assets.vans.eu/images/VN000JBRBR1-HERO/1","VN000JBRBR11")</f>
        <v>VN000JBRBR11</v>
      </c>
      <c r="B1638" s="12" t="s">
        <v>6364</v>
      </c>
      <c r="C1638" s="12" t="s">
        <v>1723</v>
      </c>
      <c r="D1638" s="12" t="s">
        <v>496</v>
      </c>
      <c r="E1638" s="12" t="s">
        <v>6365</v>
      </c>
      <c r="F1638" s="12" t="s">
        <v>403</v>
      </c>
      <c r="G1638" s="14"/>
      <c r="H1638" s="12" t="s">
        <v>61</v>
      </c>
      <c r="I1638" s="12" t="s">
        <v>62</v>
      </c>
      <c r="J1638" s="12" t="s">
        <v>63</v>
      </c>
      <c r="K1638" s="12" t="s">
        <v>64</v>
      </c>
      <c r="L1638" s="14"/>
      <c r="M1638" s="12" t="s">
        <v>43</v>
      </c>
      <c r="N1638" s="12" t="s">
        <v>44</v>
      </c>
      <c r="O1638" s="12" t="s">
        <v>6366</v>
      </c>
      <c r="P1638" s="12" t="s">
        <v>66</v>
      </c>
      <c r="Q1638" s="12" t="s">
        <v>67</v>
      </c>
      <c r="R1638" s="12" t="s">
        <v>730</v>
      </c>
      <c r="S1638" s="13">
        <v>197643460121</v>
      </c>
      <c r="T1638" s="12" t="s">
        <v>499</v>
      </c>
      <c r="U1638" s="12" t="s">
        <v>403</v>
      </c>
      <c r="V1638" s="12" t="s">
        <v>70</v>
      </c>
      <c r="W1638" s="12" t="s">
        <v>118</v>
      </c>
      <c r="X1638" s="13">
        <v>0</v>
      </c>
      <c r="Y1638" s="12" t="s">
        <v>91</v>
      </c>
      <c r="Z1638" s="12" t="s">
        <v>108</v>
      </c>
      <c r="AA1638" s="13">
        <v>0</v>
      </c>
      <c r="AB1638" s="13">
        <v>0</v>
      </c>
      <c r="AC1638" s="15">
        <v>29.55</v>
      </c>
      <c r="AD1638" s="15">
        <f>AC1638*AG1638</f>
        <v>88.65</v>
      </c>
      <c r="AE1638" s="15">
        <v>65</v>
      </c>
      <c r="AF1638" s="15">
        <f>AE1638*AG1638</f>
        <v>195</v>
      </c>
      <c r="AG1638" s="16">
        <v>3</v>
      </c>
    </row>
    <row r="1639" spans="1:33" ht="15" customHeight="1" x14ac:dyDescent="0.2">
      <c r="A1639" s="11" t="str">
        <f t="shared" ref="A1639:A2078" si="675">HYPERLINK("https://assets.vans.eu/images/VN000JC5LKZ-HERO/1","VN000JC5LKZ1")</f>
        <v>VN000JC5LKZ1</v>
      </c>
      <c r="B1639" s="12" t="s">
        <v>6367</v>
      </c>
      <c r="C1639" s="12" t="s">
        <v>6368</v>
      </c>
      <c r="D1639" s="12" t="s">
        <v>1213</v>
      </c>
      <c r="E1639" s="12" t="s">
        <v>6369</v>
      </c>
      <c r="F1639" s="12" t="s">
        <v>60</v>
      </c>
      <c r="G1639" s="14"/>
      <c r="H1639" s="12" t="s">
        <v>61</v>
      </c>
      <c r="I1639" s="12" t="s">
        <v>62</v>
      </c>
      <c r="J1639" s="12" t="s">
        <v>63</v>
      </c>
      <c r="K1639" s="12" t="s">
        <v>64</v>
      </c>
      <c r="L1639" s="14"/>
      <c r="M1639" s="12" t="s">
        <v>43</v>
      </c>
      <c r="N1639" s="12" t="s">
        <v>161</v>
      </c>
      <c r="O1639" s="12" t="s">
        <v>6370</v>
      </c>
      <c r="P1639" s="12" t="s">
        <v>66</v>
      </c>
      <c r="Q1639" s="12" t="s">
        <v>67</v>
      </c>
      <c r="R1639" s="12" t="s">
        <v>68</v>
      </c>
      <c r="S1639" s="13">
        <v>197065465407</v>
      </c>
      <c r="T1639" s="12" t="s">
        <v>915</v>
      </c>
      <c r="U1639" s="12" t="s">
        <v>60</v>
      </c>
      <c r="V1639" s="12" t="s">
        <v>1028</v>
      </c>
      <c r="W1639" s="12" t="s">
        <v>284</v>
      </c>
      <c r="X1639" s="13">
        <v>0</v>
      </c>
      <c r="Y1639" s="12" t="s">
        <v>91</v>
      </c>
      <c r="Z1639" s="12" t="s">
        <v>108</v>
      </c>
      <c r="AA1639" s="13">
        <v>0</v>
      </c>
      <c r="AB1639" s="13">
        <v>0</v>
      </c>
      <c r="AC1639" s="15">
        <v>15.95</v>
      </c>
      <c r="AD1639" s="15">
        <f>AC1639*AG1639</f>
        <v>47.849999999999994</v>
      </c>
      <c r="AE1639" s="15">
        <v>35</v>
      </c>
      <c r="AF1639" s="15">
        <f>AE1639*AG1639</f>
        <v>105</v>
      </c>
      <c r="AG1639" s="16">
        <v>3</v>
      </c>
    </row>
    <row r="1640" spans="1:33" ht="15" customHeight="1" x14ac:dyDescent="0.2">
      <c r="A1640" s="11" t="str">
        <f t="shared" ref="A1640:A1641" si="676">HYPERLINK("https://assets.vans.eu/images/VN000JGPBLK-HERO/1","VN000JGPBLK1")</f>
        <v>VN000JGPBLK1</v>
      </c>
      <c r="B1640" s="12" t="s">
        <v>6371</v>
      </c>
      <c r="C1640" s="12" t="s">
        <v>6372</v>
      </c>
      <c r="D1640" s="12" t="s">
        <v>76</v>
      </c>
      <c r="E1640" s="12" t="s">
        <v>6373</v>
      </c>
      <c r="F1640" s="12" t="s">
        <v>170</v>
      </c>
      <c r="G1640" s="14"/>
      <c r="H1640" s="12" t="s">
        <v>61</v>
      </c>
      <c r="I1640" s="12" t="s">
        <v>289</v>
      </c>
      <c r="J1640" s="12" t="s">
        <v>900</v>
      </c>
      <c r="K1640" s="12" t="s">
        <v>100</v>
      </c>
      <c r="L1640" s="12" t="s">
        <v>260</v>
      </c>
      <c r="M1640" s="12" t="s">
        <v>43</v>
      </c>
      <c r="N1640" s="12" t="s">
        <v>161</v>
      </c>
      <c r="O1640" s="12" t="s">
        <v>6374</v>
      </c>
      <c r="P1640" s="12" t="s">
        <v>66</v>
      </c>
      <c r="Q1640" s="12" t="s">
        <v>233</v>
      </c>
      <c r="R1640" s="12" t="s">
        <v>902</v>
      </c>
      <c r="S1640" s="13">
        <v>197064524082</v>
      </c>
      <c r="T1640" s="12" t="s">
        <v>49</v>
      </c>
      <c r="U1640" s="12" t="s">
        <v>170</v>
      </c>
      <c r="V1640" s="12" t="s">
        <v>6375</v>
      </c>
      <c r="W1640" s="12" t="s">
        <v>51</v>
      </c>
      <c r="X1640" s="13">
        <v>0</v>
      </c>
      <c r="Y1640" s="12" t="s">
        <v>91</v>
      </c>
      <c r="Z1640" s="12" t="s">
        <v>108</v>
      </c>
      <c r="AA1640" s="13">
        <v>0</v>
      </c>
      <c r="AB1640" s="12" t="s">
        <v>264</v>
      </c>
      <c r="AC1640" s="15">
        <v>21.85</v>
      </c>
      <c r="AD1640" s="15">
        <f>AC1640*AG1640</f>
        <v>65.550000000000011</v>
      </c>
      <c r="AE1640" s="15">
        <v>48</v>
      </c>
      <c r="AF1640" s="15">
        <f>AE1640*AG1640</f>
        <v>144</v>
      </c>
      <c r="AG1640" s="16">
        <v>3</v>
      </c>
    </row>
    <row r="1641" spans="1:33" ht="15" customHeight="1" x14ac:dyDescent="0.2">
      <c r="A1641" s="11" t="str">
        <f t="shared" si="676"/>
        <v>VN000JGPBLK1</v>
      </c>
      <c r="B1641" s="12" t="s">
        <v>6376</v>
      </c>
      <c r="C1641" s="12" t="s">
        <v>6372</v>
      </c>
      <c r="D1641" s="12" t="s">
        <v>76</v>
      </c>
      <c r="E1641" s="12" t="s">
        <v>6377</v>
      </c>
      <c r="F1641" s="12" t="s">
        <v>153</v>
      </c>
      <c r="G1641" s="14"/>
      <c r="H1641" s="12" t="s">
        <v>61</v>
      </c>
      <c r="I1641" s="12" t="s">
        <v>289</v>
      </c>
      <c r="J1641" s="12" t="s">
        <v>900</v>
      </c>
      <c r="K1641" s="12" t="s">
        <v>100</v>
      </c>
      <c r="L1641" s="12" t="s">
        <v>260</v>
      </c>
      <c r="M1641" s="12" t="s">
        <v>43</v>
      </c>
      <c r="N1641" s="12" t="s">
        <v>161</v>
      </c>
      <c r="O1641" s="12" t="s">
        <v>6378</v>
      </c>
      <c r="P1641" s="12" t="s">
        <v>66</v>
      </c>
      <c r="Q1641" s="12" t="s">
        <v>233</v>
      </c>
      <c r="R1641" s="12" t="s">
        <v>902</v>
      </c>
      <c r="S1641" s="13">
        <v>197064524174</v>
      </c>
      <c r="T1641" s="12" t="s">
        <v>49</v>
      </c>
      <c r="U1641" s="12" t="s">
        <v>153</v>
      </c>
      <c r="V1641" s="12" t="s">
        <v>6375</v>
      </c>
      <c r="W1641" s="12" t="s">
        <v>51</v>
      </c>
      <c r="X1641" s="13">
        <v>0</v>
      </c>
      <c r="Y1641" s="12" t="s">
        <v>91</v>
      </c>
      <c r="Z1641" s="12" t="s">
        <v>108</v>
      </c>
      <c r="AA1641" s="13">
        <v>0</v>
      </c>
      <c r="AB1641" s="12" t="s">
        <v>264</v>
      </c>
      <c r="AC1641" s="15">
        <v>21.85</v>
      </c>
      <c r="AD1641" s="15">
        <f>AC1641*AG1641</f>
        <v>65.550000000000011</v>
      </c>
      <c r="AE1641" s="15">
        <v>48</v>
      </c>
      <c r="AF1641" s="15">
        <f>AE1641*AG1641</f>
        <v>144</v>
      </c>
      <c r="AG1641" s="16">
        <v>3</v>
      </c>
    </row>
    <row r="1642" spans="1:33" ht="15" customHeight="1" x14ac:dyDescent="0.2">
      <c r="A1642" s="11" t="str">
        <f t="shared" ref="A1642:A2089" si="677">HYPERLINK("https://assets.vans.eu/images/VN000K0DDBC-HERO/1","VN000K0DDBC1")</f>
        <v>VN000K0DDBC1</v>
      </c>
      <c r="B1642" s="12" t="s">
        <v>6379</v>
      </c>
      <c r="C1642" s="12" t="s">
        <v>6380</v>
      </c>
      <c r="D1642" s="12" t="s">
        <v>821</v>
      </c>
      <c r="E1642" s="12" t="s">
        <v>6381</v>
      </c>
      <c r="F1642" s="12" t="s">
        <v>170</v>
      </c>
      <c r="G1642" s="14"/>
      <c r="H1642" s="12" t="s">
        <v>61</v>
      </c>
      <c r="I1642" s="12" t="s">
        <v>62</v>
      </c>
      <c r="J1642" s="12" t="s">
        <v>972</v>
      </c>
      <c r="K1642" s="12" t="s">
        <v>1022</v>
      </c>
      <c r="L1642" s="14"/>
      <c r="M1642" s="12" t="s">
        <v>43</v>
      </c>
      <c r="N1642" s="12" t="s">
        <v>161</v>
      </c>
      <c r="O1642" s="12" t="s">
        <v>6382</v>
      </c>
      <c r="P1642" s="12" t="s">
        <v>66</v>
      </c>
      <c r="Q1642" s="12" t="s">
        <v>233</v>
      </c>
      <c r="R1642" s="12" t="s">
        <v>974</v>
      </c>
      <c r="S1642" s="13">
        <v>197065471613</v>
      </c>
      <c r="T1642" s="12" t="s">
        <v>235</v>
      </c>
      <c r="U1642" s="12" t="s">
        <v>170</v>
      </c>
      <c r="V1642" s="12" t="s">
        <v>665</v>
      </c>
      <c r="W1642" s="12" t="s">
        <v>118</v>
      </c>
      <c r="X1642" s="13">
        <v>0</v>
      </c>
      <c r="Y1642" s="12" t="s">
        <v>53</v>
      </c>
      <c r="Z1642" s="12" t="s">
        <v>108</v>
      </c>
      <c r="AA1642" s="13">
        <v>0</v>
      </c>
      <c r="AB1642" s="13">
        <v>0</v>
      </c>
      <c r="AC1642" s="15">
        <v>34.1</v>
      </c>
      <c r="AD1642" s="15">
        <f>AC1642*AG1642</f>
        <v>102.30000000000001</v>
      </c>
      <c r="AE1642" s="15">
        <v>75</v>
      </c>
      <c r="AF1642" s="15">
        <f>AE1642*AG1642</f>
        <v>225</v>
      </c>
      <c r="AG1642" s="16">
        <v>3</v>
      </c>
    </row>
    <row r="1643" spans="1:33" ht="15" customHeight="1" x14ac:dyDescent="0.2">
      <c r="A1643" s="11" t="str">
        <f t="shared" ref="A1643:A3087" si="678">HYPERLINK("https://assets.vans.eu/images/VN000K42041-HERO/1","VN000K420411")</f>
        <v>VN000K420411</v>
      </c>
      <c r="B1643" s="12" t="s">
        <v>6383</v>
      </c>
      <c r="C1643" s="12" t="s">
        <v>3687</v>
      </c>
      <c r="D1643" s="12" t="s">
        <v>3688</v>
      </c>
      <c r="E1643" s="12" t="s">
        <v>6384</v>
      </c>
      <c r="F1643" s="12" t="s">
        <v>60</v>
      </c>
      <c r="G1643" s="14"/>
      <c r="H1643" s="12" t="s">
        <v>61</v>
      </c>
      <c r="I1643" s="12" t="s">
        <v>230</v>
      </c>
      <c r="J1643" s="12" t="s">
        <v>419</v>
      </c>
      <c r="K1643" s="12" t="s">
        <v>199</v>
      </c>
      <c r="L1643" s="12" t="s">
        <v>350</v>
      </c>
      <c r="M1643" s="12" t="s">
        <v>43</v>
      </c>
      <c r="N1643" s="12" t="s">
        <v>44</v>
      </c>
      <c r="O1643" s="12" t="s">
        <v>6385</v>
      </c>
      <c r="P1643" s="12" t="s">
        <v>66</v>
      </c>
      <c r="Q1643" s="12" t="s">
        <v>67</v>
      </c>
      <c r="R1643" s="12" t="s">
        <v>421</v>
      </c>
      <c r="S1643" s="13">
        <v>197064681358</v>
      </c>
      <c r="T1643" s="12" t="s">
        <v>69</v>
      </c>
      <c r="U1643" s="12" t="s">
        <v>60</v>
      </c>
      <c r="V1643" s="12" t="s">
        <v>70</v>
      </c>
      <c r="W1643" s="12" t="s">
        <v>118</v>
      </c>
      <c r="X1643" s="13">
        <v>0</v>
      </c>
      <c r="Y1643" s="12" t="s">
        <v>53</v>
      </c>
      <c r="Z1643" s="12" t="s">
        <v>108</v>
      </c>
      <c r="AA1643" s="13">
        <v>0</v>
      </c>
      <c r="AB1643" s="12" t="s">
        <v>264</v>
      </c>
      <c r="AC1643" s="15">
        <v>19.100000000000001</v>
      </c>
      <c r="AD1643" s="15">
        <f>AC1643*AG1643</f>
        <v>57.300000000000004</v>
      </c>
      <c r="AE1643" s="15">
        <v>42</v>
      </c>
      <c r="AF1643" s="15">
        <f>AE1643*AG1643</f>
        <v>126</v>
      </c>
      <c r="AG1643" s="16">
        <v>3</v>
      </c>
    </row>
    <row r="1644" spans="1:33" ht="15" customHeight="1" x14ac:dyDescent="0.2">
      <c r="A1644" s="11" t="str">
        <f>HYPERLINK("https://assets.vans.eu/images/VN000K9ABLK-HERO/1","VN000K9ABLK1")</f>
        <v>VN000K9ABLK1</v>
      </c>
      <c r="B1644" s="12" t="s">
        <v>6386</v>
      </c>
      <c r="C1644" s="12" t="s">
        <v>6387</v>
      </c>
      <c r="D1644" s="12" t="s">
        <v>76</v>
      </c>
      <c r="E1644" s="12" t="s">
        <v>6388</v>
      </c>
      <c r="F1644" s="12" t="s">
        <v>170</v>
      </c>
      <c r="G1644" s="14"/>
      <c r="H1644" s="12" t="s">
        <v>61</v>
      </c>
      <c r="I1644" s="12" t="s">
        <v>62</v>
      </c>
      <c r="J1644" s="12" t="s">
        <v>63</v>
      </c>
      <c r="K1644" s="12" t="s">
        <v>64</v>
      </c>
      <c r="L1644" s="12" t="s">
        <v>83</v>
      </c>
      <c r="M1644" s="12" t="s">
        <v>43</v>
      </c>
      <c r="N1644" s="12" t="s">
        <v>161</v>
      </c>
      <c r="O1644" s="12" t="s">
        <v>6389</v>
      </c>
      <c r="P1644" s="12" t="s">
        <v>66</v>
      </c>
      <c r="Q1644" s="12" t="s">
        <v>67</v>
      </c>
      <c r="R1644" s="12" t="s">
        <v>730</v>
      </c>
      <c r="S1644" s="13">
        <v>197641025469</v>
      </c>
      <c r="T1644" s="12" t="s">
        <v>499</v>
      </c>
      <c r="U1644" s="12" t="s">
        <v>170</v>
      </c>
      <c r="V1644" s="12" t="s">
        <v>70</v>
      </c>
      <c r="W1644" s="12" t="s">
        <v>51</v>
      </c>
      <c r="X1644" s="13">
        <v>0</v>
      </c>
      <c r="Y1644" s="12" t="s">
        <v>91</v>
      </c>
      <c r="Z1644" s="12" t="s">
        <v>108</v>
      </c>
      <c r="AA1644" s="13">
        <v>0</v>
      </c>
      <c r="AB1644" s="12" t="s">
        <v>616</v>
      </c>
      <c r="AC1644" s="15">
        <v>29.55</v>
      </c>
      <c r="AD1644" s="15">
        <f>AC1644*AG1644</f>
        <v>88.65</v>
      </c>
      <c r="AE1644" s="15">
        <v>65</v>
      </c>
      <c r="AF1644" s="15">
        <f>AE1644*AG1644</f>
        <v>195</v>
      </c>
      <c r="AG1644" s="16">
        <v>3</v>
      </c>
    </row>
    <row r="1645" spans="1:33" ht="15" customHeight="1" x14ac:dyDescent="0.2">
      <c r="A1645" s="11" t="str">
        <f t="shared" si="555"/>
        <v>VN000KASFS81</v>
      </c>
      <c r="B1645" s="12" t="s">
        <v>6390</v>
      </c>
      <c r="C1645" s="12" t="s">
        <v>2210</v>
      </c>
      <c r="D1645" s="12" t="s">
        <v>239</v>
      </c>
      <c r="E1645" s="12" t="s">
        <v>6391</v>
      </c>
      <c r="F1645" s="12" t="s">
        <v>403</v>
      </c>
      <c r="G1645" s="14"/>
      <c r="H1645" s="12" t="s">
        <v>61</v>
      </c>
      <c r="I1645" s="12" t="s">
        <v>230</v>
      </c>
      <c r="J1645" s="12" t="s">
        <v>419</v>
      </c>
      <c r="K1645" s="12" t="s">
        <v>199</v>
      </c>
      <c r="L1645" s="14"/>
      <c r="M1645" s="12" t="s">
        <v>43</v>
      </c>
      <c r="N1645" s="12" t="s">
        <v>84</v>
      </c>
      <c r="O1645" s="12" t="s">
        <v>6392</v>
      </c>
      <c r="P1645" s="12" t="s">
        <v>66</v>
      </c>
      <c r="Q1645" s="12" t="s">
        <v>67</v>
      </c>
      <c r="R1645" s="12" t="s">
        <v>421</v>
      </c>
      <c r="S1645" s="13">
        <v>197065205225</v>
      </c>
      <c r="T1645" s="12" t="s">
        <v>49</v>
      </c>
      <c r="U1645" s="12" t="s">
        <v>403</v>
      </c>
      <c r="V1645" s="12" t="s">
        <v>423</v>
      </c>
      <c r="W1645" s="12" t="s">
        <v>175</v>
      </c>
      <c r="X1645" s="13">
        <v>0</v>
      </c>
      <c r="Y1645" s="12" t="s">
        <v>91</v>
      </c>
      <c r="Z1645" s="12" t="s">
        <v>92</v>
      </c>
      <c r="AA1645" s="12" t="s">
        <v>93</v>
      </c>
      <c r="AB1645" s="12" t="s">
        <v>94</v>
      </c>
      <c r="AC1645" s="15">
        <v>22.75</v>
      </c>
      <c r="AD1645" s="15">
        <f>AC1645*AG1645</f>
        <v>68.25</v>
      </c>
      <c r="AE1645" s="15">
        <v>50</v>
      </c>
      <c r="AF1645" s="15">
        <f>AE1645*AG1645</f>
        <v>150</v>
      </c>
      <c r="AG1645" s="16">
        <v>3</v>
      </c>
    </row>
    <row r="1646" spans="1:33" ht="15" customHeight="1" x14ac:dyDescent="0.2">
      <c r="A1646" s="11" t="str">
        <f t="shared" ref="A1646:A3102" si="679">HYPERLINK("https://assets.vans.eu/images/VN000KTBCI2-HERO/1","VN000KTBCI21")</f>
        <v>VN000KTBCI21</v>
      </c>
      <c r="B1646" s="12" t="s">
        <v>6393</v>
      </c>
      <c r="C1646" s="12" t="s">
        <v>4569</v>
      </c>
      <c r="D1646" s="12" t="s">
        <v>2499</v>
      </c>
      <c r="E1646" s="12" t="s">
        <v>6394</v>
      </c>
      <c r="F1646" s="12" t="s">
        <v>60</v>
      </c>
      <c r="G1646" s="14"/>
      <c r="H1646" s="12" t="s">
        <v>61</v>
      </c>
      <c r="I1646" s="12" t="s">
        <v>230</v>
      </c>
      <c r="J1646" s="12" t="s">
        <v>231</v>
      </c>
      <c r="K1646" s="12" t="s">
        <v>199</v>
      </c>
      <c r="L1646" s="14"/>
      <c r="M1646" s="12" t="s">
        <v>43</v>
      </c>
      <c r="N1646" s="12" t="s">
        <v>44</v>
      </c>
      <c r="O1646" s="12" t="s">
        <v>6395</v>
      </c>
      <c r="P1646" s="12" t="s">
        <v>66</v>
      </c>
      <c r="Q1646" s="12" t="s">
        <v>233</v>
      </c>
      <c r="R1646" s="12" t="s">
        <v>361</v>
      </c>
      <c r="S1646" s="13">
        <v>197643402473</v>
      </c>
      <c r="T1646" s="12" t="s">
        <v>235</v>
      </c>
      <c r="U1646" s="12" t="s">
        <v>60</v>
      </c>
      <c r="V1646" s="12" t="s">
        <v>1811</v>
      </c>
      <c r="W1646" s="12" t="s">
        <v>118</v>
      </c>
      <c r="X1646" s="13">
        <v>0</v>
      </c>
      <c r="Y1646" s="12" t="s">
        <v>53</v>
      </c>
      <c r="Z1646" s="12" t="s">
        <v>108</v>
      </c>
      <c r="AA1646" s="13">
        <v>0</v>
      </c>
      <c r="AB1646" s="13">
        <v>0</v>
      </c>
      <c r="AC1646" s="15">
        <v>50</v>
      </c>
      <c r="AD1646" s="15">
        <f>AC1646*AG1646</f>
        <v>150</v>
      </c>
      <c r="AE1646" s="15">
        <v>110</v>
      </c>
      <c r="AF1646" s="15">
        <f>AE1646*AG1646</f>
        <v>330</v>
      </c>
      <c r="AG1646" s="16">
        <v>3</v>
      </c>
    </row>
    <row r="1647" spans="1:33" ht="15" customHeight="1" x14ac:dyDescent="0.2">
      <c r="A1647" s="11" t="str">
        <f>HYPERLINK("https://assets.vans.eu/images/VN000KTBEMF-HERO/1","VN000KTBEMF1")</f>
        <v>VN000KTBEMF1</v>
      </c>
      <c r="B1647" s="12" t="s">
        <v>6396</v>
      </c>
      <c r="C1647" s="12" t="s">
        <v>4569</v>
      </c>
      <c r="D1647" s="12" t="s">
        <v>1282</v>
      </c>
      <c r="E1647" s="12" t="s">
        <v>6397</v>
      </c>
      <c r="F1647" s="12" t="s">
        <v>170</v>
      </c>
      <c r="G1647" s="14"/>
      <c r="H1647" s="12" t="s">
        <v>61</v>
      </c>
      <c r="I1647" s="12" t="s">
        <v>230</v>
      </c>
      <c r="J1647" s="12" t="s">
        <v>231</v>
      </c>
      <c r="K1647" s="12" t="s">
        <v>199</v>
      </c>
      <c r="L1647" s="14"/>
      <c r="M1647" s="12" t="s">
        <v>43</v>
      </c>
      <c r="N1647" s="12" t="s">
        <v>84</v>
      </c>
      <c r="O1647" s="12" t="s">
        <v>6398</v>
      </c>
      <c r="P1647" s="12" t="s">
        <v>66</v>
      </c>
      <c r="Q1647" s="12" t="s">
        <v>233</v>
      </c>
      <c r="R1647" s="12" t="s">
        <v>361</v>
      </c>
      <c r="S1647" s="13">
        <v>197804385447</v>
      </c>
      <c r="T1647" s="12" t="s">
        <v>235</v>
      </c>
      <c r="U1647" s="12" t="s">
        <v>170</v>
      </c>
      <c r="V1647" s="12" t="s">
        <v>1811</v>
      </c>
      <c r="W1647" s="12" t="s">
        <v>118</v>
      </c>
      <c r="X1647" s="14"/>
      <c r="Y1647" s="14"/>
      <c r="Z1647" s="14"/>
      <c r="AA1647" s="14"/>
      <c r="AB1647" s="14"/>
      <c r="AC1647" s="15">
        <v>50</v>
      </c>
      <c r="AD1647" s="15">
        <f>AC1647*AG1647</f>
        <v>150</v>
      </c>
      <c r="AE1647" s="15">
        <v>110</v>
      </c>
      <c r="AF1647" s="15">
        <f>AE1647*AG1647</f>
        <v>330</v>
      </c>
      <c r="AG1647" s="16">
        <v>3</v>
      </c>
    </row>
    <row r="1648" spans="1:33" ht="15" customHeight="1" x14ac:dyDescent="0.2">
      <c r="A1648" s="11" t="str">
        <f>HYPERLINK("https://assets.vans.eu/images/VN000KV1EMW-HERO/1","VN000KV1EMW1")</f>
        <v>VN000KV1EMW1</v>
      </c>
      <c r="B1648" s="12" t="s">
        <v>6399</v>
      </c>
      <c r="C1648" s="12" t="s">
        <v>6400</v>
      </c>
      <c r="D1648" s="12" t="s">
        <v>147</v>
      </c>
      <c r="E1648" s="12" t="s">
        <v>6401</v>
      </c>
      <c r="F1648" s="12" t="s">
        <v>179</v>
      </c>
      <c r="G1648" s="14"/>
      <c r="H1648" s="12" t="s">
        <v>61</v>
      </c>
      <c r="I1648" s="12" t="s">
        <v>230</v>
      </c>
      <c r="J1648" s="12" t="s">
        <v>762</v>
      </c>
      <c r="K1648" s="12" t="s">
        <v>199</v>
      </c>
      <c r="L1648" s="14"/>
      <c r="M1648" s="12" t="s">
        <v>43</v>
      </c>
      <c r="N1648" s="12" t="s">
        <v>84</v>
      </c>
      <c r="O1648" s="12" t="s">
        <v>6402</v>
      </c>
      <c r="P1648" s="12" t="s">
        <v>66</v>
      </c>
      <c r="Q1648" s="12" t="s">
        <v>764</v>
      </c>
      <c r="R1648" s="12" t="s">
        <v>765</v>
      </c>
      <c r="S1648" s="13">
        <v>197804385485</v>
      </c>
      <c r="T1648" s="12" t="s">
        <v>235</v>
      </c>
      <c r="U1648" s="12" t="s">
        <v>179</v>
      </c>
      <c r="V1648" s="12" t="s">
        <v>665</v>
      </c>
      <c r="W1648" s="12" t="s">
        <v>118</v>
      </c>
      <c r="X1648" s="14"/>
      <c r="Y1648" s="14"/>
      <c r="Z1648" s="14"/>
      <c r="AA1648" s="14"/>
      <c r="AB1648" s="14"/>
      <c r="AC1648" s="15">
        <v>38.65</v>
      </c>
      <c r="AD1648" s="15">
        <f>AC1648*AG1648</f>
        <v>115.94999999999999</v>
      </c>
      <c r="AE1648" s="15">
        <v>85</v>
      </c>
      <c r="AF1648" s="15">
        <f>AE1648*AG1648</f>
        <v>255</v>
      </c>
      <c r="AG1648" s="16">
        <v>3</v>
      </c>
    </row>
    <row r="1649" spans="1:33" ht="15" customHeight="1" x14ac:dyDescent="0.2">
      <c r="A1649" s="11" t="str">
        <f t="shared" ref="A1649:A3113" si="680">HYPERLINK("https://assets.vans.eu/images/VN000KVEBLK-HERO/1","VN000KVEBLK1")</f>
        <v>VN000KVEBLK1</v>
      </c>
      <c r="B1649" s="12" t="s">
        <v>6403</v>
      </c>
      <c r="C1649" s="12" t="s">
        <v>6404</v>
      </c>
      <c r="D1649" s="12" t="s">
        <v>76</v>
      </c>
      <c r="E1649" s="12" t="s">
        <v>6405</v>
      </c>
      <c r="F1649" s="12" t="s">
        <v>60</v>
      </c>
      <c r="G1649" s="14"/>
      <c r="H1649" s="12" t="s">
        <v>61</v>
      </c>
      <c r="I1649" s="12" t="s">
        <v>230</v>
      </c>
      <c r="J1649" s="12" t="s">
        <v>762</v>
      </c>
      <c r="K1649" s="12" t="s">
        <v>199</v>
      </c>
      <c r="L1649" s="14"/>
      <c r="M1649" s="12" t="s">
        <v>43</v>
      </c>
      <c r="N1649" s="12" t="s">
        <v>44</v>
      </c>
      <c r="O1649" s="12" t="s">
        <v>6406</v>
      </c>
      <c r="P1649" s="12" t="s">
        <v>66</v>
      </c>
      <c r="Q1649" s="12" t="s">
        <v>764</v>
      </c>
      <c r="R1649" s="12" t="s">
        <v>765</v>
      </c>
      <c r="S1649" s="13">
        <v>197643537106</v>
      </c>
      <c r="T1649" s="12" t="s">
        <v>235</v>
      </c>
      <c r="U1649" s="12" t="s">
        <v>60</v>
      </c>
      <c r="V1649" s="12" t="s">
        <v>665</v>
      </c>
      <c r="W1649" s="12" t="s">
        <v>51</v>
      </c>
      <c r="X1649" s="13">
        <v>0</v>
      </c>
      <c r="Y1649" s="12" t="s">
        <v>1011</v>
      </c>
      <c r="Z1649" s="12" t="s">
        <v>6135</v>
      </c>
      <c r="AA1649" s="13">
        <v>0</v>
      </c>
      <c r="AB1649" s="13">
        <v>0</v>
      </c>
      <c r="AC1649" s="15">
        <v>59.1</v>
      </c>
      <c r="AD1649" s="15">
        <f>AC1649*AG1649</f>
        <v>177.3</v>
      </c>
      <c r="AE1649" s="15">
        <v>130</v>
      </c>
      <c r="AF1649" s="15">
        <f>AE1649*AG1649</f>
        <v>390</v>
      </c>
      <c r="AG1649" s="16">
        <v>3</v>
      </c>
    </row>
    <row r="1650" spans="1:33" ht="15" customHeight="1" x14ac:dyDescent="0.2">
      <c r="A1650" s="11" t="str">
        <f>HYPERLINK("https://assets.vans.eu/images/VN000M07BLK-HERO/1","VN000M07BLK1")</f>
        <v>VN000M07BLK1</v>
      </c>
      <c r="B1650" s="12" t="s">
        <v>6407</v>
      </c>
      <c r="C1650" s="12" t="s">
        <v>6408</v>
      </c>
      <c r="D1650" s="12" t="s">
        <v>76</v>
      </c>
      <c r="E1650" s="12" t="s">
        <v>6409</v>
      </c>
      <c r="F1650" s="12" t="s">
        <v>60</v>
      </c>
      <c r="G1650" s="14"/>
      <c r="H1650" s="12" t="s">
        <v>61</v>
      </c>
      <c r="I1650" s="12" t="s">
        <v>230</v>
      </c>
      <c r="J1650" s="12" t="s">
        <v>419</v>
      </c>
      <c r="K1650" s="12" t="s">
        <v>199</v>
      </c>
      <c r="L1650" s="14"/>
      <c r="M1650" s="12" t="s">
        <v>43</v>
      </c>
      <c r="N1650" s="12" t="s">
        <v>44</v>
      </c>
      <c r="O1650" s="12" t="s">
        <v>6410</v>
      </c>
      <c r="P1650" s="12" t="s">
        <v>66</v>
      </c>
      <c r="Q1650" s="12" t="s">
        <v>67</v>
      </c>
      <c r="R1650" s="12" t="s">
        <v>623</v>
      </c>
      <c r="S1650" s="13">
        <v>197643405450</v>
      </c>
      <c r="T1650" s="12" t="s">
        <v>49</v>
      </c>
      <c r="U1650" s="12" t="s">
        <v>60</v>
      </c>
      <c r="V1650" s="12" t="s">
        <v>1731</v>
      </c>
      <c r="W1650" s="12" t="s">
        <v>51</v>
      </c>
      <c r="X1650" s="13">
        <v>0</v>
      </c>
      <c r="Y1650" s="12" t="s">
        <v>91</v>
      </c>
      <c r="Z1650" s="12" t="s">
        <v>72</v>
      </c>
      <c r="AA1650" s="13">
        <v>0</v>
      </c>
      <c r="AB1650" s="13">
        <v>0</v>
      </c>
      <c r="AC1650" s="15">
        <v>45.5</v>
      </c>
      <c r="AD1650" s="15">
        <f>AC1650*AG1650</f>
        <v>136.5</v>
      </c>
      <c r="AE1650" s="15">
        <v>100</v>
      </c>
      <c r="AF1650" s="15">
        <f>AE1650*AG1650</f>
        <v>300</v>
      </c>
      <c r="AG1650" s="16">
        <v>3</v>
      </c>
    </row>
    <row r="1651" spans="1:33" ht="15" customHeight="1" x14ac:dyDescent="0.2">
      <c r="A1651" s="11" t="str">
        <f t="shared" ref="A1651:A3124" si="681">HYPERLINK("https://assets.vans.eu/images/VN000M1ABML-HERO/1","VN000M1ABML1")</f>
        <v>VN000M1ABML1</v>
      </c>
      <c r="B1651" s="12" t="s">
        <v>6411</v>
      </c>
      <c r="C1651" s="12" t="s">
        <v>6412</v>
      </c>
      <c r="D1651" s="12" t="s">
        <v>555</v>
      </c>
      <c r="E1651" s="12" t="s">
        <v>6413</v>
      </c>
      <c r="F1651" s="12" t="s">
        <v>179</v>
      </c>
      <c r="G1651" s="14"/>
      <c r="H1651" s="12" t="s">
        <v>61</v>
      </c>
      <c r="I1651" s="12" t="s">
        <v>230</v>
      </c>
      <c r="J1651" s="12" t="s">
        <v>419</v>
      </c>
      <c r="K1651" s="12" t="s">
        <v>199</v>
      </c>
      <c r="L1651" s="14"/>
      <c r="M1651" s="12" t="s">
        <v>43</v>
      </c>
      <c r="N1651" s="12" t="s">
        <v>44</v>
      </c>
      <c r="O1651" s="12" t="s">
        <v>6414</v>
      </c>
      <c r="P1651" s="12" t="s">
        <v>66</v>
      </c>
      <c r="Q1651" s="12" t="s">
        <v>67</v>
      </c>
      <c r="R1651" s="12" t="s">
        <v>1500</v>
      </c>
      <c r="S1651" s="13">
        <v>197643406945</v>
      </c>
      <c r="T1651" s="12" t="s">
        <v>235</v>
      </c>
      <c r="U1651" s="12" t="s">
        <v>179</v>
      </c>
      <c r="V1651" s="12" t="s">
        <v>6262</v>
      </c>
      <c r="W1651" s="12" t="s">
        <v>51</v>
      </c>
      <c r="X1651" s="13">
        <v>0</v>
      </c>
      <c r="Y1651" s="12" t="s">
        <v>53</v>
      </c>
      <c r="Z1651" s="12" t="s">
        <v>108</v>
      </c>
      <c r="AA1651" s="13">
        <v>0</v>
      </c>
      <c r="AB1651" s="13">
        <v>0</v>
      </c>
      <c r="AC1651" s="15">
        <v>31.85</v>
      </c>
      <c r="AD1651" s="15">
        <f>AC1651*AG1651</f>
        <v>95.550000000000011</v>
      </c>
      <c r="AE1651" s="15">
        <v>70</v>
      </c>
      <c r="AF1651" s="15">
        <f>AE1651*AG1651</f>
        <v>210</v>
      </c>
      <c r="AG1651" s="16">
        <v>3</v>
      </c>
    </row>
    <row r="1652" spans="1:33" ht="15" customHeight="1" x14ac:dyDescent="0.2">
      <c r="A1652" s="11" t="str">
        <f t="shared" ref="A1652:A2109" si="682">HYPERLINK("https://assets.vans.eu/images/VN000M37ZBF-HERO/1","VN000M37ZBF1")</f>
        <v>VN000M37ZBF1</v>
      </c>
      <c r="B1652" s="12" t="s">
        <v>6415</v>
      </c>
      <c r="C1652" s="12" t="s">
        <v>3390</v>
      </c>
      <c r="D1652" s="12" t="s">
        <v>680</v>
      </c>
      <c r="E1652" s="12" t="s">
        <v>6416</v>
      </c>
      <c r="F1652" s="13">
        <v>28</v>
      </c>
      <c r="G1652" s="14"/>
      <c r="H1652" s="12" t="s">
        <v>61</v>
      </c>
      <c r="I1652" s="12" t="s">
        <v>230</v>
      </c>
      <c r="J1652" s="12" t="s">
        <v>231</v>
      </c>
      <c r="K1652" s="12" t="s">
        <v>199</v>
      </c>
      <c r="L1652" s="14"/>
      <c r="M1652" s="12" t="s">
        <v>43</v>
      </c>
      <c r="N1652" s="12" t="s">
        <v>44</v>
      </c>
      <c r="O1652" s="12" t="s">
        <v>6417</v>
      </c>
      <c r="P1652" s="12" t="s">
        <v>66</v>
      </c>
      <c r="Q1652" s="12" t="s">
        <v>233</v>
      </c>
      <c r="R1652" s="12" t="s">
        <v>234</v>
      </c>
      <c r="S1652" s="13">
        <v>197643411628</v>
      </c>
      <c r="T1652" s="12" t="s">
        <v>235</v>
      </c>
      <c r="U1652" s="13">
        <v>28</v>
      </c>
      <c r="V1652" s="12" t="s">
        <v>665</v>
      </c>
      <c r="W1652" s="12" t="s">
        <v>118</v>
      </c>
      <c r="X1652" s="13">
        <v>0</v>
      </c>
      <c r="Y1652" s="12" t="s">
        <v>53</v>
      </c>
      <c r="Z1652" s="12" t="s">
        <v>108</v>
      </c>
      <c r="AA1652" s="13">
        <v>0</v>
      </c>
      <c r="AB1652" s="13">
        <v>0</v>
      </c>
      <c r="AC1652" s="15">
        <v>31.85</v>
      </c>
      <c r="AD1652" s="15">
        <f>AC1652*AG1652</f>
        <v>95.550000000000011</v>
      </c>
      <c r="AE1652" s="15">
        <v>70</v>
      </c>
      <c r="AF1652" s="15">
        <f>AE1652*AG1652</f>
        <v>210</v>
      </c>
      <c r="AG1652" s="16">
        <v>3</v>
      </c>
    </row>
    <row r="1653" spans="1:33" ht="15" customHeight="1" x14ac:dyDescent="0.2">
      <c r="A1653" s="11" t="str">
        <f t="shared" ref="A1653:A2114" si="683">HYPERLINK("https://assets.vans.eu/images/VN000M4W4SS-HERO/1","VN000M4W4SS1")</f>
        <v>VN000M4W4SS1</v>
      </c>
      <c r="B1653" s="12" t="s">
        <v>6418</v>
      </c>
      <c r="C1653" s="12" t="s">
        <v>6419</v>
      </c>
      <c r="D1653" s="12" t="s">
        <v>6420</v>
      </c>
      <c r="E1653" s="12" t="s">
        <v>6421</v>
      </c>
      <c r="F1653" s="12" t="s">
        <v>403</v>
      </c>
      <c r="G1653" s="14"/>
      <c r="H1653" s="12" t="s">
        <v>61</v>
      </c>
      <c r="I1653" s="12" t="s">
        <v>6422</v>
      </c>
      <c r="J1653" s="12" t="s">
        <v>6423</v>
      </c>
      <c r="K1653" s="12" t="s">
        <v>199</v>
      </c>
      <c r="L1653" s="12" t="s">
        <v>872</v>
      </c>
      <c r="M1653" s="12" t="s">
        <v>43</v>
      </c>
      <c r="N1653" s="12" t="s">
        <v>6424</v>
      </c>
      <c r="O1653" s="12" t="s">
        <v>6425</v>
      </c>
      <c r="P1653" s="12" t="s">
        <v>66</v>
      </c>
      <c r="Q1653" s="12" t="s">
        <v>233</v>
      </c>
      <c r="R1653" s="12" t="s">
        <v>361</v>
      </c>
      <c r="S1653" s="13">
        <v>885928414975</v>
      </c>
      <c r="T1653" s="12" t="s">
        <v>130</v>
      </c>
      <c r="U1653" s="12" t="s">
        <v>403</v>
      </c>
      <c r="V1653" s="13">
        <v>0</v>
      </c>
      <c r="W1653" s="12" t="s">
        <v>51</v>
      </c>
      <c r="X1653" s="14"/>
      <c r="Y1653" s="14"/>
      <c r="Z1653" s="14"/>
      <c r="AA1653" s="14"/>
      <c r="AB1653" s="14"/>
      <c r="AC1653" s="15">
        <v>93.35</v>
      </c>
      <c r="AD1653" s="15">
        <f>AC1653*AG1653</f>
        <v>280.04999999999995</v>
      </c>
      <c r="AE1653" s="15">
        <v>210</v>
      </c>
      <c r="AF1653" s="15">
        <f>AE1653*AG1653</f>
        <v>630</v>
      </c>
      <c r="AG1653" s="16">
        <v>3</v>
      </c>
    </row>
    <row r="1654" spans="1:33" ht="15" customHeight="1" x14ac:dyDescent="0.2">
      <c r="A1654" s="11" t="str">
        <f t="shared" si="559"/>
        <v>VN000M5G6PH1</v>
      </c>
      <c r="B1654" s="12" t="s">
        <v>6426</v>
      </c>
      <c r="C1654" s="12" t="s">
        <v>5282</v>
      </c>
      <c r="D1654" s="12" t="s">
        <v>1878</v>
      </c>
      <c r="E1654" s="12" t="s">
        <v>6427</v>
      </c>
      <c r="F1654" s="12" t="s">
        <v>179</v>
      </c>
      <c r="G1654" s="14"/>
      <c r="H1654" s="12" t="s">
        <v>61</v>
      </c>
      <c r="I1654" s="12" t="s">
        <v>230</v>
      </c>
      <c r="J1654" s="12" t="s">
        <v>419</v>
      </c>
      <c r="K1654" s="12" t="s">
        <v>199</v>
      </c>
      <c r="L1654" s="14"/>
      <c r="M1654" s="12" t="s">
        <v>43</v>
      </c>
      <c r="N1654" s="12" t="s">
        <v>44</v>
      </c>
      <c r="O1654" s="12" t="s">
        <v>6428</v>
      </c>
      <c r="P1654" s="12" t="s">
        <v>66</v>
      </c>
      <c r="Q1654" s="12" t="s">
        <v>67</v>
      </c>
      <c r="R1654" s="12" t="s">
        <v>421</v>
      </c>
      <c r="S1654" s="13">
        <v>197643415985</v>
      </c>
      <c r="T1654" s="12" t="s">
        <v>69</v>
      </c>
      <c r="U1654" s="12" t="s">
        <v>179</v>
      </c>
      <c r="V1654" s="12" t="s">
        <v>70</v>
      </c>
      <c r="W1654" s="12" t="s">
        <v>107</v>
      </c>
      <c r="X1654" s="13">
        <v>0</v>
      </c>
      <c r="Y1654" s="12" t="s">
        <v>91</v>
      </c>
      <c r="Z1654" s="12" t="s">
        <v>108</v>
      </c>
      <c r="AA1654" s="13">
        <v>0</v>
      </c>
      <c r="AB1654" s="13">
        <v>0</v>
      </c>
      <c r="AC1654" s="15">
        <v>20.5</v>
      </c>
      <c r="AD1654" s="15">
        <f>AC1654*AG1654</f>
        <v>61.5</v>
      </c>
      <c r="AE1654" s="15">
        <v>45</v>
      </c>
      <c r="AF1654" s="15">
        <f>AE1654*AG1654</f>
        <v>135</v>
      </c>
      <c r="AG1654" s="16">
        <v>3</v>
      </c>
    </row>
    <row r="1655" spans="1:33" ht="15" customHeight="1" x14ac:dyDescent="0.2">
      <c r="A1655" s="11" t="str">
        <f>HYPERLINK("https://assets.vans.eu/images/VN000M60EMU-HERO/1","VN000M60EMU1")</f>
        <v>VN000M60EMU1</v>
      </c>
      <c r="B1655" s="12" t="s">
        <v>6429</v>
      </c>
      <c r="C1655" s="12" t="s">
        <v>3692</v>
      </c>
      <c r="D1655" s="12" t="s">
        <v>1319</v>
      </c>
      <c r="E1655" s="12" t="s">
        <v>6430</v>
      </c>
      <c r="F1655" s="12" t="s">
        <v>621</v>
      </c>
      <c r="G1655" s="14"/>
      <c r="H1655" s="12" t="s">
        <v>61</v>
      </c>
      <c r="I1655" s="12" t="s">
        <v>230</v>
      </c>
      <c r="J1655" s="12" t="s">
        <v>419</v>
      </c>
      <c r="K1655" s="12" t="s">
        <v>199</v>
      </c>
      <c r="L1655" s="14"/>
      <c r="M1655" s="12" t="s">
        <v>43</v>
      </c>
      <c r="N1655" s="12" t="s">
        <v>84</v>
      </c>
      <c r="O1655" s="12" t="s">
        <v>6431</v>
      </c>
      <c r="P1655" s="12" t="s">
        <v>66</v>
      </c>
      <c r="Q1655" s="12" t="s">
        <v>67</v>
      </c>
      <c r="R1655" s="12" t="s">
        <v>421</v>
      </c>
      <c r="S1655" s="13">
        <v>197804608942</v>
      </c>
      <c r="T1655" s="12" t="s">
        <v>915</v>
      </c>
      <c r="U1655" s="12" t="s">
        <v>621</v>
      </c>
      <c r="V1655" s="12" t="s">
        <v>979</v>
      </c>
      <c r="W1655" s="12" t="s">
        <v>118</v>
      </c>
      <c r="X1655" s="14"/>
      <c r="Y1655" s="14"/>
      <c r="Z1655" s="14"/>
      <c r="AA1655" s="14"/>
      <c r="AB1655" s="14"/>
      <c r="AC1655" s="15">
        <v>15.95</v>
      </c>
      <c r="AD1655" s="15">
        <f>AC1655*AG1655</f>
        <v>47.849999999999994</v>
      </c>
      <c r="AE1655" s="15">
        <v>35</v>
      </c>
      <c r="AF1655" s="15">
        <f>AE1655*AG1655</f>
        <v>105</v>
      </c>
      <c r="AG1655" s="16">
        <v>3</v>
      </c>
    </row>
    <row r="1656" spans="1:33" ht="15" customHeight="1" x14ac:dyDescent="0.2">
      <c r="A1656" s="11" t="str">
        <f t="shared" ref="A1656:A3146" si="684">HYPERLINK("https://assets.vans.eu/images/VN000M6XEMW-HERO/1","VN000M6XEMW1")</f>
        <v>VN000M6XEMW1</v>
      </c>
      <c r="B1656" s="12" t="s">
        <v>6432</v>
      </c>
      <c r="C1656" s="12" t="s">
        <v>2055</v>
      </c>
      <c r="D1656" s="12" t="s">
        <v>147</v>
      </c>
      <c r="E1656" s="12" t="s">
        <v>6433</v>
      </c>
      <c r="F1656" s="12" t="s">
        <v>621</v>
      </c>
      <c r="G1656" s="14"/>
      <c r="H1656" s="12" t="s">
        <v>61</v>
      </c>
      <c r="I1656" s="12" t="s">
        <v>289</v>
      </c>
      <c r="J1656" s="12" t="s">
        <v>290</v>
      </c>
      <c r="K1656" s="12" t="s">
        <v>100</v>
      </c>
      <c r="L1656" s="14"/>
      <c r="M1656" s="12" t="s">
        <v>43</v>
      </c>
      <c r="N1656" s="12" t="s">
        <v>84</v>
      </c>
      <c r="O1656" s="12" t="s">
        <v>6434</v>
      </c>
      <c r="P1656" s="12" t="s">
        <v>66</v>
      </c>
      <c r="Q1656" s="12" t="s">
        <v>233</v>
      </c>
      <c r="R1656" s="12" t="s">
        <v>664</v>
      </c>
      <c r="S1656" s="13">
        <v>197804386772</v>
      </c>
      <c r="T1656" s="12" t="s">
        <v>235</v>
      </c>
      <c r="U1656" s="12" t="s">
        <v>621</v>
      </c>
      <c r="V1656" s="12" t="s">
        <v>1811</v>
      </c>
      <c r="W1656" s="12" t="s">
        <v>118</v>
      </c>
      <c r="X1656" s="14"/>
      <c r="Y1656" s="14"/>
      <c r="Z1656" s="14"/>
      <c r="AA1656" s="14"/>
      <c r="AB1656" s="14"/>
      <c r="AC1656" s="15">
        <v>45.5</v>
      </c>
      <c r="AD1656" s="15">
        <f>AC1656*AG1656</f>
        <v>136.5</v>
      </c>
      <c r="AE1656" s="15">
        <v>100</v>
      </c>
      <c r="AF1656" s="15">
        <f>AE1656*AG1656</f>
        <v>300</v>
      </c>
      <c r="AG1656" s="16">
        <v>3</v>
      </c>
    </row>
    <row r="1657" spans="1:33" ht="15" customHeight="1" x14ac:dyDescent="0.2">
      <c r="A1657" s="11" t="str">
        <f t="shared" si="238"/>
        <v>VN000M8EKCZ1</v>
      </c>
      <c r="B1657" s="12" t="s">
        <v>6435</v>
      </c>
      <c r="C1657" s="12" t="s">
        <v>685</v>
      </c>
      <c r="D1657" s="12" t="s">
        <v>1109</v>
      </c>
      <c r="E1657" s="12" t="s">
        <v>6436</v>
      </c>
      <c r="F1657" s="13">
        <v>29</v>
      </c>
      <c r="G1657" s="14"/>
      <c r="H1657" s="12" t="s">
        <v>61</v>
      </c>
      <c r="I1657" s="12" t="s">
        <v>230</v>
      </c>
      <c r="J1657" s="12" t="s">
        <v>557</v>
      </c>
      <c r="K1657" s="12" t="s">
        <v>199</v>
      </c>
      <c r="L1657" s="14"/>
      <c r="M1657" s="12" t="s">
        <v>43</v>
      </c>
      <c r="N1657" s="12" t="s">
        <v>44</v>
      </c>
      <c r="O1657" s="12" t="s">
        <v>6437</v>
      </c>
      <c r="P1657" s="12" t="s">
        <v>66</v>
      </c>
      <c r="Q1657" s="12" t="s">
        <v>559</v>
      </c>
      <c r="R1657" s="12" t="s">
        <v>560</v>
      </c>
      <c r="S1657" s="13">
        <v>197643538424</v>
      </c>
      <c r="T1657" s="12" t="s">
        <v>49</v>
      </c>
      <c r="U1657" s="13">
        <v>29</v>
      </c>
      <c r="V1657" s="12" t="s">
        <v>689</v>
      </c>
      <c r="W1657" s="12" t="s">
        <v>118</v>
      </c>
      <c r="X1657" s="13">
        <v>0</v>
      </c>
      <c r="Y1657" s="12" t="s">
        <v>53</v>
      </c>
      <c r="Z1657" s="12" t="s">
        <v>108</v>
      </c>
      <c r="AA1657" s="13">
        <v>0</v>
      </c>
      <c r="AB1657" s="13">
        <v>0</v>
      </c>
      <c r="AC1657" s="15">
        <v>29.55</v>
      </c>
      <c r="AD1657" s="15">
        <f>AC1657*AG1657</f>
        <v>88.65</v>
      </c>
      <c r="AE1657" s="15">
        <v>65</v>
      </c>
      <c r="AF1657" s="15">
        <f>AE1657*AG1657</f>
        <v>195</v>
      </c>
      <c r="AG1657" s="16">
        <v>3</v>
      </c>
    </row>
    <row r="1658" spans="1:33" ht="15" customHeight="1" x14ac:dyDescent="0.2">
      <c r="A1658" s="11" t="str">
        <f t="shared" si="560"/>
        <v>VN000M8G1O71</v>
      </c>
      <c r="B1658" s="12" t="s">
        <v>6438</v>
      </c>
      <c r="C1658" s="12" t="s">
        <v>5303</v>
      </c>
      <c r="D1658" s="12" t="s">
        <v>637</v>
      </c>
      <c r="E1658" s="12" t="s">
        <v>6439</v>
      </c>
      <c r="F1658" s="13">
        <v>34</v>
      </c>
      <c r="G1658" s="14"/>
      <c r="H1658" s="12" t="s">
        <v>61</v>
      </c>
      <c r="I1658" s="12" t="s">
        <v>230</v>
      </c>
      <c r="J1658" s="12" t="s">
        <v>557</v>
      </c>
      <c r="K1658" s="12" t="s">
        <v>199</v>
      </c>
      <c r="L1658" s="14"/>
      <c r="M1658" s="12" t="s">
        <v>43</v>
      </c>
      <c r="N1658" s="12" t="s">
        <v>44</v>
      </c>
      <c r="O1658" s="12" t="s">
        <v>6440</v>
      </c>
      <c r="P1658" s="12" t="s">
        <v>66</v>
      </c>
      <c r="Q1658" s="12" t="s">
        <v>559</v>
      </c>
      <c r="R1658" s="12" t="s">
        <v>560</v>
      </c>
      <c r="S1658" s="13">
        <v>197643566731</v>
      </c>
      <c r="T1658" s="12" t="s">
        <v>49</v>
      </c>
      <c r="U1658" s="13">
        <v>34</v>
      </c>
      <c r="V1658" s="12" t="s">
        <v>5306</v>
      </c>
      <c r="W1658" s="12" t="s">
        <v>455</v>
      </c>
      <c r="X1658" s="13">
        <v>0</v>
      </c>
      <c r="Y1658" s="12" t="s">
        <v>91</v>
      </c>
      <c r="Z1658" s="12" t="s">
        <v>108</v>
      </c>
      <c r="AA1658" s="13">
        <v>0</v>
      </c>
      <c r="AB1658" s="13">
        <v>0</v>
      </c>
      <c r="AC1658" s="15">
        <v>29.55</v>
      </c>
      <c r="AD1658" s="15">
        <f>AC1658*AG1658</f>
        <v>88.65</v>
      </c>
      <c r="AE1658" s="15">
        <v>65</v>
      </c>
      <c r="AF1658" s="15">
        <f>AE1658*AG1658</f>
        <v>195</v>
      </c>
      <c r="AG1658" s="16">
        <v>3</v>
      </c>
    </row>
    <row r="1659" spans="1:33" ht="15" customHeight="1" x14ac:dyDescent="0.2">
      <c r="A1659" s="11" t="str">
        <f t="shared" ref="A1659:A2121" si="685">HYPERLINK("https://assets.vans.eu/images/VN000M8JY28-HERO/1","VN000M8JY281")</f>
        <v>VN000M8JY281</v>
      </c>
      <c r="B1659" s="12" t="s">
        <v>6441</v>
      </c>
      <c r="C1659" s="12" t="s">
        <v>4602</v>
      </c>
      <c r="D1659" s="12" t="s">
        <v>58</v>
      </c>
      <c r="E1659" s="12" t="s">
        <v>6442</v>
      </c>
      <c r="F1659" s="13">
        <v>38</v>
      </c>
      <c r="G1659" s="14"/>
      <c r="H1659" s="12" t="s">
        <v>61</v>
      </c>
      <c r="I1659" s="12" t="s">
        <v>230</v>
      </c>
      <c r="J1659" s="12" t="s">
        <v>557</v>
      </c>
      <c r="K1659" s="12" t="s">
        <v>199</v>
      </c>
      <c r="L1659" s="14"/>
      <c r="M1659" s="12" t="s">
        <v>43</v>
      </c>
      <c r="N1659" s="12" t="s">
        <v>44</v>
      </c>
      <c r="O1659" s="12" t="s">
        <v>6443</v>
      </c>
      <c r="P1659" s="12" t="s">
        <v>66</v>
      </c>
      <c r="Q1659" s="12" t="s">
        <v>559</v>
      </c>
      <c r="R1659" s="12" t="s">
        <v>560</v>
      </c>
      <c r="S1659" s="13">
        <v>197643539551</v>
      </c>
      <c r="T1659" s="12" t="s">
        <v>49</v>
      </c>
      <c r="U1659" s="13">
        <v>38</v>
      </c>
      <c r="V1659" s="12" t="s">
        <v>4605</v>
      </c>
      <c r="W1659" s="12" t="s">
        <v>51</v>
      </c>
      <c r="X1659" s="13">
        <v>0</v>
      </c>
      <c r="Y1659" s="12" t="s">
        <v>53</v>
      </c>
      <c r="Z1659" s="12" t="s">
        <v>108</v>
      </c>
      <c r="AA1659" s="13">
        <v>0</v>
      </c>
      <c r="AB1659" s="13">
        <v>0</v>
      </c>
      <c r="AC1659" s="15">
        <v>34.1</v>
      </c>
      <c r="AD1659" s="15">
        <f>AC1659*AG1659</f>
        <v>102.30000000000001</v>
      </c>
      <c r="AE1659" s="15">
        <v>75</v>
      </c>
      <c r="AF1659" s="15">
        <f>AE1659*AG1659</f>
        <v>225</v>
      </c>
      <c r="AG1659" s="16">
        <v>3</v>
      </c>
    </row>
    <row r="1660" spans="1:33" ht="15" customHeight="1" x14ac:dyDescent="0.2">
      <c r="A1660" s="11" t="str">
        <f t="shared" ref="A1660:A3157" si="686">HYPERLINK("https://assets.vans.eu/images/VN000M8NUUI-HERO/1","VN000M8NUUI1")</f>
        <v>VN000M8NUUI1</v>
      </c>
      <c r="B1660" s="12" t="s">
        <v>6444</v>
      </c>
      <c r="C1660" s="12" t="s">
        <v>6445</v>
      </c>
      <c r="D1660" s="12" t="s">
        <v>723</v>
      </c>
      <c r="E1660" s="12" t="s">
        <v>6446</v>
      </c>
      <c r="F1660" s="12" t="s">
        <v>179</v>
      </c>
      <c r="G1660" s="14"/>
      <c r="H1660" s="12" t="s">
        <v>61</v>
      </c>
      <c r="I1660" s="12" t="s">
        <v>62</v>
      </c>
      <c r="J1660" s="12" t="s">
        <v>63</v>
      </c>
      <c r="K1660" s="12" t="s">
        <v>1022</v>
      </c>
      <c r="L1660" s="14"/>
      <c r="M1660" s="12" t="s">
        <v>43</v>
      </c>
      <c r="N1660" s="12" t="s">
        <v>44</v>
      </c>
      <c r="O1660" s="12" t="s">
        <v>6447</v>
      </c>
      <c r="P1660" s="12" t="s">
        <v>66</v>
      </c>
      <c r="Q1660" s="12" t="s">
        <v>67</v>
      </c>
      <c r="R1660" s="12" t="s">
        <v>730</v>
      </c>
      <c r="S1660" s="13">
        <v>197643361695</v>
      </c>
      <c r="T1660" s="12" t="s">
        <v>69</v>
      </c>
      <c r="U1660" s="12" t="s">
        <v>179</v>
      </c>
      <c r="V1660" s="12" t="s">
        <v>4617</v>
      </c>
      <c r="W1660" s="12" t="s">
        <v>107</v>
      </c>
      <c r="X1660" s="12" t="s">
        <v>500</v>
      </c>
      <c r="Y1660" s="12" t="s">
        <v>91</v>
      </c>
      <c r="Z1660" s="12" t="s">
        <v>108</v>
      </c>
      <c r="AA1660" s="13">
        <v>0</v>
      </c>
      <c r="AB1660" s="13">
        <v>0</v>
      </c>
      <c r="AC1660" s="15">
        <v>29.55</v>
      </c>
      <c r="AD1660" s="15">
        <f>AC1660*AG1660</f>
        <v>88.65</v>
      </c>
      <c r="AE1660" s="15">
        <v>65</v>
      </c>
      <c r="AF1660" s="15">
        <f>AE1660*AG1660</f>
        <v>195</v>
      </c>
      <c r="AG1660" s="16">
        <v>3</v>
      </c>
    </row>
    <row r="1661" spans="1:33" ht="15" customHeight="1" x14ac:dyDescent="0.2">
      <c r="A1661" s="11" t="str">
        <f t="shared" ref="A1661:A3164" si="687">HYPERLINK("https://assets.vans.eu/images/VN000M9DZBF-HERO/1","VN000M9DZBF1")</f>
        <v>VN000M9DZBF1</v>
      </c>
      <c r="B1661" s="12" t="s">
        <v>6448</v>
      </c>
      <c r="C1661" s="12" t="s">
        <v>5315</v>
      </c>
      <c r="D1661" s="12" t="s">
        <v>680</v>
      </c>
      <c r="E1661" s="12" t="s">
        <v>6449</v>
      </c>
      <c r="F1661" s="12" t="s">
        <v>153</v>
      </c>
      <c r="G1661" s="14"/>
      <c r="H1661" s="12" t="s">
        <v>61</v>
      </c>
      <c r="I1661" s="12" t="s">
        <v>289</v>
      </c>
      <c r="J1661" s="12" t="s">
        <v>706</v>
      </c>
      <c r="K1661" s="12" t="s">
        <v>100</v>
      </c>
      <c r="L1661" s="14"/>
      <c r="M1661" s="12" t="s">
        <v>43</v>
      </c>
      <c r="N1661" s="12" t="s">
        <v>44</v>
      </c>
      <c r="O1661" s="12" t="s">
        <v>6450</v>
      </c>
      <c r="P1661" s="12" t="s">
        <v>66</v>
      </c>
      <c r="Q1661" s="12" t="s">
        <v>67</v>
      </c>
      <c r="R1661" s="12" t="s">
        <v>1200</v>
      </c>
      <c r="S1661" s="13">
        <v>197643363163</v>
      </c>
      <c r="T1661" s="12" t="s">
        <v>49</v>
      </c>
      <c r="U1661" s="12" t="s">
        <v>153</v>
      </c>
      <c r="V1661" s="12" t="s">
        <v>90</v>
      </c>
      <c r="W1661" s="12" t="s">
        <v>118</v>
      </c>
      <c r="X1661" s="13">
        <v>0</v>
      </c>
      <c r="Y1661" s="12" t="s">
        <v>53</v>
      </c>
      <c r="Z1661" s="12" t="s">
        <v>108</v>
      </c>
      <c r="AA1661" s="13">
        <v>0</v>
      </c>
      <c r="AB1661" s="13">
        <v>0</v>
      </c>
      <c r="AC1661" s="15">
        <v>31.85</v>
      </c>
      <c r="AD1661" s="15">
        <f>AC1661*AG1661</f>
        <v>95.550000000000011</v>
      </c>
      <c r="AE1661" s="15">
        <v>70</v>
      </c>
      <c r="AF1661" s="15">
        <f>AE1661*AG1661</f>
        <v>210</v>
      </c>
      <c r="AG1661" s="16">
        <v>3</v>
      </c>
    </row>
    <row r="1662" spans="1:33" ht="15" customHeight="1" x14ac:dyDescent="0.2">
      <c r="A1662" s="11" t="str">
        <f t="shared" ref="A1662:A2127" si="688">HYPERLINK("https://assets.vans.eu/images/VN000M9MZUJ-HERO/1","VN000M9MZUJ1")</f>
        <v>VN000M9MZUJ1</v>
      </c>
      <c r="B1662" s="12" t="s">
        <v>6451</v>
      </c>
      <c r="C1662" s="12" t="s">
        <v>5319</v>
      </c>
      <c r="D1662" s="12" t="s">
        <v>2899</v>
      </c>
      <c r="E1662" s="12" t="s">
        <v>6452</v>
      </c>
      <c r="F1662" s="12" t="s">
        <v>170</v>
      </c>
      <c r="G1662" s="14"/>
      <c r="H1662" s="12" t="s">
        <v>61</v>
      </c>
      <c r="I1662" s="12" t="s">
        <v>289</v>
      </c>
      <c r="J1662" s="12" t="s">
        <v>290</v>
      </c>
      <c r="K1662" s="12" t="s">
        <v>100</v>
      </c>
      <c r="L1662" s="14"/>
      <c r="M1662" s="12" t="s">
        <v>43</v>
      </c>
      <c r="N1662" s="12" t="s">
        <v>44</v>
      </c>
      <c r="O1662" s="12" t="s">
        <v>6453</v>
      </c>
      <c r="P1662" s="12" t="s">
        <v>66</v>
      </c>
      <c r="Q1662" s="12" t="s">
        <v>233</v>
      </c>
      <c r="R1662" s="12" t="s">
        <v>2073</v>
      </c>
      <c r="S1662" s="13">
        <v>197643363590</v>
      </c>
      <c r="T1662" s="12" t="s">
        <v>235</v>
      </c>
      <c r="U1662" s="12" t="s">
        <v>170</v>
      </c>
      <c r="V1662" s="12" t="s">
        <v>3746</v>
      </c>
      <c r="W1662" s="12" t="s">
        <v>598</v>
      </c>
      <c r="X1662" s="13">
        <v>0</v>
      </c>
      <c r="Y1662" s="12" t="s">
        <v>91</v>
      </c>
      <c r="Z1662" s="12" t="s">
        <v>108</v>
      </c>
      <c r="AA1662" s="13">
        <v>0</v>
      </c>
      <c r="AB1662" s="13">
        <v>0</v>
      </c>
      <c r="AC1662" s="15">
        <v>29.55</v>
      </c>
      <c r="AD1662" s="15">
        <f>AC1662*AG1662</f>
        <v>88.65</v>
      </c>
      <c r="AE1662" s="15">
        <v>65</v>
      </c>
      <c r="AF1662" s="15">
        <f>AE1662*AG1662</f>
        <v>195</v>
      </c>
      <c r="AG1662" s="16">
        <v>3</v>
      </c>
    </row>
    <row r="1663" spans="1:33" ht="15" customHeight="1" x14ac:dyDescent="0.2">
      <c r="A1663" s="11" t="str">
        <f t="shared" ref="A1663:A3176" si="689">HYPERLINK("https://assets.vans.eu/images/VN000MA2CLH-HERO/1","VN000MA2CLH1")</f>
        <v>VN000MA2CLH1</v>
      </c>
      <c r="B1663" s="12" t="s">
        <v>6454</v>
      </c>
      <c r="C1663" s="12" t="s">
        <v>3712</v>
      </c>
      <c r="D1663" s="12" t="s">
        <v>838</v>
      </c>
      <c r="E1663" s="12" t="s">
        <v>6455</v>
      </c>
      <c r="F1663" s="12" t="s">
        <v>138</v>
      </c>
      <c r="G1663" s="14"/>
      <c r="H1663" s="12" t="s">
        <v>61</v>
      </c>
      <c r="I1663" s="12" t="s">
        <v>289</v>
      </c>
      <c r="J1663" s="12" t="s">
        <v>706</v>
      </c>
      <c r="K1663" s="12" t="s">
        <v>100</v>
      </c>
      <c r="L1663" s="14"/>
      <c r="M1663" s="12" t="s">
        <v>43</v>
      </c>
      <c r="N1663" s="12" t="s">
        <v>44</v>
      </c>
      <c r="O1663" s="12" t="s">
        <v>6456</v>
      </c>
      <c r="P1663" s="12" t="s">
        <v>66</v>
      </c>
      <c r="Q1663" s="12" t="s">
        <v>67</v>
      </c>
      <c r="R1663" s="12" t="s">
        <v>708</v>
      </c>
      <c r="S1663" s="13">
        <v>197643365457</v>
      </c>
      <c r="T1663" s="12" t="s">
        <v>49</v>
      </c>
      <c r="U1663" s="12" t="s">
        <v>138</v>
      </c>
      <c r="V1663" s="12" t="s">
        <v>1731</v>
      </c>
      <c r="W1663" s="12" t="s">
        <v>118</v>
      </c>
      <c r="X1663" s="13">
        <v>0</v>
      </c>
      <c r="Y1663" s="12" t="s">
        <v>91</v>
      </c>
      <c r="Z1663" s="12" t="s">
        <v>108</v>
      </c>
      <c r="AA1663" s="13">
        <v>0</v>
      </c>
      <c r="AB1663" s="13">
        <v>0</v>
      </c>
      <c r="AC1663" s="15">
        <v>36.4</v>
      </c>
      <c r="AD1663" s="15">
        <f>AC1663*AG1663</f>
        <v>109.19999999999999</v>
      </c>
      <c r="AE1663" s="15">
        <v>80</v>
      </c>
      <c r="AF1663" s="15">
        <f>AE1663*AG1663</f>
        <v>240</v>
      </c>
      <c r="AG1663" s="16">
        <v>3</v>
      </c>
    </row>
    <row r="1664" spans="1:33" ht="15" customHeight="1" x14ac:dyDescent="0.2">
      <c r="A1664" s="11" t="str">
        <f t="shared" si="384"/>
        <v>VN000MA2EMF1</v>
      </c>
      <c r="B1664" s="12" t="s">
        <v>6457</v>
      </c>
      <c r="C1664" s="12" t="s">
        <v>3712</v>
      </c>
      <c r="D1664" s="12" t="s">
        <v>1282</v>
      </c>
      <c r="E1664" s="12" t="s">
        <v>6458</v>
      </c>
      <c r="F1664" s="12" t="s">
        <v>170</v>
      </c>
      <c r="G1664" s="14"/>
      <c r="H1664" s="12" t="s">
        <v>61</v>
      </c>
      <c r="I1664" s="12" t="s">
        <v>289</v>
      </c>
      <c r="J1664" s="12" t="s">
        <v>706</v>
      </c>
      <c r="K1664" s="12" t="s">
        <v>100</v>
      </c>
      <c r="L1664" s="14"/>
      <c r="M1664" s="12" t="s">
        <v>43</v>
      </c>
      <c r="N1664" s="12" t="s">
        <v>84</v>
      </c>
      <c r="O1664" s="12" t="s">
        <v>6459</v>
      </c>
      <c r="P1664" s="12" t="s">
        <v>66</v>
      </c>
      <c r="Q1664" s="12" t="s">
        <v>67</v>
      </c>
      <c r="R1664" s="12" t="s">
        <v>708</v>
      </c>
      <c r="S1664" s="13">
        <v>197804387939</v>
      </c>
      <c r="T1664" s="12" t="s">
        <v>49</v>
      </c>
      <c r="U1664" s="12" t="s">
        <v>170</v>
      </c>
      <c r="V1664" s="12" t="s">
        <v>1726</v>
      </c>
      <c r="W1664" s="12" t="s">
        <v>118</v>
      </c>
      <c r="X1664" s="14"/>
      <c r="Y1664" s="14"/>
      <c r="Z1664" s="14"/>
      <c r="AA1664" s="14"/>
      <c r="AB1664" s="14"/>
      <c r="AC1664" s="15">
        <v>36.4</v>
      </c>
      <c r="AD1664" s="15">
        <f>AC1664*AG1664</f>
        <v>109.19999999999999</v>
      </c>
      <c r="AE1664" s="15">
        <v>80</v>
      </c>
      <c r="AF1664" s="15">
        <f>AE1664*AG1664</f>
        <v>240</v>
      </c>
      <c r="AG1664" s="16">
        <v>3</v>
      </c>
    </row>
    <row r="1665" spans="1:33" ht="15" customHeight="1" x14ac:dyDescent="0.2">
      <c r="A1665" s="11" t="str">
        <f t="shared" ref="A1665:A2140" si="690">HYPERLINK("https://assets.vans.eu/images/VN000MAT7WM-HERO/1","VN000MAT7WM1")</f>
        <v>VN000MAT7WM1</v>
      </c>
      <c r="B1665" s="12" t="s">
        <v>6460</v>
      </c>
      <c r="C1665" s="12" t="s">
        <v>6461</v>
      </c>
      <c r="D1665" s="12" t="s">
        <v>388</v>
      </c>
      <c r="E1665" s="12" t="s">
        <v>6462</v>
      </c>
      <c r="F1665" s="12" t="s">
        <v>153</v>
      </c>
      <c r="G1665" s="14"/>
      <c r="H1665" s="12" t="s">
        <v>61</v>
      </c>
      <c r="I1665" s="12" t="s">
        <v>289</v>
      </c>
      <c r="J1665" s="12" t="s">
        <v>290</v>
      </c>
      <c r="K1665" s="12" t="s">
        <v>100</v>
      </c>
      <c r="L1665" s="14"/>
      <c r="M1665" s="12" t="s">
        <v>43</v>
      </c>
      <c r="N1665" s="12" t="s">
        <v>44</v>
      </c>
      <c r="O1665" s="12" t="s">
        <v>6463</v>
      </c>
      <c r="P1665" s="12" t="s">
        <v>66</v>
      </c>
      <c r="Q1665" s="12" t="s">
        <v>233</v>
      </c>
      <c r="R1665" s="12" t="s">
        <v>664</v>
      </c>
      <c r="S1665" s="13">
        <v>197643366188</v>
      </c>
      <c r="T1665" s="12" t="s">
        <v>49</v>
      </c>
      <c r="U1665" s="12" t="s">
        <v>153</v>
      </c>
      <c r="V1665" s="12" t="s">
        <v>6291</v>
      </c>
      <c r="W1665" s="12" t="s">
        <v>284</v>
      </c>
      <c r="X1665" s="13">
        <v>0</v>
      </c>
      <c r="Y1665" s="12" t="s">
        <v>91</v>
      </c>
      <c r="Z1665" s="12" t="s">
        <v>108</v>
      </c>
      <c r="AA1665" s="13">
        <v>0</v>
      </c>
      <c r="AB1665" s="13">
        <v>0</v>
      </c>
      <c r="AC1665" s="15">
        <v>38.65</v>
      </c>
      <c r="AD1665" s="15">
        <f>AC1665*AG1665</f>
        <v>115.94999999999999</v>
      </c>
      <c r="AE1665" s="15">
        <v>85</v>
      </c>
      <c r="AF1665" s="15">
        <f>AE1665*AG1665</f>
        <v>255</v>
      </c>
      <c r="AG1665" s="16">
        <v>3</v>
      </c>
    </row>
    <row r="1666" spans="1:33" ht="15" customHeight="1" x14ac:dyDescent="0.2">
      <c r="A1666" s="11" t="str">
        <f t="shared" si="485"/>
        <v>VN000MBEFS81</v>
      </c>
      <c r="B1666" s="12" t="s">
        <v>6464</v>
      </c>
      <c r="C1666" s="12" t="s">
        <v>1581</v>
      </c>
      <c r="D1666" s="12" t="s">
        <v>239</v>
      </c>
      <c r="E1666" s="12" t="s">
        <v>6465</v>
      </c>
      <c r="F1666" s="13">
        <v>32</v>
      </c>
      <c r="G1666" s="14"/>
      <c r="H1666" s="12" t="s">
        <v>61</v>
      </c>
      <c r="I1666" s="12" t="s">
        <v>289</v>
      </c>
      <c r="J1666" s="12" t="s">
        <v>290</v>
      </c>
      <c r="K1666" s="12" t="s">
        <v>100</v>
      </c>
      <c r="L1666" s="14"/>
      <c r="M1666" s="12" t="s">
        <v>43</v>
      </c>
      <c r="N1666" s="12" t="s">
        <v>44</v>
      </c>
      <c r="O1666" s="12" t="s">
        <v>6466</v>
      </c>
      <c r="P1666" s="12" t="s">
        <v>66</v>
      </c>
      <c r="Q1666" s="12" t="s">
        <v>233</v>
      </c>
      <c r="R1666" s="12" t="s">
        <v>292</v>
      </c>
      <c r="S1666" s="13">
        <v>197643566908</v>
      </c>
      <c r="T1666" s="12" t="s">
        <v>235</v>
      </c>
      <c r="U1666" s="13">
        <v>32</v>
      </c>
      <c r="V1666" s="12" t="s">
        <v>665</v>
      </c>
      <c r="W1666" s="12" t="s">
        <v>175</v>
      </c>
      <c r="X1666" s="13">
        <v>0</v>
      </c>
      <c r="Y1666" s="12" t="s">
        <v>91</v>
      </c>
      <c r="Z1666" s="12" t="s">
        <v>108</v>
      </c>
      <c r="AA1666" s="13">
        <v>0</v>
      </c>
      <c r="AB1666" s="13">
        <v>0</v>
      </c>
      <c r="AC1666" s="15">
        <v>27.3</v>
      </c>
      <c r="AD1666" s="15">
        <f>AC1666*AG1666</f>
        <v>81.900000000000006</v>
      </c>
      <c r="AE1666" s="15">
        <v>60</v>
      </c>
      <c r="AF1666" s="15">
        <f>AE1666*AG1666</f>
        <v>180</v>
      </c>
      <c r="AG1666" s="16">
        <v>3</v>
      </c>
    </row>
    <row r="1667" spans="1:33" ht="15" customHeight="1" x14ac:dyDescent="0.2">
      <c r="A1667" s="11" t="str">
        <f t="shared" ref="A1667:A2144" si="691">HYPERLINK("https://assets.vans.eu/images/VN000MBHC9L-HERO/1","VN000MBHC9L1")</f>
        <v>VN000MBHC9L1</v>
      </c>
      <c r="B1667" s="12" t="s">
        <v>6467</v>
      </c>
      <c r="C1667" s="12" t="s">
        <v>6468</v>
      </c>
      <c r="D1667" s="12" t="s">
        <v>890</v>
      </c>
      <c r="E1667" s="12" t="s">
        <v>6469</v>
      </c>
      <c r="F1667" s="13">
        <v>25</v>
      </c>
      <c r="G1667" s="14"/>
      <c r="H1667" s="12" t="s">
        <v>61</v>
      </c>
      <c r="I1667" s="12" t="s">
        <v>289</v>
      </c>
      <c r="J1667" s="12" t="s">
        <v>290</v>
      </c>
      <c r="K1667" s="12" t="s">
        <v>100</v>
      </c>
      <c r="L1667" s="14"/>
      <c r="M1667" s="12" t="s">
        <v>43</v>
      </c>
      <c r="N1667" s="12" t="s">
        <v>44</v>
      </c>
      <c r="O1667" s="12" t="s">
        <v>6470</v>
      </c>
      <c r="P1667" s="12" t="s">
        <v>66</v>
      </c>
      <c r="Q1667" s="12" t="s">
        <v>233</v>
      </c>
      <c r="R1667" s="12" t="s">
        <v>292</v>
      </c>
      <c r="S1667" s="13">
        <v>197643566502</v>
      </c>
      <c r="T1667" s="12" t="s">
        <v>235</v>
      </c>
      <c r="U1667" s="13">
        <v>25</v>
      </c>
      <c r="V1667" s="12" t="s">
        <v>665</v>
      </c>
      <c r="W1667" s="12" t="s">
        <v>262</v>
      </c>
      <c r="X1667" s="13">
        <v>0</v>
      </c>
      <c r="Y1667" s="12" t="s">
        <v>53</v>
      </c>
      <c r="Z1667" s="12" t="s">
        <v>108</v>
      </c>
      <c r="AA1667" s="13">
        <v>0</v>
      </c>
      <c r="AB1667" s="13">
        <v>0</v>
      </c>
      <c r="AC1667" s="15">
        <v>31.85</v>
      </c>
      <c r="AD1667" s="15">
        <f>AC1667*AG1667</f>
        <v>95.550000000000011</v>
      </c>
      <c r="AE1667" s="15">
        <v>70</v>
      </c>
      <c r="AF1667" s="15">
        <f>AE1667*AG1667</f>
        <v>210</v>
      </c>
      <c r="AG1667" s="16">
        <v>3</v>
      </c>
    </row>
    <row r="1668" spans="1:33" ht="15" customHeight="1" x14ac:dyDescent="0.2">
      <c r="A1668" s="11" t="str">
        <f t="shared" ref="A1668:A3193" si="692">HYPERLINK("https://assets.vans.eu/images/VN000MBX1O7-HERO/1","VN000MBX1O71")</f>
        <v>VN000MBX1O71</v>
      </c>
      <c r="B1668" s="12" t="s">
        <v>6471</v>
      </c>
      <c r="C1668" s="12" t="s">
        <v>2227</v>
      </c>
      <c r="D1668" s="12" t="s">
        <v>637</v>
      </c>
      <c r="E1668" s="12" t="s">
        <v>6472</v>
      </c>
      <c r="F1668" s="12" t="s">
        <v>621</v>
      </c>
      <c r="G1668" s="14"/>
      <c r="H1668" s="12" t="s">
        <v>61</v>
      </c>
      <c r="I1668" s="12" t="s">
        <v>289</v>
      </c>
      <c r="J1668" s="12" t="s">
        <v>706</v>
      </c>
      <c r="K1668" s="12" t="s">
        <v>100</v>
      </c>
      <c r="L1668" s="14"/>
      <c r="M1668" s="12" t="s">
        <v>43</v>
      </c>
      <c r="N1668" s="12" t="s">
        <v>44</v>
      </c>
      <c r="O1668" s="12" t="s">
        <v>6473</v>
      </c>
      <c r="P1668" s="12" t="s">
        <v>66</v>
      </c>
      <c r="Q1668" s="12" t="s">
        <v>67</v>
      </c>
      <c r="R1668" s="12" t="s">
        <v>1146</v>
      </c>
      <c r="S1668" s="13">
        <v>197643368953</v>
      </c>
      <c r="T1668" s="12" t="s">
        <v>709</v>
      </c>
      <c r="U1668" s="12" t="s">
        <v>621</v>
      </c>
      <c r="V1668" s="12" t="s">
        <v>2230</v>
      </c>
      <c r="W1668" s="12" t="s">
        <v>455</v>
      </c>
      <c r="X1668" s="13">
        <v>0</v>
      </c>
      <c r="Y1668" s="12" t="s">
        <v>91</v>
      </c>
      <c r="Z1668" s="12" t="s">
        <v>108</v>
      </c>
      <c r="AA1668" s="13">
        <v>0</v>
      </c>
      <c r="AB1668" s="13">
        <v>0</v>
      </c>
      <c r="AC1668" s="15">
        <v>13.65</v>
      </c>
      <c r="AD1668" s="15">
        <f>AC1668*AG1668</f>
        <v>40.950000000000003</v>
      </c>
      <c r="AE1668" s="15">
        <v>30</v>
      </c>
      <c r="AF1668" s="15">
        <f>AE1668*AG1668</f>
        <v>90</v>
      </c>
      <c r="AG1668" s="16">
        <v>3</v>
      </c>
    </row>
    <row r="1669" spans="1:33" ht="15" customHeight="1" x14ac:dyDescent="0.2">
      <c r="A1669" s="11" t="str">
        <f>HYPERLINK("https://assets.vans.eu/images/VN000MC06PH-HERO/1","VN000MC06PH1")</f>
        <v>VN000MC06PH1</v>
      </c>
      <c r="B1669" s="12" t="s">
        <v>6474</v>
      </c>
      <c r="C1669" s="12" t="s">
        <v>2898</v>
      </c>
      <c r="D1669" s="12" t="s">
        <v>1878</v>
      </c>
      <c r="E1669" s="12" t="s">
        <v>6475</v>
      </c>
      <c r="F1669" s="12" t="s">
        <v>138</v>
      </c>
      <c r="G1669" s="14"/>
      <c r="H1669" s="12" t="s">
        <v>61</v>
      </c>
      <c r="I1669" s="12" t="s">
        <v>289</v>
      </c>
      <c r="J1669" s="12" t="s">
        <v>706</v>
      </c>
      <c r="K1669" s="12" t="s">
        <v>100</v>
      </c>
      <c r="L1669" s="14"/>
      <c r="M1669" s="12" t="s">
        <v>43</v>
      </c>
      <c r="N1669" s="12" t="s">
        <v>44</v>
      </c>
      <c r="O1669" s="12" t="s">
        <v>6476</v>
      </c>
      <c r="P1669" s="12" t="s">
        <v>66</v>
      </c>
      <c r="Q1669" s="12" t="s">
        <v>67</v>
      </c>
      <c r="R1669" s="12" t="s">
        <v>1146</v>
      </c>
      <c r="S1669" s="13">
        <v>197643369479</v>
      </c>
      <c r="T1669" s="12" t="s">
        <v>49</v>
      </c>
      <c r="U1669" s="12" t="s">
        <v>138</v>
      </c>
      <c r="V1669" s="12" t="s">
        <v>2556</v>
      </c>
      <c r="W1669" s="12" t="s">
        <v>107</v>
      </c>
      <c r="X1669" s="13">
        <v>0</v>
      </c>
      <c r="Y1669" s="12" t="s">
        <v>91</v>
      </c>
      <c r="Z1669" s="12" t="s">
        <v>108</v>
      </c>
      <c r="AA1669" s="13">
        <v>0</v>
      </c>
      <c r="AB1669" s="13">
        <v>0</v>
      </c>
      <c r="AC1669" s="15">
        <v>15.5</v>
      </c>
      <c r="AD1669" s="15">
        <f>AC1669*AG1669</f>
        <v>46.5</v>
      </c>
      <c r="AE1669" s="15">
        <v>34</v>
      </c>
      <c r="AF1669" s="15">
        <f>AE1669*AG1669</f>
        <v>102</v>
      </c>
      <c r="AG1669" s="16">
        <v>3</v>
      </c>
    </row>
    <row r="1670" spans="1:33" ht="15" customHeight="1" x14ac:dyDescent="0.2">
      <c r="A1670" s="11" t="str">
        <f t="shared" ref="A1670:A3195" si="693">HYPERLINK("https://assets.vans.eu/images/VN000MC0WHT-HERO/1","VN000MC0WHT1")</f>
        <v>VN000MC0WHT1</v>
      </c>
      <c r="B1670" s="12" t="s">
        <v>6477</v>
      </c>
      <c r="C1670" s="12" t="s">
        <v>2898</v>
      </c>
      <c r="D1670" s="12" t="s">
        <v>168</v>
      </c>
      <c r="E1670" s="12" t="s">
        <v>6478</v>
      </c>
      <c r="F1670" s="12" t="s">
        <v>621</v>
      </c>
      <c r="G1670" s="14"/>
      <c r="H1670" s="12" t="s">
        <v>61</v>
      </c>
      <c r="I1670" s="12" t="s">
        <v>289</v>
      </c>
      <c r="J1670" s="12" t="s">
        <v>706</v>
      </c>
      <c r="K1670" s="12" t="s">
        <v>100</v>
      </c>
      <c r="L1670" s="14"/>
      <c r="M1670" s="12" t="s">
        <v>43</v>
      </c>
      <c r="N1670" s="12" t="s">
        <v>44</v>
      </c>
      <c r="O1670" s="12" t="s">
        <v>6479</v>
      </c>
      <c r="P1670" s="12" t="s">
        <v>66</v>
      </c>
      <c r="Q1670" s="12" t="s">
        <v>67</v>
      </c>
      <c r="R1670" s="12" t="s">
        <v>1146</v>
      </c>
      <c r="S1670" s="13">
        <v>197643369448</v>
      </c>
      <c r="T1670" s="12" t="s">
        <v>49</v>
      </c>
      <c r="U1670" s="12" t="s">
        <v>621</v>
      </c>
      <c r="V1670" s="12" t="s">
        <v>2556</v>
      </c>
      <c r="W1670" s="12" t="s">
        <v>175</v>
      </c>
      <c r="X1670" s="13">
        <v>0</v>
      </c>
      <c r="Y1670" s="12" t="s">
        <v>91</v>
      </c>
      <c r="Z1670" s="12" t="s">
        <v>108</v>
      </c>
      <c r="AA1670" s="13">
        <v>0</v>
      </c>
      <c r="AB1670" s="13">
        <v>0</v>
      </c>
      <c r="AC1670" s="15">
        <v>15.5</v>
      </c>
      <c r="AD1670" s="15">
        <f>AC1670*AG1670</f>
        <v>46.5</v>
      </c>
      <c r="AE1670" s="15">
        <v>34</v>
      </c>
      <c r="AF1670" s="15">
        <f>AE1670*AG1670</f>
        <v>102</v>
      </c>
      <c r="AG1670" s="16">
        <v>3</v>
      </c>
    </row>
    <row r="1671" spans="1:33" ht="15" customHeight="1" x14ac:dyDescent="0.2">
      <c r="A1671" s="11" t="str">
        <f t="shared" ref="A1671:A3198" si="694">HYPERLINK("https://assets.vans.eu/images/VN000MCRBLK-HERO/1","VN000MCRBLK1")</f>
        <v>VN000MCRBLK1</v>
      </c>
      <c r="B1671" s="12" t="s">
        <v>6480</v>
      </c>
      <c r="C1671" s="12" t="s">
        <v>6481</v>
      </c>
      <c r="D1671" s="12" t="s">
        <v>76</v>
      </c>
      <c r="E1671" s="12" t="s">
        <v>6482</v>
      </c>
      <c r="F1671" s="12" t="s">
        <v>403</v>
      </c>
      <c r="G1671" s="14"/>
      <c r="H1671" s="12" t="s">
        <v>61</v>
      </c>
      <c r="I1671" s="12" t="s">
        <v>289</v>
      </c>
      <c r="J1671" s="12" t="s">
        <v>706</v>
      </c>
      <c r="K1671" s="12" t="s">
        <v>100</v>
      </c>
      <c r="L1671" s="14"/>
      <c r="M1671" s="12" t="s">
        <v>43</v>
      </c>
      <c r="N1671" s="12" t="s">
        <v>44</v>
      </c>
      <c r="O1671" s="12" t="s">
        <v>6483</v>
      </c>
      <c r="P1671" s="12" t="s">
        <v>66</v>
      </c>
      <c r="Q1671" s="12" t="s">
        <v>67</v>
      </c>
      <c r="R1671" s="12" t="s">
        <v>1146</v>
      </c>
      <c r="S1671" s="13">
        <v>197643370987</v>
      </c>
      <c r="T1671" s="12" t="s">
        <v>499</v>
      </c>
      <c r="U1671" s="12" t="s">
        <v>403</v>
      </c>
      <c r="V1671" s="12" t="s">
        <v>70</v>
      </c>
      <c r="W1671" s="12" t="s">
        <v>51</v>
      </c>
      <c r="X1671" s="13">
        <v>0</v>
      </c>
      <c r="Y1671" s="12" t="s">
        <v>91</v>
      </c>
      <c r="Z1671" s="12" t="s">
        <v>108</v>
      </c>
      <c r="AA1671" s="13">
        <v>0</v>
      </c>
      <c r="AB1671" s="13">
        <v>0</v>
      </c>
      <c r="AC1671" s="15">
        <v>20.5</v>
      </c>
      <c r="AD1671" s="15">
        <f>AC1671*AG1671</f>
        <v>61.5</v>
      </c>
      <c r="AE1671" s="15">
        <v>45</v>
      </c>
      <c r="AF1671" s="15">
        <f>AE1671*AG1671</f>
        <v>135</v>
      </c>
      <c r="AG1671" s="16">
        <v>3</v>
      </c>
    </row>
    <row r="1672" spans="1:33" ht="15" customHeight="1" x14ac:dyDescent="0.2">
      <c r="A1672" s="11" t="str">
        <f t="shared" ref="A1672:A3201" si="695">HYPERLINK("https://assets.vans.eu/images/VN000MDSYB2-HERO/1","VN000MDSYB21")</f>
        <v>VN000MDSYB21</v>
      </c>
      <c r="B1672" s="12" t="s">
        <v>6484</v>
      </c>
      <c r="C1672" s="12" t="s">
        <v>6485</v>
      </c>
      <c r="D1672" s="12" t="s">
        <v>1138</v>
      </c>
      <c r="E1672" s="12" t="s">
        <v>6486</v>
      </c>
      <c r="F1672" s="12" t="s">
        <v>403</v>
      </c>
      <c r="G1672" s="14"/>
      <c r="H1672" s="12" t="s">
        <v>61</v>
      </c>
      <c r="I1672" s="12" t="s">
        <v>62</v>
      </c>
      <c r="J1672" s="12" t="s">
        <v>63</v>
      </c>
      <c r="K1672" s="12" t="s">
        <v>1022</v>
      </c>
      <c r="L1672" s="14"/>
      <c r="M1672" s="12" t="s">
        <v>43</v>
      </c>
      <c r="N1672" s="12" t="s">
        <v>44</v>
      </c>
      <c r="O1672" s="12" t="s">
        <v>6487</v>
      </c>
      <c r="P1672" s="12" t="s">
        <v>66</v>
      </c>
      <c r="Q1672" s="12" t="s">
        <v>67</v>
      </c>
      <c r="R1672" s="12" t="s">
        <v>68</v>
      </c>
      <c r="S1672" s="13">
        <v>197643372011</v>
      </c>
      <c r="T1672" s="12" t="s">
        <v>49</v>
      </c>
      <c r="U1672" s="12" t="s">
        <v>403</v>
      </c>
      <c r="V1672" s="12" t="s">
        <v>6488</v>
      </c>
      <c r="W1672" s="12" t="s">
        <v>175</v>
      </c>
      <c r="X1672" s="13">
        <v>0</v>
      </c>
      <c r="Y1672" s="12" t="s">
        <v>91</v>
      </c>
      <c r="Z1672" s="12" t="s">
        <v>108</v>
      </c>
      <c r="AA1672" s="13">
        <v>0</v>
      </c>
      <c r="AB1672" s="13">
        <v>0</v>
      </c>
      <c r="AC1672" s="15">
        <v>11.85</v>
      </c>
      <c r="AD1672" s="15">
        <f>AC1672*AG1672</f>
        <v>35.549999999999997</v>
      </c>
      <c r="AE1672" s="15">
        <v>26</v>
      </c>
      <c r="AF1672" s="15">
        <f>AE1672*AG1672</f>
        <v>78</v>
      </c>
      <c r="AG1672" s="16">
        <v>3</v>
      </c>
    </row>
    <row r="1673" spans="1:33" ht="15" customHeight="1" x14ac:dyDescent="0.2">
      <c r="A1673" s="11" t="str">
        <f>HYPERLINK("https://assets.vans.eu/images/VN000ME602F-HERO/1","VN000ME602F1")</f>
        <v>VN000ME602F1</v>
      </c>
      <c r="B1673" s="12" t="s">
        <v>6489</v>
      </c>
      <c r="C1673" s="12" t="s">
        <v>6490</v>
      </c>
      <c r="D1673" s="12" t="s">
        <v>857</v>
      </c>
      <c r="E1673" s="12" t="s">
        <v>6491</v>
      </c>
      <c r="F1673" s="12" t="s">
        <v>403</v>
      </c>
      <c r="G1673" s="14"/>
      <c r="H1673" s="12" t="s">
        <v>61</v>
      </c>
      <c r="I1673" s="12" t="s">
        <v>62</v>
      </c>
      <c r="J1673" s="12" t="s">
        <v>972</v>
      </c>
      <c r="K1673" s="12" t="s">
        <v>1022</v>
      </c>
      <c r="L1673" s="14"/>
      <c r="M1673" s="12" t="s">
        <v>43</v>
      </c>
      <c r="N1673" s="12" t="s">
        <v>44</v>
      </c>
      <c r="O1673" s="12" t="s">
        <v>6492</v>
      </c>
      <c r="P1673" s="12" t="s">
        <v>66</v>
      </c>
      <c r="Q1673" s="12" t="s">
        <v>233</v>
      </c>
      <c r="R1673" s="12" t="s">
        <v>974</v>
      </c>
      <c r="S1673" s="13">
        <v>197643372240</v>
      </c>
      <c r="T1673" s="12" t="s">
        <v>49</v>
      </c>
      <c r="U1673" s="12" t="s">
        <v>403</v>
      </c>
      <c r="V1673" s="12" t="s">
        <v>1343</v>
      </c>
      <c r="W1673" s="12" t="s">
        <v>455</v>
      </c>
      <c r="X1673" s="12" t="s">
        <v>500</v>
      </c>
      <c r="Y1673" s="12" t="s">
        <v>91</v>
      </c>
      <c r="Z1673" s="12" t="s">
        <v>108</v>
      </c>
      <c r="AA1673" s="13">
        <v>0</v>
      </c>
      <c r="AB1673" s="13">
        <v>0</v>
      </c>
      <c r="AC1673" s="15">
        <v>18.2</v>
      </c>
      <c r="AD1673" s="15">
        <f>AC1673*AG1673</f>
        <v>54.599999999999994</v>
      </c>
      <c r="AE1673" s="15">
        <v>40</v>
      </c>
      <c r="AF1673" s="15">
        <f>AE1673*AG1673</f>
        <v>120</v>
      </c>
      <c r="AG1673" s="16">
        <v>3</v>
      </c>
    </row>
    <row r="1674" spans="1:33" ht="15" customHeight="1" x14ac:dyDescent="0.2">
      <c r="A1674" s="11" t="str">
        <f>HYPERLINK("https://assets.vans.eu/images/VN000MJVDZ9-HERO/1","VN000MJVDZ91")</f>
        <v>VN000MJVDZ91</v>
      </c>
      <c r="B1674" s="12" t="s">
        <v>6493</v>
      </c>
      <c r="C1674" s="12" t="s">
        <v>1281</v>
      </c>
      <c r="D1674" s="12" t="s">
        <v>510</v>
      </c>
      <c r="E1674" s="12" t="s">
        <v>6494</v>
      </c>
      <c r="F1674" s="13">
        <v>25</v>
      </c>
      <c r="G1674" s="14"/>
      <c r="H1674" s="12" t="s">
        <v>61</v>
      </c>
      <c r="I1674" s="12" t="s">
        <v>62</v>
      </c>
      <c r="J1674" s="12" t="s">
        <v>972</v>
      </c>
      <c r="K1674" s="12" t="s">
        <v>64</v>
      </c>
      <c r="L1674" s="14"/>
      <c r="M1674" s="12" t="s">
        <v>43</v>
      </c>
      <c r="N1674" s="12" t="s">
        <v>44</v>
      </c>
      <c r="O1674" s="12" t="s">
        <v>6495</v>
      </c>
      <c r="P1674" s="12" t="s">
        <v>66</v>
      </c>
      <c r="Q1674" s="12" t="s">
        <v>233</v>
      </c>
      <c r="R1674" s="12" t="s">
        <v>1024</v>
      </c>
      <c r="S1674" s="13">
        <v>197643374657</v>
      </c>
      <c r="T1674" s="12" t="s">
        <v>235</v>
      </c>
      <c r="U1674" s="13">
        <v>25</v>
      </c>
      <c r="V1674" s="12" t="s">
        <v>665</v>
      </c>
      <c r="W1674" s="12" t="s">
        <v>186</v>
      </c>
      <c r="X1674" s="13">
        <v>0</v>
      </c>
      <c r="Y1674" s="12" t="s">
        <v>91</v>
      </c>
      <c r="Z1674" s="12" t="s">
        <v>108</v>
      </c>
      <c r="AA1674" s="13">
        <v>0</v>
      </c>
      <c r="AB1674" s="13">
        <v>0</v>
      </c>
      <c r="AC1674" s="15">
        <v>25</v>
      </c>
      <c r="AD1674" s="15">
        <f>AC1674*AG1674</f>
        <v>75</v>
      </c>
      <c r="AE1674" s="15">
        <v>55</v>
      </c>
      <c r="AF1674" s="15">
        <f>AE1674*AG1674</f>
        <v>165</v>
      </c>
      <c r="AG1674" s="16">
        <v>3</v>
      </c>
    </row>
    <row r="1675" spans="1:33" ht="15" customHeight="1" x14ac:dyDescent="0.2">
      <c r="A1675" s="11" t="str">
        <f t="shared" ref="A1675:A3213" si="696">HYPERLINK("https://assets.vans.eu/images/VN000MK2BL2-HERO/1","VN000MK2BL21")</f>
        <v>VN000MK2BL21</v>
      </c>
      <c r="B1675" s="12" t="s">
        <v>6496</v>
      </c>
      <c r="C1675" s="12" t="s">
        <v>6497</v>
      </c>
      <c r="D1675" s="12" t="s">
        <v>686</v>
      </c>
      <c r="E1675" s="12" t="s">
        <v>6498</v>
      </c>
      <c r="F1675" s="12" t="s">
        <v>60</v>
      </c>
      <c r="G1675" s="14"/>
      <c r="H1675" s="12" t="s">
        <v>61</v>
      </c>
      <c r="I1675" s="12" t="s">
        <v>62</v>
      </c>
      <c r="J1675" s="12" t="s">
        <v>63</v>
      </c>
      <c r="K1675" s="12" t="s">
        <v>64</v>
      </c>
      <c r="L1675" s="14"/>
      <c r="M1675" s="12" t="s">
        <v>43</v>
      </c>
      <c r="N1675" s="12" t="s">
        <v>44</v>
      </c>
      <c r="O1675" s="12" t="s">
        <v>6499</v>
      </c>
      <c r="P1675" s="12" t="s">
        <v>66</v>
      </c>
      <c r="Q1675" s="12" t="s">
        <v>67</v>
      </c>
      <c r="R1675" s="12" t="s">
        <v>68</v>
      </c>
      <c r="S1675" s="13">
        <v>197803401599</v>
      </c>
      <c r="T1675" s="12" t="s">
        <v>69</v>
      </c>
      <c r="U1675" s="12" t="s">
        <v>60</v>
      </c>
      <c r="V1675" s="12" t="s">
        <v>70</v>
      </c>
      <c r="W1675" s="12" t="s">
        <v>186</v>
      </c>
      <c r="X1675" s="12" t="s">
        <v>500</v>
      </c>
      <c r="Y1675" s="12" t="s">
        <v>91</v>
      </c>
      <c r="Z1675" s="12" t="s">
        <v>108</v>
      </c>
      <c r="AA1675" s="13">
        <v>0</v>
      </c>
      <c r="AB1675" s="13">
        <v>0</v>
      </c>
      <c r="AC1675" s="15">
        <v>13.65</v>
      </c>
      <c r="AD1675" s="15">
        <f>AC1675*AG1675</f>
        <v>40.950000000000003</v>
      </c>
      <c r="AE1675" s="15">
        <v>30</v>
      </c>
      <c r="AF1675" s="15">
        <f>AE1675*AG1675</f>
        <v>90</v>
      </c>
      <c r="AG1675" s="16">
        <v>3</v>
      </c>
    </row>
    <row r="1676" spans="1:33" ht="15" customHeight="1" x14ac:dyDescent="0.2">
      <c r="A1676" s="11" t="str">
        <f>HYPERLINK("https://assets.vans.eu/images/VN000MKQFS8-HERO/1","VN000MKQFS81")</f>
        <v>VN000MKQFS81</v>
      </c>
      <c r="B1676" s="12" t="s">
        <v>6500</v>
      </c>
      <c r="C1676" s="12" t="s">
        <v>6501</v>
      </c>
      <c r="D1676" s="12" t="s">
        <v>239</v>
      </c>
      <c r="E1676" s="12" t="s">
        <v>6502</v>
      </c>
      <c r="F1676" s="12" t="s">
        <v>60</v>
      </c>
      <c r="G1676" s="14"/>
      <c r="H1676" s="12" t="s">
        <v>61</v>
      </c>
      <c r="I1676" s="12" t="s">
        <v>62</v>
      </c>
      <c r="J1676" s="12" t="s">
        <v>63</v>
      </c>
      <c r="K1676" s="12" t="s">
        <v>64</v>
      </c>
      <c r="L1676" s="14"/>
      <c r="M1676" s="12" t="s">
        <v>43</v>
      </c>
      <c r="N1676" s="12" t="s">
        <v>44</v>
      </c>
      <c r="O1676" s="12" t="s">
        <v>6503</v>
      </c>
      <c r="P1676" s="12" t="s">
        <v>66</v>
      </c>
      <c r="Q1676" s="12" t="s">
        <v>67</v>
      </c>
      <c r="R1676" s="12" t="s">
        <v>68</v>
      </c>
      <c r="S1676" s="13">
        <v>197643375470</v>
      </c>
      <c r="T1676" s="12" t="s">
        <v>915</v>
      </c>
      <c r="U1676" s="12" t="s">
        <v>60</v>
      </c>
      <c r="V1676" s="12" t="s">
        <v>1028</v>
      </c>
      <c r="W1676" s="12" t="s">
        <v>175</v>
      </c>
      <c r="X1676" s="13">
        <v>0</v>
      </c>
      <c r="Y1676" s="12" t="s">
        <v>91</v>
      </c>
      <c r="Z1676" s="12" t="s">
        <v>108</v>
      </c>
      <c r="AA1676" s="13">
        <v>0</v>
      </c>
      <c r="AB1676" s="13">
        <v>0</v>
      </c>
      <c r="AC1676" s="15">
        <v>13.65</v>
      </c>
      <c r="AD1676" s="15">
        <f>AC1676*AG1676</f>
        <v>40.950000000000003</v>
      </c>
      <c r="AE1676" s="15">
        <v>30</v>
      </c>
      <c r="AF1676" s="15">
        <f>AE1676*AG1676</f>
        <v>90</v>
      </c>
      <c r="AG1676" s="16">
        <v>3</v>
      </c>
    </row>
    <row r="1677" spans="1:33" ht="15" customHeight="1" x14ac:dyDescent="0.2">
      <c r="A1677" s="11" t="str">
        <f>HYPERLINK("https://assets.vans.eu/images/VN000MKXRNE-HERO/1","VN000MKXRNE1")</f>
        <v>VN000MKXRNE1</v>
      </c>
      <c r="B1677" s="12" t="s">
        <v>6504</v>
      </c>
      <c r="C1677" s="12" t="s">
        <v>5286</v>
      </c>
      <c r="D1677" s="12" t="s">
        <v>4661</v>
      </c>
      <c r="E1677" s="12" t="s">
        <v>6505</v>
      </c>
      <c r="F1677" s="12" t="s">
        <v>60</v>
      </c>
      <c r="G1677" s="14"/>
      <c r="H1677" s="12" t="s">
        <v>61</v>
      </c>
      <c r="I1677" s="12" t="s">
        <v>62</v>
      </c>
      <c r="J1677" s="12" t="s">
        <v>63</v>
      </c>
      <c r="K1677" s="12" t="s">
        <v>64</v>
      </c>
      <c r="L1677" s="14"/>
      <c r="M1677" s="12" t="s">
        <v>43</v>
      </c>
      <c r="N1677" s="12" t="s">
        <v>44</v>
      </c>
      <c r="O1677" s="12" t="s">
        <v>6506</v>
      </c>
      <c r="P1677" s="12" t="s">
        <v>66</v>
      </c>
      <c r="Q1677" s="12" t="s">
        <v>67</v>
      </c>
      <c r="R1677" s="12" t="s">
        <v>68</v>
      </c>
      <c r="S1677" s="13">
        <v>197803421832</v>
      </c>
      <c r="T1677" s="12" t="s">
        <v>422</v>
      </c>
      <c r="U1677" s="12" t="s">
        <v>60</v>
      </c>
      <c r="V1677" s="12" t="s">
        <v>70</v>
      </c>
      <c r="W1677" s="12" t="s">
        <v>118</v>
      </c>
      <c r="X1677" s="13">
        <v>0</v>
      </c>
      <c r="Y1677" s="12" t="s">
        <v>91</v>
      </c>
      <c r="Z1677" s="12" t="s">
        <v>108</v>
      </c>
      <c r="AA1677" s="13">
        <v>0</v>
      </c>
      <c r="AB1677" s="13">
        <v>0</v>
      </c>
      <c r="AC1677" s="15">
        <v>13.65</v>
      </c>
      <c r="AD1677" s="15">
        <f>AC1677*AG1677</f>
        <v>40.950000000000003</v>
      </c>
      <c r="AE1677" s="15">
        <v>30</v>
      </c>
      <c r="AF1677" s="15">
        <f>AE1677*AG1677</f>
        <v>90</v>
      </c>
      <c r="AG1677" s="16">
        <v>3</v>
      </c>
    </row>
    <row r="1678" spans="1:33" ht="15" customHeight="1" x14ac:dyDescent="0.2">
      <c r="A1678" s="11" t="str">
        <f t="shared" ref="A1678:A3222" si="697">HYPERLINK("https://assets.vans.eu/images/VN000MM1WHT-HERO/1","VN000MM1WHT1")</f>
        <v>VN000MM1WHT1</v>
      </c>
      <c r="B1678" s="12" t="s">
        <v>6507</v>
      </c>
      <c r="C1678" s="12" t="s">
        <v>6508</v>
      </c>
      <c r="D1678" s="12" t="s">
        <v>168</v>
      </c>
      <c r="E1678" s="12" t="s">
        <v>6509</v>
      </c>
      <c r="F1678" s="12" t="s">
        <v>60</v>
      </c>
      <c r="G1678" s="14"/>
      <c r="H1678" s="12" t="s">
        <v>61</v>
      </c>
      <c r="I1678" s="12" t="s">
        <v>62</v>
      </c>
      <c r="J1678" s="12" t="s">
        <v>63</v>
      </c>
      <c r="K1678" s="12" t="s">
        <v>64</v>
      </c>
      <c r="L1678" s="14"/>
      <c r="M1678" s="12" t="s">
        <v>43</v>
      </c>
      <c r="N1678" s="12" t="s">
        <v>44</v>
      </c>
      <c r="O1678" s="12" t="s">
        <v>6510</v>
      </c>
      <c r="P1678" s="12" t="s">
        <v>66</v>
      </c>
      <c r="Q1678" s="12" t="s">
        <v>67</v>
      </c>
      <c r="R1678" s="12" t="s">
        <v>68</v>
      </c>
      <c r="S1678" s="13">
        <v>197643375906</v>
      </c>
      <c r="T1678" s="12" t="s">
        <v>915</v>
      </c>
      <c r="U1678" s="12" t="s">
        <v>60</v>
      </c>
      <c r="V1678" s="12" t="s">
        <v>1028</v>
      </c>
      <c r="W1678" s="12" t="s">
        <v>175</v>
      </c>
      <c r="X1678" s="12" t="s">
        <v>500</v>
      </c>
      <c r="Y1678" s="12" t="s">
        <v>91</v>
      </c>
      <c r="Z1678" s="12" t="s">
        <v>108</v>
      </c>
      <c r="AA1678" s="13">
        <v>0</v>
      </c>
      <c r="AB1678" s="13">
        <v>0</v>
      </c>
      <c r="AC1678" s="15">
        <v>13.65</v>
      </c>
      <c r="AD1678" s="15">
        <f>AC1678*AG1678</f>
        <v>40.950000000000003</v>
      </c>
      <c r="AE1678" s="15">
        <v>30</v>
      </c>
      <c r="AF1678" s="15">
        <f>AE1678*AG1678</f>
        <v>90</v>
      </c>
      <c r="AG1678" s="16">
        <v>3</v>
      </c>
    </row>
    <row r="1679" spans="1:33" ht="15" customHeight="1" x14ac:dyDescent="0.2">
      <c r="A1679" s="11" t="str">
        <f>HYPERLINK("https://assets.vans.eu/images/VN000MMMBLK-HERO/1","VN000MMMBLK1")</f>
        <v>VN000MMMBLK1</v>
      </c>
      <c r="B1679" s="12" t="s">
        <v>6511</v>
      </c>
      <c r="C1679" s="12" t="s">
        <v>6512</v>
      </c>
      <c r="D1679" s="12" t="s">
        <v>76</v>
      </c>
      <c r="E1679" s="12" t="s">
        <v>6513</v>
      </c>
      <c r="F1679" s="13">
        <v>3</v>
      </c>
      <c r="G1679" s="14"/>
      <c r="H1679" s="12" t="s">
        <v>61</v>
      </c>
      <c r="I1679" s="12" t="s">
        <v>1340</v>
      </c>
      <c r="J1679" s="12" t="s">
        <v>1341</v>
      </c>
      <c r="K1679" s="12" t="s">
        <v>64</v>
      </c>
      <c r="L1679" s="14"/>
      <c r="M1679" s="12" t="s">
        <v>43</v>
      </c>
      <c r="N1679" s="12" t="s">
        <v>44</v>
      </c>
      <c r="O1679" s="12" t="s">
        <v>6514</v>
      </c>
      <c r="P1679" s="12" t="s">
        <v>66</v>
      </c>
      <c r="Q1679" s="12" t="s">
        <v>67</v>
      </c>
      <c r="R1679" s="12" t="s">
        <v>68</v>
      </c>
      <c r="S1679" s="13">
        <v>197643376651</v>
      </c>
      <c r="T1679" s="12" t="s">
        <v>69</v>
      </c>
      <c r="U1679" s="13">
        <v>3</v>
      </c>
      <c r="V1679" s="12" t="s">
        <v>70</v>
      </c>
      <c r="W1679" s="12" t="s">
        <v>51</v>
      </c>
      <c r="X1679" s="13">
        <v>0</v>
      </c>
      <c r="Y1679" s="12" t="s">
        <v>91</v>
      </c>
      <c r="Z1679" s="12" t="s">
        <v>108</v>
      </c>
      <c r="AA1679" s="13">
        <v>0</v>
      </c>
      <c r="AB1679" s="13">
        <v>0</v>
      </c>
      <c r="AC1679" s="15">
        <v>10.95</v>
      </c>
      <c r="AD1679" s="15">
        <f>AC1679*AG1679</f>
        <v>32.849999999999994</v>
      </c>
      <c r="AE1679" s="15">
        <v>24</v>
      </c>
      <c r="AF1679" s="15">
        <f>AE1679*AG1679</f>
        <v>72</v>
      </c>
      <c r="AG1679" s="16">
        <v>3</v>
      </c>
    </row>
    <row r="1680" spans="1:33" ht="15" customHeight="1" x14ac:dyDescent="0.2">
      <c r="A1680" s="11" t="str">
        <f t="shared" si="486"/>
        <v>VN000MMTBLK1</v>
      </c>
      <c r="B1680" s="12" t="s">
        <v>6515</v>
      </c>
      <c r="C1680" s="12" t="s">
        <v>2515</v>
      </c>
      <c r="D1680" s="12" t="s">
        <v>76</v>
      </c>
      <c r="E1680" s="12" t="s">
        <v>6516</v>
      </c>
      <c r="F1680" s="13">
        <v>2</v>
      </c>
      <c r="G1680" s="14"/>
      <c r="H1680" s="12" t="s">
        <v>61</v>
      </c>
      <c r="I1680" s="12" t="s">
        <v>1340</v>
      </c>
      <c r="J1680" s="12" t="s">
        <v>1341</v>
      </c>
      <c r="K1680" s="12" t="s">
        <v>64</v>
      </c>
      <c r="L1680" s="14"/>
      <c r="M1680" s="12" t="s">
        <v>43</v>
      </c>
      <c r="N1680" s="12" t="s">
        <v>44</v>
      </c>
      <c r="O1680" s="12" t="s">
        <v>6517</v>
      </c>
      <c r="P1680" s="12" t="s">
        <v>66</v>
      </c>
      <c r="Q1680" s="12" t="s">
        <v>67</v>
      </c>
      <c r="R1680" s="12" t="s">
        <v>68</v>
      </c>
      <c r="S1680" s="13">
        <v>197643376736</v>
      </c>
      <c r="T1680" s="12" t="s">
        <v>422</v>
      </c>
      <c r="U1680" s="13">
        <v>2</v>
      </c>
      <c r="V1680" s="12" t="s">
        <v>70</v>
      </c>
      <c r="W1680" s="12" t="s">
        <v>51</v>
      </c>
      <c r="X1680" s="13">
        <v>0</v>
      </c>
      <c r="Y1680" s="12" t="s">
        <v>91</v>
      </c>
      <c r="Z1680" s="12" t="s">
        <v>108</v>
      </c>
      <c r="AA1680" s="13">
        <v>0</v>
      </c>
      <c r="AB1680" s="13">
        <v>0</v>
      </c>
      <c r="AC1680" s="15">
        <v>10.95</v>
      </c>
      <c r="AD1680" s="15">
        <f>AC1680*AG1680</f>
        <v>32.849999999999994</v>
      </c>
      <c r="AE1680" s="15">
        <v>24</v>
      </c>
      <c r="AF1680" s="15">
        <f>AE1680*AG1680</f>
        <v>72</v>
      </c>
      <c r="AG1680" s="16">
        <v>3</v>
      </c>
    </row>
    <row r="1681" spans="1:33" ht="15" customHeight="1" x14ac:dyDescent="0.2">
      <c r="A1681" s="11" t="str">
        <f>HYPERLINK("https://assets.vans.eu/images/VN000MMTBLK-HERO/1","VN000MMTBLK1")</f>
        <v>VN000MMTBLK1</v>
      </c>
      <c r="B1681" s="12" t="s">
        <v>6518</v>
      </c>
      <c r="C1681" s="12" t="s">
        <v>2515</v>
      </c>
      <c r="D1681" s="12" t="s">
        <v>76</v>
      </c>
      <c r="E1681" s="12" t="s">
        <v>6519</v>
      </c>
      <c r="F1681" s="13">
        <v>3</v>
      </c>
      <c r="G1681" s="14"/>
      <c r="H1681" s="12" t="s">
        <v>61</v>
      </c>
      <c r="I1681" s="12" t="s">
        <v>1340</v>
      </c>
      <c r="J1681" s="12" t="s">
        <v>1341</v>
      </c>
      <c r="K1681" s="12" t="s">
        <v>64</v>
      </c>
      <c r="L1681" s="14"/>
      <c r="M1681" s="12" t="s">
        <v>43</v>
      </c>
      <c r="N1681" s="12" t="s">
        <v>44</v>
      </c>
      <c r="O1681" s="12" t="s">
        <v>6520</v>
      </c>
      <c r="P1681" s="12" t="s">
        <v>66</v>
      </c>
      <c r="Q1681" s="12" t="s">
        <v>67</v>
      </c>
      <c r="R1681" s="12" t="s">
        <v>68</v>
      </c>
      <c r="S1681" s="13">
        <v>197643376774</v>
      </c>
      <c r="T1681" s="12" t="s">
        <v>422</v>
      </c>
      <c r="U1681" s="13">
        <v>3</v>
      </c>
      <c r="V1681" s="12" t="s">
        <v>70</v>
      </c>
      <c r="W1681" s="12" t="s">
        <v>51</v>
      </c>
      <c r="X1681" s="13">
        <v>0</v>
      </c>
      <c r="Y1681" s="12" t="s">
        <v>91</v>
      </c>
      <c r="Z1681" s="12" t="s">
        <v>108</v>
      </c>
      <c r="AA1681" s="13">
        <v>0</v>
      </c>
      <c r="AB1681" s="13">
        <v>0</v>
      </c>
      <c r="AC1681" s="15">
        <v>10.95</v>
      </c>
      <c r="AD1681" s="15">
        <f>AC1681*AG1681</f>
        <v>32.849999999999994</v>
      </c>
      <c r="AE1681" s="15">
        <v>24</v>
      </c>
      <c r="AF1681" s="15">
        <f>AE1681*AG1681</f>
        <v>72</v>
      </c>
      <c r="AG1681" s="16">
        <v>3</v>
      </c>
    </row>
    <row r="1682" spans="1:33" ht="15" customHeight="1" x14ac:dyDescent="0.2">
      <c r="A1682" s="11" t="str">
        <f t="shared" ref="A1682:A3229" si="698">HYPERLINK("https://assets.vans.eu/images/VN000MN2BR1-HERO/1","VN000MN2BR11")</f>
        <v>VN000MN2BR11</v>
      </c>
      <c r="B1682" s="12" t="s">
        <v>6521</v>
      </c>
      <c r="C1682" s="12" t="s">
        <v>4158</v>
      </c>
      <c r="D1682" s="12" t="s">
        <v>496</v>
      </c>
      <c r="E1682" s="12" t="s">
        <v>6522</v>
      </c>
      <c r="F1682" s="12" t="s">
        <v>179</v>
      </c>
      <c r="G1682" s="14"/>
      <c r="H1682" s="12" t="s">
        <v>61</v>
      </c>
      <c r="I1682" s="12" t="s">
        <v>289</v>
      </c>
      <c r="J1682" s="12" t="s">
        <v>900</v>
      </c>
      <c r="K1682" s="12" t="s">
        <v>100</v>
      </c>
      <c r="L1682" s="14"/>
      <c r="M1682" s="12" t="s">
        <v>43</v>
      </c>
      <c r="N1682" s="12" t="s">
        <v>44</v>
      </c>
      <c r="O1682" s="12" t="s">
        <v>6523</v>
      </c>
      <c r="P1682" s="12" t="s">
        <v>66</v>
      </c>
      <c r="Q1682" s="12" t="s">
        <v>233</v>
      </c>
      <c r="R1682" s="12" t="s">
        <v>902</v>
      </c>
      <c r="S1682" s="13">
        <v>197643377023</v>
      </c>
      <c r="T1682" s="12" t="s">
        <v>49</v>
      </c>
      <c r="U1682" s="12" t="s">
        <v>179</v>
      </c>
      <c r="V1682" s="12" t="s">
        <v>90</v>
      </c>
      <c r="W1682" s="12" t="s">
        <v>118</v>
      </c>
      <c r="X1682" s="13">
        <v>0</v>
      </c>
      <c r="Y1682" s="12" t="s">
        <v>53</v>
      </c>
      <c r="Z1682" s="12" t="s">
        <v>108</v>
      </c>
      <c r="AA1682" s="13">
        <v>0</v>
      </c>
      <c r="AB1682" s="13">
        <v>0</v>
      </c>
      <c r="AC1682" s="15">
        <v>36.4</v>
      </c>
      <c r="AD1682" s="15">
        <f>AC1682*AG1682</f>
        <v>109.19999999999999</v>
      </c>
      <c r="AE1682" s="15">
        <v>80</v>
      </c>
      <c r="AF1682" s="15">
        <f>AE1682*AG1682</f>
        <v>240</v>
      </c>
      <c r="AG1682" s="16">
        <v>3</v>
      </c>
    </row>
    <row r="1683" spans="1:33" ht="15" customHeight="1" x14ac:dyDescent="0.2">
      <c r="A1683" s="11" t="str">
        <f>HYPERLINK("https://assets.vans.eu/images/VN000NDNCUQ-HERO/1","VN000NDNCUQ1")</f>
        <v>VN000NDNCUQ1</v>
      </c>
      <c r="B1683" s="12" t="s">
        <v>6524</v>
      </c>
      <c r="C1683" s="12" t="s">
        <v>6525</v>
      </c>
      <c r="D1683" s="12" t="s">
        <v>6526</v>
      </c>
      <c r="E1683" s="12" t="s">
        <v>6527</v>
      </c>
      <c r="F1683" s="12" t="s">
        <v>403</v>
      </c>
      <c r="G1683" s="14"/>
      <c r="H1683" s="12" t="s">
        <v>61</v>
      </c>
      <c r="I1683" s="12" t="s">
        <v>289</v>
      </c>
      <c r="J1683" s="12" t="s">
        <v>984</v>
      </c>
      <c r="K1683" s="12" t="s">
        <v>100</v>
      </c>
      <c r="L1683" s="14"/>
      <c r="M1683" s="12" t="s">
        <v>43</v>
      </c>
      <c r="N1683" s="12" t="s">
        <v>84</v>
      </c>
      <c r="O1683" s="12" t="s">
        <v>6528</v>
      </c>
      <c r="P1683" s="12" t="s">
        <v>66</v>
      </c>
      <c r="Q1683" s="12" t="s">
        <v>764</v>
      </c>
      <c r="R1683" s="12" t="s">
        <v>986</v>
      </c>
      <c r="S1683" s="13">
        <v>197642462249</v>
      </c>
      <c r="T1683" s="12" t="s">
        <v>49</v>
      </c>
      <c r="U1683" s="12" t="s">
        <v>403</v>
      </c>
      <c r="V1683" s="12" t="s">
        <v>3746</v>
      </c>
      <c r="W1683" s="12" t="s">
        <v>118</v>
      </c>
      <c r="X1683" s="13">
        <v>0</v>
      </c>
      <c r="Y1683" s="12" t="s">
        <v>91</v>
      </c>
      <c r="Z1683" s="12" t="s">
        <v>108</v>
      </c>
      <c r="AA1683" s="13">
        <v>0</v>
      </c>
      <c r="AB1683" s="12" t="s">
        <v>264</v>
      </c>
      <c r="AC1683" s="15">
        <v>52.3</v>
      </c>
      <c r="AD1683" s="15">
        <f>AC1683*AG1683</f>
        <v>156.89999999999998</v>
      </c>
      <c r="AE1683" s="15">
        <v>115</v>
      </c>
      <c r="AF1683" s="15">
        <f>AE1683*AG1683</f>
        <v>345</v>
      </c>
      <c r="AG1683" s="16">
        <v>3</v>
      </c>
    </row>
    <row r="1684" spans="1:33" ht="15" customHeight="1" x14ac:dyDescent="0.2">
      <c r="A1684" s="11" t="str">
        <f>HYPERLINK("https://assets.vans.eu/images/VN000NDUBLK-HERO/1","VN000NDUBLK1")</f>
        <v>VN000NDUBLK1</v>
      </c>
      <c r="B1684" s="12" t="s">
        <v>6529</v>
      </c>
      <c r="C1684" s="12" t="s">
        <v>6530</v>
      </c>
      <c r="D1684" s="12" t="s">
        <v>76</v>
      </c>
      <c r="E1684" s="12" t="s">
        <v>6531</v>
      </c>
      <c r="F1684" s="12" t="s">
        <v>153</v>
      </c>
      <c r="G1684" s="14"/>
      <c r="H1684" s="12" t="s">
        <v>61</v>
      </c>
      <c r="I1684" s="12" t="s">
        <v>230</v>
      </c>
      <c r="J1684" s="12" t="s">
        <v>762</v>
      </c>
      <c r="K1684" s="12" t="s">
        <v>199</v>
      </c>
      <c r="L1684" s="12" t="s">
        <v>260</v>
      </c>
      <c r="M1684" s="12" t="s">
        <v>43</v>
      </c>
      <c r="N1684" s="12" t="s">
        <v>161</v>
      </c>
      <c r="O1684" s="12" t="s">
        <v>6532</v>
      </c>
      <c r="P1684" s="12" t="s">
        <v>66</v>
      </c>
      <c r="Q1684" s="12" t="s">
        <v>764</v>
      </c>
      <c r="R1684" s="12" t="s">
        <v>765</v>
      </c>
      <c r="S1684" s="13">
        <v>197642389355</v>
      </c>
      <c r="T1684" s="12" t="s">
        <v>49</v>
      </c>
      <c r="U1684" s="12" t="s">
        <v>153</v>
      </c>
      <c r="V1684" s="12" t="s">
        <v>3746</v>
      </c>
      <c r="W1684" s="12" t="s">
        <v>51</v>
      </c>
      <c r="X1684" s="13">
        <v>0</v>
      </c>
      <c r="Y1684" s="12" t="s">
        <v>91</v>
      </c>
      <c r="Z1684" s="12" t="s">
        <v>108</v>
      </c>
      <c r="AA1684" s="13">
        <v>0</v>
      </c>
      <c r="AB1684" s="12" t="s">
        <v>264</v>
      </c>
      <c r="AC1684" s="15">
        <v>59.1</v>
      </c>
      <c r="AD1684" s="15">
        <f>AC1684*AG1684</f>
        <v>177.3</v>
      </c>
      <c r="AE1684" s="15">
        <v>130</v>
      </c>
      <c r="AF1684" s="15">
        <f>AE1684*AG1684</f>
        <v>390</v>
      </c>
      <c r="AG1684" s="16">
        <v>3</v>
      </c>
    </row>
    <row r="1685" spans="1:33" ht="15" customHeight="1" x14ac:dyDescent="0.2">
      <c r="A1685" s="11" t="str">
        <f>HYPERLINK("https://assets.vans.eu/images/VN000NKS02F-HERO/1","VN000NKS02F1")</f>
        <v>VN000NKS02F1</v>
      </c>
      <c r="B1685" s="12" t="s">
        <v>6533</v>
      </c>
      <c r="C1685" s="12" t="s">
        <v>6534</v>
      </c>
      <c r="D1685" s="12" t="s">
        <v>857</v>
      </c>
      <c r="E1685" s="12" t="s">
        <v>6535</v>
      </c>
      <c r="F1685" s="12" t="s">
        <v>621</v>
      </c>
      <c r="G1685" s="14"/>
      <c r="H1685" s="12" t="s">
        <v>61</v>
      </c>
      <c r="I1685" s="12" t="s">
        <v>230</v>
      </c>
      <c r="J1685" s="12" t="s">
        <v>419</v>
      </c>
      <c r="K1685" s="12" t="s">
        <v>199</v>
      </c>
      <c r="L1685" s="14"/>
      <c r="M1685" s="12" t="s">
        <v>43</v>
      </c>
      <c r="N1685" s="12" t="s">
        <v>44</v>
      </c>
      <c r="O1685" s="12" t="s">
        <v>6536</v>
      </c>
      <c r="P1685" s="12" t="s">
        <v>66</v>
      </c>
      <c r="Q1685" s="12" t="s">
        <v>67</v>
      </c>
      <c r="R1685" s="12" t="s">
        <v>421</v>
      </c>
      <c r="S1685" s="13">
        <v>197643421382</v>
      </c>
      <c r="T1685" s="12" t="s">
        <v>49</v>
      </c>
      <c r="U1685" s="12" t="s">
        <v>621</v>
      </c>
      <c r="V1685" s="12" t="s">
        <v>665</v>
      </c>
      <c r="W1685" s="12" t="s">
        <v>455</v>
      </c>
      <c r="X1685" s="13">
        <v>0</v>
      </c>
      <c r="Y1685" s="12" t="s">
        <v>53</v>
      </c>
      <c r="Z1685" s="12" t="s">
        <v>108</v>
      </c>
      <c r="AA1685" s="13">
        <v>0</v>
      </c>
      <c r="AB1685" s="13">
        <v>0</v>
      </c>
      <c r="AC1685" s="15">
        <v>20.5</v>
      </c>
      <c r="AD1685" s="15">
        <f>AC1685*AG1685</f>
        <v>61.5</v>
      </c>
      <c r="AE1685" s="15">
        <v>45</v>
      </c>
      <c r="AF1685" s="15">
        <f>AE1685*AG1685</f>
        <v>135</v>
      </c>
      <c r="AG1685" s="16">
        <v>3</v>
      </c>
    </row>
    <row r="1686" spans="1:33" ht="15" customHeight="1" x14ac:dyDescent="0.2">
      <c r="A1686" s="11" t="str">
        <f t="shared" ref="A1686:A3235" si="699">HYPERLINK("https://assets.vans.eu/images/VN000NTSD6Z-HERO/1","VN000NTSD6Z1")</f>
        <v>VN000NTSD6Z1</v>
      </c>
      <c r="B1686" s="12" t="s">
        <v>6537</v>
      </c>
      <c r="C1686" s="12" t="s">
        <v>1418</v>
      </c>
      <c r="D1686" s="12" t="s">
        <v>1277</v>
      </c>
      <c r="E1686" s="12" t="s">
        <v>6538</v>
      </c>
      <c r="F1686" s="12" t="s">
        <v>179</v>
      </c>
      <c r="G1686" s="14"/>
      <c r="H1686" s="12" t="s">
        <v>61</v>
      </c>
      <c r="I1686" s="12" t="s">
        <v>230</v>
      </c>
      <c r="J1686" s="12" t="s">
        <v>419</v>
      </c>
      <c r="K1686" s="12" t="s">
        <v>199</v>
      </c>
      <c r="L1686" s="12" t="s">
        <v>83</v>
      </c>
      <c r="M1686" s="12" t="s">
        <v>43</v>
      </c>
      <c r="N1686" s="12" t="s">
        <v>44</v>
      </c>
      <c r="O1686" s="12" t="s">
        <v>6539</v>
      </c>
      <c r="P1686" s="12" t="s">
        <v>66</v>
      </c>
      <c r="Q1686" s="12" t="s">
        <v>67</v>
      </c>
      <c r="R1686" s="12" t="s">
        <v>421</v>
      </c>
      <c r="S1686" s="13">
        <v>197803401988</v>
      </c>
      <c r="T1686" s="12" t="s">
        <v>69</v>
      </c>
      <c r="U1686" s="12" t="s">
        <v>179</v>
      </c>
      <c r="V1686" s="12" t="s">
        <v>423</v>
      </c>
      <c r="W1686" s="12" t="s">
        <v>299</v>
      </c>
      <c r="X1686" s="13">
        <v>0</v>
      </c>
      <c r="Y1686" s="12" t="s">
        <v>53</v>
      </c>
      <c r="Z1686" s="12" t="s">
        <v>108</v>
      </c>
      <c r="AA1686" s="13">
        <v>0</v>
      </c>
      <c r="AB1686" s="12" t="s">
        <v>616</v>
      </c>
      <c r="AC1686" s="15">
        <v>22.75</v>
      </c>
      <c r="AD1686" s="15">
        <f>AC1686*AG1686</f>
        <v>68.25</v>
      </c>
      <c r="AE1686" s="15">
        <v>50</v>
      </c>
      <c r="AF1686" s="15">
        <f>AE1686*AG1686</f>
        <v>150</v>
      </c>
      <c r="AG1686" s="16">
        <v>3</v>
      </c>
    </row>
    <row r="1687" spans="1:33" ht="15" customHeight="1" x14ac:dyDescent="0.2">
      <c r="A1687" s="11" t="str">
        <f>HYPERLINK("https://assets.vans.eu/images/VN000NWQWHT-HERO/1","VN000NWQWHT1")</f>
        <v>VN000NWQWHT1</v>
      </c>
      <c r="B1687" s="12" t="s">
        <v>6540</v>
      </c>
      <c r="C1687" s="12" t="s">
        <v>3412</v>
      </c>
      <c r="D1687" s="12" t="s">
        <v>168</v>
      </c>
      <c r="E1687" s="12" t="s">
        <v>6541</v>
      </c>
      <c r="F1687" s="12" t="s">
        <v>170</v>
      </c>
      <c r="G1687" s="14"/>
      <c r="H1687" s="12" t="s">
        <v>61</v>
      </c>
      <c r="I1687" s="12" t="s">
        <v>62</v>
      </c>
      <c r="J1687" s="12" t="s">
        <v>63</v>
      </c>
      <c r="K1687" s="12" t="s">
        <v>64</v>
      </c>
      <c r="L1687" s="12" t="s">
        <v>83</v>
      </c>
      <c r="M1687" s="12" t="s">
        <v>43</v>
      </c>
      <c r="N1687" s="12" t="s">
        <v>44</v>
      </c>
      <c r="O1687" s="12" t="s">
        <v>6542</v>
      </c>
      <c r="P1687" s="12" t="s">
        <v>66</v>
      </c>
      <c r="Q1687" s="12" t="s">
        <v>67</v>
      </c>
      <c r="R1687" s="12" t="s">
        <v>68</v>
      </c>
      <c r="S1687" s="13">
        <v>197803404019</v>
      </c>
      <c r="T1687" s="12" t="s">
        <v>422</v>
      </c>
      <c r="U1687" s="12" t="s">
        <v>170</v>
      </c>
      <c r="V1687" s="12" t="s">
        <v>70</v>
      </c>
      <c r="W1687" s="12" t="s">
        <v>175</v>
      </c>
      <c r="X1687" s="13">
        <v>0</v>
      </c>
      <c r="Y1687" s="12" t="s">
        <v>91</v>
      </c>
      <c r="Z1687" s="12" t="s">
        <v>108</v>
      </c>
      <c r="AA1687" s="13">
        <v>0</v>
      </c>
      <c r="AB1687" s="12" t="s">
        <v>616</v>
      </c>
      <c r="AC1687" s="15">
        <v>14.55</v>
      </c>
      <c r="AD1687" s="15">
        <f>AC1687*AG1687</f>
        <v>43.650000000000006</v>
      </c>
      <c r="AE1687" s="15">
        <v>32</v>
      </c>
      <c r="AF1687" s="15">
        <f>AE1687*AG1687</f>
        <v>96</v>
      </c>
      <c r="AG1687" s="16">
        <v>3</v>
      </c>
    </row>
    <row r="1688" spans="1:33" ht="15" customHeight="1" x14ac:dyDescent="0.2">
      <c r="A1688" s="11" t="str">
        <f t="shared" ref="A1688:A3247" si="700">HYPERLINK("https://assets.vans.eu/images/VN000P1P12Q-HERO/1","VN000P1P12Q1")</f>
        <v>VN000P1P12Q1</v>
      </c>
      <c r="B1688" s="12" t="s">
        <v>6543</v>
      </c>
      <c r="C1688" s="12" t="s">
        <v>2706</v>
      </c>
      <c r="D1688" s="12" t="s">
        <v>2466</v>
      </c>
      <c r="E1688" s="12" t="s">
        <v>6544</v>
      </c>
      <c r="F1688" s="12" t="s">
        <v>179</v>
      </c>
      <c r="G1688" s="14"/>
      <c r="H1688" s="12" t="s">
        <v>61</v>
      </c>
      <c r="I1688" s="12" t="s">
        <v>230</v>
      </c>
      <c r="J1688" s="12" t="s">
        <v>419</v>
      </c>
      <c r="K1688" s="12" t="s">
        <v>199</v>
      </c>
      <c r="L1688" s="12" t="s">
        <v>115</v>
      </c>
      <c r="M1688" s="12" t="s">
        <v>43</v>
      </c>
      <c r="N1688" s="12" t="s">
        <v>84</v>
      </c>
      <c r="O1688" s="12" t="s">
        <v>6545</v>
      </c>
      <c r="P1688" s="12" t="s">
        <v>66</v>
      </c>
      <c r="Q1688" s="12" t="s">
        <v>67</v>
      </c>
      <c r="R1688" s="12" t="s">
        <v>421</v>
      </c>
      <c r="S1688" s="13">
        <v>198266982250</v>
      </c>
      <c r="T1688" s="12" t="s">
        <v>422</v>
      </c>
      <c r="U1688" s="12" t="s">
        <v>179</v>
      </c>
      <c r="V1688" s="12" t="s">
        <v>423</v>
      </c>
      <c r="W1688" s="12" t="s">
        <v>625</v>
      </c>
      <c r="X1688" s="14"/>
      <c r="Y1688" s="14"/>
      <c r="Z1688" s="14"/>
      <c r="AA1688" s="14"/>
      <c r="AB1688" s="14"/>
      <c r="AC1688" s="15">
        <v>13.65</v>
      </c>
      <c r="AD1688" s="15">
        <f>AC1688*AG1688</f>
        <v>40.950000000000003</v>
      </c>
      <c r="AE1688" s="15">
        <v>30</v>
      </c>
      <c r="AF1688" s="15">
        <f>AE1688*AG1688</f>
        <v>90</v>
      </c>
      <c r="AG1688" s="16">
        <v>3</v>
      </c>
    </row>
    <row r="1689" spans="1:33" ht="15" customHeight="1" x14ac:dyDescent="0.2">
      <c r="A1689" s="11" t="str">
        <f t="shared" si="566"/>
        <v>VN000P1PEML1</v>
      </c>
      <c r="B1689" s="12" t="s">
        <v>6546</v>
      </c>
      <c r="C1689" s="12" t="s">
        <v>2706</v>
      </c>
      <c r="D1689" s="12" t="s">
        <v>3126</v>
      </c>
      <c r="E1689" s="12" t="s">
        <v>6547</v>
      </c>
      <c r="F1689" s="12" t="s">
        <v>170</v>
      </c>
      <c r="G1689" s="14"/>
      <c r="H1689" s="12" t="s">
        <v>61</v>
      </c>
      <c r="I1689" s="12" t="s">
        <v>230</v>
      </c>
      <c r="J1689" s="12" t="s">
        <v>419</v>
      </c>
      <c r="K1689" s="12" t="s">
        <v>199</v>
      </c>
      <c r="L1689" s="12" t="s">
        <v>83</v>
      </c>
      <c r="M1689" s="12" t="s">
        <v>43</v>
      </c>
      <c r="N1689" s="12" t="s">
        <v>84</v>
      </c>
      <c r="O1689" s="12" t="s">
        <v>6548</v>
      </c>
      <c r="P1689" s="12" t="s">
        <v>66</v>
      </c>
      <c r="Q1689" s="12" t="s">
        <v>67</v>
      </c>
      <c r="R1689" s="12" t="s">
        <v>421</v>
      </c>
      <c r="S1689" s="13">
        <v>197804294411</v>
      </c>
      <c r="T1689" s="12" t="s">
        <v>422</v>
      </c>
      <c r="U1689" s="12" t="s">
        <v>170</v>
      </c>
      <c r="V1689" s="12" t="s">
        <v>70</v>
      </c>
      <c r="W1689" s="12" t="s">
        <v>284</v>
      </c>
      <c r="X1689" s="14"/>
      <c r="Y1689" s="14"/>
      <c r="Z1689" s="14"/>
      <c r="AA1689" s="14"/>
      <c r="AB1689" s="14"/>
      <c r="AC1689" s="15">
        <v>13.65</v>
      </c>
      <c r="AD1689" s="15">
        <f>AC1689*AG1689</f>
        <v>40.950000000000003</v>
      </c>
      <c r="AE1689" s="15">
        <v>30</v>
      </c>
      <c r="AF1689" s="15">
        <f>AE1689*AG1689</f>
        <v>90</v>
      </c>
      <c r="AG1689" s="16">
        <v>3</v>
      </c>
    </row>
    <row r="1690" spans="1:33" ht="15" customHeight="1" x14ac:dyDescent="0.2">
      <c r="A1690" s="11" t="str">
        <f t="shared" ref="A1690:A2176" si="701">HYPERLINK("https://assets.vans.eu/images/VN000P1PEMU-HERO/1","VN000P1PEMU1")</f>
        <v>VN000P1PEMU1</v>
      </c>
      <c r="B1690" s="12" t="s">
        <v>6549</v>
      </c>
      <c r="C1690" s="12" t="s">
        <v>2706</v>
      </c>
      <c r="D1690" s="12" t="s">
        <v>1319</v>
      </c>
      <c r="E1690" s="12" t="s">
        <v>6550</v>
      </c>
      <c r="F1690" s="12" t="s">
        <v>60</v>
      </c>
      <c r="G1690" s="14"/>
      <c r="H1690" s="12" t="s">
        <v>61</v>
      </c>
      <c r="I1690" s="12" t="s">
        <v>230</v>
      </c>
      <c r="J1690" s="12" t="s">
        <v>419</v>
      </c>
      <c r="K1690" s="12" t="s">
        <v>199</v>
      </c>
      <c r="L1690" s="12" t="s">
        <v>83</v>
      </c>
      <c r="M1690" s="12" t="s">
        <v>43</v>
      </c>
      <c r="N1690" s="12" t="s">
        <v>84</v>
      </c>
      <c r="O1690" s="12" t="s">
        <v>6551</v>
      </c>
      <c r="P1690" s="12" t="s">
        <v>66</v>
      </c>
      <c r="Q1690" s="12" t="s">
        <v>67</v>
      </c>
      <c r="R1690" s="12" t="s">
        <v>421</v>
      </c>
      <c r="S1690" s="13">
        <v>197804294725</v>
      </c>
      <c r="T1690" s="12" t="s">
        <v>422</v>
      </c>
      <c r="U1690" s="12" t="s">
        <v>60</v>
      </c>
      <c r="V1690" s="12" t="s">
        <v>70</v>
      </c>
      <c r="W1690" s="12" t="s">
        <v>118</v>
      </c>
      <c r="X1690" s="14"/>
      <c r="Y1690" s="14"/>
      <c r="Z1690" s="14"/>
      <c r="AA1690" s="14"/>
      <c r="AB1690" s="14"/>
      <c r="AC1690" s="15">
        <v>13.65</v>
      </c>
      <c r="AD1690" s="15">
        <f>AC1690*AG1690</f>
        <v>40.950000000000003</v>
      </c>
      <c r="AE1690" s="15">
        <v>30</v>
      </c>
      <c r="AF1690" s="15">
        <f>AE1690*AG1690</f>
        <v>90</v>
      </c>
      <c r="AG1690" s="16">
        <v>3</v>
      </c>
    </row>
    <row r="1691" spans="1:33" ht="15" customHeight="1" x14ac:dyDescent="0.2">
      <c r="A1691" s="11" t="str">
        <f t="shared" ref="A1691:A3258" si="702">HYPERLINK("https://assets.vans.eu/images/VN000P1S1QI-HERO/1","VN000P1S1QI1")</f>
        <v>VN000P1S1QI1</v>
      </c>
      <c r="B1691" s="12" t="s">
        <v>6552</v>
      </c>
      <c r="C1691" s="12" t="s">
        <v>6553</v>
      </c>
      <c r="D1691" s="12" t="s">
        <v>1592</v>
      </c>
      <c r="E1691" s="12" t="s">
        <v>6554</v>
      </c>
      <c r="F1691" s="12" t="s">
        <v>621</v>
      </c>
      <c r="G1691" s="14"/>
      <c r="H1691" s="12" t="s">
        <v>61</v>
      </c>
      <c r="I1691" s="12" t="s">
        <v>230</v>
      </c>
      <c r="J1691" s="12" t="s">
        <v>419</v>
      </c>
      <c r="K1691" s="12" t="s">
        <v>199</v>
      </c>
      <c r="L1691" s="12" t="s">
        <v>83</v>
      </c>
      <c r="M1691" s="12" t="s">
        <v>43</v>
      </c>
      <c r="N1691" s="12" t="s">
        <v>84</v>
      </c>
      <c r="O1691" s="12" t="s">
        <v>6555</v>
      </c>
      <c r="P1691" s="12" t="s">
        <v>66</v>
      </c>
      <c r="Q1691" s="12" t="s">
        <v>67</v>
      </c>
      <c r="R1691" s="12" t="s">
        <v>421</v>
      </c>
      <c r="S1691" s="13">
        <v>197803405696</v>
      </c>
      <c r="T1691" s="12" t="s">
        <v>422</v>
      </c>
      <c r="U1691" s="12" t="s">
        <v>621</v>
      </c>
      <c r="V1691" s="12" t="s">
        <v>6556</v>
      </c>
      <c r="W1691" s="12" t="s">
        <v>455</v>
      </c>
      <c r="X1691" s="13">
        <v>0</v>
      </c>
      <c r="Y1691" s="12" t="s">
        <v>91</v>
      </c>
      <c r="Z1691" s="12" t="s">
        <v>108</v>
      </c>
      <c r="AA1691" s="13">
        <v>0</v>
      </c>
      <c r="AB1691" s="12" t="s">
        <v>616</v>
      </c>
      <c r="AC1691" s="15">
        <v>18.2</v>
      </c>
      <c r="AD1691" s="15">
        <f>AC1691*AG1691</f>
        <v>54.599999999999994</v>
      </c>
      <c r="AE1691" s="15">
        <v>40</v>
      </c>
      <c r="AF1691" s="15">
        <f>AE1691*AG1691</f>
        <v>120</v>
      </c>
      <c r="AG1691" s="16">
        <v>3</v>
      </c>
    </row>
    <row r="1692" spans="1:33" ht="15" customHeight="1" x14ac:dyDescent="0.2">
      <c r="A1692" s="11" t="str">
        <f>HYPERLINK("https://assets.vans.eu/images/VN000P21EMU-HERO/1","VN000P21EMU1")</f>
        <v>VN000P21EMU1</v>
      </c>
      <c r="B1692" s="12" t="s">
        <v>6557</v>
      </c>
      <c r="C1692" s="12" t="s">
        <v>3728</v>
      </c>
      <c r="D1692" s="12" t="s">
        <v>1319</v>
      </c>
      <c r="E1692" s="12" t="s">
        <v>6558</v>
      </c>
      <c r="F1692" s="12" t="s">
        <v>153</v>
      </c>
      <c r="G1692" s="14"/>
      <c r="H1692" s="12" t="s">
        <v>61</v>
      </c>
      <c r="I1692" s="12" t="s">
        <v>230</v>
      </c>
      <c r="J1692" s="12" t="s">
        <v>419</v>
      </c>
      <c r="K1692" s="12" t="s">
        <v>199</v>
      </c>
      <c r="L1692" s="12" t="s">
        <v>83</v>
      </c>
      <c r="M1692" s="12" t="s">
        <v>43</v>
      </c>
      <c r="N1692" s="12" t="s">
        <v>84</v>
      </c>
      <c r="O1692" s="12" t="s">
        <v>6559</v>
      </c>
      <c r="P1692" s="12" t="s">
        <v>66</v>
      </c>
      <c r="Q1692" s="12" t="s">
        <v>67</v>
      </c>
      <c r="R1692" s="12" t="s">
        <v>623</v>
      </c>
      <c r="S1692" s="13">
        <v>197804295159</v>
      </c>
      <c r="T1692" s="12" t="s">
        <v>499</v>
      </c>
      <c r="U1692" s="12" t="s">
        <v>153</v>
      </c>
      <c r="V1692" s="12" t="s">
        <v>70</v>
      </c>
      <c r="W1692" s="12" t="s">
        <v>118</v>
      </c>
      <c r="X1692" s="14"/>
      <c r="Y1692" s="14"/>
      <c r="Z1692" s="14"/>
      <c r="AA1692" s="14"/>
      <c r="AB1692" s="14"/>
      <c r="AC1692" s="15">
        <v>36.4</v>
      </c>
      <c r="AD1692" s="15">
        <f>AC1692*AG1692</f>
        <v>109.19999999999999</v>
      </c>
      <c r="AE1692" s="15">
        <v>80</v>
      </c>
      <c r="AF1692" s="15">
        <f>AE1692*AG1692</f>
        <v>240</v>
      </c>
      <c r="AG1692" s="16">
        <v>3</v>
      </c>
    </row>
    <row r="1693" spans="1:33" ht="15" customHeight="1" x14ac:dyDescent="0.2">
      <c r="A1693" s="11" t="str">
        <f t="shared" ref="A1693:A2185" si="703">HYPERLINK("https://assets.vans.eu/images/VN000P50EMF-HERO/1","VN000P50EMF1")</f>
        <v>VN000P50EMF1</v>
      </c>
      <c r="B1693" s="12" t="s">
        <v>6560</v>
      </c>
      <c r="C1693" s="12" t="s">
        <v>4668</v>
      </c>
      <c r="D1693" s="12" t="s">
        <v>1282</v>
      </c>
      <c r="E1693" s="12" t="s">
        <v>6561</v>
      </c>
      <c r="F1693" s="12" t="s">
        <v>179</v>
      </c>
      <c r="G1693" s="14"/>
      <c r="H1693" s="12" t="s">
        <v>61</v>
      </c>
      <c r="I1693" s="12" t="s">
        <v>230</v>
      </c>
      <c r="J1693" s="12" t="s">
        <v>419</v>
      </c>
      <c r="K1693" s="12" t="s">
        <v>199</v>
      </c>
      <c r="L1693" s="12" t="s">
        <v>83</v>
      </c>
      <c r="M1693" s="12" t="s">
        <v>43</v>
      </c>
      <c r="N1693" s="12" t="s">
        <v>84</v>
      </c>
      <c r="O1693" s="12" t="s">
        <v>6562</v>
      </c>
      <c r="P1693" s="12" t="s">
        <v>66</v>
      </c>
      <c r="Q1693" s="12" t="s">
        <v>67</v>
      </c>
      <c r="R1693" s="12" t="s">
        <v>421</v>
      </c>
      <c r="S1693" s="13">
        <v>197804294435</v>
      </c>
      <c r="T1693" s="12" t="s">
        <v>422</v>
      </c>
      <c r="U1693" s="12" t="s">
        <v>179</v>
      </c>
      <c r="V1693" s="12" t="s">
        <v>70</v>
      </c>
      <c r="W1693" s="12" t="s">
        <v>118</v>
      </c>
      <c r="X1693" s="14"/>
      <c r="Y1693" s="14"/>
      <c r="Z1693" s="14"/>
      <c r="AA1693" s="14"/>
      <c r="AB1693" s="14"/>
      <c r="AC1693" s="15">
        <v>18.2</v>
      </c>
      <c r="AD1693" s="15">
        <f>AC1693*AG1693</f>
        <v>54.599999999999994</v>
      </c>
      <c r="AE1693" s="15">
        <v>40</v>
      </c>
      <c r="AF1693" s="15">
        <f>AE1693*AG1693</f>
        <v>120</v>
      </c>
      <c r="AG1693" s="16">
        <v>3</v>
      </c>
    </row>
    <row r="1694" spans="1:33" ht="15" customHeight="1" x14ac:dyDescent="0.2">
      <c r="A1694" s="11" t="str">
        <f t="shared" ref="A1694:A1695" si="704">HYPERLINK("https://assets.vans.eu/images/VN000P51EMS-HERO/1","VN000P51EMS1")</f>
        <v>VN000P51EMS1</v>
      </c>
      <c r="B1694" s="12" t="s">
        <v>6563</v>
      </c>
      <c r="C1694" s="12" t="s">
        <v>5354</v>
      </c>
      <c r="D1694" s="12" t="s">
        <v>863</v>
      </c>
      <c r="E1694" s="12" t="s">
        <v>6564</v>
      </c>
      <c r="F1694" s="12" t="s">
        <v>60</v>
      </c>
      <c r="G1694" s="14"/>
      <c r="H1694" s="12" t="s">
        <v>61</v>
      </c>
      <c r="I1694" s="12" t="s">
        <v>230</v>
      </c>
      <c r="J1694" s="12" t="s">
        <v>419</v>
      </c>
      <c r="K1694" s="12" t="s">
        <v>199</v>
      </c>
      <c r="L1694" s="12" t="s">
        <v>83</v>
      </c>
      <c r="M1694" s="12" t="s">
        <v>43</v>
      </c>
      <c r="N1694" s="12" t="s">
        <v>84</v>
      </c>
      <c r="O1694" s="12" t="s">
        <v>6565</v>
      </c>
      <c r="P1694" s="12" t="s">
        <v>66</v>
      </c>
      <c r="Q1694" s="12" t="s">
        <v>67</v>
      </c>
      <c r="R1694" s="12" t="s">
        <v>623</v>
      </c>
      <c r="S1694" s="13">
        <v>197804295708</v>
      </c>
      <c r="T1694" s="12" t="s">
        <v>69</v>
      </c>
      <c r="U1694" s="12" t="s">
        <v>60</v>
      </c>
      <c r="V1694" s="12" t="s">
        <v>70</v>
      </c>
      <c r="W1694" s="12" t="s">
        <v>107</v>
      </c>
      <c r="X1694" s="14"/>
      <c r="Y1694" s="14"/>
      <c r="Z1694" s="14"/>
      <c r="AA1694" s="14"/>
      <c r="AB1694" s="14"/>
      <c r="AC1694" s="15">
        <v>40.950000000000003</v>
      </c>
      <c r="AD1694" s="15">
        <f>AC1694*AG1694</f>
        <v>122.85000000000001</v>
      </c>
      <c r="AE1694" s="15">
        <v>90</v>
      </c>
      <c r="AF1694" s="15">
        <f>AE1694*AG1694</f>
        <v>270</v>
      </c>
      <c r="AG1694" s="16">
        <v>3</v>
      </c>
    </row>
    <row r="1695" spans="1:33" ht="15" customHeight="1" x14ac:dyDescent="0.2">
      <c r="A1695" s="11" t="str">
        <f t="shared" si="704"/>
        <v>VN000P51EMS1</v>
      </c>
      <c r="B1695" s="12" t="s">
        <v>6566</v>
      </c>
      <c r="C1695" s="12" t="s">
        <v>5354</v>
      </c>
      <c r="D1695" s="12" t="s">
        <v>863</v>
      </c>
      <c r="E1695" s="12" t="s">
        <v>6567</v>
      </c>
      <c r="F1695" s="12" t="s">
        <v>153</v>
      </c>
      <c r="G1695" s="14"/>
      <c r="H1695" s="12" t="s">
        <v>61</v>
      </c>
      <c r="I1695" s="12" t="s">
        <v>230</v>
      </c>
      <c r="J1695" s="12" t="s">
        <v>419</v>
      </c>
      <c r="K1695" s="12" t="s">
        <v>199</v>
      </c>
      <c r="L1695" s="12" t="s">
        <v>83</v>
      </c>
      <c r="M1695" s="12" t="s">
        <v>43</v>
      </c>
      <c r="N1695" s="12" t="s">
        <v>84</v>
      </c>
      <c r="O1695" s="12" t="s">
        <v>6568</v>
      </c>
      <c r="P1695" s="12" t="s">
        <v>66</v>
      </c>
      <c r="Q1695" s="12" t="s">
        <v>67</v>
      </c>
      <c r="R1695" s="12" t="s">
        <v>623</v>
      </c>
      <c r="S1695" s="13">
        <v>197804295814</v>
      </c>
      <c r="T1695" s="12" t="s">
        <v>69</v>
      </c>
      <c r="U1695" s="12" t="s">
        <v>153</v>
      </c>
      <c r="V1695" s="12" t="s">
        <v>70</v>
      </c>
      <c r="W1695" s="12" t="s">
        <v>107</v>
      </c>
      <c r="X1695" s="14"/>
      <c r="Y1695" s="14"/>
      <c r="Z1695" s="14"/>
      <c r="AA1695" s="14"/>
      <c r="AB1695" s="14"/>
      <c r="AC1695" s="15">
        <v>40.950000000000003</v>
      </c>
      <c r="AD1695" s="15">
        <f>AC1695*AG1695</f>
        <v>122.85000000000001</v>
      </c>
      <c r="AE1695" s="15">
        <v>90</v>
      </c>
      <c r="AF1695" s="15">
        <f>AE1695*AG1695</f>
        <v>270</v>
      </c>
      <c r="AG1695" s="16">
        <v>3</v>
      </c>
    </row>
    <row r="1696" spans="1:33" ht="15" customHeight="1" x14ac:dyDescent="0.2">
      <c r="A1696" s="11" t="str">
        <f t="shared" ref="A1696:A3273" si="705">HYPERLINK("https://assets.vans.eu/images/VN000P51O32-HERO/1","VN000P51O321")</f>
        <v>VN000P51O321</v>
      </c>
      <c r="B1696" s="12" t="s">
        <v>6569</v>
      </c>
      <c r="C1696" s="12" t="s">
        <v>5354</v>
      </c>
      <c r="D1696" s="12" t="s">
        <v>4815</v>
      </c>
      <c r="E1696" s="12" t="s">
        <v>6570</v>
      </c>
      <c r="F1696" s="12" t="s">
        <v>170</v>
      </c>
      <c r="G1696" s="14"/>
      <c r="H1696" s="12" t="s">
        <v>61</v>
      </c>
      <c r="I1696" s="12" t="s">
        <v>230</v>
      </c>
      <c r="J1696" s="12" t="s">
        <v>419</v>
      </c>
      <c r="K1696" s="12" t="s">
        <v>199</v>
      </c>
      <c r="L1696" s="12" t="s">
        <v>83</v>
      </c>
      <c r="M1696" s="12" t="s">
        <v>43</v>
      </c>
      <c r="N1696" s="12" t="s">
        <v>84</v>
      </c>
      <c r="O1696" s="12" t="s">
        <v>6571</v>
      </c>
      <c r="P1696" s="12" t="s">
        <v>66</v>
      </c>
      <c r="Q1696" s="12" t="s">
        <v>67</v>
      </c>
      <c r="R1696" s="12" t="s">
        <v>623</v>
      </c>
      <c r="S1696" s="13">
        <v>197804295432</v>
      </c>
      <c r="T1696" s="12" t="s">
        <v>69</v>
      </c>
      <c r="U1696" s="12" t="s">
        <v>170</v>
      </c>
      <c r="V1696" s="12" t="s">
        <v>70</v>
      </c>
      <c r="W1696" s="12" t="s">
        <v>299</v>
      </c>
      <c r="X1696" s="14"/>
      <c r="Y1696" s="14"/>
      <c r="Z1696" s="14"/>
      <c r="AA1696" s="14"/>
      <c r="AB1696" s="14"/>
      <c r="AC1696" s="15">
        <v>40.950000000000003</v>
      </c>
      <c r="AD1696" s="15">
        <f>AC1696*AG1696</f>
        <v>122.85000000000001</v>
      </c>
      <c r="AE1696" s="15">
        <v>90</v>
      </c>
      <c r="AF1696" s="15">
        <f>AE1696*AG1696</f>
        <v>270</v>
      </c>
      <c r="AG1696" s="16">
        <v>3</v>
      </c>
    </row>
    <row r="1697" spans="1:33" ht="15" customHeight="1" x14ac:dyDescent="0.2">
      <c r="A1697" s="11" t="str">
        <f t="shared" ref="A1697:A2191" si="706">HYPERLINK("https://assets.vans.eu/images/VN000P52Y28-HERO/1","VN000P52Y281")</f>
        <v>VN000P52Y281</v>
      </c>
      <c r="B1697" s="12" t="s">
        <v>6572</v>
      </c>
      <c r="C1697" s="12" t="s">
        <v>6573</v>
      </c>
      <c r="D1697" s="12" t="s">
        <v>58</v>
      </c>
      <c r="E1697" s="12" t="s">
        <v>6574</v>
      </c>
      <c r="F1697" s="12" t="s">
        <v>60</v>
      </c>
      <c r="G1697" s="14"/>
      <c r="H1697" s="12" t="s">
        <v>61</v>
      </c>
      <c r="I1697" s="12" t="s">
        <v>230</v>
      </c>
      <c r="J1697" s="12" t="s">
        <v>419</v>
      </c>
      <c r="K1697" s="12" t="s">
        <v>199</v>
      </c>
      <c r="L1697" s="12" t="s">
        <v>83</v>
      </c>
      <c r="M1697" s="12" t="s">
        <v>43</v>
      </c>
      <c r="N1697" s="12" t="s">
        <v>84</v>
      </c>
      <c r="O1697" s="12" t="s">
        <v>6575</v>
      </c>
      <c r="P1697" s="12" t="s">
        <v>66</v>
      </c>
      <c r="Q1697" s="12" t="s">
        <v>67</v>
      </c>
      <c r="R1697" s="12" t="s">
        <v>623</v>
      </c>
      <c r="S1697" s="13">
        <v>197803406419</v>
      </c>
      <c r="T1697" s="12" t="s">
        <v>69</v>
      </c>
      <c r="U1697" s="12" t="s">
        <v>60</v>
      </c>
      <c r="V1697" s="12" t="s">
        <v>70</v>
      </c>
      <c r="W1697" s="12" t="s">
        <v>51</v>
      </c>
      <c r="X1697" s="13">
        <v>0</v>
      </c>
      <c r="Y1697" s="12" t="s">
        <v>53</v>
      </c>
      <c r="Z1697" s="12" t="s">
        <v>108</v>
      </c>
      <c r="AA1697" s="13">
        <v>0</v>
      </c>
      <c r="AB1697" s="12" t="s">
        <v>616</v>
      </c>
      <c r="AC1697" s="15">
        <v>36.4</v>
      </c>
      <c r="AD1697" s="15">
        <f>AC1697*AG1697</f>
        <v>109.19999999999999</v>
      </c>
      <c r="AE1697" s="15">
        <v>80</v>
      </c>
      <c r="AF1697" s="15">
        <f>AE1697*AG1697</f>
        <v>240</v>
      </c>
      <c r="AG1697" s="16">
        <v>3</v>
      </c>
    </row>
    <row r="1698" spans="1:33" ht="15" customHeight="1" x14ac:dyDescent="0.2">
      <c r="A1698" s="11" t="str">
        <f t="shared" ref="A1698:A2192" si="707">HYPERLINK("https://assets.vans.eu/images/VN000P56EMW-HERO/1","VN000P56EMW1")</f>
        <v>VN000P56EMW1</v>
      </c>
      <c r="B1698" s="12" t="s">
        <v>6576</v>
      </c>
      <c r="C1698" s="12" t="s">
        <v>6577</v>
      </c>
      <c r="D1698" s="12" t="s">
        <v>147</v>
      </c>
      <c r="E1698" s="12" t="s">
        <v>6578</v>
      </c>
      <c r="F1698" s="12" t="s">
        <v>621</v>
      </c>
      <c r="G1698" s="14"/>
      <c r="H1698" s="12" t="s">
        <v>61</v>
      </c>
      <c r="I1698" s="12" t="s">
        <v>230</v>
      </c>
      <c r="J1698" s="12" t="s">
        <v>419</v>
      </c>
      <c r="K1698" s="12" t="s">
        <v>199</v>
      </c>
      <c r="L1698" s="12" t="s">
        <v>83</v>
      </c>
      <c r="M1698" s="12" t="s">
        <v>43</v>
      </c>
      <c r="N1698" s="12" t="s">
        <v>84</v>
      </c>
      <c r="O1698" s="12" t="s">
        <v>6579</v>
      </c>
      <c r="P1698" s="12" t="s">
        <v>66</v>
      </c>
      <c r="Q1698" s="12" t="s">
        <v>67</v>
      </c>
      <c r="R1698" s="12" t="s">
        <v>421</v>
      </c>
      <c r="S1698" s="13">
        <v>197804296323</v>
      </c>
      <c r="T1698" s="12" t="s">
        <v>422</v>
      </c>
      <c r="U1698" s="12" t="s">
        <v>621</v>
      </c>
      <c r="V1698" s="12" t="s">
        <v>70</v>
      </c>
      <c r="W1698" s="12" t="s">
        <v>118</v>
      </c>
      <c r="X1698" s="14"/>
      <c r="Y1698" s="14"/>
      <c r="Z1698" s="14"/>
      <c r="AA1698" s="14"/>
      <c r="AB1698" s="14"/>
      <c r="AC1698" s="15">
        <v>13.65</v>
      </c>
      <c r="AD1698" s="15">
        <f>AC1698*AG1698</f>
        <v>40.950000000000003</v>
      </c>
      <c r="AE1698" s="15">
        <v>30</v>
      </c>
      <c r="AF1698" s="15">
        <f>AE1698*AG1698</f>
        <v>90</v>
      </c>
      <c r="AG1698" s="16">
        <v>3</v>
      </c>
    </row>
    <row r="1699" spans="1:33" ht="15" customHeight="1" x14ac:dyDescent="0.2">
      <c r="A1699" s="11" t="str">
        <f t="shared" ref="A1699:A3294" si="708">HYPERLINK("https://assets.vans.eu/images/VN000P58O3N-HERO/1","VN000P58O3N1")</f>
        <v>VN000P58O3N1</v>
      </c>
      <c r="B1699" s="12" t="s">
        <v>6580</v>
      </c>
      <c r="C1699" s="12" t="s">
        <v>1888</v>
      </c>
      <c r="D1699" s="12" t="s">
        <v>744</v>
      </c>
      <c r="E1699" s="12" t="s">
        <v>6581</v>
      </c>
      <c r="F1699" s="12" t="s">
        <v>170</v>
      </c>
      <c r="G1699" s="14"/>
      <c r="H1699" s="12" t="s">
        <v>61</v>
      </c>
      <c r="I1699" s="12" t="s">
        <v>230</v>
      </c>
      <c r="J1699" s="12" t="s">
        <v>419</v>
      </c>
      <c r="K1699" s="12" t="s">
        <v>199</v>
      </c>
      <c r="L1699" s="12" t="s">
        <v>83</v>
      </c>
      <c r="M1699" s="12" t="s">
        <v>43</v>
      </c>
      <c r="N1699" s="12" t="s">
        <v>84</v>
      </c>
      <c r="O1699" s="12" t="s">
        <v>6582</v>
      </c>
      <c r="P1699" s="12" t="s">
        <v>66</v>
      </c>
      <c r="Q1699" s="12" t="s">
        <v>67</v>
      </c>
      <c r="R1699" s="12" t="s">
        <v>623</v>
      </c>
      <c r="S1699" s="13">
        <v>197804295951</v>
      </c>
      <c r="T1699" s="12" t="s">
        <v>499</v>
      </c>
      <c r="U1699" s="12" t="s">
        <v>170</v>
      </c>
      <c r="V1699" s="12" t="s">
        <v>70</v>
      </c>
      <c r="W1699" s="12" t="s">
        <v>299</v>
      </c>
      <c r="X1699" s="14"/>
      <c r="Y1699" s="14"/>
      <c r="Z1699" s="14"/>
      <c r="AA1699" s="14"/>
      <c r="AB1699" s="14"/>
      <c r="AC1699" s="15">
        <v>36.4</v>
      </c>
      <c r="AD1699" s="15">
        <f>AC1699*AG1699</f>
        <v>109.19999999999999</v>
      </c>
      <c r="AE1699" s="15">
        <v>80</v>
      </c>
      <c r="AF1699" s="15">
        <f>AE1699*AG1699</f>
        <v>240</v>
      </c>
      <c r="AG1699" s="16">
        <v>3</v>
      </c>
    </row>
    <row r="1700" spans="1:33" ht="15" customHeight="1" x14ac:dyDescent="0.2">
      <c r="A1700" s="11" t="str">
        <f t="shared" si="568"/>
        <v>VN000P5S14A1</v>
      </c>
      <c r="B1700" s="12" t="s">
        <v>6583</v>
      </c>
      <c r="C1700" s="12" t="s">
        <v>5376</v>
      </c>
      <c r="D1700" s="12" t="s">
        <v>1932</v>
      </c>
      <c r="E1700" s="12" t="s">
        <v>6584</v>
      </c>
      <c r="F1700" s="12" t="s">
        <v>179</v>
      </c>
      <c r="G1700" s="14"/>
      <c r="H1700" s="12" t="s">
        <v>61</v>
      </c>
      <c r="I1700" s="12" t="s">
        <v>62</v>
      </c>
      <c r="J1700" s="12" t="s">
        <v>63</v>
      </c>
      <c r="K1700" s="12" t="s">
        <v>64</v>
      </c>
      <c r="L1700" s="12" t="s">
        <v>83</v>
      </c>
      <c r="M1700" s="12" t="s">
        <v>43</v>
      </c>
      <c r="N1700" s="12" t="s">
        <v>84</v>
      </c>
      <c r="O1700" s="12" t="s">
        <v>6585</v>
      </c>
      <c r="P1700" s="12" t="s">
        <v>66</v>
      </c>
      <c r="Q1700" s="12" t="s">
        <v>67</v>
      </c>
      <c r="R1700" s="12" t="s">
        <v>68</v>
      </c>
      <c r="S1700" s="13">
        <v>197804296545</v>
      </c>
      <c r="T1700" s="12" t="s">
        <v>422</v>
      </c>
      <c r="U1700" s="12" t="s">
        <v>179</v>
      </c>
      <c r="V1700" s="12" t="s">
        <v>70</v>
      </c>
      <c r="W1700" s="12" t="s">
        <v>262</v>
      </c>
      <c r="X1700" s="14"/>
      <c r="Y1700" s="14"/>
      <c r="Z1700" s="14"/>
      <c r="AA1700" s="14"/>
      <c r="AB1700" s="14"/>
      <c r="AC1700" s="15">
        <v>11.4</v>
      </c>
      <c r="AD1700" s="15">
        <f>AC1700*AG1700</f>
        <v>34.200000000000003</v>
      </c>
      <c r="AE1700" s="15">
        <v>25</v>
      </c>
      <c r="AF1700" s="15">
        <f>AE1700*AG1700</f>
        <v>75</v>
      </c>
      <c r="AG1700" s="16">
        <v>3</v>
      </c>
    </row>
    <row r="1701" spans="1:33" ht="15" customHeight="1" x14ac:dyDescent="0.2">
      <c r="A1701" s="11" t="str">
        <f t="shared" ref="A1701:A3308" si="709">HYPERLINK("https://assets.vans.eu/images/VN000P5S14A-HERO/1","VN000P5S14A1")</f>
        <v>VN000P5S14A1</v>
      </c>
      <c r="B1701" s="12" t="s">
        <v>6586</v>
      </c>
      <c r="C1701" s="12" t="s">
        <v>5376</v>
      </c>
      <c r="D1701" s="12" t="s">
        <v>1932</v>
      </c>
      <c r="E1701" s="12" t="s">
        <v>6587</v>
      </c>
      <c r="F1701" s="12" t="s">
        <v>403</v>
      </c>
      <c r="G1701" s="14"/>
      <c r="H1701" s="12" t="s">
        <v>61</v>
      </c>
      <c r="I1701" s="12" t="s">
        <v>62</v>
      </c>
      <c r="J1701" s="12" t="s">
        <v>63</v>
      </c>
      <c r="K1701" s="12" t="s">
        <v>64</v>
      </c>
      <c r="L1701" s="12" t="s">
        <v>83</v>
      </c>
      <c r="M1701" s="12" t="s">
        <v>43</v>
      </c>
      <c r="N1701" s="12" t="s">
        <v>84</v>
      </c>
      <c r="O1701" s="12" t="s">
        <v>6588</v>
      </c>
      <c r="P1701" s="12" t="s">
        <v>66</v>
      </c>
      <c r="Q1701" s="12" t="s">
        <v>67</v>
      </c>
      <c r="R1701" s="12" t="s">
        <v>68</v>
      </c>
      <c r="S1701" s="13">
        <v>197804296743</v>
      </c>
      <c r="T1701" s="12" t="s">
        <v>422</v>
      </c>
      <c r="U1701" s="12" t="s">
        <v>403</v>
      </c>
      <c r="V1701" s="12" t="s">
        <v>70</v>
      </c>
      <c r="W1701" s="12" t="s">
        <v>262</v>
      </c>
      <c r="X1701" s="14"/>
      <c r="Y1701" s="14"/>
      <c r="Z1701" s="14"/>
      <c r="AA1701" s="14"/>
      <c r="AB1701" s="14"/>
      <c r="AC1701" s="15">
        <v>11.4</v>
      </c>
      <c r="AD1701" s="15">
        <f>AC1701*AG1701</f>
        <v>34.200000000000003</v>
      </c>
      <c r="AE1701" s="15">
        <v>25</v>
      </c>
      <c r="AF1701" s="15">
        <f>AE1701*AG1701</f>
        <v>75</v>
      </c>
      <c r="AG1701" s="16">
        <v>3</v>
      </c>
    </row>
    <row r="1702" spans="1:33" ht="15" customHeight="1" x14ac:dyDescent="0.2">
      <c r="A1702" s="11" t="str">
        <f t="shared" si="569"/>
        <v>VN000P5SEMW1</v>
      </c>
      <c r="B1702" s="12" t="s">
        <v>6589</v>
      </c>
      <c r="C1702" s="12" t="s">
        <v>5376</v>
      </c>
      <c r="D1702" s="12" t="s">
        <v>147</v>
      </c>
      <c r="E1702" s="12" t="s">
        <v>6590</v>
      </c>
      <c r="F1702" s="12" t="s">
        <v>170</v>
      </c>
      <c r="G1702" s="14"/>
      <c r="H1702" s="12" t="s">
        <v>61</v>
      </c>
      <c r="I1702" s="12" t="s">
        <v>62</v>
      </c>
      <c r="J1702" s="12" t="s">
        <v>63</v>
      </c>
      <c r="K1702" s="12" t="s">
        <v>64</v>
      </c>
      <c r="L1702" s="12" t="s">
        <v>83</v>
      </c>
      <c r="M1702" s="12" t="s">
        <v>43</v>
      </c>
      <c r="N1702" s="12" t="s">
        <v>84</v>
      </c>
      <c r="O1702" s="12" t="s">
        <v>6591</v>
      </c>
      <c r="P1702" s="12" t="s">
        <v>66</v>
      </c>
      <c r="Q1702" s="12" t="s">
        <v>67</v>
      </c>
      <c r="R1702" s="12" t="s">
        <v>68</v>
      </c>
      <c r="S1702" s="13">
        <v>197804296637</v>
      </c>
      <c r="T1702" s="12" t="s">
        <v>422</v>
      </c>
      <c r="U1702" s="12" t="s">
        <v>170</v>
      </c>
      <c r="V1702" s="12" t="s">
        <v>70</v>
      </c>
      <c r="W1702" s="12" t="s">
        <v>118</v>
      </c>
      <c r="X1702" s="14"/>
      <c r="Y1702" s="14"/>
      <c r="Z1702" s="14"/>
      <c r="AA1702" s="14"/>
      <c r="AB1702" s="14"/>
      <c r="AC1702" s="15">
        <v>11.4</v>
      </c>
      <c r="AD1702" s="15">
        <f>AC1702*AG1702</f>
        <v>34.200000000000003</v>
      </c>
      <c r="AE1702" s="15">
        <v>25</v>
      </c>
      <c r="AF1702" s="15">
        <f>AE1702*AG1702</f>
        <v>75</v>
      </c>
      <c r="AG1702" s="16">
        <v>3</v>
      </c>
    </row>
    <row r="1703" spans="1:33" ht="15" customHeight="1" x14ac:dyDescent="0.2">
      <c r="A1703" s="11" t="str">
        <f t="shared" ref="A1703:A3309" si="710">HYPERLINK("https://assets.vans.eu/images/VN000P5SEMW-HERO/1","VN000P5SEMW1")</f>
        <v>VN000P5SEMW1</v>
      </c>
      <c r="B1703" s="12" t="s">
        <v>6592</v>
      </c>
      <c r="C1703" s="12" t="s">
        <v>5376</v>
      </c>
      <c r="D1703" s="12" t="s">
        <v>147</v>
      </c>
      <c r="E1703" s="12" t="s">
        <v>6593</v>
      </c>
      <c r="F1703" s="12" t="s">
        <v>60</v>
      </c>
      <c r="G1703" s="14"/>
      <c r="H1703" s="12" t="s">
        <v>61</v>
      </c>
      <c r="I1703" s="12" t="s">
        <v>62</v>
      </c>
      <c r="J1703" s="12" t="s">
        <v>63</v>
      </c>
      <c r="K1703" s="12" t="s">
        <v>64</v>
      </c>
      <c r="L1703" s="12" t="s">
        <v>83</v>
      </c>
      <c r="M1703" s="12" t="s">
        <v>43</v>
      </c>
      <c r="N1703" s="12" t="s">
        <v>84</v>
      </c>
      <c r="O1703" s="12" t="s">
        <v>6594</v>
      </c>
      <c r="P1703" s="12" t="s">
        <v>66</v>
      </c>
      <c r="Q1703" s="12" t="s">
        <v>67</v>
      </c>
      <c r="R1703" s="12" t="s">
        <v>68</v>
      </c>
      <c r="S1703" s="13">
        <v>197804297016</v>
      </c>
      <c r="T1703" s="12" t="s">
        <v>422</v>
      </c>
      <c r="U1703" s="12" t="s">
        <v>60</v>
      </c>
      <c r="V1703" s="12" t="s">
        <v>70</v>
      </c>
      <c r="W1703" s="12" t="s">
        <v>118</v>
      </c>
      <c r="X1703" s="14"/>
      <c r="Y1703" s="14"/>
      <c r="Z1703" s="14"/>
      <c r="AA1703" s="14"/>
      <c r="AB1703" s="14"/>
      <c r="AC1703" s="15">
        <v>11.4</v>
      </c>
      <c r="AD1703" s="15">
        <f>AC1703*AG1703</f>
        <v>34.200000000000003</v>
      </c>
      <c r="AE1703" s="15">
        <v>25</v>
      </c>
      <c r="AF1703" s="15">
        <f>AE1703*AG1703</f>
        <v>75</v>
      </c>
      <c r="AG1703" s="16">
        <v>3</v>
      </c>
    </row>
    <row r="1704" spans="1:33" ht="15" customHeight="1" x14ac:dyDescent="0.2">
      <c r="A1704" s="11" t="str">
        <f t="shared" si="490"/>
        <v>VN000P73Y281</v>
      </c>
      <c r="B1704" s="12" t="s">
        <v>6595</v>
      </c>
      <c r="C1704" s="12" t="s">
        <v>1808</v>
      </c>
      <c r="D1704" s="12" t="s">
        <v>58</v>
      </c>
      <c r="E1704" s="12" t="s">
        <v>6596</v>
      </c>
      <c r="F1704" s="12" t="s">
        <v>179</v>
      </c>
      <c r="G1704" s="14"/>
      <c r="H1704" s="12" t="s">
        <v>61</v>
      </c>
      <c r="I1704" s="12" t="s">
        <v>230</v>
      </c>
      <c r="J1704" s="12" t="s">
        <v>762</v>
      </c>
      <c r="K1704" s="12" t="s">
        <v>199</v>
      </c>
      <c r="L1704" s="14"/>
      <c r="M1704" s="12" t="s">
        <v>43</v>
      </c>
      <c r="N1704" s="12" t="s">
        <v>84</v>
      </c>
      <c r="O1704" s="12" t="s">
        <v>6597</v>
      </c>
      <c r="P1704" s="12" t="s">
        <v>66</v>
      </c>
      <c r="Q1704" s="12" t="s">
        <v>764</v>
      </c>
      <c r="R1704" s="12" t="s">
        <v>765</v>
      </c>
      <c r="S1704" s="13">
        <v>197804350452</v>
      </c>
      <c r="T1704" s="12" t="s">
        <v>235</v>
      </c>
      <c r="U1704" s="12" t="s">
        <v>179</v>
      </c>
      <c r="V1704" s="12" t="s">
        <v>1811</v>
      </c>
      <c r="W1704" s="12" t="s">
        <v>51</v>
      </c>
      <c r="X1704" s="14"/>
      <c r="Y1704" s="14"/>
      <c r="Z1704" s="14"/>
      <c r="AA1704" s="14"/>
      <c r="AB1704" s="14"/>
      <c r="AC1704" s="15">
        <v>31.85</v>
      </c>
      <c r="AD1704" s="15">
        <f>AC1704*AG1704</f>
        <v>95.550000000000011</v>
      </c>
      <c r="AE1704" s="15">
        <v>70</v>
      </c>
      <c r="AF1704" s="15">
        <f>AE1704*AG1704</f>
        <v>210</v>
      </c>
      <c r="AG1704" s="16">
        <v>3</v>
      </c>
    </row>
    <row r="1705" spans="1:33" ht="15" customHeight="1" x14ac:dyDescent="0.2">
      <c r="A1705" s="11" t="str">
        <f t="shared" si="53"/>
        <v>VN000P8A02F1</v>
      </c>
      <c r="B1705" s="12" t="s">
        <v>6598</v>
      </c>
      <c r="C1705" s="12" t="s">
        <v>856</v>
      </c>
      <c r="D1705" s="12" t="s">
        <v>857</v>
      </c>
      <c r="E1705" s="12" t="s">
        <v>6599</v>
      </c>
      <c r="F1705" s="12" t="s">
        <v>153</v>
      </c>
      <c r="G1705" s="14"/>
      <c r="H1705" s="12" t="s">
        <v>61</v>
      </c>
      <c r="I1705" s="12" t="s">
        <v>230</v>
      </c>
      <c r="J1705" s="12" t="s">
        <v>419</v>
      </c>
      <c r="K1705" s="12" t="s">
        <v>199</v>
      </c>
      <c r="L1705" s="14"/>
      <c r="M1705" s="12" t="s">
        <v>43</v>
      </c>
      <c r="N1705" s="12" t="s">
        <v>84</v>
      </c>
      <c r="O1705" s="12" t="s">
        <v>6600</v>
      </c>
      <c r="P1705" s="12" t="s">
        <v>66</v>
      </c>
      <c r="Q1705" s="12" t="s">
        <v>67</v>
      </c>
      <c r="R1705" s="12" t="s">
        <v>623</v>
      </c>
      <c r="S1705" s="13">
        <v>197804352470</v>
      </c>
      <c r="T1705" s="12" t="s">
        <v>49</v>
      </c>
      <c r="U1705" s="12" t="s">
        <v>153</v>
      </c>
      <c r="V1705" s="12" t="s">
        <v>860</v>
      </c>
      <c r="W1705" s="12" t="s">
        <v>455</v>
      </c>
      <c r="X1705" s="14"/>
      <c r="Y1705" s="14"/>
      <c r="Z1705" s="14"/>
      <c r="AA1705" s="14"/>
      <c r="AB1705" s="14"/>
      <c r="AC1705" s="15">
        <v>40.950000000000003</v>
      </c>
      <c r="AD1705" s="15">
        <f>AC1705*AG1705</f>
        <v>122.85000000000001</v>
      </c>
      <c r="AE1705" s="15">
        <v>90</v>
      </c>
      <c r="AF1705" s="15">
        <f>AE1705*AG1705</f>
        <v>270</v>
      </c>
      <c r="AG1705" s="16">
        <v>3</v>
      </c>
    </row>
    <row r="1706" spans="1:33" ht="15" customHeight="1" x14ac:dyDescent="0.2">
      <c r="A1706" s="11" t="str">
        <f t="shared" ref="A1706:A3326" si="711">HYPERLINK("https://assets.vans.eu/images/VN000P8A02F-HERO/1","VN000P8A02F1")</f>
        <v>VN000P8A02F1</v>
      </c>
      <c r="B1706" s="12" t="s">
        <v>6601</v>
      </c>
      <c r="C1706" s="12" t="s">
        <v>856</v>
      </c>
      <c r="D1706" s="12" t="s">
        <v>857</v>
      </c>
      <c r="E1706" s="12" t="s">
        <v>6602</v>
      </c>
      <c r="F1706" s="12" t="s">
        <v>621</v>
      </c>
      <c r="G1706" s="14"/>
      <c r="H1706" s="12" t="s">
        <v>61</v>
      </c>
      <c r="I1706" s="12" t="s">
        <v>230</v>
      </c>
      <c r="J1706" s="12" t="s">
        <v>419</v>
      </c>
      <c r="K1706" s="12" t="s">
        <v>199</v>
      </c>
      <c r="L1706" s="14"/>
      <c r="M1706" s="12" t="s">
        <v>43</v>
      </c>
      <c r="N1706" s="12" t="s">
        <v>84</v>
      </c>
      <c r="O1706" s="12" t="s">
        <v>6603</v>
      </c>
      <c r="P1706" s="12" t="s">
        <v>66</v>
      </c>
      <c r="Q1706" s="12" t="s">
        <v>67</v>
      </c>
      <c r="R1706" s="12" t="s">
        <v>623</v>
      </c>
      <c r="S1706" s="13">
        <v>197804352630</v>
      </c>
      <c r="T1706" s="12" t="s">
        <v>49</v>
      </c>
      <c r="U1706" s="12" t="s">
        <v>621</v>
      </c>
      <c r="V1706" s="12" t="s">
        <v>860</v>
      </c>
      <c r="W1706" s="12" t="s">
        <v>455</v>
      </c>
      <c r="X1706" s="14"/>
      <c r="Y1706" s="14"/>
      <c r="Z1706" s="14"/>
      <c r="AA1706" s="14"/>
      <c r="AB1706" s="14"/>
      <c r="AC1706" s="15">
        <v>40.950000000000003</v>
      </c>
      <c r="AD1706" s="15">
        <f>AC1706*AG1706</f>
        <v>122.85000000000001</v>
      </c>
      <c r="AE1706" s="15">
        <v>90</v>
      </c>
      <c r="AF1706" s="15">
        <f>AE1706*AG1706</f>
        <v>270</v>
      </c>
      <c r="AG1706" s="16">
        <v>3</v>
      </c>
    </row>
    <row r="1707" spans="1:33" ht="15" customHeight="1" x14ac:dyDescent="0.2">
      <c r="A1707" s="11" t="str">
        <f t="shared" si="573"/>
        <v>VN000P8GBLK1</v>
      </c>
      <c r="B1707" s="12" t="s">
        <v>6604</v>
      </c>
      <c r="C1707" s="12" t="s">
        <v>5406</v>
      </c>
      <c r="D1707" s="12" t="s">
        <v>76</v>
      </c>
      <c r="E1707" s="12" t="s">
        <v>6605</v>
      </c>
      <c r="F1707" s="12" t="s">
        <v>179</v>
      </c>
      <c r="G1707" s="14"/>
      <c r="H1707" s="12" t="s">
        <v>61</v>
      </c>
      <c r="I1707" s="12" t="s">
        <v>230</v>
      </c>
      <c r="J1707" s="12" t="s">
        <v>419</v>
      </c>
      <c r="K1707" s="12" t="s">
        <v>199</v>
      </c>
      <c r="L1707" s="14"/>
      <c r="M1707" s="12" t="s">
        <v>43</v>
      </c>
      <c r="N1707" s="12" t="s">
        <v>84</v>
      </c>
      <c r="O1707" s="12" t="s">
        <v>6606</v>
      </c>
      <c r="P1707" s="12" t="s">
        <v>66</v>
      </c>
      <c r="Q1707" s="12" t="s">
        <v>67</v>
      </c>
      <c r="R1707" s="12" t="s">
        <v>623</v>
      </c>
      <c r="S1707" s="13">
        <v>197804352890</v>
      </c>
      <c r="T1707" s="12" t="s">
        <v>709</v>
      </c>
      <c r="U1707" s="12" t="s">
        <v>179</v>
      </c>
      <c r="V1707" s="12" t="s">
        <v>710</v>
      </c>
      <c r="W1707" s="12" t="s">
        <v>51</v>
      </c>
      <c r="X1707" s="14"/>
      <c r="Y1707" s="14"/>
      <c r="Z1707" s="14"/>
      <c r="AA1707" s="14"/>
      <c r="AB1707" s="14"/>
      <c r="AC1707" s="15">
        <v>34.1</v>
      </c>
      <c r="AD1707" s="15">
        <f>AC1707*AG1707</f>
        <v>102.30000000000001</v>
      </c>
      <c r="AE1707" s="15">
        <v>75</v>
      </c>
      <c r="AF1707" s="15">
        <f>AE1707*AG1707</f>
        <v>225</v>
      </c>
      <c r="AG1707" s="16">
        <v>3</v>
      </c>
    </row>
    <row r="1708" spans="1:33" ht="15" customHeight="1" x14ac:dyDescent="0.2">
      <c r="A1708" s="11" t="str">
        <f t="shared" ref="A1708:A3333" si="712">HYPERLINK("https://assets.vans.eu/images/VN000P93EMT-HERO/1","VN000P93EMT1")</f>
        <v>VN000P93EMT1</v>
      </c>
      <c r="B1708" s="12" t="s">
        <v>6607</v>
      </c>
      <c r="C1708" s="12" t="s">
        <v>6608</v>
      </c>
      <c r="D1708" s="12" t="s">
        <v>5149</v>
      </c>
      <c r="E1708" s="12" t="s">
        <v>6609</v>
      </c>
      <c r="F1708" s="12" t="s">
        <v>60</v>
      </c>
      <c r="G1708" s="14"/>
      <c r="H1708" s="12" t="s">
        <v>61</v>
      </c>
      <c r="I1708" s="12" t="s">
        <v>230</v>
      </c>
      <c r="J1708" s="12" t="s">
        <v>419</v>
      </c>
      <c r="K1708" s="12" t="s">
        <v>199</v>
      </c>
      <c r="L1708" s="14"/>
      <c r="M1708" s="12" t="s">
        <v>43</v>
      </c>
      <c r="N1708" s="12" t="s">
        <v>84</v>
      </c>
      <c r="O1708" s="12" t="s">
        <v>6610</v>
      </c>
      <c r="P1708" s="12" t="s">
        <v>66</v>
      </c>
      <c r="Q1708" s="12" t="s">
        <v>67</v>
      </c>
      <c r="R1708" s="12" t="s">
        <v>1490</v>
      </c>
      <c r="S1708" s="13">
        <v>197804353613</v>
      </c>
      <c r="T1708" s="12" t="s">
        <v>105</v>
      </c>
      <c r="U1708" s="12" t="s">
        <v>60</v>
      </c>
      <c r="V1708" s="12" t="s">
        <v>6611</v>
      </c>
      <c r="W1708" s="12" t="s">
        <v>284</v>
      </c>
      <c r="X1708" s="14"/>
      <c r="Y1708" s="14"/>
      <c r="Z1708" s="14"/>
      <c r="AA1708" s="14"/>
      <c r="AB1708" s="14"/>
      <c r="AC1708" s="15">
        <v>40.950000000000003</v>
      </c>
      <c r="AD1708" s="15">
        <f>AC1708*AG1708</f>
        <v>122.85000000000001</v>
      </c>
      <c r="AE1708" s="15">
        <v>90</v>
      </c>
      <c r="AF1708" s="15">
        <f>AE1708*AG1708</f>
        <v>270</v>
      </c>
      <c r="AG1708" s="16">
        <v>3</v>
      </c>
    </row>
    <row r="1709" spans="1:33" ht="15" customHeight="1" x14ac:dyDescent="0.2">
      <c r="A1709" s="11" t="str">
        <f t="shared" ref="A1709:A3340" si="713">HYPERLINK("https://assets.vans.eu/images/VN000PAUBLK-HERO/1","VN000PAUBLK1")</f>
        <v>VN000PAUBLK1</v>
      </c>
      <c r="B1709" s="12" t="s">
        <v>6612</v>
      </c>
      <c r="C1709" s="12" t="s">
        <v>1089</v>
      </c>
      <c r="D1709" s="12" t="s">
        <v>76</v>
      </c>
      <c r="E1709" s="12" t="s">
        <v>6613</v>
      </c>
      <c r="F1709" s="12" t="s">
        <v>403</v>
      </c>
      <c r="G1709" s="14"/>
      <c r="H1709" s="12" t="s">
        <v>61</v>
      </c>
      <c r="I1709" s="12" t="s">
        <v>230</v>
      </c>
      <c r="J1709" s="12" t="s">
        <v>419</v>
      </c>
      <c r="K1709" s="12" t="s">
        <v>199</v>
      </c>
      <c r="L1709" s="14"/>
      <c r="M1709" s="12" t="s">
        <v>43</v>
      </c>
      <c r="N1709" s="12" t="s">
        <v>84</v>
      </c>
      <c r="O1709" s="12" t="s">
        <v>6614</v>
      </c>
      <c r="P1709" s="12" t="s">
        <v>66</v>
      </c>
      <c r="Q1709" s="12" t="s">
        <v>67</v>
      </c>
      <c r="R1709" s="12" t="s">
        <v>623</v>
      </c>
      <c r="S1709" s="13">
        <v>197804354252</v>
      </c>
      <c r="T1709" s="12" t="s">
        <v>49</v>
      </c>
      <c r="U1709" s="12" t="s">
        <v>403</v>
      </c>
      <c r="V1709" s="12" t="s">
        <v>1973</v>
      </c>
      <c r="W1709" s="12" t="s">
        <v>51</v>
      </c>
      <c r="X1709" s="14"/>
      <c r="Y1709" s="14"/>
      <c r="Z1709" s="14"/>
      <c r="AA1709" s="14"/>
      <c r="AB1709" s="14"/>
      <c r="AC1709" s="15">
        <v>36.4</v>
      </c>
      <c r="AD1709" s="15">
        <f>AC1709*AG1709</f>
        <v>109.19999999999999</v>
      </c>
      <c r="AE1709" s="15">
        <v>80</v>
      </c>
      <c r="AF1709" s="15">
        <f>AE1709*AG1709</f>
        <v>240</v>
      </c>
      <c r="AG1709" s="16">
        <v>3</v>
      </c>
    </row>
    <row r="1710" spans="1:33" ht="15" customHeight="1" x14ac:dyDescent="0.2">
      <c r="A1710" s="11" t="str">
        <f t="shared" si="174"/>
        <v>VN000PAZBLK1</v>
      </c>
      <c r="B1710" s="12" t="s">
        <v>6615</v>
      </c>
      <c r="C1710" s="12" t="s">
        <v>1970</v>
      </c>
      <c r="D1710" s="12" t="s">
        <v>76</v>
      </c>
      <c r="E1710" s="12" t="s">
        <v>6616</v>
      </c>
      <c r="F1710" s="12" t="s">
        <v>403</v>
      </c>
      <c r="G1710" s="14"/>
      <c r="H1710" s="12" t="s">
        <v>61</v>
      </c>
      <c r="I1710" s="12" t="s">
        <v>230</v>
      </c>
      <c r="J1710" s="12" t="s">
        <v>419</v>
      </c>
      <c r="K1710" s="12" t="s">
        <v>199</v>
      </c>
      <c r="L1710" s="14"/>
      <c r="M1710" s="12" t="s">
        <v>43</v>
      </c>
      <c r="N1710" s="12" t="s">
        <v>84</v>
      </c>
      <c r="O1710" s="12" t="s">
        <v>6617</v>
      </c>
      <c r="P1710" s="12" t="s">
        <v>66</v>
      </c>
      <c r="Q1710" s="12" t="s">
        <v>67</v>
      </c>
      <c r="R1710" s="12" t="s">
        <v>623</v>
      </c>
      <c r="S1710" s="13">
        <v>197804372102</v>
      </c>
      <c r="T1710" s="12" t="s">
        <v>49</v>
      </c>
      <c r="U1710" s="12" t="s">
        <v>403</v>
      </c>
      <c r="V1710" s="12" t="s">
        <v>1973</v>
      </c>
      <c r="W1710" s="12" t="s">
        <v>51</v>
      </c>
      <c r="X1710" s="14"/>
      <c r="Y1710" s="14"/>
      <c r="Z1710" s="14"/>
      <c r="AA1710" s="14"/>
      <c r="AB1710" s="14"/>
      <c r="AC1710" s="15">
        <v>43.2</v>
      </c>
      <c r="AD1710" s="15">
        <f>AC1710*AG1710</f>
        <v>129.60000000000002</v>
      </c>
      <c r="AE1710" s="15">
        <v>95</v>
      </c>
      <c r="AF1710" s="15">
        <f>AE1710*AG1710</f>
        <v>285</v>
      </c>
      <c r="AG1710" s="16">
        <v>3</v>
      </c>
    </row>
    <row r="1711" spans="1:33" ht="15" customHeight="1" x14ac:dyDescent="0.2">
      <c r="A1711" s="11" t="str">
        <f t="shared" ref="A1711:A3352" si="714">HYPERLINK("https://assets.vans.eu/images/VN000PBX6JL-HERO/1","VN000PBX6JL1")</f>
        <v>VN000PBX6JL1</v>
      </c>
      <c r="B1711" s="12" t="s">
        <v>6618</v>
      </c>
      <c r="C1711" s="12" t="s">
        <v>4185</v>
      </c>
      <c r="D1711" s="12" t="s">
        <v>2733</v>
      </c>
      <c r="E1711" s="12" t="s">
        <v>6619</v>
      </c>
      <c r="F1711" s="12" t="s">
        <v>179</v>
      </c>
      <c r="G1711" s="14"/>
      <c r="H1711" s="12" t="s">
        <v>61</v>
      </c>
      <c r="I1711" s="12" t="s">
        <v>230</v>
      </c>
      <c r="J1711" s="12" t="s">
        <v>419</v>
      </c>
      <c r="K1711" s="12" t="s">
        <v>199</v>
      </c>
      <c r="L1711" s="14"/>
      <c r="M1711" s="12" t="s">
        <v>43</v>
      </c>
      <c r="N1711" s="12" t="s">
        <v>84</v>
      </c>
      <c r="O1711" s="12" t="s">
        <v>6620</v>
      </c>
      <c r="P1711" s="12" t="s">
        <v>66</v>
      </c>
      <c r="Q1711" s="12" t="s">
        <v>67</v>
      </c>
      <c r="R1711" s="12" t="s">
        <v>421</v>
      </c>
      <c r="S1711" s="13">
        <v>197804674510</v>
      </c>
      <c r="T1711" s="12" t="s">
        <v>915</v>
      </c>
      <c r="U1711" s="12" t="s">
        <v>179</v>
      </c>
      <c r="V1711" s="12" t="s">
        <v>979</v>
      </c>
      <c r="W1711" s="12" t="s">
        <v>118</v>
      </c>
      <c r="X1711" s="14"/>
      <c r="Y1711" s="14"/>
      <c r="Z1711" s="14"/>
      <c r="AA1711" s="14"/>
      <c r="AB1711" s="14"/>
      <c r="AC1711" s="15">
        <v>18.2</v>
      </c>
      <c r="AD1711" s="15">
        <f>AC1711*AG1711</f>
        <v>54.599999999999994</v>
      </c>
      <c r="AE1711" s="15">
        <v>40</v>
      </c>
      <c r="AF1711" s="15">
        <f>AE1711*AG1711</f>
        <v>120</v>
      </c>
      <c r="AG1711" s="16">
        <v>3</v>
      </c>
    </row>
    <row r="1712" spans="1:33" ht="15" customHeight="1" x14ac:dyDescent="0.2">
      <c r="A1712" s="11" t="str">
        <f t="shared" ref="A1712:A2218" si="715">HYPERLINK("https://assets.vans.eu/images/VN000PCXEMS-HERO/1","VN000PCXEMS1")</f>
        <v>VN000PCXEMS1</v>
      </c>
      <c r="B1712" s="12" t="s">
        <v>6621</v>
      </c>
      <c r="C1712" s="12" t="s">
        <v>6622</v>
      </c>
      <c r="D1712" s="12" t="s">
        <v>863</v>
      </c>
      <c r="E1712" s="12" t="s">
        <v>6623</v>
      </c>
      <c r="F1712" s="12" t="s">
        <v>179</v>
      </c>
      <c r="G1712" s="14"/>
      <c r="H1712" s="12" t="s">
        <v>61</v>
      </c>
      <c r="I1712" s="12" t="s">
        <v>230</v>
      </c>
      <c r="J1712" s="12" t="s">
        <v>419</v>
      </c>
      <c r="K1712" s="12" t="s">
        <v>199</v>
      </c>
      <c r="L1712" s="14"/>
      <c r="M1712" s="12" t="s">
        <v>43</v>
      </c>
      <c r="N1712" s="12" t="s">
        <v>84</v>
      </c>
      <c r="O1712" s="12" t="s">
        <v>6624</v>
      </c>
      <c r="P1712" s="12" t="s">
        <v>66</v>
      </c>
      <c r="Q1712" s="12" t="s">
        <v>67</v>
      </c>
      <c r="R1712" s="12" t="s">
        <v>421</v>
      </c>
      <c r="S1712" s="13">
        <v>197804666539</v>
      </c>
      <c r="T1712" s="12" t="s">
        <v>915</v>
      </c>
      <c r="U1712" s="12" t="s">
        <v>179</v>
      </c>
      <c r="V1712" s="12" t="s">
        <v>979</v>
      </c>
      <c r="W1712" s="12" t="s">
        <v>107</v>
      </c>
      <c r="X1712" s="14"/>
      <c r="Y1712" s="14"/>
      <c r="Z1712" s="14"/>
      <c r="AA1712" s="14"/>
      <c r="AB1712" s="14"/>
      <c r="AC1712" s="15">
        <v>18.2</v>
      </c>
      <c r="AD1712" s="15">
        <f>AC1712*AG1712</f>
        <v>54.599999999999994</v>
      </c>
      <c r="AE1712" s="15">
        <v>40</v>
      </c>
      <c r="AF1712" s="15">
        <f>AE1712*AG1712</f>
        <v>120</v>
      </c>
      <c r="AG1712" s="16">
        <v>3</v>
      </c>
    </row>
    <row r="1713" spans="1:33" ht="15" customHeight="1" x14ac:dyDescent="0.2">
      <c r="A1713" s="11" t="str">
        <f t="shared" si="492"/>
        <v>VN000PDREMS1</v>
      </c>
      <c r="B1713" s="12" t="s">
        <v>6625</v>
      </c>
      <c r="C1713" s="12" t="s">
        <v>976</v>
      </c>
      <c r="D1713" s="12" t="s">
        <v>863</v>
      </c>
      <c r="E1713" s="12" t="s">
        <v>6626</v>
      </c>
      <c r="F1713" s="12" t="s">
        <v>170</v>
      </c>
      <c r="G1713" s="14"/>
      <c r="H1713" s="12" t="s">
        <v>61</v>
      </c>
      <c r="I1713" s="12" t="s">
        <v>230</v>
      </c>
      <c r="J1713" s="12" t="s">
        <v>419</v>
      </c>
      <c r="K1713" s="12" t="s">
        <v>199</v>
      </c>
      <c r="L1713" s="14"/>
      <c r="M1713" s="12" t="s">
        <v>43</v>
      </c>
      <c r="N1713" s="12" t="s">
        <v>84</v>
      </c>
      <c r="O1713" s="12" t="s">
        <v>6627</v>
      </c>
      <c r="P1713" s="12" t="s">
        <v>66</v>
      </c>
      <c r="Q1713" s="12" t="s">
        <v>67</v>
      </c>
      <c r="R1713" s="12" t="s">
        <v>421</v>
      </c>
      <c r="S1713" s="13">
        <v>197804666850</v>
      </c>
      <c r="T1713" s="12" t="s">
        <v>915</v>
      </c>
      <c r="U1713" s="12" t="s">
        <v>170</v>
      </c>
      <c r="V1713" s="12" t="s">
        <v>979</v>
      </c>
      <c r="W1713" s="12" t="s">
        <v>107</v>
      </c>
      <c r="X1713" s="14"/>
      <c r="Y1713" s="14"/>
      <c r="Z1713" s="14"/>
      <c r="AA1713" s="14"/>
      <c r="AB1713" s="14"/>
      <c r="AC1713" s="15">
        <v>18.2</v>
      </c>
      <c r="AD1713" s="15">
        <f>AC1713*AG1713</f>
        <v>54.599999999999994</v>
      </c>
      <c r="AE1713" s="15">
        <v>40</v>
      </c>
      <c r="AF1713" s="15">
        <f>AE1713*AG1713</f>
        <v>120</v>
      </c>
      <c r="AG1713" s="16">
        <v>3</v>
      </c>
    </row>
    <row r="1714" spans="1:33" ht="15" customHeight="1" x14ac:dyDescent="0.2">
      <c r="A1714" s="11" t="str">
        <f>HYPERLINK("https://assets.vans.eu/images/VN000PEYF0D-HERO/1","VN000PEYF0D1")</f>
        <v>VN000PEYF0D1</v>
      </c>
      <c r="B1714" s="12" t="s">
        <v>6628</v>
      </c>
      <c r="C1714" s="12" t="s">
        <v>2528</v>
      </c>
      <c r="D1714" s="12" t="s">
        <v>6629</v>
      </c>
      <c r="E1714" s="12" t="s">
        <v>6630</v>
      </c>
      <c r="F1714" s="12" t="s">
        <v>60</v>
      </c>
      <c r="G1714" s="14"/>
      <c r="H1714" s="12" t="s">
        <v>61</v>
      </c>
      <c r="I1714" s="12" t="s">
        <v>230</v>
      </c>
      <c r="J1714" s="12" t="s">
        <v>419</v>
      </c>
      <c r="K1714" s="12" t="s">
        <v>199</v>
      </c>
      <c r="L1714" s="14"/>
      <c r="M1714" s="12" t="s">
        <v>43</v>
      </c>
      <c r="N1714" s="12" t="s">
        <v>84</v>
      </c>
      <c r="O1714" s="12" t="s">
        <v>6631</v>
      </c>
      <c r="P1714" s="12" t="s">
        <v>66</v>
      </c>
      <c r="Q1714" s="12" t="s">
        <v>67</v>
      </c>
      <c r="R1714" s="12" t="s">
        <v>421</v>
      </c>
      <c r="S1714" s="13">
        <v>197804667192</v>
      </c>
      <c r="T1714" s="12" t="s">
        <v>915</v>
      </c>
      <c r="U1714" s="12" t="s">
        <v>60</v>
      </c>
      <c r="V1714" s="12" t="s">
        <v>979</v>
      </c>
      <c r="W1714" s="12" t="s">
        <v>51</v>
      </c>
      <c r="X1714" s="14"/>
      <c r="Y1714" s="14"/>
      <c r="Z1714" s="14"/>
      <c r="AA1714" s="14"/>
      <c r="AB1714" s="14"/>
      <c r="AC1714" s="15">
        <v>15.95</v>
      </c>
      <c r="AD1714" s="15">
        <f>AC1714*AG1714</f>
        <v>47.849999999999994</v>
      </c>
      <c r="AE1714" s="15">
        <v>35</v>
      </c>
      <c r="AF1714" s="15">
        <f>AE1714*AG1714</f>
        <v>105</v>
      </c>
      <c r="AG1714" s="16">
        <v>3</v>
      </c>
    </row>
    <row r="1715" spans="1:33" ht="15" customHeight="1" x14ac:dyDescent="0.2">
      <c r="A1715" s="11" t="str">
        <f t="shared" si="575"/>
        <v>VN000PGKFS81</v>
      </c>
      <c r="B1715" s="12" t="s">
        <v>6632</v>
      </c>
      <c r="C1715" s="12" t="s">
        <v>5422</v>
      </c>
      <c r="D1715" s="12" t="s">
        <v>239</v>
      </c>
      <c r="E1715" s="12" t="s">
        <v>6633</v>
      </c>
      <c r="F1715" s="12" t="s">
        <v>179</v>
      </c>
      <c r="G1715" s="14"/>
      <c r="H1715" s="12" t="s">
        <v>61</v>
      </c>
      <c r="I1715" s="12" t="s">
        <v>230</v>
      </c>
      <c r="J1715" s="12" t="s">
        <v>419</v>
      </c>
      <c r="K1715" s="12" t="s">
        <v>199</v>
      </c>
      <c r="L1715" s="14"/>
      <c r="M1715" s="12" t="s">
        <v>43</v>
      </c>
      <c r="N1715" s="12" t="s">
        <v>84</v>
      </c>
      <c r="O1715" s="12" t="s">
        <v>6634</v>
      </c>
      <c r="P1715" s="12" t="s">
        <v>66</v>
      </c>
      <c r="Q1715" s="12" t="s">
        <v>67</v>
      </c>
      <c r="R1715" s="12" t="s">
        <v>623</v>
      </c>
      <c r="S1715" s="13">
        <v>197804358786</v>
      </c>
      <c r="T1715" s="12" t="s">
        <v>709</v>
      </c>
      <c r="U1715" s="12" t="s">
        <v>179</v>
      </c>
      <c r="V1715" s="12" t="s">
        <v>710</v>
      </c>
      <c r="W1715" s="12" t="s">
        <v>175</v>
      </c>
      <c r="X1715" s="14"/>
      <c r="Y1715" s="14"/>
      <c r="Z1715" s="14"/>
      <c r="AA1715" s="14"/>
      <c r="AB1715" s="14"/>
      <c r="AC1715" s="15">
        <v>36.4</v>
      </c>
      <c r="AD1715" s="15">
        <f>AC1715*AG1715</f>
        <v>109.19999999999999</v>
      </c>
      <c r="AE1715" s="15">
        <v>80</v>
      </c>
      <c r="AF1715" s="15">
        <f>AE1715*AG1715</f>
        <v>240</v>
      </c>
      <c r="AG1715" s="16">
        <v>3</v>
      </c>
    </row>
    <row r="1716" spans="1:33" ht="15" customHeight="1" x14ac:dyDescent="0.2">
      <c r="A1716" s="11" t="str">
        <f>HYPERLINK("https://assets.vans.eu/images/VN000PGKFS8-HERO/1","VN000PGKFS81")</f>
        <v>VN000PGKFS81</v>
      </c>
      <c r="B1716" s="12" t="s">
        <v>6635</v>
      </c>
      <c r="C1716" s="12" t="s">
        <v>5422</v>
      </c>
      <c r="D1716" s="12" t="s">
        <v>239</v>
      </c>
      <c r="E1716" s="12" t="s">
        <v>6636</v>
      </c>
      <c r="F1716" s="12" t="s">
        <v>60</v>
      </c>
      <c r="G1716" s="14"/>
      <c r="H1716" s="12" t="s">
        <v>61</v>
      </c>
      <c r="I1716" s="12" t="s">
        <v>230</v>
      </c>
      <c r="J1716" s="12" t="s">
        <v>419</v>
      </c>
      <c r="K1716" s="12" t="s">
        <v>199</v>
      </c>
      <c r="L1716" s="14"/>
      <c r="M1716" s="12" t="s">
        <v>43</v>
      </c>
      <c r="N1716" s="12" t="s">
        <v>84</v>
      </c>
      <c r="O1716" s="12" t="s">
        <v>6637</v>
      </c>
      <c r="P1716" s="12" t="s">
        <v>66</v>
      </c>
      <c r="Q1716" s="12" t="s">
        <v>67</v>
      </c>
      <c r="R1716" s="12" t="s">
        <v>623</v>
      </c>
      <c r="S1716" s="13">
        <v>197804359059</v>
      </c>
      <c r="T1716" s="12" t="s">
        <v>709</v>
      </c>
      <c r="U1716" s="12" t="s">
        <v>60</v>
      </c>
      <c r="V1716" s="12" t="s">
        <v>710</v>
      </c>
      <c r="W1716" s="12" t="s">
        <v>175</v>
      </c>
      <c r="X1716" s="14"/>
      <c r="Y1716" s="14"/>
      <c r="Z1716" s="14"/>
      <c r="AA1716" s="14"/>
      <c r="AB1716" s="14"/>
      <c r="AC1716" s="15">
        <v>36.4</v>
      </c>
      <c r="AD1716" s="15">
        <f>AC1716*AG1716</f>
        <v>109.19999999999999</v>
      </c>
      <c r="AE1716" s="15">
        <v>80</v>
      </c>
      <c r="AF1716" s="15">
        <f>AE1716*AG1716</f>
        <v>240</v>
      </c>
      <c r="AG1716" s="16">
        <v>3</v>
      </c>
    </row>
    <row r="1717" spans="1:33" ht="15" customHeight="1" x14ac:dyDescent="0.2">
      <c r="A1717" s="11" t="str">
        <f t="shared" ref="A1717:A2239" si="716">HYPERLINK("https://assets.vans.eu/images/VN000PH6IYR-HERO/1","VN000PH6IYR1")</f>
        <v>VN000PH6IYR1</v>
      </c>
      <c r="B1717" s="12" t="s">
        <v>6638</v>
      </c>
      <c r="C1717" s="12" t="s">
        <v>1577</v>
      </c>
      <c r="D1717" s="12" t="s">
        <v>1497</v>
      </c>
      <c r="E1717" s="12" t="s">
        <v>6639</v>
      </c>
      <c r="F1717" s="13">
        <v>29</v>
      </c>
      <c r="G1717" s="14"/>
      <c r="H1717" s="12" t="s">
        <v>61</v>
      </c>
      <c r="I1717" s="12" t="s">
        <v>230</v>
      </c>
      <c r="J1717" s="12" t="s">
        <v>231</v>
      </c>
      <c r="K1717" s="12" t="s">
        <v>199</v>
      </c>
      <c r="L1717" s="14"/>
      <c r="M1717" s="12" t="s">
        <v>43</v>
      </c>
      <c r="N1717" s="12" t="s">
        <v>84</v>
      </c>
      <c r="O1717" s="12" t="s">
        <v>6640</v>
      </c>
      <c r="P1717" s="12" t="s">
        <v>66</v>
      </c>
      <c r="Q1717" s="12" t="s">
        <v>233</v>
      </c>
      <c r="R1717" s="12" t="s">
        <v>361</v>
      </c>
      <c r="S1717" s="13">
        <v>197804579662</v>
      </c>
      <c r="T1717" s="12" t="s">
        <v>235</v>
      </c>
      <c r="U1717" s="13">
        <v>29</v>
      </c>
      <c r="V1717" s="12" t="s">
        <v>665</v>
      </c>
      <c r="W1717" s="12" t="s">
        <v>284</v>
      </c>
      <c r="X1717" s="14"/>
      <c r="Y1717" s="14"/>
      <c r="Z1717" s="14"/>
      <c r="AA1717" s="14"/>
      <c r="AB1717" s="14"/>
      <c r="AC1717" s="15">
        <v>36.4</v>
      </c>
      <c r="AD1717" s="15">
        <f>AC1717*AG1717</f>
        <v>109.19999999999999</v>
      </c>
      <c r="AE1717" s="15">
        <v>80</v>
      </c>
      <c r="AF1717" s="15">
        <f>AE1717*AG1717</f>
        <v>240</v>
      </c>
      <c r="AG1717" s="16">
        <v>3</v>
      </c>
    </row>
    <row r="1718" spans="1:33" ht="15" customHeight="1" x14ac:dyDescent="0.2">
      <c r="A1718" s="11" t="str">
        <f t="shared" si="390"/>
        <v>VN000PHPAFM1</v>
      </c>
      <c r="B1718" s="12" t="s">
        <v>6641</v>
      </c>
      <c r="C1718" s="12" t="s">
        <v>1281</v>
      </c>
      <c r="D1718" s="12" t="s">
        <v>2373</v>
      </c>
      <c r="E1718" s="12" t="s">
        <v>6642</v>
      </c>
      <c r="F1718" s="13">
        <v>32</v>
      </c>
      <c r="G1718" s="14"/>
      <c r="H1718" s="12" t="s">
        <v>61</v>
      </c>
      <c r="I1718" s="12" t="s">
        <v>230</v>
      </c>
      <c r="J1718" s="12" t="s">
        <v>231</v>
      </c>
      <c r="K1718" s="12" t="s">
        <v>199</v>
      </c>
      <c r="L1718" s="14"/>
      <c r="M1718" s="12" t="s">
        <v>43</v>
      </c>
      <c r="N1718" s="12" t="s">
        <v>84</v>
      </c>
      <c r="O1718" s="12" t="s">
        <v>6643</v>
      </c>
      <c r="P1718" s="12" t="s">
        <v>66</v>
      </c>
      <c r="Q1718" s="12" t="s">
        <v>233</v>
      </c>
      <c r="R1718" s="12" t="s">
        <v>361</v>
      </c>
      <c r="S1718" s="13">
        <v>197804656325</v>
      </c>
      <c r="T1718" s="12" t="s">
        <v>235</v>
      </c>
      <c r="U1718" s="13">
        <v>32</v>
      </c>
      <c r="V1718" s="12" t="s">
        <v>665</v>
      </c>
      <c r="W1718" s="12" t="s">
        <v>51</v>
      </c>
      <c r="X1718" s="14"/>
      <c r="Y1718" s="14"/>
      <c r="Z1718" s="14"/>
      <c r="AA1718" s="14"/>
      <c r="AB1718" s="14"/>
      <c r="AC1718" s="15">
        <v>36.4</v>
      </c>
      <c r="AD1718" s="15">
        <f>AC1718*AG1718</f>
        <v>109.19999999999999</v>
      </c>
      <c r="AE1718" s="15">
        <v>80</v>
      </c>
      <c r="AF1718" s="15">
        <f>AE1718*AG1718</f>
        <v>240</v>
      </c>
      <c r="AG1718" s="16">
        <v>3</v>
      </c>
    </row>
    <row r="1719" spans="1:33" ht="15" customHeight="1" x14ac:dyDescent="0.2">
      <c r="A1719" s="11" t="str">
        <f t="shared" ref="A1719:A2246" si="717">HYPERLINK("https://assets.vans.eu/images/VN000PJ7BLK-HERO/1","VN000PJ7BLK1")</f>
        <v>VN000PJ7BLK1</v>
      </c>
      <c r="B1719" s="12" t="s">
        <v>6644</v>
      </c>
      <c r="C1719" s="12" t="s">
        <v>6645</v>
      </c>
      <c r="D1719" s="12" t="s">
        <v>76</v>
      </c>
      <c r="E1719" s="12" t="s">
        <v>6646</v>
      </c>
      <c r="F1719" s="12" t="s">
        <v>60</v>
      </c>
      <c r="G1719" s="14"/>
      <c r="H1719" s="12" t="s">
        <v>61</v>
      </c>
      <c r="I1719" s="12" t="s">
        <v>230</v>
      </c>
      <c r="J1719" s="12" t="s">
        <v>762</v>
      </c>
      <c r="K1719" s="12" t="s">
        <v>199</v>
      </c>
      <c r="L1719" s="14"/>
      <c r="M1719" s="12" t="s">
        <v>43</v>
      </c>
      <c r="N1719" s="12" t="s">
        <v>84</v>
      </c>
      <c r="O1719" s="12" t="s">
        <v>6647</v>
      </c>
      <c r="P1719" s="12" t="s">
        <v>66</v>
      </c>
      <c r="Q1719" s="12" t="s">
        <v>764</v>
      </c>
      <c r="R1719" s="12" t="s">
        <v>765</v>
      </c>
      <c r="S1719" s="13">
        <v>197804359479</v>
      </c>
      <c r="T1719" s="12" t="s">
        <v>235</v>
      </c>
      <c r="U1719" s="12" t="s">
        <v>60</v>
      </c>
      <c r="V1719" s="12" t="s">
        <v>90</v>
      </c>
      <c r="W1719" s="12" t="s">
        <v>51</v>
      </c>
      <c r="X1719" s="14"/>
      <c r="Y1719" s="14"/>
      <c r="Z1719" s="14"/>
      <c r="AA1719" s="14"/>
      <c r="AB1719" s="14"/>
      <c r="AC1719" s="15">
        <v>113.65</v>
      </c>
      <c r="AD1719" s="15">
        <f>AC1719*AG1719</f>
        <v>340.95000000000005</v>
      </c>
      <c r="AE1719" s="15">
        <v>250</v>
      </c>
      <c r="AF1719" s="15">
        <f>AE1719*AG1719</f>
        <v>750</v>
      </c>
      <c r="AG1719" s="16">
        <v>3</v>
      </c>
    </row>
    <row r="1720" spans="1:33" ht="15" customHeight="1" x14ac:dyDescent="0.2">
      <c r="A1720" s="11" t="str">
        <f t="shared" ref="A1720:A3413" si="718">HYPERLINK("https://assets.vans.eu/images/VN000PJMBLK-HERO/1","VN000PJMBLK1")</f>
        <v>VN000PJMBLK1</v>
      </c>
      <c r="B1720" s="12" t="s">
        <v>6648</v>
      </c>
      <c r="C1720" s="12" t="s">
        <v>5429</v>
      </c>
      <c r="D1720" s="12" t="s">
        <v>76</v>
      </c>
      <c r="E1720" s="12" t="s">
        <v>6649</v>
      </c>
      <c r="F1720" s="12" t="s">
        <v>403</v>
      </c>
      <c r="G1720" s="14"/>
      <c r="H1720" s="12" t="s">
        <v>61</v>
      </c>
      <c r="I1720" s="12" t="s">
        <v>230</v>
      </c>
      <c r="J1720" s="12" t="s">
        <v>419</v>
      </c>
      <c r="K1720" s="12" t="s">
        <v>199</v>
      </c>
      <c r="L1720" s="14"/>
      <c r="M1720" s="12" t="s">
        <v>43</v>
      </c>
      <c r="N1720" s="12" t="s">
        <v>84</v>
      </c>
      <c r="O1720" s="12" t="s">
        <v>6650</v>
      </c>
      <c r="P1720" s="12" t="s">
        <v>66</v>
      </c>
      <c r="Q1720" s="12" t="s">
        <v>67</v>
      </c>
      <c r="R1720" s="12" t="s">
        <v>623</v>
      </c>
      <c r="S1720" s="13">
        <v>197804360031</v>
      </c>
      <c r="T1720" s="12" t="s">
        <v>49</v>
      </c>
      <c r="U1720" s="12" t="s">
        <v>403</v>
      </c>
      <c r="V1720" s="12" t="s">
        <v>1726</v>
      </c>
      <c r="W1720" s="12" t="s">
        <v>51</v>
      </c>
      <c r="X1720" s="14"/>
      <c r="Y1720" s="14"/>
      <c r="Z1720" s="14"/>
      <c r="AA1720" s="14"/>
      <c r="AB1720" s="14"/>
      <c r="AC1720" s="15">
        <v>43.2</v>
      </c>
      <c r="AD1720" s="15">
        <f>AC1720*AG1720</f>
        <v>129.60000000000002</v>
      </c>
      <c r="AE1720" s="15">
        <v>95</v>
      </c>
      <c r="AF1720" s="15">
        <f>AE1720*AG1720</f>
        <v>285</v>
      </c>
      <c r="AG1720" s="16">
        <v>3</v>
      </c>
    </row>
    <row r="1721" spans="1:33" ht="15" customHeight="1" x14ac:dyDescent="0.2">
      <c r="A1721" s="11" t="str">
        <f t="shared" si="577"/>
        <v>VN000PJMZBF1</v>
      </c>
      <c r="B1721" s="12" t="s">
        <v>6651</v>
      </c>
      <c r="C1721" s="12" t="s">
        <v>5429</v>
      </c>
      <c r="D1721" s="12" t="s">
        <v>680</v>
      </c>
      <c r="E1721" s="12" t="s">
        <v>6652</v>
      </c>
      <c r="F1721" s="12" t="s">
        <v>621</v>
      </c>
      <c r="G1721" s="14"/>
      <c r="H1721" s="12" t="s">
        <v>61</v>
      </c>
      <c r="I1721" s="12" t="s">
        <v>230</v>
      </c>
      <c r="J1721" s="12" t="s">
        <v>419</v>
      </c>
      <c r="K1721" s="12" t="s">
        <v>199</v>
      </c>
      <c r="L1721" s="14"/>
      <c r="M1721" s="12" t="s">
        <v>43</v>
      </c>
      <c r="N1721" s="12" t="s">
        <v>84</v>
      </c>
      <c r="O1721" s="12" t="s">
        <v>6653</v>
      </c>
      <c r="P1721" s="12" t="s">
        <v>66</v>
      </c>
      <c r="Q1721" s="12" t="s">
        <v>67</v>
      </c>
      <c r="R1721" s="12" t="s">
        <v>623</v>
      </c>
      <c r="S1721" s="13">
        <v>197804360130</v>
      </c>
      <c r="T1721" s="12" t="s">
        <v>49</v>
      </c>
      <c r="U1721" s="12" t="s">
        <v>621</v>
      </c>
      <c r="V1721" s="12" t="s">
        <v>1726</v>
      </c>
      <c r="W1721" s="12" t="s">
        <v>118</v>
      </c>
      <c r="X1721" s="14"/>
      <c r="Y1721" s="14"/>
      <c r="Z1721" s="14"/>
      <c r="AA1721" s="14"/>
      <c r="AB1721" s="14"/>
      <c r="AC1721" s="15">
        <v>43.2</v>
      </c>
      <c r="AD1721" s="15">
        <f>AC1721*AG1721</f>
        <v>129.60000000000002</v>
      </c>
      <c r="AE1721" s="15">
        <v>95</v>
      </c>
      <c r="AF1721" s="15">
        <f>AE1721*AG1721</f>
        <v>285</v>
      </c>
      <c r="AG1721" s="16">
        <v>3</v>
      </c>
    </row>
    <row r="1722" spans="1:33" ht="15" customHeight="1" x14ac:dyDescent="0.2">
      <c r="A1722" s="11" t="str">
        <f t="shared" ref="A1722:A2255" si="719">HYPERLINK("https://assets.vans.eu/images/VN000PJSBLK-HERO/1","VN000PJSBLK1")</f>
        <v>VN000PJSBLK1</v>
      </c>
      <c r="B1722" s="12" t="s">
        <v>6654</v>
      </c>
      <c r="C1722" s="12" t="s">
        <v>4720</v>
      </c>
      <c r="D1722" s="12" t="s">
        <v>76</v>
      </c>
      <c r="E1722" s="12" t="s">
        <v>6655</v>
      </c>
      <c r="F1722" s="12" t="s">
        <v>621</v>
      </c>
      <c r="G1722" s="14"/>
      <c r="H1722" s="12" t="s">
        <v>61</v>
      </c>
      <c r="I1722" s="12" t="s">
        <v>230</v>
      </c>
      <c r="J1722" s="12" t="s">
        <v>419</v>
      </c>
      <c r="K1722" s="12" t="s">
        <v>199</v>
      </c>
      <c r="L1722" s="14"/>
      <c r="M1722" s="12" t="s">
        <v>43</v>
      </c>
      <c r="N1722" s="12" t="s">
        <v>84</v>
      </c>
      <c r="O1722" s="12" t="s">
        <v>6656</v>
      </c>
      <c r="P1722" s="12" t="s">
        <v>66</v>
      </c>
      <c r="Q1722" s="12" t="s">
        <v>67</v>
      </c>
      <c r="R1722" s="12" t="s">
        <v>421</v>
      </c>
      <c r="S1722" s="13">
        <v>197804360673</v>
      </c>
      <c r="T1722" s="12" t="s">
        <v>49</v>
      </c>
      <c r="U1722" s="12" t="s">
        <v>621</v>
      </c>
      <c r="V1722" s="12" t="s">
        <v>665</v>
      </c>
      <c r="W1722" s="12" t="s">
        <v>51</v>
      </c>
      <c r="X1722" s="14"/>
      <c r="Y1722" s="14"/>
      <c r="Z1722" s="14"/>
      <c r="AA1722" s="14"/>
      <c r="AB1722" s="14"/>
      <c r="AC1722" s="15">
        <v>22.75</v>
      </c>
      <c r="AD1722" s="15">
        <f>AC1722*AG1722</f>
        <v>68.25</v>
      </c>
      <c r="AE1722" s="15">
        <v>50</v>
      </c>
      <c r="AF1722" s="15">
        <f>AE1722*AG1722</f>
        <v>150</v>
      </c>
      <c r="AG1722" s="16">
        <v>3</v>
      </c>
    </row>
    <row r="1723" spans="1:33" ht="15" customHeight="1" x14ac:dyDescent="0.2">
      <c r="A1723" s="11" t="str">
        <f t="shared" ref="A1723:A2256" si="720">HYPERLINK("https://assets.vans.eu/images/VN000PJSD3Z-HERO/1","VN000PJSD3Z1")</f>
        <v>VN000PJSD3Z1</v>
      </c>
      <c r="B1723" s="12" t="s">
        <v>6657</v>
      </c>
      <c r="C1723" s="12" t="s">
        <v>4720</v>
      </c>
      <c r="D1723" s="12" t="s">
        <v>4721</v>
      </c>
      <c r="E1723" s="12" t="s">
        <v>6658</v>
      </c>
      <c r="F1723" s="12" t="s">
        <v>179</v>
      </c>
      <c r="G1723" s="14"/>
      <c r="H1723" s="12" t="s">
        <v>61</v>
      </c>
      <c r="I1723" s="12" t="s">
        <v>230</v>
      </c>
      <c r="J1723" s="12" t="s">
        <v>419</v>
      </c>
      <c r="K1723" s="12" t="s">
        <v>199</v>
      </c>
      <c r="L1723" s="14"/>
      <c r="M1723" s="12" t="s">
        <v>43</v>
      </c>
      <c r="N1723" s="12" t="s">
        <v>84</v>
      </c>
      <c r="O1723" s="12" t="s">
        <v>6659</v>
      </c>
      <c r="P1723" s="12" t="s">
        <v>66</v>
      </c>
      <c r="Q1723" s="12" t="s">
        <v>67</v>
      </c>
      <c r="R1723" s="12" t="s">
        <v>421</v>
      </c>
      <c r="S1723" s="13">
        <v>197804359899</v>
      </c>
      <c r="T1723" s="12" t="s">
        <v>49</v>
      </c>
      <c r="U1723" s="12" t="s">
        <v>179</v>
      </c>
      <c r="V1723" s="12" t="s">
        <v>665</v>
      </c>
      <c r="W1723" s="12" t="s">
        <v>118</v>
      </c>
      <c r="X1723" s="14"/>
      <c r="Y1723" s="14"/>
      <c r="Z1723" s="14"/>
      <c r="AA1723" s="14"/>
      <c r="AB1723" s="14"/>
      <c r="AC1723" s="15">
        <v>22.75</v>
      </c>
      <c r="AD1723" s="15">
        <f>AC1723*AG1723</f>
        <v>68.25</v>
      </c>
      <c r="AE1723" s="15">
        <v>50</v>
      </c>
      <c r="AF1723" s="15">
        <f>AE1723*AG1723</f>
        <v>150</v>
      </c>
      <c r="AG1723" s="16">
        <v>3</v>
      </c>
    </row>
    <row r="1724" spans="1:33" ht="15" customHeight="1" x14ac:dyDescent="0.2">
      <c r="A1724" s="11" t="str">
        <f t="shared" ref="A1724:A2264" si="721">HYPERLINK("https://assets.vans.eu/images/VN000PKEEN6-HERO/1","VN000PKEEN61")</f>
        <v>VN000PKEEN61</v>
      </c>
      <c r="B1724" s="12" t="s">
        <v>6660</v>
      </c>
      <c r="C1724" s="12" t="s">
        <v>6661</v>
      </c>
      <c r="D1724" s="12" t="s">
        <v>189</v>
      </c>
      <c r="E1724" s="12" t="s">
        <v>6662</v>
      </c>
      <c r="F1724" s="12" t="s">
        <v>403</v>
      </c>
      <c r="G1724" s="14"/>
      <c r="H1724" s="12" t="s">
        <v>61</v>
      </c>
      <c r="I1724" s="12" t="s">
        <v>289</v>
      </c>
      <c r="J1724" s="12" t="s">
        <v>706</v>
      </c>
      <c r="K1724" s="12" t="s">
        <v>100</v>
      </c>
      <c r="L1724" s="14"/>
      <c r="M1724" s="12" t="s">
        <v>43</v>
      </c>
      <c r="N1724" s="12" t="s">
        <v>84</v>
      </c>
      <c r="O1724" s="12" t="s">
        <v>6663</v>
      </c>
      <c r="P1724" s="12" t="s">
        <v>66</v>
      </c>
      <c r="Q1724" s="12" t="s">
        <v>67</v>
      </c>
      <c r="R1724" s="12" t="s">
        <v>708</v>
      </c>
      <c r="S1724" s="13">
        <v>197804580026</v>
      </c>
      <c r="T1724" s="12" t="s">
        <v>49</v>
      </c>
      <c r="U1724" s="12" t="s">
        <v>403</v>
      </c>
      <c r="V1724" s="12" t="s">
        <v>6664</v>
      </c>
      <c r="W1724" s="12" t="s">
        <v>118</v>
      </c>
      <c r="X1724" s="14"/>
      <c r="Y1724" s="14"/>
      <c r="Z1724" s="14"/>
      <c r="AA1724" s="14"/>
      <c r="AB1724" s="14"/>
      <c r="AC1724" s="15">
        <v>40.950000000000003</v>
      </c>
      <c r="AD1724" s="15">
        <f>AC1724*AG1724</f>
        <v>122.85000000000001</v>
      </c>
      <c r="AE1724" s="15">
        <v>90</v>
      </c>
      <c r="AF1724" s="15">
        <f>AE1724*AG1724</f>
        <v>270</v>
      </c>
      <c r="AG1724" s="16">
        <v>3</v>
      </c>
    </row>
    <row r="1725" spans="1:33" ht="15" customHeight="1" x14ac:dyDescent="0.2">
      <c r="A1725" s="11" t="str">
        <f t="shared" si="579"/>
        <v>VN000PMABLK1</v>
      </c>
      <c r="B1725" s="12" t="s">
        <v>6665</v>
      </c>
      <c r="C1725" s="12" t="s">
        <v>2076</v>
      </c>
      <c r="D1725" s="12" t="s">
        <v>76</v>
      </c>
      <c r="E1725" s="12" t="s">
        <v>6666</v>
      </c>
      <c r="F1725" s="12" t="s">
        <v>153</v>
      </c>
      <c r="G1725" s="14"/>
      <c r="H1725" s="12" t="s">
        <v>61</v>
      </c>
      <c r="I1725" s="12" t="s">
        <v>230</v>
      </c>
      <c r="J1725" s="12" t="s">
        <v>762</v>
      </c>
      <c r="K1725" s="12" t="s">
        <v>199</v>
      </c>
      <c r="L1725" s="14"/>
      <c r="M1725" s="12" t="s">
        <v>43</v>
      </c>
      <c r="N1725" s="12" t="s">
        <v>84</v>
      </c>
      <c r="O1725" s="12" t="s">
        <v>6667</v>
      </c>
      <c r="P1725" s="12" t="s">
        <v>66</v>
      </c>
      <c r="Q1725" s="12" t="s">
        <v>764</v>
      </c>
      <c r="R1725" s="12" t="s">
        <v>765</v>
      </c>
      <c r="S1725" s="13">
        <v>197804372973</v>
      </c>
      <c r="T1725" s="12" t="s">
        <v>49</v>
      </c>
      <c r="U1725" s="12" t="s">
        <v>153</v>
      </c>
      <c r="V1725" s="12" t="s">
        <v>90</v>
      </c>
      <c r="W1725" s="12" t="s">
        <v>51</v>
      </c>
      <c r="X1725" s="14"/>
      <c r="Y1725" s="14"/>
      <c r="Z1725" s="14"/>
      <c r="AA1725" s="14"/>
      <c r="AB1725" s="14"/>
      <c r="AC1725" s="15">
        <v>159.1</v>
      </c>
      <c r="AD1725" s="15">
        <f>AC1725*AG1725</f>
        <v>477.29999999999995</v>
      </c>
      <c r="AE1725" s="15">
        <v>350</v>
      </c>
      <c r="AF1725" s="15">
        <f>AE1725*AG1725</f>
        <v>1050</v>
      </c>
      <c r="AG1725" s="16">
        <v>3</v>
      </c>
    </row>
    <row r="1726" spans="1:33" ht="15" customHeight="1" x14ac:dyDescent="0.2">
      <c r="A1726" s="11" t="str">
        <f t="shared" ref="A1726:A3433" si="722">HYPERLINK("https://assets.vans.eu/images/VN000PMAEMW-HERO/1","VN000PMAEMW1")</f>
        <v>VN000PMAEMW1</v>
      </c>
      <c r="B1726" s="12" t="s">
        <v>6668</v>
      </c>
      <c r="C1726" s="12" t="s">
        <v>2076</v>
      </c>
      <c r="D1726" s="12" t="s">
        <v>147</v>
      </c>
      <c r="E1726" s="12" t="s">
        <v>6669</v>
      </c>
      <c r="F1726" s="12" t="s">
        <v>60</v>
      </c>
      <c r="G1726" s="14"/>
      <c r="H1726" s="12" t="s">
        <v>61</v>
      </c>
      <c r="I1726" s="12" t="s">
        <v>230</v>
      </c>
      <c r="J1726" s="12" t="s">
        <v>762</v>
      </c>
      <c r="K1726" s="12" t="s">
        <v>199</v>
      </c>
      <c r="L1726" s="14"/>
      <c r="M1726" s="12" t="s">
        <v>43</v>
      </c>
      <c r="N1726" s="12" t="s">
        <v>84</v>
      </c>
      <c r="O1726" s="12" t="s">
        <v>6670</v>
      </c>
      <c r="P1726" s="12" t="s">
        <v>66</v>
      </c>
      <c r="Q1726" s="12" t="s">
        <v>764</v>
      </c>
      <c r="R1726" s="12" t="s">
        <v>765</v>
      </c>
      <c r="S1726" s="13">
        <v>197804372867</v>
      </c>
      <c r="T1726" s="12" t="s">
        <v>49</v>
      </c>
      <c r="U1726" s="12" t="s">
        <v>60</v>
      </c>
      <c r="V1726" s="12" t="s">
        <v>90</v>
      </c>
      <c r="W1726" s="12" t="s">
        <v>118</v>
      </c>
      <c r="X1726" s="14"/>
      <c r="Y1726" s="14"/>
      <c r="Z1726" s="14"/>
      <c r="AA1726" s="14"/>
      <c r="AB1726" s="14"/>
      <c r="AC1726" s="15">
        <v>159.1</v>
      </c>
      <c r="AD1726" s="15">
        <f>AC1726*AG1726</f>
        <v>477.29999999999995</v>
      </c>
      <c r="AE1726" s="15">
        <v>350</v>
      </c>
      <c r="AF1726" s="15">
        <f>AE1726*AG1726</f>
        <v>1050</v>
      </c>
      <c r="AG1726" s="16">
        <v>3</v>
      </c>
    </row>
    <row r="1727" spans="1:33" ht="15" customHeight="1" x14ac:dyDescent="0.2">
      <c r="A1727" s="11" t="str">
        <f>HYPERLINK("https://assets.vans.eu/images/VN000PMFEB2-HERO/1","VN000PMFEB21")</f>
        <v>VN000PMFEB21</v>
      </c>
      <c r="B1727" s="12" t="s">
        <v>6671</v>
      </c>
      <c r="C1727" s="12" t="s">
        <v>3148</v>
      </c>
      <c r="D1727" s="12" t="s">
        <v>2693</v>
      </c>
      <c r="E1727" s="12" t="s">
        <v>6672</v>
      </c>
      <c r="F1727" s="12" t="s">
        <v>403</v>
      </c>
      <c r="G1727" s="14"/>
      <c r="H1727" s="12" t="s">
        <v>61</v>
      </c>
      <c r="I1727" s="12" t="s">
        <v>230</v>
      </c>
      <c r="J1727" s="12" t="s">
        <v>762</v>
      </c>
      <c r="K1727" s="12" t="s">
        <v>199</v>
      </c>
      <c r="L1727" s="14"/>
      <c r="M1727" s="12" t="s">
        <v>43</v>
      </c>
      <c r="N1727" s="12" t="s">
        <v>84</v>
      </c>
      <c r="O1727" s="12" t="s">
        <v>6673</v>
      </c>
      <c r="P1727" s="12" t="s">
        <v>66</v>
      </c>
      <c r="Q1727" s="12" t="s">
        <v>764</v>
      </c>
      <c r="R1727" s="12" t="s">
        <v>765</v>
      </c>
      <c r="S1727" s="13">
        <v>197804372782</v>
      </c>
      <c r="T1727" s="12" t="s">
        <v>49</v>
      </c>
      <c r="U1727" s="12" t="s">
        <v>403</v>
      </c>
      <c r="V1727" s="12" t="s">
        <v>1811</v>
      </c>
      <c r="W1727" s="12" t="s">
        <v>51</v>
      </c>
      <c r="X1727" s="14"/>
      <c r="Y1727" s="14"/>
      <c r="Z1727" s="14"/>
      <c r="AA1727" s="14"/>
      <c r="AB1727" s="14"/>
      <c r="AC1727" s="15">
        <v>136.4</v>
      </c>
      <c r="AD1727" s="15">
        <f>AC1727*AG1727</f>
        <v>409.20000000000005</v>
      </c>
      <c r="AE1727" s="15">
        <v>300</v>
      </c>
      <c r="AF1727" s="15">
        <f>AE1727*AG1727</f>
        <v>900</v>
      </c>
      <c r="AG1727" s="16">
        <v>3</v>
      </c>
    </row>
    <row r="1728" spans="1:33" ht="15" customHeight="1" x14ac:dyDescent="0.2">
      <c r="A1728" s="11" t="str">
        <f t="shared" ref="A1728:A2273" si="723">HYPERLINK("https://assets.vans.eu/images/VN000PMHEB2-HERO/1","VN000PMHEB21")</f>
        <v>VN000PMHEB21</v>
      </c>
      <c r="B1728" s="12" t="s">
        <v>6674</v>
      </c>
      <c r="C1728" s="12" t="s">
        <v>2916</v>
      </c>
      <c r="D1728" s="12" t="s">
        <v>2693</v>
      </c>
      <c r="E1728" s="12" t="s">
        <v>6675</v>
      </c>
      <c r="F1728" s="12" t="s">
        <v>60</v>
      </c>
      <c r="G1728" s="14"/>
      <c r="H1728" s="12" t="s">
        <v>61</v>
      </c>
      <c r="I1728" s="12" t="s">
        <v>230</v>
      </c>
      <c r="J1728" s="12" t="s">
        <v>762</v>
      </c>
      <c r="K1728" s="12" t="s">
        <v>199</v>
      </c>
      <c r="L1728" s="14"/>
      <c r="M1728" s="12" t="s">
        <v>43</v>
      </c>
      <c r="N1728" s="12" t="s">
        <v>84</v>
      </c>
      <c r="O1728" s="12" t="s">
        <v>6676</v>
      </c>
      <c r="P1728" s="12" t="s">
        <v>66</v>
      </c>
      <c r="Q1728" s="12" t="s">
        <v>764</v>
      </c>
      <c r="R1728" s="12" t="s">
        <v>765</v>
      </c>
      <c r="S1728" s="13">
        <v>197804678815</v>
      </c>
      <c r="T1728" s="12" t="s">
        <v>49</v>
      </c>
      <c r="U1728" s="12" t="s">
        <v>60</v>
      </c>
      <c r="V1728" s="12" t="s">
        <v>1811</v>
      </c>
      <c r="W1728" s="12" t="s">
        <v>51</v>
      </c>
      <c r="X1728" s="14"/>
      <c r="Y1728" s="14"/>
      <c r="Z1728" s="14"/>
      <c r="AA1728" s="14"/>
      <c r="AB1728" s="14"/>
      <c r="AC1728" s="15">
        <v>95.5</v>
      </c>
      <c r="AD1728" s="15">
        <f>AC1728*AG1728</f>
        <v>286.5</v>
      </c>
      <c r="AE1728" s="15">
        <v>210</v>
      </c>
      <c r="AF1728" s="15">
        <f>AE1728*AG1728</f>
        <v>630</v>
      </c>
      <c r="AG1728" s="16">
        <v>3</v>
      </c>
    </row>
    <row r="1729" spans="1:33" ht="15" customHeight="1" x14ac:dyDescent="0.2">
      <c r="A1729" s="11" t="str">
        <f t="shared" si="441"/>
        <v>VN000PMHENB1</v>
      </c>
      <c r="B1729" s="12" t="s">
        <v>6677</v>
      </c>
      <c r="C1729" s="12" t="s">
        <v>2916</v>
      </c>
      <c r="D1729" s="12" t="s">
        <v>2917</v>
      </c>
      <c r="E1729" s="12" t="s">
        <v>6678</v>
      </c>
      <c r="F1729" s="12" t="s">
        <v>60</v>
      </c>
      <c r="G1729" s="14"/>
      <c r="H1729" s="12" t="s">
        <v>61</v>
      </c>
      <c r="I1729" s="12" t="s">
        <v>230</v>
      </c>
      <c r="J1729" s="12" t="s">
        <v>762</v>
      </c>
      <c r="K1729" s="12" t="s">
        <v>199</v>
      </c>
      <c r="L1729" s="14"/>
      <c r="M1729" s="12" t="s">
        <v>43</v>
      </c>
      <c r="N1729" s="12" t="s">
        <v>84</v>
      </c>
      <c r="O1729" s="12" t="s">
        <v>6679</v>
      </c>
      <c r="P1729" s="12" t="s">
        <v>66</v>
      </c>
      <c r="Q1729" s="12" t="s">
        <v>764</v>
      </c>
      <c r="R1729" s="12" t="s">
        <v>765</v>
      </c>
      <c r="S1729" s="13">
        <v>197804678822</v>
      </c>
      <c r="T1729" s="12" t="s">
        <v>49</v>
      </c>
      <c r="U1729" s="12" t="s">
        <v>60</v>
      </c>
      <c r="V1729" s="12" t="s">
        <v>1811</v>
      </c>
      <c r="W1729" s="12" t="s">
        <v>186</v>
      </c>
      <c r="X1729" s="14"/>
      <c r="Y1729" s="14"/>
      <c r="Z1729" s="14"/>
      <c r="AA1729" s="14"/>
      <c r="AB1729" s="14"/>
      <c r="AC1729" s="15">
        <v>95.5</v>
      </c>
      <c r="AD1729" s="15">
        <f>AC1729*AG1729</f>
        <v>286.5</v>
      </c>
      <c r="AE1729" s="15">
        <v>210</v>
      </c>
      <c r="AF1729" s="15">
        <f>AE1729*AG1729</f>
        <v>630</v>
      </c>
      <c r="AG1729" s="16">
        <v>3</v>
      </c>
    </row>
    <row r="1730" spans="1:33" ht="15" customHeight="1" x14ac:dyDescent="0.2">
      <c r="A1730" s="11" t="str">
        <f t="shared" ref="A1730:A1731" si="724">HYPERLINK("https://assets.vans.eu/images/VN000PMNEMP-HERO/1","VN000PMNEMP1")</f>
        <v>VN000PMNEMP1</v>
      </c>
      <c r="B1730" s="12" t="s">
        <v>6680</v>
      </c>
      <c r="C1730" s="12" t="s">
        <v>4753</v>
      </c>
      <c r="D1730" s="12" t="s">
        <v>704</v>
      </c>
      <c r="E1730" s="12" t="s">
        <v>6681</v>
      </c>
      <c r="F1730" s="12" t="s">
        <v>179</v>
      </c>
      <c r="G1730" s="14"/>
      <c r="H1730" s="12" t="s">
        <v>61</v>
      </c>
      <c r="I1730" s="12" t="s">
        <v>230</v>
      </c>
      <c r="J1730" s="12" t="s">
        <v>762</v>
      </c>
      <c r="K1730" s="12" t="s">
        <v>199</v>
      </c>
      <c r="L1730" s="14"/>
      <c r="M1730" s="12" t="s">
        <v>43</v>
      </c>
      <c r="N1730" s="12" t="s">
        <v>84</v>
      </c>
      <c r="O1730" s="12" t="s">
        <v>6682</v>
      </c>
      <c r="P1730" s="12" t="s">
        <v>66</v>
      </c>
      <c r="Q1730" s="12" t="s">
        <v>764</v>
      </c>
      <c r="R1730" s="12" t="s">
        <v>765</v>
      </c>
      <c r="S1730" s="13">
        <v>197804372744</v>
      </c>
      <c r="T1730" s="12" t="s">
        <v>235</v>
      </c>
      <c r="U1730" s="12" t="s">
        <v>179</v>
      </c>
      <c r="V1730" s="12" t="s">
        <v>665</v>
      </c>
      <c r="W1730" s="12" t="s">
        <v>186</v>
      </c>
      <c r="X1730" s="14"/>
      <c r="Y1730" s="14"/>
      <c r="Z1730" s="14"/>
      <c r="AA1730" s="14"/>
      <c r="AB1730" s="14"/>
      <c r="AC1730" s="15">
        <v>43.2</v>
      </c>
      <c r="AD1730" s="15">
        <f>AC1730*AG1730</f>
        <v>129.60000000000002</v>
      </c>
      <c r="AE1730" s="15">
        <v>95</v>
      </c>
      <c r="AF1730" s="15">
        <f>AE1730*AG1730</f>
        <v>285</v>
      </c>
      <c r="AG1730" s="16">
        <v>3</v>
      </c>
    </row>
    <row r="1731" spans="1:33" ht="15" customHeight="1" x14ac:dyDescent="0.2">
      <c r="A1731" s="11" t="str">
        <f t="shared" si="724"/>
        <v>VN000PMNEMP1</v>
      </c>
      <c r="B1731" s="12" t="s">
        <v>6683</v>
      </c>
      <c r="C1731" s="12" t="s">
        <v>4753</v>
      </c>
      <c r="D1731" s="12" t="s">
        <v>704</v>
      </c>
      <c r="E1731" s="12" t="s">
        <v>6684</v>
      </c>
      <c r="F1731" s="12" t="s">
        <v>170</v>
      </c>
      <c r="G1731" s="14"/>
      <c r="H1731" s="12" t="s">
        <v>61</v>
      </c>
      <c r="I1731" s="12" t="s">
        <v>230</v>
      </c>
      <c r="J1731" s="12" t="s">
        <v>762</v>
      </c>
      <c r="K1731" s="12" t="s">
        <v>199</v>
      </c>
      <c r="L1731" s="14"/>
      <c r="M1731" s="12" t="s">
        <v>43</v>
      </c>
      <c r="N1731" s="12" t="s">
        <v>84</v>
      </c>
      <c r="O1731" s="12" t="s">
        <v>6685</v>
      </c>
      <c r="P1731" s="12" t="s">
        <v>66</v>
      </c>
      <c r="Q1731" s="12" t="s">
        <v>764</v>
      </c>
      <c r="R1731" s="12" t="s">
        <v>765</v>
      </c>
      <c r="S1731" s="13">
        <v>197804372911</v>
      </c>
      <c r="T1731" s="12" t="s">
        <v>235</v>
      </c>
      <c r="U1731" s="12" t="s">
        <v>170</v>
      </c>
      <c r="V1731" s="12" t="s">
        <v>665</v>
      </c>
      <c r="W1731" s="12" t="s">
        <v>186</v>
      </c>
      <c r="X1731" s="14"/>
      <c r="Y1731" s="14"/>
      <c r="Z1731" s="14"/>
      <c r="AA1731" s="14"/>
      <c r="AB1731" s="14"/>
      <c r="AC1731" s="15">
        <v>43.2</v>
      </c>
      <c r="AD1731" s="15">
        <f>AC1731*AG1731</f>
        <v>129.60000000000002</v>
      </c>
      <c r="AE1731" s="15">
        <v>95</v>
      </c>
      <c r="AF1731" s="15">
        <f>AE1731*AG1731</f>
        <v>285</v>
      </c>
      <c r="AG1731" s="16">
        <v>3</v>
      </c>
    </row>
    <row r="1732" spans="1:33" ht="15" customHeight="1" x14ac:dyDescent="0.2">
      <c r="A1732" s="11" t="str">
        <f t="shared" si="580"/>
        <v>VN000PMXEMU1</v>
      </c>
      <c r="B1732" s="12" t="s">
        <v>6686</v>
      </c>
      <c r="C1732" s="12" t="s">
        <v>5470</v>
      </c>
      <c r="D1732" s="12" t="s">
        <v>1319</v>
      </c>
      <c r="E1732" s="12" t="s">
        <v>6687</v>
      </c>
      <c r="F1732" s="12" t="s">
        <v>403</v>
      </c>
      <c r="G1732" s="14"/>
      <c r="H1732" s="12" t="s">
        <v>61</v>
      </c>
      <c r="I1732" s="12" t="s">
        <v>230</v>
      </c>
      <c r="J1732" s="12" t="s">
        <v>419</v>
      </c>
      <c r="K1732" s="12" t="s">
        <v>199</v>
      </c>
      <c r="L1732" s="14"/>
      <c r="M1732" s="12" t="s">
        <v>43</v>
      </c>
      <c r="N1732" s="12" t="s">
        <v>84</v>
      </c>
      <c r="O1732" s="12" t="s">
        <v>6688</v>
      </c>
      <c r="P1732" s="12" t="s">
        <v>66</v>
      </c>
      <c r="Q1732" s="12" t="s">
        <v>67</v>
      </c>
      <c r="R1732" s="12" t="s">
        <v>1500</v>
      </c>
      <c r="S1732" s="13">
        <v>197804362028</v>
      </c>
      <c r="T1732" s="12" t="s">
        <v>49</v>
      </c>
      <c r="U1732" s="12" t="s">
        <v>403</v>
      </c>
      <c r="V1732" s="12" t="s">
        <v>665</v>
      </c>
      <c r="W1732" s="12" t="s">
        <v>118</v>
      </c>
      <c r="X1732" s="14"/>
      <c r="Y1732" s="14"/>
      <c r="Z1732" s="14"/>
      <c r="AA1732" s="14"/>
      <c r="AB1732" s="14"/>
      <c r="AC1732" s="15">
        <v>22.75</v>
      </c>
      <c r="AD1732" s="15">
        <f>AC1732*AG1732</f>
        <v>68.25</v>
      </c>
      <c r="AE1732" s="15">
        <v>50</v>
      </c>
      <c r="AF1732" s="15">
        <f>AE1732*AG1732</f>
        <v>150</v>
      </c>
      <c r="AG1732" s="16">
        <v>3</v>
      </c>
    </row>
    <row r="1733" spans="1:33" ht="15" customHeight="1" x14ac:dyDescent="0.2">
      <c r="A1733" s="11" t="str">
        <f t="shared" ref="A1733:A2276" si="725">HYPERLINK("https://assets.vans.eu/images/VN000PMXEMU-HERO/1","VN000PMXEMU1")</f>
        <v>VN000PMXEMU1</v>
      </c>
      <c r="B1733" s="12" t="s">
        <v>6689</v>
      </c>
      <c r="C1733" s="12" t="s">
        <v>5470</v>
      </c>
      <c r="D1733" s="12" t="s">
        <v>1319</v>
      </c>
      <c r="E1733" s="12" t="s">
        <v>6690</v>
      </c>
      <c r="F1733" s="12" t="s">
        <v>60</v>
      </c>
      <c r="G1733" s="14"/>
      <c r="H1733" s="12" t="s">
        <v>61</v>
      </c>
      <c r="I1733" s="12" t="s">
        <v>230</v>
      </c>
      <c r="J1733" s="12" t="s">
        <v>419</v>
      </c>
      <c r="K1733" s="12" t="s">
        <v>199</v>
      </c>
      <c r="L1733" s="14"/>
      <c r="M1733" s="12" t="s">
        <v>43</v>
      </c>
      <c r="N1733" s="12" t="s">
        <v>84</v>
      </c>
      <c r="O1733" s="12" t="s">
        <v>6691</v>
      </c>
      <c r="P1733" s="12" t="s">
        <v>66</v>
      </c>
      <c r="Q1733" s="12" t="s">
        <v>67</v>
      </c>
      <c r="R1733" s="12" t="s">
        <v>1500</v>
      </c>
      <c r="S1733" s="13">
        <v>197804362059</v>
      </c>
      <c r="T1733" s="12" t="s">
        <v>49</v>
      </c>
      <c r="U1733" s="12" t="s">
        <v>60</v>
      </c>
      <c r="V1733" s="12" t="s">
        <v>665</v>
      </c>
      <c r="W1733" s="12" t="s">
        <v>118</v>
      </c>
      <c r="X1733" s="14"/>
      <c r="Y1733" s="14"/>
      <c r="Z1733" s="14"/>
      <c r="AA1733" s="14"/>
      <c r="AB1733" s="14"/>
      <c r="AC1733" s="15">
        <v>22.75</v>
      </c>
      <c r="AD1733" s="15">
        <f>AC1733*AG1733</f>
        <v>68.25</v>
      </c>
      <c r="AE1733" s="15">
        <v>50</v>
      </c>
      <c r="AF1733" s="15">
        <f>AE1733*AG1733</f>
        <v>150</v>
      </c>
      <c r="AG1733" s="16">
        <v>3</v>
      </c>
    </row>
    <row r="1734" spans="1:33" ht="15" customHeight="1" x14ac:dyDescent="0.2">
      <c r="A1734" s="11" t="str">
        <f t="shared" si="581"/>
        <v>VN000PN9ZX71</v>
      </c>
      <c r="B1734" s="12" t="s">
        <v>6692</v>
      </c>
      <c r="C1734" s="12" t="s">
        <v>3457</v>
      </c>
      <c r="D1734" s="12" t="s">
        <v>3458</v>
      </c>
      <c r="E1734" s="12" t="s">
        <v>6693</v>
      </c>
      <c r="F1734" s="12" t="s">
        <v>153</v>
      </c>
      <c r="G1734" s="14"/>
      <c r="H1734" s="12" t="s">
        <v>61</v>
      </c>
      <c r="I1734" s="12" t="s">
        <v>230</v>
      </c>
      <c r="J1734" s="12" t="s">
        <v>419</v>
      </c>
      <c r="K1734" s="12" t="s">
        <v>199</v>
      </c>
      <c r="L1734" s="14"/>
      <c r="M1734" s="12" t="s">
        <v>43</v>
      </c>
      <c r="N1734" s="12" t="s">
        <v>84</v>
      </c>
      <c r="O1734" s="12" t="s">
        <v>6694</v>
      </c>
      <c r="P1734" s="12" t="s">
        <v>66</v>
      </c>
      <c r="Q1734" s="12" t="s">
        <v>67</v>
      </c>
      <c r="R1734" s="12" t="s">
        <v>421</v>
      </c>
      <c r="S1734" s="13">
        <v>197804362677</v>
      </c>
      <c r="T1734" s="12" t="s">
        <v>49</v>
      </c>
      <c r="U1734" s="12" t="s">
        <v>153</v>
      </c>
      <c r="V1734" s="12" t="s">
        <v>665</v>
      </c>
      <c r="W1734" s="12" t="s">
        <v>625</v>
      </c>
      <c r="X1734" s="14"/>
      <c r="Y1734" s="14"/>
      <c r="Z1734" s="14"/>
      <c r="AA1734" s="14"/>
      <c r="AB1734" s="14"/>
      <c r="AC1734" s="15">
        <v>19.100000000000001</v>
      </c>
      <c r="AD1734" s="15">
        <f>AC1734*AG1734</f>
        <v>57.300000000000004</v>
      </c>
      <c r="AE1734" s="15">
        <v>42</v>
      </c>
      <c r="AF1734" s="15">
        <f>AE1734*AG1734</f>
        <v>126</v>
      </c>
      <c r="AG1734" s="16">
        <v>3</v>
      </c>
    </row>
    <row r="1735" spans="1:33" ht="15" customHeight="1" x14ac:dyDescent="0.2">
      <c r="A1735" s="11" t="str">
        <f>HYPERLINK("https://assets.vans.eu/images/VN000PNABLK-HERO/1","VN000PNABLK1")</f>
        <v>VN000PNABLK1</v>
      </c>
      <c r="B1735" s="12" t="s">
        <v>6695</v>
      </c>
      <c r="C1735" s="12" t="s">
        <v>6696</v>
      </c>
      <c r="D1735" s="12" t="s">
        <v>76</v>
      </c>
      <c r="E1735" s="12" t="s">
        <v>6697</v>
      </c>
      <c r="F1735" s="12" t="s">
        <v>60</v>
      </c>
      <c r="G1735" s="14"/>
      <c r="H1735" s="12" t="s">
        <v>61</v>
      </c>
      <c r="I1735" s="12" t="s">
        <v>230</v>
      </c>
      <c r="J1735" s="12" t="s">
        <v>419</v>
      </c>
      <c r="K1735" s="12" t="s">
        <v>199</v>
      </c>
      <c r="L1735" s="14"/>
      <c r="M1735" s="12" t="s">
        <v>43</v>
      </c>
      <c r="N1735" s="12" t="s">
        <v>84</v>
      </c>
      <c r="O1735" s="12" t="s">
        <v>6698</v>
      </c>
      <c r="P1735" s="12" t="s">
        <v>66</v>
      </c>
      <c r="Q1735" s="12" t="s">
        <v>67</v>
      </c>
      <c r="R1735" s="12" t="s">
        <v>421</v>
      </c>
      <c r="S1735" s="13">
        <v>197804362707</v>
      </c>
      <c r="T1735" s="12" t="s">
        <v>49</v>
      </c>
      <c r="U1735" s="12" t="s">
        <v>60</v>
      </c>
      <c r="V1735" s="12" t="s">
        <v>665</v>
      </c>
      <c r="W1735" s="12" t="s">
        <v>51</v>
      </c>
      <c r="X1735" s="14"/>
      <c r="Y1735" s="14"/>
      <c r="Z1735" s="14"/>
      <c r="AA1735" s="14"/>
      <c r="AB1735" s="14"/>
      <c r="AC1735" s="15">
        <v>19.100000000000001</v>
      </c>
      <c r="AD1735" s="15">
        <f>AC1735*AG1735</f>
        <v>57.300000000000004</v>
      </c>
      <c r="AE1735" s="15">
        <v>42</v>
      </c>
      <c r="AF1735" s="15">
        <f>AE1735*AG1735</f>
        <v>126</v>
      </c>
      <c r="AG1735" s="16">
        <v>3</v>
      </c>
    </row>
    <row r="1736" spans="1:33" ht="15" customHeight="1" x14ac:dyDescent="0.2">
      <c r="A1736" s="11" t="str">
        <f t="shared" ref="A1736:A1737" si="726">HYPERLINK("https://assets.vans.eu/images/VN000PNCRKZ-HERO/1","VN000PNCRKZ1")</f>
        <v>VN000PNCRKZ1</v>
      </c>
      <c r="B1736" s="12" t="s">
        <v>6699</v>
      </c>
      <c r="C1736" s="12" t="s">
        <v>6700</v>
      </c>
      <c r="D1736" s="12" t="s">
        <v>6701</v>
      </c>
      <c r="E1736" s="12" t="s">
        <v>6702</v>
      </c>
      <c r="F1736" s="12" t="s">
        <v>179</v>
      </c>
      <c r="G1736" s="14"/>
      <c r="H1736" s="12" t="s">
        <v>61</v>
      </c>
      <c r="I1736" s="12" t="s">
        <v>230</v>
      </c>
      <c r="J1736" s="12" t="s">
        <v>419</v>
      </c>
      <c r="K1736" s="12" t="s">
        <v>199</v>
      </c>
      <c r="L1736" s="14"/>
      <c r="M1736" s="12" t="s">
        <v>43</v>
      </c>
      <c r="N1736" s="12" t="s">
        <v>84</v>
      </c>
      <c r="O1736" s="12" t="s">
        <v>6703</v>
      </c>
      <c r="P1736" s="12" t="s">
        <v>66</v>
      </c>
      <c r="Q1736" s="12" t="s">
        <v>67</v>
      </c>
      <c r="R1736" s="12" t="s">
        <v>421</v>
      </c>
      <c r="S1736" s="13">
        <v>197804362479</v>
      </c>
      <c r="T1736" s="12" t="s">
        <v>49</v>
      </c>
      <c r="U1736" s="12" t="s">
        <v>179</v>
      </c>
      <c r="V1736" s="12" t="s">
        <v>665</v>
      </c>
      <c r="W1736" s="12" t="s">
        <v>455</v>
      </c>
      <c r="X1736" s="14"/>
      <c r="Y1736" s="14"/>
      <c r="Z1736" s="14"/>
      <c r="AA1736" s="14"/>
      <c r="AB1736" s="14"/>
      <c r="AC1736" s="15">
        <v>20.5</v>
      </c>
      <c r="AD1736" s="15">
        <f>AC1736*AG1736</f>
        <v>61.5</v>
      </c>
      <c r="AE1736" s="15">
        <v>45</v>
      </c>
      <c r="AF1736" s="15">
        <f>AE1736*AG1736</f>
        <v>135</v>
      </c>
      <c r="AG1736" s="16">
        <v>3</v>
      </c>
    </row>
    <row r="1737" spans="1:33" ht="15" customHeight="1" x14ac:dyDescent="0.2">
      <c r="A1737" s="11" t="str">
        <f t="shared" si="726"/>
        <v>VN000PNCRKZ1</v>
      </c>
      <c r="B1737" s="12" t="s">
        <v>6704</v>
      </c>
      <c r="C1737" s="12" t="s">
        <v>6700</v>
      </c>
      <c r="D1737" s="12" t="s">
        <v>6701</v>
      </c>
      <c r="E1737" s="12" t="s">
        <v>6705</v>
      </c>
      <c r="F1737" s="12" t="s">
        <v>170</v>
      </c>
      <c r="G1737" s="14"/>
      <c r="H1737" s="12" t="s">
        <v>61</v>
      </c>
      <c r="I1737" s="12" t="s">
        <v>230</v>
      </c>
      <c r="J1737" s="12" t="s">
        <v>419</v>
      </c>
      <c r="K1737" s="12" t="s">
        <v>199</v>
      </c>
      <c r="L1737" s="14"/>
      <c r="M1737" s="12" t="s">
        <v>43</v>
      </c>
      <c r="N1737" s="12" t="s">
        <v>84</v>
      </c>
      <c r="O1737" s="12" t="s">
        <v>6706</v>
      </c>
      <c r="P1737" s="12" t="s">
        <v>66</v>
      </c>
      <c r="Q1737" s="12" t="s">
        <v>67</v>
      </c>
      <c r="R1737" s="12" t="s">
        <v>421</v>
      </c>
      <c r="S1737" s="13">
        <v>197804362516</v>
      </c>
      <c r="T1737" s="12" t="s">
        <v>49</v>
      </c>
      <c r="U1737" s="12" t="s">
        <v>170</v>
      </c>
      <c r="V1737" s="12" t="s">
        <v>665</v>
      </c>
      <c r="W1737" s="12" t="s">
        <v>455</v>
      </c>
      <c r="X1737" s="14"/>
      <c r="Y1737" s="14"/>
      <c r="Z1737" s="14"/>
      <c r="AA1737" s="14"/>
      <c r="AB1737" s="14"/>
      <c r="AC1737" s="15">
        <v>20.5</v>
      </c>
      <c r="AD1737" s="15">
        <f>AC1737*AG1737</f>
        <v>61.5</v>
      </c>
      <c r="AE1737" s="15">
        <v>45</v>
      </c>
      <c r="AF1737" s="15">
        <f>AE1737*AG1737</f>
        <v>135</v>
      </c>
      <c r="AG1737" s="16">
        <v>3</v>
      </c>
    </row>
    <row r="1738" spans="1:33" ht="15" customHeight="1" x14ac:dyDescent="0.2">
      <c r="A1738" s="11" t="str">
        <f t="shared" si="359"/>
        <v>VN000PPJ02F1</v>
      </c>
      <c r="B1738" s="12" t="s">
        <v>6707</v>
      </c>
      <c r="C1738" s="12" t="s">
        <v>3462</v>
      </c>
      <c r="D1738" s="12" t="s">
        <v>857</v>
      </c>
      <c r="E1738" s="12" t="s">
        <v>6708</v>
      </c>
      <c r="F1738" s="12" t="s">
        <v>403</v>
      </c>
      <c r="G1738" s="14"/>
      <c r="H1738" s="12" t="s">
        <v>61</v>
      </c>
      <c r="I1738" s="12" t="s">
        <v>62</v>
      </c>
      <c r="J1738" s="12" t="s">
        <v>63</v>
      </c>
      <c r="K1738" s="12" t="s">
        <v>1022</v>
      </c>
      <c r="L1738" s="14"/>
      <c r="M1738" s="12" t="s">
        <v>43</v>
      </c>
      <c r="N1738" s="12" t="s">
        <v>84</v>
      </c>
      <c r="O1738" s="12" t="s">
        <v>6709</v>
      </c>
      <c r="P1738" s="12" t="s">
        <v>66</v>
      </c>
      <c r="Q1738" s="12" t="s">
        <v>67</v>
      </c>
      <c r="R1738" s="12" t="s">
        <v>730</v>
      </c>
      <c r="S1738" s="13">
        <v>197804363063</v>
      </c>
      <c r="T1738" s="12" t="s">
        <v>709</v>
      </c>
      <c r="U1738" s="12" t="s">
        <v>403</v>
      </c>
      <c r="V1738" s="12" t="s">
        <v>1092</v>
      </c>
      <c r="W1738" s="12" t="s">
        <v>455</v>
      </c>
      <c r="X1738" s="14"/>
      <c r="Y1738" s="14"/>
      <c r="Z1738" s="14"/>
      <c r="AA1738" s="14"/>
      <c r="AB1738" s="14"/>
      <c r="AC1738" s="15">
        <v>31.85</v>
      </c>
      <c r="AD1738" s="15">
        <f>AC1738*AG1738</f>
        <v>95.550000000000011</v>
      </c>
      <c r="AE1738" s="15">
        <v>70</v>
      </c>
      <c r="AF1738" s="15">
        <f>AE1738*AG1738</f>
        <v>210</v>
      </c>
      <c r="AG1738" s="16">
        <v>3</v>
      </c>
    </row>
    <row r="1739" spans="1:33" ht="15" customHeight="1" x14ac:dyDescent="0.2">
      <c r="A1739" s="11" t="str">
        <f t="shared" ref="A1739:A2283" si="727">HYPERLINK("https://assets.vans.eu/images/VN000PPUEN7-HERO/1","VN000PPUEN71")</f>
        <v>VN000PPUEN71</v>
      </c>
      <c r="B1739" s="12" t="s">
        <v>6710</v>
      </c>
      <c r="C1739" s="12" t="s">
        <v>6711</v>
      </c>
      <c r="D1739" s="12" t="s">
        <v>295</v>
      </c>
      <c r="E1739" s="12" t="s">
        <v>6712</v>
      </c>
      <c r="F1739" s="12" t="s">
        <v>170</v>
      </c>
      <c r="G1739" s="14"/>
      <c r="H1739" s="12" t="s">
        <v>61</v>
      </c>
      <c r="I1739" s="12" t="s">
        <v>62</v>
      </c>
      <c r="J1739" s="12" t="s">
        <v>63</v>
      </c>
      <c r="K1739" s="12" t="s">
        <v>1022</v>
      </c>
      <c r="L1739" s="14"/>
      <c r="M1739" s="12" t="s">
        <v>43</v>
      </c>
      <c r="N1739" s="12" t="s">
        <v>84</v>
      </c>
      <c r="O1739" s="12" t="s">
        <v>6713</v>
      </c>
      <c r="P1739" s="12" t="s">
        <v>66</v>
      </c>
      <c r="Q1739" s="12" t="s">
        <v>67</v>
      </c>
      <c r="R1739" s="12" t="s">
        <v>730</v>
      </c>
      <c r="S1739" s="13">
        <v>197804363261</v>
      </c>
      <c r="T1739" s="12" t="s">
        <v>709</v>
      </c>
      <c r="U1739" s="12" t="s">
        <v>170</v>
      </c>
      <c r="V1739" s="12" t="s">
        <v>710</v>
      </c>
      <c r="W1739" s="12" t="s">
        <v>299</v>
      </c>
      <c r="X1739" s="14"/>
      <c r="Y1739" s="14"/>
      <c r="Z1739" s="14"/>
      <c r="AA1739" s="14"/>
      <c r="AB1739" s="14"/>
      <c r="AC1739" s="15">
        <v>27.3</v>
      </c>
      <c r="AD1739" s="15">
        <f>AC1739*AG1739</f>
        <v>81.900000000000006</v>
      </c>
      <c r="AE1739" s="15">
        <v>60</v>
      </c>
      <c r="AF1739" s="15">
        <f>AE1739*AG1739</f>
        <v>180</v>
      </c>
      <c r="AG1739" s="16">
        <v>3</v>
      </c>
    </row>
    <row r="1740" spans="1:33" ht="15" customHeight="1" x14ac:dyDescent="0.2">
      <c r="A1740" s="11" t="str">
        <f t="shared" ref="A1740:A3459" si="728">HYPERLINK("https://assets.vans.eu/images/VN000PQWBLK-HERO/1","VN000PQWBLK1")</f>
        <v>VN000PQWBLK1</v>
      </c>
      <c r="B1740" s="12" t="s">
        <v>6714</v>
      </c>
      <c r="C1740" s="12" t="s">
        <v>4766</v>
      </c>
      <c r="D1740" s="12" t="s">
        <v>76</v>
      </c>
      <c r="E1740" s="12" t="s">
        <v>6715</v>
      </c>
      <c r="F1740" s="12" t="s">
        <v>403</v>
      </c>
      <c r="G1740" s="14"/>
      <c r="H1740" s="12" t="s">
        <v>61</v>
      </c>
      <c r="I1740" s="12" t="s">
        <v>289</v>
      </c>
      <c r="J1740" s="12" t="s">
        <v>706</v>
      </c>
      <c r="K1740" s="12" t="s">
        <v>100</v>
      </c>
      <c r="L1740" s="14"/>
      <c r="M1740" s="12" t="s">
        <v>43</v>
      </c>
      <c r="N1740" s="12" t="s">
        <v>84</v>
      </c>
      <c r="O1740" s="12" t="s">
        <v>6716</v>
      </c>
      <c r="P1740" s="12" t="s">
        <v>66</v>
      </c>
      <c r="Q1740" s="12" t="s">
        <v>67</v>
      </c>
      <c r="R1740" s="12" t="s">
        <v>1146</v>
      </c>
      <c r="S1740" s="13">
        <v>197804611454</v>
      </c>
      <c r="T1740" s="12" t="s">
        <v>709</v>
      </c>
      <c r="U1740" s="12" t="s">
        <v>403</v>
      </c>
      <c r="V1740" s="12" t="s">
        <v>665</v>
      </c>
      <c r="W1740" s="12" t="s">
        <v>51</v>
      </c>
      <c r="X1740" s="14"/>
      <c r="Y1740" s="14"/>
      <c r="Z1740" s="14"/>
      <c r="AA1740" s="14"/>
      <c r="AB1740" s="14"/>
      <c r="AC1740" s="15">
        <v>13.65</v>
      </c>
      <c r="AD1740" s="15">
        <f>AC1740*AG1740</f>
        <v>40.950000000000003</v>
      </c>
      <c r="AE1740" s="15">
        <v>30</v>
      </c>
      <c r="AF1740" s="15">
        <f>AE1740*AG1740</f>
        <v>90</v>
      </c>
      <c r="AG1740" s="16">
        <v>3</v>
      </c>
    </row>
    <row r="1741" spans="1:33" ht="15" customHeight="1" x14ac:dyDescent="0.2">
      <c r="A1741" s="11" t="str">
        <f t="shared" ref="A1741:A1743" si="729">HYPERLINK("https://assets.vans.eu/images/VN000PQWEMF-HERO/1","VN000PQWEMF1")</f>
        <v>VN000PQWEMF1</v>
      </c>
      <c r="B1741" s="12" t="s">
        <v>6717</v>
      </c>
      <c r="C1741" s="12" t="s">
        <v>4766</v>
      </c>
      <c r="D1741" s="12" t="s">
        <v>1282</v>
      </c>
      <c r="E1741" s="12" t="s">
        <v>6718</v>
      </c>
      <c r="F1741" s="12" t="s">
        <v>170</v>
      </c>
      <c r="G1741" s="14"/>
      <c r="H1741" s="12" t="s">
        <v>61</v>
      </c>
      <c r="I1741" s="12" t="s">
        <v>289</v>
      </c>
      <c r="J1741" s="12" t="s">
        <v>706</v>
      </c>
      <c r="K1741" s="12" t="s">
        <v>100</v>
      </c>
      <c r="L1741" s="14"/>
      <c r="M1741" s="12" t="s">
        <v>43</v>
      </c>
      <c r="N1741" s="12" t="s">
        <v>84</v>
      </c>
      <c r="O1741" s="12" t="s">
        <v>6719</v>
      </c>
      <c r="P1741" s="12" t="s">
        <v>66</v>
      </c>
      <c r="Q1741" s="12" t="s">
        <v>67</v>
      </c>
      <c r="R1741" s="12" t="s">
        <v>1146</v>
      </c>
      <c r="S1741" s="13">
        <v>197804611393</v>
      </c>
      <c r="T1741" s="12" t="s">
        <v>709</v>
      </c>
      <c r="U1741" s="12" t="s">
        <v>170</v>
      </c>
      <c r="V1741" s="12" t="s">
        <v>665</v>
      </c>
      <c r="W1741" s="12" t="s">
        <v>118</v>
      </c>
      <c r="X1741" s="14"/>
      <c r="Y1741" s="14"/>
      <c r="Z1741" s="14"/>
      <c r="AA1741" s="14"/>
      <c r="AB1741" s="14"/>
      <c r="AC1741" s="15">
        <v>13.65</v>
      </c>
      <c r="AD1741" s="15">
        <f>AC1741*AG1741</f>
        <v>40.950000000000003</v>
      </c>
      <c r="AE1741" s="15">
        <v>30</v>
      </c>
      <c r="AF1741" s="15">
        <f>AE1741*AG1741</f>
        <v>90</v>
      </c>
      <c r="AG1741" s="16">
        <v>3</v>
      </c>
    </row>
    <row r="1742" spans="1:33" ht="15" customHeight="1" x14ac:dyDescent="0.2">
      <c r="A1742" s="11" t="str">
        <f t="shared" si="729"/>
        <v>VN000PQWEMF1</v>
      </c>
      <c r="B1742" s="12" t="s">
        <v>6720</v>
      </c>
      <c r="C1742" s="12" t="s">
        <v>4766</v>
      </c>
      <c r="D1742" s="12" t="s">
        <v>1282</v>
      </c>
      <c r="E1742" s="12" t="s">
        <v>6721</v>
      </c>
      <c r="F1742" s="12" t="s">
        <v>153</v>
      </c>
      <c r="G1742" s="14"/>
      <c r="H1742" s="12" t="s">
        <v>61</v>
      </c>
      <c r="I1742" s="12" t="s">
        <v>289</v>
      </c>
      <c r="J1742" s="12" t="s">
        <v>706</v>
      </c>
      <c r="K1742" s="12" t="s">
        <v>100</v>
      </c>
      <c r="L1742" s="14"/>
      <c r="M1742" s="12" t="s">
        <v>43</v>
      </c>
      <c r="N1742" s="12" t="s">
        <v>84</v>
      </c>
      <c r="O1742" s="12" t="s">
        <v>6722</v>
      </c>
      <c r="P1742" s="12" t="s">
        <v>66</v>
      </c>
      <c r="Q1742" s="12" t="s">
        <v>67</v>
      </c>
      <c r="R1742" s="12" t="s">
        <v>1146</v>
      </c>
      <c r="S1742" s="13">
        <v>197804611751</v>
      </c>
      <c r="T1742" s="12" t="s">
        <v>709</v>
      </c>
      <c r="U1742" s="12" t="s">
        <v>153</v>
      </c>
      <c r="V1742" s="12" t="s">
        <v>665</v>
      </c>
      <c r="W1742" s="12" t="s">
        <v>118</v>
      </c>
      <c r="X1742" s="14"/>
      <c r="Y1742" s="14"/>
      <c r="Z1742" s="14"/>
      <c r="AA1742" s="14"/>
      <c r="AB1742" s="14"/>
      <c r="AC1742" s="15">
        <v>13.65</v>
      </c>
      <c r="AD1742" s="15">
        <f>AC1742*AG1742</f>
        <v>40.950000000000003</v>
      </c>
      <c r="AE1742" s="15">
        <v>30</v>
      </c>
      <c r="AF1742" s="15">
        <f>AE1742*AG1742</f>
        <v>90</v>
      </c>
      <c r="AG1742" s="16">
        <v>3</v>
      </c>
    </row>
    <row r="1743" spans="1:33" ht="15" customHeight="1" x14ac:dyDescent="0.2">
      <c r="A1743" s="11" t="str">
        <f t="shared" si="729"/>
        <v>VN000PQWEMF1</v>
      </c>
      <c r="B1743" s="12" t="s">
        <v>6723</v>
      </c>
      <c r="C1743" s="12" t="s">
        <v>4766</v>
      </c>
      <c r="D1743" s="12" t="s">
        <v>1282</v>
      </c>
      <c r="E1743" s="12" t="s">
        <v>6724</v>
      </c>
      <c r="F1743" s="12" t="s">
        <v>621</v>
      </c>
      <c r="G1743" s="14"/>
      <c r="H1743" s="12" t="s">
        <v>61</v>
      </c>
      <c r="I1743" s="12" t="s">
        <v>289</v>
      </c>
      <c r="J1743" s="12" t="s">
        <v>706</v>
      </c>
      <c r="K1743" s="12" t="s">
        <v>100</v>
      </c>
      <c r="L1743" s="14"/>
      <c r="M1743" s="12" t="s">
        <v>43</v>
      </c>
      <c r="N1743" s="12" t="s">
        <v>84</v>
      </c>
      <c r="O1743" s="12" t="s">
        <v>6725</v>
      </c>
      <c r="P1743" s="12" t="s">
        <v>66</v>
      </c>
      <c r="Q1743" s="12" t="s">
        <v>67</v>
      </c>
      <c r="R1743" s="12" t="s">
        <v>1146</v>
      </c>
      <c r="S1743" s="13">
        <v>197804611799</v>
      </c>
      <c r="T1743" s="12" t="s">
        <v>709</v>
      </c>
      <c r="U1743" s="12" t="s">
        <v>621</v>
      </c>
      <c r="V1743" s="12" t="s">
        <v>665</v>
      </c>
      <c r="W1743" s="12" t="s">
        <v>118</v>
      </c>
      <c r="X1743" s="14"/>
      <c r="Y1743" s="14"/>
      <c r="Z1743" s="14"/>
      <c r="AA1743" s="14"/>
      <c r="AB1743" s="14"/>
      <c r="AC1743" s="15">
        <v>13.65</v>
      </c>
      <c r="AD1743" s="15">
        <f>AC1743*AG1743</f>
        <v>40.950000000000003</v>
      </c>
      <c r="AE1743" s="15">
        <v>30</v>
      </c>
      <c r="AF1743" s="15">
        <f>AE1743*AG1743</f>
        <v>90</v>
      </c>
      <c r="AG1743" s="16">
        <v>3</v>
      </c>
    </row>
    <row r="1744" spans="1:33" ht="15" customHeight="1" x14ac:dyDescent="0.2">
      <c r="A1744" s="11" t="str">
        <f t="shared" ref="A1744:A2286" si="730">HYPERLINK("https://assets.vans.eu/images/VN000PR2BLK-HERO/1","VN000PR2BLK1")</f>
        <v>VN000PR2BLK1</v>
      </c>
      <c r="B1744" s="12" t="s">
        <v>6726</v>
      </c>
      <c r="C1744" s="12" t="s">
        <v>6727</v>
      </c>
      <c r="D1744" s="12" t="s">
        <v>76</v>
      </c>
      <c r="E1744" s="12" t="s">
        <v>6728</v>
      </c>
      <c r="F1744" s="12" t="s">
        <v>403</v>
      </c>
      <c r="G1744" s="14"/>
      <c r="H1744" s="12" t="s">
        <v>61</v>
      </c>
      <c r="I1744" s="12" t="s">
        <v>289</v>
      </c>
      <c r="J1744" s="12" t="s">
        <v>706</v>
      </c>
      <c r="K1744" s="12" t="s">
        <v>100</v>
      </c>
      <c r="L1744" s="14"/>
      <c r="M1744" s="12" t="s">
        <v>43</v>
      </c>
      <c r="N1744" s="12" t="s">
        <v>84</v>
      </c>
      <c r="O1744" s="12" t="s">
        <v>6729</v>
      </c>
      <c r="P1744" s="12" t="s">
        <v>66</v>
      </c>
      <c r="Q1744" s="12" t="s">
        <v>67</v>
      </c>
      <c r="R1744" s="12" t="s">
        <v>1146</v>
      </c>
      <c r="S1744" s="13">
        <v>197804611539</v>
      </c>
      <c r="T1744" s="12" t="s">
        <v>709</v>
      </c>
      <c r="U1744" s="12" t="s">
        <v>403</v>
      </c>
      <c r="V1744" s="12" t="s">
        <v>665</v>
      </c>
      <c r="W1744" s="12" t="s">
        <v>51</v>
      </c>
      <c r="X1744" s="14"/>
      <c r="Y1744" s="14"/>
      <c r="Z1744" s="14"/>
      <c r="AA1744" s="14"/>
      <c r="AB1744" s="14"/>
      <c r="AC1744" s="15">
        <v>15.95</v>
      </c>
      <c r="AD1744" s="15">
        <f>AC1744*AG1744</f>
        <v>47.849999999999994</v>
      </c>
      <c r="AE1744" s="15">
        <v>35</v>
      </c>
      <c r="AF1744" s="15">
        <f>AE1744*AG1744</f>
        <v>105</v>
      </c>
      <c r="AG1744" s="16">
        <v>3</v>
      </c>
    </row>
    <row r="1745" spans="1:33" ht="15" customHeight="1" x14ac:dyDescent="0.2">
      <c r="A1745" s="11" t="str">
        <f t="shared" si="499"/>
        <v>VN000PR3BLK1</v>
      </c>
      <c r="B1745" s="12" t="s">
        <v>6730</v>
      </c>
      <c r="C1745" s="12" t="s">
        <v>2926</v>
      </c>
      <c r="D1745" s="12" t="s">
        <v>76</v>
      </c>
      <c r="E1745" s="12" t="s">
        <v>6731</v>
      </c>
      <c r="F1745" s="12" t="s">
        <v>179</v>
      </c>
      <c r="G1745" s="14"/>
      <c r="H1745" s="12" t="s">
        <v>61</v>
      </c>
      <c r="I1745" s="12" t="s">
        <v>289</v>
      </c>
      <c r="J1745" s="12" t="s">
        <v>706</v>
      </c>
      <c r="K1745" s="12" t="s">
        <v>100</v>
      </c>
      <c r="L1745" s="14"/>
      <c r="M1745" s="12" t="s">
        <v>43</v>
      </c>
      <c r="N1745" s="12" t="s">
        <v>84</v>
      </c>
      <c r="O1745" s="12" t="s">
        <v>6732</v>
      </c>
      <c r="P1745" s="12" t="s">
        <v>66</v>
      </c>
      <c r="Q1745" s="12" t="s">
        <v>67</v>
      </c>
      <c r="R1745" s="12" t="s">
        <v>1146</v>
      </c>
      <c r="S1745" s="13">
        <v>197804393299</v>
      </c>
      <c r="T1745" s="12" t="s">
        <v>709</v>
      </c>
      <c r="U1745" s="12" t="s">
        <v>179</v>
      </c>
      <c r="V1745" s="12" t="s">
        <v>665</v>
      </c>
      <c r="W1745" s="12" t="s">
        <v>51</v>
      </c>
      <c r="X1745" s="14"/>
      <c r="Y1745" s="14"/>
      <c r="Z1745" s="14"/>
      <c r="AA1745" s="14"/>
      <c r="AB1745" s="14"/>
      <c r="AC1745" s="15">
        <v>15.95</v>
      </c>
      <c r="AD1745" s="15">
        <f>AC1745*AG1745</f>
        <v>47.849999999999994</v>
      </c>
      <c r="AE1745" s="15">
        <v>35</v>
      </c>
      <c r="AF1745" s="15">
        <f>AE1745*AG1745</f>
        <v>105</v>
      </c>
      <c r="AG1745" s="16">
        <v>3</v>
      </c>
    </row>
    <row r="1746" spans="1:33" ht="15" customHeight="1" x14ac:dyDescent="0.2">
      <c r="A1746" s="11" t="str">
        <f t="shared" ref="A1746:A3463" si="731">HYPERLINK("https://assets.vans.eu/images/VN000PR3EN9-HERO/1","VN000PR3EN91")</f>
        <v>VN000PR3EN91</v>
      </c>
      <c r="B1746" s="12" t="s">
        <v>6733</v>
      </c>
      <c r="C1746" s="12" t="s">
        <v>2926</v>
      </c>
      <c r="D1746" s="12" t="s">
        <v>982</v>
      </c>
      <c r="E1746" s="12" t="s">
        <v>6734</v>
      </c>
      <c r="F1746" s="12" t="s">
        <v>138</v>
      </c>
      <c r="G1746" s="14"/>
      <c r="H1746" s="12" t="s">
        <v>61</v>
      </c>
      <c r="I1746" s="12" t="s">
        <v>289</v>
      </c>
      <c r="J1746" s="12" t="s">
        <v>706</v>
      </c>
      <c r="K1746" s="12" t="s">
        <v>100</v>
      </c>
      <c r="L1746" s="14"/>
      <c r="M1746" s="12" t="s">
        <v>43</v>
      </c>
      <c r="N1746" s="12" t="s">
        <v>84</v>
      </c>
      <c r="O1746" s="12" t="s">
        <v>6735</v>
      </c>
      <c r="P1746" s="12" t="s">
        <v>66</v>
      </c>
      <c r="Q1746" s="12" t="s">
        <v>67</v>
      </c>
      <c r="R1746" s="12" t="s">
        <v>1146</v>
      </c>
      <c r="S1746" s="13">
        <v>197804394036</v>
      </c>
      <c r="T1746" s="12" t="s">
        <v>709</v>
      </c>
      <c r="U1746" s="12" t="s">
        <v>138</v>
      </c>
      <c r="V1746" s="12" t="s">
        <v>665</v>
      </c>
      <c r="W1746" s="12" t="s">
        <v>455</v>
      </c>
      <c r="X1746" s="14"/>
      <c r="Y1746" s="14"/>
      <c r="Z1746" s="14"/>
      <c r="AA1746" s="14"/>
      <c r="AB1746" s="14"/>
      <c r="AC1746" s="15">
        <v>15.95</v>
      </c>
      <c r="AD1746" s="15">
        <f>AC1746*AG1746</f>
        <v>47.849999999999994</v>
      </c>
      <c r="AE1746" s="15">
        <v>35</v>
      </c>
      <c r="AF1746" s="15">
        <f>AE1746*AG1746</f>
        <v>105</v>
      </c>
      <c r="AG1746" s="16">
        <v>3</v>
      </c>
    </row>
    <row r="1747" spans="1:33" ht="15" customHeight="1" x14ac:dyDescent="0.2">
      <c r="A1747" s="11" t="str">
        <f t="shared" si="500"/>
        <v>VN000PR485T1</v>
      </c>
      <c r="B1747" s="12" t="s">
        <v>6736</v>
      </c>
      <c r="C1747" s="12" t="s">
        <v>4773</v>
      </c>
      <c r="D1747" s="12" t="s">
        <v>4774</v>
      </c>
      <c r="E1747" s="12" t="s">
        <v>6737</v>
      </c>
      <c r="F1747" s="12" t="s">
        <v>170</v>
      </c>
      <c r="G1747" s="14"/>
      <c r="H1747" s="12" t="s">
        <v>61</v>
      </c>
      <c r="I1747" s="12" t="s">
        <v>289</v>
      </c>
      <c r="J1747" s="12" t="s">
        <v>706</v>
      </c>
      <c r="K1747" s="12" t="s">
        <v>100</v>
      </c>
      <c r="L1747" s="14"/>
      <c r="M1747" s="12" t="s">
        <v>43</v>
      </c>
      <c r="N1747" s="12" t="s">
        <v>84</v>
      </c>
      <c r="O1747" s="12" t="s">
        <v>6738</v>
      </c>
      <c r="P1747" s="12" t="s">
        <v>66</v>
      </c>
      <c r="Q1747" s="12" t="s">
        <v>67</v>
      </c>
      <c r="R1747" s="12" t="s">
        <v>1146</v>
      </c>
      <c r="S1747" s="13">
        <v>197804363582</v>
      </c>
      <c r="T1747" s="12" t="s">
        <v>49</v>
      </c>
      <c r="U1747" s="12" t="s">
        <v>170</v>
      </c>
      <c r="V1747" s="12" t="s">
        <v>665</v>
      </c>
      <c r="W1747" s="12" t="s">
        <v>455</v>
      </c>
      <c r="X1747" s="14"/>
      <c r="Y1747" s="14"/>
      <c r="Z1747" s="14"/>
      <c r="AA1747" s="14"/>
      <c r="AB1747" s="14"/>
      <c r="AC1747" s="15">
        <v>18.2</v>
      </c>
      <c r="AD1747" s="15">
        <f>AC1747*AG1747</f>
        <v>54.599999999999994</v>
      </c>
      <c r="AE1747" s="15">
        <v>40</v>
      </c>
      <c r="AF1747" s="15">
        <f>AE1747*AG1747</f>
        <v>120</v>
      </c>
      <c r="AG1747" s="16">
        <v>3</v>
      </c>
    </row>
    <row r="1748" spans="1:33" ht="15" customHeight="1" x14ac:dyDescent="0.2">
      <c r="A1748" s="11" t="str">
        <f t="shared" ref="A1748:A2288" si="732">HYPERLINK("https://assets.vans.eu/images/VN000PR485T-HERO/1","VN000PR485T1")</f>
        <v>VN000PR485T1</v>
      </c>
      <c r="B1748" s="12" t="s">
        <v>6739</v>
      </c>
      <c r="C1748" s="12" t="s">
        <v>4773</v>
      </c>
      <c r="D1748" s="12" t="s">
        <v>4774</v>
      </c>
      <c r="E1748" s="12" t="s">
        <v>6740</v>
      </c>
      <c r="F1748" s="12" t="s">
        <v>153</v>
      </c>
      <c r="G1748" s="14"/>
      <c r="H1748" s="12" t="s">
        <v>61</v>
      </c>
      <c r="I1748" s="12" t="s">
        <v>289</v>
      </c>
      <c r="J1748" s="12" t="s">
        <v>706</v>
      </c>
      <c r="K1748" s="12" t="s">
        <v>100</v>
      </c>
      <c r="L1748" s="14"/>
      <c r="M1748" s="12" t="s">
        <v>43</v>
      </c>
      <c r="N1748" s="12" t="s">
        <v>84</v>
      </c>
      <c r="O1748" s="12" t="s">
        <v>6741</v>
      </c>
      <c r="P1748" s="12" t="s">
        <v>66</v>
      </c>
      <c r="Q1748" s="12" t="s">
        <v>67</v>
      </c>
      <c r="R1748" s="12" t="s">
        <v>1146</v>
      </c>
      <c r="S1748" s="13">
        <v>197804363803</v>
      </c>
      <c r="T1748" s="12" t="s">
        <v>49</v>
      </c>
      <c r="U1748" s="12" t="s">
        <v>153</v>
      </c>
      <c r="V1748" s="12" t="s">
        <v>665</v>
      </c>
      <c r="W1748" s="12" t="s">
        <v>455</v>
      </c>
      <c r="X1748" s="14"/>
      <c r="Y1748" s="14"/>
      <c r="Z1748" s="14"/>
      <c r="AA1748" s="14"/>
      <c r="AB1748" s="14"/>
      <c r="AC1748" s="15">
        <v>18.2</v>
      </c>
      <c r="AD1748" s="15">
        <f>AC1748*AG1748</f>
        <v>54.599999999999994</v>
      </c>
      <c r="AE1748" s="15">
        <v>40</v>
      </c>
      <c r="AF1748" s="15">
        <f>AE1748*AG1748</f>
        <v>120</v>
      </c>
      <c r="AG1748" s="16">
        <v>3</v>
      </c>
    </row>
    <row r="1749" spans="1:33" ht="15" customHeight="1" x14ac:dyDescent="0.2">
      <c r="A1749" s="11" t="str">
        <f t="shared" si="582"/>
        <v>VN000PREEMW1</v>
      </c>
      <c r="B1749" s="12" t="s">
        <v>6742</v>
      </c>
      <c r="C1749" s="12" t="s">
        <v>5480</v>
      </c>
      <c r="D1749" s="12" t="s">
        <v>147</v>
      </c>
      <c r="E1749" s="12" t="s">
        <v>6743</v>
      </c>
      <c r="F1749" s="12" t="s">
        <v>403</v>
      </c>
      <c r="G1749" s="14"/>
      <c r="H1749" s="12" t="s">
        <v>61</v>
      </c>
      <c r="I1749" s="12" t="s">
        <v>289</v>
      </c>
      <c r="J1749" s="12" t="s">
        <v>706</v>
      </c>
      <c r="K1749" s="12" t="s">
        <v>100</v>
      </c>
      <c r="L1749" s="14"/>
      <c r="M1749" s="12" t="s">
        <v>43</v>
      </c>
      <c r="N1749" s="12" t="s">
        <v>84</v>
      </c>
      <c r="O1749" s="12" t="s">
        <v>6744</v>
      </c>
      <c r="P1749" s="12" t="s">
        <v>66</v>
      </c>
      <c r="Q1749" s="12" t="s">
        <v>67</v>
      </c>
      <c r="R1749" s="12" t="s">
        <v>1146</v>
      </c>
      <c r="S1749" s="13">
        <v>197804392834</v>
      </c>
      <c r="T1749" s="12" t="s">
        <v>709</v>
      </c>
      <c r="U1749" s="12" t="s">
        <v>403</v>
      </c>
      <c r="V1749" s="12" t="s">
        <v>665</v>
      </c>
      <c r="W1749" s="12" t="s">
        <v>118</v>
      </c>
      <c r="X1749" s="14"/>
      <c r="Y1749" s="14"/>
      <c r="Z1749" s="14"/>
      <c r="AA1749" s="14"/>
      <c r="AB1749" s="14"/>
      <c r="AC1749" s="15">
        <v>18.2</v>
      </c>
      <c r="AD1749" s="15">
        <f>AC1749*AG1749</f>
        <v>54.599999999999994</v>
      </c>
      <c r="AE1749" s="15">
        <v>40</v>
      </c>
      <c r="AF1749" s="15">
        <f>AE1749*AG1749</f>
        <v>120</v>
      </c>
      <c r="AG1749" s="16">
        <v>3</v>
      </c>
    </row>
    <row r="1750" spans="1:33" ht="15" customHeight="1" x14ac:dyDescent="0.2">
      <c r="A1750" s="11" t="str">
        <f t="shared" si="443"/>
        <v>VN000PTBF0W1</v>
      </c>
      <c r="B1750" s="12" t="s">
        <v>6745</v>
      </c>
      <c r="C1750" s="12" t="s">
        <v>4218</v>
      </c>
      <c r="D1750" s="12" t="s">
        <v>4219</v>
      </c>
      <c r="E1750" s="12" t="s">
        <v>6746</v>
      </c>
      <c r="F1750" s="12" t="s">
        <v>179</v>
      </c>
      <c r="G1750" s="14"/>
      <c r="H1750" s="12" t="s">
        <v>61</v>
      </c>
      <c r="I1750" s="12" t="s">
        <v>230</v>
      </c>
      <c r="J1750" s="12" t="s">
        <v>762</v>
      </c>
      <c r="K1750" s="12" t="s">
        <v>199</v>
      </c>
      <c r="L1750" s="14"/>
      <c r="M1750" s="12" t="s">
        <v>43</v>
      </c>
      <c r="N1750" s="12" t="s">
        <v>84</v>
      </c>
      <c r="O1750" s="12" t="s">
        <v>6747</v>
      </c>
      <c r="P1750" s="12" t="s">
        <v>66</v>
      </c>
      <c r="Q1750" s="12" t="s">
        <v>764</v>
      </c>
      <c r="R1750" s="12" t="s">
        <v>765</v>
      </c>
      <c r="S1750" s="13">
        <v>197804363797</v>
      </c>
      <c r="T1750" s="12" t="s">
        <v>235</v>
      </c>
      <c r="U1750" s="12" t="s">
        <v>179</v>
      </c>
      <c r="V1750" s="12" t="s">
        <v>90</v>
      </c>
      <c r="W1750" s="12" t="s">
        <v>625</v>
      </c>
      <c r="X1750" s="14"/>
      <c r="Y1750" s="14"/>
      <c r="Z1750" s="14"/>
      <c r="AA1750" s="14"/>
      <c r="AB1750" s="14"/>
      <c r="AC1750" s="15">
        <v>54.55</v>
      </c>
      <c r="AD1750" s="15">
        <f>AC1750*AG1750</f>
        <v>163.64999999999998</v>
      </c>
      <c r="AE1750" s="15">
        <v>120</v>
      </c>
      <c r="AF1750" s="15">
        <f>AE1750*AG1750</f>
        <v>360</v>
      </c>
      <c r="AG1750" s="16">
        <v>3</v>
      </c>
    </row>
    <row r="1751" spans="1:33" ht="15" customHeight="1" x14ac:dyDescent="0.2">
      <c r="A1751" s="11" t="str">
        <f>HYPERLINK("https://assets.vans.eu/images/VN000PWQGRH-HERO/1","VN000PWQGRH1")</f>
        <v>VN000PWQGRH1</v>
      </c>
      <c r="B1751" s="12" t="s">
        <v>6748</v>
      </c>
      <c r="C1751" s="12" t="s">
        <v>6749</v>
      </c>
      <c r="D1751" s="12" t="s">
        <v>6750</v>
      </c>
      <c r="E1751" s="12" t="s">
        <v>6751</v>
      </c>
      <c r="F1751" s="12" t="s">
        <v>179</v>
      </c>
      <c r="G1751" s="14"/>
      <c r="H1751" s="12" t="s">
        <v>61</v>
      </c>
      <c r="I1751" s="12" t="s">
        <v>289</v>
      </c>
      <c r="J1751" s="12" t="s">
        <v>706</v>
      </c>
      <c r="K1751" s="12" t="s">
        <v>100</v>
      </c>
      <c r="L1751" s="14"/>
      <c r="M1751" s="12" t="s">
        <v>43</v>
      </c>
      <c r="N1751" s="12" t="s">
        <v>84</v>
      </c>
      <c r="O1751" s="12" t="s">
        <v>6752</v>
      </c>
      <c r="P1751" s="12" t="s">
        <v>66</v>
      </c>
      <c r="Q1751" s="12" t="s">
        <v>67</v>
      </c>
      <c r="R1751" s="12" t="s">
        <v>1146</v>
      </c>
      <c r="S1751" s="13">
        <v>197805967116</v>
      </c>
      <c r="T1751" s="12" t="s">
        <v>709</v>
      </c>
      <c r="U1751" s="12" t="s">
        <v>179</v>
      </c>
      <c r="V1751" s="12" t="s">
        <v>6753</v>
      </c>
      <c r="W1751" s="12" t="s">
        <v>455</v>
      </c>
      <c r="X1751" s="14"/>
      <c r="Y1751" s="14"/>
      <c r="Z1751" s="14"/>
      <c r="AA1751" s="14"/>
      <c r="AB1751" s="14"/>
      <c r="AC1751" s="15">
        <v>14.55</v>
      </c>
      <c r="AD1751" s="15">
        <f>AC1751*AG1751</f>
        <v>43.650000000000006</v>
      </c>
      <c r="AE1751" s="15">
        <v>32</v>
      </c>
      <c r="AF1751" s="15">
        <f>AE1751*AG1751</f>
        <v>96</v>
      </c>
      <c r="AG1751" s="16">
        <v>3</v>
      </c>
    </row>
    <row r="1752" spans="1:33" ht="15" customHeight="1" x14ac:dyDescent="0.2">
      <c r="A1752" s="11" t="str">
        <f t="shared" ref="A1752:A1754" si="733">HYPERLINK("https://assets.vans.eu/images/VN000PWVEMW-HERO/1","VN000PWVEMW1")</f>
        <v>VN000PWVEMW1</v>
      </c>
      <c r="B1752" s="12" t="s">
        <v>6754</v>
      </c>
      <c r="C1752" s="12" t="s">
        <v>6755</v>
      </c>
      <c r="D1752" s="12" t="s">
        <v>147</v>
      </c>
      <c r="E1752" s="12" t="s">
        <v>6756</v>
      </c>
      <c r="F1752" s="12" t="s">
        <v>179</v>
      </c>
      <c r="G1752" s="14"/>
      <c r="H1752" s="12" t="s">
        <v>61</v>
      </c>
      <c r="I1752" s="12" t="s">
        <v>62</v>
      </c>
      <c r="J1752" s="12" t="s">
        <v>63</v>
      </c>
      <c r="K1752" s="12" t="s">
        <v>64</v>
      </c>
      <c r="L1752" s="14"/>
      <c r="M1752" s="12" t="s">
        <v>43</v>
      </c>
      <c r="N1752" s="12" t="s">
        <v>84</v>
      </c>
      <c r="O1752" s="12" t="s">
        <v>6757</v>
      </c>
      <c r="P1752" s="12" t="s">
        <v>66</v>
      </c>
      <c r="Q1752" s="12" t="s">
        <v>67</v>
      </c>
      <c r="R1752" s="12" t="s">
        <v>730</v>
      </c>
      <c r="S1752" s="13">
        <v>197804364763</v>
      </c>
      <c r="T1752" s="12" t="s">
        <v>709</v>
      </c>
      <c r="U1752" s="12" t="s">
        <v>179</v>
      </c>
      <c r="V1752" s="12" t="s">
        <v>710</v>
      </c>
      <c r="W1752" s="12" t="s">
        <v>118</v>
      </c>
      <c r="X1752" s="14"/>
      <c r="Y1752" s="14"/>
      <c r="Z1752" s="14"/>
      <c r="AA1752" s="14"/>
      <c r="AB1752" s="14"/>
      <c r="AC1752" s="15">
        <v>25</v>
      </c>
      <c r="AD1752" s="15">
        <f>AC1752*AG1752</f>
        <v>75</v>
      </c>
      <c r="AE1752" s="15">
        <v>55</v>
      </c>
      <c r="AF1752" s="15">
        <f>AE1752*AG1752</f>
        <v>165</v>
      </c>
      <c r="AG1752" s="16">
        <v>3</v>
      </c>
    </row>
    <row r="1753" spans="1:33" ht="15" customHeight="1" x14ac:dyDescent="0.2">
      <c r="A1753" s="11" t="str">
        <f t="shared" si="733"/>
        <v>VN000PWVEMW1</v>
      </c>
      <c r="B1753" s="12" t="s">
        <v>6758</v>
      </c>
      <c r="C1753" s="12" t="s">
        <v>6755</v>
      </c>
      <c r="D1753" s="12" t="s">
        <v>147</v>
      </c>
      <c r="E1753" s="12" t="s">
        <v>6759</v>
      </c>
      <c r="F1753" s="12" t="s">
        <v>170</v>
      </c>
      <c r="G1753" s="14"/>
      <c r="H1753" s="12" t="s">
        <v>61</v>
      </c>
      <c r="I1753" s="12" t="s">
        <v>62</v>
      </c>
      <c r="J1753" s="12" t="s">
        <v>63</v>
      </c>
      <c r="K1753" s="12" t="s">
        <v>64</v>
      </c>
      <c r="L1753" s="14"/>
      <c r="M1753" s="12" t="s">
        <v>43</v>
      </c>
      <c r="N1753" s="12" t="s">
        <v>84</v>
      </c>
      <c r="O1753" s="12" t="s">
        <v>6760</v>
      </c>
      <c r="P1753" s="12" t="s">
        <v>66</v>
      </c>
      <c r="Q1753" s="12" t="s">
        <v>67</v>
      </c>
      <c r="R1753" s="12" t="s">
        <v>730</v>
      </c>
      <c r="S1753" s="13">
        <v>197804364916</v>
      </c>
      <c r="T1753" s="12" t="s">
        <v>709</v>
      </c>
      <c r="U1753" s="12" t="s">
        <v>170</v>
      </c>
      <c r="V1753" s="12" t="s">
        <v>710</v>
      </c>
      <c r="W1753" s="12" t="s">
        <v>118</v>
      </c>
      <c r="X1753" s="14"/>
      <c r="Y1753" s="14"/>
      <c r="Z1753" s="14"/>
      <c r="AA1753" s="14"/>
      <c r="AB1753" s="14"/>
      <c r="AC1753" s="15">
        <v>25</v>
      </c>
      <c r="AD1753" s="15">
        <f>AC1753*AG1753</f>
        <v>75</v>
      </c>
      <c r="AE1753" s="15">
        <v>55</v>
      </c>
      <c r="AF1753" s="15">
        <f>AE1753*AG1753</f>
        <v>165</v>
      </c>
      <c r="AG1753" s="16">
        <v>3</v>
      </c>
    </row>
    <row r="1754" spans="1:33" ht="15" customHeight="1" x14ac:dyDescent="0.2">
      <c r="A1754" s="11" t="str">
        <f t="shared" si="733"/>
        <v>VN000PWVEMW1</v>
      </c>
      <c r="B1754" s="12" t="s">
        <v>6761</v>
      </c>
      <c r="C1754" s="12" t="s">
        <v>6755</v>
      </c>
      <c r="D1754" s="12" t="s">
        <v>147</v>
      </c>
      <c r="E1754" s="12" t="s">
        <v>6762</v>
      </c>
      <c r="F1754" s="12" t="s">
        <v>60</v>
      </c>
      <c r="G1754" s="14"/>
      <c r="H1754" s="12" t="s">
        <v>61</v>
      </c>
      <c r="I1754" s="12" t="s">
        <v>62</v>
      </c>
      <c r="J1754" s="12" t="s">
        <v>63</v>
      </c>
      <c r="K1754" s="12" t="s">
        <v>64</v>
      </c>
      <c r="L1754" s="14"/>
      <c r="M1754" s="12" t="s">
        <v>43</v>
      </c>
      <c r="N1754" s="12" t="s">
        <v>84</v>
      </c>
      <c r="O1754" s="12" t="s">
        <v>6763</v>
      </c>
      <c r="P1754" s="12" t="s">
        <v>66</v>
      </c>
      <c r="Q1754" s="12" t="s">
        <v>67</v>
      </c>
      <c r="R1754" s="12" t="s">
        <v>730</v>
      </c>
      <c r="S1754" s="13">
        <v>197804365159</v>
      </c>
      <c r="T1754" s="12" t="s">
        <v>709</v>
      </c>
      <c r="U1754" s="12" t="s">
        <v>60</v>
      </c>
      <c r="V1754" s="12" t="s">
        <v>710</v>
      </c>
      <c r="W1754" s="12" t="s">
        <v>118</v>
      </c>
      <c r="X1754" s="14"/>
      <c r="Y1754" s="14"/>
      <c r="Z1754" s="14"/>
      <c r="AA1754" s="14"/>
      <c r="AB1754" s="14"/>
      <c r="AC1754" s="15">
        <v>25</v>
      </c>
      <c r="AD1754" s="15">
        <f>AC1754*AG1754</f>
        <v>75</v>
      </c>
      <c r="AE1754" s="15">
        <v>55</v>
      </c>
      <c r="AF1754" s="15">
        <f>AE1754*AG1754</f>
        <v>165</v>
      </c>
      <c r="AG1754" s="16">
        <v>3</v>
      </c>
    </row>
    <row r="1755" spans="1:33" ht="15" customHeight="1" x14ac:dyDescent="0.2">
      <c r="A1755" s="11" t="str">
        <f t="shared" ref="A1755:A2302" si="734">HYPERLINK("https://assets.vans.eu/images/VN000PWXBLK-HERO/1","VN000PWXBLK1")</f>
        <v>VN000PWXBLK1</v>
      </c>
      <c r="B1755" s="12" t="s">
        <v>6764</v>
      </c>
      <c r="C1755" s="12" t="s">
        <v>3761</v>
      </c>
      <c r="D1755" s="12" t="s">
        <v>76</v>
      </c>
      <c r="E1755" s="12" t="s">
        <v>6765</v>
      </c>
      <c r="F1755" s="12" t="s">
        <v>179</v>
      </c>
      <c r="G1755" s="14"/>
      <c r="H1755" s="12" t="s">
        <v>61</v>
      </c>
      <c r="I1755" s="12" t="s">
        <v>62</v>
      </c>
      <c r="J1755" s="12" t="s">
        <v>63</v>
      </c>
      <c r="K1755" s="12" t="s">
        <v>64</v>
      </c>
      <c r="L1755" s="14"/>
      <c r="M1755" s="12" t="s">
        <v>43</v>
      </c>
      <c r="N1755" s="12" t="s">
        <v>84</v>
      </c>
      <c r="O1755" s="12" t="s">
        <v>6766</v>
      </c>
      <c r="P1755" s="12" t="s">
        <v>66</v>
      </c>
      <c r="Q1755" s="12" t="s">
        <v>67</v>
      </c>
      <c r="R1755" s="12" t="s">
        <v>730</v>
      </c>
      <c r="S1755" s="13">
        <v>197804364886</v>
      </c>
      <c r="T1755" s="12" t="s">
        <v>709</v>
      </c>
      <c r="U1755" s="12" t="s">
        <v>179</v>
      </c>
      <c r="V1755" s="12" t="s">
        <v>710</v>
      </c>
      <c r="W1755" s="12" t="s">
        <v>51</v>
      </c>
      <c r="X1755" s="14"/>
      <c r="Y1755" s="14"/>
      <c r="Z1755" s="14"/>
      <c r="AA1755" s="14"/>
      <c r="AB1755" s="14"/>
      <c r="AC1755" s="15">
        <v>27.3</v>
      </c>
      <c r="AD1755" s="15">
        <f>AC1755*AG1755</f>
        <v>81.900000000000006</v>
      </c>
      <c r="AE1755" s="15">
        <v>60</v>
      </c>
      <c r="AF1755" s="15">
        <f>AE1755*AG1755</f>
        <v>180</v>
      </c>
      <c r="AG1755" s="16">
        <v>3</v>
      </c>
    </row>
    <row r="1756" spans="1:33" ht="15" customHeight="1" x14ac:dyDescent="0.2">
      <c r="A1756" s="11" t="str">
        <f t="shared" ref="A1756:A3482" si="735">HYPERLINK("https://assets.vans.eu/images/VN000PX2EMP-HERO/1","VN000PX2EMP1")</f>
        <v>VN000PX2EMP1</v>
      </c>
      <c r="B1756" s="12" t="s">
        <v>6767</v>
      </c>
      <c r="C1756" s="12" t="s">
        <v>6768</v>
      </c>
      <c r="D1756" s="12" t="s">
        <v>704</v>
      </c>
      <c r="E1756" s="12" t="s">
        <v>6769</v>
      </c>
      <c r="F1756" s="12" t="s">
        <v>179</v>
      </c>
      <c r="G1756" s="14"/>
      <c r="H1756" s="12" t="s">
        <v>61</v>
      </c>
      <c r="I1756" s="12" t="s">
        <v>62</v>
      </c>
      <c r="J1756" s="12" t="s">
        <v>63</v>
      </c>
      <c r="K1756" s="12" t="s">
        <v>64</v>
      </c>
      <c r="L1756" s="14"/>
      <c r="M1756" s="12" t="s">
        <v>43</v>
      </c>
      <c r="N1756" s="12" t="s">
        <v>84</v>
      </c>
      <c r="O1756" s="12" t="s">
        <v>6770</v>
      </c>
      <c r="P1756" s="12" t="s">
        <v>66</v>
      </c>
      <c r="Q1756" s="12" t="s">
        <v>67</v>
      </c>
      <c r="R1756" s="12" t="s">
        <v>730</v>
      </c>
      <c r="S1756" s="13">
        <v>197804581979</v>
      </c>
      <c r="T1756" s="12" t="s">
        <v>49</v>
      </c>
      <c r="U1756" s="12" t="s">
        <v>179</v>
      </c>
      <c r="V1756" s="12" t="s">
        <v>710</v>
      </c>
      <c r="W1756" s="12" t="s">
        <v>186</v>
      </c>
      <c r="X1756" s="14"/>
      <c r="Y1756" s="14"/>
      <c r="Z1756" s="14"/>
      <c r="AA1756" s="14"/>
      <c r="AB1756" s="14"/>
      <c r="AC1756" s="15">
        <v>31.85</v>
      </c>
      <c r="AD1756" s="15">
        <f>AC1756*AG1756</f>
        <v>95.550000000000011</v>
      </c>
      <c r="AE1756" s="15">
        <v>70</v>
      </c>
      <c r="AF1756" s="15">
        <f>AE1756*AG1756</f>
        <v>210</v>
      </c>
      <c r="AG1756" s="16">
        <v>3</v>
      </c>
    </row>
    <row r="1757" spans="1:33" ht="15" customHeight="1" x14ac:dyDescent="0.2">
      <c r="A1757" s="11" t="str">
        <f t="shared" si="102"/>
        <v>VN000PX3EN61</v>
      </c>
      <c r="B1757" s="12" t="s">
        <v>6771</v>
      </c>
      <c r="C1757" s="12" t="s">
        <v>1345</v>
      </c>
      <c r="D1757" s="12" t="s">
        <v>189</v>
      </c>
      <c r="E1757" s="12" t="s">
        <v>6772</v>
      </c>
      <c r="F1757" s="12" t="s">
        <v>170</v>
      </c>
      <c r="G1757" s="14"/>
      <c r="H1757" s="12" t="s">
        <v>61</v>
      </c>
      <c r="I1757" s="12" t="s">
        <v>62</v>
      </c>
      <c r="J1757" s="12" t="s">
        <v>63</v>
      </c>
      <c r="K1757" s="12" t="s">
        <v>64</v>
      </c>
      <c r="L1757" s="14"/>
      <c r="M1757" s="12" t="s">
        <v>43</v>
      </c>
      <c r="N1757" s="12" t="s">
        <v>84</v>
      </c>
      <c r="O1757" s="12" t="s">
        <v>6773</v>
      </c>
      <c r="P1757" s="12" t="s">
        <v>66</v>
      </c>
      <c r="Q1757" s="12" t="s">
        <v>67</v>
      </c>
      <c r="R1757" s="12" t="s">
        <v>730</v>
      </c>
      <c r="S1757" s="13">
        <v>197804365234</v>
      </c>
      <c r="T1757" s="12" t="s">
        <v>49</v>
      </c>
      <c r="U1757" s="12" t="s">
        <v>170</v>
      </c>
      <c r="V1757" s="12" t="s">
        <v>710</v>
      </c>
      <c r="W1757" s="12" t="s">
        <v>118</v>
      </c>
      <c r="X1757" s="14"/>
      <c r="Y1757" s="14"/>
      <c r="Z1757" s="14"/>
      <c r="AA1757" s="14"/>
      <c r="AB1757" s="14"/>
      <c r="AC1757" s="15">
        <v>31.85</v>
      </c>
      <c r="AD1757" s="15">
        <f>AC1757*AG1757</f>
        <v>95.550000000000011</v>
      </c>
      <c r="AE1757" s="15">
        <v>70</v>
      </c>
      <c r="AF1757" s="15">
        <f>AE1757*AG1757</f>
        <v>210</v>
      </c>
      <c r="AG1757" s="16">
        <v>3</v>
      </c>
    </row>
    <row r="1758" spans="1:33" ht="15" customHeight="1" x14ac:dyDescent="0.2">
      <c r="A1758" s="11" t="str">
        <f t="shared" ref="A1758:A3484" si="736">HYPERLINK("https://assets.vans.eu/images/VN000PX3EN6-HERO/1","VN000PX3EN61")</f>
        <v>VN000PX3EN61</v>
      </c>
      <c r="B1758" s="12" t="s">
        <v>6774</v>
      </c>
      <c r="C1758" s="12" t="s">
        <v>1345</v>
      </c>
      <c r="D1758" s="12" t="s">
        <v>189</v>
      </c>
      <c r="E1758" s="12" t="s">
        <v>6775</v>
      </c>
      <c r="F1758" s="12" t="s">
        <v>403</v>
      </c>
      <c r="G1758" s="14"/>
      <c r="H1758" s="12" t="s">
        <v>61</v>
      </c>
      <c r="I1758" s="12" t="s">
        <v>62</v>
      </c>
      <c r="J1758" s="12" t="s">
        <v>63</v>
      </c>
      <c r="K1758" s="12" t="s">
        <v>64</v>
      </c>
      <c r="L1758" s="14"/>
      <c r="M1758" s="12" t="s">
        <v>43</v>
      </c>
      <c r="N1758" s="12" t="s">
        <v>84</v>
      </c>
      <c r="O1758" s="12" t="s">
        <v>6776</v>
      </c>
      <c r="P1758" s="12" t="s">
        <v>66</v>
      </c>
      <c r="Q1758" s="12" t="s">
        <v>67</v>
      </c>
      <c r="R1758" s="12" t="s">
        <v>730</v>
      </c>
      <c r="S1758" s="13">
        <v>197804365289</v>
      </c>
      <c r="T1758" s="12" t="s">
        <v>49</v>
      </c>
      <c r="U1758" s="12" t="s">
        <v>403</v>
      </c>
      <c r="V1758" s="12" t="s">
        <v>710</v>
      </c>
      <c r="W1758" s="12" t="s">
        <v>118</v>
      </c>
      <c r="X1758" s="14"/>
      <c r="Y1758" s="14"/>
      <c r="Z1758" s="14"/>
      <c r="AA1758" s="14"/>
      <c r="AB1758" s="14"/>
      <c r="AC1758" s="15">
        <v>31.85</v>
      </c>
      <c r="AD1758" s="15">
        <f>AC1758*AG1758</f>
        <v>95.550000000000011</v>
      </c>
      <c r="AE1758" s="15">
        <v>70</v>
      </c>
      <c r="AF1758" s="15">
        <f>AE1758*AG1758</f>
        <v>210</v>
      </c>
      <c r="AG1758" s="16">
        <v>3</v>
      </c>
    </row>
    <row r="1759" spans="1:33" ht="15" customHeight="1" x14ac:dyDescent="0.2">
      <c r="A1759" s="11" t="str">
        <f t="shared" ref="A1759:A1760" si="737">HYPERLINK("https://assets.vans.eu/images/VN000PX9RV2-HERO/1","VN000PX9RV21")</f>
        <v>VN000PX9RV21</v>
      </c>
      <c r="B1759" s="12" t="s">
        <v>6777</v>
      </c>
      <c r="C1759" s="12" t="s">
        <v>6778</v>
      </c>
      <c r="D1759" s="12" t="s">
        <v>1428</v>
      </c>
      <c r="E1759" s="12" t="s">
        <v>6779</v>
      </c>
      <c r="F1759" s="12" t="s">
        <v>179</v>
      </c>
      <c r="G1759" s="14"/>
      <c r="H1759" s="12" t="s">
        <v>61</v>
      </c>
      <c r="I1759" s="12" t="s">
        <v>62</v>
      </c>
      <c r="J1759" s="12" t="s">
        <v>63</v>
      </c>
      <c r="K1759" s="12" t="s">
        <v>64</v>
      </c>
      <c r="L1759" s="14"/>
      <c r="M1759" s="12" t="s">
        <v>43</v>
      </c>
      <c r="N1759" s="12" t="s">
        <v>84</v>
      </c>
      <c r="O1759" s="12" t="s">
        <v>6780</v>
      </c>
      <c r="P1759" s="12" t="s">
        <v>66</v>
      </c>
      <c r="Q1759" s="12" t="s">
        <v>67</v>
      </c>
      <c r="R1759" s="12" t="s">
        <v>730</v>
      </c>
      <c r="S1759" s="13">
        <v>197804365029</v>
      </c>
      <c r="T1759" s="12" t="s">
        <v>709</v>
      </c>
      <c r="U1759" s="12" t="s">
        <v>179</v>
      </c>
      <c r="V1759" s="12" t="s">
        <v>710</v>
      </c>
      <c r="W1759" s="12" t="s">
        <v>51</v>
      </c>
      <c r="X1759" s="14"/>
      <c r="Y1759" s="14"/>
      <c r="Z1759" s="14"/>
      <c r="AA1759" s="14"/>
      <c r="AB1759" s="14"/>
      <c r="AC1759" s="15">
        <v>29.55</v>
      </c>
      <c r="AD1759" s="15">
        <f>AC1759*AG1759</f>
        <v>88.65</v>
      </c>
      <c r="AE1759" s="15">
        <v>65</v>
      </c>
      <c r="AF1759" s="15">
        <f>AE1759*AG1759</f>
        <v>195</v>
      </c>
      <c r="AG1759" s="16">
        <v>3</v>
      </c>
    </row>
    <row r="1760" spans="1:33" ht="15" customHeight="1" x14ac:dyDescent="0.2">
      <c r="A1760" s="11" t="str">
        <f t="shared" si="737"/>
        <v>VN000PX9RV21</v>
      </c>
      <c r="B1760" s="12" t="s">
        <v>6781</v>
      </c>
      <c r="C1760" s="12" t="s">
        <v>6778</v>
      </c>
      <c r="D1760" s="12" t="s">
        <v>1428</v>
      </c>
      <c r="E1760" s="12" t="s">
        <v>6782</v>
      </c>
      <c r="F1760" s="12" t="s">
        <v>170</v>
      </c>
      <c r="G1760" s="14"/>
      <c r="H1760" s="12" t="s">
        <v>61</v>
      </c>
      <c r="I1760" s="12" t="s">
        <v>62</v>
      </c>
      <c r="J1760" s="12" t="s">
        <v>63</v>
      </c>
      <c r="K1760" s="12" t="s">
        <v>64</v>
      </c>
      <c r="L1760" s="14"/>
      <c r="M1760" s="12" t="s">
        <v>43</v>
      </c>
      <c r="N1760" s="12" t="s">
        <v>84</v>
      </c>
      <c r="O1760" s="12" t="s">
        <v>6783</v>
      </c>
      <c r="P1760" s="12" t="s">
        <v>66</v>
      </c>
      <c r="Q1760" s="12" t="s">
        <v>67</v>
      </c>
      <c r="R1760" s="12" t="s">
        <v>730</v>
      </c>
      <c r="S1760" s="13">
        <v>197804365098</v>
      </c>
      <c r="T1760" s="12" t="s">
        <v>709</v>
      </c>
      <c r="U1760" s="12" t="s">
        <v>170</v>
      </c>
      <c r="V1760" s="12" t="s">
        <v>710</v>
      </c>
      <c r="W1760" s="12" t="s">
        <v>51</v>
      </c>
      <c r="X1760" s="14"/>
      <c r="Y1760" s="14"/>
      <c r="Z1760" s="14"/>
      <c r="AA1760" s="14"/>
      <c r="AB1760" s="14"/>
      <c r="AC1760" s="15">
        <v>29.55</v>
      </c>
      <c r="AD1760" s="15">
        <f>AC1760*AG1760</f>
        <v>88.65</v>
      </c>
      <c r="AE1760" s="15">
        <v>65</v>
      </c>
      <c r="AF1760" s="15">
        <f>AE1760*AG1760</f>
        <v>195</v>
      </c>
      <c r="AG1760" s="16">
        <v>3</v>
      </c>
    </row>
    <row r="1761" spans="1:33" ht="15" customHeight="1" x14ac:dyDescent="0.2">
      <c r="A1761" s="11" t="str">
        <f t="shared" ref="A1761:A1762" si="738">HYPERLINK("https://assets.vans.eu/images/VN000PXG02F-HERO/1","VN000PXG02F1")</f>
        <v>VN000PXG02F1</v>
      </c>
      <c r="B1761" s="12" t="s">
        <v>6784</v>
      </c>
      <c r="C1761" s="12" t="s">
        <v>1089</v>
      </c>
      <c r="D1761" s="12" t="s">
        <v>857</v>
      </c>
      <c r="E1761" s="12" t="s">
        <v>6785</v>
      </c>
      <c r="F1761" s="12" t="s">
        <v>170</v>
      </c>
      <c r="G1761" s="14"/>
      <c r="H1761" s="12" t="s">
        <v>61</v>
      </c>
      <c r="I1761" s="12" t="s">
        <v>62</v>
      </c>
      <c r="J1761" s="12" t="s">
        <v>63</v>
      </c>
      <c r="K1761" s="12" t="s">
        <v>64</v>
      </c>
      <c r="L1761" s="14"/>
      <c r="M1761" s="12" t="s">
        <v>43</v>
      </c>
      <c r="N1761" s="12" t="s">
        <v>84</v>
      </c>
      <c r="O1761" s="12" t="s">
        <v>6786</v>
      </c>
      <c r="P1761" s="12" t="s">
        <v>66</v>
      </c>
      <c r="Q1761" s="12" t="s">
        <v>67</v>
      </c>
      <c r="R1761" s="12" t="s">
        <v>730</v>
      </c>
      <c r="S1761" s="13">
        <v>197804365449</v>
      </c>
      <c r="T1761" s="12" t="s">
        <v>709</v>
      </c>
      <c r="U1761" s="12" t="s">
        <v>170</v>
      </c>
      <c r="V1761" s="12" t="s">
        <v>1092</v>
      </c>
      <c r="W1761" s="12" t="s">
        <v>455</v>
      </c>
      <c r="X1761" s="14"/>
      <c r="Y1761" s="14"/>
      <c r="Z1761" s="14"/>
      <c r="AA1761" s="14"/>
      <c r="AB1761" s="14"/>
      <c r="AC1761" s="15">
        <v>25</v>
      </c>
      <c r="AD1761" s="15">
        <f>AC1761*AG1761</f>
        <v>75</v>
      </c>
      <c r="AE1761" s="15">
        <v>55</v>
      </c>
      <c r="AF1761" s="15">
        <f>AE1761*AG1761</f>
        <v>165</v>
      </c>
      <c r="AG1761" s="16">
        <v>3</v>
      </c>
    </row>
    <row r="1762" spans="1:33" ht="15" customHeight="1" x14ac:dyDescent="0.2">
      <c r="A1762" s="11" t="str">
        <f t="shared" si="738"/>
        <v>VN000PXG02F1</v>
      </c>
      <c r="B1762" s="12" t="s">
        <v>6787</v>
      </c>
      <c r="C1762" s="12" t="s">
        <v>1089</v>
      </c>
      <c r="D1762" s="12" t="s">
        <v>857</v>
      </c>
      <c r="E1762" s="12" t="s">
        <v>6788</v>
      </c>
      <c r="F1762" s="12" t="s">
        <v>403</v>
      </c>
      <c r="G1762" s="14"/>
      <c r="H1762" s="12" t="s">
        <v>61</v>
      </c>
      <c r="I1762" s="12" t="s">
        <v>62</v>
      </c>
      <c r="J1762" s="12" t="s">
        <v>63</v>
      </c>
      <c r="K1762" s="12" t="s">
        <v>64</v>
      </c>
      <c r="L1762" s="14"/>
      <c r="M1762" s="12" t="s">
        <v>43</v>
      </c>
      <c r="N1762" s="12" t="s">
        <v>84</v>
      </c>
      <c r="O1762" s="12" t="s">
        <v>6789</v>
      </c>
      <c r="P1762" s="12" t="s">
        <v>66</v>
      </c>
      <c r="Q1762" s="12" t="s">
        <v>67</v>
      </c>
      <c r="R1762" s="12" t="s">
        <v>730</v>
      </c>
      <c r="S1762" s="13">
        <v>197804365456</v>
      </c>
      <c r="T1762" s="12" t="s">
        <v>709</v>
      </c>
      <c r="U1762" s="12" t="s">
        <v>403</v>
      </c>
      <c r="V1762" s="12" t="s">
        <v>1092</v>
      </c>
      <c r="W1762" s="12" t="s">
        <v>455</v>
      </c>
      <c r="X1762" s="14"/>
      <c r="Y1762" s="14"/>
      <c r="Z1762" s="14"/>
      <c r="AA1762" s="14"/>
      <c r="AB1762" s="14"/>
      <c r="AC1762" s="15">
        <v>25</v>
      </c>
      <c r="AD1762" s="15">
        <f>AC1762*AG1762</f>
        <v>75</v>
      </c>
      <c r="AE1762" s="15">
        <v>55</v>
      </c>
      <c r="AF1762" s="15">
        <f>AE1762*AG1762</f>
        <v>165</v>
      </c>
      <c r="AG1762" s="16">
        <v>3</v>
      </c>
    </row>
    <row r="1763" spans="1:33" ht="15" customHeight="1" x14ac:dyDescent="0.2">
      <c r="A1763" s="11" t="str">
        <f t="shared" ref="A1763:A2309" si="739">HYPERLINK("https://assets.vans.eu/images/VN000PXMCDX-HERO/1","VN000PXMCDX1")</f>
        <v>VN000PXMCDX1</v>
      </c>
      <c r="B1763" s="12" t="s">
        <v>6790</v>
      </c>
      <c r="C1763" s="12" t="s">
        <v>759</v>
      </c>
      <c r="D1763" s="12" t="s">
        <v>760</v>
      </c>
      <c r="E1763" s="12" t="s">
        <v>6791</v>
      </c>
      <c r="F1763" s="12" t="s">
        <v>179</v>
      </c>
      <c r="G1763" s="14"/>
      <c r="H1763" s="12" t="s">
        <v>61</v>
      </c>
      <c r="I1763" s="12" t="s">
        <v>62</v>
      </c>
      <c r="J1763" s="12" t="s">
        <v>2938</v>
      </c>
      <c r="K1763" s="12" t="s">
        <v>64</v>
      </c>
      <c r="L1763" s="14"/>
      <c r="M1763" s="12" t="s">
        <v>43</v>
      </c>
      <c r="N1763" s="12" t="s">
        <v>84</v>
      </c>
      <c r="O1763" s="12" t="s">
        <v>6792</v>
      </c>
      <c r="P1763" s="12" t="s">
        <v>66</v>
      </c>
      <c r="Q1763" s="12" t="s">
        <v>764</v>
      </c>
      <c r="R1763" s="12" t="s">
        <v>2940</v>
      </c>
      <c r="S1763" s="13">
        <v>197804365487</v>
      </c>
      <c r="T1763" s="12" t="s">
        <v>235</v>
      </c>
      <c r="U1763" s="12" t="s">
        <v>179</v>
      </c>
      <c r="V1763" s="12" t="s">
        <v>665</v>
      </c>
      <c r="W1763" s="12" t="s">
        <v>284</v>
      </c>
      <c r="X1763" s="14"/>
      <c r="Y1763" s="14"/>
      <c r="Z1763" s="14"/>
      <c r="AA1763" s="14"/>
      <c r="AB1763" s="14"/>
      <c r="AC1763" s="15">
        <v>50</v>
      </c>
      <c r="AD1763" s="15">
        <f>AC1763*AG1763</f>
        <v>150</v>
      </c>
      <c r="AE1763" s="15">
        <v>110</v>
      </c>
      <c r="AF1763" s="15">
        <f>AE1763*AG1763</f>
        <v>330</v>
      </c>
      <c r="AG1763" s="16">
        <v>3</v>
      </c>
    </row>
    <row r="1764" spans="1:33" ht="15" customHeight="1" x14ac:dyDescent="0.2">
      <c r="A1764" s="11" t="str">
        <f>HYPERLINK("https://assets.vans.eu/images/VN000PXTRV2-HERO/1","VN000PXTRV21")</f>
        <v>VN000PXTRV21</v>
      </c>
      <c r="B1764" s="12" t="s">
        <v>6793</v>
      </c>
      <c r="C1764" s="12" t="s">
        <v>2385</v>
      </c>
      <c r="D1764" s="12" t="s">
        <v>1428</v>
      </c>
      <c r="E1764" s="12" t="s">
        <v>6794</v>
      </c>
      <c r="F1764" s="12" t="s">
        <v>403</v>
      </c>
      <c r="G1764" s="14"/>
      <c r="H1764" s="12" t="s">
        <v>61</v>
      </c>
      <c r="I1764" s="12" t="s">
        <v>62</v>
      </c>
      <c r="J1764" s="12" t="s">
        <v>63</v>
      </c>
      <c r="K1764" s="12" t="s">
        <v>64</v>
      </c>
      <c r="L1764" s="14"/>
      <c r="M1764" s="12" t="s">
        <v>43</v>
      </c>
      <c r="N1764" s="12" t="s">
        <v>84</v>
      </c>
      <c r="O1764" s="12" t="s">
        <v>6795</v>
      </c>
      <c r="P1764" s="12" t="s">
        <v>66</v>
      </c>
      <c r="Q1764" s="12" t="s">
        <v>67</v>
      </c>
      <c r="R1764" s="12" t="s">
        <v>68</v>
      </c>
      <c r="S1764" s="13">
        <v>197804366071</v>
      </c>
      <c r="T1764" s="12" t="s">
        <v>422</v>
      </c>
      <c r="U1764" s="12" t="s">
        <v>403</v>
      </c>
      <c r="V1764" s="12" t="s">
        <v>70</v>
      </c>
      <c r="W1764" s="12" t="s">
        <v>51</v>
      </c>
      <c r="X1764" s="14"/>
      <c r="Y1764" s="14"/>
      <c r="Z1764" s="14"/>
      <c r="AA1764" s="14"/>
      <c r="AB1764" s="14"/>
      <c r="AC1764" s="15">
        <v>13.65</v>
      </c>
      <c r="AD1764" s="15">
        <f>AC1764*AG1764</f>
        <v>40.950000000000003</v>
      </c>
      <c r="AE1764" s="15">
        <v>30</v>
      </c>
      <c r="AF1764" s="15">
        <f>AE1764*AG1764</f>
        <v>90</v>
      </c>
      <c r="AG1764" s="16">
        <v>3</v>
      </c>
    </row>
    <row r="1765" spans="1:33" ht="15" customHeight="1" x14ac:dyDescent="0.2">
      <c r="A1765" s="11" t="str">
        <f t="shared" ref="A1765:A3494" si="740">HYPERLINK("https://assets.vans.eu/images/VN000PXWWHT-HERO/1","VN000PXWWHT1")</f>
        <v>VN000PXWWHT1</v>
      </c>
      <c r="B1765" s="12" t="s">
        <v>6796</v>
      </c>
      <c r="C1765" s="12" t="s">
        <v>3164</v>
      </c>
      <c r="D1765" s="12" t="s">
        <v>168</v>
      </c>
      <c r="E1765" s="12" t="s">
        <v>6797</v>
      </c>
      <c r="F1765" s="12" t="s">
        <v>60</v>
      </c>
      <c r="G1765" s="14"/>
      <c r="H1765" s="12" t="s">
        <v>61</v>
      </c>
      <c r="I1765" s="12" t="s">
        <v>62</v>
      </c>
      <c r="J1765" s="12" t="s">
        <v>63</v>
      </c>
      <c r="K1765" s="12" t="s">
        <v>64</v>
      </c>
      <c r="L1765" s="14"/>
      <c r="M1765" s="12" t="s">
        <v>43</v>
      </c>
      <c r="N1765" s="12" t="s">
        <v>84</v>
      </c>
      <c r="O1765" s="12" t="s">
        <v>6798</v>
      </c>
      <c r="P1765" s="12" t="s">
        <v>66</v>
      </c>
      <c r="Q1765" s="12" t="s">
        <v>67</v>
      </c>
      <c r="R1765" s="12" t="s">
        <v>68</v>
      </c>
      <c r="S1765" s="13">
        <v>197804765997</v>
      </c>
      <c r="T1765" s="12" t="s">
        <v>915</v>
      </c>
      <c r="U1765" s="12" t="s">
        <v>60</v>
      </c>
      <c r="V1765" s="12" t="s">
        <v>1028</v>
      </c>
      <c r="W1765" s="12" t="s">
        <v>175</v>
      </c>
      <c r="X1765" s="14"/>
      <c r="Y1765" s="14"/>
      <c r="Z1765" s="14"/>
      <c r="AA1765" s="14"/>
      <c r="AB1765" s="14"/>
      <c r="AC1765" s="15">
        <v>15.95</v>
      </c>
      <c r="AD1765" s="15">
        <f>AC1765*AG1765</f>
        <v>47.849999999999994</v>
      </c>
      <c r="AE1765" s="15">
        <v>35</v>
      </c>
      <c r="AF1765" s="15">
        <f>AE1765*AG1765</f>
        <v>105</v>
      </c>
      <c r="AG1765" s="16">
        <v>3</v>
      </c>
    </row>
    <row r="1766" spans="1:33" ht="15" customHeight="1" x14ac:dyDescent="0.2">
      <c r="A1766" s="11" t="str">
        <f>HYPERLINK("https://assets.vans.eu/images/VN000PXXBLK-HERO/1","VN000PXXBLK1")</f>
        <v>VN000PXXBLK1</v>
      </c>
      <c r="B1766" s="12" t="s">
        <v>6799</v>
      </c>
      <c r="C1766" s="12" t="s">
        <v>1912</v>
      </c>
      <c r="D1766" s="12" t="s">
        <v>76</v>
      </c>
      <c r="E1766" s="12" t="s">
        <v>6800</v>
      </c>
      <c r="F1766" s="12" t="s">
        <v>403</v>
      </c>
      <c r="G1766" s="14"/>
      <c r="H1766" s="12" t="s">
        <v>61</v>
      </c>
      <c r="I1766" s="12" t="s">
        <v>62</v>
      </c>
      <c r="J1766" s="12" t="s">
        <v>63</v>
      </c>
      <c r="K1766" s="12" t="s">
        <v>64</v>
      </c>
      <c r="L1766" s="14"/>
      <c r="M1766" s="12" t="s">
        <v>43</v>
      </c>
      <c r="N1766" s="12" t="s">
        <v>84</v>
      </c>
      <c r="O1766" s="12" t="s">
        <v>6801</v>
      </c>
      <c r="P1766" s="12" t="s">
        <v>66</v>
      </c>
      <c r="Q1766" s="12" t="s">
        <v>67</v>
      </c>
      <c r="R1766" s="12" t="s">
        <v>68</v>
      </c>
      <c r="S1766" s="13">
        <v>197804668649</v>
      </c>
      <c r="T1766" s="12" t="s">
        <v>422</v>
      </c>
      <c r="U1766" s="12" t="s">
        <v>403</v>
      </c>
      <c r="V1766" s="12" t="s">
        <v>70</v>
      </c>
      <c r="W1766" s="12" t="s">
        <v>51</v>
      </c>
      <c r="X1766" s="14"/>
      <c r="Y1766" s="14"/>
      <c r="Z1766" s="14"/>
      <c r="AA1766" s="14"/>
      <c r="AB1766" s="14"/>
      <c r="AC1766" s="15">
        <v>13.65</v>
      </c>
      <c r="AD1766" s="15">
        <f>AC1766*AG1766</f>
        <v>40.950000000000003</v>
      </c>
      <c r="AE1766" s="15">
        <v>30</v>
      </c>
      <c r="AF1766" s="15">
        <f>AE1766*AG1766</f>
        <v>90</v>
      </c>
      <c r="AG1766" s="16">
        <v>3</v>
      </c>
    </row>
    <row r="1767" spans="1:33" ht="15" customHeight="1" x14ac:dyDescent="0.2">
      <c r="A1767" s="11" t="str">
        <f t="shared" si="501"/>
        <v>VN000PXXWHT1</v>
      </c>
      <c r="B1767" s="12" t="s">
        <v>6802</v>
      </c>
      <c r="C1767" s="12" t="s">
        <v>1912</v>
      </c>
      <c r="D1767" s="12" t="s">
        <v>168</v>
      </c>
      <c r="E1767" s="12" t="s">
        <v>6803</v>
      </c>
      <c r="F1767" s="12" t="s">
        <v>60</v>
      </c>
      <c r="G1767" s="14"/>
      <c r="H1767" s="12" t="s">
        <v>61</v>
      </c>
      <c r="I1767" s="12" t="s">
        <v>62</v>
      </c>
      <c r="J1767" s="12" t="s">
        <v>63</v>
      </c>
      <c r="K1767" s="12" t="s">
        <v>64</v>
      </c>
      <c r="L1767" s="14"/>
      <c r="M1767" s="12" t="s">
        <v>43</v>
      </c>
      <c r="N1767" s="12" t="s">
        <v>84</v>
      </c>
      <c r="O1767" s="12" t="s">
        <v>6804</v>
      </c>
      <c r="P1767" s="12" t="s">
        <v>66</v>
      </c>
      <c r="Q1767" s="12" t="s">
        <v>67</v>
      </c>
      <c r="R1767" s="12" t="s">
        <v>68</v>
      </c>
      <c r="S1767" s="13">
        <v>197804617258</v>
      </c>
      <c r="T1767" s="12" t="s">
        <v>422</v>
      </c>
      <c r="U1767" s="12" t="s">
        <v>60</v>
      </c>
      <c r="V1767" s="12" t="s">
        <v>70</v>
      </c>
      <c r="W1767" s="12" t="s">
        <v>175</v>
      </c>
      <c r="X1767" s="14"/>
      <c r="Y1767" s="14"/>
      <c r="Z1767" s="14"/>
      <c r="AA1767" s="14"/>
      <c r="AB1767" s="14"/>
      <c r="AC1767" s="15">
        <v>13.65</v>
      </c>
      <c r="AD1767" s="15">
        <f>AC1767*AG1767</f>
        <v>40.950000000000003</v>
      </c>
      <c r="AE1767" s="15">
        <v>30</v>
      </c>
      <c r="AF1767" s="15">
        <f>AE1767*AG1767</f>
        <v>90</v>
      </c>
      <c r="AG1767" s="16">
        <v>3</v>
      </c>
    </row>
    <row r="1768" spans="1:33" ht="15" customHeight="1" x14ac:dyDescent="0.2">
      <c r="A1768" s="11" t="str">
        <f t="shared" ref="A1768:A2315" si="741">HYPERLINK("https://assets.vans.eu/images/VN000PY4WHT-HERO/1","VN000PY4WHT1")</f>
        <v>VN000PY4WHT1</v>
      </c>
      <c r="B1768" s="12" t="s">
        <v>6805</v>
      </c>
      <c r="C1768" s="12" t="s">
        <v>3168</v>
      </c>
      <c r="D1768" s="12" t="s">
        <v>168</v>
      </c>
      <c r="E1768" s="12" t="s">
        <v>6806</v>
      </c>
      <c r="F1768" s="12" t="s">
        <v>403</v>
      </c>
      <c r="G1768" s="14"/>
      <c r="H1768" s="12" t="s">
        <v>61</v>
      </c>
      <c r="I1768" s="12" t="s">
        <v>62</v>
      </c>
      <c r="J1768" s="12" t="s">
        <v>63</v>
      </c>
      <c r="K1768" s="12" t="s">
        <v>64</v>
      </c>
      <c r="L1768" s="14"/>
      <c r="M1768" s="12" t="s">
        <v>43</v>
      </c>
      <c r="N1768" s="12" t="s">
        <v>84</v>
      </c>
      <c r="O1768" s="12" t="s">
        <v>6807</v>
      </c>
      <c r="P1768" s="12" t="s">
        <v>66</v>
      </c>
      <c r="Q1768" s="12" t="s">
        <v>67</v>
      </c>
      <c r="R1768" s="12" t="s">
        <v>68</v>
      </c>
      <c r="S1768" s="13">
        <v>197804582433</v>
      </c>
      <c r="T1768" s="12" t="s">
        <v>915</v>
      </c>
      <c r="U1768" s="12" t="s">
        <v>403</v>
      </c>
      <c r="V1768" s="12" t="s">
        <v>1028</v>
      </c>
      <c r="W1768" s="12" t="s">
        <v>175</v>
      </c>
      <c r="X1768" s="14"/>
      <c r="Y1768" s="14"/>
      <c r="Z1768" s="14"/>
      <c r="AA1768" s="14"/>
      <c r="AB1768" s="14"/>
      <c r="AC1768" s="15">
        <v>13.65</v>
      </c>
      <c r="AD1768" s="15">
        <f>AC1768*AG1768</f>
        <v>40.950000000000003</v>
      </c>
      <c r="AE1768" s="15">
        <v>30</v>
      </c>
      <c r="AF1768" s="15">
        <f>AE1768*AG1768</f>
        <v>90</v>
      </c>
      <c r="AG1768" s="16">
        <v>3</v>
      </c>
    </row>
    <row r="1769" spans="1:33" ht="15" customHeight="1" x14ac:dyDescent="0.2">
      <c r="A1769" s="11" t="str">
        <f t="shared" ref="A1769:A2316" si="742">HYPERLINK("https://assets.vans.eu/images/VN000PYXJDU-HERO/1","VN000PYXJDU1")</f>
        <v>VN000PYXJDU1</v>
      </c>
      <c r="B1769" s="12" t="s">
        <v>6808</v>
      </c>
      <c r="C1769" s="12" t="s">
        <v>6809</v>
      </c>
      <c r="D1769" s="12" t="s">
        <v>814</v>
      </c>
      <c r="E1769" s="12" t="s">
        <v>6810</v>
      </c>
      <c r="F1769" s="13">
        <v>6</v>
      </c>
      <c r="G1769" s="14"/>
      <c r="H1769" s="12" t="s">
        <v>61</v>
      </c>
      <c r="I1769" s="12" t="s">
        <v>1340</v>
      </c>
      <c r="J1769" s="12" t="s">
        <v>1341</v>
      </c>
      <c r="K1769" s="12" t="s">
        <v>64</v>
      </c>
      <c r="L1769" s="14"/>
      <c r="M1769" s="12" t="s">
        <v>43</v>
      </c>
      <c r="N1769" s="12" t="s">
        <v>84</v>
      </c>
      <c r="O1769" s="12" t="s">
        <v>6811</v>
      </c>
      <c r="P1769" s="12" t="s">
        <v>66</v>
      </c>
      <c r="Q1769" s="12" t="s">
        <v>67</v>
      </c>
      <c r="R1769" s="12" t="s">
        <v>730</v>
      </c>
      <c r="S1769" s="13">
        <v>197804366897</v>
      </c>
      <c r="T1769" s="12" t="s">
        <v>709</v>
      </c>
      <c r="U1769" s="13">
        <v>6</v>
      </c>
      <c r="V1769" s="12" t="s">
        <v>710</v>
      </c>
      <c r="W1769" s="12" t="s">
        <v>284</v>
      </c>
      <c r="X1769" s="14"/>
      <c r="Y1769" s="14"/>
      <c r="Z1769" s="14"/>
      <c r="AA1769" s="14"/>
      <c r="AB1769" s="14"/>
      <c r="AC1769" s="15">
        <v>27.3</v>
      </c>
      <c r="AD1769" s="15">
        <f>AC1769*AG1769</f>
        <v>81.900000000000006</v>
      </c>
      <c r="AE1769" s="15">
        <v>60</v>
      </c>
      <c r="AF1769" s="15">
        <f>AE1769*AG1769</f>
        <v>180</v>
      </c>
      <c r="AG1769" s="16">
        <v>3</v>
      </c>
    </row>
    <row r="1770" spans="1:33" ht="15" customHeight="1" x14ac:dyDescent="0.2">
      <c r="A1770" s="11" t="str">
        <f t="shared" si="444"/>
        <v>VN000Q09GC61</v>
      </c>
      <c r="B1770" s="12" t="s">
        <v>6812</v>
      </c>
      <c r="C1770" s="12" t="s">
        <v>1577</v>
      </c>
      <c r="D1770" s="12" t="s">
        <v>1744</v>
      </c>
      <c r="E1770" s="12" t="s">
        <v>6813</v>
      </c>
      <c r="F1770" s="13">
        <v>23</v>
      </c>
      <c r="G1770" s="14"/>
      <c r="H1770" s="12" t="s">
        <v>61</v>
      </c>
      <c r="I1770" s="12" t="s">
        <v>62</v>
      </c>
      <c r="J1770" s="12" t="s">
        <v>972</v>
      </c>
      <c r="K1770" s="12" t="s">
        <v>64</v>
      </c>
      <c r="L1770" s="14"/>
      <c r="M1770" s="12" t="s">
        <v>43</v>
      </c>
      <c r="N1770" s="12" t="s">
        <v>84</v>
      </c>
      <c r="O1770" s="12" t="s">
        <v>6814</v>
      </c>
      <c r="P1770" s="12" t="s">
        <v>66</v>
      </c>
      <c r="Q1770" s="12" t="s">
        <v>233</v>
      </c>
      <c r="R1770" s="12" t="s">
        <v>974</v>
      </c>
      <c r="S1770" s="13">
        <v>197804669196</v>
      </c>
      <c r="T1770" s="12" t="s">
        <v>235</v>
      </c>
      <c r="U1770" s="13">
        <v>23</v>
      </c>
      <c r="V1770" s="12" t="s">
        <v>665</v>
      </c>
      <c r="W1770" s="12" t="s">
        <v>284</v>
      </c>
      <c r="X1770" s="14"/>
      <c r="Y1770" s="14"/>
      <c r="Z1770" s="14"/>
      <c r="AA1770" s="14"/>
      <c r="AB1770" s="14"/>
      <c r="AC1770" s="15">
        <v>29.55</v>
      </c>
      <c r="AD1770" s="15">
        <f>AC1770*AG1770</f>
        <v>88.65</v>
      </c>
      <c r="AE1770" s="15">
        <v>65</v>
      </c>
      <c r="AF1770" s="15">
        <f>AE1770*AG1770</f>
        <v>195</v>
      </c>
      <c r="AG1770" s="16">
        <v>3</v>
      </c>
    </row>
    <row r="1771" spans="1:33" ht="15" customHeight="1" x14ac:dyDescent="0.2">
      <c r="A1771" s="11" t="str">
        <f t="shared" ref="A1771:A2319" si="743">HYPERLINK("https://assets.vans.eu/images/VN000Q0ACDX-HERO/1","VN000Q0ACDX1")</f>
        <v>VN000Q0ACDX1</v>
      </c>
      <c r="B1771" s="12" t="s">
        <v>6815</v>
      </c>
      <c r="C1771" s="12" t="s">
        <v>6816</v>
      </c>
      <c r="D1771" s="12" t="s">
        <v>760</v>
      </c>
      <c r="E1771" s="12" t="s">
        <v>6817</v>
      </c>
      <c r="F1771" s="13">
        <v>26</v>
      </c>
      <c r="G1771" s="14"/>
      <c r="H1771" s="12" t="s">
        <v>61</v>
      </c>
      <c r="I1771" s="12" t="s">
        <v>62</v>
      </c>
      <c r="J1771" s="12" t="s">
        <v>972</v>
      </c>
      <c r="K1771" s="12" t="s">
        <v>64</v>
      </c>
      <c r="L1771" s="14"/>
      <c r="M1771" s="12" t="s">
        <v>43</v>
      </c>
      <c r="N1771" s="12" t="s">
        <v>84</v>
      </c>
      <c r="O1771" s="12" t="s">
        <v>6818</v>
      </c>
      <c r="P1771" s="12" t="s">
        <v>66</v>
      </c>
      <c r="Q1771" s="12" t="s">
        <v>233</v>
      </c>
      <c r="R1771" s="12" t="s">
        <v>974</v>
      </c>
      <c r="S1771" s="13">
        <v>197804669271</v>
      </c>
      <c r="T1771" s="12" t="s">
        <v>235</v>
      </c>
      <c r="U1771" s="13">
        <v>26</v>
      </c>
      <c r="V1771" s="12" t="s">
        <v>665</v>
      </c>
      <c r="W1771" s="12" t="s">
        <v>284</v>
      </c>
      <c r="X1771" s="14"/>
      <c r="Y1771" s="14"/>
      <c r="Z1771" s="14"/>
      <c r="AA1771" s="14"/>
      <c r="AB1771" s="14"/>
      <c r="AC1771" s="15">
        <v>31.85</v>
      </c>
      <c r="AD1771" s="15">
        <f>AC1771*AG1771</f>
        <v>95.550000000000011</v>
      </c>
      <c r="AE1771" s="15">
        <v>70</v>
      </c>
      <c r="AF1771" s="15">
        <f>AE1771*AG1771</f>
        <v>210</v>
      </c>
      <c r="AG1771" s="16">
        <v>3</v>
      </c>
    </row>
    <row r="1772" spans="1:33" ht="15" customHeight="1" x14ac:dyDescent="0.2">
      <c r="A1772" s="11" t="str">
        <f t="shared" si="587"/>
        <v>VN000Q0PEMP1</v>
      </c>
      <c r="B1772" s="12" t="s">
        <v>6819</v>
      </c>
      <c r="C1772" s="12" t="s">
        <v>2737</v>
      </c>
      <c r="D1772" s="12" t="s">
        <v>704</v>
      </c>
      <c r="E1772" s="12" t="s">
        <v>6820</v>
      </c>
      <c r="F1772" s="12" t="s">
        <v>621</v>
      </c>
      <c r="G1772" s="14"/>
      <c r="H1772" s="12" t="s">
        <v>61</v>
      </c>
      <c r="I1772" s="12" t="s">
        <v>289</v>
      </c>
      <c r="J1772" s="12" t="s">
        <v>706</v>
      </c>
      <c r="K1772" s="12" t="s">
        <v>100</v>
      </c>
      <c r="L1772" s="14"/>
      <c r="M1772" s="12" t="s">
        <v>43</v>
      </c>
      <c r="N1772" s="12" t="s">
        <v>84</v>
      </c>
      <c r="O1772" s="12" t="s">
        <v>6821</v>
      </c>
      <c r="P1772" s="12" t="s">
        <v>66</v>
      </c>
      <c r="Q1772" s="12" t="s">
        <v>67</v>
      </c>
      <c r="R1772" s="12" t="s">
        <v>1200</v>
      </c>
      <c r="S1772" s="13">
        <v>197804582907</v>
      </c>
      <c r="T1772" s="12" t="s">
        <v>49</v>
      </c>
      <c r="U1772" s="12" t="s">
        <v>621</v>
      </c>
      <c r="V1772" s="12" t="s">
        <v>665</v>
      </c>
      <c r="W1772" s="12" t="s">
        <v>186</v>
      </c>
      <c r="X1772" s="14"/>
      <c r="Y1772" s="14"/>
      <c r="Z1772" s="14"/>
      <c r="AA1772" s="14"/>
      <c r="AB1772" s="14"/>
      <c r="AC1772" s="15">
        <v>20.5</v>
      </c>
      <c r="AD1772" s="15">
        <f>AC1772*AG1772</f>
        <v>61.5</v>
      </c>
      <c r="AE1772" s="15">
        <v>45</v>
      </c>
      <c r="AF1772" s="15">
        <f>AE1772*AG1772</f>
        <v>135</v>
      </c>
      <c r="AG1772" s="16">
        <v>3</v>
      </c>
    </row>
    <row r="1773" spans="1:33" ht="15" customHeight="1" x14ac:dyDescent="0.2">
      <c r="A1773" s="11" t="str">
        <f t="shared" si="393"/>
        <v>VN000Q0VEMS1</v>
      </c>
      <c r="B1773" s="12" t="s">
        <v>6822</v>
      </c>
      <c r="C1773" s="12" t="s">
        <v>3783</v>
      </c>
      <c r="D1773" s="12" t="s">
        <v>863</v>
      </c>
      <c r="E1773" s="12" t="s">
        <v>6823</v>
      </c>
      <c r="F1773" s="12" t="s">
        <v>403</v>
      </c>
      <c r="G1773" s="14"/>
      <c r="H1773" s="12" t="s">
        <v>61</v>
      </c>
      <c r="I1773" s="12" t="s">
        <v>289</v>
      </c>
      <c r="J1773" s="12" t="s">
        <v>706</v>
      </c>
      <c r="K1773" s="12" t="s">
        <v>100</v>
      </c>
      <c r="L1773" s="14"/>
      <c r="M1773" s="12" t="s">
        <v>43</v>
      </c>
      <c r="N1773" s="12" t="s">
        <v>84</v>
      </c>
      <c r="O1773" s="12" t="s">
        <v>6824</v>
      </c>
      <c r="P1773" s="12" t="s">
        <v>66</v>
      </c>
      <c r="Q1773" s="12" t="s">
        <v>67</v>
      </c>
      <c r="R1773" s="12" t="s">
        <v>1200</v>
      </c>
      <c r="S1773" s="13">
        <v>197804656158</v>
      </c>
      <c r="T1773" s="12" t="s">
        <v>49</v>
      </c>
      <c r="U1773" s="12" t="s">
        <v>403</v>
      </c>
      <c r="V1773" s="12" t="s">
        <v>3786</v>
      </c>
      <c r="W1773" s="12" t="s">
        <v>107</v>
      </c>
      <c r="X1773" s="14"/>
      <c r="Y1773" s="14"/>
      <c r="Z1773" s="14"/>
      <c r="AA1773" s="14"/>
      <c r="AB1773" s="14"/>
      <c r="AC1773" s="15">
        <v>20.5</v>
      </c>
      <c r="AD1773" s="15">
        <f>AC1773*AG1773</f>
        <v>61.5</v>
      </c>
      <c r="AE1773" s="15">
        <v>45</v>
      </c>
      <c r="AF1773" s="15">
        <f>AE1773*AG1773</f>
        <v>135</v>
      </c>
      <c r="AG1773" s="16">
        <v>3</v>
      </c>
    </row>
    <row r="1774" spans="1:33" ht="15" customHeight="1" x14ac:dyDescent="0.2">
      <c r="A1774" s="11" t="str">
        <f t="shared" ref="A1774:A3506" si="744">HYPERLINK("https://assets.vans.eu/images/VN000Q3002F-HERO/1","VN000Q3002F1")</f>
        <v>VN000Q3002F1</v>
      </c>
      <c r="B1774" s="12" t="s">
        <v>6825</v>
      </c>
      <c r="C1774" s="12" t="s">
        <v>3472</v>
      </c>
      <c r="D1774" s="12" t="s">
        <v>857</v>
      </c>
      <c r="E1774" s="12" t="s">
        <v>6826</v>
      </c>
      <c r="F1774" s="12" t="s">
        <v>60</v>
      </c>
      <c r="G1774" s="14"/>
      <c r="H1774" s="12" t="s">
        <v>61</v>
      </c>
      <c r="I1774" s="12" t="s">
        <v>289</v>
      </c>
      <c r="J1774" s="12" t="s">
        <v>706</v>
      </c>
      <c r="K1774" s="12" t="s">
        <v>100</v>
      </c>
      <c r="L1774" s="14"/>
      <c r="M1774" s="12" t="s">
        <v>43</v>
      </c>
      <c r="N1774" s="12" t="s">
        <v>84</v>
      </c>
      <c r="O1774" s="12" t="s">
        <v>6827</v>
      </c>
      <c r="P1774" s="12" t="s">
        <v>66</v>
      </c>
      <c r="Q1774" s="12" t="s">
        <v>67</v>
      </c>
      <c r="R1774" s="12" t="s">
        <v>708</v>
      </c>
      <c r="S1774" s="13">
        <v>197804368082</v>
      </c>
      <c r="T1774" s="12" t="s">
        <v>709</v>
      </c>
      <c r="U1774" s="12" t="s">
        <v>60</v>
      </c>
      <c r="V1774" s="12" t="s">
        <v>1092</v>
      </c>
      <c r="W1774" s="12" t="s">
        <v>455</v>
      </c>
      <c r="X1774" s="14"/>
      <c r="Y1774" s="14"/>
      <c r="Z1774" s="14"/>
      <c r="AA1774" s="14"/>
      <c r="AB1774" s="14"/>
      <c r="AC1774" s="15">
        <v>31.85</v>
      </c>
      <c r="AD1774" s="15">
        <f>AC1774*AG1774</f>
        <v>95.550000000000011</v>
      </c>
      <c r="AE1774" s="15">
        <v>70</v>
      </c>
      <c r="AF1774" s="15">
        <f>AE1774*AG1774</f>
        <v>210</v>
      </c>
      <c r="AG1774" s="16">
        <v>3</v>
      </c>
    </row>
    <row r="1775" spans="1:33" ht="15" customHeight="1" x14ac:dyDescent="0.2">
      <c r="A1775" s="11" t="str">
        <f t="shared" si="588"/>
        <v>VN000Q39EN91</v>
      </c>
      <c r="B1775" s="12" t="s">
        <v>6828</v>
      </c>
      <c r="C1775" s="12" t="s">
        <v>2542</v>
      </c>
      <c r="D1775" s="12" t="s">
        <v>982</v>
      </c>
      <c r="E1775" s="12" t="s">
        <v>6829</v>
      </c>
      <c r="F1775" s="12" t="s">
        <v>170</v>
      </c>
      <c r="G1775" s="14"/>
      <c r="H1775" s="12" t="s">
        <v>61</v>
      </c>
      <c r="I1775" s="12" t="s">
        <v>289</v>
      </c>
      <c r="J1775" s="12" t="s">
        <v>706</v>
      </c>
      <c r="K1775" s="12" t="s">
        <v>100</v>
      </c>
      <c r="L1775" s="14"/>
      <c r="M1775" s="12" t="s">
        <v>43</v>
      </c>
      <c r="N1775" s="12" t="s">
        <v>84</v>
      </c>
      <c r="O1775" s="12" t="s">
        <v>6830</v>
      </c>
      <c r="P1775" s="12" t="s">
        <v>66</v>
      </c>
      <c r="Q1775" s="12" t="s">
        <v>67</v>
      </c>
      <c r="R1775" s="12" t="s">
        <v>708</v>
      </c>
      <c r="S1775" s="13">
        <v>197804368563</v>
      </c>
      <c r="T1775" s="12" t="s">
        <v>49</v>
      </c>
      <c r="U1775" s="12" t="s">
        <v>170</v>
      </c>
      <c r="V1775" s="12" t="s">
        <v>1343</v>
      </c>
      <c r="W1775" s="12" t="s">
        <v>455</v>
      </c>
      <c r="X1775" s="14"/>
      <c r="Y1775" s="14"/>
      <c r="Z1775" s="14"/>
      <c r="AA1775" s="14"/>
      <c r="AB1775" s="14"/>
      <c r="AC1775" s="15">
        <v>38.65</v>
      </c>
      <c r="AD1775" s="15">
        <f>AC1775*AG1775</f>
        <v>115.94999999999999</v>
      </c>
      <c r="AE1775" s="15">
        <v>85</v>
      </c>
      <c r="AF1775" s="15">
        <f>AE1775*AG1775</f>
        <v>255</v>
      </c>
      <c r="AG1775" s="16">
        <v>3</v>
      </c>
    </row>
    <row r="1776" spans="1:33" ht="15" customHeight="1" x14ac:dyDescent="0.2">
      <c r="A1776" s="11" t="str">
        <f t="shared" si="590"/>
        <v>VN000Q74EN61</v>
      </c>
      <c r="B1776" s="12" t="s">
        <v>6831</v>
      </c>
      <c r="C1776" s="12" t="s">
        <v>3186</v>
      </c>
      <c r="D1776" s="12" t="s">
        <v>189</v>
      </c>
      <c r="E1776" s="12" t="s">
        <v>6832</v>
      </c>
      <c r="F1776" s="13">
        <v>29</v>
      </c>
      <c r="G1776" s="14"/>
      <c r="H1776" s="12" t="s">
        <v>61</v>
      </c>
      <c r="I1776" s="12" t="s">
        <v>230</v>
      </c>
      <c r="J1776" s="12" t="s">
        <v>231</v>
      </c>
      <c r="K1776" s="12" t="s">
        <v>199</v>
      </c>
      <c r="L1776" s="14"/>
      <c r="M1776" s="12" t="s">
        <v>43</v>
      </c>
      <c r="N1776" s="12" t="s">
        <v>84</v>
      </c>
      <c r="O1776" s="12" t="s">
        <v>6833</v>
      </c>
      <c r="P1776" s="12" t="s">
        <v>66</v>
      </c>
      <c r="Q1776" s="12" t="s">
        <v>233</v>
      </c>
      <c r="R1776" s="12" t="s">
        <v>361</v>
      </c>
      <c r="S1776" s="13">
        <v>197804583362</v>
      </c>
      <c r="T1776" s="12" t="s">
        <v>235</v>
      </c>
      <c r="U1776" s="13">
        <v>29</v>
      </c>
      <c r="V1776" s="12" t="s">
        <v>423</v>
      </c>
      <c r="W1776" s="12" t="s">
        <v>118</v>
      </c>
      <c r="X1776" s="14"/>
      <c r="Y1776" s="14"/>
      <c r="Z1776" s="14"/>
      <c r="AA1776" s="14"/>
      <c r="AB1776" s="14"/>
      <c r="AC1776" s="15">
        <v>36.4</v>
      </c>
      <c r="AD1776" s="15">
        <f>AC1776*AG1776</f>
        <v>109.19999999999999</v>
      </c>
      <c r="AE1776" s="15">
        <v>80</v>
      </c>
      <c r="AF1776" s="15">
        <f>AE1776*AG1776</f>
        <v>240</v>
      </c>
      <c r="AG1776" s="16">
        <v>3</v>
      </c>
    </row>
    <row r="1777" spans="1:33" ht="15" customHeight="1" x14ac:dyDescent="0.2">
      <c r="A1777" s="11" t="str">
        <f t="shared" ref="A1777:A2325" si="745">HYPERLINK("https://assets.vans.eu/images/VN000Q74EN6-HERO/1","VN000Q74EN61")</f>
        <v>VN000Q74EN61</v>
      </c>
      <c r="B1777" s="12" t="s">
        <v>6834</v>
      </c>
      <c r="C1777" s="12" t="s">
        <v>3186</v>
      </c>
      <c r="D1777" s="12" t="s">
        <v>189</v>
      </c>
      <c r="E1777" s="12" t="s">
        <v>6835</v>
      </c>
      <c r="F1777" s="13">
        <v>30</v>
      </c>
      <c r="G1777" s="14"/>
      <c r="H1777" s="12" t="s">
        <v>61</v>
      </c>
      <c r="I1777" s="12" t="s">
        <v>230</v>
      </c>
      <c r="J1777" s="12" t="s">
        <v>231</v>
      </c>
      <c r="K1777" s="12" t="s">
        <v>199</v>
      </c>
      <c r="L1777" s="14"/>
      <c r="M1777" s="12" t="s">
        <v>43</v>
      </c>
      <c r="N1777" s="12" t="s">
        <v>84</v>
      </c>
      <c r="O1777" s="12" t="s">
        <v>6836</v>
      </c>
      <c r="P1777" s="12" t="s">
        <v>66</v>
      </c>
      <c r="Q1777" s="12" t="s">
        <v>233</v>
      </c>
      <c r="R1777" s="12" t="s">
        <v>361</v>
      </c>
      <c r="S1777" s="13">
        <v>197804583393</v>
      </c>
      <c r="T1777" s="12" t="s">
        <v>235</v>
      </c>
      <c r="U1777" s="13">
        <v>30</v>
      </c>
      <c r="V1777" s="12" t="s">
        <v>423</v>
      </c>
      <c r="W1777" s="12" t="s">
        <v>118</v>
      </c>
      <c r="X1777" s="14"/>
      <c r="Y1777" s="14"/>
      <c r="Z1777" s="14"/>
      <c r="AA1777" s="14"/>
      <c r="AB1777" s="14"/>
      <c r="AC1777" s="15">
        <v>36.4</v>
      </c>
      <c r="AD1777" s="15">
        <f>AC1777*AG1777</f>
        <v>109.19999999999999</v>
      </c>
      <c r="AE1777" s="15">
        <v>80</v>
      </c>
      <c r="AF1777" s="15">
        <f>AE1777*AG1777</f>
        <v>240</v>
      </c>
      <c r="AG1777" s="16">
        <v>3</v>
      </c>
    </row>
    <row r="1778" spans="1:33" ht="15" customHeight="1" x14ac:dyDescent="0.2">
      <c r="A1778" s="11" t="str">
        <f t="shared" si="502"/>
        <v>VN000Q7712Q1</v>
      </c>
      <c r="B1778" s="12" t="s">
        <v>6837</v>
      </c>
      <c r="C1778" s="12" t="s">
        <v>4784</v>
      </c>
      <c r="D1778" s="12" t="s">
        <v>2466</v>
      </c>
      <c r="E1778" s="12" t="s">
        <v>6838</v>
      </c>
      <c r="F1778" s="12" t="s">
        <v>60</v>
      </c>
      <c r="G1778" s="14"/>
      <c r="H1778" s="12" t="s">
        <v>61</v>
      </c>
      <c r="I1778" s="12" t="s">
        <v>230</v>
      </c>
      <c r="J1778" s="12" t="s">
        <v>419</v>
      </c>
      <c r="K1778" s="12" t="s">
        <v>199</v>
      </c>
      <c r="L1778" s="14"/>
      <c r="M1778" s="12" t="s">
        <v>43</v>
      </c>
      <c r="N1778" s="12" t="s">
        <v>84</v>
      </c>
      <c r="O1778" s="12" t="s">
        <v>6839</v>
      </c>
      <c r="P1778" s="12" t="s">
        <v>66</v>
      </c>
      <c r="Q1778" s="12" t="s">
        <v>67</v>
      </c>
      <c r="R1778" s="12" t="s">
        <v>623</v>
      </c>
      <c r="S1778" s="13">
        <v>197804369263</v>
      </c>
      <c r="T1778" s="12" t="s">
        <v>49</v>
      </c>
      <c r="U1778" s="12" t="s">
        <v>60</v>
      </c>
      <c r="V1778" s="12" t="s">
        <v>1731</v>
      </c>
      <c r="W1778" s="12" t="s">
        <v>625</v>
      </c>
      <c r="X1778" s="14"/>
      <c r="Y1778" s="14"/>
      <c r="Z1778" s="14"/>
      <c r="AA1778" s="14"/>
      <c r="AB1778" s="14"/>
      <c r="AC1778" s="15">
        <v>45.5</v>
      </c>
      <c r="AD1778" s="15">
        <f>AC1778*AG1778</f>
        <v>136.5</v>
      </c>
      <c r="AE1778" s="15">
        <v>100</v>
      </c>
      <c r="AF1778" s="15">
        <f>AE1778*AG1778</f>
        <v>300</v>
      </c>
      <c r="AG1778" s="16">
        <v>3</v>
      </c>
    </row>
    <row r="1779" spans="1:33" ht="15" customHeight="1" x14ac:dyDescent="0.2">
      <c r="A1779" s="11" t="str">
        <f>HYPERLINK("https://assets.vans.eu/images/VN000QF3BLK-HERO/1","VN000QF3BLK1")</f>
        <v>VN000QF3BLK1</v>
      </c>
      <c r="B1779" s="12" t="s">
        <v>6840</v>
      </c>
      <c r="C1779" s="12" t="s">
        <v>1509</v>
      </c>
      <c r="D1779" s="12" t="s">
        <v>76</v>
      </c>
      <c r="E1779" s="12" t="s">
        <v>6841</v>
      </c>
      <c r="F1779" s="12" t="s">
        <v>179</v>
      </c>
      <c r="G1779" s="14"/>
      <c r="H1779" s="12" t="s">
        <v>61</v>
      </c>
      <c r="I1779" s="12" t="s">
        <v>289</v>
      </c>
      <c r="J1779" s="12" t="s">
        <v>706</v>
      </c>
      <c r="K1779" s="12" t="s">
        <v>100</v>
      </c>
      <c r="L1779" s="14"/>
      <c r="M1779" s="12" t="s">
        <v>43</v>
      </c>
      <c r="N1779" s="12" t="s">
        <v>84</v>
      </c>
      <c r="O1779" s="12" t="s">
        <v>6842</v>
      </c>
      <c r="P1779" s="12" t="s">
        <v>66</v>
      </c>
      <c r="Q1779" s="12" t="s">
        <v>67</v>
      </c>
      <c r="R1779" s="12" t="s">
        <v>708</v>
      </c>
      <c r="S1779" s="13">
        <v>197804369362</v>
      </c>
      <c r="T1779" s="12" t="s">
        <v>709</v>
      </c>
      <c r="U1779" s="12" t="s">
        <v>179</v>
      </c>
      <c r="V1779" s="12" t="s">
        <v>2225</v>
      </c>
      <c r="W1779" s="12" t="s">
        <v>51</v>
      </c>
      <c r="X1779" s="14"/>
      <c r="Y1779" s="14"/>
      <c r="Z1779" s="14"/>
      <c r="AA1779" s="14"/>
      <c r="AB1779" s="14"/>
      <c r="AC1779" s="15">
        <v>38.65</v>
      </c>
      <c r="AD1779" s="15">
        <f>AC1779*AG1779</f>
        <v>115.94999999999999</v>
      </c>
      <c r="AE1779" s="15">
        <v>85</v>
      </c>
      <c r="AF1779" s="15">
        <f>AE1779*AG1779</f>
        <v>255</v>
      </c>
      <c r="AG1779" s="16">
        <v>3</v>
      </c>
    </row>
    <row r="1780" spans="1:33" ht="15" customHeight="1" x14ac:dyDescent="0.2">
      <c r="A1780" s="11" t="str">
        <f t="shared" ref="A1780:A3534" si="746">HYPERLINK("https://assets.vans.eu/images/VN000QFGDJR-HERO/1","VN000QFGDJR1")</f>
        <v>VN000QFGDJR1</v>
      </c>
      <c r="B1780" s="12" t="s">
        <v>6843</v>
      </c>
      <c r="C1780" s="12" t="s">
        <v>6844</v>
      </c>
      <c r="D1780" s="12" t="s">
        <v>2829</v>
      </c>
      <c r="E1780" s="12" t="s">
        <v>6845</v>
      </c>
      <c r="F1780" s="12" t="s">
        <v>170</v>
      </c>
      <c r="G1780" s="14"/>
      <c r="H1780" s="12" t="s">
        <v>61</v>
      </c>
      <c r="I1780" s="12" t="s">
        <v>289</v>
      </c>
      <c r="J1780" s="12" t="s">
        <v>706</v>
      </c>
      <c r="K1780" s="12" t="s">
        <v>100</v>
      </c>
      <c r="L1780" s="12" t="s">
        <v>115</v>
      </c>
      <c r="M1780" s="12" t="s">
        <v>43</v>
      </c>
      <c r="N1780" s="12" t="s">
        <v>161</v>
      </c>
      <c r="O1780" s="12" t="s">
        <v>6846</v>
      </c>
      <c r="P1780" s="12" t="s">
        <v>66</v>
      </c>
      <c r="Q1780" s="12" t="s">
        <v>67</v>
      </c>
      <c r="R1780" s="12" t="s">
        <v>1146</v>
      </c>
      <c r="S1780" s="13">
        <v>197803466055</v>
      </c>
      <c r="T1780" s="12" t="s">
        <v>422</v>
      </c>
      <c r="U1780" s="12" t="s">
        <v>170</v>
      </c>
      <c r="V1780" s="12" t="s">
        <v>70</v>
      </c>
      <c r="W1780" s="12" t="s">
        <v>175</v>
      </c>
      <c r="X1780" s="13">
        <v>0</v>
      </c>
      <c r="Y1780" s="12" t="s">
        <v>53</v>
      </c>
      <c r="Z1780" s="12" t="s">
        <v>6847</v>
      </c>
      <c r="AA1780" s="12" t="s">
        <v>93</v>
      </c>
      <c r="AB1780" s="12" t="s">
        <v>94</v>
      </c>
      <c r="AC1780" s="15">
        <v>20.5</v>
      </c>
      <c r="AD1780" s="15">
        <f>AC1780*AG1780</f>
        <v>61.5</v>
      </c>
      <c r="AE1780" s="15">
        <v>45</v>
      </c>
      <c r="AF1780" s="15">
        <f>AE1780*AG1780</f>
        <v>135</v>
      </c>
      <c r="AG1780" s="16">
        <v>3</v>
      </c>
    </row>
    <row r="1781" spans="1:33" ht="15" customHeight="1" x14ac:dyDescent="0.2">
      <c r="A1781" s="11" t="str">
        <f t="shared" ref="A1781:A1782" si="747">HYPERLINK("https://assets.vans.eu/images/VN000QN8Y28-HERO/1","VN000QN8Y281")</f>
        <v>VN000QN8Y281</v>
      </c>
      <c r="B1781" s="12" t="s">
        <v>6848</v>
      </c>
      <c r="C1781" s="12" t="s">
        <v>6849</v>
      </c>
      <c r="D1781" s="12" t="s">
        <v>58</v>
      </c>
      <c r="E1781" s="12" t="s">
        <v>6850</v>
      </c>
      <c r="F1781" s="12" t="s">
        <v>403</v>
      </c>
      <c r="G1781" s="14"/>
      <c r="H1781" s="12" t="s">
        <v>61</v>
      </c>
      <c r="I1781" s="12" t="s">
        <v>230</v>
      </c>
      <c r="J1781" s="12" t="s">
        <v>419</v>
      </c>
      <c r="K1781" s="12" t="s">
        <v>199</v>
      </c>
      <c r="L1781" s="14"/>
      <c r="M1781" s="12" t="s">
        <v>43</v>
      </c>
      <c r="N1781" s="12" t="s">
        <v>44</v>
      </c>
      <c r="O1781" s="12" t="s">
        <v>6851</v>
      </c>
      <c r="P1781" s="12" t="s">
        <v>66</v>
      </c>
      <c r="Q1781" s="12" t="s">
        <v>67</v>
      </c>
      <c r="R1781" s="12" t="s">
        <v>421</v>
      </c>
      <c r="S1781" s="13">
        <v>190284779164</v>
      </c>
      <c r="T1781" s="12" t="s">
        <v>422</v>
      </c>
      <c r="U1781" s="12" t="s">
        <v>403</v>
      </c>
      <c r="V1781" s="12" t="s">
        <v>70</v>
      </c>
      <c r="W1781" s="12" t="s">
        <v>51</v>
      </c>
      <c r="X1781" s="13">
        <v>0</v>
      </c>
      <c r="Y1781" s="12" t="s">
        <v>91</v>
      </c>
      <c r="Z1781" s="12" t="s">
        <v>108</v>
      </c>
      <c r="AA1781" s="13">
        <v>0</v>
      </c>
      <c r="AB1781" s="13">
        <v>0</v>
      </c>
      <c r="AC1781" s="15">
        <v>14.55</v>
      </c>
      <c r="AD1781" s="15">
        <f>AC1781*AG1781</f>
        <v>43.650000000000006</v>
      </c>
      <c r="AE1781" s="15">
        <v>32</v>
      </c>
      <c r="AF1781" s="15">
        <f>AE1781*AG1781</f>
        <v>96</v>
      </c>
      <c r="AG1781" s="16">
        <v>3</v>
      </c>
    </row>
    <row r="1782" spans="1:33" ht="15" customHeight="1" x14ac:dyDescent="0.2">
      <c r="A1782" s="11" t="str">
        <f t="shared" si="747"/>
        <v>VN000QN8Y281</v>
      </c>
      <c r="B1782" s="12" t="s">
        <v>6852</v>
      </c>
      <c r="C1782" s="12" t="s">
        <v>6849</v>
      </c>
      <c r="D1782" s="12" t="s">
        <v>58</v>
      </c>
      <c r="E1782" s="12" t="s">
        <v>6853</v>
      </c>
      <c r="F1782" s="12" t="s">
        <v>153</v>
      </c>
      <c r="G1782" s="14"/>
      <c r="H1782" s="12" t="s">
        <v>61</v>
      </c>
      <c r="I1782" s="12" t="s">
        <v>230</v>
      </c>
      <c r="J1782" s="12" t="s">
        <v>419</v>
      </c>
      <c r="K1782" s="12" t="s">
        <v>199</v>
      </c>
      <c r="L1782" s="14"/>
      <c r="M1782" s="12" t="s">
        <v>43</v>
      </c>
      <c r="N1782" s="12" t="s">
        <v>44</v>
      </c>
      <c r="O1782" s="12" t="s">
        <v>6854</v>
      </c>
      <c r="P1782" s="12" t="s">
        <v>66</v>
      </c>
      <c r="Q1782" s="12" t="s">
        <v>67</v>
      </c>
      <c r="R1782" s="12" t="s">
        <v>421</v>
      </c>
      <c r="S1782" s="13">
        <v>190284779065</v>
      </c>
      <c r="T1782" s="12" t="s">
        <v>422</v>
      </c>
      <c r="U1782" s="12" t="s">
        <v>153</v>
      </c>
      <c r="V1782" s="12" t="s">
        <v>70</v>
      </c>
      <c r="W1782" s="12" t="s">
        <v>51</v>
      </c>
      <c r="X1782" s="13">
        <v>0</v>
      </c>
      <c r="Y1782" s="12" t="s">
        <v>91</v>
      </c>
      <c r="Z1782" s="12" t="s">
        <v>108</v>
      </c>
      <c r="AA1782" s="13">
        <v>0</v>
      </c>
      <c r="AB1782" s="13">
        <v>0</v>
      </c>
      <c r="AC1782" s="15">
        <v>14.55</v>
      </c>
      <c r="AD1782" s="15">
        <f>AC1782*AG1782</f>
        <v>43.650000000000006</v>
      </c>
      <c r="AE1782" s="15">
        <v>32</v>
      </c>
      <c r="AF1782" s="15">
        <f>AE1782*AG1782</f>
        <v>96</v>
      </c>
      <c r="AG1782" s="16">
        <v>3</v>
      </c>
    </row>
    <row r="1783" spans="1:33" ht="15" customHeight="1" x14ac:dyDescent="0.2">
      <c r="A1783" s="11" t="str">
        <f t="shared" si="396"/>
        <v>VN000R03EN71</v>
      </c>
      <c r="B1783" s="12" t="s">
        <v>6855</v>
      </c>
      <c r="C1783" s="12" t="s">
        <v>2741</v>
      </c>
      <c r="D1783" s="12" t="s">
        <v>295</v>
      </c>
      <c r="E1783" s="12" t="s">
        <v>6856</v>
      </c>
      <c r="F1783" s="12" t="s">
        <v>179</v>
      </c>
      <c r="G1783" s="14"/>
      <c r="H1783" s="12" t="s">
        <v>61</v>
      </c>
      <c r="I1783" s="12" t="s">
        <v>62</v>
      </c>
      <c r="J1783" s="12" t="s">
        <v>63</v>
      </c>
      <c r="K1783" s="12" t="s">
        <v>64</v>
      </c>
      <c r="L1783" s="14"/>
      <c r="M1783" s="12" t="s">
        <v>43</v>
      </c>
      <c r="N1783" s="12" t="s">
        <v>84</v>
      </c>
      <c r="O1783" s="12" t="s">
        <v>6857</v>
      </c>
      <c r="P1783" s="12" t="s">
        <v>66</v>
      </c>
      <c r="Q1783" s="12" t="s">
        <v>67</v>
      </c>
      <c r="R1783" s="12" t="s">
        <v>68</v>
      </c>
      <c r="S1783" s="13">
        <v>197804585021</v>
      </c>
      <c r="T1783" s="12" t="s">
        <v>915</v>
      </c>
      <c r="U1783" s="12" t="s">
        <v>179</v>
      </c>
      <c r="V1783" s="12" t="s">
        <v>1028</v>
      </c>
      <c r="W1783" s="12" t="s">
        <v>299</v>
      </c>
      <c r="X1783" s="14"/>
      <c r="Y1783" s="14"/>
      <c r="Z1783" s="14"/>
      <c r="AA1783" s="14"/>
      <c r="AB1783" s="14"/>
      <c r="AC1783" s="15">
        <v>15.95</v>
      </c>
      <c r="AD1783" s="15">
        <f>AC1783*AG1783</f>
        <v>47.849999999999994</v>
      </c>
      <c r="AE1783" s="15">
        <v>35</v>
      </c>
      <c r="AF1783" s="15">
        <f>AE1783*AG1783</f>
        <v>105</v>
      </c>
      <c r="AG1783" s="16">
        <v>3</v>
      </c>
    </row>
    <row r="1784" spans="1:33" ht="15" customHeight="1" x14ac:dyDescent="0.2">
      <c r="A1784" s="11" t="str">
        <f t="shared" ref="A1784:A2331" si="748">HYPERLINK("https://assets.vans.eu/images/VN000R05ATH-HERO/1","VN000R05ATH1")</f>
        <v>VN000R05ATH1</v>
      </c>
      <c r="B1784" s="12" t="s">
        <v>6858</v>
      </c>
      <c r="C1784" s="12" t="s">
        <v>3182</v>
      </c>
      <c r="D1784" s="12" t="s">
        <v>6859</v>
      </c>
      <c r="E1784" s="12" t="s">
        <v>6860</v>
      </c>
      <c r="F1784" s="12" t="s">
        <v>170</v>
      </c>
      <c r="G1784" s="14"/>
      <c r="H1784" s="12" t="s">
        <v>61</v>
      </c>
      <c r="I1784" s="12" t="s">
        <v>62</v>
      </c>
      <c r="J1784" s="12" t="s">
        <v>63</v>
      </c>
      <c r="K1784" s="12" t="s">
        <v>64</v>
      </c>
      <c r="L1784" s="14"/>
      <c r="M1784" s="12" t="s">
        <v>43</v>
      </c>
      <c r="N1784" s="12" t="s">
        <v>84</v>
      </c>
      <c r="O1784" s="12" t="s">
        <v>6861</v>
      </c>
      <c r="P1784" s="12" t="s">
        <v>66</v>
      </c>
      <c r="Q1784" s="12" t="s">
        <v>67</v>
      </c>
      <c r="R1784" s="12" t="s">
        <v>68</v>
      </c>
      <c r="S1784" s="13">
        <v>197804585229</v>
      </c>
      <c r="T1784" s="12" t="s">
        <v>915</v>
      </c>
      <c r="U1784" s="12" t="s">
        <v>170</v>
      </c>
      <c r="V1784" s="12" t="s">
        <v>6862</v>
      </c>
      <c r="W1784" s="12" t="s">
        <v>455</v>
      </c>
      <c r="X1784" s="14"/>
      <c r="Y1784" s="14"/>
      <c r="Z1784" s="14"/>
      <c r="AA1784" s="14"/>
      <c r="AB1784" s="14"/>
      <c r="AC1784" s="15">
        <v>13.65</v>
      </c>
      <c r="AD1784" s="15">
        <f>AC1784*AG1784</f>
        <v>40.950000000000003</v>
      </c>
      <c r="AE1784" s="15">
        <v>30</v>
      </c>
      <c r="AF1784" s="15">
        <f>AE1784*AG1784</f>
        <v>90</v>
      </c>
      <c r="AG1784" s="16">
        <v>3</v>
      </c>
    </row>
    <row r="1785" spans="1:33" ht="15" customHeight="1" x14ac:dyDescent="0.2">
      <c r="A1785" s="11" t="str">
        <f t="shared" si="592"/>
        <v>VN000R4Z7D61</v>
      </c>
      <c r="B1785" s="12" t="s">
        <v>6863</v>
      </c>
      <c r="C1785" s="12" t="s">
        <v>3186</v>
      </c>
      <c r="D1785" s="12" t="s">
        <v>1231</v>
      </c>
      <c r="E1785" s="12" t="s">
        <v>6864</v>
      </c>
      <c r="F1785" s="13">
        <v>29</v>
      </c>
      <c r="G1785" s="14"/>
      <c r="H1785" s="12" t="s">
        <v>61</v>
      </c>
      <c r="I1785" s="12" t="s">
        <v>230</v>
      </c>
      <c r="J1785" s="12" t="s">
        <v>231</v>
      </c>
      <c r="K1785" s="12" t="s">
        <v>199</v>
      </c>
      <c r="L1785" s="14"/>
      <c r="M1785" s="12" t="s">
        <v>43</v>
      </c>
      <c r="N1785" s="12" t="s">
        <v>84</v>
      </c>
      <c r="O1785" s="12" t="s">
        <v>6865</v>
      </c>
      <c r="P1785" s="12" t="s">
        <v>66</v>
      </c>
      <c r="Q1785" s="12" t="s">
        <v>233</v>
      </c>
      <c r="R1785" s="12" t="s">
        <v>361</v>
      </c>
      <c r="S1785" s="13">
        <v>197804585632</v>
      </c>
      <c r="T1785" s="12" t="s">
        <v>235</v>
      </c>
      <c r="U1785" s="13">
        <v>29</v>
      </c>
      <c r="V1785" s="12" t="s">
        <v>665</v>
      </c>
      <c r="W1785" s="12" t="s">
        <v>186</v>
      </c>
      <c r="X1785" s="14"/>
      <c r="Y1785" s="14"/>
      <c r="Z1785" s="14"/>
      <c r="AA1785" s="14"/>
      <c r="AB1785" s="14"/>
      <c r="AC1785" s="15">
        <v>34.1</v>
      </c>
      <c r="AD1785" s="15">
        <f>AC1785*AG1785</f>
        <v>102.30000000000001</v>
      </c>
      <c r="AE1785" s="15">
        <v>75</v>
      </c>
      <c r="AF1785" s="15">
        <f>AE1785*AG1785</f>
        <v>225</v>
      </c>
      <c r="AG1785" s="16">
        <v>3</v>
      </c>
    </row>
    <row r="1786" spans="1:33" ht="15" customHeight="1" x14ac:dyDescent="0.2">
      <c r="A1786" s="11" t="str">
        <f t="shared" ref="A1786:A2334" si="749">HYPERLINK("https://assets.vans.eu/images/VN000R4ZEMP-HERO/1","VN000R4ZEMP1")</f>
        <v>VN000R4ZEMP1</v>
      </c>
      <c r="B1786" s="12" t="s">
        <v>6866</v>
      </c>
      <c r="C1786" s="12" t="s">
        <v>3186</v>
      </c>
      <c r="D1786" s="12" t="s">
        <v>704</v>
      </c>
      <c r="E1786" s="12" t="s">
        <v>6867</v>
      </c>
      <c r="F1786" s="13">
        <v>34</v>
      </c>
      <c r="G1786" s="14"/>
      <c r="H1786" s="12" t="s">
        <v>61</v>
      </c>
      <c r="I1786" s="12" t="s">
        <v>230</v>
      </c>
      <c r="J1786" s="12" t="s">
        <v>231</v>
      </c>
      <c r="K1786" s="12" t="s">
        <v>199</v>
      </c>
      <c r="L1786" s="14"/>
      <c r="M1786" s="12" t="s">
        <v>43</v>
      </c>
      <c r="N1786" s="12" t="s">
        <v>84</v>
      </c>
      <c r="O1786" s="12" t="s">
        <v>6868</v>
      </c>
      <c r="P1786" s="12" t="s">
        <v>66</v>
      </c>
      <c r="Q1786" s="12" t="s">
        <v>233</v>
      </c>
      <c r="R1786" s="12" t="s">
        <v>361</v>
      </c>
      <c r="S1786" s="13">
        <v>197804585892</v>
      </c>
      <c r="T1786" s="12" t="s">
        <v>235</v>
      </c>
      <c r="U1786" s="13">
        <v>34</v>
      </c>
      <c r="V1786" s="12" t="s">
        <v>665</v>
      </c>
      <c r="W1786" s="12" t="s">
        <v>186</v>
      </c>
      <c r="X1786" s="14"/>
      <c r="Y1786" s="14"/>
      <c r="Z1786" s="14"/>
      <c r="AA1786" s="14"/>
      <c r="AB1786" s="14"/>
      <c r="AC1786" s="15">
        <v>34.1</v>
      </c>
      <c r="AD1786" s="15">
        <f>AC1786*AG1786</f>
        <v>102.30000000000001</v>
      </c>
      <c r="AE1786" s="15">
        <v>75</v>
      </c>
      <c r="AF1786" s="15">
        <f>AE1786*AG1786</f>
        <v>225</v>
      </c>
      <c r="AG1786" s="16">
        <v>3</v>
      </c>
    </row>
    <row r="1787" spans="1:33" ht="15" customHeight="1" x14ac:dyDescent="0.2">
      <c r="A1787" s="11" t="str">
        <f>HYPERLINK("https://assets.vans.eu/images/VN000R52FS8-HERO/1","VN000R52FS81")</f>
        <v>VN000R52FS81</v>
      </c>
      <c r="B1787" s="12" t="s">
        <v>6869</v>
      </c>
      <c r="C1787" s="12" t="s">
        <v>6870</v>
      </c>
      <c r="D1787" s="12" t="s">
        <v>239</v>
      </c>
      <c r="E1787" s="12" t="s">
        <v>6871</v>
      </c>
      <c r="F1787" s="12" t="s">
        <v>138</v>
      </c>
      <c r="G1787" s="14"/>
      <c r="H1787" s="12" t="s">
        <v>61</v>
      </c>
      <c r="I1787" s="12" t="s">
        <v>289</v>
      </c>
      <c r="J1787" s="12" t="s">
        <v>706</v>
      </c>
      <c r="K1787" s="12" t="s">
        <v>100</v>
      </c>
      <c r="L1787" s="14"/>
      <c r="M1787" s="12" t="s">
        <v>43</v>
      </c>
      <c r="N1787" s="12" t="s">
        <v>84</v>
      </c>
      <c r="O1787" s="12" t="s">
        <v>6872</v>
      </c>
      <c r="P1787" s="12" t="s">
        <v>66</v>
      </c>
      <c r="Q1787" s="12" t="s">
        <v>67</v>
      </c>
      <c r="R1787" s="12" t="s">
        <v>708</v>
      </c>
      <c r="S1787" s="13">
        <v>197804395880</v>
      </c>
      <c r="T1787" s="12" t="s">
        <v>143</v>
      </c>
      <c r="U1787" s="12" t="s">
        <v>138</v>
      </c>
      <c r="V1787" s="12" t="s">
        <v>6873</v>
      </c>
      <c r="W1787" s="12" t="s">
        <v>175</v>
      </c>
      <c r="X1787" s="14"/>
      <c r="Y1787" s="14"/>
      <c r="Z1787" s="14"/>
      <c r="AA1787" s="14"/>
      <c r="AB1787" s="14"/>
      <c r="AC1787" s="15">
        <v>43.2</v>
      </c>
      <c r="AD1787" s="15">
        <f>AC1787*AG1787</f>
        <v>129.60000000000002</v>
      </c>
      <c r="AE1787" s="15">
        <v>95</v>
      </c>
      <c r="AF1787" s="15">
        <f>AE1787*AG1787</f>
        <v>285</v>
      </c>
      <c r="AG1787" s="16">
        <v>3</v>
      </c>
    </row>
    <row r="1788" spans="1:33" ht="15" customHeight="1" x14ac:dyDescent="0.2">
      <c r="A1788" s="11" t="str">
        <f t="shared" ref="A1788:A1789" si="750">HYPERLINK("https://assets.vans.eu/images/VN000R8XBLK-HERO/1","VN000R8XBLK1")</f>
        <v>VN000R8XBLK1</v>
      </c>
      <c r="B1788" s="12" t="s">
        <v>6874</v>
      </c>
      <c r="C1788" s="12" t="s">
        <v>3491</v>
      </c>
      <c r="D1788" s="12" t="s">
        <v>76</v>
      </c>
      <c r="E1788" s="12" t="s">
        <v>6875</v>
      </c>
      <c r="F1788" s="12" t="s">
        <v>403</v>
      </c>
      <c r="G1788" s="14"/>
      <c r="H1788" s="12" t="s">
        <v>61</v>
      </c>
      <c r="I1788" s="12" t="s">
        <v>230</v>
      </c>
      <c r="J1788" s="12" t="s">
        <v>762</v>
      </c>
      <c r="K1788" s="12" t="s">
        <v>199</v>
      </c>
      <c r="L1788" s="12" t="s">
        <v>83</v>
      </c>
      <c r="M1788" s="12" t="s">
        <v>43</v>
      </c>
      <c r="N1788" s="12" t="s">
        <v>84</v>
      </c>
      <c r="O1788" s="12" t="s">
        <v>6876</v>
      </c>
      <c r="P1788" s="12" t="s">
        <v>66</v>
      </c>
      <c r="Q1788" s="12" t="s">
        <v>764</v>
      </c>
      <c r="R1788" s="12" t="s">
        <v>765</v>
      </c>
      <c r="S1788" s="13">
        <v>197804296934</v>
      </c>
      <c r="T1788" s="12" t="s">
        <v>235</v>
      </c>
      <c r="U1788" s="12" t="s">
        <v>403</v>
      </c>
      <c r="V1788" s="12" t="s">
        <v>3494</v>
      </c>
      <c r="W1788" s="12" t="s">
        <v>51</v>
      </c>
      <c r="X1788" s="14"/>
      <c r="Y1788" s="14"/>
      <c r="Z1788" s="14"/>
      <c r="AA1788" s="14"/>
      <c r="AB1788" s="14"/>
      <c r="AC1788" s="15">
        <v>90.95</v>
      </c>
      <c r="AD1788" s="15">
        <f>AC1788*AG1788</f>
        <v>272.85000000000002</v>
      </c>
      <c r="AE1788" s="15">
        <v>200</v>
      </c>
      <c r="AF1788" s="15">
        <f>AE1788*AG1788</f>
        <v>600</v>
      </c>
      <c r="AG1788" s="16">
        <v>3</v>
      </c>
    </row>
    <row r="1789" spans="1:33" ht="15" customHeight="1" x14ac:dyDescent="0.2">
      <c r="A1789" s="11" t="str">
        <f t="shared" si="750"/>
        <v>VN000R8XBLK1</v>
      </c>
      <c r="B1789" s="12" t="s">
        <v>6877</v>
      </c>
      <c r="C1789" s="12" t="s">
        <v>3491</v>
      </c>
      <c r="D1789" s="12" t="s">
        <v>76</v>
      </c>
      <c r="E1789" s="12" t="s">
        <v>6878</v>
      </c>
      <c r="F1789" s="12" t="s">
        <v>153</v>
      </c>
      <c r="G1789" s="14"/>
      <c r="H1789" s="12" t="s">
        <v>61</v>
      </c>
      <c r="I1789" s="12" t="s">
        <v>230</v>
      </c>
      <c r="J1789" s="12" t="s">
        <v>762</v>
      </c>
      <c r="K1789" s="12" t="s">
        <v>199</v>
      </c>
      <c r="L1789" s="12" t="s">
        <v>83</v>
      </c>
      <c r="M1789" s="12" t="s">
        <v>43</v>
      </c>
      <c r="N1789" s="12" t="s">
        <v>84</v>
      </c>
      <c r="O1789" s="12" t="s">
        <v>6879</v>
      </c>
      <c r="P1789" s="12" t="s">
        <v>66</v>
      </c>
      <c r="Q1789" s="12" t="s">
        <v>764</v>
      </c>
      <c r="R1789" s="12" t="s">
        <v>765</v>
      </c>
      <c r="S1789" s="13">
        <v>197804297283</v>
      </c>
      <c r="T1789" s="12" t="s">
        <v>235</v>
      </c>
      <c r="U1789" s="12" t="s">
        <v>153</v>
      </c>
      <c r="V1789" s="12" t="s">
        <v>3494</v>
      </c>
      <c r="W1789" s="12" t="s">
        <v>51</v>
      </c>
      <c r="X1789" s="14"/>
      <c r="Y1789" s="14"/>
      <c r="Z1789" s="14"/>
      <c r="AA1789" s="14"/>
      <c r="AB1789" s="14"/>
      <c r="AC1789" s="15">
        <v>90.95</v>
      </c>
      <c r="AD1789" s="15">
        <f>AC1789*AG1789</f>
        <v>272.85000000000002</v>
      </c>
      <c r="AE1789" s="15">
        <v>200</v>
      </c>
      <c r="AF1789" s="15">
        <f>AE1789*AG1789</f>
        <v>600</v>
      </c>
      <c r="AG1789" s="16">
        <v>3</v>
      </c>
    </row>
    <row r="1790" spans="1:33" ht="15" customHeight="1" x14ac:dyDescent="0.2">
      <c r="A1790" s="11" t="str">
        <f>HYPERLINK("https://assets.vans.eu/images/VN000R90EMV-HERO/1","VN000R90EMV1")</f>
        <v>VN000R90EMV1</v>
      </c>
      <c r="B1790" s="12" t="s">
        <v>6880</v>
      </c>
      <c r="C1790" s="12" t="s">
        <v>6881</v>
      </c>
      <c r="D1790" s="12" t="s">
        <v>1908</v>
      </c>
      <c r="E1790" s="12" t="s">
        <v>6882</v>
      </c>
      <c r="F1790" s="12" t="s">
        <v>179</v>
      </c>
      <c r="G1790" s="14"/>
      <c r="H1790" s="12" t="s">
        <v>61</v>
      </c>
      <c r="I1790" s="12" t="s">
        <v>230</v>
      </c>
      <c r="J1790" s="12" t="s">
        <v>419</v>
      </c>
      <c r="K1790" s="12" t="s">
        <v>199</v>
      </c>
      <c r="L1790" s="12" t="s">
        <v>83</v>
      </c>
      <c r="M1790" s="12" t="s">
        <v>43</v>
      </c>
      <c r="N1790" s="12" t="s">
        <v>84</v>
      </c>
      <c r="O1790" s="12" t="s">
        <v>6883</v>
      </c>
      <c r="P1790" s="12" t="s">
        <v>66</v>
      </c>
      <c r="Q1790" s="12" t="s">
        <v>67</v>
      </c>
      <c r="R1790" s="12" t="s">
        <v>623</v>
      </c>
      <c r="S1790" s="13">
        <v>197804296668</v>
      </c>
      <c r="T1790" s="12" t="s">
        <v>69</v>
      </c>
      <c r="U1790" s="12" t="s">
        <v>179</v>
      </c>
      <c r="V1790" s="12" t="s">
        <v>665</v>
      </c>
      <c r="W1790" s="12" t="s">
        <v>51</v>
      </c>
      <c r="X1790" s="14"/>
      <c r="Y1790" s="14"/>
      <c r="Z1790" s="14"/>
      <c r="AA1790" s="14"/>
      <c r="AB1790" s="14"/>
      <c r="AC1790" s="15">
        <v>68.2</v>
      </c>
      <c r="AD1790" s="15">
        <f>AC1790*AG1790</f>
        <v>204.60000000000002</v>
      </c>
      <c r="AE1790" s="15">
        <v>150</v>
      </c>
      <c r="AF1790" s="15">
        <f>AE1790*AG1790</f>
        <v>450</v>
      </c>
      <c r="AG1790" s="16">
        <v>3</v>
      </c>
    </row>
    <row r="1791" spans="1:33" ht="15" customHeight="1" x14ac:dyDescent="0.2">
      <c r="A1791" s="11" t="str">
        <f t="shared" si="205"/>
        <v>VN000R92EMF1</v>
      </c>
      <c r="B1791" s="12" t="s">
        <v>6884</v>
      </c>
      <c r="C1791" s="12" t="s">
        <v>2250</v>
      </c>
      <c r="D1791" s="12" t="s">
        <v>1282</v>
      </c>
      <c r="E1791" s="12" t="s">
        <v>6885</v>
      </c>
      <c r="F1791" s="12" t="s">
        <v>179</v>
      </c>
      <c r="G1791" s="14"/>
      <c r="H1791" s="12" t="s">
        <v>61</v>
      </c>
      <c r="I1791" s="12" t="s">
        <v>230</v>
      </c>
      <c r="J1791" s="12" t="s">
        <v>419</v>
      </c>
      <c r="K1791" s="12" t="s">
        <v>199</v>
      </c>
      <c r="L1791" s="12" t="s">
        <v>83</v>
      </c>
      <c r="M1791" s="12" t="s">
        <v>43</v>
      </c>
      <c r="N1791" s="12" t="s">
        <v>84</v>
      </c>
      <c r="O1791" s="12" t="s">
        <v>6886</v>
      </c>
      <c r="P1791" s="12" t="s">
        <v>66</v>
      </c>
      <c r="Q1791" s="12" t="s">
        <v>67</v>
      </c>
      <c r="R1791" s="12" t="s">
        <v>1490</v>
      </c>
      <c r="S1791" s="13">
        <v>197804664375</v>
      </c>
      <c r="T1791" s="12" t="s">
        <v>2253</v>
      </c>
      <c r="U1791" s="12" t="s">
        <v>179</v>
      </c>
      <c r="V1791" s="12" t="s">
        <v>2254</v>
      </c>
      <c r="W1791" s="12" t="s">
        <v>118</v>
      </c>
      <c r="X1791" s="14"/>
      <c r="Y1791" s="14"/>
      <c r="Z1791" s="14"/>
      <c r="AA1791" s="14"/>
      <c r="AB1791" s="14"/>
      <c r="AC1791" s="15">
        <v>63.65</v>
      </c>
      <c r="AD1791" s="15">
        <f>AC1791*AG1791</f>
        <v>190.95</v>
      </c>
      <c r="AE1791" s="15">
        <v>140</v>
      </c>
      <c r="AF1791" s="15">
        <f>AE1791*AG1791</f>
        <v>420</v>
      </c>
      <c r="AG1791" s="16">
        <v>3</v>
      </c>
    </row>
    <row r="1792" spans="1:33" ht="15" customHeight="1" x14ac:dyDescent="0.2">
      <c r="A1792" s="11" t="str">
        <f t="shared" ref="A1792:A1793" si="751">HYPERLINK("https://assets.vans.eu/images/VN000R92EMF-HERO/1","VN000R92EMF1")</f>
        <v>VN000R92EMF1</v>
      </c>
      <c r="B1792" s="12" t="s">
        <v>6887</v>
      </c>
      <c r="C1792" s="12" t="s">
        <v>2250</v>
      </c>
      <c r="D1792" s="12" t="s">
        <v>1282</v>
      </c>
      <c r="E1792" s="12" t="s">
        <v>6888</v>
      </c>
      <c r="F1792" s="12" t="s">
        <v>170</v>
      </c>
      <c r="G1792" s="14"/>
      <c r="H1792" s="12" t="s">
        <v>61</v>
      </c>
      <c r="I1792" s="12" t="s">
        <v>230</v>
      </c>
      <c r="J1792" s="12" t="s">
        <v>419</v>
      </c>
      <c r="K1792" s="12" t="s">
        <v>199</v>
      </c>
      <c r="L1792" s="12" t="s">
        <v>83</v>
      </c>
      <c r="M1792" s="12" t="s">
        <v>43</v>
      </c>
      <c r="N1792" s="12" t="s">
        <v>84</v>
      </c>
      <c r="O1792" s="12" t="s">
        <v>6889</v>
      </c>
      <c r="P1792" s="12" t="s">
        <v>66</v>
      </c>
      <c r="Q1792" s="12" t="s">
        <v>67</v>
      </c>
      <c r="R1792" s="12" t="s">
        <v>1490</v>
      </c>
      <c r="S1792" s="13">
        <v>197804664504</v>
      </c>
      <c r="T1792" s="12" t="s">
        <v>2253</v>
      </c>
      <c r="U1792" s="12" t="s">
        <v>170</v>
      </c>
      <c r="V1792" s="12" t="s">
        <v>2254</v>
      </c>
      <c r="W1792" s="12" t="s">
        <v>118</v>
      </c>
      <c r="X1792" s="14"/>
      <c r="Y1792" s="14"/>
      <c r="Z1792" s="14"/>
      <c r="AA1792" s="14"/>
      <c r="AB1792" s="14"/>
      <c r="AC1792" s="15">
        <v>63.65</v>
      </c>
      <c r="AD1792" s="15">
        <f>AC1792*AG1792</f>
        <v>190.95</v>
      </c>
      <c r="AE1792" s="15">
        <v>140</v>
      </c>
      <c r="AF1792" s="15">
        <f>AE1792*AG1792</f>
        <v>420</v>
      </c>
      <c r="AG1792" s="16">
        <v>3</v>
      </c>
    </row>
    <row r="1793" spans="1:33" ht="15" customHeight="1" x14ac:dyDescent="0.2">
      <c r="A1793" s="11" t="str">
        <f t="shared" si="751"/>
        <v>VN000R92EMF1</v>
      </c>
      <c r="B1793" s="12" t="s">
        <v>6890</v>
      </c>
      <c r="C1793" s="12" t="s">
        <v>2250</v>
      </c>
      <c r="D1793" s="12" t="s">
        <v>1282</v>
      </c>
      <c r="E1793" s="12" t="s">
        <v>6891</v>
      </c>
      <c r="F1793" s="12" t="s">
        <v>153</v>
      </c>
      <c r="G1793" s="14"/>
      <c r="H1793" s="12" t="s">
        <v>61</v>
      </c>
      <c r="I1793" s="12" t="s">
        <v>230</v>
      </c>
      <c r="J1793" s="12" t="s">
        <v>419</v>
      </c>
      <c r="K1793" s="12" t="s">
        <v>199</v>
      </c>
      <c r="L1793" s="12" t="s">
        <v>83</v>
      </c>
      <c r="M1793" s="12" t="s">
        <v>43</v>
      </c>
      <c r="N1793" s="12" t="s">
        <v>84</v>
      </c>
      <c r="O1793" s="12" t="s">
        <v>6892</v>
      </c>
      <c r="P1793" s="12" t="s">
        <v>66</v>
      </c>
      <c r="Q1793" s="12" t="s">
        <v>67</v>
      </c>
      <c r="R1793" s="12" t="s">
        <v>1490</v>
      </c>
      <c r="S1793" s="13">
        <v>197804664610</v>
      </c>
      <c r="T1793" s="12" t="s">
        <v>2253</v>
      </c>
      <c r="U1793" s="12" t="s">
        <v>153</v>
      </c>
      <c r="V1793" s="12" t="s">
        <v>2254</v>
      </c>
      <c r="W1793" s="12" t="s">
        <v>118</v>
      </c>
      <c r="X1793" s="14"/>
      <c r="Y1793" s="14"/>
      <c r="Z1793" s="14"/>
      <c r="AA1793" s="14"/>
      <c r="AB1793" s="14"/>
      <c r="AC1793" s="15">
        <v>63.65</v>
      </c>
      <c r="AD1793" s="15">
        <f>AC1793*AG1793</f>
        <v>190.95</v>
      </c>
      <c r="AE1793" s="15">
        <v>140</v>
      </c>
      <c r="AF1793" s="15">
        <f>AE1793*AG1793</f>
        <v>420</v>
      </c>
      <c r="AG1793" s="16">
        <v>3</v>
      </c>
    </row>
    <row r="1794" spans="1:33" ht="15" customHeight="1" x14ac:dyDescent="0.2">
      <c r="A1794" s="11" t="str">
        <f t="shared" ref="A1794:A1795" si="752">HYPERLINK("https://assets.vans.eu/images/VN000R92FBG-HERO/1","VN000R92FBG1")</f>
        <v>VN000R92FBG1</v>
      </c>
      <c r="B1794" s="12" t="s">
        <v>6893</v>
      </c>
      <c r="C1794" s="12" t="s">
        <v>2250</v>
      </c>
      <c r="D1794" s="12" t="s">
        <v>3496</v>
      </c>
      <c r="E1794" s="12" t="s">
        <v>6894</v>
      </c>
      <c r="F1794" s="12" t="s">
        <v>60</v>
      </c>
      <c r="G1794" s="14"/>
      <c r="H1794" s="12" t="s">
        <v>61</v>
      </c>
      <c r="I1794" s="12" t="s">
        <v>230</v>
      </c>
      <c r="J1794" s="12" t="s">
        <v>419</v>
      </c>
      <c r="K1794" s="12" t="s">
        <v>199</v>
      </c>
      <c r="L1794" s="12" t="s">
        <v>83</v>
      </c>
      <c r="M1794" s="12" t="s">
        <v>43</v>
      </c>
      <c r="N1794" s="12" t="s">
        <v>84</v>
      </c>
      <c r="O1794" s="12" t="s">
        <v>6895</v>
      </c>
      <c r="P1794" s="12" t="s">
        <v>66</v>
      </c>
      <c r="Q1794" s="12" t="s">
        <v>67</v>
      </c>
      <c r="R1794" s="12" t="s">
        <v>1490</v>
      </c>
      <c r="S1794" s="13">
        <v>197804664665</v>
      </c>
      <c r="T1794" s="12" t="s">
        <v>2253</v>
      </c>
      <c r="U1794" s="12" t="s">
        <v>60</v>
      </c>
      <c r="V1794" s="12" t="s">
        <v>2254</v>
      </c>
      <c r="W1794" s="12" t="s">
        <v>284</v>
      </c>
      <c r="X1794" s="14"/>
      <c r="Y1794" s="14"/>
      <c r="Z1794" s="14"/>
      <c r="AA1794" s="14"/>
      <c r="AB1794" s="14"/>
      <c r="AC1794" s="15">
        <v>63.65</v>
      </c>
      <c r="AD1794" s="15">
        <f>AC1794*AG1794</f>
        <v>190.95</v>
      </c>
      <c r="AE1794" s="15">
        <v>140</v>
      </c>
      <c r="AF1794" s="15">
        <f>AE1794*AG1794</f>
        <v>420</v>
      </c>
      <c r="AG1794" s="16">
        <v>3</v>
      </c>
    </row>
    <row r="1795" spans="1:33" ht="15" customHeight="1" x14ac:dyDescent="0.2">
      <c r="A1795" s="11" t="str">
        <f t="shared" si="752"/>
        <v>VN000R92FBG1</v>
      </c>
      <c r="B1795" s="12" t="s">
        <v>6896</v>
      </c>
      <c r="C1795" s="12" t="s">
        <v>2250</v>
      </c>
      <c r="D1795" s="12" t="s">
        <v>3496</v>
      </c>
      <c r="E1795" s="12" t="s">
        <v>6897</v>
      </c>
      <c r="F1795" s="12" t="s">
        <v>153</v>
      </c>
      <c r="G1795" s="14"/>
      <c r="H1795" s="12" t="s">
        <v>61</v>
      </c>
      <c r="I1795" s="12" t="s">
        <v>230</v>
      </c>
      <c r="J1795" s="12" t="s">
        <v>419</v>
      </c>
      <c r="K1795" s="12" t="s">
        <v>199</v>
      </c>
      <c r="L1795" s="12" t="s">
        <v>83</v>
      </c>
      <c r="M1795" s="12" t="s">
        <v>43</v>
      </c>
      <c r="N1795" s="12" t="s">
        <v>84</v>
      </c>
      <c r="O1795" s="12" t="s">
        <v>6898</v>
      </c>
      <c r="P1795" s="12" t="s">
        <v>66</v>
      </c>
      <c r="Q1795" s="12" t="s">
        <v>67</v>
      </c>
      <c r="R1795" s="12" t="s">
        <v>1490</v>
      </c>
      <c r="S1795" s="13">
        <v>197804664696</v>
      </c>
      <c r="T1795" s="12" t="s">
        <v>2253</v>
      </c>
      <c r="U1795" s="12" t="s">
        <v>153</v>
      </c>
      <c r="V1795" s="12" t="s">
        <v>2254</v>
      </c>
      <c r="W1795" s="12" t="s">
        <v>284</v>
      </c>
      <c r="X1795" s="14"/>
      <c r="Y1795" s="14"/>
      <c r="Z1795" s="14"/>
      <c r="AA1795" s="14"/>
      <c r="AB1795" s="14"/>
      <c r="AC1795" s="15">
        <v>63.65</v>
      </c>
      <c r="AD1795" s="15">
        <f>AC1795*AG1795</f>
        <v>190.95</v>
      </c>
      <c r="AE1795" s="15">
        <v>140</v>
      </c>
      <c r="AF1795" s="15">
        <f>AE1795*AG1795</f>
        <v>420</v>
      </c>
      <c r="AG1795" s="16">
        <v>3</v>
      </c>
    </row>
    <row r="1796" spans="1:33" ht="15" customHeight="1" x14ac:dyDescent="0.2">
      <c r="A1796" s="11" t="str">
        <f t="shared" ref="A1796:A1797" si="753">HYPERLINK("https://assets.vans.eu/images/VN000R95EMV-HERO/1","VN000R95EMV1")</f>
        <v>VN000R95EMV1</v>
      </c>
      <c r="B1796" s="12" t="s">
        <v>6899</v>
      </c>
      <c r="C1796" s="12" t="s">
        <v>6900</v>
      </c>
      <c r="D1796" s="12" t="s">
        <v>1908</v>
      </c>
      <c r="E1796" s="12" t="s">
        <v>6901</v>
      </c>
      <c r="F1796" s="12" t="s">
        <v>60</v>
      </c>
      <c r="G1796" s="14"/>
      <c r="H1796" s="12" t="s">
        <v>61</v>
      </c>
      <c r="I1796" s="12" t="s">
        <v>230</v>
      </c>
      <c r="J1796" s="12" t="s">
        <v>419</v>
      </c>
      <c r="K1796" s="12" t="s">
        <v>199</v>
      </c>
      <c r="L1796" s="12" t="s">
        <v>83</v>
      </c>
      <c r="M1796" s="12" t="s">
        <v>43</v>
      </c>
      <c r="N1796" s="12" t="s">
        <v>84</v>
      </c>
      <c r="O1796" s="12" t="s">
        <v>6902</v>
      </c>
      <c r="P1796" s="12" t="s">
        <v>66</v>
      </c>
      <c r="Q1796" s="12" t="s">
        <v>67</v>
      </c>
      <c r="R1796" s="12" t="s">
        <v>421</v>
      </c>
      <c r="S1796" s="13">
        <v>197804297306</v>
      </c>
      <c r="T1796" s="12" t="s">
        <v>69</v>
      </c>
      <c r="U1796" s="12" t="s">
        <v>60</v>
      </c>
      <c r="V1796" s="12" t="s">
        <v>665</v>
      </c>
      <c r="W1796" s="12" t="s">
        <v>51</v>
      </c>
      <c r="X1796" s="14"/>
      <c r="Y1796" s="14"/>
      <c r="Z1796" s="14"/>
      <c r="AA1796" s="14"/>
      <c r="AB1796" s="14"/>
      <c r="AC1796" s="15">
        <v>22.75</v>
      </c>
      <c r="AD1796" s="15">
        <f>AC1796*AG1796</f>
        <v>68.25</v>
      </c>
      <c r="AE1796" s="15">
        <v>50</v>
      </c>
      <c r="AF1796" s="15">
        <f>AE1796*AG1796</f>
        <v>150</v>
      </c>
      <c r="AG1796" s="16">
        <v>3</v>
      </c>
    </row>
    <row r="1797" spans="1:33" ht="15" customHeight="1" x14ac:dyDescent="0.2">
      <c r="A1797" s="11" t="str">
        <f t="shared" si="753"/>
        <v>VN000R95EMV1</v>
      </c>
      <c r="B1797" s="12" t="s">
        <v>6903</v>
      </c>
      <c r="C1797" s="12" t="s">
        <v>6900</v>
      </c>
      <c r="D1797" s="12" t="s">
        <v>1908</v>
      </c>
      <c r="E1797" s="12" t="s">
        <v>6904</v>
      </c>
      <c r="F1797" s="12" t="s">
        <v>153</v>
      </c>
      <c r="G1797" s="14"/>
      <c r="H1797" s="12" t="s">
        <v>61</v>
      </c>
      <c r="I1797" s="12" t="s">
        <v>230</v>
      </c>
      <c r="J1797" s="12" t="s">
        <v>419</v>
      </c>
      <c r="K1797" s="12" t="s">
        <v>199</v>
      </c>
      <c r="L1797" s="12" t="s">
        <v>83</v>
      </c>
      <c r="M1797" s="12" t="s">
        <v>43</v>
      </c>
      <c r="N1797" s="12" t="s">
        <v>84</v>
      </c>
      <c r="O1797" s="12" t="s">
        <v>6905</v>
      </c>
      <c r="P1797" s="12" t="s">
        <v>66</v>
      </c>
      <c r="Q1797" s="12" t="s">
        <v>67</v>
      </c>
      <c r="R1797" s="12" t="s">
        <v>421</v>
      </c>
      <c r="S1797" s="13">
        <v>197804297399</v>
      </c>
      <c r="T1797" s="12" t="s">
        <v>69</v>
      </c>
      <c r="U1797" s="12" t="s">
        <v>153</v>
      </c>
      <c r="V1797" s="12" t="s">
        <v>665</v>
      </c>
      <c r="W1797" s="12" t="s">
        <v>51</v>
      </c>
      <c r="X1797" s="14"/>
      <c r="Y1797" s="14"/>
      <c r="Z1797" s="14"/>
      <c r="AA1797" s="14"/>
      <c r="AB1797" s="14"/>
      <c r="AC1797" s="15">
        <v>22.75</v>
      </c>
      <c r="AD1797" s="15">
        <f>AC1797*AG1797</f>
        <v>68.25</v>
      </c>
      <c r="AE1797" s="15">
        <v>50</v>
      </c>
      <c r="AF1797" s="15">
        <f>AE1797*AG1797</f>
        <v>150</v>
      </c>
      <c r="AG1797" s="16">
        <v>3</v>
      </c>
    </row>
    <row r="1798" spans="1:33" ht="15" customHeight="1" x14ac:dyDescent="0.2">
      <c r="A1798" s="11" t="str">
        <f t="shared" si="593"/>
        <v>VN000RAPFS81</v>
      </c>
      <c r="B1798" s="12" t="s">
        <v>6906</v>
      </c>
      <c r="C1798" s="12" t="s">
        <v>4806</v>
      </c>
      <c r="D1798" s="12" t="s">
        <v>239</v>
      </c>
      <c r="E1798" s="12" t="s">
        <v>6907</v>
      </c>
      <c r="F1798" s="12" t="s">
        <v>621</v>
      </c>
      <c r="G1798" s="14"/>
      <c r="H1798" s="12" t="s">
        <v>61</v>
      </c>
      <c r="I1798" s="12" t="s">
        <v>230</v>
      </c>
      <c r="J1798" s="12" t="s">
        <v>419</v>
      </c>
      <c r="K1798" s="12" t="s">
        <v>199</v>
      </c>
      <c r="L1798" s="12" t="s">
        <v>83</v>
      </c>
      <c r="M1798" s="12" t="s">
        <v>43</v>
      </c>
      <c r="N1798" s="12" t="s">
        <v>84</v>
      </c>
      <c r="O1798" s="12" t="s">
        <v>6908</v>
      </c>
      <c r="P1798" s="12" t="s">
        <v>66</v>
      </c>
      <c r="Q1798" s="12" t="s">
        <v>67</v>
      </c>
      <c r="R1798" s="12" t="s">
        <v>421</v>
      </c>
      <c r="S1798" s="13">
        <v>197804325894</v>
      </c>
      <c r="T1798" s="12" t="s">
        <v>422</v>
      </c>
      <c r="U1798" s="12" t="s">
        <v>621</v>
      </c>
      <c r="V1798" s="12" t="s">
        <v>423</v>
      </c>
      <c r="W1798" s="12" t="s">
        <v>175</v>
      </c>
      <c r="X1798" s="13">
        <v>0</v>
      </c>
      <c r="Y1798" s="12" t="s">
        <v>91</v>
      </c>
      <c r="Z1798" s="12" t="s">
        <v>92</v>
      </c>
      <c r="AA1798" s="12" t="s">
        <v>626</v>
      </c>
      <c r="AB1798" s="12" t="s">
        <v>94</v>
      </c>
      <c r="AC1798" s="15">
        <v>15.95</v>
      </c>
      <c r="AD1798" s="15">
        <f>AC1798*AG1798</f>
        <v>47.849999999999994</v>
      </c>
      <c r="AE1798" s="15">
        <v>35</v>
      </c>
      <c r="AF1798" s="15">
        <f>AE1798*AG1798</f>
        <v>105</v>
      </c>
      <c r="AG1798" s="16">
        <v>3</v>
      </c>
    </row>
    <row r="1799" spans="1:33" ht="15" customHeight="1" x14ac:dyDescent="0.2">
      <c r="A1799" s="11" t="str">
        <f>HYPERLINK("https://assets.vans.eu/images/VN000RC0Y7U-HERO/1","VN000RC0Y7U1")</f>
        <v>VN000RC0Y7U1</v>
      </c>
      <c r="B1799" s="12" t="s">
        <v>6909</v>
      </c>
      <c r="C1799" s="12" t="s">
        <v>6910</v>
      </c>
      <c r="D1799" s="12" t="s">
        <v>740</v>
      </c>
      <c r="E1799" s="12" t="s">
        <v>6911</v>
      </c>
      <c r="F1799" s="13">
        <v>29</v>
      </c>
      <c r="G1799" s="14"/>
      <c r="H1799" s="12" t="s">
        <v>61</v>
      </c>
      <c r="I1799" s="12" t="s">
        <v>289</v>
      </c>
      <c r="J1799" s="12" t="s">
        <v>290</v>
      </c>
      <c r="K1799" s="12" t="s">
        <v>100</v>
      </c>
      <c r="L1799" s="14"/>
      <c r="M1799" s="12" t="s">
        <v>43</v>
      </c>
      <c r="N1799" s="12" t="s">
        <v>84</v>
      </c>
      <c r="O1799" s="12" t="s">
        <v>6912</v>
      </c>
      <c r="P1799" s="12" t="s">
        <v>66</v>
      </c>
      <c r="Q1799" s="12" t="s">
        <v>233</v>
      </c>
      <c r="R1799" s="12" t="s">
        <v>664</v>
      </c>
      <c r="S1799" s="13">
        <v>197804655960</v>
      </c>
      <c r="T1799" s="12" t="s">
        <v>235</v>
      </c>
      <c r="U1799" s="13">
        <v>29</v>
      </c>
      <c r="V1799" s="12" t="s">
        <v>665</v>
      </c>
      <c r="W1799" s="12" t="s">
        <v>455</v>
      </c>
      <c r="X1799" s="14"/>
      <c r="Y1799" s="14"/>
      <c r="Z1799" s="14"/>
      <c r="AA1799" s="14"/>
      <c r="AB1799" s="14"/>
      <c r="AC1799" s="15">
        <v>36.4</v>
      </c>
      <c r="AD1799" s="15">
        <f>AC1799*AG1799</f>
        <v>109.19999999999999</v>
      </c>
      <c r="AE1799" s="15">
        <v>80</v>
      </c>
      <c r="AF1799" s="15">
        <f>AE1799*AG1799</f>
        <v>240</v>
      </c>
      <c r="AG1799" s="16">
        <v>3</v>
      </c>
    </row>
    <row r="1800" spans="1:33" ht="15" customHeight="1" x14ac:dyDescent="0.2">
      <c r="A1800" s="11" t="str">
        <f t="shared" si="507"/>
        <v>VN000RFR1QI1</v>
      </c>
      <c r="B1800" s="12" t="s">
        <v>6913</v>
      </c>
      <c r="C1800" s="12" t="s">
        <v>4825</v>
      </c>
      <c r="D1800" s="12" t="s">
        <v>1592</v>
      </c>
      <c r="E1800" s="12" t="s">
        <v>6914</v>
      </c>
      <c r="F1800" s="12" t="s">
        <v>153</v>
      </c>
      <c r="G1800" s="14"/>
      <c r="H1800" s="12" t="s">
        <v>61</v>
      </c>
      <c r="I1800" s="12" t="s">
        <v>230</v>
      </c>
      <c r="J1800" s="12" t="s">
        <v>419</v>
      </c>
      <c r="K1800" s="12" t="s">
        <v>199</v>
      </c>
      <c r="L1800" s="12" t="s">
        <v>83</v>
      </c>
      <c r="M1800" s="12" t="s">
        <v>43</v>
      </c>
      <c r="N1800" s="12" t="s">
        <v>84</v>
      </c>
      <c r="O1800" s="12" t="s">
        <v>6915</v>
      </c>
      <c r="P1800" s="12" t="s">
        <v>66</v>
      </c>
      <c r="Q1800" s="12" t="s">
        <v>67</v>
      </c>
      <c r="R1800" s="12" t="s">
        <v>623</v>
      </c>
      <c r="S1800" s="13">
        <v>197804327980</v>
      </c>
      <c r="T1800" s="12" t="s">
        <v>69</v>
      </c>
      <c r="U1800" s="12" t="s">
        <v>153</v>
      </c>
      <c r="V1800" s="12" t="s">
        <v>1386</v>
      </c>
      <c r="W1800" s="12" t="s">
        <v>455</v>
      </c>
      <c r="X1800" s="14"/>
      <c r="Y1800" s="14"/>
      <c r="Z1800" s="14"/>
      <c r="AA1800" s="14"/>
      <c r="AB1800" s="14"/>
      <c r="AC1800" s="15">
        <v>50</v>
      </c>
      <c r="AD1800" s="15">
        <f>AC1800*AG1800</f>
        <v>150</v>
      </c>
      <c r="AE1800" s="15">
        <v>110</v>
      </c>
      <c r="AF1800" s="15">
        <f>AE1800*AG1800</f>
        <v>330</v>
      </c>
      <c r="AG1800" s="16">
        <v>3</v>
      </c>
    </row>
    <row r="1801" spans="1:33" ht="15" customHeight="1" x14ac:dyDescent="0.2">
      <c r="A1801" s="11" t="str">
        <f t="shared" si="597"/>
        <v>VN000RG0EML1</v>
      </c>
      <c r="B1801" s="12" t="s">
        <v>6916</v>
      </c>
      <c r="C1801" s="12" t="s">
        <v>2953</v>
      </c>
      <c r="D1801" s="12" t="s">
        <v>3126</v>
      </c>
      <c r="E1801" s="12" t="s">
        <v>6917</v>
      </c>
      <c r="F1801" s="12" t="s">
        <v>621</v>
      </c>
      <c r="G1801" s="14"/>
      <c r="H1801" s="12" t="s">
        <v>61</v>
      </c>
      <c r="I1801" s="12" t="s">
        <v>230</v>
      </c>
      <c r="J1801" s="12" t="s">
        <v>419</v>
      </c>
      <c r="K1801" s="12" t="s">
        <v>199</v>
      </c>
      <c r="L1801" s="12" t="s">
        <v>83</v>
      </c>
      <c r="M1801" s="12" t="s">
        <v>43</v>
      </c>
      <c r="N1801" s="12" t="s">
        <v>84</v>
      </c>
      <c r="O1801" s="12" t="s">
        <v>6918</v>
      </c>
      <c r="P1801" s="12" t="s">
        <v>66</v>
      </c>
      <c r="Q1801" s="12" t="s">
        <v>67</v>
      </c>
      <c r="R1801" s="12" t="s">
        <v>623</v>
      </c>
      <c r="S1801" s="13">
        <v>197804328307</v>
      </c>
      <c r="T1801" s="12" t="s">
        <v>69</v>
      </c>
      <c r="U1801" s="12" t="s">
        <v>621</v>
      </c>
      <c r="V1801" s="12" t="s">
        <v>70</v>
      </c>
      <c r="W1801" s="12" t="s">
        <v>284</v>
      </c>
      <c r="X1801" s="14"/>
      <c r="Y1801" s="14"/>
      <c r="Z1801" s="14"/>
      <c r="AA1801" s="14"/>
      <c r="AB1801" s="14"/>
      <c r="AC1801" s="15">
        <v>45.5</v>
      </c>
      <c r="AD1801" s="15">
        <f>AC1801*AG1801</f>
        <v>136.5</v>
      </c>
      <c r="AE1801" s="15">
        <v>100</v>
      </c>
      <c r="AF1801" s="15">
        <f>AE1801*AG1801</f>
        <v>300</v>
      </c>
      <c r="AG1801" s="16">
        <v>3</v>
      </c>
    </row>
    <row r="1802" spans="1:33" ht="15" customHeight="1" x14ac:dyDescent="0.2">
      <c r="A1802" s="11" t="str">
        <f t="shared" si="598"/>
        <v>VN000RG0EMS1</v>
      </c>
      <c r="B1802" s="12" t="s">
        <v>6919</v>
      </c>
      <c r="C1802" s="12" t="s">
        <v>2953</v>
      </c>
      <c r="D1802" s="12" t="s">
        <v>863</v>
      </c>
      <c r="E1802" s="12" t="s">
        <v>6920</v>
      </c>
      <c r="F1802" s="12" t="s">
        <v>153</v>
      </c>
      <c r="G1802" s="14"/>
      <c r="H1802" s="12" t="s">
        <v>61</v>
      </c>
      <c r="I1802" s="12" t="s">
        <v>230</v>
      </c>
      <c r="J1802" s="12" t="s">
        <v>419</v>
      </c>
      <c r="K1802" s="12" t="s">
        <v>199</v>
      </c>
      <c r="L1802" s="12" t="s">
        <v>83</v>
      </c>
      <c r="M1802" s="12" t="s">
        <v>43</v>
      </c>
      <c r="N1802" s="12" t="s">
        <v>84</v>
      </c>
      <c r="O1802" s="12" t="s">
        <v>6921</v>
      </c>
      <c r="P1802" s="12" t="s">
        <v>66</v>
      </c>
      <c r="Q1802" s="12" t="s">
        <v>67</v>
      </c>
      <c r="R1802" s="12" t="s">
        <v>623</v>
      </c>
      <c r="S1802" s="13">
        <v>197804328161</v>
      </c>
      <c r="T1802" s="12" t="s">
        <v>69</v>
      </c>
      <c r="U1802" s="12" t="s">
        <v>153</v>
      </c>
      <c r="V1802" s="12" t="s">
        <v>70</v>
      </c>
      <c r="W1802" s="12" t="s">
        <v>107</v>
      </c>
      <c r="X1802" s="14"/>
      <c r="Y1802" s="14"/>
      <c r="Z1802" s="14"/>
      <c r="AA1802" s="14"/>
      <c r="AB1802" s="14"/>
      <c r="AC1802" s="15">
        <v>45.5</v>
      </c>
      <c r="AD1802" s="15">
        <f>AC1802*AG1802</f>
        <v>136.5</v>
      </c>
      <c r="AE1802" s="15">
        <v>100</v>
      </c>
      <c r="AF1802" s="15">
        <f>AE1802*AG1802</f>
        <v>300</v>
      </c>
      <c r="AG1802" s="16">
        <v>3</v>
      </c>
    </row>
    <row r="1803" spans="1:33" ht="15" customHeight="1" x14ac:dyDescent="0.2">
      <c r="A1803" s="11" t="str">
        <f t="shared" ref="A1803:A2365" si="754">HYPERLINK("https://assets.vans.eu/images/VN000XBZIZQ-HERO/1","VN000XBZIZQ1")</f>
        <v>VN000XBZIZQ1</v>
      </c>
      <c r="B1803" s="12" t="s">
        <v>6922</v>
      </c>
      <c r="C1803" s="12" t="s">
        <v>4289</v>
      </c>
      <c r="D1803" s="12" t="s">
        <v>4290</v>
      </c>
      <c r="E1803" s="12" t="s">
        <v>6923</v>
      </c>
      <c r="F1803" s="12" t="s">
        <v>153</v>
      </c>
      <c r="G1803" s="14"/>
      <c r="H1803" s="12" t="s">
        <v>61</v>
      </c>
      <c r="I1803" s="12" t="s">
        <v>289</v>
      </c>
      <c r="J1803" s="12" t="s">
        <v>706</v>
      </c>
      <c r="K1803" s="12" t="s">
        <v>100</v>
      </c>
      <c r="L1803" s="12" t="s">
        <v>115</v>
      </c>
      <c r="M1803" s="12" t="s">
        <v>43</v>
      </c>
      <c r="N1803" s="12" t="s">
        <v>84</v>
      </c>
      <c r="O1803" s="12" t="s">
        <v>6924</v>
      </c>
      <c r="P1803" s="12" t="s">
        <v>66</v>
      </c>
      <c r="Q1803" s="12" t="s">
        <v>67</v>
      </c>
      <c r="R1803" s="12" t="s">
        <v>1146</v>
      </c>
      <c r="S1803" s="13">
        <v>198268198185</v>
      </c>
      <c r="T1803" s="12" t="s">
        <v>422</v>
      </c>
      <c r="U1803" s="12" t="s">
        <v>153</v>
      </c>
      <c r="V1803" s="12" t="s">
        <v>70</v>
      </c>
      <c r="W1803" s="12" t="s">
        <v>262</v>
      </c>
      <c r="X1803" s="14"/>
      <c r="Y1803" s="14"/>
      <c r="Z1803" s="14"/>
      <c r="AA1803" s="14"/>
      <c r="AB1803" s="14"/>
      <c r="AC1803" s="15">
        <v>15.95</v>
      </c>
      <c r="AD1803" s="15">
        <f>AC1803*AG1803</f>
        <v>47.849999999999994</v>
      </c>
      <c r="AE1803" s="15">
        <v>35</v>
      </c>
      <c r="AF1803" s="15">
        <f>AE1803*AG1803</f>
        <v>105</v>
      </c>
      <c r="AG1803" s="16">
        <v>3</v>
      </c>
    </row>
    <row r="1804" spans="1:33" ht="15" customHeight="1" x14ac:dyDescent="0.2">
      <c r="A1804" s="11" t="str">
        <f t="shared" ref="A1804:A2370" si="755">HYPERLINK("https://assets.vans.eu/images/VN000Y8VY28-HERO/1","VN000Y8VY281")</f>
        <v>VN000Y8VY281</v>
      </c>
      <c r="B1804" s="12" t="s">
        <v>6925</v>
      </c>
      <c r="C1804" s="12" t="s">
        <v>6926</v>
      </c>
      <c r="D1804" s="12" t="s">
        <v>58</v>
      </c>
      <c r="E1804" s="12" t="s">
        <v>6927</v>
      </c>
      <c r="F1804" s="12" t="s">
        <v>170</v>
      </c>
      <c r="G1804" s="14"/>
      <c r="H1804" s="12" t="s">
        <v>61</v>
      </c>
      <c r="I1804" s="12" t="s">
        <v>230</v>
      </c>
      <c r="J1804" s="12" t="s">
        <v>419</v>
      </c>
      <c r="K1804" s="12" t="s">
        <v>199</v>
      </c>
      <c r="L1804" s="14"/>
      <c r="M1804" s="12" t="s">
        <v>43</v>
      </c>
      <c r="N1804" s="12" t="s">
        <v>84</v>
      </c>
      <c r="O1804" s="12" t="s">
        <v>6928</v>
      </c>
      <c r="P1804" s="12" t="s">
        <v>66</v>
      </c>
      <c r="Q1804" s="12" t="s">
        <v>67</v>
      </c>
      <c r="R1804" s="12" t="s">
        <v>421</v>
      </c>
      <c r="S1804" s="13">
        <v>888366682524</v>
      </c>
      <c r="T1804" s="12" t="s">
        <v>69</v>
      </c>
      <c r="U1804" s="12" t="s">
        <v>170</v>
      </c>
      <c r="V1804" s="12" t="s">
        <v>70</v>
      </c>
      <c r="W1804" s="12" t="s">
        <v>51</v>
      </c>
      <c r="X1804" s="13">
        <v>0</v>
      </c>
      <c r="Y1804" s="12" t="s">
        <v>91</v>
      </c>
      <c r="Z1804" s="12" t="s">
        <v>108</v>
      </c>
      <c r="AA1804" s="13">
        <v>0</v>
      </c>
      <c r="AB1804" s="13">
        <v>0</v>
      </c>
      <c r="AC1804" s="15">
        <v>13.65</v>
      </c>
      <c r="AD1804" s="15">
        <f>AC1804*AG1804</f>
        <v>40.950000000000003</v>
      </c>
      <c r="AE1804" s="15">
        <v>30</v>
      </c>
      <c r="AF1804" s="15">
        <f>AE1804*AG1804</f>
        <v>90</v>
      </c>
      <c r="AG1804" s="16">
        <v>3</v>
      </c>
    </row>
    <row r="1805" spans="1:33" ht="15" customHeight="1" x14ac:dyDescent="0.2">
      <c r="A1805" s="11" t="str">
        <f t="shared" si="54"/>
        <v>VN00104UEMS1</v>
      </c>
      <c r="B1805" s="12" t="s">
        <v>6929</v>
      </c>
      <c r="C1805" s="12" t="s">
        <v>862</v>
      </c>
      <c r="D1805" s="12" t="s">
        <v>863</v>
      </c>
      <c r="E1805" s="12" t="s">
        <v>6930</v>
      </c>
      <c r="F1805" s="12" t="s">
        <v>60</v>
      </c>
      <c r="G1805" s="14"/>
      <c r="H1805" s="12" t="s">
        <v>61</v>
      </c>
      <c r="I1805" s="12" t="s">
        <v>230</v>
      </c>
      <c r="J1805" s="12" t="s">
        <v>419</v>
      </c>
      <c r="K1805" s="12" t="s">
        <v>199</v>
      </c>
      <c r="L1805" s="12" t="s">
        <v>115</v>
      </c>
      <c r="M1805" s="12" t="s">
        <v>43</v>
      </c>
      <c r="N1805" s="12" t="s">
        <v>84</v>
      </c>
      <c r="O1805" s="12" t="s">
        <v>6931</v>
      </c>
      <c r="P1805" s="12" t="s">
        <v>66</v>
      </c>
      <c r="Q1805" s="12" t="s">
        <v>67</v>
      </c>
      <c r="R1805" s="12" t="s">
        <v>421</v>
      </c>
      <c r="S1805" s="13">
        <v>198268437635</v>
      </c>
      <c r="T1805" s="12" t="s">
        <v>69</v>
      </c>
      <c r="U1805" s="12" t="s">
        <v>60</v>
      </c>
      <c r="V1805" s="12" t="s">
        <v>70</v>
      </c>
      <c r="W1805" s="12" t="s">
        <v>107</v>
      </c>
      <c r="X1805" s="14"/>
      <c r="Y1805" s="14"/>
      <c r="Z1805" s="14"/>
      <c r="AA1805" s="14"/>
      <c r="AB1805" s="14"/>
      <c r="AC1805" s="15">
        <v>18.2</v>
      </c>
      <c r="AD1805" s="15">
        <f>AC1805*AG1805</f>
        <v>54.599999999999994</v>
      </c>
      <c r="AE1805" s="15">
        <v>40</v>
      </c>
      <c r="AF1805" s="15">
        <f>AE1805*AG1805</f>
        <v>120</v>
      </c>
      <c r="AG1805" s="16">
        <v>3</v>
      </c>
    </row>
    <row r="1806" spans="1:33" ht="15" customHeight="1" x14ac:dyDescent="0.2">
      <c r="A1806" s="11" t="str">
        <f t="shared" ref="A1806:A3626" si="756">HYPERLINK("https://assets.vans.eu/images/VN0A3CZENAV-HERO/1","VN0A3CZENAV1")</f>
        <v>VN0A3CZENAV1</v>
      </c>
      <c r="B1806" s="12" t="s">
        <v>6932</v>
      </c>
      <c r="C1806" s="12" t="s">
        <v>3849</v>
      </c>
      <c r="D1806" s="12" t="s">
        <v>1573</v>
      </c>
      <c r="E1806" s="12" t="s">
        <v>6933</v>
      </c>
      <c r="F1806" s="12" t="s">
        <v>153</v>
      </c>
      <c r="G1806" s="14"/>
      <c r="H1806" s="12" t="s">
        <v>61</v>
      </c>
      <c r="I1806" s="12" t="s">
        <v>230</v>
      </c>
      <c r="J1806" s="12" t="s">
        <v>419</v>
      </c>
      <c r="K1806" s="12" t="s">
        <v>199</v>
      </c>
      <c r="L1806" s="14"/>
      <c r="M1806" s="12" t="s">
        <v>43</v>
      </c>
      <c r="N1806" s="12" t="s">
        <v>44</v>
      </c>
      <c r="O1806" s="12" t="s">
        <v>6934</v>
      </c>
      <c r="P1806" s="12" t="s">
        <v>66</v>
      </c>
      <c r="Q1806" s="12" t="s">
        <v>67</v>
      </c>
      <c r="R1806" s="12" t="s">
        <v>421</v>
      </c>
      <c r="S1806" s="13">
        <v>192825010385</v>
      </c>
      <c r="T1806" s="12" t="s">
        <v>422</v>
      </c>
      <c r="U1806" s="12" t="s">
        <v>153</v>
      </c>
      <c r="V1806" s="12" t="s">
        <v>70</v>
      </c>
      <c r="W1806" s="12" t="s">
        <v>284</v>
      </c>
      <c r="X1806" s="13">
        <v>0</v>
      </c>
      <c r="Y1806" s="12" t="s">
        <v>91</v>
      </c>
      <c r="Z1806" s="12" t="s">
        <v>108</v>
      </c>
      <c r="AA1806" s="13">
        <v>0</v>
      </c>
      <c r="AB1806" s="12" t="s">
        <v>616</v>
      </c>
      <c r="AC1806" s="15">
        <v>10.95</v>
      </c>
      <c r="AD1806" s="15">
        <f>AC1806*AG1806</f>
        <v>32.849999999999994</v>
      </c>
      <c r="AE1806" s="15">
        <v>24</v>
      </c>
      <c r="AF1806" s="15">
        <f>AE1806*AG1806</f>
        <v>72</v>
      </c>
      <c r="AG1806" s="16">
        <v>3</v>
      </c>
    </row>
    <row r="1807" spans="1:33" ht="15" customHeight="1" x14ac:dyDescent="0.2">
      <c r="A1807" s="11" t="str">
        <f t="shared" ref="A1807:A3629" si="757">HYPERLINK("https://assets.vans.eu/images/VN0A3CZEYB2-HERO/1","VN0A3CZEYB21")</f>
        <v>VN0A3CZEYB21</v>
      </c>
      <c r="B1807" s="12" t="s">
        <v>6935</v>
      </c>
      <c r="C1807" s="12" t="s">
        <v>3849</v>
      </c>
      <c r="D1807" s="12" t="s">
        <v>1138</v>
      </c>
      <c r="E1807" s="12" t="s">
        <v>6936</v>
      </c>
      <c r="F1807" s="12" t="s">
        <v>153</v>
      </c>
      <c r="G1807" s="14"/>
      <c r="H1807" s="12" t="s">
        <v>61</v>
      </c>
      <c r="I1807" s="12" t="s">
        <v>230</v>
      </c>
      <c r="J1807" s="12" t="s">
        <v>419</v>
      </c>
      <c r="K1807" s="12" t="s">
        <v>199</v>
      </c>
      <c r="L1807" s="14"/>
      <c r="M1807" s="12" t="s">
        <v>43</v>
      </c>
      <c r="N1807" s="12" t="s">
        <v>44</v>
      </c>
      <c r="O1807" s="12" t="s">
        <v>6937</v>
      </c>
      <c r="P1807" s="12" t="s">
        <v>66</v>
      </c>
      <c r="Q1807" s="12" t="s">
        <v>67</v>
      </c>
      <c r="R1807" s="12" t="s">
        <v>421</v>
      </c>
      <c r="S1807" s="13">
        <v>192825011054</v>
      </c>
      <c r="T1807" s="12" t="s">
        <v>422</v>
      </c>
      <c r="U1807" s="12" t="s">
        <v>153</v>
      </c>
      <c r="V1807" s="12" t="s">
        <v>70</v>
      </c>
      <c r="W1807" s="12" t="s">
        <v>175</v>
      </c>
      <c r="X1807" s="13">
        <v>0</v>
      </c>
      <c r="Y1807" s="12" t="s">
        <v>91</v>
      </c>
      <c r="Z1807" s="12" t="s">
        <v>108</v>
      </c>
      <c r="AA1807" s="13">
        <v>0</v>
      </c>
      <c r="AB1807" s="13">
        <v>0</v>
      </c>
      <c r="AC1807" s="15">
        <v>10.95</v>
      </c>
      <c r="AD1807" s="15">
        <f>AC1807*AG1807</f>
        <v>32.849999999999994</v>
      </c>
      <c r="AE1807" s="15">
        <v>24</v>
      </c>
      <c r="AF1807" s="15">
        <f>AE1807*AG1807</f>
        <v>72</v>
      </c>
      <c r="AG1807" s="16">
        <v>3</v>
      </c>
    </row>
    <row r="1808" spans="1:33" ht="15" customHeight="1" x14ac:dyDescent="0.2">
      <c r="A1808" s="11" t="str">
        <f>HYPERLINK("https://assets.vans.eu/images/VN0A3HWCBLK-HERO/1","VN0A3HWCBLK1")</f>
        <v>VN0A3HWCBLK1</v>
      </c>
      <c r="B1808" s="12" t="s">
        <v>6938</v>
      </c>
      <c r="C1808" s="12" t="s">
        <v>6939</v>
      </c>
      <c r="D1808" s="12" t="s">
        <v>76</v>
      </c>
      <c r="E1808" s="12" t="s">
        <v>6940</v>
      </c>
      <c r="F1808" s="12" t="s">
        <v>403</v>
      </c>
      <c r="G1808" s="14"/>
      <c r="H1808" s="12" t="s">
        <v>61</v>
      </c>
      <c r="I1808" s="12" t="s">
        <v>62</v>
      </c>
      <c r="J1808" s="12" t="s">
        <v>63</v>
      </c>
      <c r="K1808" s="12" t="s">
        <v>64</v>
      </c>
      <c r="L1808" s="14"/>
      <c r="M1808" s="12" t="s">
        <v>43</v>
      </c>
      <c r="N1808" s="12" t="s">
        <v>467</v>
      </c>
      <c r="O1808" s="12" t="s">
        <v>6941</v>
      </c>
      <c r="P1808" s="12" t="s">
        <v>66</v>
      </c>
      <c r="Q1808" s="12" t="s">
        <v>67</v>
      </c>
      <c r="R1808" s="12" t="s">
        <v>730</v>
      </c>
      <c r="S1808" s="13">
        <v>192824775094</v>
      </c>
      <c r="T1808" s="12" t="s">
        <v>69</v>
      </c>
      <c r="U1808" s="12" t="s">
        <v>403</v>
      </c>
      <c r="V1808" s="12" t="s">
        <v>70</v>
      </c>
      <c r="W1808" s="12" t="s">
        <v>51</v>
      </c>
      <c r="X1808" s="13">
        <v>0</v>
      </c>
      <c r="Y1808" s="12" t="s">
        <v>91</v>
      </c>
      <c r="Z1808" s="12" t="s">
        <v>108</v>
      </c>
      <c r="AA1808" s="13">
        <v>0</v>
      </c>
      <c r="AB1808" s="13">
        <v>0</v>
      </c>
      <c r="AC1808" s="15">
        <v>25</v>
      </c>
      <c r="AD1808" s="15">
        <f>AC1808*AG1808</f>
        <v>75</v>
      </c>
      <c r="AE1808" s="15">
        <v>55</v>
      </c>
      <c r="AF1808" s="15">
        <f>AE1808*AG1808</f>
        <v>165</v>
      </c>
      <c r="AG1808" s="16">
        <v>3</v>
      </c>
    </row>
    <row r="1809" spans="1:33" ht="15" customHeight="1" x14ac:dyDescent="0.2">
      <c r="A1809" s="11" t="str">
        <f t="shared" si="599"/>
        <v>VN0A5FJJ1RE1</v>
      </c>
      <c r="B1809" s="12" t="s">
        <v>6942</v>
      </c>
      <c r="C1809" s="12" t="s">
        <v>2960</v>
      </c>
      <c r="D1809" s="12" t="s">
        <v>4051</v>
      </c>
      <c r="E1809" s="12" t="s">
        <v>6943</v>
      </c>
      <c r="F1809" s="12" t="s">
        <v>403</v>
      </c>
      <c r="G1809" s="14"/>
      <c r="H1809" s="12" t="s">
        <v>61</v>
      </c>
      <c r="I1809" s="12" t="s">
        <v>230</v>
      </c>
      <c r="J1809" s="12" t="s">
        <v>231</v>
      </c>
      <c r="K1809" s="12" t="s">
        <v>199</v>
      </c>
      <c r="L1809" s="14"/>
      <c r="M1809" s="12" t="s">
        <v>43</v>
      </c>
      <c r="N1809" s="12" t="s">
        <v>44</v>
      </c>
      <c r="O1809" s="12" t="s">
        <v>6944</v>
      </c>
      <c r="P1809" s="12" t="s">
        <v>66</v>
      </c>
      <c r="Q1809" s="12" t="s">
        <v>233</v>
      </c>
      <c r="R1809" s="12" t="s">
        <v>361</v>
      </c>
      <c r="S1809" s="13">
        <v>197643462576</v>
      </c>
      <c r="T1809" s="12" t="s">
        <v>235</v>
      </c>
      <c r="U1809" s="12" t="s">
        <v>403</v>
      </c>
      <c r="V1809" s="12" t="s">
        <v>5273</v>
      </c>
      <c r="W1809" s="12" t="s">
        <v>118</v>
      </c>
      <c r="X1809" s="13">
        <v>0</v>
      </c>
      <c r="Y1809" s="12" t="s">
        <v>91</v>
      </c>
      <c r="Z1809" s="12" t="s">
        <v>108</v>
      </c>
      <c r="AA1809" s="13">
        <v>0</v>
      </c>
      <c r="AB1809" s="13">
        <v>0</v>
      </c>
      <c r="AC1809" s="15">
        <v>31.85</v>
      </c>
      <c r="AD1809" s="15">
        <f>AC1809*AG1809</f>
        <v>95.550000000000011</v>
      </c>
      <c r="AE1809" s="15">
        <v>70</v>
      </c>
      <c r="AF1809" s="15">
        <f>AE1809*AG1809</f>
        <v>210</v>
      </c>
      <c r="AG1809" s="16">
        <v>3</v>
      </c>
    </row>
    <row r="1810" spans="1:33" ht="15" customHeight="1" x14ac:dyDescent="0.2">
      <c r="A1810" s="11" t="str">
        <f>HYPERLINK("https://assets.vans.eu/images/VN000H4ZZX7-HERO/1","VN000H4ZZX71")</f>
        <v>VN000H4ZZX71</v>
      </c>
      <c r="B1810" s="12" t="s">
        <v>6945</v>
      </c>
      <c r="C1810" s="12" t="s">
        <v>2567</v>
      </c>
      <c r="D1810" s="12" t="s">
        <v>3458</v>
      </c>
      <c r="E1810" s="12" t="s">
        <v>6946</v>
      </c>
      <c r="F1810" s="12" t="s">
        <v>78</v>
      </c>
      <c r="G1810" s="14"/>
      <c r="H1810" s="12" t="s">
        <v>441</v>
      </c>
      <c r="I1810" s="12" t="s">
        <v>442</v>
      </c>
      <c r="J1810" s="12" t="s">
        <v>443</v>
      </c>
      <c r="K1810" s="12" t="s">
        <v>82</v>
      </c>
      <c r="L1810" s="14"/>
      <c r="M1810" s="12" t="s">
        <v>43</v>
      </c>
      <c r="N1810" s="12" t="s">
        <v>44</v>
      </c>
      <c r="O1810" s="12" t="s">
        <v>6947</v>
      </c>
      <c r="P1810" s="12" t="s">
        <v>445</v>
      </c>
      <c r="Q1810" s="12" t="s">
        <v>446</v>
      </c>
      <c r="R1810" s="12" t="s">
        <v>447</v>
      </c>
      <c r="S1810" s="13">
        <v>197643554646</v>
      </c>
      <c r="T1810" s="12" t="s">
        <v>130</v>
      </c>
      <c r="U1810" s="12" t="s">
        <v>78</v>
      </c>
      <c r="V1810" s="12" t="s">
        <v>2570</v>
      </c>
      <c r="W1810" s="12" t="s">
        <v>625</v>
      </c>
      <c r="X1810" s="12" t="s">
        <v>500</v>
      </c>
      <c r="Y1810" s="12" t="s">
        <v>91</v>
      </c>
      <c r="Z1810" s="12" t="s">
        <v>108</v>
      </c>
      <c r="AA1810" s="13">
        <v>0</v>
      </c>
      <c r="AB1810" s="13">
        <v>0</v>
      </c>
      <c r="AC1810" s="15">
        <v>20.5</v>
      </c>
      <c r="AD1810" s="15">
        <f>AC1810*AG1810</f>
        <v>61.5</v>
      </c>
      <c r="AE1810" s="15">
        <v>45</v>
      </c>
      <c r="AF1810" s="15">
        <f>AE1810*AG1810</f>
        <v>135</v>
      </c>
      <c r="AG1810" s="16">
        <v>3</v>
      </c>
    </row>
    <row r="1811" spans="1:33" ht="15" customHeight="1" x14ac:dyDescent="0.2">
      <c r="A1811" s="11" t="str">
        <f>HYPERLINK("https://assets.vans.eu/images/VN000Q9F29B-HERO/1","VN000Q9F29B1")</f>
        <v>VN000Q9F29B1</v>
      </c>
      <c r="B1811" s="12" t="s">
        <v>6948</v>
      </c>
      <c r="C1811" s="12" t="s">
        <v>6949</v>
      </c>
      <c r="D1811" s="12" t="s">
        <v>5629</v>
      </c>
      <c r="E1811" s="12" t="s">
        <v>6950</v>
      </c>
      <c r="F1811" s="12" t="s">
        <v>78</v>
      </c>
      <c r="G1811" s="14"/>
      <c r="H1811" s="12" t="s">
        <v>441</v>
      </c>
      <c r="I1811" s="12" t="s">
        <v>442</v>
      </c>
      <c r="J1811" s="12" t="s">
        <v>1291</v>
      </c>
      <c r="K1811" s="12" t="s">
        <v>82</v>
      </c>
      <c r="L1811" s="14"/>
      <c r="M1811" s="12" t="s">
        <v>43</v>
      </c>
      <c r="N1811" s="12" t="s">
        <v>84</v>
      </c>
      <c r="O1811" s="12" t="s">
        <v>6951</v>
      </c>
      <c r="P1811" s="12" t="s">
        <v>445</v>
      </c>
      <c r="Q1811" s="12" t="s">
        <v>446</v>
      </c>
      <c r="R1811" s="12" t="s">
        <v>1293</v>
      </c>
      <c r="S1811" s="13">
        <v>197804374311</v>
      </c>
      <c r="T1811" s="12" t="s">
        <v>130</v>
      </c>
      <c r="U1811" s="12" t="s">
        <v>78</v>
      </c>
      <c r="V1811" s="12" t="s">
        <v>3874</v>
      </c>
      <c r="W1811" s="12" t="s">
        <v>51</v>
      </c>
      <c r="X1811" s="14"/>
      <c r="Y1811" s="14"/>
      <c r="Z1811" s="14"/>
      <c r="AA1811" s="14"/>
      <c r="AB1811" s="14"/>
      <c r="AC1811" s="15">
        <v>25</v>
      </c>
      <c r="AD1811" s="15">
        <f>AC1811*AG1811</f>
        <v>75</v>
      </c>
      <c r="AE1811" s="15">
        <v>55</v>
      </c>
      <c r="AF1811" s="15">
        <f>AE1811*AG1811</f>
        <v>165</v>
      </c>
      <c r="AG1811" s="16">
        <v>3</v>
      </c>
    </row>
    <row r="1812" spans="1:33" ht="15" customHeight="1" x14ac:dyDescent="0.2">
      <c r="A1812" s="11" t="str">
        <f>HYPERLINK("https://assets.vans.eu/images/VN0005UF6QU-HERO/1","VN0005UF6QU1")</f>
        <v>VN0005UF6QU1</v>
      </c>
      <c r="B1812" s="12" t="s">
        <v>6952</v>
      </c>
      <c r="C1812" s="12" t="s">
        <v>34</v>
      </c>
      <c r="D1812" s="12" t="s">
        <v>6953</v>
      </c>
      <c r="E1812" s="12" t="s">
        <v>6954</v>
      </c>
      <c r="F1812" s="13">
        <v>85</v>
      </c>
      <c r="G1812" s="14"/>
      <c r="H1812" s="12" t="s">
        <v>38</v>
      </c>
      <c r="I1812" s="12" t="s">
        <v>159</v>
      </c>
      <c r="J1812" s="12" t="s">
        <v>160</v>
      </c>
      <c r="K1812" s="12" t="s">
        <v>82</v>
      </c>
      <c r="L1812" s="14"/>
      <c r="M1812" s="12" t="s">
        <v>43</v>
      </c>
      <c r="N1812" s="12" t="s">
        <v>44</v>
      </c>
      <c r="O1812" s="12" t="s">
        <v>6955</v>
      </c>
      <c r="P1812" s="12" t="s">
        <v>46</v>
      </c>
      <c r="Q1812" s="12" t="s">
        <v>47</v>
      </c>
      <c r="R1812" s="12" t="s">
        <v>163</v>
      </c>
      <c r="S1812" s="13">
        <v>196571328503</v>
      </c>
      <c r="T1812" s="12" t="s">
        <v>105</v>
      </c>
      <c r="U1812" s="13">
        <v>41</v>
      </c>
      <c r="V1812" s="12" t="s">
        <v>50</v>
      </c>
      <c r="W1812" s="12" t="s">
        <v>118</v>
      </c>
      <c r="X1812" s="14"/>
      <c r="Y1812" s="12" t="s">
        <v>91</v>
      </c>
      <c r="Z1812" s="12" t="s">
        <v>2600</v>
      </c>
      <c r="AA1812" s="14"/>
      <c r="AB1812" s="14"/>
      <c r="AC1812" s="15">
        <v>36.4</v>
      </c>
      <c r="AD1812" s="15">
        <f>AC1812*AG1812</f>
        <v>109.19999999999999</v>
      </c>
      <c r="AE1812" s="15">
        <v>80</v>
      </c>
      <c r="AF1812" s="15">
        <f>AE1812*AG1812</f>
        <v>240</v>
      </c>
      <c r="AG1812" s="16">
        <v>3</v>
      </c>
    </row>
    <row r="1813" spans="1:33" ht="15" customHeight="1" x14ac:dyDescent="0.2">
      <c r="A1813" s="11" t="str">
        <f>HYPERLINK("https://assets.vans.eu/images/VN0007P9KAQ-HERO/1","VN0007P9KAQ1")</f>
        <v>VN0007P9KAQ1</v>
      </c>
      <c r="B1813" s="12" t="s">
        <v>6956</v>
      </c>
      <c r="C1813" s="12" t="s">
        <v>883</v>
      </c>
      <c r="D1813" s="12" t="s">
        <v>2408</v>
      </c>
      <c r="E1813" s="12" t="s">
        <v>6957</v>
      </c>
      <c r="F1813" s="13">
        <v>95</v>
      </c>
      <c r="G1813" s="12" t="s">
        <v>886</v>
      </c>
      <c r="H1813" s="12" t="s">
        <v>38</v>
      </c>
      <c r="I1813" s="12" t="s">
        <v>113</v>
      </c>
      <c r="J1813" s="12" t="s">
        <v>529</v>
      </c>
      <c r="K1813" s="12" t="s">
        <v>100</v>
      </c>
      <c r="L1813" s="12" t="s">
        <v>350</v>
      </c>
      <c r="M1813" s="12" t="s">
        <v>43</v>
      </c>
      <c r="N1813" s="12" t="s">
        <v>84</v>
      </c>
      <c r="O1813" s="12" t="s">
        <v>6958</v>
      </c>
      <c r="P1813" s="12" t="s">
        <v>46</v>
      </c>
      <c r="Q1813" s="12" t="s">
        <v>47</v>
      </c>
      <c r="R1813" s="12" t="s">
        <v>117</v>
      </c>
      <c r="S1813" s="13">
        <v>197063417613</v>
      </c>
      <c r="T1813" s="12" t="s">
        <v>49</v>
      </c>
      <c r="U1813" s="13">
        <v>40.5</v>
      </c>
      <c r="V1813" s="12" t="s">
        <v>50</v>
      </c>
      <c r="W1813" s="12" t="s">
        <v>455</v>
      </c>
      <c r="X1813" s="14"/>
      <c r="Y1813" s="12" t="s">
        <v>71</v>
      </c>
      <c r="Z1813" s="12" t="s">
        <v>376</v>
      </c>
      <c r="AA1813" s="14"/>
      <c r="AB1813" s="14"/>
      <c r="AC1813" s="15">
        <v>40.5</v>
      </c>
      <c r="AD1813" s="15">
        <f>AC1813*AG1813</f>
        <v>121.5</v>
      </c>
      <c r="AE1813" s="15">
        <v>85</v>
      </c>
      <c r="AF1813" s="15">
        <f>AE1813*AG1813</f>
        <v>255</v>
      </c>
      <c r="AG1813" s="16">
        <v>3</v>
      </c>
    </row>
    <row r="1814" spans="1:33" ht="15" customHeight="1" x14ac:dyDescent="0.2">
      <c r="A1814" s="11" t="str">
        <f t="shared" ref="A1814:A3713" si="758">HYPERLINK("https://assets.vans.eu/images/VN0009Q7YY6-HERO/1","VN0009Q7YY61")</f>
        <v>VN0009Q7YY61</v>
      </c>
      <c r="B1814" s="12" t="s">
        <v>6959</v>
      </c>
      <c r="C1814" s="12" t="s">
        <v>3586</v>
      </c>
      <c r="D1814" s="12" t="s">
        <v>1208</v>
      </c>
      <c r="E1814" s="12" t="s">
        <v>6960</v>
      </c>
      <c r="F1814" s="13">
        <v>60</v>
      </c>
      <c r="G1814" s="14"/>
      <c r="H1814" s="12" t="s">
        <v>38</v>
      </c>
      <c r="I1814" s="12" t="s">
        <v>113</v>
      </c>
      <c r="J1814" s="12" t="s">
        <v>114</v>
      </c>
      <c r="K1814" s="12" t="s">
        <v>82</v>
      </c>
      <c r="L1814" s="12" t="s">
        <v>260</v>
      </c>
      <c r="M1814" s="12" t="s">
        <v>43</v>
      </c>
      <c r="N1814" s="12" t="s">
        <v>84</v>
      </c>
      <c r="O1814" s="12" t="s">
        <v>6961</v>
      </c>
      <c r="P1814" s="12" t="s">
        <v>46</v>
      </c>
      <c r="Q1814" s="12" t="s">
        <v>47</v>
      </c>
      <c r="R1814" s="12" t="s">
        <v>117</v>
      </c>
      <c r="S1814" s="13">
        <v>197803961475</v>
      </c>
      <c r="T1814" s="12" t="s">
        <v>105</v>
      </c>
      <c r="U1814" s="13">
        <v>38</v>
      </c>
      <c r="V1814" s="12" t="s">
        <v>209</v>
      </c>
      <c r="W1814" s="12" t="s">
        <v>51</v>
      </c>
      <c r="X1814" s="14"/>
      <c r="Y1814" s="12" t="s">
        <v>53</v>
      </c>
      <c r="Z1814" s="12" t="s">
        <v>2600</v>
      </c>
      <c r="AA1814" s="14"/>
      <c r="AB1814" s="12" t="s">
        <v>264</v>
      </c>
      <c r="AC1814" s="15">
        <v>36.4</v>
      </c>
      <c r="AD1814" s="15">
        <f>AC1814*AG1814</f>
        <v>109.19999999999999</v>
      </c>
      <c r="AE1814" s="15">
        <v>80</v>
      </c>
      <c r="AF1814" s="15">
        <f>AE1814*AG1814</f>
        <v>240</v>
      </c>
      <c r="AG1814" s="16">
        <v>3</v>
      </c>
    </row>
    <row r="1815" spans="1:33" ht="15" customHeight="1" x14ac:dyDescent="0.2">
      <c r="A1815" s="11" t="str">
        <f>HYPERLINK("https://assets.vans.eu/images/VN000BCEBA2-HERO/1","VN000BCEBA21")</f>
        <v>VN000BCEBA21</v>
      </c>
      <c r="B1815" s="12" t="s">
        <v>6962</v>
      </c>
      <c r="C1815" s="12" t="s">
        <v>1103</v>
      </c>
      <c r="D1815" s="12" t="s">
        <v>1844</v>
      </c>
      <c r="E1815" s="12" t="s">
        <v>6963</v>
      </c>
      <c r="F1815" s="13">
        <v>65</v>
      </c>
      <c r="G1815" s="14"/>
      <c r="H1815" s="12" t="s">
        <v>38</v>
      </c>
      <c r="I1815" s="12" t="s">
        <v>159</v>
      </c>
      <c r="J1815" s="12" t="s">
        <v>255</v>
      </c>
      <c r="K1815" s="12" t="s">
        <v>82</v>
      </c>
      <c r="L1815" s="14"/>
      <c r="M1815" s="12" t="s">
        <v>43</v>
      </c>
      <c r="N1815" s="12" t="s">
        <v>84</v>
      </c>
      <c r="O1815" s="12" t="s">
        <v>6964</v>
      </c>
      <c r="P1815" s="12" t="s">
        <v>46</v>
      </c>
      <c r="Q1815" s="12" t="s">
        <v>47</v>
      </c>
      <c r="R1815" s="12" t="s">
        <v>163</v>
      </c>
      <c r="S1815" s="13">
        <v>196573432420</v>
      </c>
      <c r="T1815" s="12" t="s">
        <v>49</v>
      </c>
      <c r="U1815" s="13">
        <v>38.5</v>
      </c>
      <c r="V1815" s="12" t="s">
        <v>50</v>
      </c>
      <c r="W1815" s="12" t="s">
        <v>51</v>
      </c>
      <c r="X1815" s="14"/>
      <c r="Y1815" s="12" t="s">
        <v>91</v>
      </c>
      <c r="Z1815" s="12" t="s">
        <v>165</v>
      </c>
      <c r="AA1815" s="14"/>
      <c r="AB1815" s="14"/>
      <c r="AC1815" s="15">
        <v>59.1</v>
      </c>
      <c r="AD1815" s="15">
        <f>AC1815*AG1815</f>
        <v>177.3</v>
      </c>
      <c r="AE1815" s="15">
        <v>130</v>
      </c>
      <c r="AF1815" s="15">
        <f>AE1815*AG1815</f>
        <v>390</v>
      </c>
      <c r="AG1815" s="16">
        <v>3</v>
      </c>
    </row>
    <row r="1816" spans="1:33" ht="15" customHeight="1" x14ac:dyDescent="0.2">
      <c r="A1816" s="11" t="str">
        <f t="shared" si="510"/>
        <v>VN000BCELLC1</v>
      </c>
      <c r="B1816" s="12" t="s">
        <v>6965</v>
      </c>
      <c r="C1816" s="12" t="s">
        <v>1103</v>
      </c>
      <c r="D1816" s="12" t="s">
        <v>1671</v>
      </c>
      <c r="E1816" s="12" t="s">
        <v>6966</v>
      </c>
      <c r="F1816" s="13">
        <v>70</v>
      </c>
      <c r="G1816" s="14"/>
      <c r="H1816" s="12" t="s">
        <v>38</v>
      </c>
      <c r="I1816" s="12" t="s">
        <v>113</v>
      </c>
      <c r="J1816" s="12" t="s">
        <v>529</v>
      </c>
      <c r="K1816" s="12" t="s">
        <v>82</v>
      </c>
      <c r="L1816" s="14"/>
      <c r="M1816" s="12" t="s">
        <v>43</v>
      </c>
      <c r="N1816" s="12" t="s">
        <v>84</v>
      </c>
      <c r="O1816" s="12" t="s">
        <v>6967</v>
      </c>
      <c r="P1816" s="12" t="s">
        <v>46</v>
      </c>
      <c r="Q1816" s="12" t="s">
        <v>47</v>
      </c>
      <c r="R1816" s="12" t="s">
        <v>117</v>
      </c>
      <c r="S1816" s="13">
        <v>197804503681</v>
      </c>
      <c r="T1816" s="12" t="s">
        <v>49</v>
      </c>
      <c r="U1816" s="13">
        <v>39</v>
      </c>
      <c r="V1816" s="12" t="s">
        <v>50</v>
      </c>
      <c r="W1816" s="12" t="s">
        <v>107</v>
      </c>
      <c r="X1816" s="14"/>
      <c r="Y1816" s="14"/>
      <c r="Z1816" s="14"/>
      <c r="AA1816" s="14"/>
      <c r="AB1816" s="14"/>
      <c r="AC1816" s="15">
        <v>59.1</v>
      </c>
      <c r="AD1816" s="15">
        <f>AC1816*AG1816</f>
        <v>177.3</v>
      </c>
      <c r="AE1816" s="15">
        <v>130</v>
      </c>
      <c r="AF1816" s="15">
        <f>AE1816*AG1816</f>
        <v>390</v>
      </c>
      <c r="AG1816" s="16">
        <v>3</v>
      </c>
    </row>
    <row r="1817" spans="1:33" ht="15" customHeight="1" x14ac:dyDescent="0.2">
      <c r="A1817" s="11" t="str">
        <f t="shared" ref="A1817:A2422" si="759">HYPERLINK("https://assets.vans.eu/images/VN000BCELLC-HERO/1","VN000BCELLC1")</f>
        <v>VN000BCELLC1</v>
      </c>
      <c r="B1817" s="12" t="s">
        <v>6968</v>
      </c>
      <c r="C1817" s="12" t="s">
        <v>1103</v>
      </c>
      <c r="D1817" s="12" t="s">
        <v>1671</v>
      </c>
      <c r="E1817" s="12" t="s">
        <v>6969</v>
      </c>
      <c r="F1817" s="13">
        <v>85</v>
      </c>
      <c r="G1817" s="14"/>
      <c r="H1817" s="12" t="s">
        <v>38</v>
      </c>
      <c r="I1817" s="12" t="s">
        <v>113</v>
      </c>
      <c r="J1817" s="12" t="s">
        <v>529</v>
      </c>
      <c r="K1817" s="12" t="s">
        <v>82</v>
      </c>
      <c r="L1817" s="14"/>
      <c r="M1817" s="12" t="s">
        <v>43</v>
      </c>
      <c r="N1817" s="12" t="s">
        <v>84</v>
      </c>
      <c r="O1817" s="12" t="s">
        <v>6970</v>
      </c>
      <c r="P1817" s="12" t="s">
        <v>46</v>
      </c>
      <c r="Q1817" s="12" t="s">
        <v>47</v>
      </c>
      <c r="R1817" s="12" t="s">
        <v>117</v>
      </c>
      <c r="S1817" s="13">
        <v>197804504541</v>
      </c>
      <c r="T1817" s="12" t="s">
        <v>49</v>
      </c>
      <c r="U1817" s="13">
        <v>41</v>
      </c>
      <c r="V1817" s="12" t="s">
        <v>50</v>
      </c>
      <c r="W1817" s="12" t="s">
        <v>107</v>
      </c>
      <c r="X1817" s="14"/>
      <c r="Y1817" s="14"/>
      <c r="Z1817" s="14"/>
      <c r="AA1817" s="14"/>
      <c r="AB1817" s="14"/>
      <c r="AC1817" s="15">
        <v>59.1</v>
      </c>
      <c r="AD1817" s="15">
        <f>AC1817*AG1817</f>
        <v>177.3</v>
      </c>
      <c r="AE1817" s="15">
        <v>130</v>
      </c>
      <c r="AF1817" s="15">
        <f>AE1817*AG1817</f>
        <v>390</v>
      </c>
      <c r="AG1817" s="16">
        <v>3</v>
      </c>
    </row>
    <row r="1818" spans="1:33" ht="15" customHeight="1" x14ac:dyDescent="0.2">
      <c r="A1818" s="11" t="str">
        <f t="shared" ref="A1818:A3748" si="760">HYPERLINK("https://assets.vans.eu/images/VN000BVS1M7-HERO/1","VN000BVS1M71")</f>
        <v>VN000BVS1M71</v>
      </c>
      <c r="B1818" s="12" t="s">
        <v>6971</v>
      </c>
      <c r="C1818" s="12" t="s">
        <v>6972</v>
      </c>
      <c r="D1818" s="12" t="s">
        <v>5173</v>
      </c>
      <c r="E1818" s="12" t="s">
        <v>6973</v>
      </c>
      <c r="F1818" s="13">
        <v>50</v>
      </c>
      <c r="G1818" s="14"/>
      <c r="H1818" s="12" t="s">
        <v>38</v>
      </c>
      <c r="I1818" s="12" t="s">
        <v>113</v>
      </c>
      <c r="J1818" s="12" t="s">
        <v>529</v>
      </c>
      <c r="K1818" s="12" t="s">
        <v>82</v>
      </c>
      <c r="L1818" s="14"/>
      <c r="M1818" s="12" t="s">
        <v>43</v>
      </c>
      <c r="N1818" s="12" t="s">
        <v>2457</v>
      </c>
      <c r="O1818" s="12" t="s">
        <v>6974</v>
      </c>
      <c r="P1818" s="12" t="s">
        <v>46</v>
      </c>
      <c r="Q1818" s="12" t="s">
        <v>2432</v>
      </c>
      <c r="R1818" s="12" t="s">
        <v>6975</v>
      </c>
      <c r="S1818" s="13">
        <v>196573364271</v>
      </c>
      <c r="T1818" s="12" t="s">
        <v>143</v>
      </c>
      <c r="U1818" s="13">
        <v>36.5</v>
      </c>
      <c r="V1818" s="12" t="s">
        <v>50</v>
      </c>
      <c r="W1818" s="12" t="s">
        <v>186</v>
      </c>
      <c r="X1818" s="14"/>
      <c r="Y1818" s="12" t="s">
        <v>53</v>
      </c>
      <c r="Z1818" s="12" t="s">
        <v>165</v>
      </c>
      <c r="AA1818" s="14"/>
      <c r="AB1818" s="14"/>
      <c r="AC1818" s="15">
        <v>86.4</v>
      </c>
      <c r="AD1818" s="15">
        <f>AC1818*AG1818</f>
        <v>259.20000000000005</v>
      </c>
      <c r="AE1818" s="15">
        <v>190</v>
      </c>
      <c r="AF1818" s="15">
        <f>AE1818*AG1818</f>
        <v>570</v>
      </c>
      <c r="AG1818" s="16">
        <v>3</v>
      </c>
    </row>
    <row r="1819" spans="1:33" ht="15" customHeight="1" x14ac:dyDescent="0.2">
      <c r="A1819" s="11" t="str">
        <f>HYPERLINK("https://assets.vans.eu/images/VN000BVXKAQ-HERO/1","VN000BVXKAQ1")</f>
        <v>VN000BVXKAQ1</v>
      </c>
      <c r="B1819" s="12" t="s">
        <v>6976</v>
      </c>
      <c r="C1819" s="12" t="s">
        <v>3221</v>
      </c>
      <c r="D1819" s="12" t="s">
        <v>2408</v>
      </c>
      <c r="E1819" s="12" t="s">
        <v>6977</v>
      </c>
      <c r="F1819" s="13">
        <v>65</v>
      </c>
      <c r="G1819" s="12" t="s">
        <v>551</v>
      </c>
      <c r="H1819" s="12" t="s">
        <v>38</v>
      </c>
      <c r="I1819" s="12" t="s">
        <v>159</v>
      </c>
      <c r="J1819" s="12" t="s">
        <v>160</v>
      </c>
      <c r="K1819" s="12" t="s">
        <v>82</v>
      </c>
      <c r="L1819" s="12" t="s">
        <v>42</v>
      </c>
      <c r="M1819" s="12" t="s">
        <v>43</v>
      </c>
      <c r="N1819" s="12" t="s">
        <v>274</v>
      </c>
      <c r="O1819" s="12" t="s">
        <v>6978</v>
      </c>
      <c r="P1819" s="12" t="s">
        <v>46</v>
      </c>
      <c r="Q1819" s="12" t="s">
        <v>47</v>
      </c>
      <c r="R1819" s="12" t="s">
        <v>163</v>
      </c>
      <c r="S1819" s="13">
        <v>197063263753</v>
      </c>
      <c r="T1819" s="12" t="s">
        <v>49</v>
      </c>
      <c r="U1819" s="13">
        <v>38.5</v>
      </c>
      <c r="V1819" s="12" t="s">
        <v>50</v>
      </c>
      <c r="W1819" s="12" t="s">
        <v>455</v>
      </c>
      <c r="X1819" s="14"/>
      <c r="Y1819" s="12" t="s">
        <v>53</v>
      </c>
      <c r="Z1819" s="12" t="s">
        <v>92</v>
      </c>
      <c r="AA1819" s="12" t="s">
        <v>3224</v>
      </c>
      <c r="AB1819" s="12" t="s">
        <v>55</v>
      </c>
      <c r="AC1819" s="15">
        <v>38.65</v>
      </c>
      <c r="AD1819" s="15">
        <f>AC1819*AG1819</f>
        <v>115.94999999999999</v>
      </c>
      <c r="AE1819" s="15">
        <v>85</v>
      </c>
      <c r="AF1819" s="15">
        <f>AE1819*AG1819</f>
        <v>255</v>
      </c>
      <c r="AG1819" s="16">
        <v>3</v>
      </c>
    </row>
    <row r="1820" spans="1:33" ht="15" customHeight="1" x14ac:dyDescent="0.2">
      <c r="A1820" s="11" t="str">
        <f t="shared" si="601"/>
        <v>VN000BVZ2391</v>
      </c>
      <c r="B1820" s="12" t="s">
        <v>6979</v>
      </c>
      <c r="C1820" s="12" t="s">
        <v>3586</v>
      </c>
      <c r="D1820" s="12" t="s">
        <v>1609</v>
      </c>
      <c r="E1820" s="12" t="s">
        <v>6980</v>
      </c>
      <c r="F1820" s="13">
        <v>100</v>
      </c>
      <c r="G1820" s="12" t="s">
        <v>5647</v>
      </c>
      <c r="H1820" s="12" t="s">
        <v>38</v>
      </c>
      <c r="I1820" s="12" t="s">
        <v>159</v>
      </c>
      <c r="J1820" s="12" t="s">
        <v>160</v>
      </c>
      <c r="K1820" s="12" t="s">
        <v>82</v>
      </c>
      <c r="L1820" s="14"/>
      <c r="M1820" s="12" t="s">
        <v>43</v>
      </c>
      <c r="N1820" s="12" t="s">
        <v>84</v>
      </c>
      <c r="O1820" s="12" t="s">
        <v>6981</v>
      </c>
      <c r="P1820" s="12" t="s">
        <v>46</v>
      </c>
      <c r="Q1820" s="12" t="s">
        <v>47</v>
      </c>
      <c r="R1820" s="12" t="s">
        <v>163</v>
      </c>
      <c r="S1820" s="13">
        <v>197804425051</v>
      </c>
      <c r="T1820" s="12" t="s">
        <v>49</v>
      </c>
      <c r="U1820" s="13">
        <v>43</v>
      </c>
      <c r="V1820" s="12" t="s">
        <v>209</v>
      </c>
      <c r="W1820" s="12" t="s">
        <v>455</v>
      </c>
      <c r="X1820" s="14"/>
      <c r="Y1820" s="14"/>
      <c r="Z1820" s="14"/>
      <c r="AA1820" s="14"/>
      <c r="AB1820" s="14"/>
      <c r="AC1820" s="15">
        <v>36.4</v>
      </c>
      <c r="AD1820" s="15">
        <f>AC1820*AG1820</f>
        <v>109.19999999999999</v>
      </c>
      <c r="AE1820" s="15">
        <v>80</v>
      </c>
      <c r="AF1820" s="15">
        <f>AE1820*AG1820</f>
        <v>240</v>
      </c>
      <c r="AG1820" s="16">
        <v>3</v>
      </c>
    </row>
    <row r="1821" spans="1:33" ht="15" customHeight="1" x14ac:dyDescent="0.2">
      <c r="A1821" s="11" t="str">
        <f t="shared" ref="A1821:A3774" si="761">HYPERLINK("https://assets.vans.eu/images/VN000CP6BXC-HERO/1","VN000CP6BXC1")</f>
        <v>VN000CP6BXC1</v>
      </c>
      <c r="B1821" s="12" t="s">
        <v>6982</v>
      </c>
      <c r="C1821" s="12" t="s">
        <v>6983</v>
      </c>
      <c r="D1821" s="12" t="s">
        <v>4900</v>
      </c>
      <c r="E1821" s="12" t="s">
        <v>6984</v>
      </c>
      <c r="F1821" s="13">
        <v>120</v>
      </c>
      <c r="G1821" s="12" t="s">
        <v>6985</v>
      </c>
      <c r="H1821" s="12" t="s">
        <v>38</v>
      </c>
      <c r="I1821" s="12" t="s">
        <v>113</v>
      </c>
      <c r="J1821" s="12" t="s">
        <v>114</v>
      </c>
      <c r="K1821" s="12" t="s">
        <v>82</v>
      </c>
      <c r="L1821" s="14"/>
      <c r="M1821" s="12" t="s">
        <v>43</v>
      </c>
      <c r="N1821" s="12" t="s">
        <v>274</v>
      </c>
      <c r="O1821" s="12" t="s">
        <v>6986</v>
      </c>
      <c r="P1821" s="12" t="s">
        <v>46</v>
      </c>
      <c r="Q1821" s="12" t="s">
        <v>47</v>
      </c>
      <c r="R1821" s="12" t="s">
        <v>117</v>
      </c>
      <c r="S1821" s="13">
        <v>197063284932</v>
      </c>
      <c r="T1821" s="12" t="s">
        <v>49</v>
      </c>
      <c r="U1821" s="13">
        <v>46</v>
      </c>
      <c r="V1821" s="12" t="s">
        <v>50</v>
      </c>
      <c r="W1821" s="12" t="s">
        <v>455</v>
      </c>
      <c r="X1821" s="14"/>
      <c r="Y1821" s="12" t="s">
        <v>53</v>
      </c>
      <c r="Z1821" s="12" t="s">
        <v>263</v>
      </c>
      <c r="AA1821" s="14"/>
      <c r="AB1821" s="14"/>
      <c r="AC1821" s="15">
        <v>50</v>
      </c>
      <c r="AD1821" s="15">
        <f>AC1821*AG1821</f>
        <v>150</v>
      </c>
      <c r="AE1821" s="15">
        <v>110</v>
      </c>
      <c r="AF1821" s="15">
        <f>AE1821*AG1821</f>
        <v>330</v>
      </c>
      <c r="AG1821" s="16">
        <v>3</v>
      </c>
    </row>
    <row r="1822" spans="1:33" ht="15" customHeight="1" x14ac:dyDescent="0.2">
      <c r="A1822" s="11" t="str">
        <f>HYPERLINK("https://assets.vans.eu/images/VN000CQR5QJ-HERO/1","VN000CQR5QJ1")</f>
        <v>VN000CQR5QJ1</v>
      </c>
      <c r="B1822" s="12" t="s">
        <v>6987</v>
      </c>
      <c r="C1822" s="12" t="s">
        <v>1458</v>
      </c>
      <c r="D1822" s="12" t="s">
        <v>3330</v>
      </c>
      <c r="E1822" s="12" t="s">
        <v>6988</v>
      </c>
      <c r="F1822" s="13">
        <v>65</v>
      </c>
      <c r="G1822" s="12" t="s">
        <v>2814</v>
      </c>
      <c r="H1822" s="12" t="s">
        <v>38</v>
      </c>
      <c r="I1822" s="12" t="s">
        <v>159</v>
      </c>
      <c r="J1822" s="12" t="s">
        <v>255</v>
      </c>
      <c r="K1822" s="12" t="s">
        <v>82</v>
      </c>
      <c r="L1822" s="14"/>
      <c r="M1822" s="12" t="s">
        <v>43</v>
      </c>
      <c r="N1822" s="12" t="s">
        <v>274</v>
      </c>
      <c r="O1822" s="12" t="s">
        <v>6989</v>
      </c>
      <c r="P1822" s="12" t="s">
        <v>46</v>
      </c>
      <c r="Q1822" s="12" t="s">
        <v>47</v>
      </c>
      <c r="R1822" s="12" t="s">
        <v>163</v>
      </c>
      <c r="S1822" s="13">
        <v>197063336624</v>
      </c>
      <c r="T1822" s="12" t="s">
        <v>49</v>
      </c>
      <c r="U1822" s="13">
        <v>38.5</v>
      </c>
      <c r="V1822" s="12" t="s">
        <v>50</v>
      </c>
      <c r="W1822" s="12" t="s">
        <v>186</v>
      </c>
      <c r="X1822" s="14"/>
      <c r="Y1822" s="12" t="s">
        <v>53</v>
      </c>
      <c r="Z1822" s="12" t="s">
        <v>263</v>
      </c>
      <c r="AA1822" s="14"/>
      <c r="AB1822" s="14"/>
      <c r="AC1822" s="15">
        <v>40.950000000000003</v>
      </c>
      <c r="AD1822" s="15">
        <f>AC1822*AG1822</f>
        <v>122.85000000000001</v>
      </c>
      <c r="AE1822" s="15">
        <v>90</v>
      </c>
      <c r="AF1822" s="15">
        <f>AE1822*AG1822</f>
        <v>270</v>
      </c>
      <c r="AG1822" s="16">
        <v>3</v>
      </c>
    </row>
    <row r="1823" spans="1:33" ht="15" customHeight="1" x14ac:dyDescent="0.2">
      <c r="A1823" s="11" t="str">
        <f t="shared" si="513"/>
        <v>VN000CR5FS81</v>
      </c>
      <c r="B1823" s="12" t="s">
        <v>6990</v>
      </c>
      <c r="C1823" s="12" t="s">
        <v>34</v>
      </c>
      <c r="D1823" s="12" t="s">
        <v>239</v>
      </c>
      <c r="E1823" s="12" t="s">
        <v>6991</v>
      </c>
      <c r="F1823" s="13">
        <v>50</v>
      </c>
      <c r="G1823" s="12" t="s">
        <v>2779</v>
      </c>
      <c r="H1823" s="12" t="s">
        <v>38</v>
      </c>
      <c r="I1823" s="12" t="s">
        <v>159</v>
      </c>
      <c r="J1823" s="12" t="s">
        <v>160</v>
      </c>
      <c r="K1823" s="12" t="s">
        <v>82</v>
      </c>
      <c r="L1823" s="14"/>
      <c r="M1823" s="12" t="s">
        <v>43</v>
      </c>
      <c r="N1823" s="12" t="s">
        <v>44</v>
      </c>
      <c r="O1823" s="12" t="s">
        <v>6992</v>
      </c>
      <c r="P1823" s="12" t="s">
        <v>46</v>
      </c>
      <c r="Q1823" s="12" t="s">
        <v>47</v>
      </c>
      <c r="R1823" s="12" t="s">
        <v>163</v>
      </c>
      <c r="S1823" s="13">
        <v>197643238003</v>
      </c>
      <c r="T1823" s="12" t="s">
        <v>105</v>
      </c>
      <c r="U1823" s="13">
        <v>36.5</v>
      </c>
      <c r="V1823" s="12" t="s">
        <v>50</v>
      </c>
      <c r="W1823" s="12" t="s">
        <v>175</v>
      </c>
      <c r="X1823" s="14"/>
      <c r="Y1823" s="12" t="s">
        <v>53</v>
      </c>
      <c r="Z1823" s="12" t="s">
        <v>165</v>
      </c>
      <c r="AA1823" s="14"/>
      <c r="AB1823" s="14"/>
      <c r="AC1823" s="15">
        <v>43.2</v>
      </c>
      <c r="AD1823" s="15">
        <f>AC1823*AG1823</f>
        <v>129.60000000000002</v>
      </c>
      <c r="AE1823" s="15">
        <v>95</v>
      </c>
      <c r="AF1823" s="15">
        <f>AE1823*AG1823</f>
        <v>285</v>
      </c>
      <c r="AG1823" s="16">
        <v>3</v>
      </c>
    </row>
    <row r="1824" spans="1:33" ht="15" customHeight="1" x14ac:dyDescent="0.2">
      <c r="A1824" s="11" t="str">
        <f>HYPERLINK("https://assets.vans.eu/images/VN000CRPKHK-HERO/1","VN000CRPKHK1")</f>
        <v>VN000CRPKHK1</v>
      </c>
      <c r="B1824" s="12" t="s">
        <v>6993</v>
      </c>
      <c r="C1824" s="12" t="s">
        <v>110</v>
      </c>
      <c r="D1824" s="12" t="s">
        <v>6994</v>
      </c>
      <c r="E1824" s="12" t="s">
        <v>6995</v>
      </c>
      <c r="F1824" s="13">
        <v>130</v>
      </c>
      <c r="G1824" s="14"/>
      <c r="H1824" s="12" t="s">
        <v>38</v>
      </c>
      <c r="I1824" s="12" t="s">
        <v>159</v>
      </c>
      <c r="J1824" s="12" t="s">
        <v>160</v>
      </c>
      <c r="K1824" s="12" t="s">
        <v>82</v>
      </c>
      <c r="L1824" s="14"/>
      <c r="M1824" s="12" t="s">
        <v>43</v>
      </c>
      <c r="N1824" s="12" t="s">
        <v>84</v>
      </c>
      <c r="O1824" s="12" t="s">
        <v>6996</v>
      </c>
      <c r="P1824" s="12" t="s">
        <v>46</v>
      </c>
      <c r="Q1824" s="12" t="s">
        <v>47</v>
      </c>
      <c r="R1824" s="12" t="s">
        <v>163</v>
      </c>
      <c r="S1824" s="13">
        <v>197065541101</v>
      </c>
      <c r="T1824" s="12" t="s">
        <v>164</v>
      </c>
      <c r="U1824" s="13">
        <v>47</v>
      </c>
      <c r="V1824" s="12" t="s">
        <v>50</v>
      </c>
      <c r="W1824" s="12" t="s">
        <v>580</v>
      </c>
      <c r="X1824" s="14"/>
      <c r="Y1824" s="12" t="s">
        <v>91</v>
      </c>
      <c r="Z1824" s="12" t="s">
        <v>165</v>
      </c>
      <c r="AA1824" s="14"/>
      <c r="AB1824" s="14"/>
      <c r="AC1824" s="15">
        <v>43.2</v>
      </c>
      <c r="AD1824" s="15">
        <f>AC1824*AG1824</f>
        <v>129.60000000000002</v>
      </c>
      <c r="AE1824" s="15">
        <v>95</v>
      </c>
      <c r="AF1824" s="15">
        <f>AE1824*AG1824</f>
        <v>285</v>
      </c>
      <c r="AG1824" s="16">
        <v>3</v>
      </c>
    </row>
    <row r="1825" spans="1:33" ht="15" customHeight="1" x14ac:dyDescent="0.2">
      <c r="A1825" s="11" t="str">
        <f t="shared" ref="A1825:A1826" si="762">HYPERLINK("https://assets.vans.eu/images/VN000CRRBJ4-HERO/1","VN000CRRBJ41")</f>
        <v>VN000CRRBJ41</v>
      </c>
      <c r="B1825" s="12" t="s">
        <v>6997</v>
      </c>
      <c r="C1825" s="12" t="s">
        <v>2125</v>
      </c>
      <c r="D1825" s="12" t="s">
        <v>3886</v>
      </c>
      <c r="E1825" s="12" t="s">
        <v>6998</v>
      </c>
      <c r="F1825" s="13">
        <v>35</v>
      </c>
      <c r="G1825" s="14"/>
      <c r="H1825" s="12" t="s">
        <v>38</v>
      </c>
      <c r="I1825" s="12" t="s">
        <v>113</v>
      </c>
      <c r="J1825" s="12" t="s">
        <v>529</v>
      </c>
      <c r="K1825" s="12" t="s">
        <v>82</v>
      </c>
      <c r="L1825" s="14"/>
      <c r="M1825" s="12" t="s">
        <v>43</v>
      </c>
      <c r="N1825" s="12" t="s">
        <v>84</v>
      </c>
      <c r="O1825" s="12" t="s">
        <v>6999</v>
      </c>
      <c r="P1825" s="12" t="s">
        <v>46</v>
      </c>
      <c r="Q1825" s="12" t="s">
        <v>47</v>
      </c>
      <c r="R1825" s="12" t="s">
        <v>117</v>
      </c>
      <c r="S1825" s="13">
        <v>197064652143</v>
      </c>
      <c r="T1825" s="12" t="s">
        <v>49</v>
      </c>
      <c r="U1825" s="13">
        <v>34.5</v>
      </c>
      <c r="V1825" s="12" t="s">
        <v>209</v>
      </c>
      <c r="W1825" s="12" t="s">
        <v>51</v>
      </c>
      <c r="X1825" s="14"/>
      <c r="Y1825" s="12" t="s">
        <v>91</v>
      </c>
      <c r="Z1825" s="12" t="s">
        <v>165</v>
      </c>
      <c r="AA1825" s="14"/>
      <c r="AB1825" s="14"/>
      <c r="AC1825" s="15">
        <v>34.1</v>
      </c>
      <c r="AD1825" s="15">
        <f>AC1825*AG1825</f>
        <v>102.30000000000001</v>
      </c>
      <c r="AE1825" s="15">
        <v>75</v>
      </c>
      <c r="AF1825" s="15">
        <f>AE1825*AG1825</f>
        <v>225</v>
      </c>
      <c r="AG1825" s="16">
        <v>3</v>
      </c>
    </row>
    <row r="1826" spans="1:33" ht="15" customHeight="1" x14ac:dyDescent="0.2">
      <c r="A1826" s="11" t="str">
        <f t="shared" si="762"/>
        <v>VN000CRRBJ41</v>
      </c>
      <c r="B1826" s="12" t="s">
        <v>7000</v>
      </c>
      <c r="C1826" s="12" t="s">
        <v>2125</v>
      </c>
      <c r="D1826" s="12" t="s">
        <v>3886</v>
      </c>
      <c r="E1826" s="12" t="s">
        <v>7001</v>
      </c>
      <c r="F1826" s="13">
        <v>105</v>
      </c>
      <c r="G1826" s="14"/>
      <c r="H1826" s="12" t="s">
        <v>38</v>
      </c>
      <c r="I1826" s="12" t="s">
        <v>113</v>
      </c>
      <c r="J1826" s="12" t="s">
        <v>529</v>
      </c>
      <c r="K1826" s="12" t="s">
        <v>82</v>
      </c>
      <c r="L1826" s="14"/>
      <c r="M1826" s="12" t="s">
        <v>43</v>
      </c>
      <c r="N1826" s="12" t="s">
        <v>84</v>
      </c>
      <c r="O1826" s="12" t="s">
        <v>7002</v>
      </c>
      <c r="P1826" s="12" t="s">
        <v>46</v>
      </c>
      <c r="Q1826" s="12" t="s">
        <v>47</v>
      </c>
      <c r="R1826" s="12" t="s">
        <v>117</v>
      </c>
      <c r="S1826" s="13">
        <v>197064654697</v>
      </c>
      <c r="T1826" s="12" t="s">
        <v>49</v>
      </c>
      <c r="U1826" s="13">
        <v>44</v>
      </c>
      <c r="V1826" s="12" t="s">
        <v>209</v>
      </c>
      <c r="W1826" s="12" t="s">
        <v>51</v>
      </c>
      <c r="X1826" s="14"/>
      <c r="Y1826" s="12" t="s">
        <v>91</v>
      </c>
      <c r="Z1826" s="12" t="s">
        <v>165</v>
      </c>
      <c r="AA1826" s="14"/>
      <c r="AB1826" s="14"/>
      <c r="AC1826" s="15">
        <v>34.1</v>
      </c>
      <c r="AD1826" s="15">
        <f>AC1826*AG1826</f>
        <v>102.30000000000001</v>
      </c>
      <c r="AE1826" s="15">
        <v>75</v>
      </c>
      <c r="AF1826" s="15">
        <f>AE1826*AG1826</f>
        <v>225</v>
      </c>
      <c r="AG1826" s="16">
        <v>3</v>
      </c>
    </row>
    <row r="1827" spans="1:33" ht="15" customHeight="1" x14ac:dyDescent="0.2">
      <c r="A1827" s="11" t="str">
        <f t="shared" si="605"/>
        <v>VN000CRRD3X1</v>
      </c>
      <c r="B1827" s="12" t="s">
        <v>7003</v>
      </c>
      <c r="C1827" s="12" t="s">
        <v>2125</v>
      </c>
      <c r="D1827" s="12" t="s">
        <v>668</v>
      </c>
      <c r="E1827" s="12" t="s">
        <v>7004</v>
      </c>
      <c r="F1827" s="13">
        <v>130</v>
      </c>
      <c r="G1827" s="12" t="s">
        <v>2127</v>
      </c>
      <c r="H1827" s="12" t="s">
        <v>38</v>
      </c>
      <c r="I1827" s="12" t="s">
        <v>113</v>
      </c>
      <c r="J1827" s="12" t="s">
        <v>529</v>
      </c>
      <c r="K1827" s="12" t="s">
        <v>82</v>
      </c>
      <c r="L1827" s="14"/>
      <c r="M1827" s="12" t="s">
        <v>43</v>
      </c>
      <c r="N1827" s="12" t="s">
        <v>44</v>
      </c>
      <c r="O1827" s="12" t="s">
        <v>7005</v>
      </c>
      <c r="P1827" s="12" t="s">
        <v>46</v>
      </c>
      <c r="Q1827" s="12" t="s">
        <v>47</v>
      </c>
      <c r="R1827" s="12" t="s">
        <v>117</v>
      </c>
      <c r="S1827" s="13">
        <v>197643242055</v>
      </c>
      <c r="T1827" s="12" t="s">
        <v>49</v>
      </c>
      <c r="U1827" s="13">
        <v>47</v>
      </c>
      <c r="V1827" s="12" t="s">
        <v>209</v>
      </c>
      <c r="W1827" s="12" t="s">
        <v>299</v>
      </c>
      <c r="X1827" s="14"/>
      <c r="Y1827" s="12" t="s">
        <v>53</v>
      </c>
      <c r="Z1827" s="12" t="s">
        <v>263</v>
      </c>
      <c r="AA1827" s="14"/>
      <c r="AB1827" s="14"/>
      <c r="AC1827" s="15">
        <v>34.1</v>
      </c>
      <c r="AD1827" s="15">
        <f>AC1827*AG1827</f>
        <v>102.30000000000001</v>
      </c>
      <c r="AE1827" s="15">
        <v>75</v>
      </c>
      <c r="AF1827" s="15">
        <f>AE1827*AG1827</f>
        <v>225</v>
      </c>
      <c r="AG1827" s="16">
        <v>3</v>
      </c>
    </row>
    <row r="1828" spans="1:33" ht="15" customHeight="1" x14ac:dyDescent="0.2">
      <c r="A1828" s="11" t="str">
        <f t="shared" si="48"/>
        <v>VN000CRVEN71</v>
      </c>
      <c r="B1828" s="12" t="s">
        <v>7006</v>
      </c>
      <c r="C1828" s="12" t="s">
        <v>773</v>
      </c>
      <c r="D1828" s="12" t="s">
        <v>295</v>
      </c>
      <c r="E1828" s="12" t="s">
        <v>7007</v>
      </c>
      <c r="F1828" s="13">
        <v>10</v>
      </c>
      <c r="G1828" s="12" t="s">
        <v>775</v>
      </c>
      <c r="H1828" s="12" t="s">
        <v>38</v>
      </c>
      <c r="I1828" s="12" t="s">
        <v>776</v>
      </c>
      <c r="J1828" s="12" t="s">
        <v>777</v>
      </c>
      <c r="K1828" s="12" t="s">
        <v>778</v>
      </c>
      <c r="L1828" s="14"/>
      <c r="M1828" s="12" t="s">
        <v>43</v>
      </c>
      <c r="N1828" s="12" t="s">
        <v>84</v>
      </c>
      <c r="O1828" s="12" t="s">
        <v>7008</v>
      </c>
      <c r="P1828" s="12" t="s">
        <v>46</v>
      </c>
      <c r="Q1828" s="12" t="s">
        <v>47</v>
      </c>
      <c r="R1828" s="12" t="s">
        <v>780</v>
      </c>
      <c r="S1828" s="13">
        <v>197804509287</v>
      </c>
      <c r="T1828" s="12" t="s">
        <v>49</v>
      </c>
      <c r="U1828" s="13">
        <v>16</v>
      </c>
      <c r="V1828" s="12" t="s">
        <v>278</v>
      </c>
      <c r="W1828" s="12" t="s">
        <v>299</v>
      </c>
      <c r="X1828" s="14"/>
      <c r="Y1828" s="14"/>
      <c r="Z1828" s="14"/>
      <c r="AA1828" s="14"/>
      <c r="AB1828" s="14"/>
      <c r="AC1828" s="15">
        <v>15.95</v>
      </c>
      <c r="AD1828" s="15">
        <f>AC1828*AG1828</f>
        <v>47.849999999999994</v>
      </c>
      <c r="AE1828" s="15">
        <v>35</v>
      </c>
      <c r="AF1828" s="15">
        <f>AE1828*AG1828</f>
        <v>105</v>
      </c>
      <c r="AG1828" s="16">
        <v>3</v>
      </c>
    </row>
    <row r="1829" spans="1:33" ht="15" customHeight="1" x14ac:dyDescent="0.2">
      <c r="A1829" s="11" t="str">
        <f t="shared" ref="A1829:A1830" si="763">HYPERLINK("https://assets.vans.eu/images/VN000CS0BRO-HERO/1","VN000CS0BRO1")</f>
        <v>VN000CS0BRO1</v>
      </c>
      <c r="B1829" s="12" t="s">
        <v>7009</v>
      </c>
      <c r="C1829" s="12" t="s">
        <v>110</v>
      </c>
      <c r="D1829" s="12" t="s">
        <v>1471</v>
      </c>
      <c r="E1829" s="12" t="s">
        <v>7010</v>
      </c>
      <c r="F1829" s="13">
        <v>90</v>
      </c>
      <c r="G1829" s="14"/>
      <c r="H1829" s="12" t="s">
        <v>38</v>
      </c>
      <c r="I1829" s="12" t="s">
        <v>159</v>
      </c>
      <c r="J1829" s="12" t="s">
        <v>160</v>
      </c>
      <c r="K1829" s="12" t="s">
        <v>82</v>
      </c>
      <c r="L1829" s="14"/>
      <c r="M1829" s="12" t="s">
        <v>43</v>
      </c>
      <c r="N1829" s="12" t="s">
        <v>84</v>
      </c>
      <c r="O1829" s="12" t="s">
        <v>7011</v>
      </c>
      <c r="P1829" s="12" t="s">
        <v>46</v>
      </c>
      <c r="Q1829" s="12" t="s">
        <v>47</v>
      </c>
      <c r="R1829" s="12" t="s">
        <v>163</v>
      </c>
      <c r="S1829" s="13">
        <v>197065547202</v>
      </c>
      <c r="T1829" s="12" t="s">
        <v>49</v>
      </c>
      <c r="U1829" s="13">
        <v>42</v>
      </c>
      <c r="V1829" s="12" t="s">
        <v>50</v>
      </c>
      <c r="W1829" s="12" t="s">
        <v>186</v>
      </c>
      <c r="X1829" s="14"/>
      <c r="Y1829" s="12" t="s">
        <v>53</v>
      </c>
      <c r="Z1829" s="12" t="s">
        <v>165</v>
      </c>
      <c r="AA1829" s="14"/>
      <c r="AB1829" s="14"/>
      <c r="AC1829" s="15">
        <v>45.5</v>
      </c>
      <c r="AD1829" s="15">
        <f>AC1829*AG1829</f>
        <v>136.5</v>
      </c>
      <c r="AE1829" s="15">
        <v>100</v>
      </c>
      <c r="AF1829" s="15">
        <f>AE1829*AG1829</f>
        <v>300</v>
      </c>
      <c r="AG1829" s="16">
        <v>3</v>
      </c>
    </row>
    <row r="1830" spans="1:33" ht="15" customHeight="1" x14ac:dyDescent="0.2">
      <c r="A1830" s="11" t="str">
        <f t="shared" si="763"/>
        <v>VN000CS0BRO1</v>
      </c>
      <c r="B1830" s="12" t="s">
        <v>7012</v>
      </c>
      <c r="C1830" s="12" t="s">
        <v>110</v>
      </c>
      <c r="D1830" s="12" t="s">
        <v>1471</v>
      </c>
      <c r="E1830" s="12" t="s">
        <v>7013</v>
      </c>
      <c r="F1830" s="13">
        <v>95</v>
      </c>
      <c r="G1830" s="14"/>
      <c r="H1830" s="12" t="s">
        <v>38</v>
      </c>
      <c r="I1830" s="12" t="s">
        <v>159</v>
      </c>
      <c r="J1830" s="12" t="s">
        <v>160</v>
      </c>
      <c r="K1830" s="12" t="s">
        <v>82</v>
      </c>
      <c r="L1830" s="14"/>
      <c r="M1830" s="12" t="s">
        <v>43</v>
      </c>
      <c r="N1830" s="12" t="s">
        <v>84</v>
      </c>
      <c r="O1830" s="12" t="s">
        <v>7014</v>
      </c>
      <c r="P1830" s="12" t="s">
        <v>46</v>
      </c>
      <c r="Q1830" s="12" t="s">
        <v>47</v>
      </c>
      <c r="R1830" s="12" t="s">
        <v>163</v>
      </c>
      <c r="S1830" s="13">
        <v>197065547271</v>
      </c>
      <c r="T1830" s="12" t="s">
        <v>49</v>
      </c>
      <c r="U1830" s="13">
        <v>42.5</v>
      </c>
      <c r="V1830" s="12" t="s">
        <v>50</v>
      </c>
      <c r="W1830" s="12" t="s">
        <v>186</v>
      </c>
      <c r="X1830" s="14"/>
      <c r="Y1830" s="12" t="s">
        <v>53</v>
      </c>
      <c r="Z1830" s="12" t="s">
        <v>165</v>
      </c>
      <c r="AA1830" s="14"/>
      <c r="AB1830" s="14"/>
      <c r="AC1830" s="15">
        <v>45.5</v>
      </c>
      <c r="AD1830" s="15">
        <f>AC1830*AG1830</f>
        <v>136.5</v>
      </c>
      <c r="AE1830" s="15">
        <v>100</v>
      </c>
      <c r="AF1830" s="15">
        <f>AE1830*AG1830</f>
        <v>300</v>
      </c>
      <c r="AG1830" s="16">
        <v>3</v>
      </c>
    </row>
    <row r="1831" spans="1:33" ht="15" customHeight="1" x14ac:dyDescent="0.2">
      <c r="A1831" s="11" t="str">
        <f t="shared" ref="A1831:A2466" si="764">HYPERLINK("https://assets.vans.eu/images/VN000CS3ULE-HERO/1","VN000CS3ULE1")</f>
        <v>VN000CS3ULE1</v>
      </c>
      <c r="B1831" s="12" t="s">
        <v>7015</v>
      </c>
      <c r="C1831" s="12" t="s">
        <v>695</v>
      </c>
      <c r="D1831" s="12" t="s">
        <v>7016</v>
      </c>
      <c r="E1831" s="12" t="s">
        <v>7017</v>
      </c>
      <c r="F1831" s="13">
        <v>70</v>
      </c>
      <c r="G1831" s="12" t="s">
        <v>7018</v>
      </c>
      <c r="H1831" s="12" t="s">
        <v>38</v>
      </c>
      <c r="I1831" s="12" t="s">
        <v>159</v>
      </c>
      <c r="J1831" s="12" t="s">
        <v>160</v>
      </c>
      <c r="K1831" s="12" t="s">
        <v>199</v>
      </c>
      <c r="L1831" s="12" t="s">
        <v>350</v>
      </c>
      <c r="M1831" s="12" t="s">
        <v>43</v>
      </c>
      <c r="N1831" s="12" t="s">
        <v>84</v>
      </c>
      <c r="O1831" s="12" t="s">
        <v>7019</v>
      </c>
      <c r="P1831" s="12" t="s">
        <v>46</v>
      </c>
      <c r="Q1831" s="12" t="s">
        <v>47</v>
      </c>
      <c r="R1831" s="12" t="s">
        <v>343</v>
      </c>
      <c r="S1831" s="13">
        <v>196575334661</v>
      </c>
      <c r="T1831" s="12" t="s">
        <v>49</v>
      </c>
      <c r="U1831" s="13">
        <v>39</v>
      </c>
      <c r="V1831" s="12" t="s">
        <v>50</v>
      </c>
      <c r="W1831" s="12" t="s">
        <v>186</v>
      </c>
      <c r="X1831" s="14"/>
      <c r="Y1831" s="12" t="s">
        <v>71</v>
      </c>
      <c r="Z1831" s="12" t="s">
        <v>92</v>
      </c>
      <c r="AA1831" s="12" t="s">
        <v>354</v>
      </c>
      <c r="AB1831" s="12" t="s">
        <v>888</v>
      </c>
      <c r="AC1831" s="15">
        <v>47.65</v>
      </c>
      <c r="AD1831" s="15">
        <f>AC1831*AG1831</f>
        <v>142.94999999999999</v>
      </c>
      <c r="AE1831" s="15">
        <v>100</v>
      </c>
      <c r="AF1831" s="15">
        <f>AE1831*AG1831</f>
        <v>300</v>
      </c>
      <c r="AG1831" s="16">
        <v>3</v>
      </c>
    </row>
    <row r="1832" spans="1:33" ht="15" customHeight="1" x14ac:dyDescent="0.2">
      <c r="A1832" s="11" t="str">
        <f t="shared" si="227"/>
        <v>VN000CS5PIB1</v>
      </c>
      <c r="B1832" s="12" t="s">
        <v>7020</v>
      </c>
      <c r="C1832" s="12" t="s">
        <v>828</v>
      </c>
      <c r="D1832" s="12" t="s">
        <v>829</v>
      </c>
      <c r="E1832" s="12" t="s">
        <v>7021</v>
      </c>
      <c r="F1832" s="13">
        <v>10</v>
      </c>
      <c r="G1832" s="12" t="s">
        <v>831</v>
      </c>
      <c r="H1832" s="12" t="s">
        <v>38</v>
      </c>
      <c r="I1832" s="12" t="s">
        <v>776</v>
      </c>
      <c r="J1832" s="12" t="s">
        <v>777</v>
      </c>
      <c r="K1832" s="12" t="s">
        <v>778</v>
      </c>
      <c r="L1832" s="14"/>
      <c r="M1832" s="12" t="s">
        <v>43</v>
      </c>
      <c r="N1832" s="12" t="s">
        <v>84</v>
      </c>
      <c r="O1832" s="12" t="s">
        <v>7022</v>
      </c>
      <c r="P1832" s="12" t="s">
        <v>46</v>
      </c>
      <c r="Q1832" s="12" t="s">
        <v>47</v>
      </c>
      <c r="R1832" s="12" t="s">
        <v>48</v>
      </c>
      <c r="S1832" s="13">
        <v>197804509928</v>
      </c>
      <c r="T1832" s="12" t="s">
        <v>49</v>
      </c>
      <c r="U1832" s="13">
        <v>16</v>
      </c>
      <c r="V1832" s="12" t="s">
        <v>50</v>
      </c>
      <c r="W1832" s="12" t="s">
        <v>299</v>
      </c>
      <c r="X1832" s="14"/>
      <c r="Y1832" s="14"/>
      <c r="Z1832" s="14"/>
      <c r="AA1832" s="14"/>
      <c r="AB1832" s="14"/>
      <c r="AC1832" s="15">
        <v>15.95</v>
      </c>
      <c r="AD1832" s="15">
        <f>AC1832*AG1832</f>
        <v>47.849999999999994</v>
      </c>
      <c r="AE1832" s="15">
        <v>35</v>
      </c>
      <c r="AF1832" s="15">
        <f>AE1832*AG1832</f>
        <v>105</v>
      </c>
      <c r="AG1832" s="16">
        <v>3</v>
      </c>
    </row>
    <row r="1833" spans="1:33" ht="15" customHeight="1" x14ac:dyDescent="0.2">
      <c r="A1833" s="11" t="str">
        <f t="shared" ref="A1833:A2469" si="765">HYPERLINK("https://assets.vans.eu/images/VN000CTG1NU-HERO/1","VN000CTG1NU1")</f>
        <v>VN000CTG1NU1</v>
      </c>
      <c r="B1833" s="12" t="s">
        <v>7023</v>
      </c>
      <c r="C1833" s="12" t="s">
        <v>238</v>
      </c>
      <c r="D1833" s="12" t="s">
        <v>783</v>
      </c>
      <c r="E1833" s="12" t="s">
        <v>7024</v>
      </c>
      <c r="F1833" s="13">
        <v>95</v>
      </c>
      <c r="G1833" s="12" t="s">
        <v>2273</v>
      </c>
      <c r="H1833" s="12" t="s">
        <v>38</v>
      </c>
      <c r="I1833" s="12" t="s">
        <v>242</v>
      </c>
      <c r="J1833" s="12" t="s">
        <v>243</v>
      </c>
      <c r="K1833" s="12" t="s">
        <v>244</v>
      </c>
      <c r="L1833" s="14"/>
      <c r="M1833" s="12" t="s">
        <v>43</v>
      </c>
      <c r="N1833" s="12" t="s">
        <v>84</v>
      </c>
      <c r="O1833" s="12" t="s">
        <v>7025</v>
      </c>
      <c r="P1833" s="12" t="s">
        <v>46</v>
      </c>
      <c r="Q1833" s="12" t="s">
        <v>47</v>
      </c>
      <c r="R1833" s="12" t="s">
        <v>48</v>
      </c>
      <c r="S1833" s="13">
        <v>197804512652</v>
      </c>
      <c r="T1833" s="12" t="s">
        <v>105</v>
      </c>
      <c r="U1833" s="13">
        <v>26</v>
      </c>
      <c r="V1833" s="12" t="s">
        <v>50</v>
      </c>
      <c r="W1833" s="12" t="s">
        <v>186</v>
      </c>
      <c r="X1833" s="14"/>
      <c r="Y1833" s="14"/>
      <c r="Z1833" s="14"/>
      <c r="AA1833" s="14"/>
      <c r="AB1833" s="14"/>
      <c r="AC1833" s="15">
        <v>22.75</v>
      </c>
      <c r="AD1833" s="15">
        <f>AC1833*AG1833</f>
        <v>68.25</v>
      </c>
      <c r="AE1833" s="15">
        <v>50</v>
      </c>
      <c r="AF1833" s="15">
        <f>AE1833*AG1833</f>
        <v>150</v>
      </c>
      <c r="AG1833" s="16">
        <v>3</v>
      </c>
    </row>
    <row r="1834" spans="1:33" ht="15" customHeight="1" x14ac:dyDescent="0.2">
      <c r="A1834" s="11" t="str">
        <f t="shared" ref="A1834:A1835" si="766">HYPERLINK("https://assets.vans.eu/images/VN000CTG448-HERO/1","VN000CTG4481")</f>
        <v>VN000CTG4481</v>
      </c>
      <c r="B1834" s="12" t="s">
        <v>7026</v>
      </c>
      <c r="C1834" s="12" t="s">
        <v>238</v>
      </c>
      <c r="D1834" s="12" t="s">
        <v>3898</v>
      </c>
      <c r="E1834" s="12" t="s">
        <v>7027</v>
      </c>
      <c r="F1834" s="13">
        <v>45</v>
      </c>
      <c r="G1834" s="12" t="s">
        <v>3900</v>
      </c>
      <c r="H1834" s="12" t="s">
        <v>38</v>
      </c>
      <c r="I1834" s="12" t="s">
        <v>242</v>
      </c>
      <c r="J1834" s="12" t="s">
        <v>243</v>
      </c>
      <c r="K1834" s="12" t="s">
        <v>244</v>
      </c>
      <c r="L1834" s="14"/>
      <c r="M1834" s="12" t="s">
        <v>43</v>
      </c>
      <c r="N1834" s="12" t="s">
        <v>84</v>
      </c>
      <c r="O1834" s="12" t="s">
        <v>7028</v>
      </c>
      <c r="P1834" s="12" t="s">
        <v>46</v>
      </c>
      <c r="Q1834" s="12" t="s">
        <v>47</v>
      </c>
      <c r="R1834" s="12" t="s">
        <v>48</v>
      </c>
      <c r="S1834" s="13">
        <v>197804670079</v>
      </c>
      <c r="T1834" s="12" t="s">
        <v>49</v>
      </c>
      <c r="U1834" s="13">
        <v>20</v>
      </c>
      <c r="V1834" s="12" t="s">
        <v>50</v>
      </c>
      <c r="W1834" s="12" t="s">
        <v>175</v>
      </c>
      <c r="X1834" s="14"/>
      <c r="Y1834" s="14"/>
      <c r="Z1834" s="14"/>
      <c r="AA1834" s="14"/>
      <c r="AB1834" s="14"/>
      <c r="AC1834" s="15">
        <v>20.5</v>
      </c>
      <c r="AD1834" s="15">
        <f>AC1834*AG1834</f>
        <v>61.5</v>
      </c>
      <c r="AE1834" s="15">
        <v>45</v>
      </c>
      <c r="AF1834" s="15">
        <f>AE1834*AG1834</f>
        <v>135</v>
      </c>
      <c r="AG1834" s="16">
        <v>3</v>
      </c>
    </row>
    <row r="1835" spans="1:33" ht="15" customHeight="1" x14ac:dyDescent="0.2">
      <c r="A1835" s="11" t="str">
        <f t="shared" si="766"/>
        <v>VN000CTG4481</v>
      </c>
      <c r="B1835" s="12" t="s">
        <v>7029</v>
      </c>
      <c r="C1835" s="12" t="s">
        <v>238</v>
      </c>
      <c r="D1835" s="12" t="s">
        <v>3898</v>
      </c>
      <c r="E1835" s="12" t="s">
        <v>7030</v>
      </c>
      <c r="F1835" s="13">
        <v>50</v>
      </c>
      <c r="G1835" s="12" t="s">
        <v>3900</v>
      </c>
      <c r="H1835" s="12" t="s">
        <v>38</v>
      </c>
      <c r="I1835" s="12" t="s">
        <v>242</v>
      </c>
      <c r="J1835" s="12" t="s">
        <v>243</v>
      </c>
      <c r="K1835" s="12" t="s">
        <v>244</v>
      </c>
      <c r="L1835" s="14"/>
      <c r="M1835" s="12" t="s">
        <v>43</v>
      </c>
      <c r="N1835" s="12" t="s">
        <v>84</v>
      </c>
      <c r="O1835" s="12" t="s">
        <v>7031</v>
      </c>
      <c r="P1835" s="12" t="s">
        <v>46</v>
      </c>
      <c r="Q1835" s="12" t="s">
        <v>47</v>
      </c>
      <c r="R1835" s="12" t="s">
        <v>48</v>
      </c>
      <c r="S1835" s="13">
        <v>197804670215</v>
      </c>
      <c r="T1835" s="12" t="s">
        <v>49</v>
      </c>
      <c r="U1835" s="13">
        <v>21</v>
      </c>
      <c r="V1835" s="12" t="s">
        <v>50</v>
      </c>
      <c r="W1835" s="12" t="s">
        <v>175</v>
      </c>
      <c r="X1835" s="14"/>
      <c r="Y1835" s="14"/>
      <c r="Z1835" s="14"/>
      <c r="AA1835" s="14"/>
      <c r="AB1835" s="14"/>
      <c r="AC1835" s="15">
        <v>20.5</v>
      </c>
      <c r="AD1835" s="15">
        <f>AC1835*AG1835</f>
        <v>61.5</v>
      </c>
      <c r="AE1835" s="15">
        <v>45</v>
      </c>
      <c r="AF1835" s="15">
        <f>AE1835*AG1835</f>
        <v>135</v>
      </c>
      <c r="AG1835" s="16">
        <v>3</v>
      </c>
    </row>
    <row r="1836" spans="1:33" ht="15" customHeight="1" x14ac:dyDescent="0.2">
      <c r="A1836" s="11" t="str">
        <f t="shared" si="209"/>
        <v>VN000CTGEMY1</v>
      </c>
      <c r="B1836" s="12" t="s">
        <v>7032</v>
      </c>
      <c r="C1836" s="12" t="s">
        <v>238</v>
      </c>
      <c r="D1836" s="12" t="s">
        <v>1155</v>
      </c>
      <c r="E1836" s="12" t="s">
        <v>7033</v>
      </c>
      <c r="F1836" s="13">
        <v>70</v>
      </c>
      <c r="G1836" s="12" t="s">
        <v>2273</v>
      </c>
      <c r="H1836" s="12" t="s">
        <v>38</v>
      </c>
      <c r="I1836" s="12" t="s">
        <v>242</v>
      </c>
      <c r="J1836" s="12" t="s">
        <v>243</v>
      </c>
      <c r="K1836" s="12" t="s">
        <v>244</v>
      </c>
      <c r="L1836" s="14"/>
      <c r="M1836" s="12" t="s">
        <v>43</v>
      </c>
      <c r="N1836" s="12" t="s">
        <v>84</v>
      </c>
      <c r="O1836" s="12" t="s">
        <v>7034</v>
      </c>
      <c r="P1836" s="12" t="s">
        <v>46</v>
      </c>
      <c r="Q1836" s="12" t="s">
        <v>47</v>
      </c>
      <c r="R1836" s="12" t="s">
        <v>48</v>
      </c>
      <c r="S1836" s="13">
        <v>197804512249</v>
      </c>
      <c r="T1836" s="12" t="s">
        <v>164</v>
      </c>
      <c r="U1836" s="13">
        <v>23.5</v>
      </c>
      <c r="V1836" s="12" t="s">
        <v>50</v>
      </c>
      <c r="W1836" s="12" t="s">
        <v>107</v>
      </c>
      <c r="X1836" s="14"/>
      <c r="Y1836" s="14"/>
      <c r="Z1836" s="14"/>
      <c r="AA1836" s="14"/>
      <c r="AB1836" s="14"/>
      <c r="AC1836" s="15">
        <v>22.75</v>
      </c>
      <c r="AD1836" s="15">
        <f>AC1836*AG1836</f>
        <v>68.25</v>
      </c>
      <c r="AE1836" s="15">
        <v>50</v>
      </c>
      <c r="AF1836" s="15">
        <f>AE1836*AG1836</f>
        <v>150</v>
      </c>
      <c r="AG1836" s="16">
        <v>3</v>
      </c>
    </row>
    <row r="1837" spans="1:33" ht="15" customHeight="1" x14ac:dyDescent="0.2">
      <c r="A1837" s="11" t="str">
        <f t="shared" ref="A1837:A2474" si="767">HYPERLINK("https://assets.vans.eu/images/VN000CTGPIB-HERO/1","VN000CTGPIB1")</f>
        <v>VN000CTGPIB1</v>
      </c>
      <c r="B1837" s="12" t="s">
        <v>7035</v>
      </c>
      <c r="C1837" s="12" t="s">
        <v>238</v>
      </c>
      <c r="D1837" s="12" t="s">
        <v>829</v>
      </c>
      <c r="E1837" s="12" t="s">
        <v>7036</v>
      </c>
      <c r="F1837" s="13">
        <v>50</v>
      </c>
      <c r="G1837" s="12" t="s">
        <v>831</v>
      </c>
      <c r="H1837" s="12" t="s">
        <v>38</v>
      </c>
      <c r="I1837" s="12" t="s">
        <v>242</v>
      </c>
      <c r="J1837" s="12" t="s">
        <v>243</v>
      </c>
      <c r="K1837" s="12" t="s">
        <v>244</v>
      </c>
      <c r="L1837" s="14"/>
      <c r="M1837" s="12" t="s">
        <v>43</v>
      </c>
      <c r="N1837" s="12" t="s">
        <v>84</v>
      </c>
      <c r="O1837" s="12" t="s">
        <v>7037</v>
      </c>
      <c r="P1837" s="12" t="s">
        <v>46</v>
      </c>
      <c r="Q1837" s="12" t="s">
        <v>47</v>
      </c>
      <c r="R1837" s="12" t="s">
        <v>48</v>
      </c>
      <c r="S1837" s="13">
        <v>197804512980</v>
      </c>
      <c r="T1837" s="12" t="s">
        <v>49</v>
      </c>
      <c r="U1837" s="13">
        <v>21</v>
      </c>
      <c r="V1837" s="12" t="s">
        <v>50</v>
      </c>
      <c r="W1837" s="12" t="s">
        <v>299</v>
      </c>
      <c r="X1837" s="14"/>
      <c r="Y1837" s="14"/>
      <c r="Z1837" s="14"/>
      <c r="AA1837" s="14"/>
      <c r="AB1837" s="14"/>
      <c r="AC1837" s="15">
        <v>22.75</v>
      </c>
      <c r="AD1837" s="15">
        <f>AC1837*AG1837</f>
        <v>68.25</v>
      </c>
      <c r="AE1837" s="15">
        <v>50</v>
      </c>
      <c r="AF1837" s="15">
        <f>AE1837*AG1837</f>
        <v>150</v>
      </c>
      <c r="AG1837" s="16">
        <v>3</v>
      </c>
    </row>
    <row r="1838" spans="1:33" ht="15" customHeight="1" x14ac:dyDescent="0.2">
      <c r="A1838" s="11" t="str">
        <f t="shared" ref="A1838:A2478" si="768">HYPERLINK("https://assets.vans.eu/images/VN000CTGRV2-HERO/1","VN000CTGRV21")</f>
        <v>VN000CTGRV21</v>
      </c>
      <c r="B1838" s="12" t="s">
        <v>7038</v>
      </c>
      <c r="C1838" s="12" t="s">
        <v>238</v>
      </c>
      <c r="D1838" s="12" t="s">
        <v>1428</v>
      </c>
      <c r="E1838" s="12" t="s">
        <v>7039</v>
      </c>
      <c r="F1838" s="13">
        <v>45</v>
      </c>
      <c r="G1838" s="14"/>
      <c r="H1838" s="12" t="s">
        <v>38</v>
      </c>
      <c r="I1838" s="12" t="s">
        <v>242</v>
      </c>
      <c r="J1838" s="12" t="s">
        <v>243</v>
      </c>
      <c r="K1838" s="12" t="s">
        <v>244</v>
      </c>
      <c r="L1838" s="14"/>
      <c r="M1838" s="12" t="s">
        <v>43</v>
      </c>
      <c r="N1838" s="12" t="s">
        <v>84</v>
      </c>
      <c r="O1838" s="12" t="s">
        <v>7040</v>
      </c>
      <c r="P1838" s="12" t="s">
        <v>46</v>
      </c>
      <c r="Q1838" s="12" t="s">
        <v>47</v>
      </c>
      <c r="R1838" s="12" t="s">
        <v>48</v>
      </c>
      <c r="S1838" s="13">
        <v>197804513314</v>
      </c>
      <c r="T1838" s="12" t="s">
        <v>164</v>
      </c>
      <c r="U1838" s="13">
        <v>20</v>
      </c>
      <c r="V1838" s="12" t="s">
        <v>50</v>
      </c>
      <c r="W1838" s="12" t="s">
        <v>51</v>
      </c>
      <c r="X1838" s="14"/>
      <c r="Y1838" s="14"/>
      <c r="Z1838" s="14"/>
      <c r="AA1838" s="14"/>
      <c r="AB1838" s="14"/>
      <c r="AC1838" s="15">
        <v>20.5</v>
      </c>
      <c r="AD1838" s="15">
        <f>AC1838*AG1838</f>
        <v>61.5</v>
      </c>
      <c r="AE1838" s="15">
        <v>45</v>
      </c>
      <c r="AF1838" s="15">
        <f>AE1838*AG1838</f>
        <v>135</v>
      </c>
      <c r="AG1838" s="16">
        <v>3</v>
      </c>
    </row>
    <row r="1839" spans="1:33" ht="15" customHeight="1" x14ac:dyDescent="0.2">
      <c r="A1839" s="11" t="str">
        <f t="shared" ref="A1839:A3854" si="769">HYPERLINK("https://assets.vans.eu/images/VN000CTGY09-HERO/1","VN000CTGY091")</f>
        <v>VN000CTGY091</v>
      </c>
      <c r="B1839" s="12" t="s">
        <v>7041</v>
      </c>
      <c r="C1839" s="12" t="s">
        <v>238</v>
      </c>
      <c r="D1839" s="12" t="s">
        <v>7042</v>
      </c>
      <c r="E1839" s="12" t="s">
        <v>7043</v>
      </c>
      <c r="F1839" s="13">
        <v>50</v>
      </c>
      <c r="G1839" s="12" t="s">
        <v>7044</v>
      </c>
      <c r="H1839" s="12" t="s">
        <v>38</v>
      </c>
      <c r="I1839" s="12" t="s">
        <v>242</v>
      </c>
      <c r="J1839" s="12" t="s">
        <v>243</v>
      </c>
      <c r="K1839" s="12" t="s">
        <v>244</v>
      </c>
      <c r="L1839" s="14"/>
      <c r="M1839" s="12" t="s">
        <v>43</v>
      </c>
      <c r="N1839" s="12" t="s">
        <v>84</v>
      </c>
      <c r="O1839" s="12" t="s">
        <v>7045</v>
      </c>
      <c r="P1839" s="12" t="s">
        <v>46</v>
      </c>
      <c r="Q1839" s="12" t="s">
        <v>47</v>
      </c>
      <c r="R1839" s="12" t="s">
        <v>48</v>
      </c>
      <c r="S1839" s="13">
        <v>197804513369</v>
      </c>
      <c r="T1839" s="12" t="s">
        <v>164</v>
      </c>
      <c r="U1839" s="13">
        <v>21</v>
      </c>
      <c r="V1839" s="12" t="s">
        <v>50</v>
      </c>
      <c r="W1839" s="12" t="s">
        <v>51</v>
      </c>
      <c r="X1839" s="14"/>
      <c r="Y1839" s="14"/>
      <c r="Z1839" s="14"/>
      <c r="AA1839" s="14"/>
      <c r="AB1839" s="14"/>
      <c r="AC1839" s="15">
        <v>20.5</v>
      </c>
      <c r="AD1839" s="15">
        <f>AC1839*AG1839</f>
        <v>61.5</v>
      </c>
      <c r="AE1839" s="15">
        <v>45</v>
      </c>
      <c r="AF1839" s="15">
        <f>AE1839*AG1839</f>
        <v>135</v>
      </c>
      <c r="AG1839" s="16">
        <v>3</v>
      </c>
    </row>
    <row r="1840" spans="1:33" ht="15" customHeight="1" x14ac:dyDescent="0.2">
      <c r="A1840" s="11" t="str">
        <f>HYPERLINK("https://assets.vans.eu/images/VN000CTGYJ7-HERO/1","VN000CTGYJ71")</f>
        <v>VN000CTGYJ71</v>
      </c>
      <c r="B1840" s="12" t="s">
        <v>7046</v>
      </c>
      <c r="C1840" s="12" t="s">
        <v>238</v>
      </c>
      <c r="D1840" s="12" t="s">
        <v>1300</v>
      </c>
      <c r="E1840" s="12" t="s">
        <v>7047</v>
      </c>
      <c r="F1840" s="13">
        <v>45</v>
      </c>
      <c r="G1840" s="12" t="s">
        <v>1302</v>
      </c>
      <c r="H1840" s="12" t="s">
        <v>38</v>
      </c>
      <c r="I1840" s="12" t="s">
        <v>242</v>
      </c>
      <c r="J1840" s="12" t="s">
        <v>243</v>
      </c>
      <c r="K1840" s="12" t="s">
        <v>244</v>
      </c>
      <c r="L1840" s="14"/>
      <c r="M1840" s="12" t="s">
        <v>43</v>
      </c>
      <c r="N1840" s="12" t="s">
        <v>84</v>
      </c>
      <c r="O1840" s="12" t="s">
        <v>7048</v>
      </c>
      <c r="P1840" s="12" t="s">
        <v>46</v>
      </c>
      <c r="Q1840" s="12" t="s">
        <v>47</v>
      </c>
      <c r="R1840" s="12" t="s">
        <v>48</v>
      </c>
      <c r="S1840" s="13">
        <v>197804513642</v>
      </c>
      <c r="T1840" s="12" t="s">
        <v>164</v>
      </c>
      <c r="U1840" s="13">
        <v>20</v>
      </c>
      <c r="V1840" s="12" t="s">
        <v>50</v>
      </c>
      <c r="W1840" s="12" t="s">
        <v>51</v>
      </c>
      <c r="X1840" s="14"/>
      <c r="Y1840" s="14"/>
      <c r="Z1840" s="14"/>
      <c r="AA1840" s="14"/>
      <c r="AB1840" s="14"/>
      <c r="AC1840" s="15">
        <v>22.75</v>
      </c>
      <c r="AD1840" s="15">
        <f>AC1840*AG1840</f>
        <v>68.25</v>
      </c>
      <c r="AE1840" s="15">
        <v>50</v>
      </c>
      <c r="AF1840" s="15">
        <f>AE1840*AG1840</f>
        <v>150</v>
      </c>
      <c r="AG1840" s="16">
        <v>3</v>
      </c>
    </row>
    <row r="1841" spans="1:33" ht="15" customHeight="1" x14ac:dyDescent="0.2">
      <c r="A1841" s="11" t="str">
        <f>HYPERLINK("https://assets.vans.eu/images/VN000CVS4MG-HERO/1","VN000CVS4MG1")</f>
        <v>VN000CVS4MG1</v>
      </c>
      <c r="B1841" s="12" t="s">
        <v>7049</v>
      </c>
      <c r="C1841" s="12" t="s">
        <v>7050</v>
      </c>
      <c r="D1841" s="12" t="s">
        <v>7051</v>
      </c>
      <c r="E1841" s="12" t="s">
        <v>7052</v>
      </c>
      <c r="F1841" s="13">
        <v>40</v>
      </c>
      <c r="G1841" s="14"/>
      <c r="H1841" s="12" t="s">
        <v>38</v>
      </c>
      <c r="I1841" s="12" t="s">
        <v>159</v>
      </c>
      <c r="J1841" s="12" t="s">
        <v>160</v>
      </c>
      <c r="K1841" s="12" t="s">
        <v>82</v>
      </c>
      <c r="L1841" s="14"/>
      <c r="M1841" s="12" t="s">
        <v>43</v>
      </c>
      <c r="N1841" s="12" t="s">
        <v>161</v>
      </c>
      <c r="O1841" s="12" t="s">
        <v>7053</v>
      </c>
      <c r="P1841" s="12" t="s">
        <v>46</v>
      </c>
      <c r="Q1841" s="12" t="s">
        <v>47</v>
      </c>
      <c r="R1841" s="12" t="s">
        <v>1660</v>
      </c>
      <c r="S1841" s="13">
        <v>197065563271</v>
      </c>
      <c r="T1841" s="12" t="s">
        <v>49</v>
      </c>
      <c r="U1841" s="13">
        <v>35</v>
      </c>
      <c r="V1841" s="12" t="s">
        <v>50</v>
      </c>
      <c r="W1841" s="12" t="s">
        <v>51</v>
      </c>
      <c r="X1841" s="14"/>
      <c r="Y1841" s="12" t="s">
        <v>91</v>
      </c>
      <c r="Z1841" s="12" t="s">
        <v>165</v>
      </c>
      <c r="AA1841" s="14"/>
      <c r="AB1841" s="14"/>
      <c r="AC1841" s="15">
        <v>84.1</v>
      </c>
      <c r="AD1841" s="15">
        <f>AC1841*AG1841</f>
        <v>252.29999999999998</v>
      </c>
      <c r="AE1841" s="15">
        <v>185</v>
      </c>
      <c r="AF1841" s="15">
        <f>AE1841*AG1841</f>
        <v>555</v>
      </c>
      <c r="AG1841" s="16">
        <v>3</v>
      </c>
    </row>
    <row r="1842" spans="1:33" ht="15" customHeight="1" x14ac:dyDescent="0.2">
      <c r="A1842" s="11" t="str">
        <f>HYPERLINK("https://assets.vans.eu/images/VN000CVTCX6-HERO/1","VN000CVTCX61")</f>
        <v>VN000CVTCX61</v>
      </c>
      <c r="B1842" s="12" t="s">
        <v>7054</v>
      </c>
      <c r="C1842" s="12" t="s">
        <v>944</v>
      </c>
      <c r="D1842" s="12" t="s">
        <v>7055</v>
      </c>
      <c r="E1842" s="12" t="s">
        <v>7056</v>
      </c>
      <c r="F1842" s="13">
        <v>65</v>
      </c>
      <c r="G1842" s="14"/>
      <c r="H1842" s="12" t="s">
        <v>38</v>
      </c>
      <c r="I1842" s="12" t="s">
        <v>159</v>
      </c>
      <c r="J1842" s="12" t="s">
        <v>160</v>
      </c>
      <c r="K1842" s="12" t="s">
        <v>82</v>
      </c>
      <c r="L1842" s="14"/>
      <c r="M1842" s="12" t="s">
        <v>43</v>
      </c>
      <c r="N1842" s="12" t="s">
        <v>161</v>
      </c>
      <c r="O1842" s="12" t="s">
        <v>7057</v>
      </c>
      <c r="P1842" s="12" t="s">
        <v>46</v>
      </c>
      <c r="Q1842" s="12" t="s">
        <v>47</v>
      </c>
      <c r="R1842" s="12" t="s">
        <v>1660</v>
      </c>
      <c r="S1842" s="13">
        <v>197065715755</v>
      </c>
      <c r="T1842" s="12" t="s">
        <v>49</v>
      </c>
      <c r="U1842" s="13">
        <v>38.5</v>
      </c>
      <c r="V1842" s="12" t="s">
        <v>50</v>
      </c>
      <c r="W1842" s="12" t="s">
        <v>118</v>
      </c>
      <c r="X1842" s="14"/>
      <c r="Y1842" s="12" t="s">
        <v>91</v>
      </c>
      <c r="Z1842" s="12" t="s">
        <v>165</v>
      </c>
      <c r="AA1842" s="14"/>
      <c r="AB1842" s="14"/>
      <c r="AC1842" s="15">
        <v>65.95</v>
      </c>
      <c r="AD1842" s="15">
        <f>AC1842*AG1842</f>
        <v>197.85000000000002</v>
      </c>
      <c r="AE1842" s="15">
        <v>145</v>
      </c>
      <c r="AF1842" s="15">
        <f>AE1842*AG1842</f>
        <v>435</v>
      </c>
      <c r="AG1842" s="16">
        <v>3</v>
      </c>
    </row>
    <row r="1843" spans="1:33" ht="15" customHeight="1" x14ac:dyDescent="0.2">
      <c r="A1843" s="11" t="str">
        <f>HYPERLINK("https://assets.vans.eu/images/VN000CVTUOV-HERO/1","VN000CVTUOV1")</f>
        <v>VN000CVTUOV1</v>
      </c>
      <c r="B1843" s="12" t="s">
        <v>7058</v>
      </c>
      <c r="C1843" s="12" t="s">
        <v>944</v>
      </c>
      <c r="D1843" s="12" t="s">
        <v>7059</v>
      </c>
      <c r="E1843" s="12" t="s">
        <v>7060</v>
      </c>
      <c r="F1843" s="13">
        <v>40</v>
      </c>
      <c r="G1843" s="14"/>
      <c r="H1843" s="12" t="s">
        <v>38</v>
      </c>
      <c r="I1843" s="12" t="s">
        <v>113</v>
      </c>
      <c r="J1843" s="12" t="s">
        <v>114</v>
      </c>
      <c r="K1843" s="12" t="s">
        <v>82</v>
      </c>
      <c r="L1843" s="12" t="s">
        <v>115</v>
      </c>
      <c r="M1843" s="12" t="s">
        <v>43</v>
      </c>
      <c r="N1843" s="12" t="s">
        <v>161</v>
      </c>
      <c r="O1843" s="12" t="s">
        <v>7061</v>
      </c>
      <c r="P1843" s="12" t="s">
        <v>46</v>
      </c>
      <c r="Q1843" s="12" t="s">
        <v>47</v>
      </c>
      <c r="R1843" s="12" t="s">
        <v>948</v>
      </c>
      <c r="S1843" s="13">
        <v>197642647295</v>
      </c>
      <c r="T1843" s="12" t="s">
        <v>49</v>
      </c>
      <c r="U1843" s="13">
        <v>35</v>
      </c>
      <c r="V1843" s="12" t="s">
        <v>50</v>
      </c>
      <c r="W1843" s="12" t="s">
        <v>175</v>
      </c>
      <c r="X1843" s="14"/>
      <c r="Y1843" s="12" t="s">
        <v>91</v>
      </c>
      <c r="Z1843" s="12" t="s">
        <v>92</v>
      </c>
      <c r="AA1843" s="12" t="s">
        <v>3224</v>
      </c>
      <c r="AB1843" s="12" t="s">
        <v>94</v>
      </c>
      <c r="AC1843" s="15">
        <v>65.95</v>
      </c>
      <c r="AD1843" s="15">
        <f>AC1843*AG1843</f>
        <v>197.85000000000002</v>
      </c>
      <c r="AE1843" s="15">
        <v>145</v>
      </c>
      <c r="AF1843" s="15">
        <f>AE1843*AG1843</f>
        <v>435</v>
      </c>
      <c r="AG1843" s="16">
        <v>3</v>
      </c>
    </row>
    <row r="1844" spans="1:33" ht="15" customHeight="1" x14ac:dyDescent="0.2">
      <c r="A1844" s="11" t="str">
        <f t="shared" ref="A1844:A2486" si="770">HYPERLINK("https://assets.vans.eu/images/VN000CVU85T-HERO/1","VN000CVU85T1")</f>
        <v>VN000CVU85T1</v>
      </c>
      <c r="B1844" s="12" t="s">
        <v>7062</v>
      </c>
      <c r="C1844" s="12" t="s">
        <v>2993</v>
      </c>
      <c r="D1844" s="12" t="s">
        <v>4774</v>
      </c>
      <c r="E1844" s="12" t="s">
        <v>7063</v>
      </c>
      <c r="F1844" s="13">
        <v>40</v>
      </c>
      <c r="G1844" s="14"/>
      <c r="H1844" s="12" t="s">
        <v>38</v>
      </c>
      <c r="I1844" s="12" t="s">
        <v>159</v>
      </c>
      <c r="J1844" s="12" t="s">
        <v>255</v>
      </c>
      <c r="K1844" s="12" t="s">
        <v>82</v>
      </c>
      <c r="L1844" s="14"/>
      <c r="M1844" s="12" t="s">
        <v>43</v>
      </c>
      <c r="N1844" s="12" t="s">
        <v>161</v>
      </c>
      <c r="O1844" s="12" t="s">
        <v>7064</v>
      </c>
      <c r="P1844" s="12" t="s">
        <v>46</v>
      </c>
      <c r="Q1844" s="12" t="s">
        <v>47</v>
      </c>
      <c r="R1844" s="12" t="s">
        <v>343</v>
      </c>
      <c r="S1844" s="13">
        <v>197065566586</v>
      </c>
      <c r="T1844" s="12" t="s">
        <v>49</v>
      </c>
      <c r="U1844" s="13">
        <v>35</v>
      </c>
      <c r="V1844" s="12" t="s">
        <v>278</v>
      </c>
      <c r="W1844" s="12" t="s">
        <v>455</v>
      </c>
      <c r="X1844" s="14"/>
      <c r="Y1844" s="12" t="s">
        <v>91</v>
      </c>
      <c r="Z1844" s="12" t="s">
        <v>165</v>
      </c>
      <c r="AA1844" s="14"/>
      <c r="AB1844" s="14"/>
      <c r="AC1844" s="15">
        <v>63.65</v>
      </c>
      <c r="AD1844" s="15">
        <f>AC1844*AG1844</f>
        <v>190.95</v>
      </c>
      <c r="AE1844" s="15">
        <v>140</v>
      </c>
      <c r="AF1844" s="15">
        <f>AE1844*AG1844</f>
        <v>420</v>
      </c>
      <c r="AG1844" s="16">
        <v>3</v>
      </c>
    </row>
    <row r="1845" spans="1:33" ht="15" customHeight="1" x14ac:dyDescent="0.2">
      <c r="A1845" s="11" t="str">
        <f>HYPERLINK("https://assets.vans.eu/images/VN000CVUN1Z-HERO/1","VN000CVUN1Z1")</f>
        <v>VN000CVUN1Z1</v>
      </c>
      <c r="B1845" s="12" t="s">
        <v>7065</v>
      </c>
      <c r="C1845" s="12" t="s">
        <v>2993</v>
      </c>
      <c r="D1845" s="12" t="s">
        <v>1656</v>
      </c>
      <c r="E1845" s="12" t="s">
        <v>7066</v>
      </c>
      <c r="F1845" s="13">
        <v>40</v>
      </c>
      <c r="G1845" s="14"/>
      <c r="H1845" s="12" t="s">
        <v>38</v>
      </c>
      <c r="I1845" s="12" t="s">
        <v>159</v>
      </c>
      <c r="J1845" s="12" t="s">
        <v>255</v>
      </c>
      <c r="K1845" s="12" t="s">
        <v>82</v>
      </c>
      <c r="L1845" s="14"/>
      <c r="M1845" s="12" t="s">
        <v>43</v>
      </c>
      <c r="N1845" s="12" t="s">
        <v>161</v>
      </c>
      <c r="O1845" s="12" t="s">
        <v>7067</v>
      </c>
      <c r="P1845" s="12" t="s">
        <v>46</v>
      </c>
      <c r="Q1845" s="12" t="s">
        <v>47</v>
      </c>
      <c r="R1845" s="12" t="s">
        <v>343</v>
      </c>
      <c r="S1845" s="13">
        <v>197065569334</v>
      </c>
      <c r="T1845" s="12" t="s">
        <v>49</v>
      </c>
      <c r="U1845" s="13">
        <v>35</v>
      </c>
      <c r="V1845" s="12" t="s">
        <v>278</v>
      </c>
      <c r="W1845" s="12" t="s">
        <v>186</v>
      </c>
      <c r="X1845" s="14"/>
      <c r="Y1845" s="12" t="s">
        <v>91</v>
      </c>
      <c r="Z1845" s="12" t="s">
        <v>165</v>
      </c>
      <c r="AA1845" s="14"/>
      <c r="AB1845" s="14"/>
      <c r="AC1845" s="15">
        <v>63.65</v>
      </c>
      <c r="AD1845" s="15">
        <f>AC1845*AG1845</f>
        <v>190.95</v>
      </c>
      <c r="AE1845" s="15">
        <v>140</v>
      </c>
      <c r="AF1845" s="15">
        <f>AE1845*AG1845</f>
        <v>420</v>
      </c>
      <c r="AG1845" s="16">
        <v>3</v>
      </c>
    </row>
    <row r="1846" spans="1:33" ht="15" customHeight="1" x14ac:dyDescent="0.2">
      <c r="A1846" s="11" t="str">
        <f t="shared" si="518"/>
        <v>VN000CVUPRP1</v>
      </c>
      <c r="B1846" s="12" t="s">
        <v>7068</v>
      </c>
      <c r="C1846" s="12" t="s">
        <v>2993</v>
      </c>
      <c r="D1846" s="12" t="s">
        <v>526</v>
      </c>
      <c r="E1846" s="12" t="s">
        <v>7069</v>
      </c>
      <c r="F1846" s="13">
        <v>40</v>
      </c>
      <c r="G1846" s="14"/>
      <c r="H1846" s="12" t="s">
        <v>38</v>
      </c>
      <c r="I1846" s="12" t="s">
        <v>113</v>
      </c>
      <c r="J1846" s="12" t="s">
        <v>529</v>
      </c>
      <c r="K1846" s="12" t="s">
        <v>82</v>
      </c>
      <c r="L1846" s="14"/>
      <c r="M1846" s="12" t="s">
        <v>43</v>
      </c>
      <c r="N1846" s="12" t="s">
        <v>161</v>
      </c>
      <c r="O1846" s="12" t="s">
        <v>7070</v>
      </c>
      <c r="P1846" s="12" t="s">
        <v>46</v>
      </c>
      <c r="Q1846" s="12" t="s">
        <v>47</v>
      </c>
      <c r="R1846" s="12" t="s">
        <v>2179</v>
      </c>
      <c r="S1846" s="13">
        <v>197065569860</v>
      </c>
      <c r="T1846" s="12" t="s">
        <v>49</v>
      </c>
      <c r="U1846" s="13">
        <v>35</v>
      </c>
      <c r="V1846" s="12" t="s">
        <v>278</v>
      </c>
      <c r="W1846" s="12" t="s">
        <v>107</v>
      </c>
      <c r="X1846" s="14"/>
      <c r="Y1846" s="12" t="s">
        <v>91</v>
      </c>
      <c r="Z1846" s="12" t="s">
        <v>165</v>
      </c>
      <c r="AA1846" s="14"/>
      <c r="AB1846" s="14"/>
      <c r="AC1846" s="15">
        <v>63.65</v>
      </c>
      <c r="AD1846" s="15">
        <f>AC1846*AG1846</f>
        <v>190.95</v>
      </c>
      <c r="AE1846" s="15">
        <v>140</v>
      </c>
      <c r="AF1846" s="15">
        <f>AE1846*AG1846</f>
        <v>420</v>
      </c>
      <c r="AG1846" s="16">
        <v>3</v>
      </c>
    </row>
    <row r="1847" spans="1:33" ht="15" customHeight="1" x14ac:dyDescent="0.2">
      <c r="A1847" s="11" t="str">
        <f>HYPERLINK("https://assets.vans.eu/images/VN000CVUPRP-HERO/1","VN000CVUPRP1")</f>
        <v>VN000CVUPRP1</v>
      </c>
      <c r="B1847" s="12" t="s">
        <v>7071</v>
      </c>
      <c r="C1847" s="12" t="s">
        <v>2993</v>
      </c>
      <c r="D1847" s="12" t="s">
        <v>526</v>
      </c>
      <c r="E1847" s="12" t="s">
        <v>7072</v>
      </c>
      <c r="F1847" s="13">
        <v>130</v>
      </c>
      <c r="G1847" s="14"/>
      <c r="H1847" s="12" t="s">
        <v>38</v>
      </c>
      <c r="I1847" s="12" t="s">
        <v>113</v>
      </c>
      <c r="J1847" s="12" t="s">
        <v>529</v>
      </c>
      <c r="K1847" s="12" t="s">
        <v>82</v>
      </c>
      <c r="L1847" s="14"/>
      <c r="M1847" s="12" t="s">
        <v>43</v>
      </c>
      <c r="N1847" s="12" t="s">
        <v>161</v>
      </c>
      <c r="O1847" s="12" t="s">
        <v>7073</v>
      </c>
      <c r="P1847" s="12" t="s">
        <v>46</v>
      </c>
      <c r="Q1847" s="12" t="s">
        <v>47</v>
      </c>
      <c r="R1847" s="12" t="s">
        <v>2179</v>
      </c>
      <c r="S1847" s="13">
        <v>197065573720</v>
      </c>
      <c r="T1847" s="12" t="s">
        <v>49</v>
      </c>
      <c r="U1847" s="13">
        <v>47</v>
      </c>
      <c r="V1847" s="12" t="s">
        <v>278</v>
      </c>
      <c r="W1847" s="12" t="s">
        <v>107</v>
      </c>
      <c r="X1847" s="14"/>
      <c r="Y1847" s="12" t="s">
        <v>91</v>
      </c>
      <c r="Z1847" s="12" t="s">
        <v>165</v>
      </c>
      <c r="AA1847" s="14"/>
      <c r="AB1847" s="14"/>
      <c r="AC1847" s="15">
        <v>63.65</v>
      </c>
      <c r="AD1847" s="15">
        <f>AC1847*AG1847</f>
        <v>190.95</v>
      </c>
      <c r="AE1847" s="15">
        <v>140</v>
      </c>
      <c r="AF1847" s="15">
        <f>AE1847*AG1847</f>
        <v>420</v>
      </c>
      <c r="AG1847" s="16">
        <v>3</v>
      </c>
    </row>
    <row r="1848" spans="1:33" ht="15" customHeight="1" x14ac:dyDescent="0.2">
      <c r="A1848" s="11" t="str">
        <f t="shared" si="228"/>
        <v>VN000CVVKAQ1</v>
      </c>
      <c r="B1848" s="12" t="s">
        <v>7074</v>
      </c>
      <c r="C1848" s="12" t="s">
        <v>2407</v>
      </c>
      <c r="D1848" s="12" t="s">
        <v>2408</v>
      </c>
      <c r="E1848" s="12" t="s">
        <v>7075</v>
      </c>
      <c r="F1848" s="13">
        <v>80</v>
      </c>
      <c r="G1848" s="14"/>
      <c r="H1848" s="12" t="s">
        <v>38</v>
      </c>
      <c r="I1848" s="12" t="s">
        <v>113</v>
      </c>
      <c r="J1848" s="12" t="s">
        <v>529</v>
      </c>
      <c r="K1848" s="12" t="s">
        <v>82</v>
      </c>
      <c r="L1848" s="14"/>
      <c r="M1848" s="12" t="s">
        <v>43</v>
      </c>
      <c r="N1848" s="12" t="s">
        <v>161</v>
      </c>
      <c r="O1848" s="12" t="s">
        <v>7076</v>
      </c>
      <c r="P1848" s="12" t="s">
        <v>46</v>
      </c>
      <c r="Q1848" s="12" t="s">
        <v>47</v>
      </c>
      <c r="R1848" s="12" t="s">
        <v>117</v>
      </c>
      <c r="S1848" s="13">
        <v>197065572785</v>
      </c>
      <c r="T1848" s="12" t="s">
        <v>49</v>
      </c>
      <c r="U1848" s="13">
        <v>40.5</v>
      </c>
      <c r="V1848" s="12" t="s">
        <v>278</v>
      </c>
      <c r="W1848" s="12" t="s">
        <v>455</v>
      </c>
      <c r="X1848" s="14"/>
      <c r="Y1848" s="12" t="s">
        <v>91</v>
      </c>
      <c r="Z1848" s="12" t="s">
        <v>165</v>
      </c>
      <c r="AA1848" s="14"/>
      <c r="AB1848" s="14"/>
      <c r="AC1848" s="15">
        <v>68.2</v>
      </c>
      <c r="AD1848" s="15">
        <f>AC1848*AG1848</f>
        <v>204.60000000000002</v>
      </c>
      <c r="AE1848" s="15">
        <v>150</v>
      </c>
      <c r="AF1848" s="15">
        <f>AE1848*AG1848</f>
        <v>450</v>
      </c>
      <c r="AG1848" s="16">
        <v>3</v>
      </c>
    </row>
    <row r="1849" spans="1:33" ht="15" customHeight="1" x14ac:dyDescent="0.2">
      <c r="A1849" s="11" t="str">
        <f>HYPERLINK("https://assets.vans.eu/images/VN000CWEBER-HERO/1","VN000CWEBER1")</f>
        <v>VN000CWEBER1</v>
      </c>
      <c r="B1849" s="12" t="s">
        <v>7077</v>
      </c>
      <c r="C1849" s="12" t="s">
        <v>1248</v>
      </c>
      <c r="D1849" s="12" t="s">
        <v>7078</v>
      </c>
      <c r="E1849" s="12" t="s">
        <v>7079</v>
      </c>
      <c r="F1849" s="13">
        <v>40</v>
      </c>
      <c r="G1849" s="14"/>
      <c r="H1849" s="12" t="s">
        <v>38</v>
      </c>
      <c r="I1849" s="12" t="s">
        <v>159</v>
      </c>
      <c r="J1849" s="12" t="s">
        <v>255</v>
      </c>
      <c r="K1849" s="12" t="s">
        <v>82</v>
      </c>
      <c r="L1849" s="14"/>
      <c r="M1849" s="12" t="s">
        <v>43</v>
      </c>
      <c r="N1849" s="12" t="s">
        <v>44</v>
      </c>
      <c r="O1849" s="12" t="s">
        <v>7080</v>
      </c>
      <c r="P1849" s="12" t="s">
        <v>46</v>
      </c>
      <c r="Q1849" s="12" t="s">
        <v>47</v>
      </c>
      <c r="R1849" s="12" t="s">
        <v>163</v>
      </c>
      <c r="S1849" s="13">
        <v>197643249535</v>
      </c>
      <c r="T1849" s="12" t="s">
        <v>49</v>
      </c>
      <c r="U1849" s="13">
        <v>35</v>
      </c>
      <c r="V1849" s="12" t="s">
        <v>50</v>
      </c>
      <c r="W1849" s="12" t="s">
        <v>284</v>
      </c>
      <c r="X1849" s="14"/>
      <c r="Y1849" s="12" t="s">
        <v>91</v>
      </c>
      <c r="Z1849" s="12" t="s">
        <v>165</v>
      </c>
      <c r="AA1849" s="14"/>
      <c r="AB1849" s="14"/>
      <c r="AC1849" s="15">
        <v>59.1</v>
      </c>
      <c r="AD1849" s="15">
        <f>AC1849*AG1849</f>
        <v>177.3</v>
      </c>
      <c r="AE1849" s="15">
        <v>130</v>
      </c>
      <c r="AF1849" s="15">
        <f>AE1849*AG1849</f>
        <v>390</v>
      </c>
      <c r="AG1849" s="16">
        <v>3</v>
      </c>
    </row>
    <row r="1850" spans="1:33" ht="15" customHeight="1" x14ac:dyDescent="0.2">
      <c r="A1850" s="11" t="str">
        <f t="shared" ref="A1850:A2510" si="771">HYPERLINK("https://assets.vans.eu/images/VN000CWEBLU-HERO/1","VN000CWEBLU1")</f>
        <v>VN000CWEBLU1</v>
      </c>
      <c r="B1850" s="12" t="s">
        <v>7081</v>
      </c>
      <c r="C1850" s="12" t="s">
        <v>1248</v>
      </c>
      <c r="D1850" s="12" t="s">
        <v>4910</v>
      </c>
      <c r="E1850" s="12" t="s">
        <v>7082</v>
      </c>
      <c r="F1850" s="13">
        <v>80</v>
      </c>
      <c r="G1850" s="12" t="s">
        <v>4912</v>
      </c>
      <c r="H1850" s="12" t="s">
        <v>38</v>
      </c>
      <c r="I1850" s="12" t="s">
        <v>113</v>
      </c>
      <c r="J1850" s="12" t="s">
        <v>529</v>
      </c>
      <c r="K1850" s="12" t="s">
        <v>82</v>
      </c>
      <c r="L1850" s="14"/>
      <c r="M1850" s="12" t="s">
        <v>43</v>
      </c>
      <c r="N1850" s="12" t="s">
        <v>161</v>
      </c>
      <c r="O1850" s="12" t="s">
        <v>7083</v>
      </c>
      <c r="P1850" s="12" t="s">
        <v>46</v>
      </c>
      <c r="Q1850" s="12" t="s">
        <v>47</v>
      </c>
      <c r="R1850" s="12" t="s">
        <v>117</v>
      </c>
      <c r="S1850" s="13">
        <v>197065665982</v>
      </c>
      <c r="T1850" s="12" t="s">
        <v>49</v>
      </c>
      <c r="U1850" s="13">
        <v>40.5</v>
      </c>
      <c r="V1850" s="12" t="s">
        <v>50</v>
      </c>
      <c r="W1850" s="12" t="s">
        <v>284</v>
      </c>
      <c r="X1850" s="14"/>
      <c r="Y1850" s="12" t="s">
        <v>91</v>
      </c>
      <c r="Z1850" s="12" t="s">
        <v>165</v>
      </c>
      <c r="AA1850" s="14"/>
      <c r="AB1850" s="14"/>
      <c r="AC1850" s="15">
        <v>59.1</v>
      </c>
      <c r="AD1850" s="15">
        <f>AC1850*AG1850</f>
        <v>177.3</v>
      </c>
      <c r="AE1850" s="15">
        <v>130</v>
      </c>
      <c r="AF1850" s="15">
        <f>AE1850*AG1850</f>
        <v>390</v>
      </c>
      <c r="AG1850" s="16">
        <v>3</v>
      </c>
    </row>
    <row r="1851" spans="1:33" ht="15" customHeight="1" x14ac:dyDescent="0.2">
      <c r="A1851" s="11" t="str">
        <f t="shared" ref="A1851:A3966" si="772">HYPERLINK("https://assets.vans.eu/images/VN000CWEN1Z-HERO/1","VN000CWEN1Z1")</f>
        <v>VN000CWEN1Z1</v>
      </c>
      <c r="B1851" s="12" t="s">
        <v>7084</v>
      </c>
      <c r="C1851" s="12" t="s">
        <v>1248</v>
      </c>
      <c r="D1851" s="12" t="s">
        <v>1656</v>
      </c>
      <c r="E1851" s="12" t="s">
        <v>7085</v>
      </c>
      <c r="F1851" s="13">
        <v>40</v>
      </c>
      <c r="G1851" s="14"/>
      <c r="H1851" s="12" t="s">
        <v>38</v>
      </c>
      <c r="I1851" s="12" t="s">
        <v>159</v>
      </c>
      <c r="J1851" s="12" t="s">
        <v>255</v>
      </c>
      <c r="K1851" s="12" t="s">
        <v>82</v>
      </c>
      <c r="L1851" s="14"/>
      <c r="M1851" s="12" t="s">
        <v>43</v>
      </c>
      <c r="N1851" s="12" t="s">
        <v>161</v>
      </c>
      <c r="O1851" s="12" t="s">
        <v>7086</v>
      </c>
      <c r="P1851" s="12" t="s">
        <v>46</v>
      </c>
      <c r="Q1851" s="12" t="s">
        <v>47</v>
      </c>
      <c r="R1851" s="12" t="s">
        <v>163</v>
      </c>
      <c r="S1851" s="13">
        <v>197065665845</v>
      </c>
      <c r="T1851" s="12" t="s">
        <v>49</v>
      </c>
      <c r="U1851" s="13">
        <v>35</v>
      </c>
      <c r="V1851" s="12" t="s">
        <v>50</v>
      </c>
      <c r="W1851" s="12" t="s">
        <v>186</v>
      </c>
      <c r="X1851" s="14"/>
      <c r="Y1851" s="12" t="s">
        <v>91</v>
      </c>
      <c r="Z1851" s="12" t="s">
        <v>165</v>
      </c>
      <c r="AA1851" s="14"/>
      <c r="AB1851" s="14"/>
      <c r="AC1851" s="15">
        <v>59.1</v>
      </c>
      <c r="AD1851" s="15">
        <f>AC1851*AG1851</f>
        <v>177.3</v>
      </c>
      <c r="AE1851" s="15">
        <v>130</v>
      </c>
      <c r="AF1851" s="15">
        <f>AE1851*AG1851</f>
        <v>390</v>
      </c>
      <c r="AG1851" s="16">
        <v>3</v>
      </c>
    </row>
    <row r="1852" spans="1:33" ht="15" customHeight="1" x14ac:dyDescent="0.2">
      <c r="A1852" s="11" t="str">
        <f>HYPERLINK("https://assets.vans.eu/images/VN000CYKEN7-HERO/1","VN000CYKEN71")</f>
        <v>VN000CYKEN71</v>
      </c>
      <c r="B1852" s="12" t="s">
        <v>7087</v>
      </c>
      <c r="C1852" s="12" t="s">
        <v>2125</v>
      </c>
      <c r="D1852" s="12" t="s">
        <v>295</v>
      </c>
      <c r="E1852" s="12" t="s">
        <v>7088</v>
      </c>
      <c r="F1852" s="13">
        <v>10</v>
      </c>
      <c r="G1852" s="12" t="s">
        <v>643</v>
      </c>
      <c r="H1852" s="12" t="s">
        <v>38</v>
      </c>
      <c r="I1852" s="12" t="s">
        <v>39</v>
      </c>
      <c r="J1852" s="12" t="s">
        <v>2430</v>
      </c>
      <c r="K1852" s="12" t="s">
        <v>41</v>
      </c>
      <c r="L1852" s="14"/>
      <c r="M1852" s="12" t="s">
        <v>43</v>
      </c>
      <c r="N1852" s="12" t="s">
        <v>84</v>
      </c>
      <c r="O1852" s="12" t="s">
        <v>7089</v>
      </c>
      <c r="P1852" s="12" t="s">
        <v>46</v>
      </c>
      <c r="Q1852" s="12" t="s">
        <v>47</v>
      </c>
      <c r="R1852" s="12" t="s">
        <v>48</v>
      </c>
      <c r="S1852" s="13">
        <v>197804575947</v>
      </c>
      <c r="T1852" s="12" t="s">
        <v>49</v>
      </c>
      <c r="U1852" s="13">
        <v>31.5</v>
      </c>
      <c r="V1852" s="12" t="s">
        <v>278</v>
      </c>
      <c r="W1852" s="12" t="s">
        <v>299</v>
      </c>
      <c r="X1852" s="14"/>
      <c r="Y1852" s="14"/>
      <c r="Z1852" s="14"/>
      <c r="AA1852" s="14"/>
      <c r="AB1852" s="14"/>
      <c r="AC1852" s="15">
        <v>27.3</v>
      </c>
      <c r="AD1852" s="15">
        <f>AC1852*AG1852</f>
        <v>81.900000000000006</v>
      </c>
      <c r="AE1852" s="15">
        <v>60</v>
      </c>
      <c r="AF1852" s="15">
        <f>AE1852*AG1852</f>
        <v>180</v>
      </c>
      <c r="AG1852" s="16">
        <v>3</v>
      </c>
    </row>
    <row r="1853" spans="1:33" ht="15" customHeight="1" x14ac:dyDescent="0.2">
      <c r="A1853" s="11" t="str">
        <f t="shared" ref="A1853:A2524" si="773">HYPERLINK("https://assets.vans.eu/images/VN000CYUE2T-HERO/1","VN000CYUE2T1")</f>
        <v>VN000CYUE2T1</v>
      </c>
      <c r="B1853" s="12" t="s">
        <v>7090</v>
      </c>
      <c r="C1853" s="12" t="s">
        <v>110</v>
      </c>
      <c r="D1853" s="12" t="s">
        <v>7091</v>
      </c>
      <c r="E1853" s="12" t="s">
        <v>7092</v>
      </c>
      <c r="F1853" s="13">
        <v>105</v>
      </c>
      <c r="G1853" s="12" t="s">
        <v>7093</v>
      </c>
      <c r="H1853" s="12" t="s">
        <v>38</v>
      </c>
      <c r="I1853" s="12" t="s">
        <v>39</v>
      </c>
      <c r="J1853" s="12" t="s">
        <v>40</v>
      </c>
      <c r="K1853" s="12" t="s">
        <v>41</v>
      </c>
      <c r="L1853" s="14"/>
      <c r="M1853" s="12" t="s">
        <v>43</v>
      </c>
      <c r="N1853" s="12" t="s">
        <v>44</v>
      </c>
      <c r="O1853" s="12" t="s">
        <v>7094</v>
      </c>
      <c r="P1853" s="12" t="s">
        <v>46</v>
      </c>
      <c r="Q1853" s="12" t="s">
        <v>47</v>
      </c>
      <c r="R1853" s="12" t="s">
        <v>48</v>
      </c>
      <c r="S1853" s="13">
        <v>197643172239</v>
      </c>
      <c r="T1853" s="12" t="s">
        <v>105</v>
      </c>
      <c r="U1853" s="13">
        <v>27</v>
      </c>
      <c r="V1853" s="12" t="s">
        <v>50</v>
      </c>
      <c r="W1853" s="12" t="s">
        <v>107</v>
      </c>
      <c r="X1853" s="14"/>
      <c r="Y1853" s="12" t="s">
        <v>91</v>
      </c>
      <c r="Z1853" s="12" t="s">
        <v>165</v>
      </c>
      <c r="AA1853" s="14"/>
      <c r="AB1853" s="14"/>
      <c r="AC1853" s="15">
        <v>29.55</v>
      </c>
      <c r="AD1853" s="15">
        <f>AC1853*AG1853</f>
        <v>88.65</v>
      </c>
      <c r="AE1853" s="15">
        <v>65</v>
      </c>
      <c r="AF1853" s="15">
        <f>AE1853*AG1853</f>
        <v>195</v>
      </c>
      <c r="AG1853" s="16">
        <v>3</v>
      </c>
    </row>
    <row r="1854" spans="1:33" ht="15" customHeight="1" x14ac:dyDescent="0.2">
      <c r="A1854" s="11" t="str">
        <f t="shared" si="523"/>
        <v>VN000CYUEN61</v>
      </c>
      <c r="B1854" s="12" t="s">
        <v>7095</v>
      </c>
      <c r="C1854" s="12" t="s">
        <v>110</v>
      </c>
      <c r="D1854" s="12" t="s">
        <v>189</v>
      </c>
      <c r="E1854" s="12" t="s">
        <v>7096</v>
      </c>
      <c r="F1854" s="13">
        <v>15</v>
      </c>
      <c r="G1854" s="14"/>
      <c r="H1854" s="12" t="s">
        <v>38</v>
      </c>
      <c r="I1854" s="12" t="s">
        <v>39</v>
      </c>
      <c r="J1854" s="12" t="s">
        <v>40</v>
      </c>
      <c r="K1854" s="12" t="s">
        <v>41</v>
      </c>
      <c r="L1854" s="14"/>
      <c r="M1854" s="12" t="s">
        <v>43</v>
      </c>
      <c r="N1854" s="12" t="s">
        <v>84</v>
      </c>
      <c r="O1854" s="12" t="s">
        <v>7097</v>
      </c>
      <c r="P1854" s="12" t="s">
        <v>46</v>
      </c>
      <c r="Q1854" s="12" t="s">
        <v>47</v>
      </c>
      <c r="R1854" s="12" t="s">
        <v>48</v>
      </c>
      <c r="S1854" s="13">
        <v>197804433742</v>
      </c>
      <c r="T1854" s="12" t="s">
        <v>105</v>
      </c>
      <c r="U1854" s="13">
        <v>32</v>
      </c>
      <c r="V1854" s="12" t="s">
        <v>50</v>
      </c>
      <c r="W1854" s="12" t="s">
        <v>118</v>
      </c>
      <c r="X1854" s="14"/>
      <c r="Y1854" s="14"/>
      <c r="Z1854" s="14"/>
      <c r="AA1854" s="14"/>
      <c r="AB1854" s="14"/>
      <c r="AC1854" s="15">
        <v>29.55</v>
      </c>
      <c r="AD1854" s="15">
        <f>AC1854*AG1854</f>
        <v>88.65</v>
      </c>
      <c r="AE1854" s="15">
        <v>65</v>
      </c>
      <c r="AF1854" s="15">
        <f>AE1854*AG1854</f>
        <v>195</v>
      </c>
      <c r="AG1854" s="16">
        <v>3</v>
      </c>
    </row>
    <row r="1855" spans="1:33" ht="15" customHeight="1" x14ac:dyDescent="0.2">
      <c r="A1855" s="11" t="str">
        <f t="shared" si="611"/>
        <v>VN000CYVENA1</v>
      </c>
      <c r="B1855" s="12" t="s">
        <v>7098</v>
      </c>
      <c r="C1855" s="12" t="s">
        <v>34</v>
      </c>
      <c r="D1855" s="12" t="s">
        <v>280</v>
      </c>
      <c r="E1855" s="12" t="s">
        <v>7099</v>
      </c>
      <c r="F1855" s="13">
        <v>115</v>
      </c>
      <c r="G1855" s="12" t="s">
        <v>3002</v>
      </c>
      <c r="H1855" s="12" t="s">
        <v>38</v>
      </c>
      <c r="I1855" s="12" t="s">
        <v>39</v>
      </c>
      <c r="J1855" s="12" t="s">
        <v>40</v>
      </c>
      <c r="K1855" s="12" t="s">
        <v>41</v>
      </c>
      <c r="L1855" s="14"/>
      <c r="M1855" s="12" t="s">
        <v>43</v>
      </c>
      <c r="N1855" s="12" t="s">
        <v>84</v>
      </c>
      <c r="O1855" s="12" t="s">
        <v>7100</v>
      </c>
      <c r="P1855" s="12" t="s">
        <v>46</v>
      </c>
      <c r="Q1855" s="12" t="s">
        <v>47</v>
      </c>
      <c r="R1855" s="12" t="s">
        <v>48</v>
      </c>
      <c r="S1855" s="13">
        <v>197804518197</v>
      </c>
      <c r="T1855" s="12" t="s">
        <v>105</v>
      </c>
      <c r="U1855" s="13">
        <v>28</v>
      </c>
      <c r="V1855" s="12" t="s">
        <v>50</v>
      </c>
      <c r="W1855" s="12" t="s">
        <v>284</v>
      </c>
      <c r="X1855" s="14"/>
      <c r="Y1855" s="14"/>
      <c r="Z1855" s="14"/>
      <c r="AA1855" s="14"/>
      <c r="AB1855" s="14"/>
      <c r="AC1855" s="15">
        <v>25</v>
      </c>
      <c r="AD1855" s="15">
        <f>AC1855*AG1855</f>
        <v>75</v>
      </c>
      <c r="AE1855" s="15">
        <v>55</v>
      </c>
      <c r="AF1855" s="15">
        <f>AE1855*AG1855</f>
        <v>165</v>
      </c>
      <c r="AG1855" s="16">
        <v>3</v>
      </c>
    </row>
    <row r="1856" spans="1:33" ht="15" customHeight="1" x14ac:dyDescent="0.2">
      <c r="A1856" s="11" t="str">
        <f t="shared" ref="A1856:A1857" si="774">HYPERLINK("https://assets.vans.eu/images/VN000CZ7BLA-HERO/1","VN000CZ7BLA1")</f>
        <v>VN000CZ7BLA1</v>
      </c>
      <c r="B1856" s="12" t="s">
        <v>7101</v>
      </c>
      <c r="C1856" s="12" t="s">
        <v>2412</v>
      </c>
      <c r="D1856" s="12" t="s">
        <v>919</v>
      </c>
      <c r="E1856" s="12" t="s">
        <v>7102</v>
      </c>
      <c r="F1856" s="13">
        <v>125</v>
      </c>
      <c r="G1856" s="12" t="s">
        <v>4948</v>
      </c>
      <c r="H1856" s="12" t="s">
        <v>38</v>
      </c>
      <c r="I1856" s="12" t="s">
        <v>39</v>
      </c>
      <c r="J1856" s="12" t="s">
        <v>40</v>
      </c>
      <c r="K1856" s="12" t="s">
        <v>41</v>
      </c>
      <c r="L1856" s="14"/>
      <c r="M1856" s="12" t="s">
        <v>43</v>
      </c>
      <c r="N1856" s="12" t="s">
        <v>84</v>
      </c>
      <c r="O1856" s="12" t="s">
        <v>7103</v>
      </c>
      <c r="P1856" s="12" t="s">
        <v>46</v>
      </c>
      <c r="Q1856" s="12" t="s">
        <v>47</v>
      </c>
      <c r="R1856" s="12" t="s">
        <v>313</v>
      </c>
      <c r="S1856" s="13">
        <v>197804519811</v>
      </c>
      <c r="T1856" s="12" t="s">
        <v>105</v>
      </c>
      <c r="U1856" s="13">
        <v>30</v>
      </c>
      <c r="V1856" s="12" t="s">
        <v>50</v>
      </c>
      <c r="W1856" s="12" t="s">
        <v>51</v>
      </c>
      <c r="X1856" s="14"/>
      <c r="Y1856" s="14"/>
      <c r="Z1856" s="14"/>
      <c r="AA1856" s="14"/>
      <c r="AB1856" s="14"/>
      <c r="AC1856" s="15">
        <v>31.85</v>
      </c>
      <c r="AD1856" s="15">
        <f>AC1856*AG1856</f>
        <v>95.550000000000011</v>
      </c>
      <c r="AE1856" s="15">
        <v>70</v>
      </c>
      <c r="AF1856" s="15">
        <f>AE1856*AG1856</f>
        <v>210</v>
      </c>
      <c r="AG1856" s="16">
        <v>3</v>
      </c>
    </row>
    <row r="1857" spans="1:33" ht="15" customHeight="1" x14ac:dyDescent="0.2">
      <c r="A1857" s="11" t="str">
        <f t="shared" si="774"/>
        <v>VN000CZ7BLA1</v>
      </c>
      <c r="B1857" s="12" t="s">
        <v>7104</v>
      </c>
      <c r="C1857" s="12" t="s">
        <v>2412</v>
      </c>
      <c r="D1857" s="12" t="s">
        <v>919</v>
      </c>
      <c r="E1857" s="12" t="s">
        <v>7105</v>
      </c>
      <c r="F1857" s="13">
        <v>135</v>
      </c>
      <c r="G1857" s="12" t="s">
        <v>4948</v>
      </c>
      <c r="H1857" s="12" t="s">
        <v>38</v>
      </c>
      <c r="I1857" s="12" t="s">
        <v>39</v>
      </c>
      <c r="J1857" s="12" t="s">
        <v>40</v>
      </c>
      <c r="K1857" s="12" t="s">
        <v>41</v>
      </c>
      <c r="L1857" s="14"/>
      <c r="M1857" s="12" t="s">
        <v>43</v>
      </c>
      <c r="N1857" s="12" t="s">
        <v>84</v>
      </c>
      <c r="O1857" s="12" t="s">
        <v>7106</v>
      </c>
      <c r="P1857" s="12" t="s">
        <v>46</v>
      </c>
      <c r="Q1857" s="12" t="s">
        <v>47</v>
      </c>
      <c r="R1857" s="12" t="s">
        <v>313</v>
      </c>
      <c r="S1857" s="13">
        <v>197804520022</v>
      </c>
      <c r="T1857" s="12" t="s">
        <v>105</v>
      </c>
      <c r="U1857" s="13">
        <v>31</v>
      </c>
      <c r="V1857" s="12" t="s">
        <v>50</v>
      </c>
      <c r="W1857" s="12" t="s">
        <v>51</v>
      </c>
      <c r="X1857" s="14"/>
      <c r="Y1857" s="14"/>
      <c r="Z1857" s="14"/>
      <c r="AA1857" s="14"/>
      <c r="AB1857" s="14"/>
      <c r="AC1857" s="15">
        <v>31.85</v>
      </c>
      <c r="AD1857" s="15">
        <f>AC1857*AG1857</f>
        <v>95.550000000000011</v>
      </c>
      <c r="AE1857" s="15">
        <v>70</v>
      </c>
      <c r="AF1857" s="15">
        <f>AE1857*AG1857</f>
        <v>210</v>
      </c>
      <c r="AG1857" s="16">
        <v>3</v>
      </c>
    </row>
    <row r="1858" spans="1:33" ht="15" customHeight="1" x14ac:dyDescent="0.2">
      <c r="A1858" s="11" t="str">
        <f t="shared" ref="A1858:A4004" si="775">HYPERLINK("https://assets.vans.eu/images/VN000CZ7O33-HERO/1","VN000CZ7O331")</f>
        <v>VN000CZ7O331</v>
      </c>
      <c r="B1858" s="12" t="s">
        <v>7107</v>
      </c>
      <c r="C1858" s="12" t="s">
        <v>2412</v>
      </c>
      <c r="D1858" s="12" t="s">
        <v>1423</v>
      </c>
      <c r="E1858" s="12" t="s">
        <v>7108</v>
      </c>
      <c r="F1858" s="13">
        <v>115</v>
      </c>
      <c r="G1858" s="12" t="s">
        <v>1425</v>
      </c>
      <c r="H1858" s="12" t="s">
        <v>38</v>
      </c>
      <c r="I1858" s="12" t="s">
        <v>39</v>
      </c>
      <c r="J1858" s="12" t="s">
        <v>40</v>
      </c>
      <c r="K1858" s="12" t="s">
        <v>41</v>
      </c>
      <c r="L1858" s="14"/>
      <c r="M1858" s="12" t="s">
        <v>43</v>
      </c>
      <c r="N1858" s="12" t="s">
        <v>84</v>
      </c>
      <c r="O1858" s="12" t="s">
        <v>7109</v>
      </c>
      <c r="P1858" s="12" t="s">
        <v>46</v>
      </c>
      <c r="Q1858" s="12" t="s">
        <v>47</v>
      </c>
      <c r="R1858" s="12" t="s">
        <v>313</v>
      </c>
      <c r="S1858" s="13">
        <v>197804519798</v>
      </c>
      <c r="T1858" s="12" t="s">
        <v>49</v>
      </c>
      <c r="U1858" s="13">
        <v>28</v>
      </c>
      <c r="V1858" s="12" t="s">
        <v>50</v>
      </c>
      <c r="W1858" s="12" t="s">
        <v>284</v>
      </c>
      <c r="X1858" s="14"/>
      <c r="Y1858" s="14"/>
      <c r="Z1858" s="14"/>
      <c r="AA1858" s="14"/>
      <c r="AB1858" s="14"/>
      <c r="AC1858" s="15">
        <v>31.85</v>
      </c>
      <c r="AD1858" s="15">
        <f>AC1858*AG1858</f>
        <v>95.550000000000011</v>
      </c>
      <c r="AE1858" s="15">
        <v>70</v>
      </c>
      <c r="AF1858" s="15">
        <f>AE1858*AG1858</f>
        <v>210</v>
      </c>
      <c r="AG1858" s="16">
        <v>3</v>
      </c>
    </row>
    <row r="1859" spans="1:33" ht="15" customHeight="1" x14ac:dyDescent="0.2">
      <c r="A1859" s="11" t="str">
        <f t="shared" si="336"/>
        <v>VN000D0CY331</v>
      </c>
      <c r="B1859" s="12" t="s">
        <v>7110</v>
      </c>
      <c r="C1859" s="12" t="s">
        <v>695</v>
      </c>
      <c r="D1859" s="12" t="s">
        <v>3244</v>
      </c>
      <c r="E1859" s="12" t="s">
        <v>7111</v>
      </c>
      <c r="F1859" s="13">
        <v>65</v>
      </c>
      <c r="G1859" s="12" t="s">
        <v>3246</v>
      </c>
      <c r="H1859" s="12" t="s">
        <v>38</v>
      </c>
      <c r="I1859" s="12" t="s">
        <v>39</v>
      </c>
      <c r="J1859" s="12" t="s">
        <v>40</v>
      </c>
      <c r="K1859" s="12" t="s">
        <v>373</v>
      </c>
      <c r="L1859" s="12" t="s">
        <v>350</v>
      </c>
      <c r="M1859" s="12" t="s">
        <v>43</v>
      </c>
      <c r="N1859" s="12" t="s">
        <v>84</v>
      </c>
      <c r="O1859" s="12" t="s">
        <v>7112</v>
      </c>
      <c r="P1859" s="12" t="s">
        <v>46</v>
      </c>
      <c r="Q1859" s="12" t="s">
        <v>47</v>
      </c>
      <c r="R1859" s="12" t="s">
        <v>780</v>
      </c>
      <c r="S1859" s="13">
        <v>197065757366</v>
      </c>
      <c r="T1859" s="12" t="s">
        <v>49</v>
      </c>
      <c r="U1859" s="13">
        <v>38.5</v>
      </c>
      <c r="V1859" s="12" t="s">
        <v>50</v>
      </c>
      <c r="W1859" s="12" t="s">
        <v>118</v>
      </c>
      <c r="X1859" s="14"/>
      <c r="Y1859" s="12" t="s">
        <v>71</v>
      </c>
      <c r="Z1859" s="12" t="s">
        <v>376</v>
      </c>
      <c r="AA1859" s="14"/>
      <c r="AB1859" s="14"/>
      <c r="AC1859" s="15">
        <v>31</v>
      </c>
      <c r="AD1859" s="15">
        <f>AC1859*AG1859</f>
        <v>93</v>
      </c>
      <c r="AE1859" s="15">
        <v>65</v>
      </c>
      <c r="AF1859" s="15">
        <f>AE1859*AG1859</f>
        <v>195</v>
      </c>
      <c r="AG1859" s="16">
        <v>3</v>
      </c>
    </row>
    <row r="1860" spans="1:33" ht="15" customHeight="1" x14ac:dyDescent="0.2">
      <c r="A1860" s="11" t="str">
        <f t="shared" ref="A1860:A2538" si="776">HYPERLINK("https://assets.vans.eu/images/VN000D0HBZW-HERO/1","VN000D0HBZW1")</f>
        <v>VN000D0HBZW1</v>
      </c>
      <c r="B1860" s="12" t="s">
        <v>7113</v>
      </c>
      <c r="C1860" s="12" t="s">
        <v>1108</v>
      </c>
      <c r="D1860" s="12" t="s">
        <v>58</v>
      </c>
      <c r="E1860" s="12" t="s">
        <v>7114</v>
      </c>
      <c r="F1860" s="13">
        <v>10</v>
      </c>
      <c r="G1860" s="14"/>
      <c r="H1860" s="12" t="s">
        <v>38</v>
      </c>
      <c r="I1860" s="12" t="s">
        <v>39</v>
      </c>
      <c r="J1860" s="12" t="s">
        <v>40</v>
      </c>
      <c r="K1860" s="12" t="s">
        <v>41</v>
      </c>
      <c r="L1860" s="14"/>
      <c r="M1860" s="12" t="s">
        <v>43</v>
      </c>
      <c r="N1860" s="12" t="s">
        <v>84</v>
      </c>
      <c r="O1860" s="12" t="s">
        <v>7115</v>
      </c>
      <c r="P1860" s="12" t="s">
        <v>46</v>
      </c>
      <c r="Q1860" s="12" t="s">
        <v>47</v>
      </c>
      <c r="R1860" s="12" t="s">
        <v>780</v>
      </c>
      <c r="S1860" s="13">
        <v>197804435241</v>
      </c>
      <c r="T1860" s="12" t="s">
        <v>49</v>
      </c>
      <c r="U1860" s="13">
        <v>31.5</v>
      </c>
      <c r="V1860" s="12" t="s">
        <v>50</v>
      </c>
      <c r="W1860" s="12" t="s">
        <v>51</v>
      </c>
      <c r="X1860" s="14"/>
      <c r="Y1860" s="14"/>
      <c r="Z1860" s="14"/>
      <c r="AA1860" s="14"/>
      <c r="AB1860" s="14"/>
      <c r="AC1860" s="15">
        <v>34.1</v>
      </c>
      <c r="AD1860" s="15">
        <f>AC1860*AG1860</f>
        <v>102.30000000000001</v>
      </c>
      <c r="AE1860" s="15">
        <v>75</v>
      </c>
      <c r="AF1860" s="15">
        <f>AE1860*AG1860</f>
        <v>225</v>
      </c>
      <c r="AG1860" s="16">
        <v>3</v>
      </c>
    </row>
    <row r="1861" spans="1:33" ht="15" customHeight="1" x14ac:dyDescent="0.2">
      <c r="A1861" s="11" t="str">
        <f t="shared" ref="A1861:A1863" si="777">HYPERLINK("https://assets.vans.eu/images/VN000D0HEMY-HERO/1","VN000D0HEMY1")</f>
        <v>VN000D0HEMY1</v>
      </c>
      <c r="B1861" s="12" t="s">
        <v>7116</v>
      </c>
      <c r="C1861" s="12" t="s">
        <v>1108</v>
      </c>
      <c r="D1861" s="12" t="s">
        <v>1155</v>
      </c>
      <c r="E1861" s="12" t="s">
        <v>7117</v>
      </c>
      <c r="F1861" s="13">
        <v>10</v>
      </c>
      <c r="G1861" s="12" t="s">
        <v>2417</v>
      </c>
      <c r="H1861" s="12" t="s">
        <v>38</v>
      </c>
      <c r="I1861" s="12" t="s">
        <v>39</v>
      </c>
      <c r="J1861" s="12" t="s">
        <v>40</v>
      </c>
      <c r="K1861" s="12" t="s">
        <v>41</v>
      </c>
      <c r="L1861" s="14"/>
      <c r="M1861" s="12" t="s">
        <v>43</v>
      </c>
      <c r="N1861" s="12" t="s">
        <v>84</v>
      </c>
      <c r="O1861" s="12" t="s">
        <v>7118</v>
      </c>
      <c r="P1861" s="12" t="s">
        <v>46</v>
      </c>
      <c r="Q1861" s="12" t="s">
        <v>47</v>
      </c>
      <c r="R1861" s="12" t="s">
        <v>780</v>
      </c>
      <c r="S1861" s="13">
        <v>197804435395</v>
      </c>
      <c r="T1861" s="12" t="s">
        <v>105</v>
      </c>
      <c r="U1861" s="13">
        <v>31.5</v>
      </c>
      <c r="V1861" s="12" t="s">
        <v>50</v>
      </c>
      <c r="W1861" s="12" t="s">
        <v>107</v>
      </c>
      <c r="X1861" s="14"/>
      <c r="Y1861" s="14"/>
      <c r="Z1861" s="14"/>
      <c r="AA1861" s="14"/>
      <c r="AB1861" s="14"/>
      <c r="AC1861" s="15">
        <v>34.1</v>
      </c>
      <c r="AD1861" s="15">
        <f>AC1861*AG1861</f>
        <v>102.30000000000001</v>
      </c>
      <c r="AE1861" s="15">
        <v>75</v>
      </c>
      <c r="AF1861" s="15">
        <f>AE1861*AG1861</f>
        <v>225</v>
      </c>
      <c r="AG1861" s="16">
        <v>3</v>
      </c>
    </row>
    <row r="1862" spans="1:33" ht="15" customHeight="1" x14ac:dyDescent="0.2">
      <c r="A1862" s="11" t="str">
        <f t="shared" si="777"/>
        <v>VN000D0HEMY1</v>
      </c>
      <c r="B1862" s="12" t="s">
        <v>7119</v>
      </c>
      <c r="C1862" s="12" t="s">
        <v>1108</v>
      </c>
      <c r="D1862" s="12" t="s">
        <v>1155</v>
      </c>
      <c r="E1862" s="12" t="s">
        <v>7120</v>
      </c>
      <c r="F1862" s="13">
        <v>30</v>
      </c>
      <c r="G1862" s="12" t="s">
        <v>2417</v>
      </c>
      <c r="H1862" s="12" t="s">
        <v>38</v>
      </c>
      <c r="I1862" s="12" t="s">
        <v>39</v>
      </c>
      <c r="J1862" s="12" t="s">
        <v>40</v>
      </c>
      <c r="K1862" s="12" t="s">
        <v>41</v>
      </c>
      <c r="L1862" s="14"/>
      <c r="M1862" s="12" t="s">
        <v>43</v>
      </c>
      <c r="N1862" s="12" t="s">
        <v>84</v>
      </c>
      <c r="O1862" s="12" t="s">
        <v>7121</v>
      </c>
      <c r="P1862" s="12" t="s">
        <v>46</v>
      </c>
      <c r="Q1862" s="12" t="s">
        <v>47</v>
      </c>
      <c r="R1862" s="12" t="s">
        <v>780</v>
      </c>
      <c r="S1862" s="13">
        <v>197804436002</v>
      </c>
      <c r="T1862" s="12" t="s">
        <v>105</v>
      </c>
      <c r="U1862" s="13">
        <v>34</v>
      </c>
      <c r="V1862" s="12" t="s">
        <v>50</v>
      </c>
      <c r="W1862" s="12" t="s">
        <v>107</v>
      </c>
      <c r="X1862" s="14"/>
      <c r="Y1862" s="14"/>
      <c r="Z1862" s="14"/>
      <c r="AA1862" s="14"/>
      <c r="AB1862" s="14"/>
      <c r="AC1862" s="15">
        <v>34.1</v>
      </c>
      <c r="AD1862" s="15">
        <f>AC1862*AG1862</f>
        <v>102.30000000000001</v>
      </c>
      <c r="AE1862" s="15">
        <v>75</v>
      </c>
      <c r="AF1862" s="15">
        <f>AE1862*AG1862</f>
        <v>225</v>
      </c>
      <c r="AG1862" s="16">
        <v>3</v>
      </c>
    </row>
    <row r="1863" spans="1:33" ht="15" customHeight="1" x14ac:dyDescent="0.2">
      <c r="A1863" s="11" t="str">
        <f t="shared" si="777"/>
        <v>VN000D0HEMY1</v>
      </c>
      <c r="B1863" s="12" t="s">
        <v>7122</v>
      </c>
      <c r="C1863" s="12" t="s">
        <v>1108</v>
      </c>
      <c r="D1863" s="12" t="s">
        <v>1155</v>
      </c>
      <c r="E1863" s="12" t="s">
        <v>7123</v>
      </c>
      <c r="F1863" s="13">
        <v>130</v>
      </c>
      <c r="G1863" s="12" t="s">
        <v>2417</v>
      </c>
      <c r="H1863" s="12" t="s">
        <v>38</v>
      </c>
      <c r="I1863" s="12" t="s">
        <v>39</v>
      </c>
      <c r="J1863" s="12" t="s">
        <v>40</v>
      </c>
      <c r="K1863" s="12" t="s">
        <v>41</v>
      </c>
      <c r="L1863" s="14"/>
      <c r="M1863" s="12" t="s">
        <v>43</v>
      </c>
      <c r="N1863" s="12" t="s">
        <v>84</v>
      </c>
      <c r="O1863" s="12" t="s">
        <v>7124</v>
      </c>
      <c r="P1863" s="12" t="s">
        <v>46</v>
      </c>
      <c r="Q1863" s="12" t="s">
        <v>47</v>
      </c>
      <c r="R1863" s="12" t="s">
        <v>780</v>
      </c>
      <c r="S1863" s="13">
        <v>197804436798</v>
      </c>
      <c r="T1863" s="12" t="s">
        <v>105</v>
      </c>
      <c r="U1863" s="13">
        <v>30.5</v>
      </c>
      <c r="V1863" s="12" t="s">
        <v>50</v>
      </c>
      <c r="W1863" s="12" t="s">
        <v>107</v>
      </c>
      <c r="X1863" s="14"/>
      <c r="Y1863" s="14"/>
      <c r="Z1863" s="14"/>
      <c r="AA1863" s="14"/>
      <c r="AB1863" s="14"/>
      <c r="AC1863" s="15">
        <v>34.1</v>
      </c>
      <c r="AD1863" s="15">
        <f>AC1863*AG1863</f>
        <v>102.30000000000001</v>
      </c>
      <c r="AE1863" s="15">
        <v>75</v>
      </c>
      <c r="AF1863" s="15">
        <f>AE1863*AG1863</f>
        <v>225</v>
      </c>
      <c r="AG1863" s="16">
        <v>3</v>
      </c>
    </row>
    <row r="1864" spans="1:33" ht="15" customHeight="1" x14ac:dyDescent="0.2">
      <c r="A1864" s="11" t="str">
        <f t="shared" ref="A1864:A4031" si="778">HYPERLINK("https://assets.vans.eu/images/VN000D0JRV2-HERO/1","VN000D0JRV21")</f>
        <v>VN000D0JRV21</v>
      </c>
      <c r="B1864" s="12" t="s">
        <v>7125</v>
      </c>
      <c r="C1864" s="12" t="s">
        <v>3586</v>
      </c>
      <c r="D1864" s="12" t="s">
        <v>1428</v>
      </c>
      <c r="E1864" s="12" t="s">
        <v>7126</v>
      </c>
      <c r="F1864" s="13">
        <v>30</v>
      </c>
      <c r="G1864" s="12" t="s">
        <v>2273</v>
      </c>
      <c r="H1864" s="12" t="s">
        <v>38</v>
      </c>
      <c r="I1864" s="12" t="s">
        <v>39</v>
      </c>
      <c r="J1864" s="12" t="s">
        <v>40</v>
      </c>
      <c r="K1864" s="12" t="s">
        <v>41</v>
      </c>
      <c r="L1864" s="14"/>
      <c r="M1864" s="12" t="s">
        <v>43</v>
      </c>
      <c r="N1864" s="12" t="s">
        <v>84</v>
      </c>
      <c r="O1864" s="12" t="s">
        <v>7127</v>
      </c>
      <c r="P1864" s="12" t="s">
        <v>46</v>
      </c>
      <c r="Q1864" s="12" t="s">
        <v>47</v>
      </c>
      <c r="R1864" s="12" t="s">
        <v>48</v>
      </c>
      <c r="S1864" s="13">
        <v>197804576838</v>
      </c>
      <c r="T1864" s="12" t="s">
        <v>164</v>
      </c>
      <c r="U1864" s="13">
        <v>34</v>
      </c>
      <c r="V1864" s="12" t="s">
        <v>375</v>
      </c>
      <c r="W1864" s="12" t="s">
        <v>51</v>
      </c>
      <c r="X1864" s="14"/>
      <c r="Y1864" s="14"/>
      <c r="Z1864" s="14"/>
      <c r="AA1864" s="14"/>
      <c r="AB1864" s="14"/>
      <c r="AC1864" s="15">
        <v>25</v>
      </c>
      <c r="AD1864" s="15">
        <f>AC1864*AG1864</f>
        <v>75</v>
      </c>
      <c r="AE1864" s="15">
        <v>55</v>
      </c>
      <c r="AF1864" s="15">
        <f>AE1864*AG1864</f>
        <v>165</v>
      </c>
      <c r="AG1864" s="16">
        <v>3</v>
      </c>
    </row>
    <row r="1865" spans="1:33" ht="15" customHeight="1" x14ac:dyDescent="0.2">
      <c r="A1865" s="11" t="str">
        <f t="shared" si="613"/>
        <v>VN000D0KEN61</v>
      </c>
      <c r="B1865" s="12" t="s">
        <v>7128</v>
      </c>
      <c r="C1865" s="12" t="s">
        <v>1207</v>
      </c>
      <c r="D1865" s="12" t="s">
        <v>189</v>
      </c>
      <c r="E1865" s="12" t="s">
        <v>7129</v>
      </c>
      <c r="F1865" s="13">
        <v>45</v>
      </c>
      <c r="G1865" s="14"/>
      <c r="H1865" s="12" t="s">
        <v>38</v>
      </c>
      <c r="I1865" s="12" t="s">
        <v>242</v>
      </c>
      <c r="J1865" s="12" t="s">
        <v>243</v>
      </c>
      <c r="K1865" s="12" t="s">
        <v>244</v>
      </c>
      <c r="L1865" s="14"/>
      <c r="M1865" s="12" t="s">
        <v>43</v>
      </c>
      <c r="N1865" s="12" t="s">
        <v>84</v>
      </c>
      <c r="O1865" s="12" t="s">
        <v>7130</v>
      </c>
      <c r="P1865" s="12" t="s">
        <v>46</v>
      </c>
      <c r="Q1865" s="12" t="s">
        <v>47</v>
      </c>
      <c r="R1865" s="12" t="s">
        <v>48</v>
      </c>
      <c r="S1865" s="13">
        <v>197804438341</v>
      </c>
      <c r="T1865" s="12" t="s">
        <v>105</v>
      </c>
      <c r="U1865" s="13">
        <v>20</v>
      </c>
      <c r="V1865" s="12" t="s">
        <v>50</v>
      </c>
      <c r="W1865" s="12" t="s">
        <v>118</v>
      </c>
      <c r="X1865" s="14"/>
      <c r="Y1865" s="14"/>
      <c r="Z1865" s="14"/>
      <c r="AA1865" s="14"/>
      <c r="AB1865" s="14"/>
      <c r="AC1865" s="15">
        <v>25</v>
      </c>
      <c r="AD1865" s="15">
        <f>AC1865*AG1865</f>
        <v>75</v>
      </c>
      <c r="AE1865" s="15">
        <v>55</v>
      </c>
      <c r="AF1865" s="15">
        <f>AE1865*AG1865</f>
        <v>165</v>
      </c>
      <c r="AG1865" s="16">
        <v>3</v>
      </c>
    </row>
    <row r="1866" spans="1:33" ht="15" customHeight="1" x14ac:dyDescent="0.2">
      <c r="A1866" s="11" t="str">
        <f t="shared" ref="A1866:A2546" si="779">HYPERLINK("https://assets.vans.eu/images/VN000D0KEN6-HERO/1","VN000D0KEN61")</f>
        <v>VN000D0KEN61</v>
      </c>
      <c r="B1866" s="12" t="s">
        <v>7131</v>
      </c>
      <c r="C1866" s="12" t="s">
        <v>1207</v>
      </c>
      <c r="D1866" s="12" t="s">
        <v>189</v>
      </c>
      <c r="E1866" s="12" t="s">
        <v>7132</v>
      </c>
      <c r="F1866" s="13">
        <v>95</v>
      </c>
      <c r="G1866" s="14"/>
      <c r="H1866" s="12" t="s">
        <v>38</v>
      </c>
      <c r="I1866" s="12" t="s">
        <v>242</v>
      </c>
      <c r="J1866" s="12" t="s">
        <v>243</v>
      </c>
      <c r="K1866" s="12" t="s">
        <v>244</v>
      </c>
      <c r="L1866" s="14"/>
      <c r="M1866" s="12" t="s">
        <v>43</v>
      </c>
      <c r="N1866" s="12" t="s">
        <v>84</v>
      </c>
      <c r="O1866" s="12" t="s">
        <v>7133</v>
      </c>
      <c r="P1866" s="12" t="s">
        <v>46</v>
      </c>
      <c r="Q1866" s="12" t="s">
        <v>47</v>
      </c>
      <c r="R1866" s="12" t="s">
        <v>48</v>
      </c>
      <c r="S1866" s="13">
        <v>197804439652</v>
      </c>
      <c r="T1866" s="12" t="s">
        <v>105</v>
      </c>
      <c r="U1866" s="13">
        <v>26</v>
      </c>
      <c r="V1866" s="12" t="s">
        <v>50</v>
      </c>
      <c r="W1866" s="12" t="s">
        <v>118</v>
      </c>
      <c r="X1866" s="14"/>
      <c r="Y1866" s="14"/>
      <c r="Z1866" s="14"/>
      <c r="AA1866" s="14"/>
      <c r="AB1866" s="14"/>
      <c r="AC1866" s="15">
        <v>25</v>
      </c>
      <c r="AD1866" s="15">
        <f>AC1866*AG1866</f>
        <v>75</v>
      </c>
      <c r="AE1866" s="15">
        <v>55</v>
      </c>
      <c r="AF1866" s="15">
        <f>AE1866*AG1866</f>
        <v>165</v>
      </c>
      <c r="AG1866" s="16">
        <v>3</v>
      </c>
    </row>
    <row r="1867" spans="1:33" ht="15" customHeight="1" x14ac:dyDescent="0.2">
      <c r="A1867" s="11" t="str">
        <f t="shared" si="410"/>
        <v>VN000D0MBZW1</v>
      </c>
      <c r="B1867" s="12" t="s">
        <v>7134</v>
      </c>
      <c r="C1867" s="12" t="s">
        <v>1763</v>
      </c>
      <c r="D1867" s="12" t="s">
        <v>58</v>
      </c>
      <c r="E1867" s="12" t="s">
        <v>7135</v>
      </c>
      <c r="F1867" s="13">
        <v>45</v>
      </c>
      <c r="G1867" s="14"/>
      <c r="H1867" s="12" t="s">
        <v>38</v>
      </c>
      <c r="I1867" s="12" t="s">
        <v>242</v>
      </c>
      <c r="J1867" s="12" t="s">
        <v>243</v>
      </c>
      <c r="K1867" s="12" t="s">
        <v>244</v>
      </c>
      <c r="L1867" s="14"/>
      <c r="M1867" s="12" t="s">
        <v>43</v>
      </c>
      <c r="N1867" s="12" t="s">
        <v>84</v>
      </c>
      <c r="O1867" s="12" t="s">
        <v>7136</v>
      </c>
      <c r="P1867" s="12" t="s">
        <v>46</v>
      </c>
      <c r="Q1867" s="12" t="s">
        <v>47</v>
      </c>
      <c r="R1867" s="12" t="s">
        <v>780</v>
      </c>
      <c r="S1867" s="13">
        <v>197804438303</v>
      </c>
      <c r="T1867" s="12" t="s">
        <v>49</v>
      </c>
      <c r="U1867" s="13">
        <v>20</v>
      </c>
      <c r="V1867" s="12" t="s">
        <v>50</v>
      </c>
      <c r="W1867" s="12" t="s">
        <v>51</v>
      </c>
      <c r="X1867" s="14"/>
      <c r="Y1867" s="14"/>
      <c r="Z1867" s="14"/>
      <c r="AA1867" s="14"/>
      <c r="AB1867" s="14"/>
      <c r="AC1867" s="15">
        <v>29.55</v>
      </c>
      <c r="AD1867" s="15">
        <f>AC1867*AG1867</f>
        <v>88.65</v>
      </c>
      <c r="AE1867" s="15">
        <v>65</v>
      </c>
      <c r="AF1867" s="15">
        <f>AE1867*AG1867</f>
        <v>195</v>
      </c>
      <c r="AG1867" s="16">
        <v>3</v>
      </c>
    </row>
    <row r="1868" spans="1:33" ht="15" customHeight="1" x14ac:dyDescent="0.2">
      <c r="A1868" s="11" t="str">
        <f t="shared" ref="A1868:A2552" si="780">HYPERLINK("https://assets.vans.eu/images/VN000D0MBZW-HERO/1","VN000D0MBZW1")</f>
        <v>VN000D0MBZW1</v>
      </c>
      <c r="B1868" s="12" t="s">
        <v>7137</v>
      </c>
      <c r="C1868" s="12" t="s">
        <v>1763</v>
      </c>
      <c r="D1868" s="12" t="s">
        <v>58</v>
      </c>
      <c r="E1868" s="12" t="s">
        <v>7138</v>
      </c>
      <c r="F1868" s="13">
        <v>95</v>
      </c>
      <c r="G1868" s="14"/>
      <c r="H1868" s="12" t="s">
        <v>38</v>
      </c>
      <c r="I1868" s="12" t="s">
        <v>242</v>
      </c>
      <c r="J1868" s="12" t="s">
        <v>243</v>
      </c>
      <c r="K1868" s="12" t="s">
        <v>244</v>
      </c>
      <c r="L1868" s="14"/>
      <c r="M1868" s="12" t="s">
        <v>43</v>
      </c>
      <c r="N1868" s="12" t="s">
        <v>84</v>
      </c>
      <c r="O1868" s="12" t="s">
        <v>7139</v>
      </c>
      <c r="P1868" s="12" t="s">
        <v>46</v>
      </c>
      <c r="Q1868" s="12" t="s">
        <v>47</v>
      </c>
      <c r="R1868" s="12" t="s">
        <v>780</v>
      </c>
      <c r="S1868" s="13">
        <v>197804439690</v>
      </c>
      <c r="T1868" s="12" t="s">
        <v>49</v>
      </c>
      <c r="U1868" s="13">
        <v>26</v>
      </c>
      <c r="V1868" s="12" t="s">
        <v>50</v>
      </c>
      <c r="W1868" s="12" t="s">
        <v>51</v>
      </c>
      <c r="X1868" s="14"/>
      <c r="Y1868" s="14"/>
      <c r="Z1868" s="14"/>
      <c r="AA1868" s="14"/>
      <c r="AB1868" s="14"/>
      <c r="AC1868" s="15">
        <v>29.55</v>
      </c>
      <c r="AD1868" s="15">
        <f>AC1868*AG1868</f>
        <v>88.65</v>
      </c>
      <c r="AE1868" s="15">
        <v>65</v>
      </c>
      <c r="AF1868" s="15">
        <f>AE1868*AG1868</f>
        <v>195</v>
      </c>
      <c r="AG1868" s="16">
        <v>3</v>
      </c>
    </row>
    <row r="1869" spans="1:33" ht="15" customHeight="1" x14ac:dyDescent="0.2">
      <c r="A1869" s="11" t="str">
        <f t="shared" si="526"/>
        <v>VN000D0S1NU1</v>
      </c>
      <c r="B1869" s="12" t="s">
        <v>7140</v>
      </c>
      <c r="C1869" s="12" t="s">
        <v>2280</v>
      </c>
      <c r="D1869" s="12" t="s">
        <v>783</v>
      </c>
      <c r="E1869" s="12" t="s">
        <v>7141</v>
      </c>
      <c r="F1869" s="13">
        <v>70</v>
      </c>
      <c r="G1869" s="12" t="s">
        <v>2273</v>
      </c>
      <c r="H1869" s="12" t="s">
        <v>38</v>
      </c>
      <c r="I1869" s="12" t="s">
        <v>242</v>
      </c>
      <c r="J1869" s="12" t="s">
        <v>243</v>
      </c>
      <c r="K1869" s="12" t="s">
        <v>244</v>
      </c>
      <c r="L1869" s="14"/>
      <c r="M1869" s="12" t="s">
        <v>43</v>
      </c>
      <c r="N1869" s="12" t="s">
        <v>84</v>
      </c>
      <c r="O1869" s="12" t="s">
        <v>7142</v>
      </c>
      <c r="P1869" s="12" t="s">
        <v>46</v>
      </c>
      <c r="Q1869" s="12" t="s">
        <v>47</v>
      </c>
      <c r="R1869" s="12" t="s">
        <v>48</v>
      </c>
      <c r="S1869" s="13">
        <v>197804521074</v>
      </c>
      <c r="T1869" s="12" t="s">
        <v>105</v>
      </c>
      <c r="U1869" s="13">
        <v>23.5</v>
      </c>
      <c r="V1869" s="12" t="s">
        <v>375</v>
      </c>
      <c r="W1869" s="12" t="s">
        <v>186</v>
      </c>
      <c r="X1869" s="14"/>
      <c r="Y1869" s="14"/>
      <c r="Z1869" s="14"/>
      <c r="AA1869" s="14"/>
      <c r="AB1869" s="14"/>
      <c r="AC1869" s="15">
        <v>20.5</v>
      </c>
      <c r="AD1869" s="15">
        <f>AC1869*AG1869</f>
        <v>61.5</v>
      </c>
      <c r="AE1869" s="15">
        <v>45</v>
      </c>
      <c r="AF1869" s="15">
        <f>AE1869*AG1869</f>
        <v>135</v>
      </c>
      <c r="AG1869" s="16">
        <v>3</v>
      </c>
    </row>
    <row r="1870" spans="1:33" ht="15" customHeight="1" x14ac:dyDescent="0.2">
      <c r="A1870" s="11" t="str">
        <f t="shared" ref="A1870:A2571" si="781">HYPERLINK("https://assets.vans.eu/images/VN000D1111E-HERO/1","VN000D1111E1")</f>
        <v>VN000D1111E1</v>
      </c>
      <c r="B1870" s="12" t="s">
        <v>7143</v>
      </c>
      <c r="C1870" s="12" t="s">
        <v>2136</v>
      </c>
      <c r="D1870" s="12" t="s">
        <v>1148</v>
      </c>
      <c r="E1870" s="12" t="s">
        <v>7144</v>
      </c>
      <c r="F1870" s="13">
        <v>85</v>
      </c>
      <c r="G1870" s="12" t="s">
        <v>528</v>
      </c>
      <c r="H1870" s="12" t="s">
        <v>38</v>
      </c>
      <c r="I1870" s="12" t="s">
        <v>242</v>
      </c>
      <c r="J1870" s="12" t="s">
        <v>243</v>
      </c>
      <c r="K1870" s="12" t="s">
        <v>244</v>
      </c>
      <c r="L1870" s="14"/>
      <c r="M1870" s="12" t="s">
        <v>43</v>
      </c>
      <c r="N1870" s="12" t="s">
        <v>84</v>
      </c>
      <c r="O1870" s="12" t="s">
        <v>7145</v>
      </c>
      <c r="P1870" s="12" t="s">
        <v>46</v>
      </c>
      <c r="Q1870" s="12" t="s">
        <v>47</v>
      </c>
      <c r="R1870" s="12" t="s">
        <v>313</v>
      </c>
      <c r="S1870" s="13">
        <v>197804439461</v>
      </c>
      <c r="T1870" s="12" t="s">
        <v>49</v>
      </c>
      <c r="U1870" s="13">
        <v>25</v>
      </c>
      <c r="V1870" s="12" t="s">
        <v>50</v>
      </c>
      <c r="W1870" s="12" t="s">
        <v>107</v>
      </c>
      <c r="X1870" s="14"/>
      <c r="Y1870" s="14"/>
      <c r="Z1870" s="14"/>
      <c r="AA1870" s="14"/>
      <c r="AB1870" s="14"/>
      <c r="AC1870" s="15">
        <v>27.3</v>
      </c>
      <c r="AD1870" s="15">
        <f>AC1870*AG1870</f>
        <v>81.900000000000006</v>
      </c>
      <c r="AE1870" s="15">
        <v>60</v>
      </c>
      <c r="AF1870" s="15">
        <f>AE1870*AG1870</f>
        <v>180</v>
      </c>
      <c r="AG1870" s="16">
        <v>3</v>
      </c>
    </row>
    <row r="1871" spans="1:33" ht="15" customHeight="1" x14ac:dyDescent="0.2">
      <c r="A1871" s="11" t="str">
        <f t="shared" ref="A1871:A2572" si="782">HYPERLINK("https://assets.vans.eu/images/VN000D111KP-HERO/1","VN000D111KP1")</f>
        <v>VN000D111KP1</v>
      </c>
      <c r="B1871" s="12" t="s">
        <v>7146</v>
      </c>
      <c r="C1871" s="12" t="s">
        <v>2136</v>
      </c>
      <c r="D1871" s="12" t="s">
        <v>3943</v>
      </c>
      <c r="E1871" s="12" t="s">
        <v>7147</v>
      </c>
      <c r="F1871" s="13">
        <v>75</v>
      </c>
      <c r="G1871" s="12" t="s">
        <v>2273</v>
      </c>
      <c r="H1871" s="12" t="s">
        <v>38</v>
      </c>
      <c r="I1871" s="12" t="s">
        <v>242</v>
      </c>
      <c r="J1871" s="12" t="s">
        <v>243</v>
      </c>
      <c r="K1871" s="12" t="s">
        <v>244</v>
      </c>
      <c r="L1871" s="14"/>
      <c r="M1871" s="12" t="s">
        <v>43</v>
      </c>
      <c r="N1871" s="12" t="s">
        <v>84</v>
      </c>
      <c r="O1871" s="12" t="s">
        <v>7148</v>
      </c>
      <c r="P1871" s="12" t="s">
        <v>46</v>
      </c>
      <c r="Q1871" s="12" t="s">
        <v>47</v>
      </c>
      <c r="R1871" s="12" t="s">
        <v>313</v>
      </c>
      <c r="S1871" s="13">
        <v>197804523061</v>
      </c>
      <c r="T1871" s="12" t="s">
        <v>49</v>
      </c>
      <c r="U1871" s="13">
        <v>24</v>
      </c>
      <c r="V1871" s="12" t="s">
        <v>50</v>
      </c>
      <c r="W1871" s="12" t="s">
        <v>51</v>
      </c>
      <c r="X1871" s="14"/>
      <c r="Y1871" s="14"/>
      <c r="Z1871" s="14"/>
      <c r="AA1871" s="14"/>
      <c r="AB1871" s="14"/>
      <c r="AC1871" s="15">
        <v>27.3</v>
      </c>
      <c r="AD1871" s="15">
        <f>AC1871*AG1871</f>
        <v>81.900000000000006</v>
      </c>
      <c r="AE1871" s="15">
        <v>60</v>
      </c>
      <c r="AF1871" s="15">
        <f>AE1871*AG1871</f>
        <v>180</v>
      </c>
      <c r="AG1871" s="16">
        <v>3</v>
      </c>
    </row>
    <row r="1872" spans="1:33" ht="15" customHeight="1" x14ac:dyDescent="0.2">
      <c r="A1872" s="11" t="str">
        <f t="shared" ref="A1872:A1873" si="783">HYPERLINK("https://assets.vans.eu/images/VN000D11N1Z-HERO/1","VN000D11N1Z1")</f>
        <v>VN000D11N1Z1</v>
      </c>
      <c r="B1872" s="12" t="s">
        <v>7149</v>
      </c>
      <c r="C1872" s="12" t="s">
        <v>2136</v>
      </c>
      <c r="D1872" s="12" t="s">
        <v>1656</v>
      </c>
      <c r="E1872" s="12" t="s">
        <v>7150</v>
      </c>
      <c r="F1872" s="13">
        <v>90</v>
      </c>
      <c r="G1872" s="12" t="s">
        <v>528</v>
      </c>
      <c r="H1872" s="12" t="s">
        <v>38</v>
      </c>
      <c r="I1872" s="12" t="s">
        <v>242</v>
      </c>
      <c r="J1872" s="12" t="s">
        <v>243</v>
      </c>
      <c r="K1872" s="12" t="s">
        <v>244</v>
      </c>
      <c r="L1872" s="14"/>
      <c r="M1872" s="12" t="s">
        <v>43</v>
      </c>
      <c r="N1872" s="12" t="s">
        <v>84</v>
      </c>
      <c r="O1872" s="12" t="s">
        <v>7151</v>
      </c>
      <c r="P1872" s="12" t="s">
        <v>46</v>
      </c>
      <c r="Q1872" s="12" t="s">
        <v>47</v>
      </c>
      <c r="R1872" s="12" t="s">
        <v>313</v>
      </c>
      <c r="S1872" s="13">
        <v>197804524082</v>
      </c>
      <c r="T1872" s="12" t="s">
        <v>49</v>
      </c>
      <c r="U1872" s="13">
        <v>25.5</v>
      </c>
      <c r="V1872" s="12" t="s">
        <v>50</v>
      </c>
      <c r="W1872" s="12" t="s">
        <v>186</v>
      </c>
      <c r="X1872" s="14"/>
      <c r="Y1872" s="14"/>
      <c r="Z1872" s="14"/>
      <c r="AA1872" s="14"/>
      <c r="AB1872" s="14"/>
      <c r="AC1872" s="15">
        <v>27.3</v>
      </c>
      <c r="AD1872" s="15">
        <f>AC1872*AG1872</f>
        <v>81.900000000000006</v>
      </c>
      <c r="AE1872" s="15">
        <v>60</v>
      </c>
      <c r="AF1872" s="15">
        <f>AE1872*AG1872</f>
        <v>180</v>
      </c>
      <c r="AG1872" s="16">
        <v>3</v>
      </c>
    </row>
    <row r="1873" spans="1:33" ht="15" customHeight="1" x14ac:dyDescent="0.2">
      <c r="A1873" s="11" t="str">
        <f t="shared" si="783"/>
        <v>VN000D11N1Z1</v>
      </c>
      <c r="B1873" s="12" t="s">
        <v>7152</v>
      </c>
      <c r="C1873" s="12" t="s">
        <v>2136</v>
      </c>
      <c r="D1873" s="12" t="s">
        <v>1656</v>
      </c>
      <c r="E1873" s="12" t="s">
        <v>7153</v>
      </c>
      <c r="F1873" s="13">
        <v>95</v>
      </c>
      <c r="G1873" s="12" t="s">
        <v>528</v>
      </c>
      <c r="H1873" s="12" t="s">
        <v>38</v>
      </c>
      <c r="I1873" s="12" t="s">
        <v>242</v>
      </c>
      <c r="J1873" s="12" t="s">
        <v>243</v>
      </c>
      <c r="K1873" s="12" t="s">
        <v>244</v>
      </c>
      <c r="L1873" s="14"/>
      <c r="M1873" s="12" t="s">
        <v>43</v>
      </c>
      <c r="N1873" s="12" t="s">
        <v>84</v>
      </c>
      <c r="O1873" s="12" t="s">
        <v>7154</v>
      </c>
      <c r="P1873" s="12" t="s">
        <v>46</v>
      </c>
      <c r="Q1873" s="12" t="s">
        <v>47</v>
      </c>
      <c r="R1873" s="12" t="s">
        <v>313</v>
      </c>
      <c r="S1873" s="13">
        <v>197804524259</v>
      </c>
      <c r="T1873" s="12" t="s">
        <v>49</v>
      </c>
      <c r="U1873" s="13">
        <v>26</v>
      </c>
      <c r="V1873" s="12" t="s">
        <v>50</v>
      </c>
      <c r="W1873" s="12" t="s">
        <v>186</v>
      </c>
      <c r="X1873" s="14"/>
      <c r="Y1873" s="14"/>
      <c r="Z1873" s="14"/>
      <c r="AA1873" s="14"/>
      <c r="AB1873" s="14"/>
      <c r="AC1873" s="15">
        <v>27.3</v>
      </c>
      <c r="AD1873" s="15">
        <f>AC1873*AG1873</f>
        <v>81.900000000000006</v>
      </c>
      <c r="AE1873" s="15">
        <v>60</v>
      </c>
      <c r="AF1873" s="15">
        <f>AE1873*AG1873</f>
        <v>180</v>
      </c>
      <c r="AG1873" s="16">
        <v>3</v>
      </c>
    </row>
    <row r="1874" spans="1:33" ht="15" customHeight="1" x14ac:dyDescent="0.2">
      <c r="A1874" s="11" t="str">
        <f t="shared" ref="A1874:A4082" si="784">HYPERLINK("https://assets.vans.eu/images/VN000D1H7VF-HERO/1","VN000D1H7VF1")</f>
        <v>VN000D1H7VF1</v>
      </c>
      <c r="B1874" s="12" t="s">
        <v>7155</v>
      </c>
      <c r="C1874" s="12" t="s">
        <v>1614</v>
      </c>
      <c r="D1874" s="12" t="s">
        <v>641</v>
      </c>
      <c r="E1874" s="12" t="s">
        <v>7156</v>
      </c>
      <c r="F1874" s="13">
        <v>130</v>
      </c>
      <c r="G1874" s="12" t="s">
        <v>1617</v>
      </c>
      <c r="H1874" s="12" t="s">
        <v>38</v>
      </c>
      <c r="I1874" s="12" t="s">
        <v>113</v>
      </c>
      <c r="J1874" s="12" t="s">
        <v>529</v>
      </c>
      <c r="K1874" s="12" t="s">
        <v>82</v>
      </c>
      <c r="L1874" s="14"/>
      <c r="M1874" s="12" t="s">
        <v>43</v>
      </c>
      <c r="N1874" s="12" t="s">
        <v>44</v>
      </c>
      <c r="O1874" s="12" t="s">
        <v>7157</v>
      </c>
      <c r="P1874" s="12" t="s">
        <v>46</v>
      </c>
      <c r="Q1874" s="12" t="s">
        <v>47</v>
      </c>
      <c r="R1874" s="12" t="s">
        <v>117</v>
      </c>
      <c r="S1874" s="13">
        <v>197643314523</v>
      </c>
      <c r="T1874" s="12" t="s">
        <v>105</v>
      </c>
      <c r="U1874" s="13">
        <v>47</v>
      </c>
      <c r="V1874" s="12" t="s">
        <v>50</v>
      </c>
      <c r="W1874" s="12" t="s">
        <v>455</v>
      </c>
      <c r="X1874" s="14"/>
      <c r="Y1874" s="12" t="s">
        <v>53</v>
      </c>
      <c r="Z1874" s="12" t="s">
        <v>263</v>
      </c>
      <c r="AA1874" s="14"/>
      <c r="AB1874" s="14"/>
      <c r="AC1874" s="15">
        <v>50</v>
      </c>
      <c r="AD1874" s="15">
        <f>AC1874*AG1874</f>
        <v>150</v>
      </c>
      <c r="AE1874" s="15">
        <v>110</v>
      </c>
      <c r="AF1874" s="15">
        <f>AE1874*AG1874</f>
        <v>330</v>
      </c>
      <c r="AG1874" s="16">
        <v>3</v>
      </c>
    </row>
    <row r="1875" spans="1:33" ht="15" customHeight="1" x14ac:dyDescent="0.2">
      <c r="A1875" s="11" t="str">
        <f>HYPERLINK("https://assets.vans.eu/images/VN000D1J689-HERO/1","VN000D1J6891")</f>
        <v>VN000D1J6891</v>
      </c>
      <c r="B1875" s="12" t="s">
        <v>7158</v>
      </c>
      <c r="C1875" s="12" t="s">
        <v>251</v>
      </c>
      <c r="D1875" s="12" t="s">
        <v>7159</v>
      </c>
      <c r="E1875" s="12" t="s">
        <v>7160</v>
      </c>
      <c r="F1875" s="13">
        <v>75</v>
      </c>
      <c r="G1875" s="12" t="s">
        <v>528</v>
      </c>
      <c r="H1875" s="12" t="s">
        <v>38</v>
      </c>
      <c r="I1875" s="12" t="s">
        <v>113</v>
      </c>
      <c r="J1875" s="12" t="s">
        <v>529</v>
      </c>
      <c r="K1875" s="12" t="s">
        <v>82</v>
      </c>
      <c r="L1875" s="14"/>
      <c r="M1875" s="12" t="s">
        <v>43</v>
      </c>
      <c r="N1875" s="12" t="s">
        <v>161</v>
      </c>
      <c r="O1875" s="12" t="s">
        <v>7161</v>
      </c>
      <c r="P1875" s="12" t="s">
        <v>46</v>
      </c>
      <c r="Q1875" s="12" t="s">
        <v>47</v>
      </c>
      <c r="R1875" s="12" t="s">
        <v>117</v>
      </c>
      <c r="S1875" s="13">
        <v>197065606541</v>
      </c>
      <c r="T1875" s="12" t="s">
        <v>49</v>
      </c>
      <c r="U1875" s="13">
        <v>40</v>
      </c>
      <c r="V1875" s="12" t="s">
        <v>50</v>
      </c>
      <c r="W1875" s="12" t="s">
        <v>284</v>
      </c>
      <c r="X1875" s="14"/>
      <c r="Y1875" s="12" t="s">
        <v>91</v>
      </c>
      <c r="Z1875" s="12" t="s">
        <v>165</v>
      </c>
      <c r="AA1875" s="14"/>
      <c r="AB1875" s="14"/>
      <c r="AC1875" s="15">
        <v>45.5</v>
      </c>
      <c r="AD1875" s="15">
        <f>AC1875*AG1875</f>
        <v>136.5</v>
      </c>
      <c r="AE1875" s="15">
        <v>100</v>
      </c>
      <c r="AF1875" s="15">
        <f>AE1875*AG1875</f>
        <v>300</v>
      </c>
      <c r="AG1875" s="16">
        <v>3</v>
      </c>
    </row>
    <row r="1876" spans="1:33" ht="15" customHeight="1" x14ac:dyDescent="0.2">
      <c r="A1876" s="11" t="str">
        <f>HYPERLINK("https://assets.vans.eu/images/VN000D1JJ4C-HERO/1","VN000D1JJ4C1")</f>
        <v>VN000D1JJ4C1</v>
      </c>
      <c r="B1876" s="12" t="s">
        <v>7162</v>
      </c>
      <c r="C1876" s="12" t="s">
        <v>251</v>
      </c>
      <c r="D1876" s="12" t="s">
        <v>7163</v>
      </c>
      <c r="E1876" s="12" t="s">
        <v>7164</v>
      </c>
      <c r="F1876" s="13">
        <v>115</v>
      </c>
      <c r="G1876" s="14"/>
      <c r="H1876" s="12" t="s">
        <v>38</v>
      </c>
      <c r="I1876" s="12" t="s">
        <v>159</v>
      </c>
      <c r="J1876" s="12" t="s">
        <v>255</v>
      </c>
      <c r="K1876" s="12" t="s">
        <v>82</v>
      </c>
      <c r="L1876" s="12" t="s">
        <v>115</v>
      </c>
      <c r="M1876" s="12" t="s">
        <v>43</v>
      </c>
      <c r="N1876" s="12" t="s">
        <v>44</v>
      </c>
      <c r="O1876" s="12" t="s">
        <v>7165</v>
      </c>
      <c r="P1876" s="12" t="s">
        <v>46</v>
      </c>
      <c r="Q1876" s="12" t="s">
        <v>47</v>
      </c>
      <c r="R1876" s="12" t="s">
        <v>163</v>
      </c>
      <c r="S1876" s="13">
        <v>197804589784</v>
      </c>
      <c r="T1876" s="12" t="s">
        <v>49</v>
      </c>
      <c r="U1876" s="13">
        <v>45</v>
      </c>
      <c r="V1876" s="12" t="s">
        <v>50</v>
      </c>
      <c r="W1876" s="12" t="s">
        <v>284</v>
      </c>
      <c r="X1876" s="14"/>
      <c r="Y1876" s="12" t="s">
        <v>53</v>
      </c>
      <c r="Z1876" s="12" t="s">
        <v>92</v>
      </c>
      <c r="AA1876" s="12" t="s">
        <v>3224</v>
      </c>
      <c r="AB1876" s="12" t="s">
        <v>94</v>
      </c>
      <c r="AC1876" s="15">
        <v>45.5</v>
      </c>
      <c r="AD1876" s="15">
        <f>AC1876*AG1876</f>
        <v>136.5</v>
      </c>
      <c r="AE1876" s="15">
        <v>100</v>
      </c>
      <c r="AF1876" s="15">
        <f>AE1876*AG1876</f>
        <v>300</v>
      </c>
      <c r="AG1876" s="16">
        <v>3</v>
      </c>
    </row>
    <row r="1877" spans="1:33" ht="15" customHeight="1" x14ac:dyDescent="0.2">
      <c r="A1877" s="11" t="str">
        <f>HYPERLINK("https://assets.vans.eu/images/VN000D1JPBQ-HERO/1","VN000D1JPBQ1")</f>
        <v>VN000D1JPBQ1</v>
      </c>
      <c r="B1877" s="12" t="s">
        <v>7166</v>
      </c>
      <c r="C1877" s="12" t="s">
        <v>251</v>
      </c>
      <c r="D1877" s="12" t="s">
        <v>7167</v>
      </c>
      <c r="E1877" s="12" t="s">
        <v>7168</v>
      </c>
      <c r="F1877" s="13">
        <v>60</v>
      </c>
      <c r="G1877" s="14"/>
      <c r="H1877" s="12" t="s">
        <v>38</v>
      </c>
      <c r="I1877" s="12" t="s">
        <v>159</v>
      </c>
      <c r="J1877" s="12" t="s">
        <v>255</v>
      </c>
      <c r="K1877" s="12" t="s">
        <v>82</v>
      </c>
      <c r="L1877" s="12" t="s">
        <v>260</v>
      </c>
      <c r="M1877" s="12" t="s">
        <v>43</v>
      </c>
      <c r="N1877" s="12" t="s">
        <v>44</v>
      </c>
      <c r="O1877" s="12" t="s">
        <v>7169</v>
      </c>
      <c r="P1877" s="12" t="s">
        <v>46</v>
      </c>
      <c r="Q1877" s="12" t="s">
        <v>47</v>
      </c>
      <c r="R1877" s="12" t="s">
        <v>163</v>
      </c>
      <c r="S1877" s="13">
        <v>197642139332</v>
      </c>
      <c r="T1877" s="12" t="s">
        <v>49</v>
      </c>
      <c r="U1877" s="13">
        <v>38</v>
      </c>
      <c r="V1877" s="12" t="s">
        <v>50</v>
      </c>
      <c r="W1877" s="12" t="s">
        <v>455</v>
      </c>
      <c r="X1877" s="14"/>
      <c r="Y1877" s="12" t="s">
        <v>91</v>
      </c>
      <c r="Z1877" s="12" t="s">
        <v>165</v>
      </c>
      <c r="AA1877" s="14"/>
      <c r="AB1877" s="12" t="s">
        <v>264</v>
      </c>
      <c r="AC1877" s="15">
        <v>45.5</v>
      </c>
      <c r="AD1877" s="15">
        <f>AC1877*AG1877</f>
        <v>136.5</v>
      </c>
      <c r="AE1877" s="15">
        <v>100</v>
      </c>
      <c r="AF1877" s="15">
        <f>AE1877*AG1877</f>
        <v>300</v>
      </c>
      <c r="AG1877" s="16">
        <v>3</v>
      </c>
    </row>
    <row r="1878" spans="1:33" ht="15" customHeight="1" x14ac:dyDescent="0.2">
      <c r="A1878" s="11" t="str">
        <f t="shared" ref="A1878:A1879" si="785">HYPERLINK("https://assets.vans.eu/images/VN000D1JV0N-HERO/1","VN000D1JV0N1")</f>
        <v>VN000D1JV0N1</v>
      </c>
      <c r="B1878" s="12" t="s">
        <v>7170</v>
      </c>
      <c r="C1878" s="12" t="s">
        <v>251</v>
      </c>
      <c r="D1878" s="12" t="s">
        <v>7171</v>
      </c>
      <c r="E1878" s="12" t="s">
        <v>7172</v>
      </c>
      <c r="F1878" s="13">
        <v>50</v>
      </c>
      <c r="G1878" s="14"/>
      <c r="H1878" s="12" t="s">
        <v>38</v>
      </c>
      <c r="I1878" s="12" t="s">
        <v>159</v>
      </c>
      <c r="J1878" s="12" t="s">
        <v>255</v>
      </c>
      <c r="K1878" s="12" t="s">
        <v>82</v>
      </c>
      <c r="L1878" s="12" t="s">
        <v>260</v>
      </c>
      <c r="M1878" s="12" t="s">
        <v>43</v>
      </c>
      <c r="N1878" s="12" t="s">
        <v>84</v>
      </c>
      <c r="O1878" s="12" t="s">
        <v>7173</v>
      </c>
      <c r="P1878" s="12" t="s">
        <v>46</v>
      </c>
      <c r="Q1878" s="12" t="s">
        <v>47</v>
      </c>
      <c r="R1878" s="12" t="s">
        <v>163</v>
      </c>
      <c r="S1878" s="13">
        <v>197804835447</v>
      </c>
      <c r="T1878" s="12" t="s">
        <v>49</v>
      </c>
      <c r="U1878" s="13">
        <v>36.5</v>
      </c>
      <c r="V1878" s="12" t="s">
        <v>50</v>
      </c>
      <c r="W1878" s="12" t="s">
        <v>118</v>
      </c>
      <c r="X1878" s="14"/>
      <c r="Y1878" s="14"/>
      <c r="Z1878" s="14"/>
      <c r="AA1878" s="14"/>
      <c r="AB1878" s="14"/>
      <c r="AC1878" s="15">
        <v>50</v>
      </c>
      <c r="AD1878" s="15">
        <f>AC1878*AG1878</f>
        <v>150</v>
      </c>
      <c r="AE1878" s="15">
        <v>110</v>
      </c>
      <c r="AF1878" s="15">
        <f>AE1878*AG1878</f>
        <v>330</v>
      </c>
      <c r="AG1878" s="16">
        <v>3</v>
      </c>
    </row>
    <row r="1879" spans="1:33" ht="15" customHeight="1" x14ac:dyDescent="0.2">
      <c r="A1879" s="11" t="str">
        <f t="shared" si="785"/>
        <v>VN000D1JV0N1</v>
      </c>
      <c r="B1879" s="12" t="s">
        <v>7174</v>
      </c>
      <c r="C1879" s="12" t="s">
        <v>251</v>
      </c>
      <c r="D1879" s="12" t="s">
        <v>7171</v>
      </c>
      <c r="E1879" s="12" t="s">
        <v>7175</v>
      </c>
      <c r="F1879" s="13">
        <v>95</v>
      </c>
      <c r="G1879" s="14"/>
      <c r="H1879" s="12" t="s">
        <v>38</v>
      </c>
      <c r="I1879" s="12" t="s">
        <v>159</v>
      </c>
      <c r="J1879" s="12" t="s">
        <v>255</v>
      </c>
      <c r="K1879" s="12" t="s">
        <v>82</v>
      </c>
      <c r="L1879" s="12" t="s">
        <v>260</v>
      </c>
      <c r="M1879" s="12" t="s">
        <v>43</v>
      </c>
      <c r="N1879" s="12" t="s">
        <v>84</v>
      </c>
      <c r="O1879" s="12" t="s">
        <v>7176</v>
      </c>
      <c r="P1879" s="12" t="s">
        <v>46</v>
      </c>
      <c r="Q1879" s="12" t="s">
        <v>47</v>
      </c>
      <c r="R1879" s="12" t="s">
        <v>163</v>
      </c>
      <c r="S1879" s="13">
        <v>197804837199</v>
      </c>
      <c r="T1879" s="12" t="s">
        <v>49</v>
      </c>
      <c r="U1879" s="13">
        <v>42.5</v>
      </c>
      <c r="V1879" s="12" t="s">
        <v>50</v>
      </c>
      <c r="W1879" s="12" t="s">
        <v>118</v>
      </c>
      <c r="X1879" s="14"/>
      <c r="Y1879" s="14"/>
      <c r="Z1879" s="14"/>
      <c r="AA1879" s="14"/>
      <c r="AB1879" s="14"/>
      <c r="AC1879" s="15">
        <v>50</v>
      </c>
      <c r="AD1879" s="15">
        <f>AC1879*AG1879</f>
        <v>150</v>
      </c>
      <c r="AE1879" s="15">
        <v>110</v>
      </c>
      <c r="AF1879" s="15">
        <f>AE1879*AG1879</f>
        <v>330</v>
      </c>
      <c r="AG1879" s="16">
        <v>3</v>
      </c>
    </row>
    <row r="1880" spans="1:33" ht="15" customHeight="1" x14ac:dyDescent="0.2">
      <c r="A1880" s="11" t="str">
        <f>HYPERLINK("https://assets.vans.eu/images/VN000D26E2Z-HERO/1","VN000D26E2Z1")</f>
        <v>VN000D26E2Z1</v>
      </c>
      <c r="B1880" s="12" t="s">
        <v>7177</v>
      </c>
      <c r="C1880" s="12" t="s">
        <v>251</v>
      </c>
      <c r="D1880" s="12" t="s">
        <v>3420</v>
      </c>
      <c r="E1880" s="12" t="s">
        <v>7178</v>
      </c>
      <c r="F1880" s="13">
        <v>110</v>
      </c>
      <c r="G1880" s="12" t="s">
        <v>5020</v>
      </c>
      <c r="H1880" s="12" t="s">
        <v>38</v>
      </c>
      <c r="I1880" s="12" t="s">
        <v>159</v>
      </c>
      <c r="J1880" s="12" t="s">
        <v>255</v>
      </c>
      <c r="K1880" s="12" t="s">
        <v>82</v>
      </c>
      <c r="L1880" s="14"/>
      <c r="M1880" s="12" t="s">
        <v>43</v>
      </c>
      <c r="N1880" s="12" t="s">
        <v>44</v>
      </c>
      <c r="O1880" s="12" t="s">
        <v>7179</v>
      </c>
      <c r="P1880" s="12" t="s">
        <v>46</v>
      </c>
      <c r="Q1880" s="12" t="s">
        <v>47</v>
      </c>
      <c r="R1880" s="12" t="s">
        <v>163</v>
      </c>
      <c r="S1880" s="13">
        <v>197643184751</v>
      </c>
      <c r="T1880" s="12" t="s">
        <v>49</v>
      </c>
      <c r="U1880" s="13">
        <v>44.5</v>
      </c>
      <c r="V1880" s="12" t="s">
        <v>50</v>
      </c>
      <c r="W1880" s="12" t="s">
        <v>262</v>
      </c>
      <c r="X1880" s="14"/>
      <c r="Y1880" s="12" t="s">
        <v>91</v>
      </c>
      <c r="Z1880" s="12" t="s">
        <v>165</v>
      </c>
      <c r="AA1880" s="14"/>
      <c r="AB1880" s="14"/>
      <c r="AC1880" s="15">
        <v>45.5</v>
      </c>
      <c r="AD1880" s="15">
        <f>AC1880*AG1880</f>
        <v>136.5</v>
      </c>
      <c r="AE1880" s="15">
        <v>100</v>
      </c>
      <c r="AF1880" s="15">
        <f>AE1880*AG1880</f>
        <v>300</v>
      </c>
      <c r="AG1880" s="16">
        <v>3</v>
      </c>
    </row>
    <row r="1881" spans="1:33" ht="15" customHeight="1" x14ac:dyDescent="0.2">
      <c r="A1881" s="11" t="str">
        <f t="shared" si="618"/>
        <v>VN000D26GWT1</v>
      </c>
      <c r="B1881" s="12" t="s">
        <v>7180</v>
      </c>
      <c r="C1881" s="12" t="s">
        <v>251</v>
      </c>
      <c r="D1881" s="12" t="s">
        <v>2812</v>
      </c>
      <c r="E1881" s="12" t="s">
        <v>7181</v>
      </c>
      <c r="F1881" s="13">
        <v>35</v>
      </c>
      <c r="G1881" s="12" t="s">
        <v>2291</v>
      </c>
      <c r="H1881" s="12" t="s">
        <v>38</v>
      </c>
      <c r="I1881" s="12" t="s">
        <v>159</v>
      </c>
      <c r="J1881" s="12" t="s">
        <v>255</v>
      </c>
      <c r="K1881" s="12" t="s">
        <v>82</v>
      </c>
      <c r="L1881" s="14"/>
      <c r="M1881" s="12" t="s">
        <v>43</v>
      </c>
      <c r="N1881" s="12" t="s">
        <v>84</v>
      </c>
      <c r="O1881" s="12" t="s">
        <v>7182</v>
      </c>
      <c r="P1881" s="12" t="s">
        <v>46</v>
      </c>
      <c r="Q1881" s="12" t="s">
        <v>47</v>
      </c>
      <c r="R1881" s="12" t="s">
        <v>163</v>
      </c>
      <c r="S1881" s="13">
        <v>197804444236</v>
      </c>
      <c r="T1881" s="12" t="s">
        <v>49</v>
      </c>
      <c r="U1881" s="13">
        <v>34.5</v>
      </c>
      <c r="V1881" s="12" t="s">
        <v>50</v>
      </c>
      <c r="W1881" s="12" t="s">
        <v>186</v>
      </c>
      <c r="X1881" s="14"/>
      <c r="Y1881" s="14"/>
      <c r="Z1881" s="14"/>
      <c r="AA1881" s="14"/>
      <c r="AB1881" s="14"/>
      <c r="AC1881" s="15">
        <v>45.5</v>
      </c>
      <c r="AD1881" s="15">
        <f>AC1881*AG1881</f>
        <v>136.5</v>
      </c>
      <c r="AE1881" s="15">
        <v>100</v>
      </c>
      <c r="AF1881" s="15">
        <f>AE1881*AG1881</f>
        <v>300</v>
      </c>
      <c r="AG1881" s="16">
        <v>3</v>
      </c>
    </row>
    <row r="1882" spans="1:33" ht="15" customHeight="1" x14ac:dyDescent="0.2">
      <c r="A1882" s="11" t="str">
        <f t="shared" ref="A1882:A4190" si="786">HYPERLINK("https://assets.vans.eu/images/VN000D26KGR-HERO/1","VN000D26KGR1")</f>
        <v>VN000D26KGR1</v>
      </c>
      <c r="B1882" s="12" t="s">
        <v>7183</v>
      </c>
      <c r="C1882" s="12" t="s">
        <v>251</v>
      </c>
      <c r="D1882" s="12" t="s">
        <v>7184</v>
      </c>
      <c r="E1882" s="12" t="s">
        <v>7185</v>
      </c>
      <c r="F1882" s="13">
        <v>65</v>
      </c>
      <c r="G1882" s="12" t="s">
        <v>5020</v>
      </c>
      <c r="H1882" s="12" t="s">
        <v>38</v>
      </c>
      <c r="I1882" s="12" t="s">
        <v>159</v>
      </c>
      <c r="J1882" s="12" t="s">
        <v>255</v>
      </c>
      <c r="K1882" s="12" t="s">
        <v>82</v>
      </c>
      <c r="L1882" s="14"/>
      <c r="M1882" s="12" t="s">
        <v>43</v>
      </c>
      <c r="N1882" s="12" t="s">
        <v>44</v>
      </c>
      <c r="O1882" s="12" t="s">
        <v>7186</v>
      </c>
      <c r="P1882" s="12" t="s">
        <v>46</v>
      </c>
      <c r="Q1882" s="12" t="s">
        <v>47</v>
      </c>
      <c r="R1882" s="12" t="s">
        <v>163</v>
      </c>
      <c r="S1882" s="13">
        <v>197643444183</v>
      </c>
      <c r="T1882" s="12" t="s">
        <v>49</v>
      </c>
      <c r="U1882" s="13">
        <v>38.5</v>
      </c>
      <c r="V1882" s="12" t="s">
        <v>50</v>
      </c>
      <c r="W1882" s="12" t="s">
        <v>580</v>
      </c>
      <c r="X1882" s="14"/>
      <c r="Y1882" s="12" t="s">
        <v>91</v>
      </c>
      <c r="Z1882" s="12" t="s">
        <v>165</v>
      </c>
      <c r="AA1882" s="14"/>
      <c r="AB1882" s="14"/>
      <c r="AC1882" s="15">
        <v>45.5</v>
      </c>
      <c r="AD1882" s="15">
        <f>AC1882*AG1882</f>
        <v>136.5</v>
      </c>
      <c r="AE1882" s="15">
        <v>100</v>
      </c>
      <c r="AF1882" s="15">
        <f>AE1882*AG1882</f>
        <v>300</v>
      </c>
      <c r="AG1882" s="16">
        <v>3</v>
      </c>
    </row>
    <row r="1883" spans="1:33" ht="15" customHeight="1" x14ac:dyDescent="0.2">
      <c r="A1883" s="11" t="str">
        <f>HYPERLINK("https://assets.vans.eu/images/VN000D26PWT-HERO/1","VN000D26PWT1")</f>
        <v>VN000D26PWT1</v>
      </c>
      <c r="B1883" s="12" t="s">
        <v>7187</v>
      </c>
      <c r="C1883" s="12" t="s">
        <v>251</v>
      </c>
      <c r="D1883" s="12" t="s">
        <v>2289</v>
      </c>
      <c r="E1883" s="12" t="s">
        <v>7188</v>
      </c>
      <c r="F1883" s="13">
        <v>35</v>
      </c>
      <c r="G1883" s="12" t="s">
        <v>2291</v>
      </c>
      <c r="H1883" s="12" t="s">
        <v>38</v>
      </c>
      <c r="I1883" s="12" t="s">
        <v>159</v>
      </c>
      <c r="J1883" s="12" t="s">
        <v>255</v>
      </c>
      <c r="K1883" s="12" t="s">
        <v>82</v>
      </c>
      <c r="L1883" s="14"/>
      <c r="M1883" s="12" t="s">
        <v>43</v>
      </c>
      <c r="N1883" s="12" t="s">
        <v>84</v>
      </c>
      <c r="O1883" s="12" t="s">
        <v>7189</v>
      </c>
      <c r="P1883" s="12" t="s">
        <v>46</v>
      </c>
      <c r="Q1883" s="12" t="s">
        <v>47</v>
      </c>
      <c r="R1883" s="12" t="s">
        <v>163</v>
      </c>
      <c r="S1883" s="13">
        <v>197804444328</v>
      </c>
      <c r="T1883" s="12" t="s">
        <v>49</v>
      </c>
      <c r="U1883" s="13">
        <v>34.5</v>
      </c>
      <c r="V1883" s="12" t="s">
        <v>50</v>
      </c>
      <c r="W1883" s="12" t="s">
        <v>455</v>
      </c>
      <c r="X1883" s="14"/>
      <c r="Y1883" s="14"/>
      <c r="Z1883" s="14"/>
      <c r="AA1883" s="14"/>
      <c r="AB1883" s="14"/>
      <c r="AC1883" s="15">
        <v>45.5</v>
      </c>
      <c r="AD1883" s="15">
        <f>AC1883*AG1883</f>
        <v>136.5</v>
      </c>
      <c r="AE1883" s="15">
        <v>100</v>
      </c>
      <c r="AF1883" s="15">
        <f>AE1883*AG1883</f>
        <v>300</v>
      </c>
      <c r="AG1883" s="16">
        <v>3</v>
      </c>
    </row>
    <row r="1884" spans="1:33" ht="15" customHeight="1" x14ac:dyDescent="0.2">
      <c r="A1884" s="11" t="str">
        <f t="shared" ref="A1884:A4192" si="787">HYPERLINK("https://assets.vans.eu/images/VN000D26WGR-HERO/1","VN000D26WGR1")</f>
        <v>VN000D26WGR1</v>
      </c>
      <c r="B1884" s="12" t="s">
        <v>7190</v>
      </c>
      <c r="C1884" s="12" t="s">
        <v>251</v>
      </c>
      <c r="D1884" s="12" t="s">
        <v>7191</v>
      </c>
      <c r="E1884" s="12" t="s">
        <v>7192</v>
      </c>
      <c r="F1884" s="13">
        <v>130</v>
      </c>
      <c r="G1884" s="12" t="s">
        <v>7193</v>
      </c>
      <c r="H1884" s="12" t="s">
        <v>38</v>
      </c>
      <c r="I1884" s="12" t="s">
        <v>159</v>
      </c>
      <c r="J1884" s="12" t="s">
        <v>255</v>
      </c>
      <c r="K1884" s="12" t="s">
        <v>82</v>
      </c>
      <c r="L1884" s="14"/>
      <c r="M1884" s="12" t="s">
        <v>43</v>
      </c>
      <c r="N1884" s="12" t="s">
        <v>44</v>
      </c>
      <c r="O1884" s="12" t="s">
        <v>7194</v>
      </c>
      <c r="P1884" s="12" t="s">
        <v>46</v>
      </c>
      <c r="Q1884" s="12" t="s">
        <v>47</v>
      </c>
      <c r="R1884" s="12" t="s">
        <v>163</v>
      </c>
      <c r="S1884" s="13">
        <v>197643185208</v>
      </c>
      <c r="T1884" s="12" t="s">
        <v>49</v>
      </c>
      <c r="U1884" s="13">
        <v>47</v>
      </c>
      <c r="V1884" s="12" t="s">
        <v>50</v>
      </c>
      <c r="W1884" s="12" t="s">
        <v>175</v>
      </c>
      <c r="X1884" s="14"/>
      <c r="Y1884" s="12" t="s">
        <v>53</v>
      </c>
      <c r="Z1884" s="12" t="s">
        <v>165</v>
      </c>
      <c r="AA1884" s="14"/>
      <c r="AB1884" s="14"/>
      <c r="AC1884" s="15">
        <v>47.75</v>
      </c>
      <c r="AD1884" s="15">
        <f>AC1884*AG1884</f>
        <v>143.25</v>
      </c>
      <c r="AE1884" s="15">
        <v>105</v>
      </c>
      <c r="AF1884" s="15">
        <f>AE1884*AG1884</f>
        <v>315</v>
      </c>
      <c r="AG1884" s="16">
        <v>3</v>
      </c>
    </row>
    <row r="1885" spans="1:33" ht="15" customHeight="1" x14ac:dyDescent="0.2">
      <c r="A1885" s="11" t="str">
        <f t="shared" ref="A1885:A4222" si="788">HYPERLINK("https://assets.vans.eu/images/VN000D32WTM-HERO/1","VN000D32WTM1")</f>
        <v>VN000D32WTM1</v>
      </c>
      <c r="B1885" s="12" t="s">
        <v>7195</v>
      </c>
      <c r="C1885" s="12" t="s">
        <v>309</v>
      </c>
      <c r="D1885" s="12" t="s">
        <v>7196</v>
      </c>
      <c r="E1885" s="12" t="s">
        <v>7197</v>
      </c>
      <c r="F1885" s="13">
        <v>130</v>
      </c>
      <c r="G1885" s="12" t="s">
        <v>7193</v>
      </c>
      <c r="H1885" s="12" t="s">
        <v>38</v>
      </c>
      <c r="I1885" s="12" t="s">
        <v>159</v>
      </c>
      <c r="J1885" s="12" t="s">
        <v>160</v>
      </c>
      <c r="K1885" s="12" t="s">
        <v>82</v>
      </c>
      <c r="L1885" s="14"/>
      <c r="M1885" s="12" t="s">
        <v>43</v>
      </c>
      <c r="N1885" s="12" t="s">
        <v>44</v>
      </c>
      <c r="O1885" s="12" t="s">
        <v>7198</v>
      </c>
      <c r="P1885" s="12" t="s">
        <v>46</v>
      </c>
      <c r="Q1885" s="12" t="s">
        <v>47</v>
      </c>
      <c r="R1885" s="12" t="s">
        <v>1660</v>
      </c>
      <c r="S1885" s="13">
        <v>197643272465</v>
      </c>
      <c r="T1885" s="12" t="s">
        <v>105</v>
      </c>
      <c r="U1885" s="13">
        <v>47</v>
      </c>
      <c r="V1885" s="12" t="s">
        <v>50</v>
      </c>
      <c r="W1885" s="12" t="s">
        <v>175</v>
      </c>
      <c r="X1885" s="14"/>
      <c r="Y1885" s="12" t="s">
        <v>53</v>
      </c>
      <c r="Z1885" s="12" t="s">
        <v>165</v>
      </c>
      <c r="AA1885" s="14"/>
      <c r="AB1885" s="14"/>
      <c r="AC1885" s="15">
        <v>47.75</v>
      </c>
      <c r="AD1885" s="15">
        <f>AC1885*AG1885</f>
        <v>143.25</v>
      </c>
      <c r="AE1885" s="15">
        <v>105</v>
      </c>
      <c r="AF1885" s="15">
        <f>AE1885*AG1885</f>
        <v>315</v>
      </c>
      <c r="AG1885" s="16">
        <v>3</v>
      </c>
    </row>
    <row r="1886" spans="1:33" ht="15" customHeight="1" x14ac:dyDescent="0.2">
      <c r="A1886" s="11" t="str">
        <f t="shared" ref="A1886:A2608" si="789">HYPERLINK("https://assets.vans.eu/images/VN000D45EMY-HERO/1","VN000D45EMY1")</f>
        <v>VN000D45EMY1</v>
      </c>
      <c r="B1886" s="12" t="s">
        <v>7199</v>
      </c>
      <c r="C1886" s="12" t="s">
        <v>956</v>
      </c>
      <c r="D1886" s="12" t="s">
        <v>1155</v>
      </c>
      <c r="E1886" s="12" t="s">
        <v>7200</v>
      </c>
      <c r="F1886" s="13">
        <v>60</v>
      </c>
      <c r="G1886" s="14"/>
      <c r="H1886" s="12" t="s">
        <v>38</v>
      </c>
      <c r="I1886" s="12" t="s">
        <v>159</v>
      </c>
      <c r="J1886" s="12" t="s">
        <v>341</v>
      </c>
      <c r="K1886" s="12" t="s">
        <v>199</v>
      </c>
      <c r="L1886" s="14"/>
      <c r="M1886" s="12" t="s">
        <v>43</v>
      </c>
      <c r="N1886" s="12" t="s">
        <v>84</v>
      </c>
      <c r="O1886" s="12" t="s">
        <v>7201</v>
      </c>
      <c r="P1886" s="12" t="s">
        <v>46</v>
      </c>
      <c r="Q1886" s="12" t="s">
        <v>47</v>
      </c>
      <c r="R1886" s="12" t="s">
        <v>163</v>
      </c>
      <c r="S1886" s="13">
        <v>197804528936</v>
      </c>
      <c r="T1886" s="12" t="s">
        <v>49</v>
      </c>
      <c r="U1886" s="13">
        <v>38</v>
      </c>
      <c r="V1886" s="12" t="s">
        <v>50</v>
      </c>
      <c r="W1886" s="12" t="s">
        <v>107</v>
      </c>
      <c r="X1886" s="14"/>
      <c r="Y1886" s="14"/>
      <c r="Z1886" s="14"/>
      <c r="AA1886" s="14"/>
      <c r="AB1886" s="14"/>
      <c r="AC1886" s="15">
        <v>45.5</v>
      </c>
      <c r="AD1886" s="15">
        <f>AC1886*AG1886</f>
        <v>136.5</v>
      </c>
      <c r="AE1886" s="15">
        <v>100</v>
      </c>
      <c r="AF1886" s="15">
        <f>AE1886*AG1886</f>
        <v>300</v>
      </c>
      <c r="AG1886" s="16">
        <v>3</v>
      </c>
    </row>
    <row r="1887" spans="1:33" ht="15" customHeight="1" x14ac:dyDescent="0.2">
      <c r="A1887" s="11" t="str">
        <f t="shared" ref="A1887:A4240" si="790">HYPERLINK("https://assets.vans.eu/images/VN000D45NWH-HERO/1","VN000D45NWH1")</f>
        <v>VN000D45NWH1</v>
      </c>
      <c r="B1887" s="12" t="s">
        <v>7202</v>
      </c>
      <c r="C1887" s="12" t="s">
        <v>956</v>
      </c>
      <c r="D1887" s="12" t="s">
        <v>7203</v>
      </c>
      <c r="E1887" s="12" t="s">
        <v>7204</v>
      </c>
      <c r="F1887" s="13">
        <v>105</v>
      </c>
      <c r="G1887" s="14"/>
      <c r="H1887" s="12" t="s">
        <v>38</v>
      </c>
      <c r="I1887" s="12" t="s">
        <v>159</v>
      </c>
      <c r="J1887" s="12" t="s">
        <v>341</v>
      </c>
      <c r="K1887" s="12" t="s">
        <v>199</v>
      </c>
      <c r="L1887" s="14"/>
      <c r="M1887" s="12" t="s">
        <v>43</v>
      </c>
      <c r="N1887" s="12" t="s">
        <v>44</v>
      </c>
      <c r="O1887" s="12" t="s">
        <v>7205</v>
      </c>
      <c r="P1887" s="12" t="s">
        <v>46</v>
      </c>
      <c r="Q1887" s="12" t="s">
        <v>47</v>
      </c>
      <c r="R1887" s="12" t="s">
        <v>163</v>
      </c>
      <c r="S1887" s="13">
        <v>197643275169</v>
      </c>
      <c r="T1887" s="12" t="s">
        <v>49</v>
      </c>
      <c r="U1887" s="13">
        <v>44</v>
      </c>
      <c r="V1887" s="12" t="s">
        <v>50</v>
      </c>
      <c r="W1887" s="12" t="s">
        <v>186</v>
      </c>
      <c r="X1887" s="12" t="s">
        <v>3847</v>
      </c>
      <c r="Y1887" s="12" t="s">
        <v>91</v>
      </c>
      <c r="Z1887" s="12" t="s">
        <v>652</v>
      </c>
      <c r="AA1887" s="14"/>
      <c r="AB1887" s="14"/>
      <c r="AC1887" s="15">
        <v>45.5</v>
      </c>
      <c r="AD1887" s="15">
        <f>AC1887*AG1887</f>
        <v>136.5</v>
      </c>
      <c r="AE1887" s="15">
        <v>100</v>
      </c>
      <c r="AF1887" s="15">
        <f>AE1887*AG1887</f>
        <v>300</v>
      </c>
      <c r="AG1887" s="16">
        <v>3</v>
      </c>
    </row>
    <row r="1888" spans="1:33" ht="15" customHeight="1" x14ac:dyDescent="0.2">
      <c r="A1888" s="11" t="str">
        <f t="shared" ref="A1888:A2612" si="791">HYPERLINK("https://assets.vans.eu/images/VN000D4MNVY-HERO/1","VN000D4MNVY1")</f>
        <v>VN000D4MNVY1</v>
      </c>
      <c r="B1888" s="12" t="s">
        <v>7206</v>
      </c>
      <c r="C1888" s="12" t="s">
        <v>1608</v>
      </c>
      <c r="D1888" s="12" t="s">
        <v>2760</v>
      </c>
      <c r="E1888" s="12" t="s">
        <v>7207</v>
      </c>
      <c r="F1888" s="13">
        <v>40</v>
      </c>
      <c r="G1888" s="12" t="s">
        <v>2814</v>
      </c>
      <c r="H1888" s="12" t="s">
        <v>38</v>
      </c>
      <c r="I1888" s="12" t="s">
        <v>242</v>
      </c>
      <c r="J1888" s="12" t="s">
        <v>1611</v>
      </c>
      <c r="K1888" s="12" t="s">
        <v>244</v>
      </c>
      <c r="L1888" s="14"/>
      <c r="M1888" s="12" t="s">
        <v>43</v>
      </c>
      <c r="N1888" s="12" t="s">
        <v>44</v>
      </c>
      <c r="O1888" s="12" t="s">
        <v>7208</v>
      </c>
      <c r="P1888" s="12" t="s">
        <v>46</v>
      </c>
      <c r="Q1888" s="12" t="s">
        <v>47</v>
      </c>
      <c r="R1888" s="12" t="s">
        <v>48</v>
      </c>
      <c r="S1888" s="13">
        <v>197643357025</v>
      </c>
      <c r="T1888" s="12" t="s">
        <v>49</v>
      </c>
      <c r="U1888" s="13">
        <v>19</v>
      </c>
      <c r="V1888" s="12" t="s">
        <v>1468</v>
      </c>
      <c r="W1888" s="12" t="s">
        <v>284</v>
      </c>
      <c r="X1888" s="14"/>
      <c r="Y1888" s="12" t="s">
        <v>91</v>
      </c>
      <c r="Z1888" s="12" t="s">
        <v>165</v>
      </c>
      <c r="AA1888" s="14"/>
      <c r="AB1888" s="14"/>
      <c r="AC1888" s="15">
        <v>25</v>
      </c>
      <c r="AD1888" s="15">
        <f>AC1888*AG1888</f>
        <v>75</v>
      </c>
      <c r="AE1888" s="15">
        <v>55</v>
      </c>
      <c r="AF1888" s="15">
        <f>AE1888*AG1888</f>
        <v>165</v>
      </c>
      <c r="AG1888" s="16">
        <v>3</v>
      </c>
    </row>
    <row r="1889" spans="1:33" ht="15" customHeight="1" x14ac:dyDescent="0.2">
      <c r="A1889" s="11" t="str">
        <f t="shared" si="531"/>
        <v>VN000D4N2081</v>
      </c>
      <c r="B1889" s="12" t="s">
        <v>7209</v>
      </c>
      <c r="C1889" s="12" t="s">
        <v>251</v>
      </c>
      <c r="D1889" s="12" t="s">
        <v>4995</v>
      </c>
      <c r="E1889" s="12" t="s">
        <v>7210</v>
      </c>
      <c r="F1889" s="13">
        <v>115</v>
      </c>
      <c r="G1889" s="12" t="s">
        <v>4997</v>
      </c>
      <c r="H1889" s="12" t="s">
        <v>38</v>
      </c>
      <c r="I1889" s="12" t="s">
        <v>39</v>
      </c>
      <c r="J1889" s="12" t="s">
        <v>2430</v>
      </c>
      <c r="K1889" s="12" t="s">
        <v>41</v>
      </c>
      <c r="L1889" s="14"/>
      <c r="M1889" s="12" t="s">
        <v>43</v>
      </c>
      <c r="N1889" s="12" t="s">
        <v>84</v>
      </c>
      <c r="O1889" s="12" t="s">
        <v>7211</v>
      </c>
      <c r="P1889" s="12" t="s">
        <v>46</v>
      </c>
      <c r="Q1889" s="12" t="s">
        <v>47</v>
      </c>
      <c r="R1889" s="12" t="s">
        <v>48</v>
      </c>
      <c r="S1889" s="13">
        <v>197804449064</v>
      </c>
      <c r="T1889" s="12" t="s">
        <v>49</v>
      </c>
      <c r="U1889" s="13">
        <v>28</v>
      </c>
      <c r="V1889" s="12" t="s">
        <v>1468</v>
      </c>
      <c r="W1889" s="12" t="s">
        <v>455</v>
      </c>
      <c r="X1889" s="14"/>
      <c r="Y1889" s="14"/>
      <c r="Z1889" s="14"/>
      <c r="AA1889" s="14"/>
      <c r="AB1889" s="14"/>
      <c r="AC1889" s="15">
        <v>29.55</v>
      </c>
      <c r="AD1889" s="15">
        <f>AC1889*AG1889</f>
        <v>88.65</v>
      </c>
      <c r="AE1889" s="15">
        <v>65</v>
      </c>
      <c r="AF1889" s="15">
        <f>AE1889*AG1889</f>
        <v>195</v>
      </c>
      <c r="AG1889" s="16">
        <v>3</v>
      </c>
    </row>
    <row r="1890" spans="1:33" ht="15" customHeight="1" x14ac:dyDescent="0.2">
      <c r="A1890" s="11" t="str">
        <f t="shared" si="457"/>
        <v>VN000D4N2B61</v>
      </c>
      <c r="B1890" s="12" t="s">
        <v>7212</v>
      </c>
      <c r="C1890" s="12" t="s">
        <v>251</v>
      </c>
      <c r="D1890" s="12" t="s">
        <v>4375</v>
      </c>
      <c r="E1890" s="12" t="s">
        <v>7213</v>
      </c>
      <c r="F1890" s="13">
        <v>115</v>
      </c>
      <c r="G1890" s="14"/>
      <c r="H1890" s="12" t="s">
        <v>38</v>
      </c>
      <c r="I1890" s="12" t="s">
        <v>39</v>
      </c>
      <c r="J1890" s="12" t="s">
        <v>2430</v>
      </c>
      <c r="K1890" s="12" t="s">
        <v>41</v>
      </c>
      <c r="L1890" s="14"/>
      <c r="M1890" s="12" t="s">
        <v>43</v>
      </c>
      <c r="N1890" s="12" t="s">
        <v>84</v>
      </c>
      <c r="O1890" s="12" t="s">
        <v>7214</v>
      </c>
      <c r="P1890" s="12" t="s">
        <v>46</v>
      </c>
      <c r="Q1890" s="12" t="s">
        <v>47</v>
      </c>
      <c r="R1890" s="12" t="s">
        <v>48</v>
      </c>
      <c r="S1890" s="13">
        <v>197804448968</v>
      </c>
      <c r="T1890" s="12" t="s">
        <v>49</v>
      </c>
      <c r="U1890" s="13">
        <v>28</v>
      </c>
      <c r="V1890" s="12" t="s">
        <v>1468</v>
      </c>
      <c r="W1890" s="12" t="s">
        <v>51</v>
      </c>
      <c r="X1890" s="14"/>
      <c r="Y1890" s="14"/>
      <c r="Z1890" s="14"/>
      <c r="AA1890" s="14"/>
      <c r="AB1890" s="14"/>
      <c r="AC1890" s="15">
        <v>29.55</v>
      </c>
      <c r="AD1890" s="15">
        <f>AC1890*AG1890</f>
        <v>88.65</v>
      </c>
      <c r="AE1890" s="15">
        <v>65</v>
      </c>
      <c r="AF1890" s="15">
        <f>AE1890*AG1890</f>
        <v>195</v>
      </c>
      <c r="AG1890" s="16">
        <v>3</v>
      </c>
    </row>
    <row r="1891" spans="1:33" ht="15" customHeight="1" x14ac:dyDescent="0.2">
      <c r="A1891" s="11" t="str">
        <f t="shared" ref="A1891:A2617" si="792">HYPERLINK("https://assets.vans.eu/images/VN000D4NBKA-HERO/1","VN000D4NBKA1")</f>
        <v>VN000D4NBKA1</v>
      </c>
      <c r="B1891" s="12" t="s">
        <v>7215</v>
      </c>
      <c r="C1891" s="12" t="s">
        <v>251</v>
      </c>
      <c r="D1891" s="12" t="s">
        <v>252</v>
      </c>
      <c r="E1891" s="12" t="s">
        <v>7216</v>
      </c>
      <c r="F1891" s="13">
        <v>105</v>
      </c>
      <c r="G1891" s="14"/>
      <c r="H1891" s="12" t="s">
        <v>38</v>
      </c>
      <c r="I1891" s="12" t="s">
        <v>39</v>
      </c>
      <c r="J1891" s="12" t="s">
        <v>2430</v>
      </c>
      <c r="K1891" s="12" t="s">
        <v>41</v>
      </c>
      <c r="L1891" s="14"/>
      <c r="M1891" s="12" t="s">
        <v>43</v>
      </c>
      <c r="N1891" s="12" t="s">
        <v>84</v>
      </c>
      <c r="O1891" s="12" t="s">
        <v>7217</v>
      </c>
      <c r="P1891" s="12" t="s">
        <v>46</v>
      </c>
      <c r="Q1891" s="12" t="s">
        <v>47</v>
      </c>
      <c r="R1891" s="12" t="s">
        <v>48</v>
      </c>
      <c r="S1891" s="13">
        <v>197804448524</v>
      </c>
      <c r="T1891" s="12" t="s">
        <v>49</v>
      </c>
      <c r="U1891" s="13">
        <v>27</v>
      </c>
      <c r="V1891" s="12" t="s">
        <v>1468</v>
      </c>
      <c r="W1891" s="12" t="s">
        <v>51</v>
      </c>
      <c r="X1891" s="14"/>
      <c r="Y1891" s="14"/>
      <c r="Z1891" s="14"/>
      <c r="AA1891" s="14"/>
      <c r="AB1891" s="14"/>
      <c r="AC1891" s="15">
        <v>29.55</v>
      </c>
      <c r="AD1891" s="15">
        <f>AC1891*AG1891</f>
        <v>88.65</v>
      </c>
      <c r="AE1891" s="15">
        <v>65</v>
      </c>
      <c r="AF1891" s="15">
        <f>AE1891*AG1891</f>
        <v>195</v>
      </c>
      <c r="AG1891" s="16">
        <v>3</v>
      </c>
    </row>
    <row r="1892" spans="1:33" ht="15" customHeight="1" x14ac:dyDescent="0.2">
      <c r="A1892" s="11" t="str">
        <f t="shared" si="532"/>
        <v>VN000D4NBZW1</v>
      </c>
      <c r="B1892" s="12" t="s">
        <v>7218</v>
      </c>
      <c r="C1892" s="12" t="s">
        <v>251</v>
      </c>
      <c r="D1892" s="12" t="s">
        <v>58</v>
      </c>
      <c r="E1892" s="12" t="s">
        <v>7219</v>
      </c>
      <c r="F1892" s="13">
        <v>10</v>
      </c>
      <c r="G1892" s="14"/>
      <c r="H1892" s="12" t="s">
        <v>38</v>
      </c>
      <c r="I1892" s="12" t="s">
        <v>39</v>
      </c>
      <c r="J1892" s="12" t="s">
        <v>2430</v>
      </c>
      <c r="K1892" s="12" t="s">
        <v>41</v>
      </c>
      <c r="L1892" s="14"/>
      <c r="M1892" s="12" t="s">
        <v>43</v>
      </c>
      <c r="N1892" s="12" t="s">
        <v>44</v>
      </c>
      <c r="O1892" s="12" t="s">
        <v>7220</v>
      </c>
      <c r="P1892" s="12" t="s">
        <v>46</v>
      </c>
      <c r="Q1892" s="12" t="s">
        <v>47</v>
      </c>
      <c r="R1892" s="12" t="s">
        <v>48</v>
      </c>
      <c r="S1892" s="13">
        <v>197643357193</v>
      </c>
      <c r="T1892" s="12" t="s">
        <v>49</v>
      </c>
      <c r="U1892" s="13">
        <v>31.5</v>
      </c>
      <c r="V1892" s="12" t="s">
        <v>1468</v>
      </c>
      <c r="W1892" s="12" t="s">
        <v>51</v>
      </c>
      <c r="X1892" s="14"/>
      <c r="Y1892" s="12" t="s">
        <v>91</v>
      </c>
      <c r="Z1892" s="12" t="s">
        <v>165</v>
      </c>
      <c r="AA1892" s="14"/>
      <c r="AB1892" s="14"/>
      <c r="AC1892" s="15">
        <v>29.55</v>
      </c>
      <c r="AD1892" s="15">
        <f>AC1892*AG1892</f>
        <v>88.65</v>
      </c>
      <c r="AE1892" s="15">
        <v>65</v>
      </c>
      <c r="AF1892" s="15">
        <f>AE1892*AG1892</f>
        <v>195</v>
      </c>
      <c r="AG1892" s="16">
        <v>3</v>
      </c>
    </row>
    <row r="1893" spans="1:33" ht="15" customHeight="1" x14ac:dyDescent="0.2">
      <c r="A1893" s="11" t="str">
        <f t="shared" ref="A1893:A1895" si="793">HYPERLINK("https://assets.vans.eu/images/VN000D4NBZW-HERO/1","VN000D4NBZW1")</f>
        <v>VN000D4NBZW1</v>
      </c>
      <c r="B1893" s="12" t="s">
        <v>7221</v>
      </c>
      <c r="C1893" s="12" t="s">
        <v>251</v>
      </c>
      <c r="D1893" s="12" t="s">
        <v>58</v>
      </c>
      <c r="E1893" s="12" t="s">
        <v>7222</v>
      </c>
      <c r="F1893" s="13">
        <v>110</v>
      </c>
      <c r="G1893" s="14"/>
      <c r="H1893" s="12" t="s">
        <v>38</v>
      </c>
      <c r="I1893" s="12" t="s">
        <v>39</v>
      </c>
      <c r="J1893" s="12" t="s">
        <v>2430</v>
      </c>
      <c r="K1893" s="12" t="s">
        <v>41</v>
      </c>
      <c r="L1893" s="14"/>
      <c r="M1893" s="12" t="s">
        <v>43</v>
      </c>
      <c r="N1893" s="12" t="s">
        <v>44</v>
      </c>
      <c r="O1893" s="12" t="s">
        <v>7223</v>
      </c>
      <c r="P1893" s="12" t="s">
        <v>46</v>
      </c>
      <c r="Q1893" s="12" t="s">
        <v>47</v>
      </c>
      <c r="R1893" s="12" t="s">
        <v>48</v>
      </c>
      <c r="S1893" s="13">
        <v>197643357933</v>
      </c>
      <c r="T1893" s="12" t="s">
        <v>49</v>
      </c>
      <c r="U1893" s="13">
        <v>27.5</v>
      </c>
      <c r="V1893" s="12" t="s">
        <v>1468</v>
      </c>
      <c r="W1893" s="12" t="s">
        <v>51</v>
      </c>
      <c r="X1893" s="14"/>
      <c r="Y1893" s="12" t="s">
        <v>91</v>
      </c>
      <c r="Z1893" s="12" t="s">
        <v>165</v>
      </c>
      <c r="AA1893" s="14"/>
      <c r="AB1893" s="14"/>
      <c r="AC1893" s="15">
        <v>29.55</v>
      </c>
      <c r="AD1893" s="15">
        <f>AC1893*AG1893</f>
        <v>88.65</v>
      </c>
      <c r="AE1893" s="15">
        <v>65</v>
      </c>
      <c r="AF1893" s="15">
        <f>AE1893*AG1893</f>
        <v>195</v>
      </c>
      <c r="AG1893" s="16">
        <v>3</v>
      </c>
    </row>
    <row r="1894" spans="1:33" ht="15" customHeight="1" x14ac:dyDescent="0.2">
      <c r="A1894" s="11" t="str">
        <f t="shared" si="793"/>
        <v>VN000D4NBZW1</v>
      </c>
      <c r="B1894" s="12" t="s">
        <v>7224</v>
      </c>
      <c r="C1894" s="12" t="s">
        <v>251</v>
      </c>
      <c r="D1894" s="12" t="s">
        <v>58</v>
      </c>
      <c r="E1894" s="12" t="s">
        <v>7225</v>
      </c>
      <c r="F1894" s="13">
        <v>115</v>
      </c>
      <c r="G1894" s="14"/>
      <c r="H1894" s="12" t="s">
        <v>38</v>
      </c>
      <c r="I1894" s="12" t="s">
        <v>39</v>
      </c>
      <c r="J1894" s="12" t="s">
        <v>2430</v>
      </c>
      <c r="K1894" s="12" t="s">
        <v>41</v>
      </c>
      <c r="L1894" s="14"/>
      <c r="M1894" s="12" t="s">
        <v>43</v>
      </c>
      <c r="N1894" s="12" t="s">
        <v>44</v>
      </c>
      <c r="O1894" s="12" t="s">
        <v>7226</v>
      </c>
      <c r="P1894" s="12" t="s">
        <v>46</v>
      </c>
      <c r="Q1894" s="12" t="s">
        <v>47</v>
      </c>
      <c r="R1894" s="12" t="s">
        <v>48</v>
      </c>
      <c r="S1894" s="13">
        <v>197643358039</v>
      </c>
      <c r="T1894" s="12" t="s">
        <v>49</v>
      </c>
      <c r="U1894" s="13">
        <v>28</v>
      </c>
      <c r="V1894" s="12" t="s">
        <v>1468</v>
      </c>
      <c r="W1894" s="12" t="s">
        <v>51</v>
      </c>
      <c r="X1894" s="14"/>
      <c r="Y1894" s="12" t="s">
        <v>91</v>
      </c>
      <c r="Z1894" s="12" t="s">
        <v>165</v>
      </c>
      <c r="AA1894" s="14"/>
      <c r="AB1894" s="14"/>
      <c r="AC1894" s="15">
        <v>29.55</v>
      </c>
      <c r="AD1894" s="15">
        <f>AC1894*AG1894</f>
        <v>88.65</v>
      </c>
      <c r="AE1894" s="15">
        <v>65</v>
      </c>
      <c r="AF1894" s="15">
        <f>AE1894*AG1894</f>
        <v>195</v>
      </c>
      <c r="AG1894" s="16">
        <v>3</v>
      </c>
    </row>
    <row r="1895" spans="1:33" ht="15" customHeight="1" x14ac:dyDescent="0.2">
      <c r="A1895" s="11" t="str">
        <f t="shared" si="793"/>
        <v>VN000D4NBZW1</v>
      </c>
      <c r="B1895" s="12" t="s">
        <v>7227</v>
      </c>
      <c r="C1895" s="12" t="s">
        <v>251</v>
      </c>
      <c r="D1895" s="12" t="s">
        <v>58</v>
      </c>
      <c r="E1895" s="12" t="s">
        <v>7228</v>
      </c>
      <c r="F1895" s="13">
        <v>135</v>
      </c>
      <c r="G1895" s="14"/>
      <c r="H1895" s="12" t="s">
        <v>38</v>
      </c>
      <c r="I1895" s="12" t="s">
        <v>39</v>
      </c>
      <c r="J1895" s="12" t="s">
        <v>2430</v>
      </c>
      <c r="K1895" s="12" t="s">
        <v>41</v>
      </c>
      <c r="L1895" s="14"/>
      <c r="M1895" s="12" t="s">
        <v>43</v>
      </c>
      <c r="N1895" s="12" t="s">
        <v>44</v>
      </c>
      <c r="O1895" s="12" t="s">
        <v>7229</v>
      </c>
      <c r="P1895" s="12" t="s">
        <v>46</v>
      </c>
      <c r="Q1895" s="12" t="s">
        <v>47</v>
      </c>
      <c r="R1895" s="12" t="s">
        <v>48</v>
      </c>
      <c r="S1895" s="13">
        <v>197643358596</v>
      </c>
      <c r="T1895" s="12" t="s">
        <v>49</v>
      </c>
      <c r="U1895" s="13">
        <v>31</v>
      </c>
      <c r="V1895" s="12" t="s">
        <v>1468</v>
      </c>
      <c r="W1895" s="12" t="s">
        <v>51</v>
      </c>
      <c r="X1895" s="14"/>
      <c r="Y1895" s="12" t="s">
        <v>91</v>
      </c>
      <c r="Z1895" s="12" t="s">
        <v>165</v>
      </c>
      <c r="AA1895" s="14"/>
      <c r="AB1895" s="14"/>
      <c r="AC1895" s="15">
        <v>29.55</v>
      </c>
      <c r="AD1895" s="15">
        <f>AC1895*AG1895</f>
        <v>88.65</v>
      </c>
      <c r="AE1895" s="15">
        <v>65</v>
      </c>
      <c r="AF1895" s="15">
        <f>AE1895*AG1895</f>
        <v>195</v>
      </c>
      <c r="AG1895" s="16">
        <v>3</v>
      </c>
    </row>
    <row r="1896" spans="1:33" ht="15" customHeight="1" x14ac:dyDescent="0.2">
      <c r="A1896" s="11" t="str">
        <f t="shared" ref="A1896:A1897" si="794">HYPERLINK("https://assets.vans.eu/images/VN000D4NDJR-HERO/1","VN000D4NDJR1")</f>
        <v>VN000D4NDJR1</v>
      </c>
      <c r="B1896" s="12" t="s">
        <v>7230</v>
      </c>
      <c r="C1896" s="12" t="s">
        <v>251</v>
      </c>
      <c r="D1896" s="12" t="s">
        <v>2829</v>
      </c>
      <c r="E1896" s="12" t="s">
        <v>7231</v>
      </c>
      <c r="F1896" s="13">
        <v>25</v>
      </c>
      <c r="G1896" s="12" t="s">
        <v>3002</v>
      </c>
      <c r="H1896" s="12" t="s">
        <v>38</v>
      </c>
      <c r="I1896" s="12" t="s">
        <v>39</v>
      </c>
      <c r="J1896" s="12" t="s">
        <v>2430</v>
      </c>
      <c r="K1896" s="12" t="s">
        <v>41</v>
      </c>
      <c r="L1896" s="14"/>
      <c r="M1896" s="12" t="s">
        <v>43</v>
      </c>
      <c r="N1896" s="12" t="s">
        <v>84</v>
      </c>
      <c r="O1896" s="12" t="s">
        <v>7232</v>
      </c>
      <c r="P1896" s="12" t="s">
        <v>46</v>
      </c>
      <c r="Q1896" s="12" t="s">
        <v>47</v>
      </c>
      <c r="R1896" s="12" t="s">
        <v>48</v>
      </c>
      <c r="S1896" s="13">
        <v>197804448852</v>
      </c>
      <c r="T1896" s="12" t="s">
        <v>49</v>
      </c>
      <c r="U1896" s="13">
        <v>33</v>
      </c>
      <c r="V1896" s="12" t="s">
        <v>1468</v>
      </c>
      <c r="W1896" s="12" t="s">
        <v>175</v>
      </c>
      <c r="X1896" s="14"/>
      <c r="Y1896" s="14"/>
      <c r="Z1896" s="14"/>
      <c r="AA1896" s="14"/>
      <c r="AB1896" s="14"/>
      <c r="AC1896" s="15">
        <v>29.55</v>
      </c>
      <c r="AD1896" s="15">
        <f>AC1896*AG1896</f>
        <v>88.65</v>
      </c>
      <c r="AE1896" s="15">
        <v>65</v>
      </c>
      <c r="AF1896" s="15">
        <f>AE1896*AG1896</f>
        <v>195</v>
      </c>
      <c r="AG1896" s="16">
        <v>3</v>
      </c>
    </row>
    <row r="1897" spans="1:33" ht="15" customHeight="1" x14ac:dyDescent="0.2">
      <c r="A1897" s="11" t="str">
        <f t="shared" si="794"/>
        <v>VN000D4NDJR1</v>
      </c>
      <c r="B1897" s="12" t="s">
        <v>7233</v>
      </c>
      <c r="C1897" s="12" t="s">
        <v>251</v>
      </c>
      <c r="D1897" s="12" t="s">
        <v>2829</v>
      </c>
      <c r="E1897" s="12" t="s">
        <v>7234</v>
      </c>
      <c r="F1897" s="13">
        <v>125</v>
      </c>
      <c r="G1897" s="12" t="s">
        <v>3002</v>
      </c>
      <c r="H1897" s="12" t="s">
        <v>38</v>
      </c>
      <c r="I1897" s="12" t="s">
        <v>39</v>
      </c>
      <c r="J1897" s="12" t="s">
        <v>2430</v>
      </c>
      <c r="K1897" s="12" t="s">
        <v>41</v>
      </c>
      <c r="L1897" s="14"/>
      <c r="M1897" s="12" t="s">
        <v>43</v>
      </c>
      <c r="N1897" s="12" t="s">
        <v>84</v>
      </c>
      <c r="O1897" s="12" t="s">
        <v>7235</v>
      </c>
      <c r="P1897" s="12" t="s">
        <v>46</v>
      </c>
      <c r="Q1897" s="12" t="s">
        <v>47</v>
      </c>
      <c r="R1897" s="12" t="s">
        <v>48</v>
      </c>
      <c r="S1897" s="13">
        <v>197804449484</v>
      </c>
      <c r="T1897" s="12" t="s">
        <v>49</v>
      </c>
      <c r="U1897" s="13">
        <v>30</v>
      </c>
      <c r="V1897" s="12" t="s">
        <v>1468</v>
      </c>
      <c r="W1897" s="12" t="s">
        <v>175</v>
      </c>
      <c r="X1897" s="14"/>
      <c r="Y1897" s="14"/>
      <c r="Z1897" s="14"/>
      <c r="AA1897" s="14"/>
      <c r="AB1897" s="14"/>
      <c r="AC1897" s="15">
        <v>29.55</v>
      </c>
      <c r="AD1897" s="15">
        <f>AC1897*AG1897</f>
        <v>88.65</v>
      </c>
      <c r="AE1897" s="15">
        <v>65</v>
      </c>
      <c r="AF1897" s="15">
        <f>AE1897*AG1897</f>
        <v>195</v>
      </c>
      <c r="AG1897" s="16">
        <v>3</v>
      </c>
    </row>
    <row r="1898" spans="1:33" ht="15" customHeight="1" x14ac:dyDescent="0.2">
      <c r="A1898" s="11" t="str">
        <f t="shared" si="416"/>
        <v>VN000D4NKCZ1</v>
      </c>
      <c r="B1898" s="12" t="s">
        <v>7236</v>
      </c>
      <c r="C1898" s="12" t="s">
        <v>251</v>
      </c>
      <c r="D1898" s="12" t="s">
        <v>1109</v>
      </c>
      <c r="E1898" s="12" t="s">
        <v>7237</v>
      </c>
      <c r="F1898" s="13">
        <v>135</v>
      </c>
      <c r="G1898" s="14"/>
      <c r="H1898" s="12" t="s">
        <v>38</v>
      </c>
      <c r="I1898" s="12" t="s">
        <v>39</v>
      </c>
      <c r="J1898" s="12" t="s">
        <v>2430</v>
      </c>
      <c r="K1898" s="12" t="s">
        <v>41</v>
      </c>
      <c r="L1898" s="14"/>
      <c r="M1898" s="12" t="s">
        <v>43</v>
      </c>
      <c r="N1898" s="12" t="s">
        <v>84</v>
      </c>
      <c r="O1898" s="12" t="s">
        <v>7238</v>
      </c>
      <c r="P1898" s="12" t="s">
        <v>46</v>
      </c>
      <c r="Q1898" s="12" t="s">
        <v>47</v>
      </c>
      <c r="R1898" s="12" t="s">
        <v>48</v>
      </c>
      <c r="S1898" s="13">
        <v>197804450046</v>
      </c>
      <c r="T1898" s="12" t="s">
        <v>49</v>
      </c>
      <c r="U1898" s="13">
        <v>31</v>
      </c>
      <c r="V1898" s="12" t="s">
        <v>1468</v>
      </c>
      <c r="W1898" s="12" t="s">
        <v>118</v>
      </c>
      <c r="X1898" s="14"/>
      <c r="Y1898" s="14"/>
      <c r="Z1898" s="14"/>
      <c r="AA1898" s="14"/>
      <c r="AB1898" s="14"/>
      <c r="AC1898" s="15">
        <v>29.55</v>
      </c>
      <c r="AD1898" s="15">
        <f>AC1898*AG1898</f>
        <v>88.65</v>
      </c>
      <c r="AE1898" s="15">
        <v>65</v>
      </c>
      <c r="AF1898" s="15">
        <f>AE1898*AG1898</f>
        <v>195</v>
      </c>
      <c r="AG1898" s="16">
        <v>3</v>
      </c>
    </row>
    <row r="1899" spans="1:33" ht="15" customHeight="1" x14ac:dyDescent="0.2">
      <c r="A1899" s="11" t="str">
        <f>HYPERLINK("https://assets.vans.eu/images/VN000D4PIY7-HERO/1","VN000D4PIY71")</f>
        <v>VN000D4PIY71</v>
      </c>
      <c r="B1899" s="12" t="s">
        <v>7239</v>
      </c>
      <c r="C1899" s="12" t="s">
        <v>251</v>
      </c>
      <c r="D1899" s="12" t="s">
        <v>7240</v>
      </c>
      <c r="E1899" s="12" t="s">
        <v>7241</v>
      </c>
      <c r="F1899" s="13">
        <v>55</v>
      </c>
      <c r="G1899" s="14"/>
      <c r="H1899" s="12" t="s">
        <v>38</v>
      </c>
      <c r="I1899" s="12" t="s">
        <v>205</v>
      </c>
      <c r="J1899" s="12" t="s">
        <v>7242</v>
      </c>
      <c r="K1899" s="12" t="s">
        <v>207</v>
      </c>
      <c r="L1899" s="12" t="s">
        <v>115</v>
      </c>
      <c r="M1899" s="12" t="s">
        <v>43</v>
      </c>
      <c r="N1899" s="12" t="s">
        <v>84</v>
      </c>
      <c r="O1899" s="12" t="s">
        <v>7243</v>
      </c>
      <c r="P1899" s="12" t="s">
        <v>46</v>
      </c>
      <c r="Q1899" s="12" t="s">
        <v>47</v>
      </c>
      <c r="R1899" s="12" t="s">
        <v>48</v>
      </c>
      <c r="S1899" s="13">
        <v>197803910213</v>
      </c>
      <c r="T1899" s="12" t="s">
        <v>49</v>
      </c>
      <c r="U1899" s="13">
        <v>37</v>
      </c>
      <c r="V1899" s="12" t="s">
        <v>50</v>
      </c>
      <c r="W1899" s="12" t="s">
        <v>51</v>
      </c>
      <c r="X1899" s="12" t="s">
        <v>3847</v>
      </c>
      <c r="Y1899" s="12" t="s">
        <v>53</v>
      </c>
      <c r="Z1899" s="12" t="s">
        <v>54</v>
      </c>
      <c r="AA1899" s="12" t="s">
        <v>73</v>
      </c>
      <c r="AB1899" s="12" t="s">
        <v>94</v>
      </c>
      <c r="AC1899" s="15">
        <v>34.1</v>
      </c>
      <c r="AD1899" s="15">
        <f>AC1899*AG1899</f>
        <v>102.30000000000001</v>
      </c>
      <c r="AE1899" s="15">
        <v>75</v>
      </c>
      <c r="AF1899" s="15">
        <f>AE1899*AG1899</f>
        <v>225</v>
      </c>
      <c r="AG1899" s="16">
        <v>3</v>
      </c>
    </row>
    <row r="1900" spans="1:33" ht="15" customHeight="1" x14ac:dyDescent="0.2">
      <c r="A1900" s="11" t="str">
        <f t="shared" si="623"/>
        <v>VN000D4SCFL1</v>
      </c>
      <c r="B1900" s="12" t="s">
        <v>7244</v>
      </c>
      <c r="C1900" s="12" t="s">
        <v>1257</v>
      </c>
      <c r="D1900" s="12" t="s">
        <v>1258</v>
      </c>
      <c r="E1900" s="12" t="s">
        <v>7245</v>
      </c>
      <c r="F1900" s="13">
        <v>45</v>
      </c>
      <c r="G1900" s="14"/>
      <c r="H1900" s="12" t="s">
        <v>38</v>
      </c>
      <c r="I1900" s="12" t="s">
        <v>242</v>
      </c>
      <c r="J1900" s="12" t="s">
        <v>243</v>
      </c>
      <c r="K1900" s="12" t="s">
        <v>244</v>
      </c>
      <c r="L1900" s="14"/>
      <c r="M1900" s="12" t="s">
        <v>43</v>
      </c>
      <c r="N1900" s="12" t="s">
        <v>84</v>
      </c>
      <c r="O1900" s="12" t="s">
        <v>7246</v>
      </c>
      <c r="P1900" s="12" t="s">
        <v>46</v>
      </c>
      <c r="Q1900" s="12" t="s">
        <v>47</v>
      </c>
      <c r="R1900" s="12" t="s">
        <v>48</v>
      </c>
      <c r="S1900" s="13">
        <v>197804530786</v>
      </c>
      <c r="T1900" s="12" t="s">
        <v>105</v>
      </c>
      <c r="U1900" s="13">
        <v>20</v>
      </c>
      <c r="V1900" s="12" t="s">
        <v>50</v>
      </c>
      <c r="W1900" s="12" t="s">
        <v>284</v>
      </c>
      <c r="X1900" s="14"/>
      <c r="Y1900" s="14"/>
      <c r="Z1900" s="14"/>
      <c r="AA1900" s="14"/>
      <c r="AB1900" s="14"/>
      <c r="AC1900" s="15">
        <v>22.75</v>
      </c>
      <c r="AD1900" s="15">
        <f>AC1900*AG1900</f>
        <v>68.25</v>
      </c>
      <c r="AE1900" s="15">
        <v>50</v>
      </c>
      <c r="AF1900" s="15">
        <f>AE1900*AG1900</f>
        <v>150</v>
      </c>
      <c r="AG1900" s="16">
        <v>3</v>
      </c>
    </row>
    <row r="1901" spans="1:33" ht="15" customHeight="1" x14ac:dyDescent="0.2">
      <c r="A1901" s="11" t="str">
        <f t="shared" ref="A1901:A1902" si="795">HYPERLINK("https://assets.vans.eu/images/VN000D4SCFL-HERO/1","VN000D4SCFL1")</f>
        <v>VN000D4SCFL1</v>
      </c>
      <c r="B1901" s="12" t="s">
        <v>7247</v>
      </c>
      <c r="C1901" s="12" t="s">
        <v>1257</v>
      </c>
      <c r="D1901" s="12" t="s">
        <v>1258</v>
      </c>
      <c r="E1901" s="12" t="s">
        <v>7248</v>
      </c>
      <c r="F1901" s="13">
        <v>65</v>
      </c>
      <c r="G1901" s="14"/>
      <c r="H1901" s="12" t="s">
        <v>38</v>
      </c>
      <c r="I1901" s="12" t="s">
        <v>242</v>
      </c>
      <c r="J1901" s="12" t="s">
        <v>243</v>
      </c>
      <c r="K1901" s="12" t="s">
        <v>244</v>
      </c>
      <c r="L1901" s="14"/>
      <c r="M1901" s="12" t="s">
        <v>43</v>
      </c>
      <c r="N1901" s="12" t="s">
        <v>84</v>
      </c>
      <c r="O1901" s="12" t="s">
        <v>7249</v>
      </c>
      <c r="P1901" s="12" t="s">
        <v>46</v>
      </c>
      <c r="Q1901" s="12" t="s">
        <v>47</v>
      </c>
      <c r="R1901" s="12" t="s">
        <v>48</v>
      </c>
      <c r="S1901" s="13">
        <v>197804531240</v>
      </c>
      <c r="T1901" s="12" t="s">
        <v>105</v>
      </c>
      <c r="U1901" s="13">
        <v>22.5</v>
      </c>
      <c r="V1901" s="12" t="s">
        <v>50</v>
      </c>
      <c r="W1901" s="12" t="s">
        <v>284</v>
      </c>
      <c r="X1901" s="14"/>
      <c r="Y1901" s="14"/>
      <c r="Z1901" s="14"/>
      <c r="AA1901" s="14"/>
      <c r="AB1901" s="14"/>
      <c r="AC1901" s="15">
        <v>22.75</v>
      </c>
      <c r="AD1901" s="15">
        <f>AC1901*AG1901</f>
        <v>68.25</v>
      </c>
      <c r="AE1901" s="15">
        <v>50</v>
      </c>
      <c r="AF1901" s="15">
        <f>AE1901*AG1901</f>
        <v>150</v>
      </c>
      <c r="AG1901" s="16">
        <v>3</v>
      </c>
    </row>
    <row r="1902" spans="1:33" ht="15" customHeight="1" x14ac:dyDescent="0.2">
      <c r="A1902" s="11" t="str">
        <f t="shared" si="795"/>
        <v>VN000D4SCFL1</v>
      </c>
      <c r="B1902" s="12" t="s">
        <v>7250</v>
      </c>
      <c r="C1902" s="12" t="s">
        <v>1257</v>
      </c>
      <c r="D1902" s="12" t="s">
        <v>1258</v>
      </c>
      <c r="E1902" s="12" t="s">
        <v>7251</v>
      </c>
      <c r="F1902" s="13">
        <v>75</v>
      </c>
      <c r="G1902" s="14"/>
      <c r="H1902" s="12" t="s">
        <v>38</v>
      </c>
      <c r="I1902" s="12" t="s">
        <v>242</v>
      </c>
      <c r="J1902" s="12" t="s">
        <v>243</v>
      </c>
      <c r="K1902" s="12" t="s">
        <v>244</v>
      </c>
      <c r="L1902" s="14"/>
      <c r="M1902" s="12" t="s">
        <v>43</v>
      </c>
      <c r="N1902" s="12" t="s">
        <v>84</v>
      </c>
      <c r="O1902" s="12" t="s">
        <v>7252</v>
      </c>
      <c r="P1902" s="12" t="s">
        <v>46</v>
      </c>
      <c r="Q1902" s="12" t="s">
        <v>47</v>
      </c>
      <c r="R1902" s="12" t="s">
        <v>48</v>
      </c>
      <c r="S1902" s="13">
        <v>197804531332</v>
      </c>
      <c r="T1902" s="12" t="s">
        <v>105</v>
      </c>
      <c r="U1902" s="13">
        <v>24</v>
      </c>
      <c r="V1902" s="12" t="s">
        <v>50</v>
      </c>
      <c r="W1902" s="12" t="s">
        <v>284</v>
      </c>
      <c r="X1902" s="14"/>
      <c r="Y1902" s="14"/>
      <c r="Z1902" s="14"/>
      <c r="AA1902" s="14"/>
      <c r="AB1902" s="14"/>
      <c r="AC1902" s="15">
        <v>22.75</v>
      </c>
      <c r="AD1902" s="15">
        <f>AC1902*AG1902</f>
        <v>68.25</v>
      </c>
      <c r="AE1902" s="15">
        <v>50</v>
      </c>
      <c r="AF1902" s="15">
        <f>AE1902*AG1902</f>
        <v>150</v>
      </c>
      <c r="AG1902" s="16">
        <v>3</v>
      </c>
    </row>
    <row r="1903" spans="1:33" ht="15" customHeight="1" x14ac:dyDescent="0.2">
      <c r="A1903" s="11" t="str">
        <f t="shared" ref="A1903:A2622" si="796">HYPERLINK("https://assets.vans.eu/images/VN000D5D17P-HERO/1","VN000D5D17P1")</f>
        <v>VN000D5D17P1</v>
      </c>
      <c r="B1903" s="12" t="s">
        <v>7253</v>
      </c>
      <c r="C1903" s="12" t="s">
        <v>2592</v>
      </c>
      <c r="D1903" s="12" t="s">
        <v>2593</v>
      </c>
      <c r="E1903" s="12" t="s">
        <v>7254</v>
      </c>
      <c r="F1903" s="13">
        <v>105</v>
      </c>
      <c r="G1903" s="14"/>
      <c r="H1903" s="12" t="s">
        <v>38</v>
      </c>
      <c r="I1903" s="12" t="s">
        <v>159</v>
      </c>
      <c r="J1903" s="12" t="s">
        <v>341</v>
      </c>
      <c r="K1903" s="12" t="s">
        <v>199</v>
      </c>
      <c r="L1903" s="14"/>
      <c r="M1903" s="12" t="s">
        <v>43</v>
      </c>
      <c r="N1903" s="12" t="s">
        <v>84</v>
      </c>
      <c r="O1903" s="12" t="s">
        <v>7255</v>
      </c>
      <c r="P1903" s="12" t="s">
        <v>46</v>
      </c>
      <c r="Q1903" s="12" t="s">
        <v>47</v>
      </c>
      <c r="R1903" s="12" t="s">
        <v>163</v>
      </c>
      <c r="S1903" s="13">
        <v>197804532032</v>
      </c>
      <c r="T1903" s="12" t="s">
        <v>49</v>
      </c>
      <c r="U1903" s="13">
        <v>44</v>
      </c>
      <c r="V1903" s="12" t="s">
        <v>50</v>
      </c>
      <c r="W1903" s="12" t="s">
        <v>118</v>
      </c>
      <c r="X1903" s="14"/>
      <c r="Y1903" s="14"/>
      <c r="Z1903" s="14"/>
      <c r="AA1903" s="14"/>
      <c r="AB1903" s="14"/>
      <c r="AC1903" s="15">
        <v>45.5</v>
      </c>
      <c r="AD1903" s="15">
        <f>AC1903*AG1903</f>
        <v>136.5</v>
      </c>
      <c r="AE1903" s="15">
        <v>100</v>
      </c>
      <c r="AF1903" s="15">
        <f>AE1903*AG1903</f>
        <v>300</v>
      </c>
      <c r="AG1903" s="16">
        <v>3</v>
      </c>
    </row>
    <row r="1904" spans="1:33" ht="15" customHeight="1" x14ac:dyDescent="0.2">
      <c r="A1904" s="11" t="str">
        <f t="shared" ref="A1904:A2625" si="797">HYPERLINK("https://assets.vans.eu/images/VN000D5DDUF-HERO/1","VN000D5DDUF1")</f>
        <v>VN000D5DDUF1</v>
      </c>
      <c r="B1904" s="12" t="s">
        <v>7256</v>
      </c>
      <c r="C1904" s="12" t="s">
        <v>2592</v>
      </c>
      <c r="D1904" s="12" t="s">
        <v>7257</v>
      </c>
      <c r="E1904" s="12" t="s">
        <v>7258</v>
      </c>
      <c r="F1904" s="13">
        <v>80</v>
      </c>
      <c r="G1904" s="14"/>
      <c r="H1904" s="12" t="s">
        <v>38</v>
      </c>
      <c r="I1904" s="12" t="s">
        <v>159</v>
      </c>
      <c r="J1904" s="12" t="s">
        <v>341</v>
      </c>
      <c r="K1904" s="12" t="s">
        <v>199</v>
      </c>
      <c r="L1904" s="14"/>
      <c r="M1904" s="12" t="s">
        <v>43</v>
      </c>
      <c r="N1904" s="12" t="s">
        <v>84</v>
      </c>
      <c r="O1904" s="12" t="s">
        <v>7259</v>
      </c>
      <c r="P1904" s="12" t="s">
        <v>46</v>
      </c>
      <c r="Q1904" s="12" t="s">
        <v>47</v>
      </c>
      <c r="R1904" s="12" t="s">
        <v>163</v>
      </c>
      <c r="S1904" s="13">
        <v>197804532131</v>
      </c>
      <c r="T1904" s="12" t="s">
        <v>49</v>
      </c>
      <c r="U1904" s="13">
        <v>40.5</v>
      </c>
      <c r="V1904" s="12" t="s">
        <v>50</v>
      </c>
      <c r="W1904" s="12" t="s">
        <v>175</v>
      </c>
      <c r="X1904" s="14"/>
      <c r="Y1904" s="14"/>
      <c r="Z1904" s="14"/>
      <c r="AA1904" s="14"/>
      <c r="AB1904" s="14"/>
      <c r="AC1904" s="15">
        <v>45.5</v>
      </c>
      <c r="AD1904" s="15">
        <f>AC1904*AG1904</f>
        <v>136.5</v>
      </c>
      <c r="AE1904" s="15">
        <v>100</v>
      </c>
      <c r="AF1904" s="15">
        <f>AE1904*AG1904</f>
        <v>300</v>
      </c>
      <c r="AG1904" s="16">
        <v>3</v>
      </c>
    </row>
    <row r="1905" spans="1:33" ht="15" customHeight="1" x14ac:dyDescent="0.2">
      <c r="A1905" s="11" t="str">
        <f t="shared" ref="A1905:A4269" si="798">HYPERLINK("https://assets.vans.eu/images/VN000D5IBKA-HERO/1","VN000D5IBKA1")</f>
        <v>VN000D5IBKA1</v>
      </c>
      <c r="B1905" s="12" t="s">
        <v>7260</v>
      </c>
      <c r="C1905" s="12" t="s">
        <v>309</v>
      </c>
      <c r="D1905" s="12" t="s">
        <v>252</v>
      </c>
      <c r="E1905" s="12" t="s">
        <v>7261</v>
      </c>
      <c r="F1905" s="13">
        <v>50</v>
      </c>
      <c r="G1905" s="14"/>
      <c r="H1905" s="12" t="s">
        <v>38</v>
      </c>
      <c r="I1905" s="12" t="s">
        <v>159</v>
      </c>
      <c r="J1905" s="12" t="s">
        <v>160</v>
      </c>
      <c r="K1905" s="12" t="s">
        <v>82</v>
      </c>
      <c r="L1905" s="14"/>
      <c r="M1905" s="12" t="s">
        <v>43</v>
      </c>
      <c r="N1905" s="12" t="s">
        <v>84</v>
      </c>
      <c r="O1905" s="12" t="s">
        <v>7262</v>
      </c>
      <c r="P1905" s="12" t="s">
        <v>46</v>
      </c>
      <c r="Q1905" s="12" t="s">
        <v>47</v>
      </c>
      <c r="R1905" s="12" t="s">
        <v>1660</v>
      </c>
      <c r="S1905" s="13">
        <v>700053654495</v>
      </c>
      <c r="T1905" s="12" t="s">
        <v>105</v>
      </c>
      <c r="U1905" s="13">
        <v>36.5</v>
      </c>
      <c r="V1905" s="12" t="s">
        <v>50</v>
      </c>
      <c r="W1905" s="12" t="s">
        <v>51</v>
      </c>
      <c r="X1905" s="14"/>
      <c r="Y1905" s="12" t="s">
        <v>91</v>
      </c>
      <c r="Z1905" s="12" t="s">
        <v>165</v>
      </c>
      <c r="AA1905" s="14"/>
      <c r="AB1905" s="14"/>
      <c r="AC1905" s="15">
        <v>45.5</v>
      </c>
      <c r="AD1905" s="15">
        <f>AC1905*AG1905</f>
        <v>136.5</v>
      </c>
      <c r="AE1905" s="15">
        <v>100</v>
      </c>
      <c r="AF1905" s="15">
        <f>AE1905*AG1905</f>
        <v>300</v>
      </c>
      <c r="AG1905" s="16">
        <v>3</v>
      </c>
    </row>
    <row r="1906" spans="1:33" ht="15" customHeight="1" x14ac:dyDescent="0.2">
      <c r="A1906" s="11" t="str">
        <f>HYPERLINK("https://assets.vans.eu/images/VN000D5PCJA-HERO/1","VN000D5PCJA1")</f>
        <v>VN000D5PCJA1</v>
      </c>
      <c r="B1906" s="12" t="s">
        <v>7263</v>
      </c>
      <c r="C1906" s="12" t="s">
        <v>3586</v>
      </c>
      <c r="D1906" s="12" t="s">
        <v>2144</v>
      </c>
      <c r="E1906" s="12" t="s">
        <v>7264</v>
      </c>
      <c r="F1906" s="13">
        <v>130</v>
      </c>
      <c r="G1906" s="12" t="s">
        <v>5864</v>
      </c>
      <c r="H1906" s="12" t="s">
        <v>38</v>
      </c>
      <c r="I1906" s="12" t="s">
        <v>159</v>
      </c>
      <c r="J1906" s="12" t="s">
        <v>160</v>
      </c>
      <c r="K1906" s="12" t="s">
        <v>82</v>
      </c>
      <c r="L1906" s="14"/>
      <c r="M1906" s="12" t="s">
        <v>43</v>
      </c>
      <c r="N1906" s="12" t="s">
        <v>44</v>
      </c>
      <c r="O1906" s="12" t="s">
        <v>7265</v>
      </c>
      <c r="P1906" s="12" t="s">
        <v>46</v>
      </c>
      <c r="Q1906" s="12" t="s">
        <v>47</v>
      </c>
      <c r="R1906" s="12" t="s">
        <v>163</v>
      </c>
      <c r="S1906" s="13">
        <v>197643201366</v>
      </c>
      <c r="T1906" s="12" t="s">
        <v>49</v>
      </c>
      <c r="U1906" s="13">
        <v>47</v>
      </c>
      <c r="V1906" s="12" t="s">
        <v>209</v>
      </c>
      <c r="W1906" s="12" t="s">
        <v>175</v>
      </c>
      <c r="X1906" s="14"/>
      <c r="Y1906" s="12" t="s">
        <v>53</v>
      </c>
      <c r="Z1906" s="12" t="s">
        <v>165</v>
      </c>
      <c r="AA1906" s="14"/>
      <c r="AB1906" s="14"/>
      <c r="AC1906" s="15">
        <v>38.65</v>
      </c>
      <c r="AD1906" s="15">
        <f>AC1906*AG1906</f>
        <v>115.94999999999999</v>
      </c>
      <c r="AE1906" s="15">
        <v>85</v>
      </c>
      <c r="AF1906" s="15">
        <f>AE1906*AG1906</f>
        <v>255</v>
      </c>
      <c r="AG1906" s="16">
        <v>3</v>
      </c>
    </row>
    <row r="1907" spans="1:33" ht="15" customHeight="1" x14ac:dyDescent="0.2">
      <c r="A1907" s="11" t="str">
        <f t="shared" si="624"/>
        <v>VN000D5RBRG1</v>
      </c>
      <c r="B1907" s="12" t="s">
        <v>7266</v>
      </c>
      <c r="C1907" s="12" t="s">
        <v>5867</v>
      </c>
      <c r="D1907" s="12" t="s">
        <v>5868</v>
      </c>
      <c r="E1907" s="12" t="s">
        <v>7267</v>
      </c>
      <c r="F1907" s="13">
        <v>85</v>
      </c>
      <c r="G1907" s="12" t="s">
        <v>1460</v>
      </c>
      <c r="H1907" s="12" t="s">
        <v>38</v>
      </c>
      <c r="I1907" s="12" t="s">
        <v>159</v>
      </c>
      <c r="J1907" s="12" t="s">
        <v>341</v>
      </c>
      <c r="K1907" s="12" t="s">
        <v>199</v>
      </c>
      <c r="L1907" s="14"/>
      <c r="M1907" s="12" t="s">
        <v>43</v>
      </c>
      <c r="N1907" s="12" t="s">
        <v>84</v>
      </c>
      <c r="O1907" s="12" t="s">
        <v>7268</v>
      </c>
      <c r="P1907" s="12" t="s">
        <v>46</v>
      </c>
      <c r="Q1907" s="12" t="s">
        <v>47</v>
      </c>
      <c r="R1907" s="12" t="s">
        <v>163</v>
      </c>
      <c r="S1907" s="13">
        <v>197804533091</v>
      </c>
      <c r="T1907" s="12" t="s">
        <v>49</v>
      </c>
      <c r="U1907" s="13">
        <v>41</v>
      </c>
      <c r="V1907" s="12" t="s">
        <v>50</v>
      </c>
      <c r="W1907" s="12" t="s">
        <v>107</v>
      </c>
      <c r="X1907" s="14"/>
      <c r="Y1907" s="14"/>
      <c r="Z1907" s="14"/>
      <c r="AA1907" s="14"/>
      <c r="AB1907" s="14"/>
      <c r="AC1907" s="15">
        <v>38.65</v>
      </c>
      <c r="AD1907" s="15">
        <f>AC1907*AG1907</f>
        <v>115.94999999999999</v>
      </c>
      <c r="AE1907" s="15">
        <v>85</v>
      </c>
      <c r="AF1907" s="15">
        <f>AE1907*AG1907</f>
        <v>255</v>
      </c>
      <c r="AG1907" s="16">
        <v>3</v>
      </c>
    </row>
    <row r="1908" spans="1:33" ht="15" customHeight="1" x14ac:dyDescent="0.2">
      <c r="A1908" s="11" t="str">
        <f t="shared" ref="A1908:A2628" si="799">HYPERLINK("https://assets.vans.eu/images/VN000D5RBRG-HERO/1","VN000D5RBRG1")</f>
        <v>VN000D5RBRG1</v>
      </c>
      <c r="B1908" s="12" t="s">
        <v>7269</v>
      </c>
      <c r="C1908" s="12" t="s">
        <v>5867</v>
      </c>
      <c r="D1908" s="12" t="s">
        <v>5868</v>
      </c>
      <c r="E1908" s="12" t="s">
        <v>7270</v>
      </c>
      <c r="F1908" s="13">
        <v>95</v>
      </c>
      <c r="G1908" s="12" t="s">
        <v>1460</v>
      </c>
      <c r="H1908" s="12" t="s">
        <v>38</v>
      </c>
      <c r="I1908" s="12" t="s">
        <v>159</v>
      </c>
      <c r="J1908" s="12" t="s">
        <v>341</v>
      </c>
      <c r="K1908" s="12" t="s">
        <v>199</v>
      </c>
      <c r="L1908" s="14"/>
      <c r="M1908" s="12" t="s">
        <v>43</v>
      </c>
      <c r="N1908" s="12" t="s">
        <v>84</v>
      </c>
      <c r="O1908" s="12" t="s">
        <v>7271</v>
      </c>
      <c r="P1908" s="12" t="s">
        <v>46</v>
      </c>
      <c r="Q1908" s="12" t="s">
        <v>47</v>
      </c>
      <c r="R1908" s="12" t="s">
        <v>163</v>
      </c>
      <c r="S1908" s="13">
        <v>197804533398</v>
      </c>
      <c r="T1908" s="12" t="s">
        <v>49</v>
      </c>
      <c r="U1908" s="13">
        <v>42.5</v>
      </c>
      <c r="V1908" s="12" t="s">
        <v>50</v>
      </c>
      <c r="W1908" s="12" t="s">
        <v>107</v>
      </c>
      <c r="X1908" s="14"/>
      <c r="Y1908" s="14"/>
      <c r="Z1908" s="14"/>
      <c r="AA1908" s="14"/>
      <c r="AB1908" s="14"/>
      <c r="AC1908" s="15">
        <v>38.65</v>
      </c>
      <c r="AD1908" s="15">
        <f>AC1908*AG1908</f>
        <v>115.94999999999999</v>
      </c>
      <c r="AE1908" s="15">
        <v>85</v>
      </c>
      <c r="AF1908" s="15">
        <f>AE1908*AG1908</f>
        <v>255</v>
      </c>
      <c r="AG1908" s="16">
        <v>3</v>
      </c>
    </row>
    <row r="1909" spans="1:33" ht="15" customHeight="1" x14ac:dyDescent="0.2">
      <c r="A1909" s="11" t="str">
        <f t="shared" ref="A1909:A1911" si="800">HYPERLINK("https://assets.vans.eu/images/VN000D60RV2-HERO/1","VN000D60RV21")</f>
        <v>VN000D60RV21</v>
      </c>
      <c r="B1909" s="12" t="s">
        <v>7272</v>
      </c>
      <c r="C1909" s="12" t="s">
        <v>1470</v>
      </c>
      <c r="D1909" s="12" t="s">
        <v>1428</v>
      </c>
      <c r="E1909" s="12" t="s">
        <v>7273</v>
      </c>
      <c r="F1909" s="13">
        <v>85</v>
      </c>
      <c r="G1909" s="14"/>
      <c r="H1909" s="12" t="s">
        <v>38</v>
      </c>
      <c r="I1909" s="12" t="s">
        <v>159</v>
      </c>
      <c r="J1909" s="12" t="s">
        <v>255</v>
      </c>
      <c r="K1909" s="12" t="s">
        <v>82</v>
      </c>
      <c r="L1909" s="14"/>
      <c r="M1909" s="12" t="s">
        <v>43</v>
      </c>
      <c r="N1909" s="12" t="s">
        <v>84</v>
      </c>
      <c r="O1909" s="12" t="s">
        <v>7274</v>
      </c>
      <c r="P1909" s="12" t="s">
        <v>46</v>
      </c>
      <c r="Q1909" s="12" t="s">
        <v>47</v>
      </c>
      <c r="R1909" s="12" t="s">
        <v>163</v>
      </c>
      <c r="S1909" s="13">
        <v>197804534432</v>
      </c>
      <c r="T1909" s="12" t="s">
        <v>49</v>
      </c>
      <c r="U1909" s="13">
        <v>41</v>
      </c>
      <c r="V1909" s="12" t="s">
        <v>278</v>
      </c>
      <c r="W1909" s="12" t="s">
        <v>51</v>
      </c>
      <c r="X1909" s="14"/>
      <c r="Y1909" s="14"/>
      <c r="Z1909" s="14"/>
      <c r="AA1909" s="14"/>
      <c r="AB1909" s="14"/>
      <c r="AC1909" s="15">
        <v>52.3</v>
      </c>
      <c r="AD1909" s="15">
        <f>AC1909*AG1909</f>
        <v>156.89999999999998</v>
      </c>
      <c r="AE1909" s="15">
        <v>115</v>
      </c>
      <c r="AF1909" s="15">
        <f>AE1909*AG1909</f>
        <v>345</v>
      </c>
      <c r="AG1909" s="16">
        <v>3</v>
      </c>
    </row>
    <row r="1910" spans="1:33" ht="15" customHeight="1" x14ac:dyDescent="0.2">
      <c r="A1910" s="11" t="str">
        <f t="shared" si="800"/>
        <v>VN000D60RV21</v>
      </c>
      <c r="B1910" s="12" t="s">
        <v>7275</v>
      </c>
      <c r="C1910" s="12" t="s">
        <v>1470</v>
      </c>
      <c r="D1910" s="12" t="s">
        <v>1428</v>
      </c>
      <c r="E1910" s="12" t="s">
        <v>7276</v>
      </c>
      <c r="F1910" s="13">
        <v>90</v>
      </c>
      <c r="G1910" s="14"/>
      <c r="H1910" s="12" t="s">
        <v>38</v>
      </c>
      <c r="I1910" s="12" t="s">
        <v>159</v>
      </c>
      <c r="J1910" s="12" t="s">
        <v>255</v>
      </c>
      <c r="K1910" s="12" t="s">
        <v>82</v>
      </c>
      <c r="L1910" s="14"/>
      <c r="M1910" s="12" t="s">
        <v>43</v>
      </c>
      <c r="N1910" s="12" t="s">
        <v>84</v>
      </c>
      <c r="O1910" s="12" t="s">
        <v>7277</v>
      </c>
      <c r="P1910" s="12" t="s">
        <v>46</v>
      </c>
      <c r="Q1910" s="12" t="s">
        <v>47</v>
      </c>
      <c r="R1910" s="12" t="s">
        <v>163</v>
      </c>
      <c r="S1910" s="13">
        <v>197804534623</v>
      </c>
      <c r="T1910" s="12" t="s">
        <v>49</v>
      </c>
      <c r="U1910" s="13">
        <v>42</v>
      </c>
      <c r="V1910" s="12" t="s">
        <v>278</v>
      </c>
      <c r="W1910" s="12" t="s">
        <v>51</v>
      </c>
      <c r="X1910" s="14"/>
      <c r="Y1910" s="14"/>
      <c r="Z1910" s="14"/>
      <c r="AA1910" s="14"/>
      <c r="AB1910" s="14"/>
      <c r="AC1910" s="15">
        <v>52.3</v>
      </c>
      <c r="AD1910" s="15">
        <f>AC1910*AG1910</f>
        <v>156.89999999999998</v>
      </c>
      <c r="AE1910" s="15">
        <v>115</v>
      </c>
      <c r="AF1910" s="15">
        <f>AE1910*AG1910</f>
        <v>345</v>
      </c>
      <c r="AG1910" s="16">
        <v>3</v>
      </c>
    </row>
    <row r="1911" spans="1:33" ht="15" customHeight="1" x14ac:dyDescent="0.2">
      <c r="A1911" s="11" t="str">
        <f t="shared" si="800"/>
        <v>VN000D60RV21</v>
      </c>
      <c r="B1911" s="12" t="s">
        <v>7278</v>
      </c>
      <c r="C1911" s="12" t="s">
        <v>1470</v>
      </c>
      <c r="D1911" s="12" t="s">
        <v>1428</v>
      </c>
      <c r="E1911" s="12" t="s">
        <v>7279</v>
      </c>
      <c r="F1911" s="13">
        <v>120</v>
      </c>
      <c r="G1911" s="14"/>
      <c r="H1911" s="12" t="s">
        <v>38</v>
      </c>
      <c r="I1911" s="12" t="s">
        <v>159</v>
      </c>
      <c r="J1911" s="12" t="s">
        <v>255</v>
      </c>
      <c r="K1911" s="12" t="s">
        <v>82</v>
      </c>
      <c r="L1911" s="14"/>
      <c r="M1911" s="12" t="s">
        <v>43</v>
      </c>
      <c r="N1911" s="12" t="s">
        <v>84</v>
      </c>
      <c r="O1911" s="12" t="s">
        <v>7280</v>
      </c>
      <c r="P1911" s="12" t="s">
        <v>46</v>
      </c>
      <c r="Q1911" s="12" t="s">
        <v>47</v>
      </c>
      <c r="R1911" s="12" t="s">
        <v>163</v>
      </c>
      <c r="S1911" s="13">
        <v>197804535187</v>
      </c>
      <c r="T1911" s="12" t="s">
        <v>49</v>
      </c>
      <c r="U1911" s="13">
        <v>46</v>
      </c>
      <c r="V1911" s="12" t="s">
        <v>278</v>
      </c>
      <c r="W1911" s="12" t="s">
        <v>51</v>
      </c>
      <c r="X1911" s="14"/>
      <c r="Y1911" s="14"/>
      <c r="Z1911" s="14"/>
      <c r="AA1911" s="14"/>
      <c r="AB1911" s="14"/>
      <c r="AC1911" s="15">
        <v>52.3</v>
      </c>
      <c r="AD1911" s="15">
        <f>AC1911*AG1911</f>
        <v>156.89999999999998</v>
      </c>
      <c r="AE1911" s="15">
        <v>115</v>
      </c>
      <c r="AF1911" s="15">
        <f>AE1911*AG1911</f>
        <v>345</v>
      </c>
      <c r="AG1911" s="16">
        <v>3</v>
      </c>
    </row>
    <row r="1912" spans="1:33" ht="15" customHeight="1" x14ac:dyDescent="0.2">
      <c r="A1912" s="11" t="str">
        <f t="shared" si="535"/>
        <v>VN000D610VW1</v>
      </c>
      <c r="B1912" s="12" t="s">
        <v>7281</v>
      </c>
      <c r="C1912" s="12" t="s">
        <v>1114</v>
      </c>
      <c r="D1912" s="12" t="s">
        <v>628</v>
      </c>
      <c r="E1912" s="12" t="s">
        <v>7282</v>
      </c>
      <c r="F1912" s="13">
        <v>70</v>
      </c>
      <c r="G1912" s="12" t="s">
        <v>4383</v>
      </c>
      <c r="H1912" s="12" t="s">
        <v>38</v>
      </c>
      <c r="I1912" s="12" t="s">
        <v>113</v>
      </c>
      <c r="J1912" s="12" t="s">
        <v>529</v>
      </c>
      <c r="K1912" s="12" t="s">
        <v>82</v>
      </c>
      <c r="L1912" s="14"/>
      <c r="M1912" s="12" t="s">
        <v>43</v>
      </c>
      <c r="N1912" s="12" t="s">
        <v>84</v>
      </c>
      <c r="O1912" s="12" t="s">
        <v>7283</v>
      </c>
      <c r="P1912" s="12" t="s">
        <v>46</v>
      </c>
      <c r="Q1912" s="12" t="s">
        <v>47</v>
      </c>
      <c r="R1912" s="12" t="s">
        <v>117</v>
      </c>
      <c r="S1912" s="13">
        <v>197804535200</v>
      </c>
      <c r="T1912" s="12" t="s">
        <v>49</v>
      </c>
      <c r="U1912" s="13">
        <v>39</v>
      </c>
      <c r="V1912" s="12" t="s">
        <v>50</v>
      </c>
      <c r="W1912" s="12" t="s">
        <v>175</v>
      </c>
      <c r="X1912" s="14"/>
      <c r="Y1912" s="14"/>
      <c r="Z1912" s="14"/>
      <c r="AA1912" s="14"/>
      <c r="AB1912" s="14"/>
      <c r="AC1912" s="15">
        <v>54.55</v>
      </c>
      <c r="AD1912" s="15">
        <f>AC1912*AG1912</f>
        <v>163.64999999999998</v>
      </c>
      <c r="AE1912" s="15">
        <v>120</v>
      </c>
      <c r="AF1912" s="15">
        <f>AE1912*AG1912</f>
        <v>360</v>
      </c>
      <c r="AG1912" s="16">
        <v>3</v>
      </c>
    </row>
    <row r="1913" spans="1:33" ht="15" customHeight="1" x14ac:dyDescent="0.2">
      <c r="A1913" s="11" t="str">
        <f t="shared" ref="A1913:A2654" si="801">HYPERLINK("https://assets.vans.eu/images/VN000D6F239-HERO/1","VN000D6F2391")</f>
        <v>VN000D6F2391</v>
      </c>
      <c r="B1913" s="12" t="s">
        <v>7284</v>
      </c>
      <c r="C1913" s="12" t="s">
        <v>1614</v>
      </c>
      <c r="D1913" s="12" t="s">
        <v>1609</v>
      </c>
      <c r="E1913" s="12" t="s">
        <v>7285</v>
      </c>
      <c r="F1913" s="13">
        <v>100</v>
      </c>
      <c r="G1913" s="12" t="s">
        <v>7286</v>
      </c>
      <c r="H1913" s="12" t="s">
        <v>38</v>
      </c>
      <c r="I1913" s="12" t="s">
        <v>159</v>
      </c>
      <c r="J1913" s="12" t="s">
        <v>255</v>
      </c>
      <c r="K1913" s="12" t="s">
        <v>82</v>
      </c>
      <c r="L1913" s="14"/>
      <c r="M1913" s="12" t="s">
        <v>43</v>
      </c>
      <c r="N1913" s="12" t="s">
        <v>84</v>
      </c>
      <c r="O1913" s="12" t="s">
        <v>7287</v>
      </c>
      <c r="P1913" s="12" t="s">
        <v>46</v>
      </c>
      <c r="Q1913" s="12" t="s">
        <v>47</v>
      </c>
      <c r="R1913" s="12" t="s">
        <v>163</v>
      </c>
      <c r="S1913" s="13">
        <v>197804537907</v>
      </c>
      <c r="T1913" s="12" t="s">
        <v>49</v>
      </c>
      <c r="U1913" s="13">
        <v>43</v>
      </c>
      <c r="V1913" s="12" t="s">
        <v>50</v>
      </c>
      <c r="W1913" s="12" t="s">
        <v>455</v>
      </c>
      <c r="X1913" s="14"/>
      <c r="Y1913" s="14"/>
      <c r="Z1913" s="14"/>
      <c r="AA1913" s="14"/>
      <c r="AB1913" s="14"/>
      <c r="AC1913" s="15">
        <v>50</v>
      </c>
      <c r="AD1913" s="15">
        <f>AC1913*AG1913</f>
        <v>150</v>
      </c>
      <c r="AE1913" s="15">
        <v>110</v>
      </c>
      <c r="AF1913" s="15">
        <f>AE1913*AG1913</f>
        <v>330</v>
      </c>
      <c r="AG1913" s="16">
        <v>3</v>
      </c>
    </row>
    <row r="1914" spans="1:33" ht="15" customHeight="1" x14ac:dyDescent="0.2">
      <c r="A1914" s="11" t="str">
        <f t="shared" ref="A1914:A4337" si="802">HYPERLINK("https://assets.vans.eu/images/VN000D6FLKZ-HERO/1","VN000D6FLKZ1")</f>
        <v>VN000D6FLKZ1</v>
      </c>
      <c r="B1914" s="12" t="s">
        <v>7288</v>
      </c>
      <c r="C1914" s="12" t="s">
        <v>1614</v>
      </c>
      <c r="D1914" s="12" t="s">
        <v>1213</v>
      </c>
      <c r="E1914" s="12" t="s">
        <v>7289</v>
      </c>
      <c r="F1914" s="13">
        <v>40</v>
      </c>
      <c r="G1914" s="12" t="s">
        <v>2814</v>
      </c>
      <c r="H1914" s="12" t="s">
        <v>38</v>
      </c>
      <c r="I1914" s="12" t="s">
        <v>159</v>
      </c>
      <c r="J1914" s="12" t="s">
        <v>255</v>
      </c>
      <c r="K1914" s="12" t="s">
        <v>82</v>
      </c>
      <c r="L1914" s="14"/>
      <c r="M1914" s="12" t="s">
        <v>43</v>
      </c>
      <c r="N1914" s="12" t="s">
        <v>44</v>
      </c>
      <c r="O1914" s="12" t="s">
        <v>7290</v>
      </c>
      <c r="P1914" s="12" t="s">
        <v>46</v>
      </c>
      <c r="Q1914" s="12" t="s">
        <v>47</v>
      </c>
      <c r="R1914" s="12" t="s">
        <v>163</v>
      </c>
      <c r="S1914" s="13">
        <v>197643311973</v>
      </c>
      <c r="T1914" s="12" t="s">
        <v>49</v>
      </c>
      <c r="U1914" s="13">
        <v>35</v>
      </c>
      <c r="V1914" s="12" t="s">
        <v>50</v>
      </c>
      <c r="W1914" s="12" t="s">
        <v>284</v>
      </c>
      <c r="X1914" s="14"/>
      <c r="Y1914" s="12" t="s">
        <v>53</v>
      </c>
      <c r="Z1914" s="12" t="s">
        <v>263</v>
      </c>
      <c r="AA1914" s="14"/>
      <c r="AB1914" s="14"/>
      <c r="AC1914" s="15">
        <v>50</v>
      </c>
      <c r="AD1914" s="15">
        <f>AC1914*AG1914</f>
        <v>150</v>
      </c>
      <c r="AE1914" s="15">
        <v>110</v>
      </c>
      <c r="AF1914" s="15">
        <f>AE1914*AG1914</f>
        <v>330</v>
      </c>
      <c r="AG1914" s="16">
        <v>3</v>
      </c>
    </row>
    <row r="1915" spans="1:33" ht="15" customHeight="1" x14ac:dyDescent="0.2">
      <c r="A1915" s="11" t="str">
        <f t="shared" ref="A1915:A4359" si="803">HYPERLINK("https://assets.vans.eu/images/VN000D6SBM8-HERO/1","VN000D6SBM81")</f>
        <v>VN000D6SBM81</v>
      </c>
      <c r="B1915" s="12" t="s">
        <v>7291</v>
      </c>
      <c r="C1915" s="12" t="s">
        <v>2597</v>
      </c>
      <c r="D1915" s="12" t="s">
        <v>919</v>
      </c>
      <c r="E1915" s="12" t="s">
        <v>7292</v>
      </c>
      <c r="F1915" s="13">
        <v>80</v>
      </c>
      <c r="G1915" s="12" t="s">
        <v>7293</v>
      </c>
      <c r="H1915" s="12" t="s">
        <v>38</v>
      </c>
      <c r="I1915" s="12" t="s">
        <v>159</v>
      </c>
      <c r="J1915" s="12" t="s">
        <v>255</v>
      </c>
      <c r="K1915" s="12" t="s">
        <v>82</v>
      </c>
      <c r="L1915" s="14"/>
      <c r="M1915" s="12" t="s">
        <v>43</v>
      </c>
      <c r="N1915" s="12" t="s">
        <v>84</v>
      </c>
      <c r="O1915" s="12" t="s">
        <v>7294</v>
      </c>
      <c r="P1915" s="12" t="s">
        <v>46</v>
      </c>
      <c r="Q1915" s="12" t="s">
        <v>47</v>
      </c>
      <c r="R1915" s="12" t="s">
        <v>163</v>
      </c>
      <c r="S1915" s="13">
        <v>197804453542</v>
      </c>
      <c r="T1915" s="12" t="s">
        <v>49</v>
      </c>
      <c r="U1915" s="13">
        <v>40.5</v>
      </c>
      <c r="V1915" s="12" t="s">
        <v>50</v>
      </c>
      <c r="W1915" s="12" t="s">
        <v>51</v>
      </c>
      <c r="X1915" s="14"/>
      <c r="Y1915" s="14"/>
      <c r="Z1915" s="14"/>
      <c r="AA1915" s="14"/>
      <c r="AB1915" s="14"/>
      <c r="AC1915" s="15">
        <v>40.950000000000003</v>
      </c>
      <c r="AD1915" s="15">
        <f>AC1915*AG1915</f>
        <v>122.85000000000001</v>
      </c>
      <c r="AE1915" s="15">
        <v>90</v>
      </c>
      <c r="AF1915" s="15">
        <f>AE1915*AG1915</f>
        <v>270</v>
      </c>
      <c r="AG1915" s="16">
        <v>3</v>
      </c>
    </row>
    <row r="1916" spans="1:33" ht="15" customHeight="1" x14ac:dyDescent="0.2">
      <c r="A1916" s="11" t="str">
        <f t="shared" ref="A1916:A2668" si="804">HYPERLINK("https://assets.vans.eu/images/VN000D6W11E-HERO/1","VN000D6W11E1")</f>
        <v>VN000D6W11E1</v>
      </c>
      <c r="B1916" s="12" t="s">
        <v>7295</v>
      </c>
      <c r="C1916" s="12" t="s">
        <v>34</v>
      </c>
      <c r="D1916" s="12" t="s">
        <v>1148</v>
      </c>
      <c r="E1916" s="12" t="s">
        <v>7296</v>
      </c>
      <c r="F1916" s="13">
        <v>60</v>
      </c>
      <c r="G1916" s="12" t="s">
        <v>2814</v>
      </c>
      <c r="H1916" s="12" t="s">
        <v>38</v>
      </c>
      <c r="I1916" s="12" t="s">
        <v>113</v>
      </c>
      <c r="J1916" s="12" t="s">
        <v>114</v>
      </c>
      <c r="K1916" s="12" t="s">
        <v>82</v>
      </c>
      <c r="L1916" s="14"/>
      <c r="M1916" s="12" t="s">
        <v>43</v>
      </c>
      <c r="N1916" s="12" t="s">
        <v>84</v>
      </c>
      <c r="O1916" s="12" t="s">
        <v>7297</v>
      </c>
      <c r="P1916" s="12" t="s">
        <v>46</v>
      </c>
      <c r="Q1916" s="12" t="s">
        <v>47</v>
      </c>
      <c r="R1916" s="12" t="s">
        <v>117</v>
      </c>
      <c r="S1916" s="13">
        <v>197804789351</v>
      </c>
      <c r="T1916" s="12" t="s">
        <v>105</v>
      </c>
      <c r="U1916" s="13">
        <v>38</v>
      </c>
      <c r="V1916" s="12" t="s">
        <v>50</v>
      </c>
      <c r="W1916" s="12" t="s">
        <v>107</v>
      </c>
      <c r="X1916" s="14"/>
      <c r="Y1916" s="14"/>
      <c r="Z1916" s="14"/>
      <c r="AA1916" s="14"/>
      <c r="AB1916" s="14"/>
      <c r="AC1916" s="15">
        <v>43.2</v>
      </c>
      <c r="AD1916" s="15">
        <f>AC1916*AG1916</f>
        <v>129.60000000000002</v>
      </c>
      <c r="AE1916" s="15">
        <v>95</v>
      </c>
      <c r="AF1916" s="15">
        <f>AE1916*AG1916</f>
        <v>285</v>
      </c>
      <c r="AG1916" s="16">
        <v>3</v>
      </c>
    </row>
    <row r="1917" spans="1:33" ht="15" customHeight="1" x14ac:dyDescent="0.2">
      <c r="A1917" s="11" t="str">
        <f>HYPERLINK("https://assets.vans.eu/images/VN000D6W52K-HERO/1","VN000D6W52K1")</f>
        <v>VN000D6W52K1</v>
      </c>
      <c r="B1917" s="12" t="s">
        <v>7298</v>
      </c>
      <c r="C1917" s="12" t="s">
        <v>34</v>
      </c>
      <c r="D1917" s="12" t="s">
        <v>929</v>
      </c>
      <c r="E1917" s="12" t="s">
        <v>7299</v>
      </c>
      <c r="F1917" s="13">
        <v>40</v>
      </c>
      <c r="G1917" s="14"/>
      <c r="H1917" s="12" t="s">
        <v>38</v>
      </c>
      <c r="I1917" s="12" t="s">
        <v>113</v>
      </c>
      <c r="J1917" s="12" t="s">
        <v>114</v>
      </c>
      <c r="K1917" s="12" t="s">
        <v>82</v>
      </c>
      <c r="L1917" s="14"/>
      <c r="M1917" s="12" t="s">
        <v>43</v>
      </c>
      <c r="N1917" s="12" t="s">
        <v>44</v>
      </c>
      <c r="O1917" s="12" t="s">
        <v>7300</v>
      </c>
      <c r="P1917" s="12" t="s">
        <v>46</v>
      </c>
      <c r="Q1917" s="12" t="s">
        <v>47</v>
      </c>
      <c r="R1917" s="12" t="s">
        <v>117</v>
      </c>
      <c r="S1917" s="13">
        <v>197643288473</v>
      </c>
      <c r="T1917" s="12" t="s">
        <v>164</v>
      </c>
      <c r="U1917" s="13">
        <v>35</v>
      </c>
      <c r="V1917" s="12" t="s">
        <v>50</v>
      </c>
      <c r="W1917" s="12" t="s">
        <v>933</v>
      </c>
      <c r="X1917" s="14"/>
      <c r="Y1917" s="12" t="s">
        <v>91</v>
      </c>
      <c r="Z1917" s="12" t="s">
        <v>165</v>
      </c>
      <c r="AA1917" s="14"/>
      <c r="AB1917" s="14"/>
      <c r="AC1917" s="15">
        <v>38.65</v>
      </c>
      <c r="AD1917" s="15">
        <f>AC1917*AG1917</f>
        <v>115.94999999999999</v>
      </c>
      <c r="AE1917" s="15">
        <v>85</v>
      </c>
      <c r="AF1917" s="15">
        <f>AE1917*AG1917</f>
        <v>255</v>
      </c>
      <c r="AG1917" s="16">
        <v>3</v>
      </c>
    </row>
    <row r="1918" spans="1:33" ht="15" customHeight="1" x14ac:dyDescent="0.2">
      <c r="A1918" s="11" t="str">
        <f t="shared" si="537"/>
        <v>VN000D6W7WM1</v>
      </c>
      <c r="B1918" s="12" t="s">
        <v>7301</v>
      </c>
      <c r="C1918" s="12" t="s">
        <v>34</v>
      </c>
      <c r="D1918" s="12" t="s">
        <v>388</v>
      </c>
      <c r="E1918" s="12" t="s">
        <v>7302</v>
      </c>
      <c r="F1918" s="13">
        <v>65</v>
      </c>
      <c r="G1918" s="12" t="s">
        <v>2814</v>
      </c>
      <c r="H1918" s="12" t="s">
        <v>38</v>
      </c>
      <c r="I1918" s="12" t="s">
        <v>113</v>
      </c>
      <c r="J1918" s="12" t="s">
        <v>114</v>
      </c>
      <c r="K1918" s="12" t="s">
        <v>82</v>
      </c>
      <c r="L1918" s="14"/>
      <c r="M1918" s="12" t="s">
        <v>43</v>
      </c>
      <c r="N1918" s="12" t="s">
        <v>84</v>
      </c>
      <c r="O1918" s="12" t="s">
        <v>7303</v>
      </c>
      <c r="P1918" s="12" t="s">
        <v>46</v>
      </c>
      <c r="Q1918" s="12" t="s">
        <v>47</v>
      </c>
      <c r="R1918" s="12" t="s">
        <v>117</v>
      </c>
      <c r="S1918" s="13">
        <v>197804539437</v>
      </c>
      <c r="T1918" s="12" t="s">
        <v>105</v>
      </c>
      <c r="U1918" s="13">
        <v>38.5</v>
      </c>
      <c r="V1918" s="12" t="s">
        <v>50</v>
      </c>
      <c r="W1918" s="12" t="s">
        <v>284</v>
      </c>
      <c r="X1918" s="14"/>
      <c r="Y1918" s="14"/>
      <c r="Z1918" s="14"/>
      <c r="AA1918" s="14"/>
      <c r="AB1918" s="14"/>
      <c r="AC1918" s="15">
        <v>43.2</v>
      </c>
      <c r="AD1918" s="15">
        <f>AC1918*AG1918</f>
        <v>129.60000000000002</v>
      </c>
      <c r="AE1918" s="15">
        <v>95</v>
      </c>
      <c r="AF1918" s="15">
        <f>AE1918*AG1918</f>
        <v>285</v>
      </c>
      <c r="AG1918" s="16">
        <v>3</v>
      </c>
    </row>
    <row r="1919" spans="1:33" ht="15" customHeight="1" x14ac:dyDescent="0.2">
      <c r="A1919" s="11" t="str">
        <f>HYPERLINK("https://assets.vans.eu/images/VN000D6WCJJ-HERO/1","VN000D6WCJJ1")</f>
        <v>VN000D6WCJJ1</v>
      </c>
      <c r="B1919" s="12" t="s">
        <v>7304</v>
      </c>
      <c r="C1919" s="12" t="s">
        <v>34</v>
      </c>
      <c r="D1919" s="12" t="s">
        <v>919</v>
      </c>
      <c r="E1919" s="12" t="s">
        <v>7305</v>
      </c>
      <c r="F1919" s="13">
        <v>65</v>
      </c>
      <c r="G1919" s="12" t="s">
        <v>7306</v>
      </c>
      <c r="H1919" s="12" t="s">
        <v>38</v>
      </c>
      <c r="I1919" s="12" t="s">
        <v>113</v>
      </c>
      <c r="J1919" s="12" t="s">
        <v>114</v>
      </c>
      <c r="K1919" s="12" t="s">
        <v>82</v>
      </c>
      <c r="L1919" s="14"/>
      <c r="M1919" s="12" t="s">
        <v>43</v>
      </c>
      <c r="N1919" s="12" t="s">
        <v>44</v>
      </c>
      <c r="O1919" s="12" t="s">
        <v>7307</v>
      </c>
      <c r="P1919" s="12" t="s">
        <v>46</v>
      </c>
      <c r="Q1919" s="12" t="s">
        <v>47</v>
      </c>
      <c r="R1919" s="12" t="s">
        <v>117</v>
      </c>
      <c r="S1919" s="13">
        <v>197643288985</v>
      </c>
      <c r="T1919" s="12" t="s">
        <v>105</v>
      </c>
      <c r="U1919" s="13">
        <v>38.5</v>
      </c>
      <c r="V1919" s="12" t="s">
        <v>50</v>
      </c>
      <c r="W1919" s="12" t="s">
        <v>51</v>
      </c>
      <c r="X1919" s="14"/>
      <c r="Y1919" s="12" t="s">
        <v>53</v>
      </c>
      <c r="Z1919" s="12" t="s">
        <v>165</v>
      </c>
      <c r="AA1919" s="14"/>
      <c r="AB1919" s="14"/>
      <c r="AC1919" s="15">
        <v>43.2</v>
      </c>
      <c r="AD1919" s="15">
        <f>AC1919*AG1919</f>
        <v>129.60000000000002</v>
      </c>
      <c r="AE1919" s="15">
        <v>95</v>
      </c>
      <c r="AF1919" s="15">
        <f>AE1919*AG1919</f>
        <v>285</v>
      </c>
      <c r="AG1919" s="16">
        <v>3</v>
      </c>
    </row>
    <row r="1920" spans="1:33" ht="15" customHeight="1" x14ac:dyDescent="0.2">
      <c r="A1920" s="11" t="str">
        <f t="shared" si="418"/>
        <v>VN000D6WCJK1</v>
      </c>
      <c r="B1920" s="12" t="s">
        <v>7308</v>
      </c>
      <c r="C1920" s="12" t="s">
        <v>34</v>
      </c>
      <c r="D1920" s="12" t="s">
        <v>919</v>
      </c>
      <c r="E1920" s="12" t="s">
        <v>7309</v>
      </c>
      <c r="F1920" s="13">
        <v>50</v>
      </c>
      <c r="G1920" s="14"/>
      <c r="H1920" s="12" t="s">
        <v>38</v>
      </c>
      <c r="I1920" s="12" t="s">
        <v>113</v>
      </c>
      <c r="J1920" s="12" t="s">
        <v>114</v>
      </c>
      <c r="K1920" s="12" t="s">
        <v>82</v>
      </c>
      <c r="L1920" s="14"/>
      <c r="M1920" s="12" t="s">
        <v>43</v>
      </c>
      <c r="N1920" s="12" t="s">
        <v>84</v>
      </c>
      <c r="O1920" s="12" t="s">
        <v>7310</v>
      </c>
      <c r="P1920" s="12" t="s">
        <v>46</v>
      </c>
      <c r="Q1920" s="12" t="s">
        <v>47</v>
      </c>
      <c r="R1920" s="12" t="s">
        <v>117</v>
      </c>
      <c r="S1920" s="13">
        <v>197804540044</v>
      </c>
      <c r="T1920" s="12" t="s">
        <v>105</v>
      </c>
      <c r="U1920" s="13">
        <v>36.5</v>
      </c>
      <c r="V1920" s="12" t="s">
        <v>50</v>
      </c>
      <c r="W1920" s="12" t="s">
        <v>51</v>
      </c>
      <c r="X1920" s="14"/>
      <c r="Y1920" s="14"/>
      <c r="Z1920" s="14"/>
      <c r="AA1920" s="14"/>
      <c r="AB1920" s="14"/>
      <c r="AC1920" s="15">
        <v>43.2</v>
      </c>
      <c r="AD1920" s="15">
        <f>AC1920*AG1920</f>
        <v>129.60000000000002</v>
      </c>
      <c r="AE1920" s="15">
        <v>95</v>
      </c>
      <c r="AF1920" s="15">
        <f>AE1920*AG1920</f>
        <v>285</v>
      </c>
      <c r="AG1920" s="16">
        <v>3</v>
      </c>
    </row>
    <row r="1921" spans="1:33" ht="15" customHeight="1" x14ac:dyDescent="0.2">
      <c r="A1921" s="11" t="str">
        <f t="shared" si="538"/>
        <v>VN000D6WEMW1</v>
      </c>
      <c r="B1921" s="12" t="s">
        <v>7311</v>
      </c>
      <c r="C1921" s="12" t="s">
        <v>34</v>
      </c>
      <c r="D1921" s="12" t="s">
        <v>147</v>
      </c>
      <c r="E1921" s="12" t="s">
        <v>7312</v>
      </c>
      <c r="F1921" s="13">
        <v>100</v>
      </c>
      <c r="G1921" s="14"/>
      <c r="H1921" s="12" t="s">
        <v>38</v>
      </c>
      <c r="I1921" s="12" t="s">
        <v>113</v>
      </c>
      <c r="J1921" s="12" t="s">
        <v>114</v>
      </c>
      <c r="K1921" s="12" t="s">
        <v>82</v>
      </c>
      <c r="L1921" s="14"/>
      <c r="M1921" s="12" t="s">
        <v>43</v>
      </c>
      <c r="N1921" s="12" t="s">
        <v>84</v>
      </c>
      <c r="O1921" s="12" t="s">
        <v>7313</v>
      </c>
      <c r="P1921" s="12" t="s">
        <v>46</v>
      </c>
      <c r="Q1921" s="12" t="s">
        <v>47</v>
      </c>
      <c r="R1921" s="12" t="s">
        <v>117</v>
      </c>
      <c r="S1921" s="13">
        <v>197804541966</v>
      </c>
      <c r="T1921" s="12" t="s">
        <v>49</v>
      </c>
      <c r="U1921" s="13">
        <v>43</v>
      </c>
      <c r="V1921" s="12" t="s">
        <v>50</v>
      </c>
      <c r="W1921" s="12" t="s">
        <v>118</v>
      </c>
      <c r="X1921" s="14"/>
      <c r="Y1921" s="14"/>
      <c r="Z1921" s="14"/>
      <c r="AA1921" s="14"/>
      <c r="AB1921" s="14"/>
      <c r="AC1921" s="15">
        <v>38.65</v>
      </c>
      <c r="AD1921" s="15">
        <f>AC1921*AG1921</f>
        <v>115.94999999999999</v>
      </c>
      <c r="AE1921" s="15">
        <v>85</v>
      </c>
      <c r="AF1921" s="15">
        <f>AE1921*AG1921</f>
        <v>255</v>
      </c>
      <c r="AG1921" s="16">
        <v>3</v>
      </c>
    </row>
    <row r="1922" spans="1:33" ht="15" customHeight="1" x14ac:dyDescent="0.2">
      <c r="A1922" s="11" t="str">
        <f t="shared" ref="A1922:A2678" si="805">HYPERLINK("https://assets.vans.eu/images/VN000D6WEMW-HERO/1","VN000D6WEMW1")</f>
        <v>VN000D6WEMW1</v>
      </c>
      <c r="B1922" s="12" t="s">
        <v>7314</v>
      </c>
      <c r="C1922" s="12" t="s">
        <v>34</v>
      </c>
      <c r="D1922" s="12" t="s">
        <v>147</v>
      </c>
      <c r="E1922" s="12" t="s">
        <v>7315</v>
      </c>
      <c r="F1922" s="13">
        <v>115</v>
      </c>
      <c r="G1922" s="14"/>
      <c r="H1922" s="12" t="s">
        <v>38</v>
      </c>
      <c r="I1922" s="12" t="s">
        <v>113</v>
      </c>
      <c r="J1922" s="12" t="s">
        <v>114</v>
      </c>
      <c r="K1922" s="12" t="s">
        <v>82</v>
      </c>
      <c r="L1922" s="14"/>
      <c r="M1922" s="12" t="s">
        <v>43</v>
      </c>
      <c r="N1922" s="12" t="s">
        <v>84</v>
      </c>
      <c r="O1922" s="12" t="s">
        <v>7316</v>
      </c>
      <c r="P1922" s="12" t="s">
        <v>46</v>
      </c>
      <c r="Q1922" s="12" t="s">
        <v>47</v>
      </c>
      <c r="R1922" s="12" t="s">
        <v>117</v>
      </c>
      <c r="S1922" s="13">
        <v>197804542338</v>
      </c>
      <c r="T1922" s="12" t="s">
        <v>49</v>
      </c>
      <c r="U1922" s="13">
        <v>45</v>
      </c>
      <c r="V1922" s="12" t="s">
        <v>50</v>
      </c>
      <c r="W1922" s="12" t="s">
        <v>118</v>
      </c>
      <c r="X1922" s="14"/>
      <c r="Y1922" s="14"/>
      <c r="Z1922" s="14"/>
      <c r="AA1922" s="14"/>
      <c r="AB1922" s="14"/>
      <c r="AC1922" s="15">
        <v>38.65</v>
      </c>
      <c r="AD1922" s="15">
        <f>AC1922*AG1922</f>
        <v>115.94999999999999</v>
      </c>
      <c r="AE1922" s="15">
        <v>85</v>
      </c>
      <c r="AF1922" s="15">
        <f>AE1922*AG1922</f>
        <v>255</v>
      </c>
      <c r="AG1922" s="16">
        <v>3</v>
      </c>
    </row>
    <row r="1923" spans="1:33" ht="15" customHeight="1" x14ac:dyDescent="0.2">
      <c r="A1923" s="11" t="str">
        <f t="shared" si="625"/>
        <v>VN000D6WRPK1</v>
      </c>
      <c r="B1923" s="12" t="s">
        <v>7317</v>
      </c>
      <c r="C1923" s="12" t="s">
        <v>34</v>
      </c>
      <c r="D1923" s="12" t="s">
        <v>5878</v>
      </c>
      <c r="E1923" s="12" t="s">
        <v>7318</v>
      </c>
      <c r="F1923" s="13">
        <v>40</v>
      </c>
      <c r="G1923" s="12" t="s">
        <v>528</v>
      </c>
      <c r="H1923" s="12" t="s">
        <v>38</v>
      </c>
      <c r="I1923" s="12" t="s">
        <v>113</v>
      </c>
      <c r="J1923" s="12" t="s">
        <v>114</v>
      </c>
      <c r="K1923" s="12" t="s">
        <v>82</v>
      </c>
      <c r="L1923" s="14"/>
      <c r="M1923" s="12" t="s">
        <v>43</v>
      </c>
      <c r="N1923" s="12" t="s">
        <v>84</v>
      </c>
      <c r="O1923" s="12" t="s">
        <v>7319</v>
      </c>
      <c r="P1923" s="12" t="s">
        <v>46</v>
      </c>
      <c r="Q1923" s="12" t="s">
        <v>47</v>
      </c>
      <c r="R1923" s="12" t="s">
        <v>117</v>
      </c>
      <c r="S1923" s="13">
        <v>197804540204</v>
      </c>
      <c r="T1923" s="12" t="s">
        <v>164</v>
      </c>
      <c r="U1923" s="13">
        <v>35</v>
      </c>
      <c r="V1923" s="12" t="s">
        <v>50</v>
      </c>
      <c r="W1923" s="12" t="s">
        <v>186</v>
      </c>
      <c r="X1923" s="14"/>
      <c r="Y1923" s="14"/>
      <c r="Z1923" s="14"/>
      <c r="AA1923" s="14"/>
      <c r="AB1923" s="14"/>
      <c r="AC1923" s="15">
        <v>38.65</v>
      </c>
      <c r="AD1923" s="15">
        <f>AC1923*AG1923</f>
        <v>115.94999999999999</v>
      </c>
      <c r="AE1923" s="15">
        <v>85</v>
      </c>
      <c r="AF1923" s="15">
        <f>AE1923*AG1923</f>
        <v>255</v>
      </c>
      <c r="AG1923" s="16">
        <v>3</v>
      </c>
    </row>
    <row r="1924" spans="1:33" ht="15" customHeight="1" x14ac:dyDescent="0.2">
      <c r="A1924" s="11" t="str">
        <f t="shared" ref="A1924:A1925" si="806">HYPERLINK("https://assets.vans.eu/images/VN000D6WRPK-HERO/1","VN000D6WRPK1")</f>
        <v>VN000D6WRPK1</v>
      </c>
      <c r="B1924" s="12" t="s">
        <v>7320</v>
      </c>
      <c r="C1924" s="12" t="s">
        <v>34</v>
      </c>
      <c r="D1924" s="12" t="s">
        <v>5878</v>
      </c>
      <c r="E1924" s="12" t="s">
        <v>7321</v>
      </c>
      <c r="F1924" s="13">
        <v>55</v>
      </c>
      <c r="G1924" s="12" t="s">
        <v>528</v>
      </c>
      <c r="H1924" s="12" t="s">
        <v>38</v>
      </c>
      <c r="I1924" s="12" t="s">
        <v>113</v>
      </c>
      <c r="J1924" s="12" t="s">
        <v>114</v>
      </c>
      <c r="K1924" s="12" t="s">
        <v>82</v>
      </c>
      <c r="L1924" s="14"/>
      <c r="M1924" s="12" t="s">
        <v>43</v>
      </c>
      <c r="N1924" s="12" t="s">
        <v>84</v>
      </c>
      <c r="O1924" s="12" t="s">
        <v>7322</v>
      </c>
      <c r="P1924" s="12" t="s">
        <v>46</v>
      </c>
      <c r="Q1924" s="12" t="s">
        <v>47</v>
      </c>
      <c r="R1924" s="12" t="s">
        <v>117</v>
      </c>
      <c r="S1924" s="13">
        <v>197804540556</v>
      </c>
      <c r="T1924" s="12" t="s">
        <v>164</v>
      </c>
      <c r="U1924" s="13">
        <v>37</v>
      </c>
      <c r="V1924" s="12" t="s">
        <v>50</v>
      </c>
      <c r="W1924" s="12" t="s">
        <v>186</v>
      </c>
      <c r="X1924" s="14"/>
      <c r="Y1924" s="14"/>
      <c r="Z1924" s="14"/>
      <c r="AA1924" s="14"/>
      <c r="AB1924" s="14"/>
      <c r="AC1924" s="15">
        <v>38.65</v>
      </c>
      <c r="AD1924" s="15">
        <f>AC1924*AG1924</f>
        <v>115.94999999999999</v>
      </c>
      <c r="AE1924" s="15">
        <v>85</v>
      </c>
      <c r="AF1924" s="15">
        <f>AE1924*AG1924</f>
        <v>255</v>
      </c>
      <c r="AG1924" s="16">
        <v>3</v>
      </c>
    </row>
    <row r="1925" spans="1:33" ht="15" customHeight="1" x14ac:dyDescent="0.2">
      <c r="A1925" s="11" t="str">
        <f t="shared" si="806"/>
        <v>VN000D6WRPK1</v>
      </c>
      <c r="B1925" s="12" t="s">
        <v>7323</v>
      </c>
      <c r="C1925" s="12" t="s">
        <v>34</v>
      </c>
      <c r="D1925" s="12" t="s">
        <v>5878</v>
      </c>
      <c r="E1925" s="12" t="s">
        <v>7324</v>
      </c>
      <c r="F1925" s="13">
        <v>65</v>
      </c>
      <c r="G1925" s="12" t="s">
        <v>528</v>
      </c>
      <c r="H1925" s="12" t="s">
        <v>38</v>
      </c>
      <c r="I1925" s="12" t="s">
        <v>113</v>
      </c>
      <c r="J1925" s="12" t="s">
        <v>114</v>
      </c>
      <c r="K1925" s="12" t="s">
        <v>82</v>
      </c>
      <c r="L1925" s="14"/>
      <c r="M1925" s="12" t="s">
        <v>43</v>
      </c>
      <c r="N1925" s="12" t="s">
        <v>84</v>
      </c>
      <c r="O1925" s="12" t="s">
        <v>7325</v>
      </c>
      <c r="P1925" s="12" t="s">
        <v>46</v>
      </c>
      <c r="Q1925" s="12" t="s">
        <v>47</v>
      </c>
      <c r="R1925" s="12" t="s">
        <v>117</v>
      </c>
      <c r="S1925" s="13">
        <v>197804540877</v>
      </c>
      <c r="T1925" s="12" t="s">
        <v>164</v>
      </c>
      <c r="U1925" s="13">
        <v>38.5</v>
      </c>
      <c r="V1925" s="12" t="s">
        <v>50</v>
      </c>
      <c r="W1925" s="12" t="s">
        <v>186</v>
      </c>
      <c r="X1925" s="14"/>
      <c r="Y1925" s="14"/>
      <c r="Z1925" s="14"/>
      <c r="AA1925" s="14"/>
      <c r="AB1925" s="14"/>
      <c r="AC1925" s="15">
        <v>38.65</v>
      </c>
      <c r="AD1925" s="15">
        <f>AC1925*AG1925</f>
        <v>115.94999999999999</v>
      </c>
      <c r="AE1925" s="15">
        <v>85</v>
      </c>
      <c r="AF1925" s="15">
        <f>AE1925*AG1925</f>
        <v>255</v>
      </c>
      <c r="AG1925" s="16">
        <v>3</v>
      </c>
    </row>
    <row r="1926" spans="1:33" ht="15" customHeight="1" x14ac:dyDescent="0.2">
      <c r="A1926" s="11" t="str">
        <f t="shared" si="626"/>
        <v>VN000D6YEMH1</v>
      </c>
      <c r="B1926" s="12" t="s">
        <v>7326</v>
      </c>
      <c r="C1926" s="12" t="s">
        <v>3586</v>
      </c>
      <c r="D1926" s="12" t="s">
        <v>5882</v>
      </c>
      <c r="E1926" s="12" t="s">
        <v>7327</v>
      </c>
      <c r="F1926" s="13">
        <v>70</v>
      </c>
      <c r="G1926" s="14"/>
      <c r="H1926" s="12" t="s">
        <v>38</v>
      </c>
      <c r="I1926" s="12" t="s">
        <v>113</v>
      </c>
      <c r="J1926" s="12" t="s">
        <v>114</v>
      </c>
      <c r="K1926" s="12" t="s">
        <v>82</v>
      </c>
      <c r="L1926" s="14"/>
      <c r="M1926" s="12" t="s">
        <v>43</v>
      </c>
      <c r="N1926" s="12" t="s">
        <v>84</v>
      </c>
      <c r="O1926" s="12" t="s">
        <v>7328</v>
      </c>
      <c r="P1926" s="12" t="s">
        <v>46</v>
      </c>
      <c r="Q1926" s="12" t="s">
        <v>47</v>
      </c>
      <c r="R1926" s="12" t="s">
        <v>117</v>
      </c>
      <c r="S1926" s="13">
        <v>197804454594</v>
      </c>
      <c r="T1926" s="12" t="s">
        <v>49</v>
      </c>
      <c r="U1926" s="13">
        <v>39</v>
      </c>
      <c r="V1926" s="12" t="s">
        <v>50</v>
      </c>
      <c r="W1926" s="12" t="s">
        <v>186</v>
      </c>
      <c r="X1926" s="14"/>
      <c r="Y1926" s="14"/>
      <c r="Z1926" s="14"/>
      <c r="AA1926" s="14"/>
      <c r="AB1926" s="14"/>
      <c r="AC1926" s="15">
        <v>38.65</v>
      </c>
      <c r="AD1926" s="15">
        <f>AC1926*AG1926</f>
        <v>115.94999999999999</v>
      </c>
      <c r="AE1926" s="15">
        <v>85</v>
      </c>
      <c r="AF1926" s="15">
        <f>AE1926*AG1926</f>
        <v>255</v>
      </c>
      <c r="AG1926" s="16">
        <v>3</v>
      </c>
    </row>
    <row r="1927" spans="1:33" ht="15" customHeight="1" x14ac:dyDescent="0.2">
      <c r="A1927" s="11" t="str">
        <f t="shared" ref="A1927:A2684" si="807">HYPERLINK("https://assets.vans.eu/images/VN000D6YEMY-HERO/1","VN000D6YEMY1")</f>
        <v>VN000D6YEMY1</v>
      </c>
      <c r="B1927" s="12" t="s">
        <v>7329</v>
      </c>
      <c r="C1927" s="12" t="s">
        <v>3586</v>
      </c>
      <c r="D1927" s="12" t="s">
        <v>1155</v>
      </c>
      <c r="E1927" s="12" t="s">
        <v>7330</v>
      </c>
      <c r="F1927" s="13">
        <v>50</v>
      </c>
      <c r="G1927" s="12" t="s">
        <v>2809</v>
      </c>
      <c r="H1927" s="12" t="s">
        <v>38</v>
      </c>
      <c r="I1927" s="12" t="s">
        <v>113</v>
      </c>
      <c r="J1927" s="12" t="s">
        <v>114</v>
      </c>
      <c r="K1927" s="12" t="s">
        <v>82</v>
      </c>
      <c r="L1927" s="14"/>
      <c r="M1927" s="12" t="s">
        <v>43</v>
      </c>
      <c r="N1927" s="12" t="s">
        <v>84</v>
      </c>
      <c r="O1927" s="12" t="s">
        <v>7331</v>
      </c>
      <c r="P1927" s="12" t="s">
        <v>46</v>
      </c>
      <c r="Q1927" s="12" t="s">
        <v>47</v>
      </c>
      <c r="R1927" s="12" t="s">
        <v>117</v>
      </c>
      <c r="S1927" s="13">
        <v>197804454440</v>
      </c>
      <c r="T1927" s="12" t="s">
        <v>164</v>
      </c>
      <c r="U1927" s="13">
        <v>36.5</v>
      </c>
      <c r="V1927" s="12" t="s">
        <v>375</v>
      </c>
      <c r="W1927" s="12" t="s">
        <v>107</v>
      </c>
      <c r="X1927" s="14"/>
      <c r="Y1927" s="14"/>
      <c r="Z1927" s="14"/>
      <c r="AA1927" s="14"/>
      <c r="AB1927" s="14"/>
      <c r="AC1927" s="15">
        <v>34.1</v>
      </c>
      <c r="AD1927" s="15">
        <f>AC1927*AG1927</f>
        <v>102.30000000000001</v>
      </c>
      <c r="AE1927" s="15">
        <v>75</v>
      </c>
      <c r="AF1927" s="15">
        <f>AE1927*AG1927</f>
        <v>225</v>
      </c>
      <c r="AG1927" s="16">
        <v>3</v>
      </c>
    </row>
    <row r="1928" spans="1:33" ht="15" customHeight="1" x14ac:dyDescent="0.2">
      <c r="A1928" s="11" t="str">
        <f t="shared" si="540"/>
        <v>VN000D6YEZI1</v>
      </c>
      <c r="B1928" s="12" t="s">
        <v>7332</v>
      </c>
      <c r="C1928" s="12" t="s">
        <v>3586</v>
      </c>
      <c r="D1928" s="12" t="s">
        <v>3603</v>
      </c>
      <c r="E1928" s="12" t="s">
        <v>7333</v>
      </c>
      <c r="F1928" s="13">
        <v>55</v>
      </c>
      <c r="G1928" s="12" t="s">
        <v>3605</v>
      </c>
      <c r="H1928" s="12" t="s">
        <v>38</v>
      </c>
      <c r="I1928" s="12" t="s">
        <v>113</v>
      </c>
      <c r="J1928" s="12" t="s">
        <v>114</v>
      </c>
      <c r="K1928" s="12" t="s">
        <v>82</v>
      </c>
      <c r="L1928" s="14"/>
      <c r="M1928" s="12" t="s">
        <v>43</v>
      </c>
      <c r="N1928" s="12" t="s">
        <v>84</v>
      </c>
      <c r="O1928" s="12" t="s">
        <v>7334</v>
      </c>
      <c r="P1928" s="12" t="s">
        <v>46</v>
      </c>
      <c r="Q1928" s="12" t="s">
        <v>47</v>
      </c>
      <c r="R1928" s="12" t="s">
        <v>117</v>
      </c>
      <c r="S1928" s="13">
        <v>197804454570</v>
      </c>
      <c r="T1928" s="12" t="s">
        <v>105</v>
      </c>
      <c r="U1928" s="13">
        <v>37</v>
      </c>
      <c r="V1928" s="12" t="s">
        <v>375</v>
      </c>
      <c r="W1928" s="12" t="s">
        <v>51</v>
      </c>
      <c r="X1928" s="14"/>
      <c r="Y1928" s="14"/>
      <c r="Z1928" s="14"/>
      <c r="AA1928" s="14"/>
      <c r="AB1928" s="14"/>
      <c r="AC1928" s="15">
        <v>36.4</v>
      </c>
      <c r="AD1928" s="15">
        <f>AC1928*AG1928</f>
        <v>109.19999999999999</v>
      </c>
      <c r="AE1928" s="15">
        <v>80</v>
      </c>
      <c r="AF1928" s="15">
        <f>AE1928*AG1928</f>
        <v>240</v>
      </c>
      <c r="AG1928" s="16">
        <v>3</v>
      </c>
    </row>
    <row r="1929" spans="1:33" ht="15" customHeight="1" x14ac:dyDescent="0.2">
      <c r="A1929" s="11" t="str">
        <f t="shared" ref="A1929:A1930" si="808">HYPERLINK("https://assets.vans.eu/images/VN000D6YEZI-HERO/1","VN000D6YEZI1")</f>
        <v>VN000D6YEZI1</v>
      </c>
      <c r="B1929" s="12" t="s">
        <v>7335</v>
      </c>
      <c r="C1929" s="12" t="s">
        <v>3586</v>
      </c>
      <c r="D1929" s="12" t="s">
        <v>3603</v>
      </c>
      <c r="E1929" s="12" t="s">
        <v>7336</v>
      </c>
      <c r="F1929" s="13">
        <v>70</v>
      </c>
      <c r="G1929" s="12" t="s">
        <v>3605</v>
      </c>
      <c r="H1929" s="12" t="s">
        <v>38</v>
      </c>
      <c r="I1929" s="12" t="s">
        <v>113</v>
      </c>
      <c r="J1929" s="12" t="s">
        <v>114</v>
      </c>
      <c r="K1929" s="12" t="s">
        <v>82</v>
      </c>
      <c r="L1929" s="14"/>
      <c r="M1929" s="12" t="s">
        <v>43</v>
      </c>
      <c r="N1929" s="12" t="s">
        <v>84</v>
      </c>
      <c r="O1929" s="12" t="s">
        <v>7337</v>
      </c>
      <c r="P1929" s="12" t="s">
        <v>46</v>
      </c>
      <c r="Q1929" s="12" t="s">
        <v>47</v>
      </c>
      <c r="R1929" s="12" t="s">
        <v>117</v>
      </c>
      <c r="S1929" s="13">
        <v>197804454976</v>
      </c>
      <c r="T1929" s="12" t="s">
        <v>105</v>
      </c>
      <c r="U1929" s="13">
        <v>39</v>
      </c>
      <c r="V1929" s="12" t="s">
        <v>375</v>
      </c>
      <c r="W1929" s="12" t="s">
        <v>51</v>
      </c>
      <c r="X1929" s="14"/>
      <c r="Y1929" s="14"/>
      <c r="Z1929" s="14"/>
      <c r="AA1929" s="14"/>
      <c r="AB1929" s="14"/>
      <c r="AC1929" s="15">
        <v>36.4</v>
      </c>
      <c r="AD1929" s="15">
        <f>AC1929*AG1929</f>
        <v>109.19999999999999</v>
      </c>
      <c r="AE1929" s="15">
        <v>80</v>
      </c>
      <c r="AF1929" s="15">
        <f>AE1929*AG1929</f>
        <v>240</v>
      </c>
      <c r="AG1929" s="16">
        <v>3</v>
      </c>
    </row>
    <row r="1930" spans="1:33" ht="15" customHeight="1" x14ac:dyDescent="0.2">
      <c r="A1930" s="11" t="str">
        <f t="shared" si="808"/>
        <v>VN000D6YEZI1</v>
      </c>
      <c r="B1930" s="12" t="s">
        <v>7338</v>
      </c>
      <c r="C1930" s="12" t="s">
        <v>3586</v>
      </c>
      <c r="D1930" s="12" t="s">
        <v>3603</v>
      </c>
      <c r="E1930" s="12" t="s">
        <v>7339</v>
      </c>
      <c r="F1930" s="13">
        <v>75</v>
      </c>
      <c r="G1930" s="12" t="s">
        <v>3605</v>
      </c>
      <c r="H1930" s="12" t="s">
        <v>38</v>
      </c>
      <c r="I1930" s="12" t="s">
        <v>113</v>
      </c>
      <c r="J1930" s="12" t="s">
        <v>114</v>
      </c>
      <c r="K1930" s="12" t="s">
        <v>82</v>
      </c>
      <c r="L1930" s="14"/>
      <c r="M1930" s="12" t="s">
        <v>43</v>
      </c>
      <c r="N1930" s="12" t="s">
        <v>84</v>
      </c>
      <c r="O1930" s="12" t="s">
        <v>7340</v>
      </c>
      <c r="P1930" s="12" t="s">
        <v>46</v>
      </c>
      <c r="Q1930" s="12" t="s">
        <v>47</v>
      </c>
      <c r="R1930" s="12" t="s">
        <v>117</v>
      </c>
      <c r="S1930" s="13">
        <v>197804455058</v>
      </c>
      <c r="T1930" s="12" t="s">
        <v>105</v>
      </c>
      <c r="U1930" s="13">
        <v>40</v>
      </c>
      <c r="V1930" s="12" t="s">
        <v>375</v>
      </c>
      <c r="W1930" s="12" t="s">
        <v>51</v>
      </c>
      <c r="X1930" s="14"/>
      <c r="Y1930" s="14"/>
      <c r="Z1930" s="14"/>
      <c r="AA1930" s="14"/>
      <c r="AB1930" s="14"/>
      <c r="AC1930" s="15">
        <v>36.4</v>
      </c>
      <c r="AD1930" s="15">
        <f>AC1930*AG1930</f>
        <v>109.19999999999999</v>
      </c>
      <c r="AE1930" s="15">
        <v>80</v>
      </c>
      <c r="AF1930" s="15">
        <f>AE1930*AG1930</f>
        <v>240</v>
      </c>
      <c r="AG1930" s="16">
        <v>3</v>
      </c>
    </row>
    <row r="1931" spans="1:33" ht="15" customHeight="1" x14ac:dyDescent="0.2">
      <c r="A1931" s="11" t="str">
        <f t="shared" ref="A1931:A2690" si="809">HYPERLINK("https://assets.vans.eu/images/VN000D6ZEZI-HERO/1","VN000D6ZEZI1")</f>
        <v>VN000D6ZEZI1</v>
      </c>
      <c r="B1931" s="12" t="s">
        <v>7341</v>
      </c>
      <c r="C1931" s="12" t="s">
        <v>110</v>
      </c>
      <c r="D1931" s="12" t="s">
        <v>3603</v>
      </c>
      <c r="E1931" s="12" t="s">
        <v>7342</v>
      </c>
      <c r="F1931" s="13">
        <v>65</v>
      </c>
      <c r="G1931" s="12" t="s">
        <v>3605</v>
      </c>
      <c r="H1931" s="12" t="s">
        <v>38</v>
      </c>
      <c r="I1931" s="12" t="s">
        <v>113</v>
      </c>
      <c r="J1931" s="12" t="s">
        <v>114</v>
      </c>
      <c r="K1931" s="12" t="s">
        <v>82</v>
      </c>
      <c r="L1931" s="14"/>
      <c r="M1931" s="12" t="s">
        <v>43</v>
      </c>
      <c r="N1931" s="12" t="s">
        <v>84</v>
      </c>
      <c r="O1931" s="12" t="s">
        <v>7343</v>
      </c>
      <c r="P1931" s="12" t="s">
        <v>46</v>
      </c>
      <c r="Q1931" s="12" t="s">
        <v>47</v>
      </c>
      <c r="R1931" s="12" t="s">
        <v>117</v>
      </c>
      <c r="S1931" s="13">
        <v>197804455744</v>
      </c>
      <c r="T1931" s="12" t="s">
        <v>105</v>
      </c>
      <c r="U1931" s="13">
        <v>38.5</v>
      </c>
      <c r="V1931" s="12" t="s">
        <v>50</v>
      </c>
      <c r="W1931" s="12" t="s">
        <v>51</v>
      </c>
      <c r="X1931" s="14"/>
      <c r="Y1931" s="14"/>
      <c r="Z1931" s="14"/>
      <c r="AA1931" s="14"/>
      <c r="AB1931" s="14"/>
      <c r="AC1931" s="15">
        <v>45.5</v>
      </c>
      <c r="AD1931" s="15">
        <f>AC1931*AG1931</f>
        <v>136.5</v>
      </c>
      <c r="AE1931" s="15">
        <v>100</v>
      </c>
      <c r="AF1931" s="15">
        <f>AE1931*AG1931</f>
        <v>300</v>
      </c>
      <c r="AG1931" s="16">
        <v>3</v>
      </c>
    </row>
    <row r="1932" spans="1:33" ht="15" customHeight="1" x14ac:dyDescent="0.2">
      <c r="A1932" s="11" t="str">
        <f t="shared" si="628"/>
        <v>VN000D6ZO3N1</v>
      </c>
      <c r="B1932" s="12" t="s">
        <v>7344</v>
      </c>
      <c r="C1932" s="12" t="s">
        <v>110</v>
      </c>
      <c r="D1932" s="12" t="s">
        <v>744</v>
      </c>
      <c r="E1932" s="12" t="s">
        <v>7345</v>
      </c>
      <c r="F1932" s="13">
        <v>45</v>
      </c>
      <c r="G1932" s="12" t="s">
        <v>1460</v>
      </c>
      <c r="H1932" s="12" t="s">
        <v>38</v>
      </c>
      <c r="I1932" s="12" t="s">
        <v>113</v>
      </c>
      <c r="J1932" s="12" t="s">
        <v>114</v>
      </c>
      <c r="K1932" s="12" t="s">
        <v>82</v>
      </c>
      <c r="L1932" s="14"/>
      <c r="M1932" s="12" t="s">
        <v>43</v>
      </c>
      <c r="N1932" s="12" t="s">
        <v>44</v>
      </c>
      <c r="O1932" s="12" t="s">
        <v>7346</v>
      </c>
      <c r="P1932" s="12" t="s">
        <v>46</v>
      </c>
      <c r="Q1932" s="12" t="s">
        <v>47</v>
      </c>
      <c r="R1932" s="12" t="s">
        <v>117</v>
      </c>
      <c r="S1932" s="13">
        <v>197643213987</v>
      </c>
      <c r="T1932" s="12" t="s">
        <v>49</v>
      </c>
      <c r="U1932" s="13">
        <v>36</v>
      </c>
      <c r="V1932" s="12" t="s">
        <v>50</v>
      </c>
      <c r="W1932" s="12" t="s">
        <v>299</v>
      </c>
      <c r="X1932" s="14"/>
      <c r="Y1932" s="12" t="s">
        <v>91</v>
      </c>
      <c r="Z1932" s="12" t="s">
        <v>165</v>
      </c>
      <c r="AA1932" s="14"/>
      <c r="AB1932" s="14"/>
      <c r="AC1932" s="15">
        <v>43.2</v>
      </c>
      <c r="AD1932" s="15">
        <f>AC1932*AG1932</f>
        <v>129.60000000000002</v>
      </c>
      <c r="AE1932" s="15">
        <v>95</v>
      </c>
      <c r="AF1932" s="15">
        <f>AE1932*AG1932</f>
        <v>285</v>
      </c>
      <c r="AG1932" s="16">
        <v>3</v>
      </c>
    </row>
    <row r="1933" spans="1:33" ht="15" customHeight="1" x14ac:dyDescent="0.2">
      <c r="A1933" s="11" t="str">
        <f t="shared" si="542"/>
        <v>VN000D70E2Y1</v>
      </c>
      <c r="B1933" s="12" t="s">
        <v>7347</v>
      </c>
      <c r="C1933" s="12" t="s">
        <v>1614</v>
      </c>
      <c r="D1933" s="12" t="s">
        <v>5038</v>
      </c>
      <c r="E1933" s="12" t="s">
        <v>7348</v>
      </c>
      <c r="F1933" s="13">
        <v>110</v>
      </c>
      <c r="G1933" s="12" t="s">
        <v>5040</v>
      </c>
      <c r="H1933" s="12" t="s">
        <v>38</v>
      </c>
      <c r="I1933" s="12" t="s">
        <v>113</v>
      </c>
      <c r="J1933" s="12" t="s">
        <v>529</v>
      </c>
      <c r="K1933" s="12" t="s">
        <v>82</v>
      </c>
      <c r="L1933" s="14"/>
      <c r="M1933" s="12" t="s">
        <v>43</v>
      </c>
      <c r="N1933" s="12" t="s">
        <v>44</v>
      </c>
      <c r="O1933" s="12" t="s">
        <v>7349</v>
      </c>
      <c r="P1933" s="12" t="s">
        <v>46</v>
      </c>
      <c r="Q1933" s="12" t="s">
        <v>47</v>
      </c>
      <c r="R1933" s="12" t="s">
        <v>117</v>
      </c>
      <c r="S1933" s="13">
        <v>197643315605</v>
      </c>
      <c r="T1933" s="12" t="s">
        <v>105</v>
      </c>
      <c r="U1933" s="13">
        <v>44.5</v>
      </c>
      <c r="V1933" s="12" t="s">
        <v>50</v>
      </c>
      <c r="W1933" s="12" t="s">
        <v>118</v>
      </c>
      <c r="X1933" s="14"/>
      <c r="Y1933" s="12" t="s">
        <v>53</v>
      </c>
      <c r="Z1933" s="12" t="s">
        <v>263</v>
      </c>
      <c r="AA1933" s="14"/>
      <c r="AB1933" s="14"/>
      <c r="AC1933" s="15">
        <v>50</v>
      </c>
      <c r="AD1933" s="15">
        <f>AC1933*AG1933</f>
        <v>150</v>
      </c>
      <c r="AE1933" s="15">
        <v>110</v>
      </c>
      <c r="AF1933" s="15">
        <f>AE1933*AG1933</f>
        <v>330</v>
      </c>
      <c r="AG1933" s="16">
        <v>3</v>
      </c>
    </row>
    <row r="1934" spans="1:33" ht="15" customHeight="1" x14ac:dyDescent="0.2">
      <c r="A1934" s="11" t="str">
        <f>HYPERLINK("https://assets.vans.eu/images/VN000D70ZRY-HERO/1","VN000D70ZRY1")</f>
        <v>VN000D70ZRY1</v>
      </c>
      <c r="B1934" s="12" t="s">
        <v>7350</v>
      </c>
      <c r="C1934" s="12" t="s">
        <v>1614</v>
      </c>
      <c r="D1934" s="12" t="s">
        <v>1996</v>
      </c>
      <c r="E1934" s="12" t="s">
        <v>7351</v>
      </c>
      <c r="F1934" s="13">
        <v>65</v>
      </c>
      <c r="G1934" s="12" t="s">
        <v>5695</v>
      </c>
      <c r="H1934" s="12" t="s">
        <v>38</v>
      </c>
      <c r="I1934" s="12" t="s">
        <v>113</v>
      </c>
      <c r="J1934" s="12" t="s">
        <v>529</v>
      </c>
      <c r="K1934" s="12" t="s">
        <v>82</v>
      </c>
      <c r="L1934" s="14"/>
      <c r="M1934" s="12" t="s">
        <v>43</v>
      </c>
      <c r="N1934" s="12" t="s">
        <v>84</v>
      </c>
      <c r="O1934" s="12" t="s">
        <v>7352</v>
      </c>
      <c r="P1934" s="12" t="s">
        <v>46</v>
      </c>
      <c r="Q1934" s="12" t="s">
        <v>47</v>
      </c>
      <c r="R1934" s="12" t="s">
        <v>117</v>
      </c>
      <c r="S1934" s="13">
        <v>197804542741</v>
      </c>
      <c r="T1934" s="12" t="s">
        <v>105</v>
      </c>
      <c r="U1934" s="13">
        <v>38.5</v>
      </c>
      <c r="V1934" s="12" t="s">
        <v>50</v>
      </c>
      <c r="W1934" s="12" t="s">
        <v>299</v>
      </c>
      <c r="X1934" s="14"/>
      <c r="Y1934" s="14"/>
      <c r="Z1934" s="14"/>
      <c r="AA1934" s="14"/>
      <c r="AB1934" s="14"/>
      <c r="AC1934" s="15">
        <v>50</v>
      </c>
      <c r="AD1934" s="15">
        <f>AC1934*AG1934</f>
        <v>150</v>
      </c>
      <c r="AE1934" s="15">
        <v>110</v>
      </c>
      <c r="AF1934" s="15">
        <f>AE1934*AG1934</f>
        <v>330</v>
      </c>
      <c r="AG1934" s="16">
        <v>3</v>
      </c>
    </row>
    <row r="1935" spans="1:33" ht="15" customHeight="1" x14ac:dyDescent="0.2">
      <c r="A1935" s="11" t="str">
        <f>HYPERLINK("https://assets.vans.eu/images/VN000D750CK-HERO/1","VN000D750CK1")</f>
        <v>VN000D750CK1</v>
      </c>
      <c r="B1935" s="12" t="s">
        <v>7353</v>
      </c>
      <c r="C1935" s="12" t="s">
        <v>110</v>
      </c>
      <c r="D1935" s="12" t="s">
        <v>7354</v>
      </c>
      <c r="E1935" s="12" t="s">
        <v>7355</v>
      </c>
      <c r="F1935" s="13">
        <v>120</v>
      </c>
      <c r="G1935" s="14"/>
      <c r="H1935" s="12" t="s">
        <v>38</v>
      </c>
      <c r="I1935" s="12" t="s">
        <v>113</v>
      </c>
      <c r="J1935" s="12" t="s">
        <v>114</v>
      </c>
      <c r="K1935" s="12" t="s">
        <v>82</v>
      </c>
      <c r="L1935" s="12" t="s">
        <v>260</v>
      </c>
      <c r="M1935" s="12" t="s">
        <v>43</v>
      </c>
      <c r="N1935" s="12" t="s">
        <v>44</v>
      </c>
      <c r="O1935" s="12" t="s">
        <v>7356</v>
      </c>
      <c r="P1935" s="12" t="s">
        <v>46</v>
      </c>
      <c r="Q1935" s="12" t="s">
        <v>47</v>
      </c>
      <c r="R1935" s="12" t="s">
        <v>117</v>
      </c>
      <c r="S1935" s="13">
        <v>197803506959</v>
      </c>
      <c r="T1935" s="12" t="s">
        <v>105</v>
      </c>
      <c r="U1935" s="13">
        <v>46</v>
      </c>
      <c r="V1935" s="12" t="s">
        <v>50</v>
      </c>
      <c r="W1935" s="12" t="s">
        <v>580</v>
      </c>
      <c r="X1935" s="14"/>
      <c r="Y1935" s="12" t="s">
        <v>53</v>
      </c>
      <c r="Z1935" s="12" t="s">
        <v>263</v>
      </c>
      <c r="AA1935" s="14"/>
      <c r="AB1935" s="12" t="s">
        <v>264</v>
      </c>
      <c r="AC1935" s="15">
        <v>43.2</v>
      </c>
      <c r="AD1935" s="15">
        <f>AC1935*AG1935</f>
        <v>129.60000000000002</v>
      </c>
      <c r="AE1935" s="15">
        <v>95</v>
      </c>
      <c r="AF1935" s="15">
        <f>AE1935*AG1935</f>
        <v>285</v>
      </c>
      <c r="AG1935" s="16">
        <v>3</v>
      </c>
    </row>
    <row r="1936" spans="1:33" ht="15" customHeight="1" x14ac:dyDescent="0.2">
      <c r="A1936" s="11" t="str">
        <f>HYPERLINK("https://assets.vans.eu/images/VN000D7U4QU-HERO/1","VN000D7U4QU1")</f>
        <v>VN000D7U4QU1</v>
      </c>
      <c r="B1936" s="12" t="s">
        <v>7357</v>
      </c>
      <c r="C1936" s="12" t="s">
        <v>950</v>
      </c>
      <c r="D1936" s="12" t="s">
        <v>1057</v>
      </c>
      <c r="E1936" s="12" t="s">
        <v>7358</v>
      </c>
      <c r="F1936" s="13">
        <v>55</v>
      </c>
      <c r="G1936" s="12" t="s">
        <v>1358</v>
      </c>
      <c r="H1936" s="12" t="s">
        <v>38</v>
      </c>
      <c r="I1936" s="12" t="s">
        <v>113</v>
      </c>
      <c r="J1936" s="12" t="s">
        <v>114</v>
      </c>
      <c r="K1936" s="12" t="s">
        <v>100</v>
      </c>
      <c r="L1936" s="14"/>
      <c r="M1936" s="12" t="s">
        <v>43</v>
      </c>
      <c r="N1936" s="12" t="s">
        <v>84</v>
      </c>
      <c r="O1936" s="12" t="s">
        <v>7359</v>
      </c>
      <c r="P1936" s="12" t="s">
        <v>46</v>
      </c>
      <c r="Q1936" s="12" t="s">
        <v>47</v>
      </c>
      <c r="R1936" s="12" t="s">
        <v>117</v>
      </c>
      <c r="S1936" s="13">
        <v>197803618348</v>
      </c>
      <c r="T1936" s="12" t="s">
        <v>49</v>
      </c>
      <c r="U1936" s="13">
        <v>35</v>
      </c>
      <c r="V1936" s="12" t="s">
        <v>50</v>
      </c>
      <c r="W1936" s="12" t="s">
        <v>262</v>
      </c>
      <c r="X1936" s="14"/>
      <c r="Y1936" s="12" t="s">
        <v>71</v>
      </c>
      <c r="Z1936" s="12" t="s">
        <v>376</v>
      </c>
      <c r="AA1936" s="14"/>
      <c r="AB1936" s="12" t="s">
        <v>264</v>
      </c>
      <c r="AC1936" s="15">
        <v>35.75</v>
      </c>
      <c r="AD1936" s="15">
        <f>AC1936*AG1936</f>
        <v>107.25</v>
      </c>
      <c r="AE1936" s="15">
        <v>75</v>
      </c>
      <c r="AF1936" s="15">
        <f>AE1936*AG1936</f>
        <v>225</v>
      </c>
      <c r="AG1936" s="16">
        <v>3</v>
      </c>
    </row>
    <row r="1937" spans="1:33" ht="15" customHeight="1" x14ac:dyDescent="0.2">
      <c r="A1937" s="11" t="str">
        <f t="shared" ref="A1937:A2704" si="810">HYPERLINK("https://assets.vans.eu/images/VN000D7Z6N0-HERO/1","VN000D7Z6N01")</f>
        <v>VN000D7Z6N01</v>
      </c>
      <c r="B1937" s="12" t="s">
        <v>7360</v>
      </c>
      <c r="C1937" s="12" t="s">
        <v>34</v>
      </c>
      <c r="D1937" s="12" t="s">
        <v>7361</v>
      </c>
      <c r="E1937" s="12" t="s">
        <v>7362</v>
      </c>
      <c r="F1937" s="13">
        <v>40</v>
      </c>
      <c r="G1937" s="14"/>
      <c r="H1937" s="12" t="s">
        <v>38</v>
      </c>
      <c r="I1937" s="12" t="s">
        <v>113</v>
      </c>
      <c r="J1937" s="12" t="s">
        <v>114</v>
      </c>
      <c r="K1937" s="12" t="s">
        <v>82</v>
      </c>
      <c r="L1937" s="12" t="s">
        <v>260</v>
      </c>
      <c r="M1937" s="12" t="s">
        <v>43</v>
      </c>
      <c r="N1937" s="12" t="s">
        <v>84</v>
      </c>
      <c r="O1937" s="12" t="s">
        <v>7363</v>
      </c>
      <c r="P1937" s="12" t="s">
        <v>46</v>
      </c>
      <c r="Q1937" s="12" t="s">
        <v>47</v>
      </c>
      <c r="R1937" s="12" t="s">
        <v>117</v>
      </c>
      <c r="S1937" s="13">
        <v>197804612055</v>
      </c>
      <c r="T1937" s="12" t="s">
        <v>49</v>
      </c>
      <c r="U1937" s="13">
        <v>35</v>
      </c>
      <c r="V1937" s="12" t="s">
        <v>50</v>
      </c>
      <c r="W1937" s="12" t="s">
        <v>107</v>
      </c>
      <c r="X1937" s="14"/>
      <c r="Y1937" s="14"/>
      <c r="Z1937" s="14"/>
      <c r="AA1937" s="14"/>
      <c r="AB1937" s="14"/>
      <c r="AC1937" s="15">
        <v>40.950000000000003</v>
      </c>
      <c r="AD1937" s="15">
        <f>AC1937*AG1937</f>
        <v>122.85000000000001</v>
      </c>
      <c r="AE1937" s="15">
        <v>90</v>
      </c>
      <c r="AF1937" s="15">
        <f>AE1937*AG1937</f>
        <v>270</v>
      </c>
      <c r="AG1937" s="16">
        <v>3</v>
      </c>
    </row>
    <row r="1938" spans="1:33" ht="15" customHeight="1" x14ac:dyDescent="0.2">
      <c r="A1938" s="11" t="str">
        <f t="shared" ref="A1938:A4436" si="811">HYPERLINK("https://assets.vans.eu/images/VN000D7ZJDU-HERO/1","VN000D7ZJDU1")</f>
        <v>VN000D7ZJDU1</v>
      </c>
      <c r="B1938" s="12" t="s">
        <v>7364</v>
      </c>
      <c r="C1938" s="12" t="s">
        <v>34</v>
      </c>
      <c r="D1938" s="12" t="s">
        <v>814</v>
      </c>
      <c r="E1938" s="12" t="s">
        <v>7365</v>
      </c>
      <c r="F1938" s="13">
        <v>65</v>
      </c>
      <c r="G1938" s="14"/>
      <c r="H1938" s="12" t="s">
        <v>38</v>
      </c>
      <c r="I1938" s="12" t="s">
        <v>113</v>
      </c>
      <c r="J1938" s="12" t="s">
        <v>114</v>
      </c>
      <c r="K1938" s="12" t="s">
        <v>82</v>
      </c>
      <c r="L1938" s="12" t="s">
        <v>260</v>
      </c>
      <c r="M1938" s="12" t="s">
        <v>43</v>
      </c>
      <c r="N1938" s="12" t="s">
        <v>84</v>
      </c>
      <c r="O1938" s="12" t="s">
        <v>7366</v>
      </c>
      <c r="P1938" s="12" t="s">
        <v>46</v>
      </c>
      <c r="Q1938" s="12" t="s">
        <v>47</v>
      </c>
      <c r="R1938" s="12" t="s">
        <v>117</v>
      </c>
      <c r="S1938" s="13">
        <v>197804836130</v>
      </c>
      <c r="T1938" s="12" t="s">
        <v>105</v>
      </c>
      <c r="U1938" s="13">
        <v>38.5</v>
      </c>
      <c r="V1938" s="12" t="s">
        <v>50</v>
      </c>
      <c r="W1938" s="12" t="s">
        <v>284</v>
      </c>
      <c r="X1938" s="14"/>
      <c r="Y1938" s="14"/>
      <c r="Z1938" s="14"/>
      <c r="AA1938" s="14"/>
      <c r="AB1938" s="14"/>
      <c r="AC1938" s="15">
        <v>43.2</v>
      </c>
      <c r="AD1938" s="15">
        <f>AC1938*AG1938</f>
        <v>129.60000000000002</v>
      </c>
      <c r="AE1938" s="15">
        <v>95</v>
      </c>
      <c r="AF1938" s="15">
        <f>AE1938*AG1938</f>
        <v>285</v>
      </c>
      <c r="AG1938" s="16">
        <v>3</v>
      </c>
    </row>
    <row r="1939" spans="1:33" ht="15" customHeight="1" x14ac:dyDescent="0.2">
      <c r="A1939" s="11" t="str">
        <f t="shared" si="375"/>
        <v>VN000D83O3N1</v>
      </c>
      <c r="B1939" s="12" t="s">
        <v>7367</v>
      </c>
      <c r="C1939" s="12" t="s">
        <v>3611</v>
      </c>
      <c r="D1939" s="12" t="s">
        <v>744</v>
      </c>
      <c r="E1939" s="12" t="s">
        <v>7368</v>
      </c>
      <c r="F1939" s="13">
        <v>120</v>
      </c>
      <c r="G1939" s="14"/>
      <c r="H1939" s="12" t="s">
        <v>38</v>
      </c>
      <c r="I1939" s="12" t="s">
        <v>113</v>
      </c>
      <c r="J1939" s="12" t="s">
        <v>529</v>
      </c>
      <c r="K1939" s="12" t="s">
        <v>82</v>
      </c>
      <c r="L1939" s="14"/>
      <c r="M1939" s="12" t="s">
        <v>43</v>
      </c>
      <c r="N1939" s="12" t="s">
        <v>44</v>
      </c>
      <c r="O1939" s="12" t="s">
        <v>7369</v>
      </c>
      <c r="P1939" s="12" t="s">
        <v>46</v>
      </c>
      <c r="Q1939" s="12" t="s">
        <v>47</v>
      </c>
      <c r="R1939" s="12" t="s">
        <v>117</v>
      </c>
      <c r="S1939" s="13">
        <v>197643298809</v>
      </c>
      <c r="T1939" s="12" t="s">
        <v>49</v>
      </c>
      <c r="U1939" s="13">
        <v>46</v>
      </c>
      <c r="V1939" s="12" t="s">
        <v>50</v>
      </c>
      <c r="W1939" s="12" t="s">
        <v>299</v>
      </c>
      <c r="X1939" s="14"/>
      <c r="Y1939" s="12" t="s">
        <v>53</v>
      </c>
      <c r="Z1939" s="12" t="s">
        <v>263</v>
      </c>
      <c r="AA1939" s="14"/>
      <c r="AB1939" s="14"/>
      <c r="AC1939" s="15">
        <v>43.2</v>
      </c>
      <c r="AD1939" s="15">
        <f>AC1939*AG1939</f>
        <v>129.60000000000002</v>
      </c>
      <c r="AE1939" s="15">
        <v>95</v>
      </c>
      <c r="AF1939" s="15">
        <f>AE1939*AG1939</f>
        <v>285</v>
      </c>
      <c r="AG1939" s="16">
        <v>3</v>
      </c>
    </row>
    <row r="1940" spans="1:33" ht="15" customHeight="1" x14ac:dyDescent="0.2">
      <c r="A1940" s="11" t="str">
        <f t="shared" si="631"/>
        <v>VN000D83SQ71</v>
      </c>
      <c r="B1940" s="12" t="s">
        <v>7370</v>
      </c>
      <c r="C1940" s="12" t="s">
        <v>3611</v>
      </c>
      <c r="D1940" s="12" t="s">
        <v>5915</v>
      </c>
      <c r="E1940" s="12" t="s">
        <v>7371</v>
      </c>
      <c r="F1940" s="13">
        <v>120</v>
      </c>
      <c r="G1940" s="14"/>
      <c r="H1940" s="12" t="s">
        <v>38</v>
      </c>
      <c r="I1940" s="12" t="s">
        <v>113</v>
      </c>
      <c r="J1940" s="12" t="s">
        <v>529</v>
      </c>
      <c r="K1940" s="12" t="s">
        <v>82</v>
      </c>
      <c r="L1940" s="14"/>
      <c r="M1940" s="12" t="s">
        <v>43</v>
      </c>
      <c r="N1940" s="12" t="s">
        <v>44</v>
      </c>
      <c r="O1940" s="12" t="s">
        <v>7372</v>
      </c>
      <c r="P1940" s="12" t="s">
        <v>46</v>
      </c>
      <c r="Q1940" s="12" t="s">
        <v>47</v>
      </c>
      <c r="R1940" s="12" t="s">
        <v>117</v>
      </c>
      <c r="S1940" s="13">
        <v>197643299387</v>
      </c>
      <c r="T1940" s="12" t="s">
        <v>49</v>
      </c>
      <c r="U1940" s="13">
        <v>46</v>
      </c>
      <c r="V1940" s="12" t="s">
        <v>50</v>
      </c>
      <c r="W1940" s="12" t="s">
        <v>580</v>
      </c>
      <c r="X1940" s="14"/>
      <c r="Y1940" s="12" t="s">
        <v>53</v>
      </c>
      <c r="Z1940" s="12" t="s">
        <v>263</v>
      </c>
      <c r="AA1940" s="14"/>
      <c r="AB1940" s="14"/>
      <c r="AC1940" s="15">
        <v>45.5</v>
      </c>
      <c r="AD1940" s="15">
        <f>AC1940*AG1940</f>
        <v>136.5</v>
      </c>
      <c r="AE1940" s="15">
        <v>100</v>
      </c>
      <c r="AF1940" s="15">
        <f>AE1940*AG1940</f>
        <v>300</v>
      </c>
      <c r="AG1940" s="16">
        <v>3</v>
      </c>
    </row>
    <row r="1941" spans="1:33" ht="15" customHeight="1" x14ac:dyDescent="0.2">
      <c r="A1941" s="11" t="str">
        <f t="shared" ref="A1941:A4473" si="812">HYPERLINK("https://assets.vans.eu/images/VN000D8NZ5D-HERO/1","VN000D8NZ5D1")</f>
        <v>VN000D8NZ5D1</v>
      </c>
      <c r="B1941" s="12" t="s">
        <v>7373</v>
      </c>
      <c r="C1941" s="12" t="s">
        <v>251</v>
      </c>
      <c r="D1941" s="12" t="s">
        <v>2575</v>
      </c>
      <c r="E1941" s="12" t="s">
        <v>7374</v>
      </c>
      <c r="F1941" s="13">
        <v>65</v>
      </c>
      <c r="G1941" s="14"/>
      <c r="H1941" s="12" t="s">
        <v>38</v>
      </c>
      <c r="I1941" s="12" t="s">
        <v>159</v>
      </c>
      <c r="J1941" s="12" t="s">
        <v>255</v>
      </c>
      <c r="K1941" s="12" t="s">
        <v>82</v>
      </c>
      <c r="L1941" s="14"/>
      <c r="M1941" s="12" t="s">
        <v>43</v>
      </c>
      <c r="N1941" s="12" t="s">
        <v>44</v>
      </c>
      <c r="O1941" s="12" t="s">
        <v>7375</v>
      </c>
      <c r="P1941" s="12" t="s">
        <v>46</v>
      </c>
      <c r="Q1941" s="12" t="s">
        <v>47</v>
      </c>
      <c r="R1941" s="12" t="s">
        <v>163</v>
      </c>
      <c r="S1941" s="13">
        <v>197643226208</v>
      </c>
      <c r="T1941" s="12" t="s">
        <v>49</v>
      </c>
      <c r="U1941" s="13">
        <v>38.5</v>
      </c>
      <c r="V1941" s="12" t="s">
        <v>50</v>
      </c>
      <c r="W1941" s="12" t="s">
        <v>175</v>
      </c>
      <c r="X1941" s="14"/>
      <c r="Y1941" s="12" t="s">
        <v>53</v>
      </c>
      <c r="Z1941" s="12" t="s">
        <v>165</v>
      </c>
      <c r="AA1941" s="14"/>
      <c r="AB1941" s="14"/>
      <c r="AC1941" s="15">
        <v>45.5</v>
      </c>
      <c r="AD1941" s="15">
        <f>AC1941*AG1941</f>
        <v>136.5</v>
      </c>
      <c r="AE1941" s="15">
        <v>100</v>
      </c>
      <c r="AF1941" s="15">
        <f>AE1941*AG1941</f>
        <v>300</v>
      </c>
      <c r="AG1941" s="16">
        <v>3</v>
      </c>
    </row>
    <row r="1942" spans="1:33" ht="15" customHeight="1" x14ac:dyDescent="0.2">
      <c r="A1942" s="11" t="str">
        <f>HYPERLINK("https://assets.vans.eu/images/VN000D9ABLA-HERO/1","VN000D9ABLA1")</f>
        <v>VN000D9ABLA1</v>
      </c>
      <c r="B1942" s="12" t="s">
        <v>7376</v>
      </c>
      <c r="C1942" s="12" t="s">
        <v>2143</v>
      </c>
      <c r="D1942" s="12" t="s">
        <v>919</v>
      </c>
      <c r="E1942" s="12" t="s">
        <v>7377</v>
      </c>
      <c r="F1942" s="13">
        <v>130</v>
      </c>
      <c r="G1942" s="12" t="s">
        <v>2146</v>
      </c>
      <c r="H1942" s="12" t="s">
        <v>38</v>
      </c>
      <c r="I1942" s="12" t="s">
        <v>113</v>
      </c>
      <c r="J1942" s="12" t="s">
        <v>529</v>
      </c>
      <c r="K1942" s="12" t="s">
        <v>82</v>
      </c>
      <c r="L1942" s="14"/>
      <c r="M1942" s="12" t="s">
        <v>43</v>
      </c>
      <c r="N1942" s="12" t="s">
        <v>84</v>
      </c>
      <c r="O1942" s="12" t="s">
        <v>7378</v>
      </c>
      <c r="P1942" s="12" t="s">
        <v>46</v>
      </c>
      <c r="Q1942" s="12" t="s">
        <v>47</v>
      </c>
      <c r="R1942" s="12" t="s">
        <v>117</v>
      </c>
      <c r="S1942" s="13">
        <v>197804550388</v>
      </c>
      <c r="T1942" s="12" t="s">
        <v>49</v>
      </c>
      <c r="U1942" s="13">
        <v>47</v>
      </c>
      <c r="V1942" s="12" t="s">
        <v>50</v>
      </c>
      <c r="W1942" s="12" t="s">
        <v>51</v>
      </c>
      <c r="X1942" s="14"/>
      <c r="Y1942" s="14"/>
      <c r="Z1942" s="14"/>
      <c r="AA1942" s="14"/>
      <c r="AB1942" s="14"/>
      <c r="AC1942" s="15">
        <v>40.950000000000003</v>
      </c>
      <c r="AD1942" s="15">
        <f>AC1942*AG1942</f>
        <v>122.85000000000001</v>
      </c>
      <c r="AE1942" s="15">
        <v>90</v>
      </c>
      <c r="AF1942" s="15">
        <f>AE1942*AG1942</f>
        <v>270</v>
      </c>
      <c r="AG1942" s="16">
        <v>3</v>
      </c>
    </row>
    <row r="1943" spans="1:33" ht="15" customHeight="1" x14ac:dyDescent="0.2">
      <c r="A1943" s="11" t="str">
        <f t="shared" ref="A1943:A1944" si="813">HYPERLINK("https://assets.vans.eu/images/VN000D9ACJ7-HERO/1","VN000D9ACJ71")</f>
        <v>VN000D9ACJ71</v>
      </c>
      <c r="B1943" s="12" t="s">
        <v>7379</v>
      </c>
      <c r="C1943" s="12" t="s">
        <v>2143</v>
      </c>
      <c r="D1943" s="12" t="s">
        <v>2144</v>
      </c>
      <c r="E1943" s="12" t="s">
        <v>7380</v>
      </c>
      <c r="F1943" s="13">
        <v>50</v>
      </c>
      <c r="G1943" s="12" t="s">
        <v>2146</v>
      </c>
      <c r="H1943" s="12" t="s">
        <v>38</v>
      </c>
      <c r="I1943" s="12" t="s">
        <v>113</v>
      </c>
      <c r="J1943" s="12" t="s">
        <v>529</v>
      </c>
      <c r="K1943" s="12" t="s">
        <v>82</v>
      </c>
      <c r="L1943" s="14"/>
      <c r="M1943" s="12" t="s">
        <v>43</v>
      </c>
      <c r="N1943" s="12" t="s">
        <v>84</v>
      </c>
      <c r="O1943" s="12" t="s">
        <v>7381</v>
      </c>
      <c r="P1943" s="12" t="s">
        <v>46</v>
      </c>
      <c r="Q1943" s="12" t="s">
        <v>47</v>
      </c>
      <c r="R1943" s="12" t="s">
        <v>117</v>
      </c>
      <c r="S1943" s="13">
        <v>197804548729</v>
      </c>
      <c r="T1943" s="12" t="s">
        <v>49</v>
      </c>
      <c r="U1943" s="13">
        <v>36.5</v>
      </c>
      <c r="V1943" s="12" t="s">
        <v>50</v>
      </c>
      <c r="W1943" s="12" t="s">
        <v>175</v>
      </c>
      <c r="X1943" s="14"/>
      <c r="Y1943" s="14"/>
      <c r="Z1943" s="14"/>
      <c r="AA1943" s="14"/>
      <c r="AB1943" s="14"/>
      <c r="AC1943" s="15">
        <v>40.950000000000003</v>
      </c>
      <c r="AD1943" s="15">
        <f>AC1943*AG1943</f>
        <v>122.85000000000001</v>
      </c>
      <c r="AE1943" s="15">
        <v>90</v>
      </c>
      <c r="AF1943" s="15">
        <f>AE1943*AG1943</f>
        <v>270</v>
      </c>
      <c r="AG1943" s="16">
        <v>3</v>
      </c>
    </row>
    <row r="1944" spans="1:33" ht="15" customHeight="1" x14ac:dyDescent="0.2">
      <c r="A1944" s="11" t="str">
        <f t="shared" si="813"/>
        <v>VN000D9ACJ71</v>
      </c>
      <c r="B1944" s="12" t="s">
        <v>7382</v>
      </c>
      <c r="C1944" s="12" t="s">
        <v>2143</v>
      </c>
      <c r="D1944" s="12" t="s">
        <v>2144</v>
      </c>
      <c r="E1944" s="12" t="s">
        <v>7383</v>
      </c>
      <c r="F1944" s="13">
        <v>115</v>
      </c>
      <c r="G1944" s="12" t="s">
        <v>2146</v>
      </c>
      <c r="H1944" s="12" t="s">
        <v>38</v>
      </c>
      <c r="I1944" s="12" t="s">
        <v>113</v>
      </c>
      <c r="J1944" s="12" t="s">
        <v>529</v>
      </c>
      <c r="K1944" s="12" t="s">
        <v>82</v>
      </c>
      <c r="L1944" s="14"/>
      <c r="M1944" s="12" t="s">
        <v>43</v>
      </c>
      <c r="N1944" s="12" t="s">
        <v>84</v>
      </c>
      <c r="O1944" s="12" t="s">
        <v>7384</v>
      </c>
      <c r="P1944" s="12" t="s">
        <v>46</v>
      </c>
      <c r="Q1944" s="12" t="s">
        <v>47</v>
      </c>
      <c r="R1944" s="12" t="s">
        <v>117</v>
      </c>
      <c r="S1944" s="13">
        <v>197804550135</v>
      </c>
      <c r="T1944" s="12" t="s">
        <v>49</v>
      </c>
      <c r="U1944" s="13">
        <v>45</v>
      </c>
      <c r="V1944" s="12" t="s">
        <v>50</v>
      </c>
      <c r="W1944" s="12" t="s">
        <v>175</v>
      </c>
      <c r="X1944" s="14"/>
      <c r="Y1944" s="14"/>
      <c r="Z1944" s="14"/>
      <c r="AA1944" s="14"/>
      <c r="AB1944" s="14"/>
      <c r="AC1944" s="15">
        <v>40.950000000000003</v>
      </c>
      <c r="AD1944" s="15">
        <f>AC1944*AG1944</f>
        <v>122.85000000000001</v>
      </c>
      <c r="AE1944" s="15">
        <v>90</v>
      </c>
      <c r="AF1944" s="15">
        <f>AE1944*AG1944</f>
        <v>270</v>
      </c>
      <c r="AG1944" s="16">
        <v>3</v>
      </c>
    </row>
    <row r="1945" spans="1:33" ht="15" customHeight="1" x14ac:dyDescent="0.2">
      <c r="A1945" s="11" t="str">
        <f t="shared" si="634"/>
        <v>VN000D9YRWZ1</v>
      </c>
      <c r="B1945" s="12" t="s">
        <v>7385</v>
      </c>
      <c r="C1945" s="12" t="s">
        <v>34</v>
      </c>
      <c r="D1945" s="12" t="s">
        <v>5936</v>
      </c>
      <c r="E1945" s="12" t="s">
        <v>7386</v>
      </c>
      <c r="F1945" s="13">
        <v>35</v>
      </c>
      <c r="G1945" s="14"/>
      <c r="H1945" s="12" t="s">
        <v>38</v>
      </c>
      <c r="I1945" s="12" t="s">
        <v>113</v>
      </c>
      <c r="J1945" s="12" t="s">
        <v>114</v>
      </c>
      <c r="K1945" s="12" t="s">
        <v>82</v>
      </c>
      <c r="L1945" s="12" t="s">
        <v>260</v>
      </c>
      <c r="M1945" s="12" t="s">
        <v>43</v>
      </c>
      <c r="N1945" s="12" t="s">
        <v>84</v>
      </c>
      <c r="O1945" s="12" t="s">
        <v>7387</v>
      </c>
      <c r="P1945" s="12" t="s">
        <v>46</v>
      </c>
      <c r="Q1945" s="12" t="s">
        <v>47</v>
      </c>
      <c r="R1945" s="12" t="s">
        <v>117</v>
      </c>
      <c r="S1945" s="13">
        <v>197804611997</v>
      </c>
      <c r="T1945" s="12" t="s">
        <v>164</v>
      </c>
      <c r="U1945" s="13">
        <v>34.5</v>
      </c>
      <c r="V1945" s="12" t="s">
        <v>50</v>
      </c>
      <c r="W1945" s="12" t="s">
        <v>299</v>
      </c>
      <c r="X1945" s="14"/>
      <c r="Y1945" s="14"/>
      <c r="Z1945" s="14"/>
      <c r="AA1945" s="14"/>
      <c r="AB1945" s="14"/>
      <c r="AC1945" s="15">
        <v>38.65</v>
      </c>
      <c r="AD1945" s="15">
        <f>AC1945*AG1945</f>
        <v>115.94999999999999</v>
      </c>
      <c r="AE1945" s="15">
        <v>85</v>
      </c>
      <c r="AF1945" s="15">
        <f>AE1945*AG1945</f>
        <v>255</v>
      </c>
      <c r="AG1945" s="16">
        <v>3</v>
      </c>
    </row>
    <row r="1946" spans="1:33" ht="15" customHeight="1" x14ac:dyDescent="0.2">
      <c r="A1946" s="11" t="str">
        <f>HYPERLINK("https://assets.vans.eu/images/VN000D9YRWZ-HERO/1","VN000D9YRWZ1")</f>
        <v>VN000D9YRWZ1</v>
      </c>
      <c r="B1946" s="12" t="s">
        <v>7388</v>
      </c>
      <c r="C1946" s="12" t="s">
        <v>34</v>
      </c>
      <c r="D1946" s="12" t="s">
        <v>5936</v>
      </c>
      <c r="E1946" s="12" t="s">
        <v>7389</v>
      </c>
      <c r="F1946" s="13">
        <v>65</v>
      </c>
      <c r="G1946" s="14"/>
      <c r="H1946" s="12" t="s">
        <v>38</v>
      </c>
      <c r="I1946" s="12" t="s">
        <v>113</v>
      </c>
      <c r="J1946" s="12" t="s">
        <v>114</v>
      </c>
      <c r="K1946" s="12" t="s">
        <v>82</v>
      </c>
      <c r="L1946" s="12" t="s">
        <v>260</v>
      </c>
      <c r="M1946" s="12" t="s">
        <v>43</v>
      </c>
      <c r="N1946" s="12" t="s">
        <v>84</v>
      </c>
      <c r="O1946" s="12" t="s">
        <v>7390</v>
      </c>
      <c r="P1946" s="12" t="s">
        <v>46</v>
      </c>
      <c r="Q1946" s="12" t="s">
        <v>47</v>
      </c>
      <c r="R1946" s="12" t="s">
        <v>117</v>
      </c>
      <c r="S1946" s="13">
        <v>197804612680</v>
      </c>
      <c r="T1946" s="12" t="s">
        <v>164</v>
      </c>
      <c r="U1946" s="13">
        <v>38.5</v>
      </c>
      <c r="V1946" s="12" t="s">
        <v>50</v>
      </c>
      <c r="W1946" s="12" t="s">
        <v>299</v>
      </c>
      <c r="X1946" s="14"/>
      <c r="Y1946" s="14"/>
      <c r="Z1946" s="14"/>
      <c r="AA1946" s="14"/>
      <c r="AB1946" s="14"/>
      <c r="AC1946" s="15">
        <v>38.65</v>
      </c>
      <c r="AD1946" s="15">
        <f>AC1946*AG1946</f>
        <v>115.94999999999999</v>
      </c>
      <c r="AE1946" s="15">
        <v>85</v>
      </c>
      <c r="AF1946" s="15">
        <f>AE1946*AG1946</f>
        <v>255</v>
      </c>
      <c r="AG1946" s="16">
        <v>3</v>
      </c>
    </row>
    <row r="1947" spans="1:33" ht="15" customHeight="1" x14ac:dyDescent="0.2">
      <c r="A1947" s="11" t="str">
        <f t="shared" si="636"/>
        <v>VN000DA1Z341</v>
      </c>
      <c r="B1947" s="12" t="s">
        <v>7391</v>
      </c>
      <c r="C1947" s="12" t="s">
        <v>5946</v>
      </c>
      <c r="D1947" s="12" t="s">
        <v>5947</v>
      </c>
      <c r="E1947" s="12" t="s">
        <v>7392</v>
      </c>
      <c r="F1947" s="13">
        <v>75</v>
      </c>
      <c r="G1947" s="12" t="s">
        <v>5949</v>
      </c>
      <c r="H1947" s="12" t="s">
        <v>38</v>
      </c>
      <c r="I1947" s="12" t="s">
        <v>159</v>
      </c>
      <c r="J1947" s="12" t="s">
        <v>341</v>
      </c>
      <c r="K1947" s="12" t="s">
        <v>199</v>
      </c>
      <c r="L1947" s="14"/>
      <c r="M1947" s="12" t="s">
        <v>43</v>
      </c>
      <c r="N1947" s="12" t="s">
        <v>84</v>
      </c>
      <c r="O1947" s="12" t="s">
        <v>7393</v>
      </c>
      <c r="P1947" s="12" t="s">
        <v>46</v>
      </c>
      <c r="Q1947" s="12" t="s">
        <v>47</v>
      </c>
      <c r="R1947" s="12" t="s">
        <v>163</v>
      </c>
      <c r="S1947" s="13">
        <v>197804554041</v>
      </c>
      <c r="T1947" s="12" t="s">
        <v>49</v>
      </c>
      <c r="U1947" s="13">
        <v>40</v>
      </c>
      <c r="V1947" s="12" t="s">
        <v>50</v>
      </c>
      <c r="W1947" s="12" t="s">
        <v>175</v>
      </c>
      <c r="X1947" s="14"/>
      <c r="Y1947" s="14"/>
      <c r="Z1947" s="14"/>
      <c r="AA1947" s="14"/>
      <c r="AB1947" s="14"/>
      <c r="AC1947" s="15">
        <v>54.55</v>
      </c>
      <c r="AD1947" s="15">
        <f>AC1947*AG1947</f>
        <v>163.64999999999998</v>
      </c>
      <c r="AE1947" s="15">
        <v>120</v>
      </c>
      <c r="AF1947" s="15">
        <f>AE1947*AG1947</f>
        <v>360</v>
      </c>
      <c r="AG1947" s="16">
        <v>3</v>
      </c>
    </row>
    <row r="1948" spans="1:33" ht="15" customHeight="1" x14ac:dyDescent="0.2">
      <c r="A1948" s="11" t="str">
        <f t="shared" ref="A1948:A2727" si="814">HYPERLINK("https://assets.vans.eu/images/VN000DA1Z34-HERO/1","VN000DA1Z341")</f>
        <v>VN000DA1Z341</v>
      </c>
      <c r="B1948" s="12" t="s">
        <v>7394</v>
      </c>
      <c r="C1948" s="12" t="s">
        <v>5946</v>
      </c>
      <c r="D1948" s="12" t="s">
        <v>5947</v>
      </c>
      <c r="E1948" s="12" t="s">
        <v>7395</v>
      </c>
      <c r="F1948" s="13">
        <v>80</v>
      </c>
      <c r="G1948" s="12" t="s">
        <v>5949</v>
      </c>
      <c r="H1948" s="12" t="s">
        <v>38</v>
      </c>
      <c r="I1948" s="12" t="s">
        <v>159</v>
      </c>
      <c r="J1948" s="12" t="s">
        <v>341</v>
      </c>
      <c r="K1948" s="12" t="s">
        <v>199</v>
      </c>
      <c r="L1948" s="14"/>
      <c r="M1948" s="12" t="s">
        <v>43</v>
      </c>
      <c r="N1948" s="12" t="s">
        <v>84</v>
      </c>
      <c r="O1948" s="12" t="s">
        <v>7396</v>
      </c>
      <c r="P1948" s="12" t="s">
        <v>46</v>
      </c>
      <c r="Q1948" s="12" t="s">
        <v>47</v>
      </c>
      <c r="R1948" s="12" t="s">
        <v>163</v>
      </c>
      <c r="S1948" s="13">
        <v>197804554102</v>
      </c>
      <c r="T1948" s="12" t="s">
        <v>49</v>
      </c>
      <c r="U1948" s="13">
        <v>40.5</v>
      </c>
      <c r="V1948" s="12" t="s">
        <v>50</v>
      </c>
      <c r="W1948" s="12" t="s">
        <v>175</v>
      </c>
      <c r="X1948" s="14"/>
      <c r="Y1948" s="14"/>
      <c r="Z1948" s="14"/>
      <c r="AA1948" s="14"/>
      <c r="AB1948" s="14"/>
      <c r="AC1948" s="15">
        <v>54.55</v>
      </c>
      <c r="AD1948" s="15">
        <f>AC1948*AG1948</f>
        <v>163.64999999999998</v>
      </c>
      <c r="AE1948" s="15">
        <v>120</v>
      </c>
      <c r="AF1948" s="15">
        <f>AE1948*AG1948</f>
        <v>360</v>
      </c>
      <c r="AG1948" s="16">
        <v>3</v>
      </c>
    </row>
    <row r="1949" spans="1:33" ht="15" customHeight="1" x14ac:dyDescent="0.2">
      <c r="A1949" s="11" t="str">
        <f t="shared" si="637"/>
        <v>VN000DA2B9M1</v>
      </c>
      <c r="B1949" s="12" t="s">
        <v>7397</v>
      </c>
      <c r="C1949" s="12" t="s">
        <v>3032</v>
      </c>
      <c r="D1949" s="12" t="s">
        <v>339</v>
      </c>
      <c r="E1949" s="12" t="s">
        <v>7398</v>
      </c>
      <c r="F1949" s="13">
        <v>80</v>
      </c>
      <c r="G1949" s="12" t="s">
        <v>5949</v>
      </c>
      <c r="H1949" s="12" t="s">
        <v>38</v>
      </c>
      <c r="I1949" s="12" t="s">
        <v>159</v>
      </c>
      <c r="J1949" s="12" t="s">
        <v>341</v>
      </c>
      <c r="K1949" s="12" t="s">
        <v>199</v>
      </c>
      <c r="L1949" s="14"/>
      <c r="M1949" s="12" t="s">
        <v>43</v>
      </c>
      <c r="N1949" s="12" t="s">
        <v>84</v>
      </c>
      <c r="O1949" s="12" t="s">
        <v>7399</v>
      </c>
      <c r="P1949" s="12" t="s">
        <v>46</v>
      </c>
      <c r="Q1949" s="12" t="s">
        <v>47</v>
      </c>
      <c r="R1949" s="12" t="s">
        <v>163</v>
      </c>
      <c r="S1949" s="13">
        <v>197804554652</v>
      </c>
      <c r="T1949" s="12" t="s">
        <v>105</v>
      </c>
      <c r="U1949" s="13">
        <v>40.5</v>
      </c>
      <c r="V1949" s="12" t="s">
        <v>50</v>
      </c>
      <c r="W1949" s="12" t="s">
        <v>51</v>
      </c>
      <c r="X1949" s="14"/>
      <c r="Y1949" s="14"/>
      <c r="Z1949" s="14"/>
      <c r="AA1949" s="14"/>
      <c r="AB1949" s="14"/>
      <c r="AC1949" s="15">
        <v>40.950000000000003</v>
      </c>
      <c r="AD1949" s="15">
        <f>AC1949*AG1949</f>
        <v>122.85000000000001</v>
      </c>
      <c r="AE1949" s="15">
        <v>90</v>
      </c>
      <c r="AF1949" s="15">
        <f>AE1949*AG1949</f>
        <v>270</v>
      </c>
      <c r="AG1949" s="16">
        <v>3</v>
      </c>
    </row>
    <row r="1950" spans="1:33" ht="15" customHeight="1" x14ac:dyDescent="0.2">
      <c r="A1950" s="11" t="str">
        <f t="shared" ref="A1950:A4524" si="815">HYPERLINK("https://assets.vans.eu/images/VN000DA4D7U-HERO/1","VN000DA4D7U1")</f>
        <v>VN000DA4D7U1</v>
      </c>
      <c r="B1950" s="12" t="s">
        <v>7400</v>
      </c>
      <c r="C1950" s="12" t="s">
        <v>7401</v>
      </c>
      <c r="D1950" s="12" t="s">
        <v>7402</v>
      </c>
      <c r="E1950" s="12" t="s">
        <v>7403</v>
      </c>
      <c r="F1950" s="13">
        <v>50</v>
      </c>
      <c r="G1950" s="14"/>
      <c r="H1950" s="12" t="s">
        <v>38</v>
      </c>
      <c r="I1950" s="12" t="s">
        <v>159</v>
      </c>
      <c r="J1950" s="12" t="s">
        <v>341</v>
      </c>
      <c r="K1950" s="12" t="s">
        <v>199</v>
      </c>
      <c r="L1950" s="14"/>
      <c r="M1950" s="12" t="s">
        <v>43</v>
      </c>
      <c r="N1950" s="12" t="s">
        <v>84</v>
      </c>
      <c r="O1950" s="12" t="s">
        <v>7404</v>
      </c>
      <c r="P1950" s="12" t="s">
        <v>46</v>
      </c>
      <c r="Q1950" s="12" t="s">
        <v>47</v>
      </c>
      <c r="R1950" s="12" t="s">
        <v>163</v>
      </c>
      <c r="S1950" s="13">
        <v>197804555482</v>
      </c>
      <c r="T1950" s="12" t="s">
        <v>49</v>
      </c>
      <c r="U1950" s="13">
        <v>36.5</v>
      </c>
      <c r="V1950" s="12" t="s">
        <v>50</v>
      </c>
      <c r="W1950" s="12" t="s">
        <v>175</v>
      </c>
      <c r="X1950" s="14"/>
      <c r="Y1950" s="14"/>
      <c r="Z1950" s="14"/>
      <c r="AA1950" s="14"/>
      <c r="AB1950" s="14"/>
      <c r="AC1950" s="15">
        <v>43.2</v>
      </c>
      <c r="AD1950" s="15">
        <f>AC1950*AG1950</f>
        <v>129.60000000000002</v>
      </c>
      <c r="AE1950" s="15">
        <v>95</v>
      </c>
      <c r="AF1950" s="15">
        <f>AE1950*AG1950</f>
        <v>285</v>
      </c>
      <c r="AG1950" s="16">
        <v>3</v>
      </c>
    </row>
    <row r="1951" spans="1:33" ht="15" customHeight="1" x14ac:dyDescent="0.2">
      <c r="A1951" s="11" t="str">
        <f t="shared" ref="A1951:A2730" si="816">HYPERLINK("https://assets.vans.eu/images/VN000DAH7UG-HERO/1","VN000DAH7UG1")</f>
        <v>VN000DAH7UG1</v>
      </c>
      <c r="B1951" s="12" t="s">
        <v>7405</v>
      </c>
      <c r="C1951" s="12" t="s">
        <v>3586</v>
      </c>
      <c r="D1951" s="12" t="s">
        <v>333</v>
      </c>
      <c r="E1951" s="12" t="s">
        <v>7406</v>
      </c>
      <c r="F1951" s="13">
        <v>100</v>
      </c>
      <c r="G1951" s="12" t="s">
        <v>7407</v>
      </c>
      <c r="H1951" s="12" t="s">
        <v>38</v>
      </c>
      <c r="I1951" s="12" t="s">
        <v>159</v>
      </c>
      <c r="J1951" s="12" t="s">
        <v>160</v>
      </c>
      <c r="K1951" s="12" t="s">
        <v>82</v>
      </c>
      <c r="L1951" s="14"/>
      <c r="M1951" s="12" t="s">
        <v>43</v>
      </c>
      <c r="N1951" s="12" t="s">
        <v>84</v>
      </c>
      <c r="O1951" s="12" t="s">
        <v>7408</v>
      </c>
      <c r="P1951" s="12" t="s">
        <v>46</v>
      </c>
      <c r="Q1951" s="12" t="s">
        <v>47</v>
      </c>
      <c r="R1951" s="12" t="s">
        <v>163</v>
      </c>
      <c r="S1951" s="13">
        <v>197804483051</v>
      </c>
      <c r="T1951" s="12" t="s">
        <v>164</v>
      </c>
      <c r="U1951" s="13">
        <v>43</v>
      </c>
      <c r="V1951" s="12" t="s">
        <v>375</v>
      </c>
      <c r="W1951" s="12" t="s">
        <v>186</v>
      </c>
      <c r="X1951" s="14"/>
      <c r="Y1951" s="14"/>
      <c r="Z1951" s="14"/>
      <c r="AA1951" s="14"/>
      <c r="AB1951" s="14"/>
      <c r="AC1951" s="15">
        <v>36.4</v>
      </c>
      <c r="AD1951" s="15">
        <f>AC1951*AG1951</f>
        <v>109.19999999999999</v>
      </c>
      <c r="AE1951" s="15">
        <v>80</v>
      </c>
      <c r="AF1951" s="15">
        <f>AE1951*AG1951</f>
        <v>240</v>
      </c>
      <c r="AG1951" s="16">
        <v>3</v>
      </c>
    </row>
    <row r="1952" spans="1:33" ht="15" customHeight="1" x14ac:dyDescent="0.2">
      <c r="A1952" s="11" t="str">
        <f t="shared" ref="A1952:A4539" si="817">HYPERLINK("https://assets.vans.eu/images/VN000DAJYJ7-HERO/1","VN000DAJYJ71")</f>
        <v>VN000DAJYJ71</v>
      </c>
      <c r="B1952" s="12" t="s">
        <v>7409</v>
      </c>
      <c r="C1952" s="12" t="s">
        <v>110</v>
      </c>
      <c r="D1952" s="12" t="s">
        <v>1300</v>
      </c>
      <c r="E1952" s="12" t="s">
        <v>7410</v>
      </c>
      <c r="F1952" s="13">
        <v>100</v>
      </c>
      <c r="G1952" s="12" t="s">
        <v>528</v>
      </c>
      <c r="H1952" s="12" t="s">
        <v>38</v>
      </c>
      <c r="I1952" s="12" t="s">
        <v>159</v>
      </c>
      <c r="J1952" s="12" t="s">
        <v>160</v>
      </c>
      <c r="K1952" s="12" t="s">
        <v>82</v>
      </c>
      <c r="L1952" s="14"/>
      <c r="M1952" s="12" t="s">
        <v>43</v>
      </c>
      <c r="N1952" s="12" t="s">
        <v>84</v>
      </c>
      <c r="O1952" s="12" t="s">
        <v>7411</v>
      </c>
      <c r="P1952" s="12" t="s">
        <v>46</v>
      </c>
      <c r="Q1952" s="12" t="s">
        <v>47</v>
      </c>
      <c r="R1952" s="12" t="s">
        <v>163</v>
      </c>
      <c r="S1952" s="13">
        <v>197804484904</v>
      </c>
      <c r="T1952" s="12" t="s">
        <v>164</v>
      </c>
      <c r="U1952" s="13">
        <v>43</v>
      </c>
      <c r="V1952" s="12" t="s">
        <v>50</v>
      </c>
      <c r="W1952" s="12" t="s">
        <v>51</v>
      </c>
      <c r="X1952" s="14"/>
      <c r="Y1952" s="14"/>
      <c r="Z1952" s="14"/>
      <c r="AA1952" s="14"/>
      <c r="AB1952" s="14"/>
      <c r="AC1952" s="15">
        <v>43.2</v>
      </c>
      <c r="AD1952" s="15">
        <f>AC1952*AG1952</f>
        <v>129.60000000000002</v>
      </c>
      <c r="AE1952" s="15">
        <v>95</v>
      </c>
      <c r="AF1952" s="15">
        <f>AE1952*AG1952</f>
        <v>285</v>
      </c>
      <c r="AG1952" s="16">
        <v>3</v>
      </c>
    </row>
    <row r="1953" spans="1:33" ht="15" customHeight="1" x14ac:dyDescent="0.2">
      <c r="A1953" s="11" t="str">
        <f t="shared" si="639"/>
        <v>VN000DAMLM31</v>
      </c>
      <c r="B1953" s="12" t="s">
        <v>7412</v>
      </c>
      <c r="C1953" s="12" t="s">
        <v>5959</v>
      </c>
      <c r="D1953" s="12" t="s">
        <v>5960</v>
      </c>
      <c r="E1953" s="12" t="s">
        <v>7413</v>
      </c>
      <c r="F1953" s="13">
        <v>80</v>
      </c>
      <c r="G1953" s="14"/>
      <c r="H1953" s="12" t="s">
        <v>38</v>
      </c>
      <c r="I1953" s="12" t="s">
        <v>113</v>
      </c>
      <c r="J1953" s="12" t="s">
        <v>529</v>
      </c>
      <c r="K1953" s="12" t="s">
        <v>82</v>
      </c>
      <c r="L1953" s="14"/>
      <c r="M1953" s="12" t="s">
        <v>43</v>
      </c>
      <c r="N1953" s="12" t="s">
        <v>84</v>
      </c>
      <c r="O1953" s="12" t="s">
        <v>7414</v>
      </c>
      <c r="P1953" s="12" t="s">
        <v>46</v>
      </c>
      <c r="Q1953" s="12" t="s">
        <v>47</v>
      </c>
      <c r="R1953" s="12" t="s">
        <v>117</v>
      </c>
      <c r="S1953" s="13">
        <v>197804485345</v>
      </c>
      <c r="T1953" s="12" t="s">
        <v>49</v>
      </c>
      <c r="U1953" s="13">
        <v>40.5</v>
      </c>
      <c r="V1953" s="12" t="s">
        <v>50</v>
      </c>
      <c r="W1953" s="12" t="s">
        <v>299</v>
      </c>
      <c r="X1953" s="14"/>
      <c r="Y1953" s="14"/>
      <c r="Z1953" s="14"/>
      <c r="AA1953" s="14"/>
      <c r="AB1953" s="14"/>
      <c r="AC1953" s="15">
        <v>88.65</v>
      </c>
      <c r="AD1953" s="15">
        <f>AC1953*AG1953</f>
        <v>265.95000000000005</v>
      </c>
      <c r="AE1953" s="15">
        <v>195</v>
      </c>
      <c r="AF1953" s="15">
        <f>AE1953*AG1953</f>
        <v>585</v>
      </c>
      <c r="AG1953" s="16">
        <v>3</v>
      </c>
    </row>
    <row r="1954" spans="1:33" ht="15" customHeight="1" x14ac:dyDescent="0.2">
      <c r="A1954" s="11" t="str">
        <f t="shared" ref="A1954:A1957" si="818">HYPERLINK("https://assets.vans.eu/images/VN000DAQ02Y-HERO/1","VN000DAQ02Y1")</f>
        <v>VN000DAQ02Y1</v>
      </c>
      <c r="B1954" s="12" t="s">
        <v>7415</v>
      </c>
      <c r="C1954" s="12" t="s">
        <v>2817</v>
      </c>
      <c r="D1954" s="12" t="s">
        <v>7416</v>
      </c>
      <c r="E1954" s="12" t="s">
        <v>7417</v>
      </c>
      <c r="F1954" s="13">
        <v>50</v>
      </c>
      <c r="G1954" s="14"/>
      <c r="H1954" s="12" t="s">
        <v>38</v>
      </c>
      <c r="I1954" s="12" t="s">
        <v>113</v>
      </c>
      <c r="J1954" s="12" t="s">
        <v>114</v>
      </c>
      <c r="K1954" s="12" t="s">
        <v>82</v>
      </c>
      <c r="L1954" s="14"/>
      <c r="M1954" s="12" t="s">
        <v>43</v>
      </c>
      <c r="N1954" s="12" t="s">
        <v>84</v>
      </c>
      <c r="O1954" s="12" t="s">
        <v>7418</v>
      </c>
      <c r="P1954" s="12" t="s">
        <v>46</v>
      </c>
      <c r="Q1954" s="12" t="s">
        <v>47</v>
      </c>
      <c r="R1954" s="12" t="s">
        <v>948</v>
      </c>
      <c r="S1954" s="13">
        <v>197804555611</v>
      </c>
      <c r="T1954" s="12" t="s">
        <v>49</v>
      </c>
      <c r="U1954" s="13">
        <v>36.5</v>
      </c>
      <c r="V1954" s="12" t="s">
        <v>50</v>
      </c>
      <c r="W1954" s="12" t="s">
        <v>262</v>
      </c>
      <c r="X1954" s="14"/>
      <c r="Y1954" s="14"/>
      <c r="Z1954" s="14"/>
      <c r="AA1954" s="14"/>
      <c r="AB1954" s="14"/>
      <c r="AC1954" s="15">
        <v>65.95</v>
      </c>
      <c r="AD1954" s="15">
        <f>AC1954*AG1954</f>
        <v>197.85000000000002</v>
      </c>
      <c r="AE1954" s="15">
        <v>145</v>
      </c>
      <c r="AF1954" s="15">
        <f>AE1954*AG1954</f>
        <v>435</v>
      </c>
      <c r="AG1954" s="16">
        <v>3</v>
      </c>
    </row>
    <row r="1955" spans="1:33" ht="15" customHeight="1" x14ac:dyDescent="0.2">
      <c r="A1955" s="11" t="str">
        <f t="shared" si="818"/>
        <v>VN000DAQ02Y1</v>
      </c>
      <c r="B1955" s="12" t="s">
        <v>7419</v>
      </c>
      <c r="C1955" s="12" t="s">
        <v>2817</v>
      </c>
      <c r="D1955" s="12" t="s">
        <v>7416</v>
      </c>
      <c r="E1955" s="12" t="s">
        <v>7420</v>
      </c>
      <c r="F1955" s="13">
        <v>60</v>
      </c>
      <c r="G1955" s="14"/>
      <c r="H1955" s="12" t="s">
        <v>38</v>
      </c>
      <c r="I1955" s="12" t="s">
        <v>113</v>
      </c>
      <c r="J1955" s="12" t="s">
        <v>114</v>
      </c>
      <c r="K1955" s="12" t="s">
        <v>82</v>
      </c>
      <c r="L1955" s="14"/>
      <c r="M1955" s="12" t="s">
        <v>43</v>
      </c>
      <c r="N1955" s="12" t="s">
        <v>84</v>
      </c>
      <c r="O1955" s="12" t="s">
        <v>7421</v>
      </c>
      <c r="P1955" s="12" t="s">
        <v>46</v>
      </c>
      <c r="Q1955" s="12" t="s">
        <v>47</v>
      </c>
      <c r="R1955" s="12" t="s">
        <v>948</v>
      </c>
      <c r="S1955" s="13">
        <v>197804555895</v>
      </c>
      <c r="T1955" s="12" t="s">
        <v>49</v>
      </c>
      <c r="U1955" s="13">
        <v>38</v>
      </c>
      <c r="V1955" s="12" t="s">
        <v>50</v>
      </c>
      <c r="W1955" s="12" t="s">
        <v>262</v>
      </c>
      <c r="X1955" s="14"/>
      <c r="Y1955" s="14"/>
      <c r="Z1955" s="14"/>
      <c r="AA1955" s="14"/>
      <c r="AB1955" s="14"/>
      <c r="AC1955" s="15">
        <v>65.95</v>
      </c>
      <c r="AD1955" s="15">
        <f>AC1955*AG1955</f>
        <v>197.85000000000002</v>
      </c>
      <c r="AE1955" s="15">
        <v>145</v>
      </c>
      <c r="AF1955" s="15">
        <f>AE1955*AG1955</f>
        <v>435</v>
      </c>
      <c r="AG1955" s="16">
        <v>3</v>
      </c>
    </row>
    <row r="1956" spans="1:33" ht="15" customHeight="1" x14ac:dyDescent="0.2">
      <c r="A1956" s="11" t="str">
        <f t="shared" si="818"/>
        <v>VN000DAQ02Y1</v>
      </c>
      <c r="B1956" s="12" t="s">
        <v>7422</v>
      </c>
      <c r="C1956" s="12" t="s">
        <v>2817</v>
      </c>
      <c r="D1956" s="12" t="s">
        <v>7416</v>
      </c>
      <c r="E1956" s="12" t="s">
        <v>7423</v>
      </c>
      <c r="F1956" s="13">
        <v>70</v>
      </c>
      <c r="G1956" s="14"/>
      <c r="H1956" s="12" t="s">
        <v>38</v>
      </c>
      <c r="I1956" s="12" t="s">
        <v>113</v>
      </c>
      <c r="J1956" s="12" t="s">
        <v>114</v>
      </c>
      <c r="K1956" s="12" t="s">
        <v>82</v>
      </c>
      <c r="L1956" s="14"/>
      <c r="M1956" s="12" t="s">
        <v>43</v>
      </c>
      <c r="N1956" s="12" t="s">
        <v>84</v>
      </c>
      <c r="O1956" s="12" t="s">
        <v>7424</v>
      </c>
      <c r="P1956" s="12" t="s">
        <v>46</v>
      </c>
      <c r="Q1956" s="12" t="s">
        <v>47</v>
      </c>
      <c r="R1956" s="12" t="s">
        <v>948</v>
      </c>
      <c r="S1956" s="13">
        <v>197804556267</v>
      </c>
      <c r="T1956" s="12" t="s">
        <v>49</v>
      </c>
      <c r="U1956" s="13">
        <v>39</v>
      </c>
      <c r="V1956" s="12" t="s">
        <v>50</v>
      </c>
      <c r="W1956" s="12" t="s">
        <v>262</v>
      </c>
      <c r="X1956" s="14"/>
      <c r="Y1956" s="14"/>
      <c r="Z1956" s="14"/>
      <c r="AA1956" s="14"/>
      <c r="AB1956" s="14"/>
      <c r="AC1956" s="15">
        <v>65.95</v>
      </c>
      <c r="AD1956" s="15">
        <f>AC1956*AG1956</f>
        <v>197.85000000000002</v>
      </c>
      <c r="AE1956" s="15">
        <v>145</v>
      </c>
      <c r="AF1956" s="15">
        <f>AE1956*AG1956</f>
        <v>435</v>
      </c>
      <c r="AG1956" s="16">
        <v>3</v>
      </c>
    </row>
    <row r="1957" spans="1:33" ht="15" customHeight="1" x14ac:dyDescent="0.2">
      <c r="A1957" s="11" t="str">
        <f t="shared" si="818"/>
        <v>VN000DAQ02Y1</v>
      </c>
      <c r="B1957" s="12" t="s">
        <v>7425</v>
      </c>
      <c r="C1957" s="12" t="s">
        <v>2817</v>
      </c>
      <c r="D1957" s="12" t="s">
        <v>7416</v>
      </c>
      <c r="E1957" s="12" t="s">
        <v>7426</v>
      </c>
      <c r="F1957" s="13">
        <v>110</v>
      </c>
      <c r="G1957" s="14"/>
      <c r="H1957" s="12" t="s">
        <v>38</v>
      </c>
      <c r="I1957" s="12" t="s">
        <v>113</v>
      </c>
      <c r="J1957" s="12" t="s">
        <v>114</v>
      </c>
      <c r="K1957" s="12" t="s">
        <v>82</v>
      </c>
      <c r="L1957" s="14"/>
      <c r="M1957" s="12" t="s">
        <v>43</v>
      </c>
      <c r="N1957" s="12" t="s">
        <v>84</v>
      </c>
      <c r="O1957" s="12" t="s">
        <v>7427</v>
      </c>
      <c r="P1957" s="12" t="s">
        <v>46</v>
      </c>
      <c r="Q1957" s="12" t="s">
        <v>47</v>
      </c>
      <c r="R1957" s="12" t="s">
        <v>948</v>
      </c>
      <c r="S1957" s="13">
        <v>197804557202</v>
      </c>
      <c r="T1957" s="12" t="s">
        <v>49</v>
      </c>
      <c r="U1957" s="13">
        <v>44.5</v>
      </c>
      <c r="V1957" s="12" t="s">
        <v>50</v>
      </c>
      <c r="W1957" s="12" t="s">
        <v>262</v>
      </c>
      <c r="X1957" s="14"/>
      <c r="Y1957" s="14"/>
      <c r="Z1957" s="14"/>
      <c r="AA1957" s="14"/>
      <c r="AB1957" s="14"/>
      <c r="AC1957" s="15">
        <v>65.95</v>
      </c>
      <c r="AD1957" s="15">
        <f>AC1957*AG1957</f>
        <v>197.85000000000002</v>
      </c>
      <c r="AE1957" s="15">
        <v>145</v>
      </c>
      <c r="AF1957" s="15">
        <f>AE1957*AG1957</f>
        <v>435</v>
      </c>
      <c r="AG1957" s="16">
        <v>3</v>
      </c>
    </row>
    <row r="1958" spans="1:33" ht="15" customHeight="1" x14ac:dyDescent="0.2">
      <c r="A1958" s="11" t="str">
        <f t="shared" ref="A1958:A2743" si="819">HYPERLINK("https://assets.vans.eu/images/VN000DAQ1MG-HERO/1","VN000DAQ1MG1")</f>
        <v>VN000DAQ1MG1</v>
      </c>
      <c r="B1958" s="12" t="s">
        <v>7428</v>
      </c>
      <c r="C1958" s="12" t="s">
        <v>2817</v>
      </c>
      <c r="D1958" s="12" t="s">
        <v>2818</v>
      </c>
      <c r="E1958" s="12" t="s">
        <v>7429</v>
      </c>
      <c r="F1958" s="13">
        <v>70</v>
      </c>
      <c r="G1958" s="14"/>
      <c r="H1958" s="12" t="s">
        <v>38</v>
      </c>
      <c r="I1958" s="12" t="s">
        <v>113</v>
      </c>
      <c r="J1958" s="12" t="s">
        <v>114</v>
      </c>
      <c r="K1958" s="12" t="s">
        <v>82</v>
      </c>
      <c r="L1958" s="14"/>
      <c r="M1958" s="12" t="s">
        <v>43</v>
      </c>
      <c r="N1958" s="12" t="s">
        <v>84</v>
      </c>
      <c r="O1958" s="12" t="s">
        <v>7430</v>
      </c>
      <c r="P1958" s="12" t="s">
        <v>46</v>
      </c>
      <c r="Q1958" s="12" t="s">
        <v>47</v>
      </c>
      <c r="R1958" s="12" t="s">
        <v>948</v>
      </c>
      <c r="S1958" s="13">
        <v>197804556335</v>
      </c>
      <c r="T1958" s="12" t="s">
        <v>49</v>
      </c>
      <c r="U1958" s="13">
        <v>39</v>
      </c>
      <c r="V1958" s="12" t="s">
        <v>50</v>
      </c>
      <c r="W1958" s="12" t="s">
        <v>455</v>
      </c>
      <c r="X1958" s="14"/>
      <c r="Y1958" s="14"/>
      <c r="Z1958" s="14"/>
      <c r="AA1958" s="14"/>
      <c r="AB1958" s="14"/>
      <c r="AC1958" s="15">
        <v>65.95</v>
      </c>
      <c r="AD1958" s="15">
        <f>AC1958*AG1958</f>
        <v>197.85000000000002</v>
      </c>
      <c r="AE1958" s="15">
        <v>145</v>
      </c>
      <c r="AF1958" s="15">
        <f>AE1958*AG1958</f>
        <v>435</v>
      </c>
      <c r="AG1958" s="16">
        <v>3</v>
      </c>
    </row>
    <row r="1959" spans="1:33" ht="15" customHeight="1" x14ac:dyDescent="0.2">
      <c r="A1959" s="11" t="str">
        <f t="shared" si="462"/>
        <v>VN000DAQTWH1</v>
      </c>
      <c r="B1959" s="12" t="s">
        <v>7431</v>
      </c>
      <c r="C1959" s="12" t="s">
        <v>2817</v>
      </c>
      <c r="D1959" s="12" t="s">
        <v>4401</v>
      </c>
      <c r="E1959" s="12" t="s">
        <v>7432</v>
      </c>
      <c r="F1959" s="13">
        <v>60</v>
      </c>
      <c r="G1959" s="14"/>
      <c r="H1959" s="12" t="s">
        <v>38</v>
      </c>
      <c r="I1959" s="12" t="s">
        <v>113</v>
      </c>
      <c r="J1959" s="12" t="s">
        <v>114</v>
      </c>
      <c r="K1959" s="12" t="s">
        <v>82</v>
      </c>
      <c r="L1959" s="14"/>
      <c r="M1959" s="12" t="s">
        <v>43</v>
      </c>
      <c r="N1959" s="12" t="s">
        <v>84</v>
      </c>
      <c r="O1959" s="12" t="s">
        <v>7433</v>
      </c>
      <c r="P1959" s="12" t="s">
        <v>46</v>
      </c>
      <c r="Q1959" s="12" t="s">
        <v>47</v>
      </c>
      <c r="R1959" s="12" t="s">
        <v>948</v>
      </c>
      <c r="S1959" s="13">
        <v>197804558704</v>
      </c>
      <c r="T1959" s="12" t="s">
        <v>49</v>
      </c>
      <c r="U1959" s="13">
        <v>38</v>
      </c>
      <c r="V1959" s="12" t="s">
        <v>50</v>
      </c>
      <c r="W1959" s="12" t="s">
        <v>186</v>
      </c>
      <c r="X1959" s="14"/>
      <c r="Y1959" s="14"/>
      <c r="Z1959" s="14"/>
      <c r="AA1959" s="14"/>
      <c r="AB1959" s="14"/>
      <c r="AC1959" s="15">
        <v>65.95</v>
      </c>
      <c r="AD1959" s="15">
        <f>AC1959*AG1959</f>
        <v>197.85000000000002</v>
      </c>
      <c r="AE1959" s="15">
        <v>145</v>
      </c>
      <c r="AF1959" s="15">
        <f>AE1959*AG1959</f>
        <v>435</v>
      </c>
      <c r="AG1959" s="16">
        <v>3</v>
      </c>
    </row>
    <row r="1960" spans="1:33" ht="15" customHeight="1" x14ac:dyDescent="0.2">
      <c r="A1960" s="11" t="str">
        <f t="shared" si="641"/>
        <v>VN000DARBKL1</v>
      </c>
      <c r="B1960" s="12" t="s">
        <v>7434</v>
      </c>
      <c r="C1960" s="12" t="s">
        <v>4405</v>
      </c>
      <c r="D1960" s="12" t="s">
        <v>5967</v>
      </c>
      <c r="E1960" s="12" t="s">
        <v>7435</v>
      </c>
      <c r="F1960" s="13">
        <v>60</v>
      </c>
      <c r="G1960" s="14"/>
      <c r="H1960" s="12" t="s">
        <v>38</v>
      </c>
      <c r="I1960" s="12" t="s">
        <v>159</v>
      </c>
      <c r="J1960" s="12" t="s">
        <v>160</v>
      </c>
      <c r="K1960" s="12" t="s">
        <v>82</v>
      </c>
      <c r="L1960" s="14"/>
      <c r="M1960" s="12" t="s">
        <v>43</v>
      </c>
      <c r="N1960" s="12" t="s">
        <v>84</v>
      </c>
      <c r="O1960" s="12" t="s">
        <v>7436</v>
      </c>
      <c r="P1960" s="12" t="s">
        <v>46</v>
      </c>
      <c r="Q1960" s="12" t="s">
        <v>47</v>
      </c>
      <c r="R1960" s="12" t="s">
        <v>1660</v>
      </c>
      <c r="S1960" s="13">
        <v>197804559824</v>
      </c>
      <c r="T1960" s="12" t="s">
        <v>49</v>
      </c>
      <c r="U1960" s="13">
        <v>38</v>
      </c>
      <c r="V1960" s="12" t="s">
        <v>50</v>
      </c>
      <c r="W1960" s="12" t="s">
        <v>186</v>
      </c>
      <c r="X1960" s="14"/>
      <c r="Y1960" s="14"/>
      <c r="Z1960" s="14"/>
      <c r="AA1960" s="14"/>
      <c r="AB1960" s="14"/>
      <c r="AC1960" s="15">
        <v>84.1</v>
      </c>
      <c r="AD1960" s="15">
        <f>AC1960*AG1960</f>
        <v>252.29999999999998</v>
      </c>
      <c r="AE1960" s="15">
        <v>185</v>
      </c>
      <c r="AF1960" s="15">
        <f>AE1960*AG1960</f>
        <v>555</v>
      </c>
      <c r="AG1960" s="16">
        <v>3</v>
      </c>
    </row>
    <row r="1961" spans="1:33" ht="15" customHeight="1" x14ac:dyDescent="0.2">
      <c r="A1961" s="11" t="str">
        <f t="shared" ref="A1961:A2758" si="820">HYPERLINK("https://assets.vans.eu/images/VN000DARC9F-HERO/1","VN000DARC9F1")</f>
        <v>VN000DARC9F1</v>
      </c>
      <c r="B1961" s="12" t="s">
        <v>7437</v>
      </c>
      <c r="C1961" s="12" t="s">
        <v>4405</v>
      </c>
      <c r="D1961" s="12" t="s">
        <v>2056</v>
      </c>
      <c r="E1961" s="12" t="s">
        <v>7438</v>
      </c>
      <c r="F1961" s="13">
        <v>50</v>
      </c>
      <c r="G1961" s="14"/>
      <c r="H1961" s="12" t="s">
        <v>38</v>
      </c>
      <c r="I1961" s="12" t="s">
        <v>113</v>
      </c>
      <c r="J1961" s="12" t="s">
        <v>114</v>
      </c>
      <c r="K1961" s="12" t="s">
        <v>82</v>
      </c>
      <c r="L1961" s="14"/>
      <c r="M1961" s="12" t="s">
        <v>43</v>
      </c>
      <c r="N1961" s="12" t="s">
        <v>84</v>
      </c>
      <c r="O1961" s="12" t="s">
        <v>7439</v>
      </c>
      <c r="P1961" s="12" t="s">
        <v>46</v>
      </c>
      <c r="Q1961" s="12" t="s">
        <v>47</v>
      </c>
      <c r="R1961" s="12" t="s">
        <v>948</v>
      </c>
      <c r="S1961" s="13">
        <v>197804559367</v>
      </c>
      <c r="T1961" s="12" t="s">
        <v>49</v>
      </c>
      <c r="U1961" s="13">
        <v>36.5</v>
      </c>
      <c r="V1961" s="12" t="s">
        <v>50</v>
      </c>
      <c r="W1961" s="12" t="s">
        <v>175</v>
      </c>
      <c r="X1961" s="14"/>
      <c r="Y1961" s="14"/>
      <c r="Z1961" s="14"/>
      <c r="AA1961" s="14"/>
      <c r="AB1961" s="14"/>
      <c r="AC1961" s="15">
        <v>84.1</v>
      </c>
      <c r="AD1961" s="15">
        <f>AC1961*AG1961</f>
        <v>252.29999999999998</v>
      </c>
      <c r="AE1961" s="15">
        <v>185</v>
      </c>
      <c r="AF1961" s="15">
        <f>AE1961*AG1961</f>
        <v>555</v>
      </c>
      <c r="AG1961" s="16">
        <v>3</v>
      </c>
    </row>
    <row r="1962" spans="1:33" ht="15" customHeight="1" x14ac:dyDescent="0.2">
      <c r="A1962" s="11" t="str">
        <f t="shared" si="420"/>
        <v>VN000DAZF881</v>
      </c>
      <c r="B1962" s="12" t="s">
        <v>7440</v>
      </c>
      <c r="C1962" s="12" t="s">
        <v>4001</v>
      </c>
      <c r="D1962" s="12" t="s">
        <v>4002</v>
      </c>
      <c r="E1962" s="12" t="s">
        <v>7441</v>
      </c>
      <c r="F1962" s="13">
        <v>50</v>
      </c>
      <c r="G1962" s="14"/>
      <c r="H1962" s="12" t="s">
        <v>38</v>
      </c>
      <c r="I1962" s="12" t="s">
        <v>159</v>
      </c>
      <c r="J1962" s="12" t="s">
        <v>160</v>
      </c>
      <c r="K1962" s="12" t="s">
        <v>82</v>
      </c>
      <c r="L1962" s="14"/>
      <c r="M1962" s="12" t="s">
        <v>43</v>
      </c>
      <c r="N1962" s="12" t="s">
        <v>84</v>
      </c>
      <c r="O1962" s="12" t="s">
        <v>7442</v>
      </c>
      <c r="P1962" s="12" t="s">
        <v>46</v>
      </c>
      <c r="Q1962" s="12" t="s">
        <v>47</v>
      </c>
      <c r="R1962" s="12" t="s">
        <v>163</v>
      </c>
      <c r="S1962" s="13">
        <v>197804488568</v>
      </c>
      <c r="T1962" s="12" t="s">
        <v>49</v>
      </c>
      <c r="U1962" s="13">
        <v>36.5</v>
      </c>
      <c r="V1962" s="12" t="s">
        <v>50</v>
      </c>
      <c r="W1962" s="12" t="s">
        <v>598</v>
      </c>
      <c r="X1962" s="14"/>
      <c r="Y1962" s="14"/>
      <c r="Z1962" s="14"/>
      <c r="AA1962" s="14"/>
      <c r="AB1962" s="14"/>
      <c r="AC1962" s="15">
        <v>61.4</v>
      </c>
      <c r="AD1962" s="15">
        <f>AC1962*AG1962</f>
        <v>184.2</v>
      </c>
      <c r="AE1962" s="15">
        <v>135</v>
      </c>
      <c r="AF1962" s="15">
        <f>AE1962*AG1962</f>
        <v>405</v>
      </c>
      <c r="AG1962" s="16">
        <v>3</v>
      </c>
    </row>
    <row r="1963" spans="1:33" ht="15" customHeight="1" x14ac:dyDescent="0.2">
      <c r="A1963" s="11" t="str">
        <f t="shared" ref="A1963:A4587" si="821">HYPERLINK("https://assets.vans.eu/images/VN000DB3D3X-HERO/1","VN000DB3D3X1")</f>
        <v>VN000DB3D3X1</v>
      </c>
      <c r="B1963" s="12" t="s">
        <v>7443</v>
      </c>
      <c r="C1963" s="12" t="s">
        <v>34</v>
      </c>
      <c r="D1963" s="12" t="s">
        <v>668</v>
      </c>
      <c r="E1963" s="12" t="s">
        <v>7444</v>
      </c>
      <c r="F1963" s="13">
        <v>65</v>
      </c>
      <c r="G1963" s="14"/>
      <c r="H1963" s="12" t="s">
        <v>38</v>
      </c>
      <c r="I1963" s="12" t="s">
        <v>113</v>
      </c>
      <c r="J1963" s="12" t="s">
        <v>114</v>
      </c>
      <c r="K1963" s="12" t="s">
        <v>82</v>
      </c>
      <c r="L1963" s="14"/>
      <c r="M1963" s="12" t="s">
        <v>43</v>
      </c>
      <c r="N1963" s="12" t="s">
        <v>84</v>
      </c>
      <c r="O1963" s="12" t="s">
        <v>7445</v>
      </c>
      <c r="P1963" s="12" t="s">
        <v>46</v>
      </c>
      <c r="Q1963" s="12" t="s">
        <v>47</v>
      </c>
      <c r="R1963" s="12" t="s">
        <v>117</v>
      </c>
      <c r="S1963" s="13">
        <v>197804561605</v>
      </c>
      <c r="T1963" s="12" t="s">
        <v>49</v>
      </c>
      <c r="U1963" s="13">
        <v>38.5</v>
      </c>
      <c r="V1963" s="12" t="s">
        <v>50</v>
      </c>
      <c r="W1963" s="12" t="s">
        <v>299</v>
      </c>
      <c r="X1963" s="14"/>
      <c r="Y1963" s="14"/>
      <c r="Z1963" s="14"/>
      <c r="AA1963" s="14"/>
      <c r="AB1963" s="14"/>
      <c r="AC1963" s="15">
        <v>40.950000000000003</v>
      </c>
      <c r="AD1963" s="15">
        <f>AC1963*AG1963</f>
        <v>122.85000000000001</v>
      </c>
      <c r="AE1963" s="15">
        <v>90</v>
      </c>
      <c r="AF1963" s="15">
        <f>AE1963*AG1963</f>
        <v>270</v>
      </c>
      <c r="AG1963" s="16">
        <v>3</v>
      </c>
    </row>
    <row r="1964" spans="1:33" ht="15" customHeight="1" x14ac:dyDescent="0.2">
      <c r="A1964" s="11" t="str">
        <f t="shared" si="342"/>
        <v>VN000E7UTC41</v>
      </c>
      <c r="B1964" s="12" t="s">
        <v>7446</v>
      </c>
      <c r="C1964" s="12" t="s">
        <v>1614</v>
      </c>
      <c r="D1964" s="12" t="s">
        <v>3291</v>
      </c>
      <c r="E1964" s="12" t="s">
        <v>7447</v>
      </c>
      <c r="F1964" s="13">
        <v>95</v>
      </c>
      <c r="G1964" s="14"/>
      <c r="H1964" s="12" t="s">
        <v>38</v>
      </c>
      <c r="I1964" s="12" t="s">
        <v>159</v>
      </c>
      <c r="J1964" s="12" t="s">
        <v>255</v>
      </c>
      <c r="K1964" s="12" t="s">
        <v>82</v>
      </c>
      <c r="L1964" s="12" t="s">
        <v>115</v>
      </c>
      <c r="M1964" s="12" t="s">
        <v>43</v>
      </c>
      <c r="N1964" s="12" t="s">
        <v>84</v>
      </c>
      <c r="O1964" s="12" t="s">
        <v>7448</v>
      </c>
      <c r="P1964" s="12" t="s">
        <v>46</v>
      </c>
      <c r="Q1964" s="12" t="s">
        <v>47</v>
      </c>
      <c r="R1964" s="12" t="s">
        <v>163</v>
      </c>
      <c r="S1964" s="13">
        <v>197805904791</v>
      </c>
      <c r="T1964" s="12" t="s">
        <v>49</v>
      </c>
      <c r="U1964" s="13">
        <v>42.5</v>
      </c>
      <c r="V1964" s="12" t="s">
        <v>50</v>
      </c>
      <c r="W1964" s="12" t="s">
        <v>455</v>
      </c>
      <c r="X1964" s="14"/>
      <c r="Y1964" s="14"/>
      <c r="Z1964" s="14"/>
      <c r="AA1964" s="14"/>
      <c r="AB1964" s="14"/>
      <c r="AC1964" s="15">
        <v>52.3</v>
      </c>
      <c r="AD1964" s="15">
        <f>AC1964*AG1964</f>
        <v>156.89999999999998</v>
      </c>
      <c r="AE1964" s="15">
        <v>115</v>
      </c>
      <c r="AF1964" s="15">
        <f>AE1964*AG1964</f>
        <v>345</v>
      </c>
      <c r="AG1964" s="16">
        <v>3</v>
      </c>
    </row>
    <row r="1965" spans="1:33" ht="15" customHeight="1" x14ac:dyDescent="0.2">
      <c r="A1965" s="11" t="str">
        <f t="shared" ref="A1965:A4605" si="822">HYPERLINK("https://assets.vans.eu/images/VN000E897WM-HERO/1","VN000E897WM1")</f>
        <v>VN000E897WM1</v>
      </c>
      <c r="B1965" s="12" t="s">
        <v>7449</v>
      </c>
      <c r="C1965" s="12" t="s">
        <v>3611</v>
      </c>
      <c r="D1965" s="12" t="s">
        <v>388</v>
      </c>
      <c r="E1965" s="12" t="s">
        <v>7450</v>
      </c>
      <c r="F1965" s="13">
        <v>40</v>
      </c>
      <c r="G1965" s="12" t="s">
        <v>2814</v>
      </c>
      <c r="H1965" s="12" t="s">
        <v>38</v>
      </c>
      <c r="I1965" s="12" t="s">
        <v>113</v>
      </c>
      <c r="J1965" s="12" t="s">
        <v>529</v>
      </c>
      <c r="K1965" s="12" t="s">
        <v>82</v>
      </c>
      <c r="L1965" s="12" t="s">
        <v>42</v>
      </c>
      <c r="M1965" s="12" t="s">
        <v>43</v>
      </c>
      <c r="N1965" s="12" t="s">
        <v>84</v>
      </c>
      <c r="O1965" s="12" t="s">
        <v>7451</v>
      </c>
      <c r="P1965" s="12" t="s">
        <v>46</v>
      </c>
      <c r="Q1965" s="12" t="s">
        <v>47</v>
      </c>
      <c r="R1965" s="12" t="s">
        <v>117</v>
      </c>
      <c r="S1965" s="13">
        <v>197805858674</v>
      </c>
      <c r="T1965" s="12" t="s">
        <v>49</v>
      </c>
      <c r="U1965" s="13">
        <v>35</v>
      </c>
      <c r="V1965" s="12" t="s">
        <v>50</v>
      </c>
      <c r="W1965" s="12" t="s">
        <v>284</v>
      </c>
      <c r="X1965" s="14"/>
      <c r="Y1965" s="14"/>
      <c r="Z1965" s="14"/>
      <c r="AA1965" s="14"/>
      <c r="AB1965" s="14"/>
      <c r="AC1965" s="15">
        <v>45.5</v>
      </c>
      <c r="AD1965" s="15">
        <f>AC1965*AG1965</f>
        <v>136.5</v>
      </c>
      <c r="AE1965" s="15">
        <v>100</v>
      </c>
      <c r="AF1965" s="15">
        <f>AE1965*AG1965</f>
        <v>300</v>
      </c>
      <c r="AG1965" s="16">
        <v>3</v>
      </c>
    </row>
    <row r="1966" spans="1:33" ht="15" customHeight="1" x14ac:dyDescent="0.2">
      <c r="A1966" s="11" t="str">
        <f t="shared" si="421"/>
        <v>VN000E89OXS1</v>
      </c>
      <c r="B1966" s="12" t="s">
        <v>7452</v>
      </c>
      <c r="C1966" s="12" t="s">
        <v>3611</v>
      </c>
      <c r="D1966" s="12" t="s">
        <v>4006</v>
      </c>
      <c r="E1966" s="12" t="s">
        <v>7453</v>
      </c>
      <c r="F1966" s="13">
        <v>65</v>
      </c>
      <c r="G1966" s="12" t="s">
        <v>2814</v>
      </c>
      <c r="H1966" s="12" t="s">
        <v>38</v>
      </c>
      <c r="I1966" s="12" t="s">
        <v>113</v>
      </c>
      <c r="J1966" s="12" t="s">
        <v>529</v>
      </c>
      <c r="K1966" s="12" t="s">
        <v>82</v>
      </c>
      <c r="L1966" s="12" t="s">
        <v>42</v>
      </c>
      <c r="M1966" s="12" t="s">
        <v>43</v>
      </c>
      <c r="N1966" s="12" t="s">
        <v>84</v>
      </c>
      <c r="O1966" s="12" t="s">
        <v>7454</v>
      </c>
      <c r="P1966" s="12" t="s">
        <v>46</v>
      </c>
      <c r="Q1966" s="12" t="s">
        <v>47</v>
      </c>
      <c r="R1966" s="12" t="s">
        <v>117</v>
      </c>
      <c r="S1966" s="13">
        <v>198266543802</v>
      </c>
      <c r="T1966" s="12" t="s">
        <v>49</v>
      </c>
      <c r="U1966" s="13">
        <v>38.5</v>
      </c>
      <c r="V1966" s="12" t="s">
        <v>50</v>
      </c>
      <c r="W1966" s="12" t="s">
        <v>175</v>
      </c>
      <c r="X1966" s="14"/>
      <c r="Y1966" s="14"/>
      <c r="Z1966" s="14"/>
      <c r="AA1966" s="14"/>
      <c r="AB1966" s="14"/>
      <c r="AC1966" s="15">
        <v>45.5</v>
      </c>
      <c r="AD1966" s="15">
        <f>AC1966*AG1966</f>
        <v>136.5</v>
      </c>
      <c r="AE1966" s="15">
        <v>100</v>
      </c>
      <c r="AF1966" s="15">
        <f>AE1966*AG1966</f>
        <v>300</v>
      </c>
      <c r="AG1966" s="16">
        <v>3</v>
      </c>
    </row>
    <row r="1967" spans="1:33" ht="15" customHeight="1" x14ac:dyDescent="0.2">
      <c r="A1967" s="11" t="str">
        <f t="shared" si="648"/>
        <v>VN000E89YG41</v>
      </c>
      <c r="B1967" s="12" t="s">
        <v>7455</v>
      </c>
      <c r="C1967" s="12" t="s">
        <v>3611</v>
      </c>
      <c r="D1967" s="12" t="s">
        <v>6002</v>
      </c>
      <c r="E1967" s="12" t="s">
        <v>7456</v>
      </c>
      <c r="F1967" s="13">
        <v>85</v>
      </c>
      <c r="G1967" s="12" t="s">
        <v>2814</v>
      </c>
      <c r="H1967" s="12" t="s">
        <v>38</v>
      </c>
      <c r="I1967" s="12" t="s">
        <v>113</v>
      </c>
      <c r="J1967" s="12" t="s">
        <v>529</v>
      </c>
      <c r="K1967" s="12" t="s">
        <v>82</v>
      </c>
      <c r="L1967" s="12" t="s">
        <v>42</v>
      </c>
      <c r="M1967" s="12" t="s">
        <v>43</v>
      </c>
      <c r="N1967" s="12" t="s">
        <v>84</v>
      </c>
      <c r="O1967" s="12" t="s">
        <v>7457</v>
      </c>
      <c r="P1967" s="12" t="s">
        <v>46</v>
      </c>
      <c r="Q1967" s="12" t="s">
        <v>47</v>
      </c>
      <c r="R1967" s="12" t="s">
        <v>117</v>
      </c>
      <c r="S1967" s="13">
        <v>198266544342</v>
      </c>
      <c r="T1967" s="12" t="s">
        <v>49</v>
      </c>
      <c r="U1967" s="13">
        <v>41</v>
      </c>
      <c r="V1967" s="12" t="s">
        <v>50</v>
      </c>
      <c r="W1967" s="12" t="s">
        <v>51</v>
      </c>
      <c r="X1967" s="14"/>
      <c r="Y1967" s="14"/>
      <c r="Z1967" s="14"/>
      <c r="AA1967" s="14"/>
      <c r="AB1967" s="14"/>
      <c r="AC1967" s="15">
        <v>45.5</v>
      </c>
      <c r="AD1967" s="15">
        <f>AC1967*AG1967</f>
        <v>136.5</v>
      </c>
      <c r="AE1967" s="15">
        <v>100</v>
      </c>
      <c r="AF1967" s="15">
        <f>AE1967*AG1967</f>
        <v>300</v>
      </c>
      <c r="AG1967" s="16">
        <v>3</v>
      </c>
    </row>
    <row r="1968" spans="1:33" ht="15" customHeight="1" x14ac:dyDescent="0.2">
      <c r="A1968" s="11" t="str">
        <f t="shared" ref="A1968:A2784" si="823">HYPERLINK("https://assets.vans.eu/images/VN000E8WIZQ-HERO/1","VN000E8WIZQ1")</f>
        <v>VN000E8WIZQ1</v>
      </c>
      <c r="B1968" s="12" t="s">
        <v>7458</v>
      </c>
      <c r="C1968" s="12" t="s">
        <v>34</v>
      </c>
      <c r="D1968" s="12" t="s">
        <v>4290</v>
      </c>
      <c r="E1968" s="12" t="s">
        <v>7459</v>
      </c>
      <c r="F1968" s="13">
        <v>80</v>
      </c>
      <c r="G1968" s="12" t="s">
        <v>7460</v>
      </c>
      <c r="H1968" s="12" t="s">
        <v>38</v>
      </c>
      <c r="I1968" s="12" t="s">
        <v>113</v>
      </c>
      <c r="J1968" s="12" t="s">
        <v>114</v>
      </c>
      <c r="K1968" s="12" t="s">
        <v>82</v>
      </c>
      <c r="L1968" s="12" t="s">
        <v>42</v>
      </c>
      <c r="M1968" s="12" t="s">
        <v>43</v>
      </c>
      <c r="N1968" s="12" t="s">
        <v>84</v>
      </c>
      <c r="O1968" s="12" t="s">
        <v>7461</v>
      </c>
      <c r="P1968" s="12" t="s">
        <v>46</v>
      </c>
      <c r="Q1968" s="12" t="s">
        <v>47</v>
      </c>
      <c r="R1968" s="12" t="s">
        <v>117</v>
      </c>
      <c r="S1968" s="13">
        <v>198266566351</v>
      </c>
      <c r="T1968" s="12" t="s">
        <v>164</v>
      </c>
      <c r="U1968" s="13">
        <v>40.5</v>
      </c>
      <c r="V1968" s="12" t="s">
        <v>50</v>
      </c>
      <c r="W1968" s="12" t="s">
        <v>262</v>
      </c>
      <c r="X1968" s="14"/>
      <c r="Y1968" s="14"/>
      <c r="Z1968" s="14"/>
      <c r="AA1968" s="14"/>
      <c r="AB1968" s="14"/>
      <c r="AC1968" s="15">
        <v>40.950000000000003</v>
      </c>
      <c r="AD1968" s="15">
        <f>AC1968*AG1968</f>
        <v>122.85000000000001</v>
      </c>
      <c r="AE1968" s="15">
        <v>90</v>
      </c>
      <c r="AF1968" s="15">
        <f>AE1968*AG1968</f>
        <v>270</v>
      </c>
      <c r="AG1968" s="16">
        <v>3</v>
      </c>
    </row>
    <row r="1969" spans="1:33" ht="15" customHeight="1" x14ac:dyDescent="0.2">
      <c r="A1969" s="11" t="str">
        <f t="shared" si="649"/>
        <v>VN000E9RG581</v>
      </c>
      <c r="B1969" s="12" t="s">
        <v>7462</v>
      </c>
      <c r="C1969" s="12" t="s">
        <v>34</v>
      </c>
      <c r="D1969" s="12" t="s">
        <v>2149</v>
      </c>
      <c r="E1969" s="12" t="s">
        <v>7463</v>
      </c>
      <c r="F1969" s="13">
        <v>115</v>
      </c>
      <c r="G1969" s="14"/>
      <c r="H1969" s="12" t="s">
        <v>38</v>
      </c>
      <c r="I1969" s="12" t="s">
        <v>39</v>
      </c>
      <c r="J1969" s="12" t="s">
        <v>40</v>
      </c>
      <c r="K1969" s="12" t="s">
        <v>373</v>
      </c>
      <c r="L1969" s="12" t="s">
        <v>260</v>
      </c>
      <c r="M1969" s="12" t="s">
        <v>43</v>
      </c>
      <c r="N1969" s="12" t="s">
        <v>84</v>
      </c>
      <c r="O1969" s="12" t="s">
        <v>7464</v>
      </c>
      <c r="P1969" s="12" t="s">
        <v>46</v>
      </c>
      <c r="Q1969" s="12" t="s">
        <v>47</v>
      </c>
      <c r="R1969" s="12" t="s">
        <v>48</v>
      </c>
      <c r="S1969" s="13">
        <v>198266176598</v>
      </c>
      <c r="T1969" s="12" t="s">
        <v>164</v>
      </c>
      <c r="U1969" s="13">
        <v>28</v>
      </c>
      <c r="V1969" s="12" t="s">
        <v>50</v>
      </c>
      <c r="W1969" s="12" t="s">
        <v>51</v>
      </c>
      <c r="X1969" s="14"/>
      <c r="Y1969" s="14"/>
      <c r="Z1969" s="14"/>
      <c r="AA1969" s="14"/>
      <c r="AB1969" s="14"/>
      <c r="AC1969" s="15">
        <v>27.3</v>
      </c>
      <c r="AD1969" s="15">
        <f>AC1969*AG1969</f>
        <v>81.900000000000006</v>
      </c>
      <c r="AE1969" s="15">
        <v>60</v>
      </c>
      <c r="AF1969" s="15">
        <f>AE1969*AG1969</f>
        <v>180</v>
      </c>
      <c r="AG1969" s="16">
        <v>3</v>
      </c>
    </row>
    <row r="1970" spans="1:33" ht="15" customHeight="1" x14ac:dyDescent="0.2">
      <c r="A1970" s="11" t="str">
        <f t="shared" ref="A1970:A1971" si="824">HYPERLINK("https://assets.vans.eu/images/VN000E9RZ3R-HERO/1","VN000E9RZ3R1")</f>
        <v>VN000E9RZ3R1</v>
      </c>
      <c r="B1970" s="12" t="s">
        <v>7465</v>
      </c>
      <c r="C1970" s="12" t="s">
        <v>34</v>
      </c>
      <c r="D1970" s="12" t="s">
        <v>2423</v>
      </c>
      <c r="E1970" s="12" t="s">
        <v>7466</v>
      </c>
      <c r="F1970" s="13">
        <v>25</v>
      </c>
      <c r="G1970" s="12" t="s">
        <v>7467</v>
      </c>
      <c r="H1970" s="12" t="s">
        <v>38</v>
      </c>
      <c r="I1970" s="12" t="s">
        <v>39</v>
      </c>
      <c r="J1970" s="12" t="s">
        <v>40</v>
      </c>
      <c r="K1970" s="12" t="s">
        <v>373</v>
      </c>
      <c r="L1970" s="12" t="s">
        <v>260</v>
      </c>
      <c r="M1970" s="12" t="s">
        <v>43</v>
      </c>
      <c r="N1970" s="12" t="s">
        <v>84</v>
      </c>
      <c r="O1970" s="12" t="s">
        <v>7468</v>
      </c>
      <c r="P1970" s="12" t="s">
        <v>46</v>
      </c>
      <c r="Q1970" s="12" t="s">
        <v>47</v>
      </c>
      <c r="R1970" s="12" t="s">
        <v>48</v>
      </c>
      <c r="S1970" s="13">
        <v>197804864881</v>
      </c>
      <c r="T1970" s="12" t="s">
        <v>105</v>
      </c>
      <c r="U1970" s="13">
        <v>33</v>
      </c>
      <c r="V1970" s="12" t="s">
        <v>50</v>
      </c>
      <c r="W1970" s="12" t="s">
        <v>118</v>
      </c>
      <c r="X1970" s="14"/>
      <c r="Y1970" s="14"/>
      <c r="Z1970" s="14"/>
      <c r="AA1970" s="14"/>
      <c r="AB1970" s="14"/>
      <c r="AC1970" s="15">
        <v>27.3</v>
      </c>
      <c r="AD1970" s="15">
        <f>AC1970*AG1970</f>
        <v>81.900000000000006</v>
      </c>
      <c r="AE1970" s="15">
        <v>60</v>
      </c>
      <c r="AF1970" s="15">
        <f>AE1970*AG1970</f>
        <v>180</v>
      </c>
      <c r="AG1970" s="16">
        <v>3</v>
      </c>
    </row>
    <row r="1971" spans="1:33" ht="15" customHeight="1" x14ac:dyDescent="0.2">
      <c r="A1971" s="11" t="str">
        <f t="shared" si="824"/>
        <v>VN000E9RZ3R1</v>
      </c>
      <c r="B1971" s="12" t="s">
        <v>7469</v>
      </c>
      <c r="C1971" s="12" t="s">
        <v>34</v>
      </c>
      <c r="D1971" s="12" t="s">
        <v>2423</v>
      </c>
      <c r="E1971" s="12" t="s">
        <v>7470</v>
      </c>
      <c r="F1971" s="13">
        <v>125</v>
      </c>
      <c r="G1971" s="12" t="s">
        <v>7467</v>
      </c>
      <c r="H1971" s="12" t="s">
        <v>38</v>
      </c>
      <c r="I1971" s="12" t="s">
        <v>39</v>
      </c>
      <c r="J1971" s="12" t="s">
        <v>40</v>
      </c>
      <c r="K1971" s="12" t="s">
        <v>373</v>
      </c>
      <c r="L1971" s="12" t="s">
        <v>260</v>
      </c>
      <c r="M1971" s="12" t="s">
        <v>43</v>
      </c>
      <c r="N1971" s="12" t="s">
        <v>84</v>
      </c>
      <c r="O1971" s="12" t="s">
        <v>7471</v>
      </c>
      <c r="P1971" s="12" t="s">
        <v>46</v>
      </c>
      <c r="Q1971" s="12" t="s">
        <v>47</v>
      </c>
      <c r="R1971" s="12" t="s">
        <v>48</v>
      </c>
      <c r="S1971" s="13">
        <v>197804866113</v>
      </c>
      <c r="T1971" s="12" t="s">
        <v>105</v>
      </c>
      <c r="U1971" s="13">
        <v>30</v>
      </c>
      <c r="V1971" s="12" t="s">
        <v>50</v>
      </c>
      <c r="W1971" s="12" t="s">
        <v>118</v>
      </c>
      <c r="X1971" s="14"/>
      <c r="Y1971" s="14"/>
      <c r="Z1971" s="14"/>
      <c r="AA1971" s="14"/>
      <c r="AB1971" s="14"/>
      <c r="AC1971" s="15">
        <v>27.3</v>
      </c>
      <c r="AD1971" s="15">
        <f>AC1971*AG1971</f>
        <v>81.900000000000006</v>
      </c>
      <c r="AE1971" s="15">
        <v>60</v>
      </c>
      <c r="AF1971" s="15">
        <f>AE1971*AG1971</f>
        <v>180</v>
      </c>
      <c r="AG1971" s="16">
        <v>3</v>
      </c>
    </row>
    <row r="1972" spans="1:33" ht="15" customHeight="1" x14ac:dyDescent="0.2">
      <c r="A1972" s="11" t="str">
        <f>HYPERLINK("https://assets.vans.eu/images/VN000E9YLBR-HERO/1","VN000E9YLBR1")</f>
        <v>VN000E9YLBR1</v>
      </c>
      <c r="B1972" s="12" t="s">
        <v>7472</v>
      </c>
      <c r="C1972" s="12" t="s">
        <v>34</v>
      </c>
      <c r="D1972" s="12" t="s">
        <v>1923</v>
      </c>
      <c r="E1972" s="12" t="s">
        <v>7473</v>
      </c>
      <c r="F1972" s="13">
        <v>50</v>
      </c>
      <c r="G1972" s="14"/>
      <c r="H1972" s="12" t="s">
        <v>38</v>
      </c>
      <c r="I1972" s="12" t="s">
        <v>205</v>
      </c>
      <c r="J1972" s="12" t="s">
        <v>206</v>
      </c>
      <c r="K1972" s="12" t="s">
        <v>207</v>
      </c>
      <c r="L1972" s="12" t="s">
        <v>260</v>
      </c>
      <c r="M1972" s="12" t="s">
        <v>43</v>
      </c>
      <c r="N1972" s="12" t="s">
        <v>84</v>
      </c>
      <c r="O1972" s="12" t="s">
        <v>7474</v>
      </c>
      <c r="P1972" s="12" t="s">
        <v>46</v>
      </c>
      <c r="Q1972" s="12" t="s">
        <v>47</v>
      </c>
      <c r="R1972" s="12" t="s">
        <v>48</v>
      </c>
      <c r="S1972" s="13">
        <v>197804872589</v>
      </c>
      <c r="T1972" s="12" t="s">
        <v>164</v>
      </c>
      <c r="U1972" s="13">
        <v>36.5</v>
      </c>
      <c r="V1972" s="12" t="s">
        <v>50</v>
      </c>
      <c r="W1972" s="12" t="s">
        <v>186</v>
      </c>
      <c r="X1972" s="14"/>
      <c r="Y1972" s="14"/>
      <c r="Z1972" s="14"/>
      <c r="AA1972" s="14"/>
      <c r="AB1972" s="14"/>
      <c r="AC1972" s="15">
        <v>29.55</v>
      </c>
      <c r="AD1972" s="15">
        <f>AC1972*AG1972</f>
        <v>88.65</v>
      </c>
      <c r="AE1972" s="15">
        <v>65</v>
      </c>
      <c r="AF1972" s="15">
        <f>AE1972*AG1972</f>
        <v>195</v>
      </c>
      <c r="AG1972" s="16">
        <v>3</v>
      </c>
    </row>
    <row r="1973" spans="1:33" ht="15" customHeight="1" x14ac:dyDescent="0.2">
      <c r="A1973" s="11" t="str">
        <f t="shared" ref="A1973:A2790" si="825">HYPERLINK("https://assets.vans.eu/images/VN000EB4TAN-HERO/1","VN000EB4TAN1")</f>
        <v>VN000EB4TAN1</v>
      </c>
      <c r="B1973" s="12" t="s">
        <v>7475</v>
      </c>
      <c r="C1973" s="12" t="s">
        <v>6009</v>
      </c>
      <c r="D1973" s="12" t="s">
        <v>7476</v>
      </c>
      <c r="E1973" s="12" t="s">
        <v>7477</v>
      </c>
      <c r="F1973" s="13">
        <v>40</v>
      </c>
      <c r="G1973" s="14"/>
      <c r="H1973" s="12" t="s">
        <v>38</v>
      </c>
      <c r="I1973" s="12" t="s">
        <v>159</v>
      </c>
      <c r="J1973" s="12" t="s">
        <v>160</v>
      </c>
      <c r="K1973" s="12" t="s">
        <v>82</v>
      </c>
      <c r="L1973" s="14"/>
      <c r="M1973" s="12" t="s">
        <v>43</v>
      </c>
      <c r="N1973" s="12" t="s">
        <v>84</v>
      </c>
      <c r="O1973" s="12" t="s">
        <v>7478</v>
      </c>
      <c r="P1973" s="12" t="s">
        <v>46</v>
      </c>
      <c r="Q1973" s="12" t="s">
        <v>47</v>
      </c>
      <c r="R1973" s="12" t="s">
        <v>1660</v>
      </c>
      <c r="S1973" s="13">
        <v>197804564989</v>
      </c>
      <c r="T1973" s="12" t="s">
        <v>49</v>
      </c>
      <c r="U1973" s="13">
        <v>35</v>
      </c>
      <c r="V1973" s="12" t="s">
        <v>50</v>
      </c>
      <c r="W1973" s="12" t="s">
        <v>118</v>
      </c>
      <c r="X1973" s="14"/>
      <c r="Y1973" s="14"/>
      <c r="Z1973" s="14"/>
      <c r="AA1973" s="14"/>
      <c r="AB1973" s="14"/>
      <c r="AC1973" s="15">
        <v>54.55</v>
      </c>
      <c r="AD1973" s="15">
        <f>AC1973*AG1973</f>
        <v>163.64999999999998</v>
      </c>
      <c r="AE1973" s="15">
        <v>120</v>
      </c>
      <c r="AF1973" s="15">
        <f>AE1973*AG1973</f>
        <v>360</v>
      </c>
      <c r="AG1973" s="16">
        <v>3</v>
      </c>
    </row>
    <row r="1974" spans="1:33" ht="15" customHeight="1" x14ac:dyDescent="0.2">
      <c r="A1974" s="11" t="str">
        <f t="shared" si="546"/>
        <v>VN000EDN7D61</v>
      </c>
      <c r="B1974" s="12" t="s">
        <v>7479</v>
      </c>
      <c r="C1974" s="12" t="s">
        <v>996</v>
      </c>
      <c r="D1974" s="12" t="s">
        <v>1231</v>
      </c>
      <c r="E1974" s="12" t="s">
        <v>7480</v>
      </c>
      <c r="F1974" s="13">
        <v>90</v>
      </c>
      <c r="G1974" s="14"/>
      <c r="H1974" s="12" t="s">
        <v>38</v>
      </c>
      <c r="I1974" s="12" t="s">
        <v>159</v>
      </c>
      <c r="J1974" s="12" t="s">
        <v>341</v>
      </c>
      <c r="K1974" s="12" t="s">
        <v>199</v>
      </c>
      <c r="L1974" s="14"/>
      <c r="M1974" s="12" t="s">
        <v>43</v>
      </c>
      <c r="N1974" s="12" t="s">
        <v>84</v>
      </c>
      <c r="O1974" s="12" t="s">
        <v>7481</v>
      </c>
      <c r="P1974" s="12" t="s">
        <v>46</v>
      </c>
      <c r="Q1974" s="12" t="s">
        <v>47</v>
      </c>
      <c r="R1974" s="12" t="s">
        <v>163</v>
      </c>
      <c r="S1974" s="13">
        <v>197804567041</v>
      </c>
      <c r="T1974" s="12" t="s">
        <v>49</v>
      </c>
      <c r="U1974" s="13">
        <v>42</v>
      </c>
      <c r="V1974" s="12" t="s">
        <v>50</v>
      </c>
      <c r="W1974" s="12" t="s">
        <v>186</v>
      </c>
      <c r="X1974" s="14"/>
      <c r="Y1974" s="14"/>
      <c r="Z1974" s="14"/>
      <c r="AA1974" s="14"/>
      <c r="AB1974" s="14"/>
      <c r="AC1974" s="15">
        <v>38.65</v>
      </c>
      <c r="AD1974" s="15">
        <f>AC1974*AG1974</f>
        <v>115.94999999999999</v>
      </c>
      <c r="AE1974" s="15">
        <v>85</v>
      </c>
      <c r="AF1974" s="15">
        <f>AE1974*AG1974</f>
        <v>255</v>
      </c>
      <c r="AG1974" s="16">
        <v>3</v>
      </c>
    </row>
    <row r="1975" spans="1:33" ht="15" customHeight="1" x14ac:dyDescent="0.2">
      <c r="A1975" s="11" t="str">
        <f t="shared" ref="A1975:A1976" si="826">HYPERLINK("https://assets.vans.eu/images/VN000EDN9X1-HERO/1","VN000EDN9X11")</f>
        <v>VN000EDN9X11</v>
      </c>
      <c r="B1975" s="12" t="s">
        <v>7482</v>
      </c>
      <c r="C1975" s="12" t="s">
        <v>996</v>
      </c>
      <c r="D1975" s="12" t="s">
        <v>4428</v>
      </c>
      <c r="E1975" s="12" t="s">
        <v>7483</v>
      </c>
      <c r="F1975" s="13">
        <v>85</v>
      </c>
      <c r="G1975" s="12" t="s">
        <v>4430</v>
      </c>
      <c r="H1975" s="12" t="s">
        <v>38</v>
      </c>
      <c r="I1975" s="12" t="s">
        <v>159</v>
      </c>
      <c r="J1975" s="12" t="s">
        <v>341</v>
      </c>
      <c r="K1975" s="12" t="s">
        <v>199</v>
      </c>
      <c r="L1975" s="14"/>
      <c r="M1975" s="12" t="s">
        <v>43</v>
      </c>
      <c r="N1975" s="12" t="s">
        <v>84</v>
      </c>
      <c r="O1975" s="12" t="s">
        <v>7484</v>
      </c>
      <c r="P1975" s="12" t="s">
        <v>46</v>
      </c>
      <c r="Q1975" s="12" t="s">
        <v>47</v>
      </c>
      <c r="R1975" s="12" t="s">
        <v>163</v>
      </c>
      <c r="S1975" s="13">
        <v>197804566983</v>
      </c>
      <c r="T1975" s="12" t="s">
        <v>49</v>
      </c>
      <c r="U1975" s="13">
        <v>41</v>
      </c>
      <c r="V1975" s="12" t="s">
        <v>50</v>
      </c>
      <c r="W1975" s="12" t="s">
        <v>51</v>
      </c>
      <c r="X1975" s="14"/>
      <c r="Y1975" s="14"/>
      <c r="Z1975" s="14"/>
      <c r="AA1975" s="14"/>
      <c r="AB1975" s="14"/>
      <c r="AC1975" s="15">
        <v>38.65</v>
      </c>
      <c r="AD1975" s="15">
        <f>AC1975*AG1975</f>
        <v>115.94999999999999</v>
      </c>
      <c r="AE1975" s="15">
        <v>85</v>
      </c>
      <c r="AF1975" s="15">
        <f>AE1975*AG1975</f>
        <v>255</v>
      </c>
      <c r="AG1975" s="16">
        <v>3</v>
      </c>
    </row>
    <row r="1976" spans="1:33" ht="15" customHeight="1" x14ac:dyDescent="0.2">
      <c r="A1976" s="11" t="str">
        <f t="shared" si="826"/>
        <v>VN000EDN9X11</v>
      </c>
      <c r="B1976" s="12" t="s">
        <v>7485</v>
      </c>
      <c r="C1976" s="12" t="s">
        <v>996</v>
      </c>
      <c r="D1976" s="12" t="s">
        <v>4428</v>
      </c>
      <c r="E1976" s="12" t="s">
        <v>7486</v>
      </c>
      <c r="F1976" s="13">
        <v>120</v>
      </c>
      <c r="G1976" s="12" t="s">
        <v>4430</v>
      </c>
      <c r="H1976" s="12" t="s">
        <v>38</v>
      </c>
      <c r="I1976" s="12" t="s">
        <v>159</v>
      </c>
      <c r="J1976" s="12" t="s">
        <v>341</v>
      </c>
      <c r="K1976" s="12" t="s">
        <v>199</v>
      </c>
      <c r="L1976" s="14"/>
      <c r="M1976" s="12" t="s">
        <v>43</v>
      </c>
      <c r="N1976" s="12" t="s">
        <v>84</v>
      </c>
      <c r="O1976" s="12" t="s">
        <v>7487</v>
      </c>
      <c r="P1976" s="12" t="s">
        <v>46</v>
      </c>
      <c r="Q1976" s="12" t="s">
        <v>47</v>
      </c>
      <c r="R1976" s="12" t="s">
        <v>163</v>
      </c>
      <c r="S1976" s="13">
        <v>197804567652</v>
      </c>
      <c r="T1976" s="12" t="s">
        <v>49</v>
      </c>
      <c r="U1976" s="13">
        <v>46</v>
      </c>
      <c r="V1976" s="12" t="s">
        <v>50</v>
      </c>
      <c r="W1976" s="12" t="s">
        <v>51</v>
      </c>
      <c r="X1976" s="14"/>
      <c r="Y1976" s="14"/>
      <c r="Z1976" s="14"/>
      <c r="AA1976" s="14"/>
      <c r="AB1976" s="14"/>
      <c r="AC1976" s="15">
        <v>38.65</v>
      </c>
      <c r="AD1976" s="15">
        <f>AC1976*AG1976</f>
        <v>115.94999999999999</v>
      </c>
      <c r="AE1976" s="15">
        <v>85</v>
      </c>
      <c r="AF1976" s="15">
        <f>AE1976*AG1976</f>
        <v>255</v>
      </c>
      <c r="AG1976" s="16">
        <v>3</v>
      </c>
    </row>
    <row r="1977" spans="1:33" ht="15" customHeight="1" x14ac:dyDescent="0.2">
      <c r="A1977" s="11" t="str">
        <f>HYPERLINK("https://assets.vans.eu/images/VN000EDNAH9-HERO/1","VN000EDNAH91")</f>
        <v>VN000EDNAH91</v>
      </c>
      <c r="B1977" s="12" t="s">
        <v>7488</v>
      </c>
      <c r="C1977" s="12" t="s">
        <v>996</v>
      </c>
      <c r="D1977" s="12" t="s">
        <v>3633</v>
      </c>
      <c r="E1977" s="12" t="s">
        <v>7489</v>
      </c>
      <c r="F1977" s="13">
        <v>95</v>
      </c>
      <c r="G1977" s="14"/>
      <c r="H1977" s="12" t="s">
        <v>38</v>
      </c>
      <c r="I1977" s="12" t="s">
        <v>159</v>
      </c>
      <c r="J1977" s="12" t="s">
        <v>341</v>
      </c>
      <c r="K1977" s="12" t="s">
        <v>199</v>
      </c>
      <c r="L1977" s="14"/>
      <c r="M1977" s="12" t="s">
        <v>43</v>
      </c>
      <c r="N1977" s="12" t="s">
        <v>84</v>
      </c>
      <c r="O1977" s="12" t="s">
        <v>7490</v>
      </c>
      <c r="P1977" s="12" t="s">
        <v>46</v>
      </c>
      <c r="Q1977" s="12" t="s">
        <v>47</v>
      </c>
      <c r="R1977" s="12" t="s">
        <v>163</v>
      </c>
      <c r="S1977" s="13">
        <v>197804567638</v>
      </c>
      <c r="T1977" s="12" t="s">
        <v>49</v>
      </c>
      <c r="U1977" s="13">
        <v>42.5</v>
      </c>
      <c r="V1977" s="12" t="s">
        <v>50</v>
      </c>
      <c r="W1977" s="12" t="s">
        <v>118</v>
      </c>
      <c r="X1977" s="14"/>
      <c r="Y1977" s="14"/>
      <c r="Z1977" s="14"/>
      <c r="AA1977" s="14"/>
      <c r="AB1977" s="14"/>
      <c r="AC1977" s="15">
        <v>38.65</v>
      </c>
      <c r="AD1977" s="15">
        <f>AC1977*AG1977</f>
        <v>115.94999999999999</v>
      </c>
      <c r="AE1977" s="15">
        <v>85</v>
      </c>
      <c r="AF1977" s="15">
        <f>AE1977*AG1977</f>
        <v>255</v>
      </c>
      <c r="AG1977" s="16">
        <v>3</v>
      </c>
    </row>
    <row r="1978" spans="1:33" ht="15" customHeight="1" x14ac:dyDescent="0.2">
      <c r="A1978" s="11" t="str">
        <f>HYPERLINK("https://assets.vans.eu/images/VN000EF37VF-HERO/1","VN000EF37VF1")</f>
        <v>VN000EF37VF1</v>
      </c>
      <c r="B1978" s="12" t="s">
        <v>7491</v>
      </c>
      <c r="C1978" s="12" t="s">
        <v>3311</v>
      </c>
      <c r="D1978" s="12" t="s">
        <v>641</v>
      </c>
      <c r="E1978" s="12" t="s">
        <v>7492</v>
      </c>
      <c r="F1978" s="13">
        <v>60</v>
      </c>
      <c r="G1978" s="12" t="s">
        <v>7493</v>
      </c>
      <c r="H1978" s="12" t="s">
        <v>38</v>
      </c>
      <c r="I1978" s="12" t="s">
        <v>113</v>
      </c>
      <c r="J1978" s="12" t="s">
        <v>114</v>
      </c>
      <c r="K1978" s="12" t="s">
        <v>82</v>
      </c>
      <c r="L1978" s="14"/>
      <c r="M1978" s="12" t="s">
        <v>43</v>
      </c>
      <c r="N1978" s="12" t="s">
        <v>84</v>
      </c>
      <c r="O1978" s="12" t="s">
        <v>7494</v>
      </c>
      <c r="P1978" s="12" t="s">
        <v>46</v>
      </c>
      <c r="Q1978" s="12" t="s">
        <v>47</v>
      </c>
      <c r="R1978" s="12" t="s">
        <v>117</v>
      </c>
      <c r="S1978" s="13">
        <v>197804930708</v>
      </c>
      <c r="T1978" s="12" t="s">
        <v>49</v>
      </c>
      <c r="U1978" s="13">
        <v>38</v>
      </c>
      <c r="V1978" s="12" t="s">
        <v>209</v>
      </c>
      <c r="W1978" s="12" t="s">
        <v>455</v>
      </c>
      <c r="X1978" s="14"/>
      <c r="Y1978" s="14"/>
      <c r="Z1978" s="14"/>
      <c r="AA1978" s="14"/>
      <c r="AB1978" s="14"/>
      <c r="AC1978" s="15">
        <v>43.2</v>
      </c>
      <c r="AD1978" s="15">
        <f>AC1978*AG1978</f>
        <v>129.60000000000002</v>
      </c>
      <c r="AE1978" s="15">
        <v>95</v>
      </c>
      <c r="AF1978" s="15">
        <f>AE1978*AG1978</f>
        <v>285</v>
      </c>
      <c r="AG1978" s="16">
        <v>3</v>
      </c>
    </row>
    <row r="1979" spans="1:33" ht="15" customHeight="1" x14ac:dyDescent="0.2">
      <c r="A1979" s="11" t="str">
        <f t="shared" ref="A1979:A2812" si="827">HYPERLINK("https://assets.vans.eu/images/VN000EG59X1-HERO/1","VN000EG59X11")</f>
        <v>VN000EG59X11</v>
      </c>
      <c r="B1979" s="12" t="s">
        <v>7495</v>
      </c>
      <c r="C1979" s="12" t="s">
        <v>4427</v>
      </c>
      <c r="D1979" s="12" t="s">
        <v>4428</v>
      </c>
      <c r="E1979" s="12" t="s">
        <v>7496</v>
      </c>
      <c r="F1979" s="13">
        <v>100</v>
      </c>
      <c r="G1979" s="12" t="s">
        <v>4430</v>
      </c>
      <c r="H1979" s="12" t="s">
        <v>38</v>
      </c>
      <c r="I1979" s="12" t="s">
        <v>159</v>
      </c>
      <c r="J1979" s="12" t="s">
        <v>341</v>
      </c>
      <c r="K1979" s="12" t="s">
        <v>199</v>
      </c>
      <c r="L1979" s="14"/>
      <c r="M1979" s="12" t="s">
        <v>43</v>
      </c>
      <c r="N1979" s="12" t="s">
        <v>84</v>
      </c>
      <c r="O1979" s="12" t="s">
        <v>7497</v>
      </c>
      <c r="P1979" s="12" t="s">
        <v>46</v>
      </c>
      <c r="Q1979" s="12" t="s">
        <v>47</v>
      </c>
      <c r="R1979" s="12" t="s">
        <v>163</v>
      </c>
      <c r="S1979" s="13">
        <v>197804571086</v>
      </c>
      <c r="T1979" s="12" t="s">
        <v>49</v>
      </c>
      <c r="U1979" s="13">
        <v>43</v>
      </c>
      <c r="V1979" s="12" t="s">
        <v>209</v>
      </c>
      <c r="W1979" s="12" t="s">
        <v>51</v>
      </c>
      <c r="X1979" s="14"/>
      <c r="Y1979" s="14"/>
      <c r="Z1979" s="14"/>
      <c r="AA1979" s="14"/>
      <c r="AB1979" s="14"/>
      <c r="AC1979" s="15">
        <v>36.4</v>
      </c>
      <c r="AD1979" s="15">
        <f>AC1979*AG1979</f>
        <v>109.19999999999999</v>
      </c>
      <c r="AE1979" s="15">
        <v>80</v>
      </c>
      <c r="AF1979" s="15">
        <f>AE1979*AG1979</f>
        <v>240</v>
      </c>
      <c r="AG1979" s="16">
        <v>3</v>
      </c>
    </row>
    <row r="1980" spans="1:33" ht="15" customHeight="1" x14ac:dyDescent="0.2">
      <c r="A1980" s="11" t="str">
        <f t="shared" ref="A1980:A4680" si="828">HYPERLINK("https://assets.vans.eu/images/VN000V25B5T-HERO/1","VN000V25B5T1")</f>
        <v>VN000V25B5T1</v>
      </c>
      <c r="B1980" s="12" t="s">
        <v>7498</v>
      </c>
      <c r="C1980" s="12" t="s">
        <v>34</v>
      </c>
      <c r="D1980" s="12" t="s">
        <v>4019</v>
      </c>
      <c r="E1980" s="12" t="s">
        <v>7499</v>
      </c>
      <c r="F1980" s="13">
        <v>35</v>
      </c>
      <c r="G1980" s="12" t="s">
        <v>578</v>
      </c>
      <c r="H1980" s="12" t="s">
        <v>38</v>
      </c>
      <c r="I1980" s="12" t="s">
        <v>113</v>
      </c>
      <c r="J1980" s="12" t="s">
        <v>114</v>
      </c>
      <c r="K1980" s="12" t="s">
        <v>82</v>
      </c>
      <c r="L1980" s="14"/>
      <c r="M1980" s="12" t="s">
        <v>43</v>
      </c>
      <c r="N1980" s="12" t="s">
        <v>84</v>
      </c>
      <c r="O1980" s="12" t="s">
        <v>7500</v>
      </c>
      <c r="P1980" s="12" t="s">
        <v>46</v>
      </c>
      <c r="Q1980" s="12" t="s">
        <v>47</v>
      </c>
      <c r="R1980" s="12" t="s">
        <v>117</v>
      </c>
      <c r="S1980" s="13">
        <v>198266307886</v>
      </c>
      <c r="T1980" s="12" t="s">
        <v>49</v>
      </c>
      <c r="U1980" s="13">
        <v>34.5</v>
      </c>
      <c r="V1980" s="12" t="s">
        <v>50</v>
      </c>
      <c r="W1980" s="12" t="s">
        <v>51</v>
      </c>
      <c r="X1980" s="14"/>
      <c r="Y1980" s="14"/>
      <c r="Z1980" s="14"/>
      <c r="AA1980" s="14"/>
      <c r="AB1980" s="14"/>
      <c r="AC1980" s="15">
        <v>45.5</v>
      </c>
      <c r="AD1980" s="15">
        <f>AC1980*AG1980</f>
        <v>136.5</v>
      </c>
      <c r="AE1980" s="15">
        <v>100</v>
      </c>
      <c r="AF1980" s="15">
        <f>AE1980*AG1980</f>
        <v>300</v>
      </c>
      <c r="AG1980" s="16">
        <v>3</v>
      </c>
    </row>
    <row r="1981" spans="1:33" ht="15" customHeight="1" x14ac:dyDescent="0.2">
      <c r="A1981" s="11" t="str">
        <f t="shared" ref="A1981:A4682" si="829">HYPERLINK("https://assets.vans.eu/images/VN000V68Y61-HERO/1","VN000V68Y611")</f>
        <v>VN000V68Y611</v>
      </c>
      <c r="B1981" s="12" t="s">
        <v>7501</v>
      </c>
      <c r="C1981" s="12" t="s">
        <v>309</v>
      </c>
      <c r="D1981" s="12" t="s">
        <v>310</v>
      </c>
      <c r="E1981" s="12" t="s">
        <v>7502</v>
      </c>
      <c r="F1981" s="13">
        <v>50</v>
      </c>
      <c r="G1981" s="14"/>
      <c r="H1981" s="12" t="s">
        <v>38</v>
      </c>
      <c r="I1981" s="12" t="s">
        <v>205</v>
      </c>
      <c r="J1981" s="12" t="s">
        <v>206</v>
      </c>
      <c r="K1981" s="12" t="s">
        <v>207</v>
      </c>
      <c r="L1981" s="12" t="s">
        <v>42</v>
      </c>
      <c r="M1981" s="12" t="s">
        <v>43</v>
      </c>
      <c r="N1981" s="12" t="s">
        <v>84</v>
      </c>
      <c r="O1981" s="12" t="s">
        <v>7503</v>
      </c>
      <c r="P1981" s="12" t="s">
        <v>46</v>
      </c>
      <c r="Q1981" s="12" t="s">
        <v>47</v>
      </c>
      <c r="R1981" s="12" t="s">
        <v>313</v>
      </c>
      <c r="S1981" s="13">
        <v>198270303577</v>
      </c>
      <c r="T1981" s="12" t="s">
        <v>49</v>
      </c>
      <c r="U1981" s="13">
        <v>36.5</v>
      </c>
      <c r="V1981" s="12" t="s">
        <v>209</v>
      </c>
      <c r="W1981" s="12" t="s">
        <v>51</v>
      </c>
      <c r="X1981" s="14"/>
      <c r="Y1981" s="14"/>
      <c r="Z1981" s="14"/>
      <c r="AA1981" s="14"/>
      <c r="AB1981" s="14"/>
      <c r="AC1981" s="15">
        <v>38.65</v>
      </c>
      <c r="AD1981" s="15">
        <f>AC1981*AG1981</f>
        <v>115.94999999999999</v>
      </c>
      <c r="AE1981" s="15">
        <v>85</v>
      </c>
      <c r="AF1981" s="15">
        <f>AE1981*AG1981</f>
        <v>255</v>
      </c>
      <c r="AG1981" s="16">
        <v>3</v>
      </c>
    </row>
    <row r="1982" spans="1:33" ht="15" customHeight="1" x14ac:dyDescent="0.2">
      <c r="A1982" s="11" t="str">
        <f>HYPERLINK("https://assets.vans.eu/images/VN000V8EGUG-HERO/1","VN000V8EGUG1")</f>
        <v>VN000V8EGUG1</v>
      </c>
      <c r="B1982" s="12" t="s">
        <v>7504</v>
      </c>
      <c r="C1982" s="12" t="s">
        <v>2435</v>
      </c>
      <c r="D1982" s="12" t="s">
        <v>7505</v>
      </c>
      <c r="E1982" s="12" t="s">
        <v>7506</v>
      </c>
      <c r="F1982" s="13">
        <v>95</v>
      </c>
      <c r="G1982" s="12" t="s">
        <v>2814</v>
      </c>
      <c r="H1982" s="12" t="s">
        <v>38</v>
      </c>
      <c r="I1982" s="12" t="s">
        <v>113</v>
      </c>
      <c r="J1982" s="12" t="s">
        <v>114</v>
      </c>
      <c r="K1982" s="12" t="s">
        <v>82</v>
      </c>
      <c r="L1982" s="12" t="s">
        <v>42</v>
      </c>
      <c r="M1982" s="12" t="s">
        <v>43</v>
      </c>
      <c r="N1982" s="12" t="s">
        <v>84</v>
      </c>
      <c r="O1982" s="12" t="s">
        <v>7507</v>
      </c>
      <c r="P1982" s="12" t="s">
        <v>46</v>
      </c>
      <c r="Q1982" s="12" t="s">
        <v>47</v>
      </c>
      <c r="R1982" s="12" t="s">
        <v>117</v>
      </c>
      <c r="S1982" s="13">
        <v>198266184784</v>
      </c>
      <c r="T1982" s="12" t="s">
        <v>49</v>
      </c>
      <c r="U1982" s="13">
        <v>42.5</v>
      </c>
      <c r="V1982" s="12" t="s">
        <v>50</v>
      </c>
      <c r="W1982" s="12" t="s">
        <v>580</v>
      </c>
      <c r="X1982" s="14"/>
      <c r="Y1982" s="14"/>
      <c r="Z1982" s="14"/>
      <c r="AA1982" s="14"/>
      <c r="AB1982" s="14"/>
      <c r="AC1982" s="15">
        <v>50</v>
      </c>
      <c r="AD1982" s="15">
        <f>AC1982*AG1982</f>
        <v>150</v>
      </c>
      <c r="AE1982" s="15">
        <v>110</v>
      </c>
      <c r="AF1982" s="15">
        <f>AE1982*AG1982</f>
        <v>330</v>
      </c>
      <c r="AG1982" s="16">
        <v>3</v>
      </c>
    </row>
    <row r="1983" spans="1:33" ht="15" customHeight="1" x14ac:dyDescent="0.2">
      <c r="A1983" s="11" t="str">
        <f>HYPERLINK("https://assets.vans.eu/images/VN000VB4CJK-HERO/1","VN000VB4CJK1")</f>
        <v>VN000VB4CJK1</v>
      </c>
      <c r="B1983" s="12" t="s">
        <v>7508</v>
      </c>
      <c r="C1983" s="12" t="s">
        <v>110</v>
      </c>
      <c r="D1983" s="12" t="s">
        <v>919</v>
      </c>
      <c r="E1983" s="12" t="s">
        <v>7509</v>
      </c>
      <c r="F1983" s="13">
        <v>135</v>
      </c>
      <c r="G1983" s="12" t="s">
        <v>643</v>
      </c>
      <c r="H1983" s="12" t="s">
        <v>38</v>
      </c>
      <c r="I1983" s="12" t="s">
        <v>39</v>
      </c>
      <c r="J1983" s="12" t="s">
        <v>40</v>
      </c>
      <c r="K1983" s="12" t="s">
        <v>41</v>
      </c>
      <c r="L1983" s="14"/>
      <c r="M1983" s="12" t="s">
        <v>43</v>
      </c>
      <c r="N1983" s="12" t="s">
        <v>84</v>
      </c>
      <c r="O1983" s="12" t="s">
        <v>7510</v>
      </c>
      <c r="P1983" s="12" t="s">
        <v>46</v>
      </c>
      <c r="Q1983" s="12" t="s">
        <v>47</v>
      </c>
      <c r="R1983" s="12" t="s">
        <v>48</v>
      </c>
      <c r="S1983" s="13">
        <v>198266574264</v>
      </c>
      <c r="T1983" s="12" t="s">
        <v>105</v>
      </c>
      <c r="U1983" s="13">
        <v>31</v>
      </c>
      <c r="V1983" s="12" t="s">
        <v>278</v>
      </c>
      <c r="W1983" s="12" t="s">
        <v>51</v>
      </c>
      <c r="X1983" s="14"/>
      <c r="Y1983" s="14"/>
      <c r="Z1983" s="14"/>
      <c r="AA1983" s="14"/>
      <c r="AB1983" s="14"/>
      <c r="AC1983" s="15">
        <v>34.1</v>
      </c>
      <c r="AD1983" s="15">
        <f>AC1983*AG1983</f>
        <v>102.30000000000001</v>
      </c>
      <c r="AE1983" s="15">
        <v>75</v>
      </c>
      <c r="AF1983" s="15">
        <f>AE1983*AG1983</f>
        <v>225</v>
      </c>
      <c r="AG1983" s="16">
        <v>3</v>
      </c>
    </row>
    <row r="1984" spans="1:33" ht="15" customHeight="1" x14ac:dyDescent="0.2">
      <c r="A1984" s="11" t="str">
        <f t="shared" si="653"/>
        <v>VN000VO44K11</v>
      </c>
      <c r="B1984" s="12" t="s">
        <v>7511</v>
      </c>
      <c r="C1984" s="12" t="s">
        <v>5098</v>
      </c>
      <c r="D1984" s="12" t="s">
        <v>5099</v>
      </c>
      <c r="E1984" s="12" t="s">
        <v>7512</v>
      </c>
      <c r="F1984" s="13">
        <v>15</v>
      </c>
      <c r="G1984" s="12" t="s">
        <v>372</v>
      </c>
      <c r="H1984" s="12" t="s">
        <v>38</v>
      </c>
      <c r="I1984" s="12" t="s">
        <v>39</v>
      </c>
      <c r="J1984" s="12" t="s">
        <v>2430</v>
      </c>
      <c r="K1984" s="12" t="s">
        <v>373</v>
      </c>
      <c r="L1984" s="12" t="s">
        <v>350</v>
      </c>
      <c r="M1984" s="12" t="s">
        <v>43</v>
      </c>
      <c r="N1984" s="12" t="s">
        <v>84</v>
      </c>
      <c r="O1984" s="12" t="s">
        <v>7513</v>
      </c>
      <c r="P1984" s="12" t="s">
        <v>46</v>
      </c>
      <c r="Q1984" s="12" t="s">
        <v>47</v>
      </c>
      <c r="R1984" s="12" t="s">
        <v>48</v>
      </c>
      <c r="S1984" s="13">
        <v>885928318655</v>
      </c>
      <c r="T1984" s="12" t="s">
        <v>105</v>
      </c>
      <c r="U1984" s="13">
        <v>32</v>
      </c>
      <c r="V1984" s="12" t="s">
        <v>209</v>
      </c>
      <c r="W1984" s="12" t="s">
        <v>284</v>
      </c>
      <c r="X1984" s="14"/>
      <c r="Y1984" s="12" t="s">
        <v>71</v>
      </c>
      <c r="Z1984" s="12" t="s">
        <v>92</v>
      </c>
      <c r="AA1984" s="12" t="s">
        <v>354</v>
      </c>
      <c r="AB1984" s="12" t="s">
        <v>888</v>
      </c>
      <c r="AC1984" s="15">
        <v>21.45</v>
      </c>
      <c r="AD1984" s="15">
        <f>AC1984*AG1984</f>
        <v>64.349999999999994</v>
      </c>
      <c r="AE1984" s="15">
        <v>45</v>
      </c>
      <c r="AF1984" s="15">
        <f>AE1984*AG1984</f>
        <v>135</v>
      </c>
      <c r="AG1984" s="16">
        <v>3</v>
      </c>
    </row>
    <row r="1985" spans="1:33" ht="15" customHeight="1" x14ac:dyDescent="0.2">
      <c r="A1985" s="11" t="str">
        <f t="shared" ref="A1985:A2820" si="830">HYPERLINK("https://assets.vans.eu/images/VN000VO44K1-HERO/1","VN000VO44K11")</f>
        <v>VN000VO44K11</v>
      </c>
      <c r="B1985" s="12" t="s">
        <v>7514</v>
      </c>
      <c r="C1985" s="12" t="s">
        <v>5098</v>
      </c>
      <c r="D1985" s="12" t="s">
        <v>5099</v>
      </c>
      <c r="E1985" s="12" t="s">
        <v>7515</v>
      </c>
      <c r="F1985" s="13">
        <v>135</v>
      </c>
      <c r="G1985" s="12" t="s">
        <v>372</v>
      </c>
      <c r="H1985" s="12" t="s">
        <v>38</v>
      </c>
      <c r="I1985" s="12" t="s">
        <v>39</v>
      </c>
      <c r="J1985" s="12" t="s">
        <v>2430</v>
      </c>
      <c r="K1985" s="12" t="s">
        <v>373</v>
      </c>
      <c r="L1985" s="12" t="s">
        <v>350</v>
      </c>
      <c r="M1985" s="12" t="s">
        <v>43</v>
      </c>
      <c r="N1985" s="12" t="s">
        <v>84</v>
      </c>
      <c r="O1985" s="12" t="s">
        <v>7516</v>
      </c>
      <c r="P1985" s="12" t="s">
        <v>46</v>
      </c>
      <c r="Q1985" s="12" t="s">
        <v>47</v>
      </c>
      <c r="R1985" s="12" t="s">
        <v>48</v>
      </c>
      <c r="S1985" s="13">
        <v>885928318471</v>
      </c>
      <c r="T1985" s="12" t="s">
        <v>105</v>
      </c>
      <c r="U1985" s="13">
        <v>31</v>
      </c>
      <c r="V1985" s="12" t="s">
        <v>209</v>
      </c>
      <c r="W1985" s="12" t="s">
        <v>284</v>
      </c>
      <c r="X1985" s="14"/>
      <c r="Y1985" s="12" t="s">
        <v>71</v>
      </c>
      <c r="Z1985" s="12" t="s">
        <v>92</v>
      </c>
      <c r="AA1985" s="12" t="s">
        <v>354</v>
      </c>
      <c r="AB1985" s="12" t="s">
        <v>888</v>
      </c>
      <c r="AC1985" s="15">
        <v>21.45</v>
      </c>
      <c r="AD1985" s="15">
        <f>AC1985*AG1985</f>
        <v>64.349999999999994</v>
      </c>
      <c r="AE1985" s="15">
        <v>45</v>
      </c>
      <c r="AF1985" s="15">
        <f>AE1985*AG1985</f>
        <v>135</v>
      </c>
      <c r="AG1985" s="16">
        <v>3</v>
      </c>
    </row>
    <row r="1986" spans="1:33" ht="15" customHeight="1" x14ac:dyDescent="0.2">
      <c r="A1986" s="11" t="str">
        <f t="shared" ref="A1986:A1987" si="831">HYPERLINK("https://assets.vans.eu/images/VN000VOB4WV-HERO/1","VN000VOB4WV1")</f>
        <v>VN000VOB4WV1</v>
      </c>
      <c r="B1986" s="12" t="s">
        <v>7517</v>
      </c>
      <c r="C1986" s="12" t="s">
        <v>5098</v>
      </c>
      <c r="D1986" s="12" t="s">
        <v>7518</v>
      </c>
      <c r="E1986" s="12" t="s">
        <v>7519</v>
      </c>
      <c r="F1986" s="13">
        <v>70</v>
      </c>
      <c r="G1986" s="12" t="s">
        <v>372</v>
      </c>
      <c r="H1986" s="12" t="s">
        <v>38</v>
      </c>
      <c r="I1986" s="12" t="s">
        <v>159</v>
      </c>
      <c r="J1986" s="12" t="s">
        <v>255</v>
      </c>
      <c r="K1986" s="12" t="s">
        <v>199</v>
      </c>
      <c r="L1986" s="12" t="s">
        <v>350</v>
      </c>
      <c r="M1986" s="12" t="s">
        <v>43</v>
      </c>
      <c r="N1986" s="12" t="s">
        <v>84</v>
      </c>
      <c r="O1986" s="12" t="s">
        <v>7520</v>
      </c>
      <c r="P1986" s="12" t="s">
        <v>46</v>
      </c>
      <c r="Q1986" s="12" t="s">
        <v>47</v>
      </c>
      <c r="R1986" s="12" t="s">
        <v>163</v>
      </c>
      <c r="S1986" s="13">
        <v>887867200770</v>
      </c>
      <c r="T1986" s="12" t="s">
        <v>49</v>
      </c>
      <c r="U1986" s="13">
        <v>39</v>
      </c>
      <c r="V1986" s="12" t="s">
        <v>209</v>
      </c>
      <c r="W1986" s="12" t="s">
        <v>455</v>
      </c>
      <c r="X1986" s="14"/>
      <c r="Y1986" s="12" t="s">
        <v>71</v>
      </c>
      <c r="Z1986" s="12" t="s">
        <v>92</v>
      </c>
      <c r="AA1986" s="12" t="s">
        <v>354</v>
      </c>
      <c r="AB1986" s="12" t="s">
        <v>888</v>
      </c>
      <c r="AC1986" s="15">
        <v>33.35</v>
      </c>
      <c r="AD1986" s="15">
        <f>AC1986*AG1986</f>
        <v>100.05000000000001</v>
      </c>
      <c r="AE1986" s="15">
        <v>70</v>
      </c>
      <c r="AF1986" s="15">
        <f>AE1986*AG1986</f>
        <v>210</v>
      </c>
      <c r="AG1986" s="16">
        <v>3</v>
      </c>
    </row>
    <row r="1987" spans="1:33" ht="15" customHeight="1" x14ac:dyDescent="0.2">
      <c r="A1987" s="11" t="str">
        <f t="shared" si="831"/>
        <v>VN000VOB4WV1</v>
      </c>
      <c r="B1987" s="12" t="s">
        <v>7521</v>
      </c>
      <c r="C1987" s="12" t="s">
        <v>5098</v>
      </c>
      <c r="D1987" s="12" t="s">
        <v>7518</v>
      </c>
      <c r="E1987" s="12" t="s">
        <v>7522</v>
      </c>
      <c r="F1987" s="13">
        <v>75</v>
      </c>
      <c r="G1987" s="12" t="s">
        <v>372</v>
      </c>
      <c r="H1987" s="12" t="s">
        <v>38</v>
      </c>
      <c r="I1987" s="12" t="s">
        <v>159</v>
      </c>
      <c r="J1987" s="12" t="s">
        <v>255</v>
      </c>
      <c r="K1987" s="12" t="s">
        <v>199</v>
      </c>
      <c r="L1987" s="12" t="s">
        <v>350</v>
      </c>
      <c r="M1987" s="12" t="s">
        <v>43</v>
      </c>
      <c r="N1987" s="12" t="s">
        <v>84</v>
      </c>
      <c r="O1987" s="12" t="s">
        <v>7523</v>
      </c>
      <c r="P1987" s="12" t="s">
        <v>46</v>
      </c>
      <c r="Q1987" s="12" t="s">
        <v>47</v>
      </c>
      <c r="R1987" s="12" t="s">
        <v>163</v>
      </c>
      <c r="S1987" s="13">
        <v>887867200763</v>
      </c>
      <c r="T1987" s="12" t="s">
        <v>49</v>
      </c>
      <c r="U1987" s="13">
        <v>40</v>
      </c>
      <c r="V1987" s="12" t="s">
        <v>209</v>
      </c>
      <c r="W1987" s="12" t="s">
        <v>455</v>
      </c>
      <c r="X1987" s="14"/>
      <c r="Y1987" s="12" t="s">
        <v>71</v>
      </c>
      <c r="Z1987" s="12" t="s">
        <v>92</v>
      </c>
      <c r="AA1987" s="12" t="s">
        <v>354</v>
      </c>
      <c r="AB1987" s="12" t="s">
        <v>888</v>
      </c>
      <c r="AC1987" s="15">
        <v>33.35</v>
      </c>
      <c r="AD1987" s="15">
        <f>AC1987*AG1987</f>
        <v>100.05000000000001</v>
      </c>
      <c r="AE1987" s="15">
        <v>70</v>
      </c>
      <c r="AF1987" s="15">
        <f>AE1987*AG1987</f>
        <v>210</v>
      </c>
      <c r="AG1987" s="16">
        <v>3</v>
      </c>
    </row>
    <row r="1988" spans="1:33" ht="15" customHeight="1" x14ac:dyDescent="0.2">
      <c r="A1988" s="11" t="str">
        <f t="shared" ref="A1988:A4690" si="832">HYPERLINK("https://assets.vans.eu/images/VN000W9T9AL-HERO/1","VN000W9T9AL1")</f>
        <v>VN000W9T9AL1</v>
      </c>
      <c r="B1988" s="12" t="s">
        <v>7524</v>
      </c>
      <c r="C1988" s="12" t="s">
        <v>34</v>
      </c>
      <c r="D1988" s="12" t="s">
        <v>7525</v>
      </c>
      <c r="E1988" s="12" t="s">
        <v>7526</v>
      </c>
      <c r="F1988" s="13">
        <v>105</v>
      </c>
      <c r="G1988" s="14"/>
      <c r="H1988" s="12" t="s">
        <v>38</v>
      </c>
      <c r="I1988" s="12" t="s">
        <v>39</v>
      </c>
      <c r="J1988" s="12" t="s">
        <v>40</v>
      </c>
      <c r="K1988" s="12" t="s">
        <v>41</v>
      </c>
      <c r="L1988" s="14"/>
      <c r="M1988" s="12" t="s">
        <v>43</v>
      </c>
      <c r="N1988" s="12" t="s">
        <v>44</v>
      </c>
      <c r="O1988" s="12" t="s">
        <v>7527</v>
      </c>
      <c r="P1988" s="12" t="s">
        <v>46</v>
      </c>
      <c r="Q1988" s="12" t="s">
        <v>47</v>
      </c>
      <c r="R1988" s="12" t="s">
        <v>48</v>
      </c>
      <c r="S1988" s="13">
        <v>195441309239</v>
      </c>
      <c r="T1988" s="12" t="s">
        <v>105</v>
      </c>
      <c r="U1988" s="13">
        <v>27</v>
      </c>
      <c r="V1988" s="12" t="s">
        <v>50</v>
      </c>
      <c r="W1988" s="12" t="s">
        <v>299</v>
      </c>
      <c r="X1988" s="14"/>
      <c r="Y1988" s="12" t="s">
        <v>91</v>
      </c>
      <c r="Z1988" s="12" t="s">
        <v>165</v>
      </c>
      <c r="AA1988" s="14"/>
      <c r="AB1988" s="14"/>
      <c r="AC1988" s="15">
        <v>25</v>
      </c>
      <c r="AD1988" s="15">
        <f>AC1988*AG1988</f>
        <v>75</v>
      </c>
      <c r="AE1988" s="15">
        <v>55</v>
      </c>
      <c r="AF1988" s="15">
        <f>AE1988*AG1988</f>
        <v>165</v>
      </c>
      <c r="AG1988" s="16">
        <v>3</v>
      </c>
    </row>
    <row r="1989" spans="1:33" ht="15" customHeight="1" x14ac:dyDescent="0.2">
      <c r="A1989" s="11" t="str">
        <f t="shared" ref="A1989:A1991" si="833">HYPERLINK("https://assets.vans.eu/images/VN000ZSRGQ0-HERO/1","VN000ZSRGQ01")</f>
        <v>VN000ZSRGQ01</v>
      </c>
      <c r="B1989" s="12" t="s">
        <v>7528</v>
      </c>
      <c r="C1989" s="12" t="s">
        <v>7529</v>
      </c>
      <c r="D1989" s="12" t="s">
        <v>7530</v>
      </c>
      <c r="E1989" s="12" t="s">
        <v>7531</v>
      </c>
      <c r="F1989" s="13">
        <v>40</v>
      </c>
      <c r="G1989" s="12" t="s">
        <v>7532</v>
      </c>
      <c r="H1989" s="12" t="s">
        <v>38</v>
      </c>
      <c r="I1989" s="12" t="s">
        <v>242</v>
      </c>
      <c r="J1989" s="12" t="s">
        <v>1611</v>
      </c>
      <c r="K1989" s="12" t="s">
        <v>244</v>
      </c>
      <c r="L1989" s="12" t="s">
        <v>350</v>
      </c>
      <c r="M1989" s="12" t="s">
        <v>43</v>
      </c>
      <c r="N1989" s="12" t="s">
        <v>84</v>
      </c>
      <c r="O1989" s="12" t="s">
        <v>7533</v>
      </c>
      <c r="P1989" s="12" t="s">
        <v>46</v>
      </c>
      <c r="Q1989" s="12" t="s">
        <v>47</v>
      </c>
      <c r="R1989" s="12" t="s">
        <v>48</v>
      </c>
      <c r="S1989" s="13">
        <v>617932528122</v>
      </c>
      <c r="T1989" s="12" t="s">
        <v>164</v>
      </c>
      <c r="U1989" s="13">
        <v>19</v>
      </c>
      <c r="V1989" s="12" t="s">
        <v>50</v>
      </c>
      <c r="W1989" s="12" t="s">
        <v>284</v>
      </c>
      <c r="X1989" s="14"/>
      <c r="Y1989" s="12" t="s">
        <v>71</v>
      </c>
      <c r="Z1989" s="12" t="s">
        <v>92</v>
      </c>
      <c r="AA1989" s="12" t="s">
        <v>354</v>
      </c>
      <c r="AB1989" s="12" t="s">
        <v>888</v>
      </c>
      <c r="AC1989" s="15">
        <v>19.05</v>
      </c>
      <c r="AD1989" s="15">
        <f>AC1989*AG1989</f>
        <v>57.150000000000006</v>
      </c>
      <c r="AE1989" s="15">
        <v>40</v>
      </c>
      <c r="AF1989" s="15">
        <f>AE1989*AG1989</f>
        <v>120</v>
      </c>
      <c r="AG1989" s="16">
        <v>3</v>
      </c>
    </row>
    <row r="1990" spans="1:33" ht="15" customHeight="1" x14ac:dyDescent="0.2">
      <c r="A1990" s="11" t="str">
        <f t="shared" si="833"/>
        <v>VN000ZSRGQ01</v>
      </c>
      <c r="B1990" s="12" t="s">
        <v>7534</v>
      </c>
      <c r="C1990" s="12" t="s">
        <v>7529</v>
      </c>
      <c r="D1990" s="12" t="s">
        <v>7530</v>
      </c>
      <c r="E1990" s="12" t="s">
        <v>7535</v>
      </c>
      <c r="F1990" s="13">
        <v>50</v>
      </c>
      <c r="G1990" s="12" t="s">
        <v>7532</v>
      </c>
      <c r="H1990" s="12" t="s">
        <v>38</v>
      </c>
      <c r="I1990" s="12" t="s">
        <v>242</v>
      </c>
      <c r="J1990" s="12" t="s">
        <v>1611</v>
      </c>
      <c r="K1990" s="12" t="s">
        <v>244</v>
      </c>
      <c r="L1990" s="12" t="s">
        <v>350</v>
      </c>
      <c r="M1990" s="12" t="s">
        <v>43</v>
      </c>
      <c r="N1990" s="12" t="s">
        <v>84</v>
      </c>
      <c r="O1990" s="12" t="s">
        <v>7536</v>
      </c>
      <c r="P1990" s="12" t="s">
        <v>46</v>
      </c>
      <c r="Q1990" s="12" t="s">
        <v>47</v>
      </c>
      <c r="R1990" s="12" t="s">
        <v>48</v>
      </c>
      <c r="S1990" s="13">
        <v>617932528108</v>
      </c>
      <c r="T1990" s="12" t="s">
        <v>164</v>
      </c>
      <c r="U1990" s="13">
        <v>21</v>
      </c>
      <c r="V1990" s="12" t="s">
        <v>50</v>
      </c>
      <c r="W1990" s="12" t="s">
        <v>284</v>
      </c>
      <c r="X1990" s="14"/>
      <c r="Y1990" s="12" t="s">
        <v>71</v>
      </c>
      <c r="Z1990" s="12" t="s">
        <v>92</v>
      </c>
      <c r="AA1990" s="12" t="s">
        <v>354</v>
      </c>
      <c r="AB1990" s="12" t="s">
        <v>888</v>
      </c>
      <c r="AC1990" s="15">
        <v>19.05</v>
      </c>
      <c r="AD1990" s="15">
        <f>AC1990*AG1990</f>
        <v>57.150000000000006</v>
      </c>
      <c r="AE1990" s="15">
        <v>40</v>
      </c>
      <c r="AF1990" s="15">
        <f>AE1990*AG1990</f>
        <v>120</v>
      </c>
      <c r="AG1990" s="16">
        <v>3</v>
      </c>
    </row>
    <row r="1991" spans="1:33" ht="15" customHeight="1" x14ac:dyDescent="0.2">
      <c r="A1991" s="11" t="str">
        <f t="shared" si="833"/>
        <v>VN000ZSRGQ01</v>
      </c>
      <c r="B1991" s="12" t="s">
        <v>7537</v>
      </c>
      <c r="C1991" s="12" t="s">
        <v>7529</v>
      </c>
      <c r="D1991" s="12" t="s">
        <v>7530</v>
      </c>
      <c r="E1991" s="12" t="s">
        <v>7538</v>
      </c>
      <c r="F1991" s="13">
        <v>65</v>
      </c>
      <c r="G1991" s="12" t="s">
        <v>7532</v>
      </c>
      <c r="H1991" s="12" t="s">
        <v>38</v>
      </c>
      <c r="I1991" s="12" t="s">
        <v>242</v>
      </c>
      <c r="J1991" s="12" t="s">
        <v>1611</v>
      </c>
      <c r="K1991" s="12" t="s">
        <v>244</v>
      </c>
      <c r="L1991" s="12" t="s">
        <v>350</v>
      </c>
      <c r="M1991" s="12" t="s">
        <v>43</v>
      </c>
      <c r="N1991" s="12" t="s">
        <v>84</v>
      </c>
      <c r="O1991" s="12" t="s">
        <v>7539</v>
      </c>
      <c r="P1991" s="12" t="s">
        <v>46</v>
      </c>
      <c r="Q1991" s="12" t="s">
        <v>47</v>
      </c>
      <c r="R1991" s="12" t="s">
        <v>48</v>
      </c>
      <c r="S1991" s="13">
        <v>617932528375</v>
      </c>
      <c r="T1991" s="12" t="s">
        <v>164</v>
      </c>
      <c r="U1991" s="13">
        <v>22.5</v>
      </c>
      <c r="V1991" s="12" t="s">
        <v>50</v>
      </c>
      <c r="W1991" s="12" t="s">
        <v>284</v>
      </c>
      <c r="X1991" s="14"/>
      <c r="Y1991" s="12" t="s">
        <v>71</v>
      </c>
      <c r="Z1991" s="12" t="s">
        <v>92</v>
      </c>
      <c r="AA1991" s="12" t="s">
        <v>354</v>
      </c>
      <c r="AB1991" s="12" t="s">
        <v>888</v>
      </c>
      <c r="AC1991" s="15">
        <v>19.05</v>
      </c>
      <c r="AD1991" s="15">
        <f>AC1991*AG1991</f>
        <v>57.150000000000006</v>
      </c>
      <c r="AE1991" s="15">
        <v>40</v>
      </c>
      <c r="AF1991" s="15">
        <f>AE1991*AG1991</f>
        <v>120</v>
      </c>
      <c r="AG1991" s="16">
        <v>3</v>
      </c>
    </row>
    <row r="1992" spans="1:33" ht="15" customHeight="1" x14ac:dyDescent="0.2">
      <c r="A1992" s="11" t="str">
        <f t="shared" si="313"/>
        <v>VN0A2Z4CEL71</v>
      </c>
      <c r="B1992" s="12" t="s">
        <v>7540</v>
      </c>
      <c r="C1992" s="12" t="s">
        <v>3053</v>
      </c>
      <c r="D1992" s="12" t="s">
        <v>3054</v>
      </c>
      <c r="E1992" s="12" t="s">
        <v>7541</v>
      </c>
      <c r="F1992" s="13">
        <v>65</v>
      </c>
      <c r="G1992" s="12" t="s">
        <v>953</v>
      </c>
      <c r="H1992" s="12" t="s">
        <v>38</v>
      </c>
      <c r="I1992" s="12" t="s">
        <v>113</v>
      </c>
      <c r="J1992" s="12" t="s">
        <v>529</v>
      </c>
      <c r="K1992" s="12" t="s">
        <v>100</v>
      </c>
      <c r="L1992" s="14"/>
      <c r="M1992" s="12" t="s">
        <v>43</v>
      </c>
      <c r="N1992" s="12" t="s">
        <v>44</v>
      </c>
      <c r="O1992" s="12" t="s">
        <v>7542</v>
      </c>
      <c r="P1992" s="12" t="s">
        <v>46</v>
      </c>
      <c r="Q1992" s="12" t="s">
        <v>47</v>
      </c>
      <c r="R1992" s="12" t="s">
        <v>117</v>
      </c>
      <c r="S1992" s="13">
        <v>197643310754</v>
      </c>
      <c r="T1992" s="12" t="s">
        <v>49</v>
      </c>
      <c r="U1992" s="13">
        <v>36.5</v>
      </c>
      <c r="V1992" s="12" t="s">
        <v>375</v>
      </c>
      <c r="W1992" s="12" t="s">
        <v>186</v>
      </c>
      <c r="X1992" s="14"/>
      <c r="Y1992" s="12" t="s">
        <v>71</v>
      </c>
      <c r="Z1992" s="12" t="s">
        <v>376</v>
      </c>
      <c r="AA1992" s="14"/>
      <c r="AB1992" s="14"/>
      <c r="AC1992" s="15">
        <v>35.75</v>
      </c>
      <c r="AD1992" s="15">
        <f>AC1992*AG1992</f>
        <v>107.25</v>
      </c>
      <c r="AE1992" s="15">
        <v>75</v>
      </c>
      <c r="AF1992" s="15">
        <f>AE1992*AG1992</f>
        <v>225</v>
      </c>
      <c r="AG1992" s="16">
        <v>3</v>
      </c>
    </row>
    <row r="1993" spans="1:33" ht="15" customHeight="1" x14ac:dyDescent="0.2">
      <c r="A1993" s="11" t="str">
        <f t="shared" si="654"/>
        <v>VN0A347ZDDU1</v>
      </c>
      <c r="B1993" s="12" t="s">
        <v>7543</v>
      </c>
      <c r="C1993" s="12" t="s">
        <v>5098</v>
      </c>
      <c r="D1993" s="12" t="s">
        <v>6041</v>
      </c>
      <c r="E1993" s="12" t="s">
        <v>7544</v>
      </c>
      <c r="F1993" s="13">
        <v>80</v>
      </c>
      <c r="G1993" s="12" t="s">
        <v>372</v>
      </c>
      <c r="H1993" s="12" t="s">
        <v>38</v>
      </c>
      <c r="I1993" s="12" t="s">
        <v>159</v>
      </c>
      <c r="J1993" s="12" t="s">
        <v>255</v>
      </c>
      <c r="K1993" s="12" t="s">
        <v>199</v>
      </c>
      <c r="L1993" s="12" t="s">
        <v>350</v>
      </c>
      <c r="M1993" s="12" t="s">
        <v>43</v>
      </c>
      <c r="N1993" s="12" t="s">
        <v>84</v>
      </c>
      <c r="O1993" s="12" t="s">
        <v>7545</v>
      </c>
      <c r="P1993" s="12" t="s">
        <v>46</v>
      </c>
      <c r="Q1993" s="12" t="s">
        <v>47</v>
      </c>
      <c r="R1993" s="12" t="s">
        <v>163</v>
      </c>
      <c r="S1993" s="13">
        <v>190285955918</v>
      </c>
      <c r="T1993" s="12" t="s">
        <v>49</v>
      </c>
      <c r="U1993" s="13">
        <v>40.5</v>
      </c>
      <c r="V1993" s="12" t="s">
        <v>209</v>
      </c>
      <c r="W1993" s="12" t="s">
        <v>262</v>
      </c>
      <c r="X1993" s="14"/>
      <c r="Y1993" s="12" t="s">
        <v>71</v>
      </c>
      <c r="Z1993" s="12" t="s">
        <v>92</v>
      </c>
      <c r="AA1993" s="12" t="s">
        <v>354</v>
      </c>
      <c r="AB1993" s="12" t="s">
        <v>888</v>
      </c>
      <c r="AC1993" s="15">
        <v>33.35</v>
      </c>
      <c r="AD1993" s="15">
        <f>AC1993*AG1993</f>
        <v>100.05000000000001</v>
      </c>
      <c r="AE1993" s="15">
        <v>70</v>
      </c>
      <c r="AF1993" s="15">
        <f>AE1993*AG1993</f>
        <v>210</v>
      </c>
      <c r="AG1993" s="16">
        <v>3</v>
      </c>
    </row>
    <row r="1994" spans="1:33" ht="15" customHeight="1" x14ac:dyDescent="0.2">
      <c r="A1994" s="11" t="str">
        <f t="shared" si="197"/>
        <v>VN0A3TKN6BT1</v>
      </c>
      <c r="B1994" s="12" t="s">
        <v>7546</v>
      </c>
      <c r="C1994" s="12" t="s">
        <v>2175</v>
      </c>
      <c r="D1994" s="12" t="s">
        <v>2176</v>
      </c>
      <c r="E1994" s="12" t="s">
        <v>7547</v>
      </c>
      <c r="F1994" s="13">
        <v>50</v>
      </c>
      <c r="G1994" s="14"/>
      <c r="H1994" s="12" t="s">
        <v>38</v>
      </c>
      <c r="I1994" s="12" t="s">
        <v>113</v>
      </c>
      <c r="J1994" s="12" t="s">
        <v>114</v>
      </c>
      <c r="K1994" s="12" t="s">
        <v>82</v>
      </c>
      <c r="L1994" s="14"/>
      <c r="M1994" s="12" t="s">
        <v>43</v>
      </c>
      <c r="N1994" s="12" t="s">
        <v>84</v>
      </c>
      <c r="O1994" s="12" t="s">
        <v>7548</v>
      </c>
      <c r="P1994" s="12" t="s">
        <v>46</v>
      </c>
      <c r="Q1994" s="12" t="s">
        <v>47</v>
      </c>
      <c r="R1994" s="12" t="s">
        <v>2179</v>
      </c>
      <c r="S1994" s="13">
        <v>190849926279</v>
      </c>
      <c r="T1994" s="12" t="s">
        <v>105</v>
      </c>
      <c r="U1994" s="13">
        <v>36.5</v>
      </c>
      <c r="V1994" s="12" t="s">
        <v>50</v>
      </c>
      <c r="W1994" s="12" t="s">
        <v>51</v>
      </c>
      <c r="X1994" s="14"/>
      <c r="Y1994" s="12" t="s">
        <v>91</v>
      </c>
      <c r="Z1994" s="12" t="s">
        <v>165</v>
      </c>
      <c r="AA1994" s="14"/>
      <c r="AB1994" s="14"/>
      <c r="AC1994" s="15">
        <v>50</v>
      </c>
      <c r="AD1994" s="15">
        <f>AC1994*AG1994</f>
        <v>150</v>
      </c>
      <c r="AE1994" s="15">
        <v>110</v>
      </c>
      <c r="AF1994" s="15">
        <f>AE1994*AG1994</f>
        <v>330</v>
      </c>
      <c r="AG1994" s="16">
        <v>3</v>
      </c>
    </row>
    <row r="1995" spans="1:33" ht="15" customHeight="1" x14ac:dyDescent="0.2">
      <c r="A1995" s="11" t="str">
        <f t="shared" ref="A1995:A2826" si="834">HYPERLINK("https://assets.vans.eu/images/VN0A3TKN6BT-HERO/1","VN0A3TKN6BT1")</f>
        <v>VN0A3TKN6BT1</v>
      </c>
      <c r="B1995" s="12" t="s">
        <v>7549</v>
      </c>
      <c r="C1995" s="12" t="s">
        <v>2175</v>
      </c>
      <c r="D1995" s="12" t="s">
        <v>2176</v>
      </c>
      <c r="E1995" s="12" t="s">
        <v>7550</v>
      </c>
      <c r="F1995" s="13">
        <v>100</v>
      </c>
      <c r="G1995" s="14"/>
      <c r="H1995" s="12" t="s">
        <v>38</v>
      </c>
      <c r="I1995" s="12" t="s">
        <v>113</v>
      </c>
      <c r="J1995" s="12" t="s">
        <v>114</v>
      </c>
      <c r="K1995" s="12" t="s">
        <v>82</v>
      </c>
      <c r="L1995" s="14"/>
      <c r="M1995" s="12" t="s">
        <v>43</v>
      </c>
      <c r="N1995" s="12" t="s">
        <v>84</v>
      </c>
      <c r="O1995" s="12" t="s">
        <v>7551</v>
      </c>
      <c r="P1995" s="12" t="s">
        <v>46</v>
      </c>
      <c r="Q1995" s="12" t="s">
        <v>47</v>
      </c>
      <c r="R1995" s="12" t="s">
        <v>2179</v>
      </c>
      <c r="S1995" s="13">
        <v>190849927849</v>
      </c>
      <c r="T1995" s="12" t="s">
        <v>105</v>
      </c>
      <c r="U1995" s="13">
        <v>43</v>
      </c>
      <c r="V1995" s="12" t="s">
        <v>50</v>
      </c>
      <c r="W1995" s="12" t="s">
        <v>51</v>
      </c>
      <c r="X1995" s="14"/>
      <c r="Y1995" s="12" t="s">
        <v>91</v>
      </c>
      <c r="Z1995" s="12" t="s">
        <v>165</v>
      </c>
      <c r="AA1995" s="14"/>
      <c r="AB1995" s="14"/>
      <c r="AC1995" s="15">
        <v>50</v>
      </c>
      <c r="AD1995" s="15">
        <f>AC1995*AG1995</f>
        <v>150</v>
      </c>
      <c r="AE1995" s="15">
        <v>110</v>
      </c>
      <c r="AF1995" s="15">
        <f>AE1995*AG1995</f>
        <v>330</v>
      </c>
      <c r="AG1995" s="16">
        <v>3</v>
      </c>
    </row>
    <row r="1996" spans="1:33" ht="15" customHeight="1" x14ac:dyDescent="0.2">
      <c r="A1996" s="11" t="str">
        <f t="shared" si="468"/>
        <v>VN0A4BVSBKA1</v>
      </c>
      <c r="B1996" s="12" t="s">
        <v>7552</v>
      </c>
      <c r="C1996" s="12" t="s">
        <v>4443</v>
      </c>
      <c r="D1996" s="12" t="s">
        <v>252</v>
      </c>
      <c r="E1996" s="12" t="s">
        <v>7553</v>
      </c>
      <c r="F1996" s="13">
        <v>50</v>
      </c>
      <c r="G1996" s="14"/>
      <c r="H1996" s="12" t="s">
        <v>38</v>
      </c>
      <c r="I1996" s="12" t="s">
        <v>159</v>
      </c>
      <c r="J1996" s="12" t="s">
        <v>255</v>
      </c>
      <c r="K1996" s="12" t="s">
        <v>82</v>
      </c>
      <c r="L1996" s="14"/>
      <c r="M1996" s="12" t="s">
        <v>43</v>
      </c>
      <c r="N1996" s="12" t="s">
        <v>2457</v>
      </c>
      <c r="O1996" s="12" t="s">
        <v>7554</v>
      </c>
      <c r="P1996" s="12" t="s">
        <v>46</v>
      </c>
      <c r="Q1996" s="12" t="s">
        <v>47</v>
      </c>
      <c r="R1996" s="12" t="s">
        <v>1660</v>
      </c>
      <c r="S1996" s="13">
        <v>196244767950</v>
      </c>
      <c r="T1996" s="12" t="s">
        <v>143</v>
      </c>
      <c r="U1996" s="13">
        <v>36.5</v>
      </c>
      <c r="V1996" s="12" t="s">
        <v>50</v>
      </c>
      <c r="W1996" s="12" t="s">
        <v>51</v>
      </c>
      <c r="X1996" s="14"/>
      <c r="Y1996" s="12" t="s">
        <v>91</v>
      </c>
      <c r="Z1996" s="12" t="s">
        <v>165</v>
      </c>
      <c r="AA1996" s="14"/>
      <c r="AB1996" s="14"/>
      <c r="AC1996" s="15">
        <v>75</v>
      </c>
      <c r="AD1996" s="15">
        <f>AC1996*AG1996</f>
        <v>225</v>
      </c>
      <c r="AE1996" s="15">
        <v>165</v>
      </c>
      <c r="AF1996" s="15">
        <f>AE1996*AG1996</f>
        <v>495</v>
      </c>
      <c r="AG1996" s="16">
        <v>3</v>
      </c>
    </row>
    <row r="1997" spans="1:33" ht="15" customHeight="1" x14ac:dyDescent="0.2">
      <c r="A1997" s="11" t="str">
        <f t="shared" si="657"/>
        <v>VN0A5FCB1N61</v>
      </c>
      <c r="B1997" s="12" t="s">
        <v>7555</v>
      </c>
      <c r="C1997" s="12" t="s">
        <v>996</v>
      </c>
      <c r="D1997" s="12" t="s">
        <v>2181</v>
      </c>
      <c r="E1997" s="12" t="s">
        <v>7556</v>
      </c>
      <c r="F1997" s="13">
        <v>45</v>
      </c>
      <c r="G1997" s="14"/>
      <c r="H1997" s="12" t="s">
        <v>38</v>
      </c>
      <c r="I1997" s="12" t="s">
        <v>159</v>
      </c>
      <c r="J1997" s="12" t="s">
        <v>341</v>
      </c>
      <c r="K1997" s="12" t="s">
        <v>199</v>
      </c>
      <c r="L1997" s="14"/>
      <c r="M1997" s="12" t="s">
        <v>43</v>
      </c>
      <c r="N1997" s="12" t="s">
        <v>84</v>
      </c>
      <c r="O1997" s="12" t="s">
        <v>7557</v>
      </c>
      <c r="P1997" s="12" t="s">
        <v>46</v>
      </c>
      <c r="Q1997" s="12" t="s">
        <v>47</v>
      </c>
      <c r="R1997" s="12" t="s">
        <v>163</v>
      </c>
      <c r="S1997" s="13">
        <v>197063313892</v>
      </c>
      <c r="T1997" s="12" t="s">
        <v>49</v>
      </c>
      <c r="U1997" s="13">
        <v>36</v>
      </c>
      <c r="V1997" s="12" t="s">
        <v>50</v>
      </c>
      <c r="W1997" s="12" t="s">
        <v>455</v>
      </c>
      <c r="X1997" s="14"/>
      <c r="Y1997" s="12" t="s">
        <v>91</v>
      </c>
      <c r="Z1997" s="12" t="s">
        <v>344</v>
      </c>
      <c r="AA1997" s="14"/>
      <c r="AB1997" s="14"/>
      <c r="AC1997" s="15">
        <v>38.65</v>
      </c>
      <c r="AD1997" s="15">
        <f>AC1997*AG1997</f>
        <v>115.94999999999999</v>
      </c>
      <c r="AE1997" s="15">
        <v>85</v>
      </c>
      <c r="AF1997" s="15">
        <f>AE1997*AG1997</f>
        <v>255</v>
      </c>
      <c r="AG1997" s="16">
        <v>3</v>
      </c>
    </row>
    <row r="1998" spans="1:33" ht="15" customHeight="1" x14ac:dyDescent="0.2">
      <c r="A1998" s="11" t="str">
        <f t="shared" ref="A1998:A2000" si="835">HYPERLINK("https://assets.vans.eu/images/VN0A5FCB1N6-HERO/1","VN0A5FCB1N61")</f>
        <v>VN0A5FCB1N61</v>
      </c>
      <c r="B1998" s="12" t="s">
        <v>7558</v>
      </c>
      <c r="C1998" s="12" t="s">
        <v>996</v>
      </c>
      <c r="D1998" s="12" t="s">
        <v>2181</v>
      </c>
      <c r="E1998" s="12" t="s">
        <v>7559</v>
      </c>
      <c r="F1998" s="13">
        <v>85</v>
      </c>
      <c r="G1998" s="14"/>
      <c r="H1998" s="12" t="s">
        <v>38</v>
      </c>
      <c r="I1998" s="12" t="s">
        <v>159</v>
      </c>
      <c r="J1998" s="12" t="s">
        <v>341</v>
      </c>
      <c r="K1998" s="12" t="s">
        <v>199</v>
      </c>
      <c r="L1998" s="14"/>
      <c r="M1998" s="12" t="s">
        <v>43</v>
      </c>
      <c r="N1998" s="12" t="s">
        <v>84</v>
      </c>
      <c r="O1998" s="12" t="s">
        <v>7560</v>
      </c>
      <c r="P1998" s="12" t="s">
        <v>46</v>
      </c>
      <c r="Q1998" s="12" t="s">
        <v>47</v>
      </c>
      <c r="R1998" s="12" t="s">
        <v>163</v>
      </c>
      <c r="S1998" s="13">
        <v>197063314820</v>
      </c>
      <c r="T1998" s="12" t="s">
        <v>49</v>
      </c>
      <c r="U1998" s="13">
        <v>41</v>
      </c>
      <c r="V1998" s="12" t="s">
        <v>50</v>
      </c>
      <c r="W1998" s="12" t="s">
        <v>455</v>
      </c>
      <c r="X1998" s="14"/>
      <c r="Y1998" s="12" t="s">
        <v>91</v>
      </c>
      <c r="Z1998" s="12" t="s">
        <v>344</v>
      </c>
      <c r="AA1998" s="14"/>
      <c r="AB1998" s="14"/>
      <c r="AC1998" s="15">
        <v>38.65</v>
      </c>
      <c r="AD1998" s="15">
        <f>AC1998*AG1998</f>
        <v>115.94999999999999</v>
      </c>
      <c r="AE1998" s="15">
        <v>85</v>
      </c>
      <c r="AF1998" s="15">
        <f>AE1998*AG1998</f>
        <v>255</v>
      </c>
      <c r="AG1998" s="16">
        <v>3</v>
      </c>
    </row>
    <row r="1999" spans="1:33" ht="15" customHeight="1" x14ac:dyDescent="0.2">
      <c r="A1999" s="11" t="str">
        <f t="shared" si="835"/>
        <v>VN0A5FCB1N61</v>
      </c>
      <c r="B1999" s="12" t="s">
        <v>7561</v>
      </c>
      <c r="C1999" s="12" t="s">
        <v>996</v>
      </c>
      <c r="D1999" s="12" t="s">
        <v>2181</v>
      </c>
      <c r="E1999" s="12" t="s">
        <v>7562</v>
      </c>
      <c r="F1999" s="13">
        <v>95</v>
      </c>
      <c r="G1999" s="14"/>
      <c r="H1999" s="12" t="s">
        <v>38</v>
      </c>
      <c r="I1999" s="12" t="s">
        <v>159</v>
      </c>
      <c r="J1999" s="12" t="s">
        <v>341</v>
      </c>
      <c r="K1999" s="12" t="s">
        <v>199</v>
      </c>
      <c r="L1999" s="14"/>
      <c r="M1999" s="12" t="s">
        <v>43</v>
      </c>
      <c r="N1999" s="12" t="s">
        <v>84</v>
      </c>
      <c r="O1999" s="12" t="s">
        <v>7563</v>
      </c>
      <c r="P1999" s="12" t="s">
        <v>46</v>
      </c>
      <c r="Q1999" s="12" t="s">
        <v>47</v>
      </c>
      <c r="R1999" s="12" t="s">
        <v>163</v>
      </c>
      <c r="S1999" s="13">
        <v>197063315117</v>
      </c>
      <c r="T1999" s="12" t="s">
        <v>49</v>
      </c>
      <c r="U1999" s="13">
        <v>42.5</v>
      </c>
      <c r="V1999" s="12" t="s">
        <v>50</v>
      </c>
      <c r="W1999" s="12" t="s">
        <v>455</v>
      </c>
      <c r="X1999" s="14"/>
      <c r="Y1999" s="12" t="s">
        <v>91</v>
      </c>
      <c r="Z1999" s="12" t="s">
        <v>344</v>
      </c>
      <c r="AA1999" s="14"/>
      <c r="AB1999" s="14"/>
      <c r="AC1999" s="15">
        <v>38.65</v>
      </c>
      <c r="AD1999" s="15">
        <f>AC1999*AG1999</f>
        <v>115.94999999999999</v>
      </c>
      <c r="AE1999" s="15">
        <v>85</v>
      </c>
      <c r="AF1999" s="15">
        <f>AE1999*AG1999</f>
        <v>255</v>
      </c>
      <c r="AG1999" s="16">
        <v>3</v>
      </c>
    </row>
    <row r="2000" spans="1:33" ht="15" customHeight="1" x14ac:dyDescent="0.2">
      <c r="A2000" s="11" t="str">
        <f t="shared" si="835"/>
        <v>VN0A5FCB1N61</v>
      </c>
      <c r="B2000" s="12" t="s">
        <v>7564</v>
      </c>
      <c r="C2000" s="12" t="s">
        <v>996</v>
      </c>
      <c r="D2000" s="12" t="s">
        <v>2181</v>
      </c>
      <c r="E2000" s="12" t="s">
        <v>7565</v>
      </c>
      <c r="F2000" s="13">
        <v>130</v>
      </c>
      <c r="G2000" s="14"/>
      <c r="H2000" s="12" t="s">
        <v>38</v>
      </c>
      <c r="I2000" s="12" t="s">
        <v>159</v>
      </c>
      <c r="J2000" s="12" t="s">
        <v>341</v>
      </c>
      <c r="K2000" s="12" t="s">
        <v>199</v>
      </c>
      <c r="L2000" s="14"/>
      <c r="M2000" s="12" t="s">
        <v>43</v>
      </c>
      <c r="N2000" s="12" t="s">
        <v>84</v>
      </c>
      <c r="O2000" s="12" t="s">
        <v>7566</v>
      </c>
      <c r="P2000" s="12" t="s">
        <v>46</v>
      </c>
      <c r="Q2000" s="12" t="s">
        <v>47</v>
      </c>
      <c r="R2000" s="12" t="s">
        <v>163</v>
      </c>
      <c r="S2000" s="13">
        <v>197063315988</v>
      </c>
      <c r="T2000" s="12" t="s">
        <v>49</v>
      </c>
      <c r="U2000" s="13">
        <v>47</v>
      </c>
      <c r="V2000" s="12" t="s">
        <v>50</v>
      </c>
      <c r="W2000" s="12" t="s">
        <v>455</v>
      </c>
      <c r="X2000" s="14"/>
      <c r="Y2000" s="12" t="s">
        <v>91</v>
      </c>
      <c r="Z2000" s="12" t="s">
        <v>344</v>
      </c>
      <c r="AA2000" s="14"/>
      <c r="AB2000" s="14"/>
      <c r="AC2000" s="15">
        <v>38.65</v>
      </c>
      <c r="AD2000" s="15">
        <f>AC2000*AG2000</f>
        <v>115.94999999999999</v>
      </c>
      <c r="AE2000" s="15">
        <v>85</v>
      </c>
      <c r="AF2000" s="15">
        <f>AE2000*AG2000</f>
        <v>255</v>
      </c>
      <c r="AG2000" s="16">
        <v>3</v>
      </c>
    </row>
    <row r="2001" spans="1:33" ht="15" customHeight="1" x14ac:dyDescent="0.2">
      <c r="A2001" s="11" t="str">
        <f t="shared" ref="A2001:A2842" si="836">HYPERLINK("https://assets.vans.eu/images/VN0A5FCDGPE-HERO/1","VN0A5FCDGPE1")</f>
        <v>VN0A5FCDGPE1</v>
      </c>
      <c r="B2001" s="12" t="s">
        <v>7567</v>
      </c>
      <c r="C2001" s="12" t="s">
        <v>7568</v>
      </c>
      <c r="D2001" s="12" t="s">
        <v>7569</v>
      </c>
      <c r="E2001" s="12" t="s">
        <v>7570</v>
      </c>
      <c r="F2001" s="13">
        <v>90</v>
      </c>
      <c r="G2001" s="12" t="s">
        <v>7571</v>
      </c>
      <c r="H2001" s="12" t="s">
        <v>38</v>
      </c>
      <c r="I2001" s="12" t="s">
        <v>159</v>
      </c>
      <c r="J2001" s="12" t="s">
        <v>341</v>
      </c>
      <c r="K2001" s="12" t="s">
        <v>199</v>
      </c>
      <c r="L2001" s="14"/>
      <c r="M2001" s="12" t="s">
        <v>43</v>
      </c>
      <c r="N2001" s="12" t="s">
        <v>84</v>
      </c>
      <c r="O2001" s="12" t="s">
        <v>7572</v>
      </c>
      <c r="P2001" s="12" t="s">
        <v>46</v>
      </c>
      <c r="Q2001" s="12" t="s">
        <v>47</v>
      </c>
      <c r="R2001" s="12" t="s">
        <v>343</v>
      </c>
      <c r="S2001" s="13">
        <v>197804575541</v>
      </c>
      <c r="T2001" s="12" t="s">
        <v>49</v>
      </c>
      <c r="U2001" s="13">
        <v>42</v>
      </c>
      <c r="V2001" s="12" t="s">
        <v>50</v>
      </c>
      <c r="W2001" s="12" t="s">
        <v>107</v>
      </c>
      <c r="X2001" s="14"/>
      <c r="Y2001" s="14"/>
      <c r="Z2001" s="14"/>
      <c r="AA2001" s="14"/>
      <c r="AB2001" s="14"/>
      <c r="AC2001" s="15">
        <v>43.2</v>
      </c>
      <c r="AD2001" s="15">
        <f>AC2001*AG2001</f>
        <v>129.60000000000002</v>
      </c>
      <c r="AE2001" s="15">
        <v>95</v>
      </c>
      <c r="AF2001" s="15">
        <f>AE2001*AG2001</f>
        <v>285</v>
      </c>
      <c r="AG2001" s="16">
        <v>3</v>
      </c>
    </row>
    <row r="2002" spans="1:33" ht="15" customHeight="1" x14ac:dyDescent="0.2">
      <c r="A2002" s="11" t="str">
        <f t="shared" ref="A2002:A2844" si="837">HYPERLINK("https://assets.vans.eu/images/VN0A5HYWA3I-HERO/1","VN0A5HYWA3I1")</f>
        <v>VN0A5HYWA3I1</v>
      </c>
      <c r="B2002" s="12" t="s">
        <v>7573</v>
      </c>
      <c r="C2002" s="12" t="s">
        <v>2449</v>
      </c>
      <c r="D2002" s="12" t="s">
        <v>7574</v>
      </c>
      <c r="E2002" s="12" t="s">
        <v>7575</v>
      </c>
      <c r="F2002" s="13">
        <v>55</v>
      </c>
      <c r="G2002" s="14"/>
      <c r="H2002" s="12" t="s">
        <v>38</v>
      </c>
      <c r="I2002" s="12" t="s">
        <v>113</v>
      </c>
      <c r="J2002" s="12" t="s">
        <v>529</v>
      </c>
      <c r="K2002" s="12" t="s">
        <v>100</v>
      </c>
      <c r="L2002" s="12" t="s">
        <v>350</v>
      </c>
      <c r="M2002" s="12" t="s">
        <v>43</v>
      </c>
      <c r="N2002" s="12" t="s">
        <v>161</v>
      </c>
      <c r="O2002" s="12" t="s">
        <v>7576</v>
      </c>
      <c r="P2002" s="12" t="s">
        <v>46</v>
      </c>
      <c r="Q2002" s="12" t="s">
        <v>47</v>
      </c>
      <c r="R2002" s="12" t="s">
        <v>948</v>
      </c>
      <c r="S2002" s="13">
        <v>195440385746</v>
      </c>
      <c r="T2002" s="12" t="s">
        <v>105</v>
      </c>
      <c r="U2002" s="13">
        <v>35</v>
      </c>
      <c r="V2002" s="12" t="s">
        <v>50</v>
      </c>
      <c r="W2002" s="12" t="s">
        <v>186</v>
      </c>
      <c r="X2002" s="14"/>
      <c r="Y2002" s="12" t="s">
        <v>71</v>
      </c>
      <c r="Z2002" s="12" t="s">
        <v>92</v>
      </c>
      <c r="AA2002" s="12" t="s">
        <v>354</v>
      </c>
      <c r="AB2002" s="12" t="s">
        <v>888</v>
      </c>
      <c r="AC2002" s="15">
        <v>52.4</v>
      </c>
      <c r="AD2002" s="15">
        <f>AC2002*AG2002</f>
        <v>157.19999999999999</v>
      </c>
      <c r="AE2002" s="15">
        <v>110</v>
      </c>
      <c r="AF2002" s="15">
        <f>AE2002*AG2002</f>
        <v>330</v>
      </c>
      <c r="AG2002" s="16">
        <v>3</v>
      </c>
    </row>
    <row r="2003" spans="1:33" ht="15" customHeight="1" x14ac:dyDescent="0.2">
      <c r="A2003" s="11" t="str">
        <f>HYPERLINK("https://assets.vans.eu/images/VN000EZ26M3-HERO/1","VN000EZ26M31")</f>
        <v>VN000EZ26M31</v>
      </c>
      <c r="B2003" s="12" t="s">
        <v>7577</v>
      </c>
      <c r="C2003" s="12" t="s">
        <v>7578</v>
      </c>
      <c r="D2003" s="12" t="s">
        <v>7579</v>
      </c>
      <c r="E2003" s="12" t="s">
        <v>7580</v>
      </c>
      <c r="F2003" s="13">
        <v>16</v>
      </c>
      <c r="G2003" s="14"/>
      <c r="H2003" s="12" t="s">
        <v>79</v>
      </c>
      <c r="I2003" s="12" t="s">
        <v>125</v>
      </c>
      <c r="J2003" s="12" t="s">
        <v>139</v>
      </c>
      <c r="K2003" s="12" t="s">
        <v>64</v>
      </c>
      <c r="L2003" s="14"/>
      <c r="M2003" s="12" t="s">
        <v>43</v>
      </c>
      <c r="N2003" s="12" t="s">
        <v>44</v>
      </c>
      <c r="O2003" s="12" t="s">
        <v>7581</v>
      </c>
      <c r="P2003" s="12" t="s">
        <v>86</v>
      </c>
      <c r="Q2003" s="12" t="s">
        <v>141</v>
      </c>
      <c r="R2003" s="12" t="s">
        <v>142</v>
      </c>
      <c r="S2003" s="13">
        <v>196574906722</v>
      </c>
      <c r="T2003" s="12" t="s">
        <v>143</v>
      </c>
      <c r="U2003" s="12" t="s">
        <v>517</v>
      </c>
      <c r="V2003" s="12" t="s">
        <v>7582</v>
      </c>
      <c r="W2003" s="12" t="s">
        <v>262</v>
      </c>
      <c r="X2003" s="13">
        <v>0</v>
      </c>
      <c r="Y2003" s="12" t="s">
        <v>91</v>
      </c>
      <c r="Z2003" s="12" t="s">
        <v>108</v>
      </c>
      <c r="AA2003" s="13">
        <v>0</v>
      </c>
      <c r="AB2003" s="13">
        <v>0</v>
      </c>
      <c r="AC2003" s="15">
        <v>8.1999999999999993</v>
      </c>
      <c r="AD2003" s="15">
        <f>AC2003*AG2003</f>
        <v>16.399999999999999</v>
      </c>
      <c r="AE2003" s="15">
        <v>18</v>
      </c>
      <c r="AF2003" s="15">
        <f>AE2003*AG2003</f>
        <v>36</v>
      </c>
      <c r="AG2003" s="16">
        <v>2</v>
      </c>
    </row>
    <row r="2004" spans="1:33" ht="15" customHeight="1" x14ac:dyDescent="0.2">
      <c r="A2004" s="11" t="str">
        <f>HYPERLINK("https://assets.vans.eu/images/VN000F0SY28-HERO/1","VN000F0SY281")</f>
        <v>VN000F0SY281</v>
      </c>
      <c r="B2004" s="12" t="s">
        <v>7583</v>
      </c>
      <c r="C2004" s="12" t="s">
        <v>7584</v>
      </c>
      <c r="D2004" s="12" t="s">
        <v>58</v>
      </c>
      <c r="E2004" s="12" t="s">
        <v>7585</v>
      </c>
      <c r="F2004" s="13">
        <v>951</v>
      </c>
      <c r="G2004" s="14"/>
      <c r="H2004" s="12" t="s">
        <v>79</v>
      </c>
      <c r="I2004" s="12" t="s">
        <v>80</v>
      </c>
      <c r="J2004" s="12" t="s">
        <v>171</v>
      </c>
      <c r="K2004" s="12" t="s">
        <v>199</v>
      </c>
      <c r="L2004" s="12" t="s">
        <v>42</v>
      </c>
      <c r="M2004" s="12" t="s">
        <v>43</v>
      </c>
      <c r="N2004" s="12" t="s">
        <v>274</v>
      </c>
      <c r="O2004" s="12" t="s">
        <v>7586</v>
      </c>
      <c r="P2004" s="12" t="s">
        <v>86</v>
      </c>
      <c r="Q2004" s="12" t="s">
        <v>141</v>
      </c>
      <c r="R2004" s="12" t="s">
        <v>173</v>
      </c>
      <c r="S2004" s="13">
        <v>196574907446</v>
      </c>
      <c r="T2004" s="12" t="s">
        <v>143</v>
      </c>
      <c r="U2004" s="12" t="s">
        <v>1402</v>
      </c>
      <c r="V2004" s="12" t="s">
        <v>7587</v>
      </c>
      <c r="W2004" s="12" t="s">
        <v>51</v>
      </c>
      <c r="X2004" s="13">
        <v>0</v>
      </c>
      <c r="Y2004" s="12" t="s">
        <v>91</v>
      </c>
      <c r="Z2004" s="12" t="s">
        <v>92</v>
      </c>
      <c r="AA2004" s="12" t="s">
        <v>7588</v>
      </c>
      <c r="AB2004" s="12" t="s">
        <v>55</v>
      </c>
      <c r="AC2004" s="15">
        <v>9.1</v>
      </c>
      <c r="AD2004" s="15">
        <f>AC2004*AG2004</f>
        <v>18.2</v>
      </c>
      <c r="AE2004" s="15">
        <v>20</v>
      </c>
      <c r="AF2004" s="15">
        <f>AE2004*AG2004</f>
        <v>40</v>
      </c>
      <c r="AG2004" s="16">
        <v>2</v>
      </c>
    </row>
    <row r="2005" spans="1:33" ht="15" customHeight="1" x14ac:dyDescent="0.2">
      <c r="A2005" s="11" t="str">
        <f>HYPERLINK("https://assets.vans.eu/images/VN000F0XCLH-HERO/1","VN000F0XCLH1")</f>
        <v>VN000F0XCLH1</v>
      </c>
      <c r="B2005" s="12" t="s">
        <v>7589</v>
      </c>
      <c r="C2005" s="12" t="s">
        <v>1870</v>
      </c>
      <c r="D2005" s="12" t="s">
        <v>838</v>
      </c>
      <c r="E2005" s="12" t="s">
        <v>7590</v>
      </c>
      <c r="F2005" s="13">
        <v>951</v>
      </c>
      <c r="G2005" s="14"/>
      <c r="H2005" s="12" t="s">
        <v>79</v>
      </c>
      <c r="I2005" s="12" t="s">
        <v>80</v>
      </c>
      <c r="J2005" s="12" t="s">
        <v>171</v>
      </c>
      <c r="K2005" s="12" t="s">
        <v>199</v>
      </c>
      <c r="L2005" s="14"/>
      <c r="M2005" s="12" t="s">
        <v>43</v>
      </c>
      <c r="N2005" s="12" t="s">
        <v>2457</v>
      </c>
      <c r="O2005" s="12" t="s">
        <v>7591</v>
      </c>
      <c r="P2005" s="12" t="s">
        <v>86</v>
      </c>
      <c r="Q2005" s="12" t="s">
        <v>141</v>
      </c>
      <c r="R2005" s="12" t="s">
        <v>173</v>
      </c>
      <c r="S2005" s="13">
        <v>196574907743</v>
      </c>
      <c r="T2005" s="12" t="s">
        <v>143</v>
      </c>
      <c r="U2005" s="12" t="s">
        <v>1402</v>
      </c>
      <c r="V2005" s="12" t="s">
        <v>7592</v>
      </c>
      <c r="W2005" s="12" t="s">
        <v>118</v>
      </c>
      <c r="X2005" s="13">
        <v>0</v>
      </c>
      <c r="Y2005" s="12" t="s">
        <v>91</v>
      </c>
      <c r="Z2005" s="12" t="s">
        <v>108</v>
      </c>
      <c r="AA2005" s="13">
        <v>0</v>
      </c>
      <c r="AB2005" s="13">
        <v>0</v>
      </c>
      <c r="AC2005" s="15">
        <v>9.1</v>
      </c>
      <c r="AD2005" s="15">
        <f>AC2005*AG2005</f>
        <v>18.2</v>
      </c>
      <c r="AE2005" s="15">
        <v>20</v>
      </c>
      <c r="AF2005" s="15">
        <f>AE2005*AG2005</f>
        <v>40</v>
      </c>
      <c r="AG2005" s="16">
        <v>2</v>
      </c>
    </row>
    <row r="2006" spans="1:33" ht="15" customHeight="1" x14ac:dyDescent="0.2">
      <c r="A2006" s="11" t="str">
        <f>HYPERLINK("https://assets.vans.eu/images/VN000FN8BED-HERO/1","VN000FN8BED1")</f>
        <v>VN000FN8BED1</v>
      </c>
      <c r="B2006" s="12" t="s">
        <v>7593</v>
      </c>
      <c r="C2006" s="12" t="s">
        <v>7594</v>
      </c>
      <c r="D2006" s="12" t="s">
        <v>7595</v>
      </c>
      <c r="E2006" s="12" t="s">
        <v>7596</v>
      </c>
      <c r="F2006" s="13">
        <v>651</v>
      </c>
      <c r="G2006" s="14"/>
      <c r="H2006" s="12" t="s">
        <v>79</v>
      </c>
      <c r="I2006" s="12" t="s">
        <v>80</v>
      </c>
      <c r="J2006" s="12" t="s">
        <v>171</v>
      </c>
      <c r="K2006" s="12" t="s">
        <v>100</v>
      </c>
      <c r="L2006" s="12" t="s">
        <v>350</v>
      </c>
      <c r="M2006" s="12" t="s">
        <v>43</v>
      </c>
      <c r="N2006" s="12" t="s">
        <v>274</v>
      </c>
      <c r="O2006" s="12" t="s">
        <v>7597</v>
      </c>
      <c r="P2006" s="12" t="s">
        <v>86</v>
      </c>
      <c r="Q2006" s="12" t="s">
        <v>141</v>
      </c>
      <c r="R2006" s="12" t="s">
        <v>173</v>
      </c>
      <c r="S2006" s="13">
        <v>196575061970</v>
      </c>
      <c r="T2006" s="12" t="s">
        <v>143</v>
      </c>
      <c r="U2006" s="12" t="s">
        <v>800</v>
      </c>
      <c r="V2006" s="13">
        <v>0</v>
      </c>
      <c r="W2006" s="13">
        <v>0</v>
      </c>
      <c r="X2006" s="13">
        <v>0</v>
      </c>
      <c r="Y2006" s="12" t="s">
        <v>71</v>
      </c>
      <c r="Z2006" s="12" t="s">
        <v>92</v>
      </c>
      <c r="AA2006" s="12" t="s">
        <v>354</v>
      </c>
      <c r="AB2006" s="12" t="s">
        <v>355</v>
      </c>
      <c r="AC2006" s="15">
        <v>9.1</v>
      </c>
      <c r="AD2006" s="15">
        <f>AC2006*AG2006</f>
        <v>18.2</v>
      </c>
      <c r="AE2006" s="15">
        <v>20</v>
      </c>
      <c r="AF2006" s="15">
        <f>AE2006*AG2006</f>
        <v>40</v>
      </c>
      <c r="AG2006" s="16">
        <v>2</v>
      </c>
    </row>
    <row r="2007" spans="1:33" ht="15" customHeight="1" x14ac:dyDescent="0.2">
      <c r="A2007" s="11" t="str">
        <f>HYPERLINK("https://assets.vans.eu/images/VN000GKMCHJ-HERO/1","VN000GKMCHJ1")</f>
        <v>VN000GKMCHJ1</v>
      </c>
      <c r="B2007" s="12" t="s">
        <v>7598</v>
      </c>
      <c r="C2007" s="12" t="s">
        <v>7599</v>
      </c>
      <c r="D2007" s="12" t="s">
        <v>5194</v>
      </c>
      <c r="E2007" s="12" t="s">
        <v>7600</v>
      </c>
      <c r="F2007" s="12" t="s">
        <v>78</v>
      </c>
      <c r="G2007" s="14"/>
      <c r="H2007" s="12" t="s">
        <v>79</v>
      </c>
      <c r="I2007" s="12" t="s">
        <v>80</v>
      </c>
      <c r="J2007" s="12" t="s">
        <v>349</v>
      </c>
      <c r="K2007" s="12" t="s">
        <v>82</v>
      </c>
      <c r="L2007" s="14"/>
      <c r="M2007" s="12" t="s">
        <v>43</v>
      </c>
      <c r="N2007" s="12" t="s">
        <v>274</v>
      </c>
      <c r="O2007" s="12" t="s">
        <v>7601</v>
      </c>
      <c r="P2007" s="12" t="s">
        <v>86</v>
      </c>
      <c r="Q2007" s="12" t="s">
        <v>128</v>
      </c>
      <c r="R2007" s="12" t="s">
        <v>352</v>
      </c>
      <c r="S2007" s="13">
        <v>197063463818</v>
      </c>
      <c r="T2007" s="12" t="s">
        <v>235</v>
      </c>
      <c r="U2007" s="12" t="s">
        <v>78</v>
      </c>
      <c r="V2007" s="12" t="s">
        <v>1179</v>
      </c>
      <c r="W2007" s="12" t="s">
        <v>107</v>
      </c>
      <c r="X2007" s="13">
        <v>0</v>
      </c>
      <c r="Y2007" s="12" t="s">
        <v>91</v>
      </c>
      <c r="Z2007" s="12" t="s">
        <v>108</v>
      </c>
      <c r="AA2007" s="13">
        <v>0</v>
      </c>
      <c r="AB2007" s="13">
        <v>0</v>
      </c>
      <c r="AC2007" s="15">
        <v>16.399999999999999</v>
      </c>
      <c r="AD2007" s="15">
        <f>AC2007*AG2007</f>
        <v>32.799999999999997</v>
      </c>
      <c r="AE2007" s="15">
        <v>36</v>
      </c>
      <c r="AF2007" s="15">
        <f>AE2007*AG2007</f>
        <v>72</v>
      </c>
      <c r="AG2007" s="16">
        <v>2</v>
      </c>
    </row>
    <row r="2008" spans="1:33" ht="15" customHeight="1" x14ac:dyDescent="0.2">
      <c r="A2008" s="11" t="str">
        <f>HYPERLINK("https://assets.vans.eu/images/VN000GMQEHC-HERO/1","VN000GMQEHC1")</f>
        <v>VN000GMQEHC1</v>
      </c>
      <c r="B2008" s="12" t="s">
        <v>7602</v>
      </c>
      <c r="C2008" s="12" t="s">
        <v>7603</v>
      </c>
      <c r="D2008" s="12" t="s">
        <v>6259</v>
      </c>
      <c r="E2008" s="12" t="s">
        <v>7604</v>
      </c>
      <c r="F2008" s="13">
        <v>651</v>
      </c>
      <c r="G2008" s="14"/>
      <c r="H2008" s="12" t="s">
        <v>79</v>
      </c>
      <c r="I2008" s="12" t="s">
        <v>80</v>
      </c>
      <c r="J2008" s="12" t="s">
        <v>171</v>
      </c>
      <c r="K2008" s="12" t="s">
        <v>100</v>
      </c>
      <c r="L2008" s="14"/>
      <c r="M2008" s="12" t="s">
        <v>43</v>
      </c>
      <c r="N2008" s="12" t="s">
        <v>274</v>
      </c>
      <c r="O2008" s="12" t="s">
        <v>7605</v>
      </c>
      <c r="P2008" s="12" t="s">
        <v>86</v>
      </c>
      <c r="Q2008" s="12" t="s">
        <v>141</v>
      </c>
      <c r="R2008" s="12" t="s">
        <v>173</v>
      </c>
      <c r="S2008" s="13">
        <v>197063495444</v>
      </c>
      <c r="T2008" s="12" t="s">
        <v>143</v>
      </c>
      <c r="U2008" s="12" t="s">
        <v>800</v>
      </c>
      <c r="V2008" s="12" t="s">
        <v>7606</v>
      </c>
      <c r="W2008" s="12" t="s">
        <v>51</v>
      </c>
      <c r="X2008" s="13">
        <v>0</v>
      </c>
      <c r="Y2008" s="12" t="s">
        <v>91</v>
      </c>
      <c r="Z2008" s="12" t="s">
        <v>108</v>
      </c>
      <c r="AA2008" s="13">
        <v>0</v>
      </c>
      <c r="AB2008" s="13">
        <v>0</v>
      </c>
      <c r="AC2008" s="15">
        <v>9.1</v>
      </c>
      <c r="AD2008" s="15">
        <f>AC2008*AG2008</f>
        <v>18.2</v>
      </c>
      <c r="AE2008" s="15">
        <v>20</v>
      </c>
      <c r="AF2008" s="15">
        <f>AE2008*AG2008</f>
        <v>40</v>
      </c>
      <c r="AG2008" s="16">
        <v>2</v>
      </c>
    </row>
    <row r="2009" spans="1:33" ht="15" customHeight="1" x14ac:dyDescent="0.2">
      <c r="A2009" s="11" t="str">
        <f>HYPERLINK("https://assets.vans.eu/images/VN000HSR2N1-HERO/1","VN000HSR2N11")</f>
        <v>VN000HSR2N11</v>
      </c>
      <c r="B2009" s="12" t="s">
        <v>7607</v>
      </c>
      <c r="C2009" s="12" t="s">
        <v>7608</v>
      </c>
      <c r="D2009" s="12" t="s">
        <v>1082</v>
      </c>
      <c r="E2009" s="12" t="s">
        <v>7609</v>
      </c>
      <c r="F2009" s="12" t="s">
        <v>78</v>
      </c>
      <c r="G2009" s="14"/>
      <c r="H2009" s="12" t="s">
        <v>79</v>
      </c>
      <c r="I2009" s="12" t="s">
        <v>80</v>
      </c>
      <c r="J2009" s="12" t="s">
        <v>349</v>
      </c>
      <c r="K2009" s="12" t="s">
        <v>82</v>
      </c>
      <c r="L2009" s="14"/>
      <c r="M2009" s="12" t="s">
        <v>43</v>
      </c>
      <c r="N2009" s="12" t="s">
        <v>44</v>
      </c>
      <c r="O2009" s="12" t="s">
        <v>7610</v>
      </c>
      <c r="P2009" s="12" t="s">
        <v>86</v>
      </c>
      <c r="Q2009" s="12" t="s">
        <v>128</v>
      </c>
      <c r="R2009" s="12" t="s">
        <v>352</v>
      </c>
      <c r="S2009" s="13">
        <v>197065461737</v>
      </c>
      <c r="T2009" s="12" t="s">
        <v>1065</v>
      </c>
      <c r="U2009" s="12" t="s">
        <v>78</v>
      </c>
      <c r="V2009" s="12" t="s">
        <v>3343</v>
      </c>
      <c r="W2009" s="12" t="s">
        <v>580</v>
      </c>
      <c r="X2009" s="13">
        <v>0</v>
      </c>
      <c r="Y2009" s="12" t="s">
        <v>53</v>
      </c>
      <c r="Z2009" s="12" t="s">
        <v>108</v>
      </c>
      <c r="AA2009" s="13">
        <v>0</v>
      </c>
      <c r="AB2009" s="13">
        <v>0</v>
      </c>
      <c r="AC2009" s="15">
        <v>13.65</v>
      </c>
      <c r="AD2009" s="15">
        <f>AC2009*AG2009</f>
        <v>27.3</v>
      </c>
      <c r="AE2009" s="15">
        <v>30</v>
      </c>
      <c r="AF2009" s="15">
        <f>AE2009*AG2009</f>
        <v>60</v>
      </c>
      <c r="AG2009" s="16">
        <v>2</v>
      </c>
    </row>
    <row r="2010" spans="1:33" ht="15" customHeight="1" x14ac:dyDescent="0.2">
      <c r="A2010" s="11" t="str">
        <f>HYPERLINK("https://assets.vans.eu/images/VN000HSZFS8-HERO/1","VN000HSZFS81")</f>
        <v>VN000HSZFS81</v>
      </c>
      <c r="B2010" s="12" t="s">
        <v>7611</v>
      </c>
      <c r="C2010" s="12" t="s">
        <v>7612</v>
      </c>
      <c r="D2010" s="12" t="s">
        <v>239</v>
      </c>
      <c r="E2010" s="12" t="s">
        <v>7613</v>
      </c>
      <c r="F2010" s="12" t="s">
        <v>78</v>
      </c>
      <c r="G2010" s="14"/>
      <c r="H2010" s="12" t="s">
        <v>79</v>
      </c>
      <c r="I2010" s="12" t="s">
        <v>80</v>
      </c>
      <c r="J2010" s="12" t="s">
        <v>349</v>
      </c>
      <c r="K2010" s="12" t="s">
        <v>82</v>
      </c>
      <c r="L2010" s="14"/>
      <c r="M2010" s="12" t="s">
        <v>43</v>
      </c>
      <c r="N2010" s="12" t="s">
        <v>161</v>
      </c>
      <c r="O2010" s="12" t="s">
        <v>7614</v>
      </c>
      <c r="P2010" s="12" t="s">
        <v>86</v>
      </c>
      <c r="Q2010" s="12" t="s">
        <v>128</v>
      </c>
      <c r="R2010" s="12" t="s">
        <v>352</v>
      </c>
      <c r="S2010" s="13">
        <v>197065461973</v>
      </c>
      <c r="T2010" s="12" t="s">
        <v>164</v>
      </c>
      <c r="U2010" s="12" t="s">
        <v>78</v>
      </c>
      <c r="V2010" s="12" t="s">
        <v>7615</v>
      </c>
      <c r="W2010" s="12" t="s">
        <v>175</v>
      </c>
      <c r="X2010" s="13">
        <v>0</v>
      </c>
      <c r="Y2010" s="12" t="s">
        <v>91</v>
      </c>
      <c r="Z2010" s="12" t="s">
        <v>108</v>
      </c>
      <c r="AA2010" s="13">
        <v>0</v>
      </c>
      <c r="AB2010" s="13">
        <v>0</v>
      </c>
      <c r="AC2010" s="15">
        <v>13.65</v>
      </c>
      <c r="AD2010" s="15">
        <f>AC2010*AG2010</f>
        <v>27.3</v>
      </c>
      <c r="AE2010" s="15">
        <v>30</v>
      </c>
      <c r="AF2010" s="15">
        <f>AE2010*AG2010</f>
        <v>60</v>
      </c>
      <c r="AG2010" s="16">
        <v>2</v>
      </c>
    </row>
    <row r="2011" spans="1:33" ht="15" customHeight="1" x14ac:dyDescent="0.2">
      <c r="A2011" s="11" t="str">
        <f>HYPERLINK("https://assets.vans.eu/images/VN000HT0CIF-HERO/1","VN000HT0CIF1")</f>
        <v>VN000HT0CIF1</v>
      </c>
      <c r="B2011" s="12" t="s">
        <v>7616</v>
      </c>
      <c r="C2011" s="12" t="s">
        <v>7617</v>
      </c>
      <c r="D2011" s="12" t="s">
        <v>7618</v>
      </c>
      <c r="E2011" s="12" t="s">
        <v>7619</v>
      </c>
      <c r="F2011" s="12" t="s">
        <v>78</v>
      </c>
      <c r="G2011" s="14"/>
      <c r="H2011" s="12" t="s">
        <v>79</v>
      </c>
      <c r="I2011" s="12" t="s">
        <v>80</v>
      </c>
      <c r="J2011" s="12" t="s">
        <v>349</v>
      </c>
      <c r="K2011" s="12" t="s">
        <v>82</v>
      </c>
      <c r="L2011" s="14"/>
      <c r="M2011" s="12" t="s">
        <v>43</v>
      </c>
      <c r="N2011" s="12" t="s">
        <v>161</v>
      </c>
      <c r="O2011" s="12" t="s">
        <v>7620</v>
      </c>
      <c r="P2011" s="12" t="s">
        <v>86</v>
      </c>
      <c r="Q2011" s="12" t="s">
        <v>128</v>
      </c>
      <c r="R2011" s="12" t="s">
        <v>352</v>
      </c>
      <c r="S2011" s="13">
        <v>197065461980</v>
      </c>
      <c r="T2011" s="12" t="s">
        <v>164</v>
      </c>
      <c r="U2011" s="12" t="s">
        <v>78</v>
      </c>
      <c r="V2011" s="12" t="s">
        <v>7621</v>
      </c>
      <c r="W2011" s="12" t="s">
        <v>107</v>
      </c>
      <c r="X2011" s="13">
        <v>0</v>
      </c>
      <c r="Y2011" s="12" t="s">
        <v>91</v>
      </c>
      <c r="Z2011" s="12" t="s">
        <v>108</v>
      </c>
      <c r="AA2011" s="13">
        <v>0</v>
      </c>
      <c r="AB2011" s="13">
        <v>0</v>
      </c>
      <c r="AC2011" s="15">
        <v>13.65</v>
      </c>
      <c r="AD2011" s="15">
        <f>AC2011*AG2011</f>
        <v>27.3</v>
      </c>
      <c r="AE2011" s="15">
        <v>30</v>
      </c>
      <c r="AF2011" s="15">
        <f>AE2011*AG2011</f>
        <v>60</v>
      </c>
      <c r="AG2011" s="16">
        <v>2</v>
      </c>
    </row>
    <row r="2012" spans="1:33" ht="15" customHeight="1" x14ac:dyDescent="0.2">
      <c r="A2012" s="11" t="str">
        <f>HYPERLINK("https://assets.vans.eu/images/VN000HT1LKZ-HERO/1","VN000HT1LKZ1")</f>
        <v>VN000HT1LKZ1</v>
      </c>
      <c r="B2012" s="12" t="s">
        <v>7622</v>
      </c>
      <c r="C2012" s="12" t="s">
        <v>7623</v>
      </c>
      <c r="D2012" s="12" t="s">
        <v>1213</v>
      </c>
      <c r="E2012" s="12" t="s">
        <v>7624</v>
      </c>
      <c r="F2012" s="12" t="s">
        <v>78</v>
      </c>
      <c r="G2012" s="14"/>
      <c r="H2012" s="12" t="s">
        <v>79</v>
      </c>
      <c r="I2012" s="12" t="s">
        <v>80</v>
      </c>
      <c r="J2012" s="12" t="s">
        <v>349</v>
      </c>
      <c r="K2012" s="12" t="s">
        <v>82</v>
      </c>
      <c r="L2012" s="14"/>
      <c r="M2012" s="12" t="s">
        <v>43</v>
      </c>
      <c r="N2012" s="12" t="s">
        <v>161</v>
      </c>
      <c r="O2012" s="12" t="s">
        <v>7625</v>
      </c>
      <c r="P2012" s="12" t="s">
        <v>86</v>
      </c>
      <c r="Q2012" s="12" t="s">
        <v>128</v>
      </c>
      <c r="R2012" s="12" t="s">
        <v>352</v>
      </c>
      <c r="S2012" s="13">
        <v>197065462116</v>
      </c>
      <c r="T2012" s="12" t="s">
        <v>130</v>
      </c>
      <c r="U2012" s="12" t="s">
        <v>78</v>
      </c>
      <c r="V2012" s="12" t="s">
        <v>391</v>
      </c>
      <c r="W2012" s="12" t="s">
        <v>284</v>
      </c>
      <c r="X2012" s="13">
        <v>0</v>
      </c>
      <c r="Y2012" s="12" t="s">
        <v>91</v>
      </c>
      <c r="Z2012" s="12" t="s">
        <v>108</v>
      </c>
      <c r="AA2012" s="13">
        <v>0</v>
      </c>
      <c r="AB2012" s="13">
        <v>0</v>
      </c>
      <c r="AC2012" s="15">
        <v>13.65</v>
      </c>
      <c r="AD2012" s="15">
        <f>AC2012*AG2012</f>
        <v>27.3</v>
      </c>
      <c r="AE2012" s="15">
        <v>30</v>
      </c>
      <c r="AF2012" s="15">
        <f>AE2012*AG2012</f>
        <v>60</v>
      </c>
      <c r="AG2012" s="16">
        <v>2</v>
      </c>
    </row>
    <row r="2013" spans="1:33" ht="15" customHeight="1" x14ac:dyDescent="0.2">
      <c r="A2013" s="11" t="str">
        <f>HYPERLINK("https://assets.vans.eu/images/VN000J4TBLK-HERO/1","VN000J4TBLK1")</f>
        <v>VN000J4TBLK1</v>
      </c>
      <c r="B2013" s="12" t="s">
        <v>7626</v>
      </c>
      <c r="C2013" s="12" t="s">
        <v>7627</v>
      </c>
      <c r="D2013" s="12" t="s">
        <v>76</v>
      </c>
      <c r="E2013" s="12" t="s">
        <v>7628</v>
      </c>
      <c r="F2013" s="12" t="s">
        <v>78</v>
      </c>
      <c r="G2013" s="14"/>
      <c r="H2013" s="12" t="s">
        <v>79</v>
      </c>
      <c r="I2013" s="12" t="s">
        <v>125</v>
      </c>
      <c r="J2013" s="12" t="s">
        <v>126</v>
      </c>
      <c r="K2013" s="12" t="s">
        <v>41</v>
      </c>
      <c r="L2013" s="14"/>
      <c r="M2013" s="12" t="s">
        <v>43</v>
      </c>
      <c r="N2013" s="12" t="s">
        <v>44</v>
      </c>
      <c r="O2013" s="12" t="s">
        <v>7629</v>
      </c>
      <c r="P2013" s="12" t="s">
        <v>86</v>
      </c>
      <c r="Q2013" s="12" t="s">
        <v>128</v>
      </c>
      <c r="R2013" s="12" t="s">
        <v>129</v>
      </c>
      <c r="S2013" s="13">
        <v>197065462536</v>
      </c>
      <c r="T2013" s="12" t="s">
        <v>235</v>
      </c>
      <c r="U2013" s="12" t="s">
        <v>78</v>
      </c>
      <c r="V2013" s="12" t="s">
        <v>5176</v>
      </c>
      <c r="W2013" s="12" t="s">
        <v>51</v>
      </c>
      <c r="X2013" s="13">
        <v>0</v>
      </c>
      <c r="Y2013" s="12" t="s">
        <v>91</v>
      </c>
      <c r="Z2013" s="12" t="s">
        <v>108</v>
      </c>
      <c r="AA2013" s="13">
        <v>0</v>
      </c>
      <c r="AB2013" s="13">
        <v>0</v>
      </c>
      <c r="AC2013" s="15">
        <v>12.75</v>
      </c>
      <c r="AD2013" s="15">
        <f>AC2013*AG2013</f>
        <v>25.5</v>
      </c>
      <c r="AE2013" s="15">
        <v>28</v>
      </c>
      <c r="AF2013" s="15">
        <f>AE2013*AG2013</f>
        <v>56</v>
      </c>
      <c r="AG2013" s="16">
        <v>2</v>
      </c>
    </row>
    <row r="2014" spans="1:33" ht="15" customHeight="1" x14ac:dyDescent="0.2">
      <c r="A2014" s="11" t="str">
        <f>HYPERLINK("https://assets.vans.eu/images/VN000M7UZBF-HERO/1","VN000M7UZBF1")</f>
        <v>VN000M7UZBF1</v>
      </c>
      <c r="B2014" s="12" t="s">
        <v>7630</v>
      </c>
      <c r="C2014" s="12" t="s">
        <v>7631</v>
      </c>
      <c r="D2014" s="12" t="s">
        <v>680</v>
      </c>
      <c r="E2014" s="12" t="s">
        <v>7632</v>
      </c>
      <c r="F2014" s="12" t="s">
        <v>853</v>
      </c>
      <c r="G2014" s="14"/>
      <c r="H2014" s="12" t="s">
        <v>79</v>
      </c>
      <c r="I2014" s="12" t="s">
        <v>80</v>
      </c>
      <c r="J2014" s="12" t="s">
        <v>349</v>
      </c>
      <c r="K2014" s="12" t="s">
        <v>82</v>
      </c>
      <c r="L2014" s="14"/>
      <c r="M2014" s="12" t="s">
        <v>43</v>
      </c>
      <c r="N2014" s="12" t="s">
        <v>44</v>
      </c>
      <c r="O2014" s="12" t="s">
        <v>7633</v>
      </c>
      <c r="P2014" s="12" t="s">
        <v>86</v>
      </c>
      <c r="Q2014" s="12" t="s">
        <v>128</v>
      </c>
      <c r="R2014" s="12" t="s">
        <v>352</v>
      </c>
      <c r="S2014" s="13">
        <v>197643467304</v>
      </c>
      <c r="T2014" s="12" t="s">
        <v>164</v>
      </c>
      <c r="U2014" s="12" t="s">
        <v>853</v>
      </c>
      <c r="V2014" s="12" t="s">
        <v>7634</v>
      </c>
      <c r="W2014" s="12" t="s">
        <v>118</v>
      </c>
      <c r="X2014" s="13">
        <v>0</v>
      </c>
      <c r="Y2014" s="12" t="s">
        <v>91</v>
      </c>
      <c r="Z2014" s="12" t="s">
        <v>108</v>
      </c>
      <c r="AA2014" s="13">
        <v>0</v>
      </c>
      <c r="AB2014" s="13">
        <v>0</v>
      </c>
      <c r="AC2014" s="15">
        <v>20.5</v>
      </c>
      <c r="AD2014" s="15">
        <f>AC2014*AG2014</f>
        <v>41</v>
      </c>
      <c r="AE2014" s="15">
        <v>45</v>
      </c>
      <c r="AF2014" s="15">
        <f>AE2014*AG2014</f>
        <v>90</v>
      </c>
      <c r="AG2014" s="16">
        <v>2</v>
      </c>
    </row>
    <row r="2015" spans="1:33" ht="15" customHeight="1" x14ac:dyDescent="0.2">
      <c r="A2015" s="11" t="str">
        <f>HYPERLINK("https://assets.vans.eu/images/VN000NBRBLK-HERO/1","VN000NBRBLK1")</f>
        <v>VN000NBRBLK1</v>
      </c>
      <c r="B2015" s="12" t="s">
        <v>7635</v>
      </c>
      <c r="C2015" s="12" t="s">
        <v>7636</v>
      </c>
      <c r="D2015" s="12" t="s">
        <v>76</v>
      </c>
      <c r="E2015" s="12" t="s">
        <v>7637</v>
      </c>
      <c r="F2015" s="12" t="s">
        <v>78</v>
      </c>
      <c r="G2015" s="14"/>
      <c r="H2015" s="12" t="s">
        <v>79</v>
      </c>
      <c r="I2015" s="12" t="s">
        <v>80</v>
      </c>
      <c r="J2015" s="12" t="s">
        <v>349</v>
      </c>
      <c r="K2015" s="12" t="s">
        <v>82</v>
      </c>
      <c r="L2015" s="14"/>
      <c r="M2015" s="12" t="s">
        <v>43</v>
      </c>
      <c r="N2015" s="12" t="s">
        <v>44</v>
      </c>
      <c r="O2015" s="12" t="s">
        <v>7638</v>
      </c>
      <c r="P2015" s="12" t="s">
        <v>86</v>
      </c>
      <c r="Q2015" s="12" t="s">
        <v>128</v>
      </c>
      <c r="R2015" s="12" t="s">
        <v>352</v>
      </c>
      <c r="S2015" s="13">
        <v>197643467557</v>
      </c>
      <c r="T2015" s="12" t="s">
        <v>49</v>
      </c>
      <c r="U2015" s="12" t="s">
        <v>78</v>
      </c>
      <c r="V2015" s="12" t="s">
        <v>671</v>
      </c>
      <c r="W2015" s="12" t="s">
        <v>51</v>
      </c>
      <c r="X2015" s="13">
        <v>0</v>
      </c>
      <c r="Y2015" s="12" t="s">
        <v>91</v>
      </c>
      <c r="Z2015" s="12" t="s">
        <v>108</v>
      </c>
      <c r="AA2015" s="13">
        <v>0</v>
      </c>
      <c r="AB2015" s="13">
        <v>0</v>
      </c>
      <c r="AC2015" s="15">
        <v>14.55</v>
      </c>
      <c r="AD2015" s="15">
        <f>AC2015*AG2015</f>
        <v>29.1</v>
      </c>
      <c r="AE2015" s="15">
        <v>32</v>
      </c>
      <c r="AF2015" s="15">
        <f>AE2015*AG2015</f>
        <v>64</v>
      </c>
      <c r="AG2015" s="16">
        <v>2</v>
      </c>
    </row>
    <row r="2016" spans="1:33" ht="15" customHeight="1" x14ac:dyDescent="0.2">
      <c r="A2016" s="11" t="str">
        <f>HYPERLINK("https://assets.vans.eu/images/VN000Q1ABRD-HERO/1","VN000Q1ABRD1")</f>
        <v>VN000Q1ABRD1</v>
      </c>
      <c r="B2016" s="12" t="s">
        <v>7639</v>
      </c>
      <c r="C2016" s="12" t="s">
        <v>7640</v>
      </c>
      <c r="D2016" s="12" t="s">
        <v>590</v>
      </c>
      <c r="E2016" s="12" t="s">
        <v>7641</v>
      </c>
      <c r="F2016" s="12" t="s">
        <v>78</v>
      </c>
      <c r="G2016" s="14"/>
      <c r="H2016" s="12" t="s">
        <v>79</v>
      </c>
      <c r="I2016" s="12" t="s">
        <v>125</v>
      </c>
      <c r="J2016" s="12" t="s">
        <v>126</v>
      </c>
      <c r="K2016" s="12" t="s">
        <v>41</v>
      </c>
      <c r="L2016" s="14"/>
      <c r="M2016" s="12" t="s">
        <v>43</v>
      </c>
      <c r="N2016" s="12" t="s">
        <v>84</v>
      </c>
      <c r="O2016" s="12" t="s">
        <v>7642</v>
      </c>
      <c r="P2016" s="12" t="s">
        <v>86</v>
      </c>
      <c r="Q2016" s="12" t="s">
        <v>128</v>
      </c>
      <c r="R2016" s="12" t="s">
        <v>129</v>
      </c>
      <c r="S2016" s="13">
        <v>197804373598</v>
      </c>
      <c r="T2016" s="12" t="s">
        <v>235</v>
      </c>
      <c r="U2016" s="12" t="s">
        <v>78</v>
      </c>
      <c r="V2016" s="12" t="s">
        <v>671</v>
      </c>
      <c r="W2016" s="12" t="s">
        <v>262</v>
      </c>
      <c r="X2016" s="14"/>
      <c r="Y2016" s="14"/>
      <c r="Z2016" s="14"/>
      <c r="AA2016" s="14"/>
      <c r="AB2016" s="14"/>
      <c r="AC2016" s="15">
        <v>12.75</v>
      </c>
      <c r="AD2016" s="15">
        <f>AC2016*AG2016</f>
        <v>25.5</v>
      </c>
      <c r="AE2016" s="15">
        <v>28</v>
      </c>
      <c r="AF2016" s="15">
        <f>AE2016*AG2016</f>
        <v>56</v>
      </c>
      <c r="AG2016" s="16">
        <v>2</v>
      </c>
    </row>
    <row r="2017" spans="1:33" ht="15" customHeight="1" x14ac:dyDescent="0.2">
      <c r="A2017" s="11" t="str">
        <f t="shared" si="93"/>
        <v>VN000Q94EN71</v>
      </c>
      <c r="B2017" s="12" t="s">
        <v>7643</v>
      </c>
      <c r="C2017" s="12" t="s">
        <v>315</v>
      </c>
      <c r="D2017" s="12" t="s">
        <v>295</v>
      </c>
      <c r="E2017" s="12" t="s">
        <v>7644</v>
      </c>
      <c r="F2017" s="12" t="s">
        <v>153</v>
      </c>
      <c r="G2017" s="14"/>
      <c r="H2017" s="12" t="s">
        <v>79</v>
      </c>
      <c r="I2017" s="12" t="s">
        <v>125</v>
      </c>
      <c r="J2017" s="12" t="s">
        <v>139</v>
      </c>
      <c r="K2017" s="12" t="s">
        <v>41</v>
      </c>
      <c r="L2017" s="14"/>
      <c r="M2017" s="12" t="s">
        <v>43</v>
      </c>
      <c r="N2017" s="12" t="s">
        <v>84</v>
      </c>
      <c r="O2017" s="12" t="s">
        <v>7645</v>
      </c>
      <c r="P2017" s="12" t="s">
        <v>86</v>
      </c>
      <c r="Q2017" s="12" t="s">
        <v>141</v>
      </c>
      <c r="R2017" s="12" t="s">
        <v>142</v>
      </c>
      <c r="S2017" s="13">
        <v>197804374137</v>
      </c>
      <c r="T2017" s="12" t="s">
        <v>143</v>
      </c>
      <c r="U2017" s="12" t="s">
        <v>153</v>
      </c>
      <c r="V2017" s="12" t="s">
        <v>318</v>
      </c>
      <c r="W2017" s="12" t="s">
        <v>299</v>
      </c>
      <c r="X2017" s="14"/>
      <c r="Y2017" s="14"/>
      <c r="Z2017" s="14"/>
      <c r="AA2017" s="14"/>
      <c r="AB2017" s="14"/>
      <c r="AC2017" s="15">
        <v>6.4</v>
      </c>
      <c r="AD2017" s="15">
        <f>AC2017*AG2017</f>
        <v>12.8</v>
      </c>
      <c r="AE2017" s="15">
        <v>14</v>
      </c>
      <c r="AF2017" s="15">
        <f>AE2017*AG2017</f>
        <v>28</v>
      </c>
      <c r="AG2017" s="16">
        <v>2</v>
      </c>
    </row>
    <row r="2018" spans="1:33" ht="15" customHeight="1" x14ac:dyDescent="0.2">
      <c r="A2018" s="11" t="str">
        <f>HYPERLINK("https://assets.vans.eu/images/VN000QAGLVB-HERO/1","VN000QAGLVB1")</f>
        <v>VN000QAGLVB1</v>
      </c>
      <c r="B2018" s="12" t="s">
        <v>7646</v>
      </c>
      <c r="C2018" s="12" t="s">
        <v>4494</v>
      </c>
      <c r="D2018" s="12" t="s">
        <v>2643</v>
      </c>
      <c r="E2018" s="12" t="s">
        <v>7647</v>
      </c>
      <c r="F2018" s="12" t="s">
        <v>78</v>
      </c>
      <c r="G2018" s="14"/>
      <c r="H2018" s="12" t="s">
        <v>79</v>
      </c>
      <c r="I2018" s="12" t="s">
        <v>80</v>
      </c>
      <c r="J2018" s="12" t="s">
        <v>349</v>
      </c>
      <c r="K2018" s="12" t="s">
        <v>82</v>
      </c>
      <c r="L2018" s="14"/>
      <c r="M2018" s="12" t="s">
        <v>43</v>
      </c>
      <c r="N2018" s="12" t="s">
        <v>84</v>
      </c>
      <c r="O2018" s="12" t="s">
        <v>7648</v>
      </c>
      <c r="P2018" s="12" t="s">
        <v>86</v>
      </c>
      <c r="Q2018" s="12" t="s">
        <v>128</v>
      </c>
      <c r="R2018" s="12" t="s">
        <v>352</v>
      </c>
      <c r="S2018" s="13">
        <v>197804374847</v>
      </c>
      <c r="T2018" s="12" t="s">
        <v>235</v>
      </c>
      <c r="U2018" s="12" t="s">
        <v>78</v>
      </c>
      <c r="V2018" s="12" t="s">
        <v>7649</v>
      </c>
      <c r="W2018" s="12" t="s">
        <v>51</v>
      </c>
      <c r="X2018" s="14"/>
      <c r="Y2018" s="14"/>
      <c r="Z2018" s="14"/>
      <c r="AA2018" s="14"/>
      <c r="AB2018" s="14"/>
      <c r="AC2018" s="15">
        <v>16.399999999999999</v>
      </c>
      <c r="AD2018" s="15">
        <f>AC2018*AG2018</f>
        <v>32.799999999999997</v>
      </c>
      <c r="AE2018" s="15">
        <v>36</v>
      </c>
      <c r="AF2018" s="15">
        <f>AE2018*AG2018</f>
        <v>72</v>
      </c>
      <c r="AG2018" s="16">
        <v>2</v>
      </c>
    </row>
    <row r="2019" spans="1:33" ht="15" customHeight="1" x14ac:dyDescent="0.2">
      <c r="A2019" s="11" t="str">
        <f>HYPERLINK("https://assets.vans.eu/images/VN000QAREN6-HERO/1","VN000QAREN61")</f>
        <v>VN000QAREN61</v>
      </c>
      <c r="B2019" s="12" t="s">
        <v>7650</v>
      </c>
      <c r="C2019" s="12" t="s">
        <v>7651</v>
      </c>
      <c r="D2019" s="12" t="s">
        <v>189</v>
      </c>
      <c r="E2019" s="12" t="s">
        <v>7652</v>
      </c>
      <c r="F2019" s="12" t="s">
        <v>78</v>
      </c>
      <c r="G2019" s="14"/>
      <c r="H2019" s="12" t="s">
        <v>79</v>
      </c>
      <c r="I2019" s="12" t="s">
        <v>80</v>
      </c>
      <c r="J2019" s="12" t="s">
        <v>349</v>
      </c>
      <c r="K2019" s="12" t="s">
        <v>82</v>
      </c>
      <c r="L2019" s="14"/>
      <c r="M2019" s="12" t="s">
        <v>43</v>
      </c>
      <c r="N2019" s="12" t="s">
        <v>84</v>
      </c>
      <c r="O2019" s="12" t="s">
        <v>7653</v>
      </c>
      <c r="P2019" s="12" t="s">
        <v>86</v>
      </c>
      <c r="Q2019" s="12" t="s">
        <v>128</v>
      </c>
      <c r="R2019" s="12" t="s">
        <v>352</v>
      </c>
      <c r="S2019" s="13">
        <v>197804374984</v>
      </c>
      <c r="T2019" s="12" t="s">
        <v>164</v>
      </c>
      <c r="U2019" s="12" t="s">
        <v>78</v>
      </c>
      <c r="V2019" s="12" t="s">
        <v>195</v>
      </c>
      <c r="W2019" s="12" t="s">
        <v>118</v>
      </c>
      <c r="X2019" s="14"/>
      <c r="Y2019" s="14"/>
      <c r="Z2019" s="14"/>
      <c r="AA2019" s="14"/>
      <c r="AB2019" s="14"/>
      <c r="AC2019" s="15">
        <v>20.5</v>
      </c>
      <c r="AD2019" s="15">
        <f>AC2019*AG2019</f>
        <v>41</v>
      </c>
      <c r="AE2019" s="15">
        <v>45</v>
      </c>
      <c r="AF2019" s="15">
        <f>AE2019*AG2019</f>
        <v>90</v>
      </c>
      <c r="AG2019" s="16">
        <v>2</v>
      </c>
    </row>
    <row r="2020" spans="1:33" ht="15" customHeight="1" x14ac:dyDescent="0.2">
      <c r="A2020" s="11" t="str">
        <f>HYPERLINK("https://assets.vans.eu/images/VN000QB2EMP-HERO/1","VN000QB2EMP1")</f>
        <v>VN000QB2EMP1</v>
      </c>
      <c r="B2020" s="12" t="s">
        <v>7654</v>
      </c>
      <c r="C2020" s="12" t="s">
        <v>1534</v>
      </c>
      <c r="D2020" s="12" t="s">
        <v>704</v>
      </c>
      <c r="E2020" s="12" t="s">
        <v>7655</v>
      </c>
      <c r="F2020" s="12" t="s">
        <v>78</v>
      </c>
      <c r="G2020" s="14"/>
      <c r="H2020" s="12" t="s">
        <v>79</v>
      </c>
      <c r="I2020" s="12" t="s">
        <v>80</v>
      </c>
      <c r="J2020" s="12" t="s">
        <v>349</v>
      </c>
      <c r="K2020" s="12" t="s">
        <v>82</v>
      </c>
      <c r="L2020" s="14"/>
      <c r="M2020" s="12" t="s">
        <v>43</v>
      </c>
      <c r="N2020" s="12" t="s">
        <v>84</v>
      </c>
      <c r="O2020" s="12" t="s">
        <v>7656</v>
      </c>
      <c r="P2020" s="12" t="s">
        <v>86</v>
      </c>
      <c r="Q2020" s="12" t="s">
        <v>128</v>
      </c>
      <c r="R2020" s="12" t="s">
        <v>352</v>
      </c>
      <c r="S2020" s="13">
        <v>197804375158</v>
      </c>
      <c r="T2020" s="12" t="s">
        <v>130</v>
      </c>
      <c r="U2020" s="12" t="s">
        <v>78</v>
      </c>
      <c r="V2020" s="12" t="s">
        <v>593</v>
      </c>
      <c r="W2020" s="12" t="s">
        <v>186</v>
      </c>
      <c r="X2020" s="14"/>
      <c r="Y2020" s="14"/>
      <c r="Z2020" s="14"/>
      <c r="AA2020" s="14"/>
      <c r="AB2020" s="14"/>
      <c r="AC2020" s="15">
        <v>12.75</v>
      </c>
      <c r="AD2020" s="15">
        <f>AC2020*AG2020</f>
        <v>25.5</v>
      </c>
      <c r="AE2020" s="15">
        <v>28</v>
      </c>
      <c r="AF2020" s="15">
        <f>AE2020*AG2020</f>
        <v>56</v>
      </c>
      <c r="AG2020" s="16">
        <v>2</v>
      </c>
    </row>
    <row r="2021" spans="1:33" ht="15" customHeight="1" x14ac:dyDescent="0.2">
      <c r="A2021" s="11" t="str">
        <f>HYPERLINK("https://assets.vans.eu/images/VN000QB9EMP-HERO/1","VN000QB9EMP1")</f>
        <v>VN000QB9EMP1</v>
      </c>
      <c r="B2021" s="12" t="s">
        <v>7657</v>
      </c>
      <c r="C2021" s="12" t="s">
        <v>806</v>
      </c>
      <c r="D2021" s="12" t="s">
        <v>704</v>
      </c>
      <c r="E2021" s="12" t="s">
        <v>7658</v>
      </c>
      <c r="F2021" s="12" t="s">
        <v>170</v>
      </c>
      <c r="G2021" s="14"/>
      <c r="H2021" s="12" t="s">
        <v>79</v>
      </c>
      <c r="I2021" s="12" t="s">
        <v>80</v>
      </c>
      <c r="J2021" s="12" t="s">
        <v>171</v>
      </c>
      <c r="K2021" s="12" t="s">
        <v>82</v>
      </c>
      <c r="L2021" s="14"/>
      <c r="M2021" s="12" t="s">
        <v>43</v>
      </c>
      <c r="N2021" s="12" t="s">
        <v>84</v>
      </c>
      <c r="O2021" s="12" t="s">
        <v>7659</v>
      </c>
      <c r="P2021" s="12" t="s">
        <v>86</v>
      </c>
      <c r="Q2021" s="12" t="s">
        <v>141</v>
      </c>
      <c r="R2021" s="12" t="s">
        <v>173</v>
      </c>
      <c r="S2021" s="13">
        <v>197804394135</v>
      </c>
      <c r="T2021" s="12" t="s">
        <v>105</v>
      </c>
      <c r="U2021" s="12" t="s">
        <v>170</v>
      </c>
      <c r="V2021" s="12" t="s">
        <v>181</v>
      </c>
      <c r="W2021" s="12" t="s">
        <v>186</v>
      </c>
      <c r="X2021" s="14"/>
      <c r="Y2021" s="14"/>
      <c r="Z2021" s="14"/>
      <c r="AA2021" s="14"/>
      <c r="AB2021" s="14"/>
      <c r="AC2021" s="15">
        <v>7.3</v>
      </c>
      <c r="AD2021" s="15">
        <f>AC2021*AG2021</f>
        <v>14.6</v>
      </c>
      <c r="AE2021" s="15">
        <v>16</v>
      </c>
      <c r="AF2021" s="15">
        <f>AE2021*AG2021</f>
        <v>32</v>
      </c>
      <c r="AG2021" s="16">
        <v>2</v>
      </c>
    </row>
    <row r="2022" spans="1:33" ht="15" customHeight="1" x14ac:dyDescent="0.2">
      <c r="A2022" s="11" t="str">
        <f>HYPERLINK("https://assets.vans.eu/images/VN000QBEF0E-HERO/1","VN000QBEF0E1")</f>
        <v>VN000QBEF0E1</v>
      </c>
      <c r="B2022" s="12" t="s">
        <v>7660</v>
      </c>
      <c r="C2022" s="12" t="s">
        <v>146</v>
      </c>
      <c r="D2022" s="12" t="s">
        <v>1542</v>
      </c>
      <c r="E2022" s="12" t="s">
        <v>7661</v>
      </c>
      <c r="F2022" s="12" t="s">
        <v>179</v>
      </c>
      <c r="G2022" s="14"/>
      <c r="H2022" s="12" t="s">
        <v>79</v>
      </c>
      <c r="I2022" s="12" t="s">
        <v>80</v>
      </c>
      <c r="J2022" s="12" t="s">
        <v>171</v>
      </c>
      <c r="K2022" s="12" t="s">
        <v>82</v>
      </c>
      <c r="L2022" s="14"/>
      <c r="M2022" s="12" t="s">
        <v>43</v>
      </c>
      <c r="N2022" s="12" t="s">
        <v>84</v>
      </c>
      <c r="O2022" s="12" t="s">
        <v>7662</v>
      </c>
      <c r="P2022" s="12" t="s">
        <v>86</v>
      </c>
      <c r="Q2022" s="12" t="s">
        <v>141</v>
      </c>
      <c r="R2022" s="12" t="s">
        <v>173</v>
      </c>
      <c r="S2022" s="13">
        <v>197804395316</v>
      </c>
      <c r="T2022" s="12" t="s">
        <v>143</v>
      </c>
      <c r="U2022" s="12" t="s">
        <v>179</v>
      </c>
      <c r="V2022" s="12" t="s">
        <v>1545</v>
      </c>
      <c r="W2022" s="12" t="s">
        <v>51</v>
      </c>
      <c r="X2022" s="14"/>
      <c r="Y2022" s="14"/>
      <c r="Z2022" s="14"/>
      <c r="AA2022" s="14"/>
      <c r="AB2022" s="14"/>
      <c r="AC2022" s="15">
        <v>9.1</v>
      </c>
      <c r="AD2022" s="15">
        <f>AC2022*AG2022</f>
        <v>18.2</v>
      </c>
      <c r="AE2022" s="15">
        <v>20</v>
      </c>
      <c r="AF2022" s="15">
        <f>AE2022*AG2022</f>
        <v>40</v>
      </c>
      <c r="AG2022" s="16">
        <v>2</v>
      </c>
    </row>
    <row r="2023" spans="1:33" ht="15" customHeight="1" x14ac:dyDescent="0.2">
      <c r="A2023" s="11" t="str">
        <f>HYPERLINK("https://assets.vans.eu/images/VN000QBQEN7-HERO/1","VN000QBQEN71")</f>
        <v>VN000QBQEN71</v>
      </c>
      <c r="B2023" s="12" t="s">
        <v>7663</v>
      </c>
      <c r="C2023" s="12" t="s">
        <v>2338</v>
      </c>
      <c r="D2023" s="12" t="s">
        <v>295</v>
      </c>
      <c r="E2023" s="12" t="s">
        <v>7664</v>
      </c>
      <c r="F2023" s="12" t="s">
        <v>179</v>
      </c>
      <c r="G2023" s="14"/>
      <c r="H2023" s="12" t="s">
        <v>79</v>
      </c>
      <c r="I2023" s="12" t="s">
        <v>80</v>
      </c>
      <c r="J2023" s="12" t="s">
        <v>171</v>
      </c>
      <c r="K2023" s="12" t="s">
        <v>82</v>
      </c>
      <c r="L2023" s="14"/>
      <c r="M2023" s="12" t="s">
        <v>43</v>
      </c>
      <c r="N2023" s="12" t="s">
        <v>84</v>
      </c>
      <c r="O2023" s="12" t="s">
        <v>7665</v>
      </c>
      <c r="P2023" s="12" t="s">
        <v>86</v>
      </c>
      <c r="Q2023" s="12" t="s">
        <v>141</v>
      </c>
      <c r="R2023" s="12" t="s">
        <v>173</v>
      </c>
      <c r="S2023" s="13">
        <v>197804395170</v>
      </c>
      <c r="T2023" s="12" t="s">
        <v>143</v>
      </c>
      <c r="U2023" s="12" t="s">
        <v>179</v>
      </c>
      <c r="V2023" s="12" t="s">
        <v>2341</v>
      </c>
      <c r="W2023" s="12" t="s">
        <v>299</v>
      </c>
      <c r="X2023" s="14"/>
      <c r="Y2023" s="14"/>
      <c r="Z2023" s="14"/>
      <c r="AA2023" s="14"/>
      <c r="AB2023" s="14"/>
      <c r="AC2023" s="15">
        <v>7.3</v>
      </c>
      <c r="AD2023" s="15">
        <f>AC2023*AG2023</f>
        <v>14.6</v>
      </c>
      <c r="AE2023" s="15">
        <v>16</v>
      </c>
      <c r="AF2023" s="15">
        <f>AE2023*AG2023</f>
        <v>32</v>
      </c>
      <c r="AG2023" s="16">
        <v>2</v>
      </c>
    </row>
    <row r="2024" spans="1:33" ht="15" customHeight="1" x14ac:dyDescent="0.2">
      <c r="A2024" s="11" t="str">
        <f>HYPERLINK("https://assets.vans.eu/images/VN000QBSBLK-HERO/1","VN000QBSBLK1")</f>
        <v>VN000QBSBLK1</v>
      </c>
      <c r="B2024" s="12" t="s">
        <v>7666</v>
      </c>
      <c r="C2024" s="12" t="s">
        <v>7667</v>
      </c>
      <c r="D2024" s="12" t="s">
        <v>76</v>
      </c>
      <c r="E2024" s="12" t="s">
        <v>7668</v>
      </c>
      <c r="F2024" s="12" t="s">
        <v>403</v>
      </c>
      <c r="G2024" s="14"/>
      <c r="H2024" s="12" t="s">
        <v>79</v>
      </c>
      <c r="I2024" s="12" t="s">
        <v>80</v>
      </c>
      <c r="J2024" s="12" t="s">
        <v>171</v>
      </c>
      <c r="K2024" s="12" t="s">
        <v>82</v>
      </c>
      <c r="L2024" s="14"/>
      <c r="M2024" s="12" t="s">
        <v>43</v>
      </c>
      <c r="N2024" s="12" t="s">
        <v>84</v>
      </c>
      <c r="O2024" s="12" t="s">
        <v>7669</v>
      </c>
      <c r="P2024" s="12" t="s">
        <v>86</v>
      </c>
      <c r="Q2024" s="12" t="s">
        <v>141</v>
      </c>
      <c r="R2024" s="12" t="s">
        <v>173</v>
      </c>
      <c r="S2024" s="13">
        <v>197804395545</v>
      </c>
      <c r="T2024" s="12" t="s">
        <v>143</v>
      </c>
      <c r="U2024" s="12" t="s">
        <v>403</v>
      </c>
      <c r="V2024" s="12" t="s">
        <v>7670</v>
      </c>
      <c r="W2024" s="12" t="s">
        <v>51</v>
      </c>
      <c r="X2024" s="14"/>
      <c r="Y2024" s="14"/>
      <c r="Z2024" s="14"/>
      <c r="AA2024" s="14"/>
      <c r="AB2024" s="14"/>
      <c r="AC2024" s="15">
        <v>7.3</v>
      </c>
      <c r="AD2024" s="15">
        <f>AC2024*AG2024</f>
        <v>14.6</v>
      </c>
      <c r="AE2024" s="15">
        <v>16</v>
      </c>
      <c r="AF2024" s="15">
        <f>AE2024*AG2024</f>
        <v>32</v>
      </c>
      <c r="AG2024" s="16">
        <v>2</v>
      </c>
    </row>
    <row r="2025" spans="1:33" ht="15" customHeight="1" x14ac:dyDescent="0.2">
      <c r="A2025" s="11" t="str">
        <f>HYPERLINK("https://assets.vans.eu/images/VN000QCKBLK-HERO/1","VN000QCKBLK1")</f>
        <v>VN000QCKBLK1</v>
      </c>
      <c r="B2025" s="12" t="s">
        <v>7671</v>
      </c>
      <c r="C2025" s="12" t="s">
        <v>7672</v>
      </c>
      <c r="D2025" s="12" t="s">
        <v>76</v>
      </c>
      <c r="E2025" s="12" t="s">
        <v>7673</v>
      </c>
      <c r="F2025" s="12" t="s">
        <v>491</v>
      </c>
      <c r="G2025" s="14"/>
      <c r="H2025" s="12" t="s">
        <v>79</v>
      </c>
      <c r="I2025" s="12" t="s">
        <v>80</v>
      </c>
      <c r="J2025" s="12" t="s">
        <v>99</v>
      </c>
      <c r="K2025" s="12" t="s">
        <v>82</v>
      </c>
      <c r="L2025" s="14"/>
      <c r="M2025" s="12" t="s">
        <v>43</v>
      </c>
      <c r="N2025" s="12" t="s">
        <v>84</v>
      </c>
      <c r="O2025" s="12" t="s">
        <v>7674</v>
      </c>
      <c r="P2025" s="12" t="s">
        <v>86</v>
      </c>
      <c r="Q2025" s="12" t="s">
        <v>103</v>
      </c>
      <c r="R2025" s="12" t="s">
        <v>104</v>
      </c>
      <c r="S2025" s="13">
        <v>197804384211</v>
      </c>
      <c r="T2025" s="12" t="s">
        <v>49</v>
      </c>
      <c r="U2025" s="12" t="s">
        <v>491</v>
      </c>
      <c r="V2025" s="12" t="s">
        <v>1550</v>
      </c>
      <c r="W2025" s="12" t="s">
        <v>51</v>
      </c>
      <c r="X2025" s="14"/>
      <c r="Y2025" s="14"/>
      <c r="Z2025" s="14"/>
      <c r="AA2025" s="14"/>
      <c r="AB2025" s="14"/>
      <c r="AC2025" s="15">
        <v>22.75</v>
      </c>
      <c r="AD2025" s="15">
        <f>AC2025*AG2025</f>
        <v>45.5</v>
      </c>
      <c r="AE2025" s="15">
        <v>50</v>
      </c>
      <c r="AF2025" s="15">
        <f>AE2025*AG2025</f>
        <v>100</v>
      </c>
      <c r="AG2025" s="16">
        <v>2</v>
      </c>
    </row>
    <row r="2026" spans="1:33" ht="15" customHeight="1" x14ac:dyDescent="0.2">
      <c r="A2026" s="11" t="str">
        <f>HYPERLINK("https://assets.vans.eu/images/VN000XS9IZH-HERO/1","VN000XS9IZH1")</f>
        <v>VN000XS9IZH1</v>
      </c>
      <c r="B2026" s="12" t="s">
        <v>7675</v>
      </c>
      <c r="C2026" s="12" t="s">
        <v>7676</v>
      </c>
      <c r="D2026" s="12" t="s">
        <v>7677</v>
      </c>
      <c r="E2026" s="12" t="s">
        <v>7678</v>
      </c>
      <c r="F2026" s="12" t="s">
        <v>78</v>
      </c>
      <c r="G2026" s="14"/>
      <c r="H2026" s="12" t="s">
        <v>79</v>
      </c>
      <c r="I2026" s="12" t="s">
        <v>80</v>
      </c>
      <c r="J2026" s="12" t="s">
        <v>171</v>
      </c>
      <c r="K2026" s="12" t="s">
        <v>199</v>
      </c>
      <c r="L2026" s="14"/>
      <c r="M2026" s="12" t="s">
        <v>43</v>
      </c>
      <c r="N2026" s="12" t="s">
        <v>101</v>
      </c>
      <c r="O2026" s="12" t="s">
        <v>7679</v>
      </c>
      <c r="P2026" s="12" t="s">
        <v>86</v>
      </c>
      <c r="Q2026" s="12" t="s">
        <v>141</v>
      </c>
      <c r="R2026" s="12" t="s">
        <v>173</v>
      </c>
      <c r="S2026" s="13">
        <v>194112549585</v>
      </c>
      <c r="T2026" s="12" t="s">
        <v>69</v>
      </c>
      <c r="U2026" s="12" t="s">
        <v>78</v>
      </c>
      <c r="V2026" s="12" t="s">
        <v>7680</v>
      </c>
      <c r="W2026" s="12" t="s">
        <v>51</v>
      </c>
      <c r="X2026" s="13">
        <v>0</v>
      </c>
      <c r="Y2026" s="12" t="s">
        <v>91</v>
      </c>
      <c r="Z2026" s="12" t="s">
        <v>108</v>
      </c>
      <c r="AA2026" s="13">
        <v>0</v>
      </c>
      <c r="AB2026" s="13">
        <v>0</v>
      </c>
      <c r="AC2026" s="15">
        <v>8.1999999999999993</v>
      </c>
      <c r="AD2026" s="15">
        <f>AC2026*AG2026</f>
        <v>16.399999999999999</v>
      </c>
      <c r="AE2026" s="15">
        <v>18</v>
      </c>
      <c r="AF2026" s="15">
        <f>AE2026*AG2026</f>
        <v>36</v>
      </c>
      <c r="AG2026" s="16">
        <v>2</v>
      </c>
    </row>
    <row r="2027" spans="1:33" ht="15" customHeight="1" x14ac:dyDescent="0.2">
      <c r="A2027" s="11" t="str">
        <f>HYPERLINK("https://assets.vans.eu/images/VN0A3I5LBHH-HERO/1","VN0A3I5LBHH1")</f>
        <v>VN0A3I5LBHH1</v>
      </c>
      <c r="B2027" s="12" t="s">
        <v>7681</v>
      </c>
      <c r="C2027" s="12" t="s">
        <v>6199</v>
      </c>
      <c r="D2027" s="12" t="s">
        <v>521</v>
      </c>
      <c r="E2027" s="12" t="s">
        <v>7682</v>
      </c>
      <c r="F2027" s="12" t="s">
        <v>78</v>
      </c>
      <c r="G2027" s="14"/>
      <c r="H2027" s="12" t="s">
        <v>79</v>
      </c>
      <c r="I2027" s="12" t="s">
        <v>80</v>
      </c>
      <c r="J2027" s="12" t="s">
        <v>349</v>
      </c>
      <c r="K2027" s="12" t="s">
        <v>199</v>
      </c>
      <c r="L2027" s="14"/>
      <c r="M2027" s="12" t="s">
        <v>43</v>
      </c>
      <c r="N2027" s="12" t="s">
        <v>2457</v>
      </c>
      <c r="O2027" s="12" t="s">
        <v>7683</v>
      </c>
      <c r="P2027" s="12" t="s">
        <v>86</v>
      </c>
      <c r="Q2027" s="12" t="s">
        <v>128</v>
      </c>
      <c r="R2027" s="12" t="s">
        <v>352</v>
      </c>
      <c r="S2027" s="13">
        <v>193391172712</v>
      </c>
      <c r="T2027" s="12" t="s">
        <v>130</v>
      </c>
      <c r="U2027" s="12" t="s">
        <v>78</v>
      </c>
      <c r="V2027" s="12" t="s">
        <v>524</v>
      </c>
      <c r="W2027" s="12" t="s">
        <v>455</v>
      </c>
      <c r="X2027" s="13">
        <v>0</v>
      </c>
      <c r="Y2027" s="12" t="s">
        <v>91</v>
      </c>
      <c r="Z2027" s="12" t="s">
        <v>108</v>
      </c>
      <c r="AA2027" s="13">
        <v>0</v>
      </c>
      <c r="AB2027" s="13">
        <v>0</v>
      </c>
      <c r="AC2027" s="15">
        <v>12.75</v>
      </c>
      <c r="AD2027" s="15">
        <f>AC2027*AG2027</f>
        <v>25.5</v>
      </c>
      <c r="AE2027" s="15">
        <v>28</v>
      </c>
      <c r="AF2027" s="15">
        <f>AE2027*AG2027</f>
        <v>56</v>
      </c>
      <c r="AG2027" s="16">
        <v>2</v>
      </c>
    </row>
    <row r="2028" spans="1:33" ht="15" customHeight="1" x14ac:dyDescent="0.2">
      <c r="A2028" s="11" t="str">
        <f>HYPERLINK("https://assets.vans.eu/images/VN0A48HCYB2-HERO/1","VN0A48HCYB21")</f>
        <v>VN0A48HCYB21</v>
      </c>
      <c r="B2028" s="12" t="s">
        <v>7684</v>
      </c>
      <c r="C2028" s="12" t="s">
        <v>7685</v>
      </c>
      <c r="D2028" s="12" t="s">
        <v>1138</v>
      </c>
      <c r="E2028" s="12" t="s">
        <v>7686</v>
      </c>
      <c r="F2028" s="12" t="s">
        <v>78</v>
      </c>
      <c r="G2028" s="14"/>
      <c r="H2028" s="12" t="s">
        <v>79</v>
      </c>
      <c r="I2028" s="12" t="s">
        <v>80</v>
      </c>
      <c r="J2028" s="12" t="s">
        <v>171</v>
      </c>
      <c r="K2028" s="12" t="s">
        <v>100</v>
      </c>
      <c r="L2028" s="14"/>
      <c r="M2028" s="12" t="s">
        <v>43</v>
      </c>
      <c r="N2028" s="12" t="s">
        <v>6205</v>
      </c>
      <c r="O2028" s="12" t="s">
        <v>7687</v>
      </c>
      <c r="P2028" s="12" t="s">
        <v>86</v>
      </c>
      <c r="Q2028" s="12" t="s">
        <v>141</v>
      </c>
      <c r="R2028" s="12" t="s">
        <v>173</v>
      </c>
      <c r="S2028" s="13">
        <v>192827496996</v>
      </c>
      <c r="T2028" s="12" t="s">
        <v>69</v>
      </c>
      <c r="U2028" s="12" t="s">
        <v>78</v>
      </c>
      <c r="V2028" s="12" t="s">
        <v>7688</v>
      </c>
      <c r="W2028" s="12" t="s">
        <v>175</v>
      </c>
      <c r="X2028" s="14"/>
      <c r="Y2028" s="12" t="s">
        <v>91</v>
      </c>
      <c r="Z2028" s="12" t="s">
        <v>165</v>
      </c>
      <c r="AA2028" s="14"/>
      <c r="AB2028" s="13">
        <v>0</v>
      </c>
      <c r="AC2028" s="15">
        <v>9.1</v>
      </c>
      <c r="AD2028" s="15">
        <f>AC2028*AG2028</f>
        <v>18.2</v>
      </c>
      <c r="AE2028" s="15">
        <v>20</v>
      </c>
      <c r="AF2028" s="15">
        <f>AE2028*AG2028</f>
        <v>40</v>
      </c>
      <c r="AG2028" s="16">
        <v>2</v>
      </c>
    </row>
    <row r="2029" spans="1:33" ht="15" customHeight="1" x14ac:dyDescent="0.2">
      <c r="A2029" s="11" t="str">
        <f>HYPERLINK("https://assets.vans.eu/images/VN0A7PR496O-HERO/1","VN0A7PR496O1")</f>
        <v>VN0A7PR496O1</v>
      </c>
      <c r="B2029" s="12" t="s">
        <v>7689</v>
      </c>
      <c r="C2029" s="12" t="s">
        <v>7690</v>
      </c>
      <c r="D2029" s="12" t="s">
        <v>7691</v>
      </c>
      <c r="E2029" s="12" t="s">
        <v>7692</v>
      </c>
      <c r="F2029" s="12" t="s">
        <v>78</v>
      </c>
      <c r="G2029" s="14"/>
      <c r="H2029" s="12" t="s">
        <v>79</v>
      </c>
      <c r="I2029" s="12" t="s">
        <v>80</v>
      </c>
      <c r="J2029" s="12" t="s">
        <v>99</v>
      </c>
      <c r="K2029" s="12" t="s">
        <v>199</v>
      </c>
      <c r="L2029" s="14"/>
      <c r="M2029" s="12" t="s">
        <v>43</v>
      </c>
      <c r="N2029" s="12" t="s">
        <v>101</v>
      </c>
      <c r="O2029" s="12" t="s">
        <v>7693</v>
      </c>
      <c r="P2029" s="12" t="s">
        <v>86</v>
      </c>
      <c r="Q2029" s="12" t="s">
        <v>716</v>
      </c>
      <c r="R2029" s="12" t="s">
        <v>717</v>
      </c>
      <c r="S2029" s="13">
        <v>196571437786</v>
      </c>
      <c r="T2029" s="12" t="s">
        <v>143</v>
      </c>
      <c r="U2029" s="12" t="s">
        <v>78</v>
      </c>
      <c r="V2029" s="12" t="s">
        <v>718</v>
      </c>
      <c r="W2029" s="12" t="s">
        <v>186</v>
      </c>
      <c r="X2029" s="13">
        <v>0</v>
      </c>
      <c r="Y2029" s="12" t="s">
        <v>91</v>
      </c>
      <c r="Z2029" s="12" t="s">
        <v>108</v>
      </c>
      <c r="AA2029" s="13">
        <v>0</v>
      </c>
      <c r="AB2029" s="13">
        <v>0</v>
      </c>
      <c r="AC2029" s="15">
        <v>10</v>
      </c>
      <c r="AD2029" s="15">
        <f>AC2029*AG2029</f>
        <v>20</v>
      </c>
      <c r="AE2029" s="15">
        <v>22</v>
      </c>
      <c r="AF2029" s="15">
        <f>AE2029*AG2029</f>
        <v>44</v>
      </c>
      <c r="AG2029" s="16">
        <v>2</v>
      </c>
    </row>
    <row r="2030" spans="1:33" ht="15" customHeight="1" x14ac:dyDescent="0.2">
      <c r="A2030" s="11" t="str">
        <f>HYPERLINK("https://assets.vans.eu/images/VN0A7S9EZMK-HERO/1","VN0A7S9EZMK1")</f>
        <v>VN0A7S9EZMK1</v>
      </c>
      <c r="B2030" s="12" t="s">
        <v>7694</v>
      </c>
      <c r="C2030" s="12" t="s">
        <v>7695</v>
      </c>
      <c r="D2030" s="12" t="s">
        <v>7696</v>
      </c>
      <c r="E2030" s="12" t="s">
        <v>7697</v>
      </c>
      <c r="F2030" s="12" t="s">
        <v>78</v>
      </c>
      <c r="G2030" s="14"/>
      <c r="H2030" s="12" t="s">
        <v>79</v>
      </c>
      <c r="I2030" s="12" t="s">
        <v>80</v>
      </c>
      <c r="J2030" s="12" t="s">
        <v>171</v>
      </c>
      <c r="K2030" s="12" t="s">
        <v>199</v>
      </c>
      <c r="L2030" s="14"/>
      <c r="M2030" s="12" t="s">
        <v>43</v>
      </c>
      <c r="N2030" s="12" t="s">
        <v>467</v>
      </c>
      <c r="O2030" s="12" t="s">
        <v>7698</v>
      </c>
      <c r="P2030" s="12" t="s">
        <v>86</v>
      </c>
      <c r="Q2030" s="12" t="s">
        <v>141</v>
      </c>
      <c r="R2030" s="12" t="s">
        <v>173</v>
      </c>
      <c r="S2030" s="13">
        <v>196571702662</v>
      </c>
      <c r="T2030" s="12" t="s">
        <v>143</v>
      </c>
      <c r="U2030" s="12" t="s">
        <v>78</v>
      </c>
      <c r="V2030" s="12" t="s">
        <v>7699</v>
      </c>
      <c r="W2030" s="12" t="s">
        <v>598</v>
      </c>
      <c r="X2030" s="13">
        <v>0</v>
      </c>
      <c r="Y2030" s="12" t="s">
        <v>53</v>
      </c>
      <c r="Z2030" s="12" t="s">
        <v>1180</v>
      </c>
      <c r="AA2030" s="13">
        <v>0</v>
      </c>
      <c r="AB2030" s="13">
        <v>0</v>
      </c>
      <c r="AC2030" s="15">
        <v>9.1</v>
      </c>
      <c r="AD2030" s="15">
        <f>AC2030*AG2030</f>
        <v>18.2</v>
      </c>
      <c r="AE2030" s="15">
        <v>20</v>
      </c>
      <c r="AF2030" s="15">
        <f>AE2030*AG2030</f>
        <v>40</v>
      </c>
      <c r="AG2030" s="16">
        <v>2</v>
      </c>
    </row>
    <row r="2031" spans="1:33" ht="15" customHeight="1" x14ac:dyDescent="0.2">
      <c r="A2031" s="11" t="str">
        <f>HYPERLINK("https://assets.vans.eu/images/VN0A7S9FZMK-HERO/1","VN0A7S9FZMK1")</f>
        <v>VN0A7S9FZMK1</v>
      </c>
      <c r="B2031" s="12" t="s">
        <v>7700</v>
      </c>
      <c r="C2031" s="12" t="s">
        <v>7701</v>
      </c>
      <c r="D2031" s="12" t="s">
        <v>7696</v>
      </c>
      <c r="E2031" s="12" t="s">
        <v>7702</v>
      </c>
      <c r="F2031" s="12" t="s">
        <v>78</v>
      </c>
      <c r="G2031" s="14"/>
      <c r="H2031" s="12" t="s">
        <v>79</v>
      </c>
      <c r="I2031" s="12" t="s">
        <v>80</v>
      </c>
      <c r="J2031" s="12" t="s">
        <v>171</v>
      </c>
      <c r="K2031" s="12" t="s">
        <v>199</v>
      </c>
      <c r="L2031" s="14"/>
      <c r="M2031" s="12" t="s">
        <v>43</v>
      </c>
      <c r="N2031" s="12" t="s">
        <v>467</v>
      </c>
      <c r="O2031" s="12" t="s">
        <v>7703</v>
      </c>
      <c r="P2031" s="12" t="s">
        <v>86</v>
      </c>
      <c r="Q2031" s="12" t="s">
        <v>141</v>
      </c>
      <c r="R2031" s="12" t="s">
        <v>173</v>
      </c>
      <c r="S2031" s="13">
        <v>196571703164</v>
      </c>
      <c r="T2031" s="12" t="s">
        <v>143</v>
      </c>
      <c r="U2031" s="12" t="s">
        <v>78</v>
      </c>
      <c r="V2031" s="12" t="s">
        <v>7699</v>
      </c>
      <c r="W2031" s="12" t="s">
        <v>598</v>
      </c>
      <c r="X2031" s="13">
        <v>0</v>
      </c>
      <c r="Y2031" s="12" t="s">
        <v>53</v>
      </c>
      <c r="Z2031" s="12" t="s">
        <v>1180</v>
      </c>
      <c r="AA2031" s="13">
        <v>0</v>
      </c>
      <c r="AB2031" s="13">
        <v>0</v>
      </c>
      <c r="AC2031" s="15">
        <v>9.1</v>
      </c>
      <c r="AD2031" s="15">
        <f>AC2031*AG2031</f>
        <v>18.2</v>
      </c>
      <c r="AE2031" s="15">
        <v>20</v>
      </c>
      <c r="AF2031" s="15">
        <f>AE2031*AG2031</f>
        <v>40</v>
      </c>
      <c r="AG2031" s="16">
        <v>2</v>
      </c>
    </row>
    <row r="2032" spans="1:33" ht="15" customHeight="1" x14ac:dyDescent="0.2">
      <c r="A2032" s="11" t="str">
        <f>HYPERLINK("https://assets.vans.eu/images/VN0002QQYB2-HERO/1","VN0002QQYB21")</f>
        <v>VN0002QQYB21</v>
      </c>
      <c r="B2032" s="12" t="s">
        <v>7704</v>
      </c>
      <c r="C2032" s="12" t="s">
        <v>7705</v>
      </c>
      <c r="D2032" s="12" t="s">
        <v>1138</v>
      </c>
      <c r="E2032" s="12" t="s">
        <v>7706</v>
      </c>
      <c r="F2032" s="12" t="s">
        <v>60</v>
      </c>
      <c r="G2032" s="14"/>
      <c r="H2032" s="12" t="s">
        <v>61</v>
      </c>
      <c r="I2032" s="12" t="s">
        <v>230</v>
      </c>
      <c r="J2032" s="12" t="s">
        <v>419</v>
      </c>
      <c r="K2032" s="12" t="s">
        <v>199</v>
      </c>
      <c r="L2032" s="12" t="s">
        <v>83</v>
      </c>
      <c r="M2032" s="12" t="s">
        <v>43</v>
      </c>
      <c r="N2032" s="12" t="s">
        <v>161</v>
      </c>
      <c r="O2032" s="12" t="s">
        <v>7707</v>
      </c>
      <c r="P2032" s="12" t="s">
        <v>66</v>
      </c>
      <c r="Q2032" s="12" t="s">
        <v>67</v>
      </c>
      <c r="R2032" s="12" t="s">
        <v>421</v>
      </c>
      <c r="S2032" s="13">
        <v>881862157077</v>
      </c>
      <c r="T2032" s="12" t="s">
        <v>422</v>
      </c>
      <c r="U2032" s="12" t="s">
        <v>60</v>
      </c>
      <c r="V2032" s="12" t="s">
        <v>70</v>
      </c>
      <c r="W2032" s="12" t="s">
        <v>175</v>
      </c>
      <c r="X2032" s="13">
        <v>0</v>
      </c>
      <c r="Y2032" s="12" t="s">
        <v>91</v>
      </c>
      <c r="Z2032" s="12" t="s">
        <v>108</v>
      </c>
      <c r="AA2032" s="13">
        <v>0</v>
      </c>
      <c r="AB2032" s="12" t="s">
        <v>616</v>
      </c>
      <c r="AC2032" s="15">
        <v>17.3</v>
      </c>
      <c r="AD2032" s="15">
        <f>AC2032*AG2032</f>
        <v>34.6</v>
      </c>
      <c r="AE2032" s="15">
        <v>38</v>
      </c>
      <c r="AF2032" s="15">
        <f>AE2032*AG2032</f>
        <v>76</v>
      </c>
      <c r="AG2032" s="16">
        <v>2</v>
      </c>
    </row>
    <row r="2033" spans="1:33" ht="15" customHeight="1" x14ac:dyDescent="0.2">
      <c r="A2033" s="11" t="str">
        <f t="shared" ref="A2033:A2912" si="838">HYPERLINK("https://assets.vans.eu/images/VN000389BQC-HERO/1","VN000389BQC1")</f>
        <v>VN000389BQC1</v>
      </c>
      <c r="B2033" s="12" t="s">
        <v>7708</v>
      </c>
      <c r="C2033" s="12" t="s">
        <v>7709</v>
      </c>
      <c r="D2033" s="12" t="s">
        <v>7710</v>
      </c>
      <c r="E2033" s="12" t="s">
        <v>7711</v>
      </c>
      <c r="F2033" s="12" t="s">
        <v>170</v>
      </c>
      <c r="G2033" s="14"/>
      <c r="H2033" s="12" t="s">
        <v>61</v>
      </c>
      <c r="I2033" s="12" t="s">
        <v>289</v>
      </c>
      <c r="J2033" s="12" t="s">
        <v>706</v>
      </c>
      <c r="K2033" s="12" t="s">
        <v>100</v>
      </c>
      <c r="L2033" s="14"/>
      <c r="M2033" s="12" t="s">
        <v>43</v>
      </c>
      <c r="N2033" s="12" t="s">
        <v>467</v>
      </c>
      <c r="O2033" s="12" t="s">
        <v>7712</v>
      </c>
      <c r="P2033" s="12" t="s">
        <v>66</v>
      </c>
      <c r="Q2033" s="12" t="s">
        <v>67</v>
      </c>
      <c r="R2033" s="12" t="s">
        <v>1200</v>
      </c>
      <c r="S2033" s="13">
        <v>196571636745</v>
      </c>
      <c r="T2033" s="12" t="s">
        <v>105</v>
      </c>
      <c r="U2033" s="12" t="s">
        <v>170</v>
      </c>
      <c r="V2033" s="12" t="s">
        <v>7713</v>
      </c>
      <c r="W2033" s="12" t="s">
        <v>284</v>
      </c>
      <c r="X2033" s="13">
        <v>0</v>
      </c>
      <c r="Y2033" s="12" t="s">
        <v>53</v>
      </c>
      <c r="Z2033" s="12" t="s">
        <v>6135</v>
      </c>
      <c r="AA2033" s="13">
        <v>0</v>
      </c>
      <c r="AB2033" s="13">
        <v>0</v>
      </c>
      <c r="AC2033" s="15">
        <v>22.75</v>
      </c>
      <c r="AD2033" s="15">
        <f>AC2033*AG2033</f>
        <v>45.5</v>
      </c>
      <c r="AE2033" s="15">
        <v>50</v>
      </c>
      <c r="AF2033" s="15">
        <f>AE2033*AG2033</f>
        <v>100</v>
      </c>
      <c r="AG2033" s="16">
        <v>2</v>
      </c>
    </row>
    <row r="2034" spans="1:33" ht="15" customHeight="1" x14ac:dyDescent="0.2">
      <c r="A2034" s="11" t="str">
        <f t="shared" ref="A2034:A2914" si="839">HYPERLINK("https://assets.vans.eu/images/VN000395WHT-HERO/1","VN000395WHT1")</f>
        <v>VN000395WHT1</v>
      </c>
      <c r="B2034" s="12" t="s">
        <v>7714</v>
      </c>
      <c r="C2034" s="12" t="s">
        <v>7715</v>
      </c>
      <c r="D2034" s="12" t="s">
        <v>168</v>
      </c>
      <c r="E2034" s="12" t="s">
        <v>7716</v>
      </c>
      <c r="F2034" s="12" t="s">
        <v>153</v>
      </c>
      <c r="G2034" s="14"/>
      <c r="H2034" s="12" t="s">
        <v>61</v>
      </c>
      <c r="I2034" s="12" t="s">
        <v>289</v>
      </c>
      <c r="J2034" s="12" t="s">
        <v>290</v>
      </c>
      <c r="K2034" s="12" t="s">
        <v>100</v>
      </c>
      <c r="L2034" s="12" t="s">
        <v>350</v>
      </c>
      <c r="M2034" s="12" t="s">
        <v>43</v>
      </c>
      <c r="N2034" s="12" t="s">
        <v>274</v>
      </c>
      <c r="O2034" s="12" t="s">
        <v>7717</v>
      </c>
      <c r="P2034" s="12" t="s">
        <v>66</v>
      </c>
      <c r="Q2034" s="12" t="s">
        <v>233</v>
      </c>
      <c r="R2034" s="12" t="s">
        <v>664</v>
      </c>
      <c r="S2034" s="13">
        <v>196571420153</v>
      </c>
      <c r="T2034" s="12" t="s">
        <v>143</v>
      </c>
      <c r="U2034" s="12" t="s">
        <v>153</v>
      </c>
      <c r="V2034" s="12" t="s">
        <v>7718</v>
      </c>
      <c r="W2034" s="12" t="s">
        <v>175</v>
      </c>
      <c r="X2034" s="13">
        <v>0</v>
      </c>
      <c r="Y2034" s="12" t="s">
        <v>71</v>
      </c>
      <c r="Z2034" s="12" t="s">
        <v>92</v>
      </c>
      <c r="AA2034" s="12" t="s">
        <v>354</v>
      </c>
      <c r="AB2034" s="12" t="s">
        <v>355</v>
      </c>
      <c r="AC2034" s="15">
        <v>34.1</v>
      </c>
      <c r="AD2034" s="15">
        <f>AC2034*AG2034</f>
        <v>68.2</v>
      </c>
      <c r="AE2034" s="15">
        <v>75</v>
      </c>
      <c r="AF2034" s="15">
        <f>AE2034*AG2034</f>
        <v>150</v>
      </c>
      <c r="AG2034" s="16">
        <v>2</v>
      </c>
    </row>
    <row r="2035" spans="1:33" ht="15" customHeight="1" x14ac:dyDescent="0.2">
      <c r="A2035" s="11" t="str">
        <f t="shared" ref="A2035:A2036" si="840">HYPERLINK("https://assets.vans.eu/images/VN0003P3YB2-HERO/1","VN0003P3YB21")</f>
        <v>VN0003P3YB21</v>
      </c>
      <c r="B2035" s="12" t="s">
        <v>7719</v>
      </c>
      <c r="C2035" s="12" t="s">
        <v>7720</v>
      </c>
      <c r="D2035" s="12" t="s">
        <v>1138</v>
      </c>
      <c r="E2035" s="12" t="s">
        <v>7721</v>
      </c>
      <c r="F2035" s="12" t="s">
        <v>403</v>
      </c>
      <c r="G2035" s="14"/>
      <c r="H2035" s="12" t="s">
        <v>61</v>
      </c>
      <c r="I2035" s="12" t="s">
        <v>62</v>
      </c>
      <c r="J2035" s="12" t="s">
        <v>63</v>
      </c>
      <c r="K2035" s="12" t="s">
        <v>64</v>
      </c>
      <c r="L2035" s="14"/>
      <c r="M2035" s="12" t="s">
        <v>43</v>
      </c>
      <c r="N2035" s="12" t="s">
        <v>274</v>
      </c>
      <c r="O2035" s="12" t="s">
        <v>7722</v>
      </c>
      <c r="P2035" s="12" t="s">
        <v>66</v>
      </c>
      <c r="Q2035" s="12" t="s">
        <v>67</v>
      </c>
      <c r="R2035" s="12" t="s">
        <v>68</v>
      </c>
      <c r="S2035" s="13">
        <v>190289378034</v>
      </c>
      <c r="T2035" s="12" t="s">
        <v>69</v>
      </c>
      <c r="U2035" s="12" t="s">
        <v>403</v>
      </c>
      <c r="V2035" s="12" t="s">
        <v>70</v>
      </c>
      <c r="W2035" s="12" t="s">
        <v>175</v>
      </c>
      <c r="X2035" s="13">
        <v>0</v>
      </c>
      <c r="Y2035" s="12" t="s">
        <v>91</v>
      </c>
      <c r="Z2035" s="12" t="s">
        <v>108</v>
      </c>
      <c r="AA2035" s="13">
        <v>0</v>
      </c>
      <c r="AB2035" s="13">
        <v>0</v>
      </c>
      <c r="AC2035" s="15">
        <v>13.65</v>
      </c>
      <c r="AD2035" s="15">
        <f>AC2035*AG2035</f>
        <v>27.3</v>
      </c>
      <c r="AE2035" s="15">
        <v>30</v>
      </c>
      <c r="AF2035" s="15">
        <f>AE2035*AG2035</f>
        <v>60</v>
      </c>
      <c r="AG2035" s="16">
        <v>2</v>
      </c>
    </row>
    <row r="2036" spans="1:33" ht="15" customHeight="1" x14ac:dyDescent="0.2">
      <c r="A2036" s="11" t="str">
        <f t="shared" si="840"/>
        <v>VN0003P3YB21</v>
      </c>
      <c r="B2036" s="12" t="s">
        <v>7723</v>
      </c>
      <c r="C2036" s="12" t="s">
        <v>7720</v>
      </c>
      <c r="D2036" s="12" t="s">
        <v>1138</v>
      </c>
      <c r="E2036" s="12" t="s">
        <v>7724</v>
      </c>
      <c r="F2036" s="12" t="s">
        <v>60</v>
      </c>
      <c r="G2036" s="14"/>
      <c r="H2036" s="12" t="s">
        <v>61</v>
      </c>
      <c r="I2036" s="12" t="s">
        <v>62</v>
      </c>
      <c r="J2036" s="12" t="s">
        <v>63</v>
      </c>
      <c r="K2036" s="12" t="s">
        <v>64</v>
      </c>
      <c r="L2036" s="14"/>
      <c r="M2036" s="12" t="s">
        <v>43</v>
      </c>
      <c r="N2036" s="12" t="s">
        <v>274</v>
      </c>
      <c r="O2036" s="12" t="s">
        <v>7725</v>
      </c>
      <c r="P2036" s="12" t="s">
        <v>66</v>
      </c>
      <c r="Q2036" s="12" t="s">
        <v>67</v>
      </c>
      <c r="R2036" s="12" t="s">
        <v>68</v>
      </c>
      <c r="S2036" s="13">
        <v>190289378164</v>
      </c>
      <c r="T2036" s="12" t="s">
        <v>69</v>
      </c>
      <c r="U2036" s="12" t="s">
        <v>60</v>
      </c>
      <c r="V2036" s="12" t="s">
        <v>70</v>
      </c>
      <c r="W2036" s="12" t="s">
        <v>175</v>
      </c>
      <c r="X2036" s="13">
        <v>0</v>
      </c>
      <c r="Y2036" s="12" t="s">
        <v>91</v>
      </c>
      <c r="Z2036" s="12" t="s">
        <v>108</v>
      </c>
      <c r="AA2036" s="13">
        <v>0</v>
      </c>
      <c r="AB2036" s="13">
        <v>0</v>
      </c>
      <c r="AC2036" s="15">
        <v>13.65</v>
      </c>
      <c r="AD2036" s="15">
        <f>AC2036*AG2036</f>
        <v>27.3</v>
      </c>
      <c r="AE2036" s="15">
        <v>30</v>
      </c>
      <c r="AF2036" s="15">
        <f>AE2036*AG2036</f>
        <v>60</v>
      </c>
      <c r="AG2036" s="16">
        <v>2</v>
      </c>
    </row>
    <row r="2037" spans="1:33" ht="15" customHeight="1" x14ac:dyDescent="0.2">
      <c r="A2037" s="11" t="str">
        <f>HYPERLINK("https://assets.vans.eu/images/VN00074M4QU-HERO/1","VN00074M4QU1")</f>
        <v>VN00074M4QU1</v>
      </c>
      <c r="B2037" s="12" t="s">
        <v>7726</v>
      </c>
      <c r="C2037" s="12" t="s">
        <v>7727</v>
      </c>
      <c r="D2037" s="12" t="s">
        <v>1057</v>
      </c>
      <c r="E2037" s="12" t="s">
        <v>7728</v>
      </c>
      <c r="F2037" s="12" t="s">
        <v>60</v>
      </c>
      <c r="G2037" s="14"/>
      <c r="H2037" s="12" t="s">
        <v>61</v>
      </c>
      <c r="I2037" s="12" t="s">
        <v>289</v>
      </c>
      <c r="J2037" s="12" t="s">
        <v>706</v>
      </c>
      <c r="K2037" s="12" t="s">
        <v>100</v>
      </c>
      <c r="L2037" s="12" t="s">
        <v>115</v>
      </c>
      <c r="M2037" s="12" t="s">
        <v>43</v>
      </c>
      <c r="N2037" s="12" t="s">
        <v>161</v>
      </c>
      <c r="O2037" s="12" t="s">
        <v>7729</v>
      </c>
      <c r="P2037" s="12" t="s">
        <v>66</v>
      </c>
      <c r="Q2037" s="12" t="s">
        <v>67</v>
      </c>
      <c r="R2037" s="12" t="s">
        <v>1200</v>
      </c>
      <c r="S2037" s="13">
        <v>197643335887</v>
      </c>
      <c r="T2037" s="12" t="s">
        <v>235</v>
      </c>
      <c r="U2037" s="12" t="s">
        <v>60</v>
      </c>
      <c r="V2037" s="12" t="s">
        <v>423</v>
      </c>
      <c r="W2037" s="12" t="s">
        <v>262</v>
      </c>
      <c r="X2037" s="13">
        <v>0</v>
      </c>
      <c r="Y2037" s="12" t="s">
        <v>91</v>
      </c>
      <c r="Z2037" s="12" t="s">
        <v>92</v>
      </c>
      <c r="AA2037" s="12" t="s">
        <v>93</v>
      </c>
      <c r="AB2037" s="12" t="s">
        <v>94</v>
      </c>
      <c r="AC2037" s="15">
        <v>36.4</v>
      </c>
      <c r="AD2037" s="15">
        <f>AC2037*AG2037</f>
        <v>72.8</v>
      </c>
      <c r="AE2037" s="15">
        <v>80</v>
      </c>
      <c r="AF2037" s="15">
        <f>AE2037*AG2037</f>
        <v>160</v>
      </c>
      <c r="AG2037" s="16">
        <v>2</v>
      </c>
    </row>
    <row r="2038" spans="1:33" ht="15" customHeight="1" x14ac:dyDescent="0.2">
      <c r="A2038" s="11" t="str">
        <f>HYPERLINK("https://assets.vans.eu/images/VN0007ZBBML-HERO/1","VN0007ZBBML1")</f>
        <v>VN0007ZBBML1</v>
      </c>
      <c r="B2038" s="12" t="s">
        <v>7730</v>
      </c>
      <c r="C2038" s="12" t="s">
        <v>7731</v>
      </c>
      <c r="D2038" s="12" t="s">
        <v>555</v>
      </c>
      <c r="E2038" s="12" t="s">
        <v>7732</v>
      </c>
      <c r="F2038" s="12" t="s">
        <v>170</v>
      </c>
      <c r="G2038" s="14"/>
      <c r="H2038" s="12" t="s">
        <v>61</v>
      </c>
      <c r="I2038" s="12" t="s">
        <v>62</v>
      </c>
      <c r="J2038" s="12" t="s">
        <v>7733</v>
      </c>
      <c r="K2038" s="12" t="s">
        <v>64</v>
      </c>
      <c r="L2038" s="14"/>
      <c r="M2038" s="12" t="s">
        <v>43</v>
      </c>
      <c r="N2038" s="12" t="s">
        <v>44</v>
      </c>
      <c r="O2038" s="12" t="s">
        <v>7734</v>
      </c>
      <c r="P2038" s="12" t="s">
        <v>66</v>
      </c>
      <c r="Q2038" s="12" t="s">
        <v>559</v>
      </c>
      <c r="R2038" s="12" t="s">
        <v>7735</v>
      </c>
      <c r="S2038" s="13">
        <v>197643536772</v>
      </c>
      <c r="T2038" s="12" t="s">
        <v>49</v>
      </c>
      <c r="U2038" s="12" t="s">
        <v>170</v>
      </c>
      <c r="V2038" s="12" t="s">
        <v>7736</v>
      </c>
      <c r="W2038" s="12" t="s">
        <v>51</v>
      </c>
      <c r="X2038" s="13">
        <v>0</v>
      </c>
      <c r="Y2038" s="12" t="s">
        <v>91</v>
      </c>
      <c r="Z2038" s="12" t="s">
        <v>108</v>
      </c>
      <c r="AA2038" s="13">
        <v>0</v>
      </c>
      <c r="AB2038" s="13">
        <v>0</v>
      </c>
      <c r="AC2038" s="15">
        <v>18.2</v>
      </c>
      <c r="AD2038" s="15">
        <f>AC2038*AG2038</f>
        <v>36.4</v>
      </c>
      <c r="AE2038" s="15">
        <v>40</v>
      </c>
      <c r="AF2038" s="15">
        <f>AE2038*AG2038</f>
        <v>80</v>
      </c>
      <c r="AG2038" s="16">
        <v>2</v>
      </c>
    </row>
    <row r="2039" spans="1:33" ht="15" customHeight="1" x14ac:dyDescent="0.2">
      <c r="A2039" s="11" t="str">
        <f>HYPERLINK("https://assets.vans.eu/images/VN0007ZCBLK-HERO/1","VN0007ZCBLK1")</f>
        <v>VN0007ZCBLK1</v>
      </c>
      <c r="B2039" s="12" t="s">
        <v>7737</v>
      </c>
      <c r="C2039" s="12" t="s">
        <v>7738</v>
      </c>
      <c r="D2039" s="12" t="s">
        <v>76</v>
      </c>
      <c r="E2039" s="12" t="s">
        <v>7739</v>
      </c>
      <c r="F2039" s="13">
        <v>24</v>
      </c>
      <c r="G2039" s="14"/>
      <c r="H2039" s="12" t="s">
        <v>61</v>
      </c>
      <c r="I2039" s="12" t="s">
        <v>62</v>
      </c>
      <c r="J2039" s="12" t="s">
        <v>7733</v>
      </c>
      <c r="K2039" s="12" t="s">
        <v>64</v>
      </c>
      <c r="L2039" s="14"/>
      <c r="M2039" s="12" t="s">
        <v>43</v>
      </c>
      <c r="N2039" s="12" t="s">
        <v>274</v>
      </c>
      <c r="O2039" s="12" t="s">
        <v>7740</v>
      </c>
      <c r="P2039" s="12" t="s">
        <v>66</v>
      </c>
      <c r="Q2039" s="12" t="s">
        <v>559</v>
      </c>
      <c r="R2039" s="12" t="s">
        <v>7735</v>
      </c>
      <c r="S2039" s="13">
        <v>196571616570</v>
      </c>
      <c r="T2039" s="12" t="s">
        <v>49</v>
      </c>
      <c r="U2039" s="13">
        <v>24</v>
      </c>
      <c r="V2039" s="12" t="s">
        <v>7741</v>
      </c>
      <c r="W2039" s="12" t="s">
        <v>51</v>
      </c>
      <c r="X2039" s="13">
        <v>0</v>
      </c>
      <c r="Y2039" s="12" t="s">
        <v>91</v>
      </c>
      <c r="Z2039" s="12" t="s">
        <v>108</v>
      </c>
      <c r="AA2039" s="13">
        <v>0</v>
      </c>
      <c r="AB2039" s="13">
        <v>0</v>
      </c>
      <c r="AC2039" s="15">
        <v>21.85</v>
      </c>
      <c r="AD2039" s="15">
        <f>AC2039*AG2039</f>
        <v>43.7</v>
      </c>
      <c r="AE2039" s="15">
        <v>48</v>
      </c>
      <c r="AF2039" s="15">
        <f>AE2039*AG2039</f>
        <v>96</v>
      </c>
      <c r="AG2039" s="16">
        <v>2</v>
      </c>
    </row>
    <row r="2040" spans="1:33" ht="15" customHeight="1" x14ac:dyDescent="0.2">
      <c r="A2040" s="11" t="str">
        <f>HYPERLINK("https://assets.vans.eu/images/VN0008KKCR6-HERO/1","VN0008KKCR61")</f>
        <v>VN0008KKCR61</v>
      </c>
      <c r="B2040" s="12" t="s">
        <v>7742</v>
      </c>
      <c r="C2040" s="12" t="s">
        <v>7743</v>
      </c>
      <c r="D2040" s="12" t="s">
        <v>6234</v>
      </c>
      <c r="E2040" s="12" t="s">
        <v>7744</v>
      </c>
      <c r="F2040" s="13">
        <v>30</v>
      </c>
      <c r="G2040" s="14"/>
      <c r="H2040" s="12" t="s">
        <v>61</v>
      </c>
      <c r="I2040" s="12" t="s">
        <v>230</v>
      </c>
      <c r="J2040" s="12" t="s">
        <v>557</v>
      </c>
      <c r="K2040" s="12" t="s">
        <v>199</v>
      </c>
      <c r="L2040" s="14"/>
      <c r="M2040" s="12" t="s">
        <v>43</v>
      </c>
      <c r="N2040" s="12" t="s">
        <v>274</v>
      </c>
      <c r="O2040" s="12" t="s">
        <v>7745</v>
      </c>
      <c r="P2040" s="12" t="s">
        <v>66</v>
      </c>
      <c r="Q2040" s="12" t="s">
        <v>559</v>
      </c>
      <c r="R2040" s="12" t="s">
        <v>560</v>
      </c>
      <c r="S2040" s="13">
        <v>197063444084</v>
      </c>
      <c r="T2040" s="12" t="s">
        <v>49</v>
      </c>
      <c r="U2040" s="13">
        <v>30</v>
      </c>
      <c r="V2040" s="12" t="s">
        <v>90</v>
      </c>
      <c r="W2040" s="12" t="s">
        <v>186</v>
      </c>
      <c r="X2040" s="13">
        <v>0</v>
      </c>
      <c r="Y2040" s="12" t="s">
        <v>53</v>
      </c>
      <c r="Z2040" s="12" t="s">
        <v>108</v>
      </c>
      <c r="AA2040" s="13">
        <v>0</v>
      </c>
      <c r="AB2040" s="13">
        <v>0</v>
      </c>
      <c r="AC2040" s="15">
        <v>32.75</v>
      </c>
      <c r="AD2040" s="15">
        <f>AC2040*AG2040</f>
        <v>65.5</v>
      </c>
      <c r="AE2040" s="15">
        <v>72</v>
      </c>
      <c r="AF2040" s="15">
        <f>AE2040*AG2040</f>
        <v>144</v>
      </c>
      <c r="AG2040" s="16">
        <v>2</v>
      </c>
    </row>
    <row r="2041" spans="1:33" ht="15" customHeight="1" x14ac:dyDescent="0.2">
      <c r="A2041" s="11" t="str">
        <f t="shared" ref="A2041:A2930" si="841">HYPERLINK("https://assets.vans.eu/images/VN0008KUJDU-HERO/1","VN0008KUJDU1")</f>
        <v>VN0008KUJDU1</v>
      </c>
      <c r="B2041" s="12" t="s">
        <v>7746</v>
      </c>
      <c r="C2041" s="12" t="s">
        <v>554</v>
      </c>
      <c r="D2041" s="12" t="s">
        <v>814</v>
      </c>
      <c r="E2041" s="12" t="s">
        <v>7747</v>
      </c>
      <c r="F2041" s="12" t="s">
        <v>403</v>
      </c>
      <c r="G2041" s="14"/>
      <c r="H2041" s="12" t="s">
        <v>61</v>
      </c>
      <c r="I2041" s="12" t="s">
        <v>230</v>
      </c>
      <c r="J2041" s="12" t="s">
        <v>557</v>
      </c>
      <c r="K2041" s="12" t="s">
        <v>199</v>
      </c>
      <c r="L2041" s="14"/>
      <c r="M2041" s="12" t="s">
        <v>43</v>
      </c>
      <c r="N2041" s="12" t="s">
        <v>44</v>
      </c>
      <c r="O2041" s="12" t="s">
        <v>7748</v>
      </c>
      <c r="P2041" s="12" t="s">
        <v>66</v>
      </c>
      <c r="Q2041" s="12" t="s">
        <v>559</v>
      </c>
      <c r="R2041" s="12" t="s">
        <v>560</v>
      </c>
      <c r="S2041" s="13">
        <v>197643553489</v>
      </c>
      <c r="T2041" s="12" t="s">
        <v>49</v>
      </c>
      <c r="U2041" s="12" t="s">
        <v>403</v>
      </c>
      <c r="V2041" s="12" t="s">
        <v>561</v>
      </c>
      <c r="W2041" s="12" t="s">
        <v>284</v>
      </c>
      <c r="X2041" s="13">
        <v>0</v>
      </c>
      <c r="Y2041" s="12" t="s">
        <v>53</v>
      </c>
      <c r="Z2041" s="12" t="s">
        <v>108</v>
      </c>
      <c r="AA2041" s="13">
        <v>0</v>
      </c>
      <c r="AB2041" s="13">
        <v>0</v>
      </c>
      <c r="AC2041" s="15">
        <v>25</v>
      </c>
      <c r="AD2041" s="15">
        <f>AC2041*AG2041</f>
        <v>50</v>
      </c>
      <c r="AE2041" s="15">
        <v>55</v>
      </c>
      <c r="AF2041" s="15">
        <f>AE2041*AG2041</f>
        <v>110</v>
      </c>
      <c r="AG2041" s="16">
        <v>2</v>
      </c>
    </row>
    <row r="2042" spans="1:33" ht="15" customHeight="1" x14ac:dyDescent="0.2">
      <c r="A2042" s="11" t="str">
        <f t="shared" ref="A2042:A2933" si="842">HYPERLINK("https://assets.vans.eu/images/VN0008N6BLK-HERO/1","VN0008N6BLK1")</f>
        <v>VN0008N6BLK1</v>
      </c>
      <c r="B2042" s="12" t="s">
        <v>7749</v>
      </c>
      <c r="C2042" s="12" t="s">
        <v>2042</v>
      </c>
      <c r="D2042" s="12" t="s">
        <v>76</v>
      </c>
      <c r="E2042" s="12" t="s">
        <v>7750</v>
      </c>
      <c r="F2042" s="13">
        <v>29</v>
      </c>
      <c r="G2042" s="14"/>
      <c r="H2042" s="12" t="s">
        <v>61</v>
      </c>
      <c r="I2042" s="12" t="s">
        <v>230</v>
      </c>
      <c r="J2042" s="12" t="s">
        <v>231</v>
      </c>
      <c r="K2042" s="12" t="s">
        <v>199</v>
      </c>
      <c r="L2042" s="14"/>
      <c r="M2042" s="12" t="s">
        <v>43</v>
      </c>
      <c r="N2042" s="12" t="s">
        <v>84</v>
      </c>
      <c r="O2042" s="12" t="s">
        <v>7751</v>
      </c>
      <c r="P2042" s="12" t="s">
        <v>66</v>
      </c>
      <c r="Q2042" s="12" t="s">
        <v>233</v>
      </c>
      <c r="R2042" s="12" t="s">
        <v>361</v>
      </c>
      <c r="S2042" s="13">
        <v>197063494751</v>
      </c>
      <c r="T2042" s="12" t="s">
        <v>235</v>
      </c>
      <c r="U2042" s="13">
        <v>29</v>
      </c>
      <c r="V2042" s="12" t="s">
        <v>665</v>
      </c>
      <c r="W2042" s="12" t="s">
        <v>51</v>
      </c>
      <c r="X2042" s="13">
        <v>0</v>
      </c>
      <c r="Y2042" s="12" t="s">
        <v>91</v>
      </c>
      <c r="Z2042" s="12" t="s">
        <v>108</v>
      </c>
      <c r="AA2042" s="13">
        <v>0</v>
      </c>
      <c r="AB2042" s="13">
        <v>0</v>
      </c>
      <c r="AC2042" s="15">
        <v>36.4</v>
      </c>
      <c r="AD2042" s="15">
        <f>AC2042*AG2042</f>
        <v>72.8</v>
      </c>
      <c r="AE2042" s="15">
        <v>80</v>
      </c>
      <c r="AF2042" s="15">
        <f>AE2042*AG2042</f>
        <v>160</v>
      </c>
      <c r="AG2042" s="16">
        <v>2</v>
      </c>
    </row>
    <row r="2043" spans="1:33" ht="15" customHeight="1" x14ac:dyDescent="0.2">
      <c r="A2043" s="11" t="str">
        <f t="shared" ref="A2043:A2934" si="843">HYPERLINK("https://assets.vans.eu/images/VN0008N6EMU-HERO/1","VN0008N6EMU1")</f>
        <v>VN0008N6EMU1</v>
      </c>
      <c r="B2043" s="12" t="s">
        <v>7752</v>
      </c>
      <c r="C2043" s="12" t="s">
        <v>2042</v>
      </c>
      <c r="D2043" s="12" t="s">
        <v>1319</v>
      </c>
      <c r="E2043" s="12" t="s">
        <v>7753</v>
      </c>
      <c r="F2043" s="13">
        <v>29</v>
      </c>
      <c r="G2043" s="14"/>
      <c r="H2043" s="12" t="s">
        <v>61</v>
      </c>
      <c r="I2043" s="12" t="s">
        <v>230</v>
      </c>
      <c r="J2043" s="12" t="s">
        <v>231</v>
      </c>
      <c r="K2043" s="12" t="s">
        <v>199</v>
      </c>
      <c r="L2043" s="14"/>
      <c r="M2043" s="12" t="s">
        <v>43</v>
      </c>
      <c r="N2043" s="12" t="s">
        <v>84</v>
      </c>
      <c r="O2043" s="12" t="s">
        <v>7754</v>
      </c>
      <c r="P2043" s="12" t="s">
        <v>66</v>
      </c>
      <c r="Q2043" s="12" t="s">
        <v>233</v>
      </c>
      <c r="R2043" s="12" t="s">
        <v>361</v>
      </c>
      <c r="S2043" s="13">
        <v>197804384471</v>
      </c>
      <c r="T2043" s="12" t="s">
        <v>235</v>
      </c>
      <c r="U2043" s="13">
        <v>29</v>
      </c>
      <c r="V2043" s="12" t="s">
        <v>665</v>
      </c>
      <c r="W2043" s="12" t="s">
        <v>118</v>
      </c>
      <c r="X2043" s="14"/>
      <c r="Y2043" s="14"/>
      <c r="Z2043" s="14"/>
      <c r="AA2043" s="14"/>
      <c r="AB2043" s="14"/>
      <c r="AC2043" s="15">
        <v>36.4</v>
      </c>
      <c r="AD2043" s="15">
        <f>AC2043*AG2043</f>
        <v>72.8</v>
      </c>
      <c r="AE2043" s="15">
        <v>80</v>
      </c>
      <c r="AF2043" s="15">
        <f>AE2043*AG2043</f>
        <v>160</v>
      </c>
      <c r="AG2043" s="16">
        <v>2</v>
      </c>
    </row>
    <row r="2044" spans="1:33" ht="15" customHeight="1" x14ac:dyDescent="0.2">
      <c r="A2044" s="11" t="str">
        <f t="shared" ref="A2044:A2045" si="844">HYPERLINK("https://assets.vans.eu/images/VN0008NAE90-HERO/1","VN0008NAE901")</f>
        <v>VN0008NAE901</v>
      </c>
      <c r="B2044" s="12" t="s">
        <v>7755</v>
      </c>
      <c r="C2044" s="12" t="s">
        <v>2477</v>
      </c>
      <c r="D2044" s="12" t="s">
        <v>2922</v>
      </c>
      <c r="E2044" s="12" t="s">
        <v>7756</v>
      </c>
      <c r="F2044" s="13">
        <v>29</v>
      </c>
      <c r="G2044" s="14"/>
      <c r="H2044" s="12" t="s">
        <v>61</v>
      </c>
      <c r="I2044" s="12" t="s">
        <v>230</v>
      </c>
      <c r="J2044" s="12" t="s">
        <v>231</v>
      </c>
      <c r="K2044" s="12" t="s">
        <v>199</v>
      </c>
      <c r="L2044" s="14"/>
      <c r="M2044" s="12" t="s">
        <v>43</v>
      </c>
      <c r="N2044" s="12" t="s">
        <v>44</v>
      </c>
      <c r="O2044" s="12" t="s">
        <v>7757</v>
      </c>
      <c r="P2044" s="12" t="s">
        <v>66</v>
      </c>
      <c r="Q2044" s="12" t="s">
        <v>233</v>
      </c>
      <c r="R2044" s="12" t="s">
        <v>361</v>
      </c>
      <c r="S2044" s="13">
        <v>197643457329</v>
      </c>
      <c r="T2044" s="12" t="s">
        <v>235</v>
      </c>
      <c r="U2044" s="13">
        <v>29</v>
      </c>
      <c r="V2044" s="12" t="s">
        <v>665</v>
      </c>
      <c r="W2044" s="12" t="s">
        <v>598</v>
      </c>
      <c r="X2044" s="13">
        <v>0</v>
      </c>
      <c r="Y2044" s="12" t="s">
        <v>53</v>
      </c>
      <c r="Z2044" s="12" t="s">
        <v>108</v>
      </c>
      <c r="AA2044" s="13">
        <v>0</v>
      </c>
      <c r="AB2044" s="13">
        <v>0</v>
      </c>
      <c r="AC2044" s="15">
        <v>36.4</v>
      </c>
      <c r="AD2044" s="15">
        <f>AC2044*AG2044</f>
        <v>72.8</v>
      </c>
      <c r="AE2044" s="15">
        <v>80</v>
      </c>
      <c r="AF2044" s="15">
        <f>AE2044*AG2044</f>
        <v>160</v>
      </c>
      <c r="AG2044" s="16">
        <v>2</v>
      </c>
    </row>
    <row r="2045" spans="1:33" ht="15" customHeight="1" x14ac:dyDescent="0.2">
      <c r="A2045" s="11" t="str">
        <f t="shared" si="844"/>
        <v>VN0008NAE901</v>
      </c>
      <c r="B2045" s="12" t="s">
        <v>7758</v>
      </c>
      <c r="C2045" s="12" t="s">
        <v>2477</v>
      </c>
      <c r="D2045" s="12" t="s">
        <v>2922</v>
      </c>
      <c r="E2045" s="12" t="s">
        <v>7759</v>
      </c>
      <c r="F2045" s="13">
        <v>30</v>
      </c>
      <c r="G2045" s="14"/>
      <c r="H2045" s="12" t="s">
        <v>61</v>
      </c>
      <c r="I2045" s="12" t="s">
        <v>230</v>
      </c>
      <c r="J2045" s="12" t="s">
        <v>231</v>
      </c>
      <c r="K2045" s="12" t="s">
        <v>199</v>
      </c>
      <c r="L2045" s="14"/>
      <c r="M2045" s="12" t="s">
        <v>43</v>
      </c>
      <c r="N2045" s="12" t="s">
        <v>44</v>
      </c>
      <c r="O2045" s="12" t="s">
        <v>7760</v>
      </c>
      <c r="P2045" s="12" t="s">
        <v>66</v>
      </c>
      <c r="Q2045" s="12" t="s">
        <v>233</v>
      </c>
      <c r="R2045" s="12" t="s">
        <v>361</v>
      </c>
      <c r="S2045" s="13">
        <v>197643457374</v>
      </c>
      <c r="T2045" s="12" t="s">
        <v>235</v>
      </c>
      <c r="U2045" s="13">
        <v>30</v>
      </c>
      <c r="V2045" s="12" t="s">
        <v>665</v>
      </c>
      <c r="W2045" s="12" t="s">
        <v>598</v>
      </c>
      <c r="X2045" s="13">
        <v>0</v>
      </c>
      <c r="Y2045" s="12" t="s">
        <v>53</v>
      </c>
      <c r="Z2045" s="12" t="s">
        <v>108</v>
      </c>
      <c r="AA2045" s="13">
        <v>0</v>
      </c>
      <c r="AB2045" s="13">
        <v>0</v>
      </c>
      <c r="AC2045" s="15">
        <v>36.4</v>
      </c>
      <c r="AD2045" s="15">
        <f>AC2045*AG2045</f>
        <v>72.8</v>
      </c>
      <c r="AE2045" s="15">
        <v>80</v>
      </c>
      <c r="AF2045" s="15">
        <f>AE2045*AG2045</f>
        <v>160</v>
      </c>
      <c r="AG2045" s="16">
        <v>2</v>
      </c>
    </row>
    <row r="2046" spans="1:33" ht="15" customHeight="1" x14ac:dyDescent="0.2">
      <c r="A2046" s="11" t="str">
        <f t="shared" ref="A2046:A2953" si="845">HYPERLINK("https://assets.vans.eu/images/VN000G6MBDX-HERO/1","VN000G6MBDX1")</f>
        <v>VN000G6MBDX1</v>
      </c>
      <c r="B2046" s="12" t="s">
        <v>7761</v>
      </c>
      <c r="C2046" s="12" t="s">
        <v>7762</v>
      </c>
      <c r="D2046" s="12" t="s">
        <v>7763</v>
      </c>
      <c r="E2046" s="12" t="s">
        <v>7764</v>
      </c>
      <c r="F2046" s="12" t="s">
        <v>403</v>
      </c>
      <c r="G2046" s="14"/>
      <c r="H2046" s="12" t="s">
        <v>61</v>
      </c>
      <c r="I2046" s="12" t="s">
        <v>230</v>
      </c>
      <c r="J2046" s="12" t="s">
        <v>419</v>
      </c>
      <c r="K2046" s="12" t="s">
        <v>199</v>
      </c>
      <c r="L2046" s="14"/>
      <c r="M2046" s="12" t="s">
        <v>43</v>
      </c>
      <c r="N2046" s="12" t="s">
        <v>274</v>
      </c>
      <c r="O2046" s="12" t="s">
        <v>7765</v>
      </c>
      <c r="P2046" s="12" t="s">
        <v>66</v>
      </c>
      <c r="Q2046" s="12" t="s">
        <v>67</v>
      </c>
      <c r="R2046" s="12" t="s">
        <v>1490</v>
      </c>
      <c r="S2046" s="13">
        <v>197063402565</v>
      </c>
      <c r="T2046" s="12" t="s">
        <v>143</v>
      </c>
      <c r="U2046" s="12" t="s">
        <v>403</v>
      </c>
      <c r="V2046" s="12" t="s">
        <v>7766</v>
      </c>
      <c r="W2046" s="12" t="s">
        <v>118</v>
      </c>
      <c r="X2046" s="13">
        <v>0</v>
      </c>
      <c r="Y2046" s="12" t="s">
        <v>91</v>
      </c>
      <c r="Z2046" s="12" t="s">
        <v>108</v>
      </c>
      <c r="AA2046" s="13">
        <v>0</v>
      </c>
      <c r="AB2046" s="13">
        <v>0</v>
      </c>
      <c r="AC2046" s="15">
        <v>40.950000000000003</v>
      </c>
      <c r="AD2046" s="15">
        <f>AC2046*AG2046</f>
        <v>81.900000000000006</v>
      </c>
      <c r="AE2046" s="15">
        <v>90</v>
      </c>
      <c r="AF2046" s="15">
        <f>AE2046*AG2046</f>
        <v>180</v>
      </c>
      <c r="AG2046" s="16">
        <v>2</v>
      </c>
    </row>
    <row r="2047" spans="1:33" ht="15" customHeight="1" x14ac:dyDescent="0.2">
      <c r="A2047" s="11" t="str">
        <f>HYPERLINK("https://assets.vans.eu/images/VN000G75D6Z-HERO/1","VN000G75D6Z1")</f>
        <v>VN000G75D6Z1</v>
      </c>
      <c r="B2047" s="12" t="s">
        <v>7767</v>
      </c>
      <c r="C2047" s="12" t="s">
        <v>1188</v>
      </c>
      <c r="D2047" s="12" t="s">
        <v>1277</v>
      </c>
      <c r="E2047" s="12" t="s">
        <v>7768</v>
      </c>
      <c r="F2047" s="12" t="s">
        <v>153</v>
      </c>
      <c r="G2047" s="14"/>
      <c r="H2047" s="12" t="s">
        <v>61</v>
      </c>
      <c r="I2047" s="12" t="s">
        <v>230</v>
      </c>
      <c r="J2047" s="12" t="s">
        <v>557</v>
      </c>
      <c r="K2047" s="12" t="s">
        <v>199</v>
      </c>
      <c r="L2047" s="14"/>
      <c r="M2047" s="12" t="s">
        <v>43</v>
      </c>
      <c r="N2047" s="12" t="s">
        <v>44</v>
      </c>
      <c r="O2047" s="12" t="s">
        <v>7769</v>
      </c>
      <c r="P2047" s="12" t="s">
        <v>66</v>
      </c>
      <c r="Q2047" s="12" t="s">
        <v>559</v>
      </c>
      <c r="R2047" s="12" t="s">
        <v>560</v>
      </c>
      <c r="S2047" s="13">
        <v>197643554691</v>
      </c>
      <c r="T2047" s="12" t="s">
        <v>49</v>
      </c>
      <c r="U2047" s="12" t="s">
        <v>153</v>
      </c>
      <c r="V2047" s="12" t="s">
        <v>1191</v>
      </c>
      <c r="W2047" s="12" t="s">
        <v>299</v>
      </c>
      <c r="X2047" s="12" t="s">
        <v>500</v>
      </c>
      <c r="Y2047" s="12" t="s">
        <v>91</v>
      </c>
      <c r="Z2047" s="12" t="s">
        <v>108</v>
      </c>
      <c r="AA2047" s="13">
        <v>0</v>
      </c>
      <c r="AB2047" s="13">
        <v>0</v>
      </c>
      <c r="AC2047" s="15">
        <v>25</v>
      </c>
      <c r="AD2047" s="15">
        <f>AC2047*AG2047</f>
        <v>50</v>
      </c>
      <c r="AE2047" s="15">
        <v>55</v>
      </c>
      <c r="AF2047" s="15">
        <f>AE2047*AG2047</f>
        <v>110</v>
      </c>
      <c r="AG2047" s="16">
        <v>2</v>
      </c>
    </row>
    <row r="2048" spans="1:33" ht="15" customHeight="1" x14ac:dyDescent="0.2">
      <c r="A2048" s="11" t="str">
        <f>HYPERLINK("https://assets.vans.eu/images/VN000G81BLK-HERO/1","VN000G81BLK1")</f>
        <v>VN000G81BLK1</v>
      </c>
      <c r="B2048" s="12" t="s">
        <v>7770</v>
      </c>
      <c r="C2048" s="12" t="s">
        <v>7771</v>
      </c>
      <c r="D2048" s="12" t="s">
        <v>76</v>
      </c>
      <c r="E2048" s="12" t="s">
        <v>7772</v>
      </c>
      <c r="F2048" s="12" t="s">
        <v>621</v>
      </c>
      <c r="G2048" s="14"/>
      <c r="H2048" s="12" t="s">
        <v>61</v>
      </c>
      <c r="I2048" s="12" t="s">
        <v>230</v>
      </c>
      <c r="J2048" s="12" t="s">
        <v>762</v>
      </c>
      <c r="K2048" s="12" t="s">
        <v>199</v>
      </c>
      <c r="L2048" s="14"/>
      <c r="M2048" s="12" t="s">
        <v>43</v>
      </c>
      <c r="N2048" s="12" t="s">
        <v>274</v>
      </c>
      <c r="O2048" s="12" t="s">
        <v>7773</v>
      </c>
      <c r="P2048" s="12" t="s">
        <v>66</v>
      </c>
      <c r="Q2048" s="12" t="s">
        <v>764</v>
      </c>
      <c r="R2048" s="12" t="s">
        <v>765</v>
      </c>
      <c r="S2048" s="13">
        <v>197063454649</v>
      </c>
      <c r="T2048" s="12" t="s">
        <v>49</v>
      </c>
      <c r="U2048" s="12" t="s">
        <v>621</v>
      </c>
      <c r="V2048" s="12" t="s">
        <v>1811</v>
      </c>
      <c r="W2048" s="12" t="s">
        <v>51</v>
      </c>
      <c r="X2048" s="13">
        <v>0</v>
      </c>
      <c r="Y2048" s="12" t="s">
        <v>53</v>
      </c>
      <c r="Z2048" s="12" t="s">
        <v>108</v>
      </c>
      <c r="AA2048" s="13">
        <v>0</v>
      </c>
      <c r="AB2048" s="13">
        <v>0</v>
      </c>
      <c r="AC2048" s="15">
        <v>68.2</v>
      </c>
      <c r="AD2048" s="15">
        <f>AC2048*AG2048</f>
        <v>136.4</v>
      </c>
      <c r="AE2048" s="15">
        <v>150</v>
      </c>
      <c r="AF2048" s="15">
        <f>AE2048*AG2048</f>
        <v>300</v>
      </c>
      <c r="AG2048" s="16">
        <v>2</v>
      </c>
    </row>
    <row r="2049" spans="1:33" ht="15" customHeight="1" x14ac:dyDescent="0.2">
      <c r="A2049" s="11" t="str">
        <f>HYPERLINK("https://assets.vans.eu/images/VN000GA0BLK-HERO/1","VN000GA0BLK1")</f>
        <v>VN000GA0BLK1</v>
      </c>
      <c r="B2049" s="12" t="s">
        <v>7774</v>
      </c>
      <c r="C2049" s="12" t="s">
        <v>6264</v>
      </c>
      <c r="D2049" s="12" t="s">
        <v>76</v>
      </c>
      <c r="E2049" s="12" t="s">
        <v>7775</v>
      </c>
      <c r="F2049" s="13">
        <v>29</v>
      </c>
      <c r="G2049" s="14"/>
      <c r="H2049" s="12" t="s">
        <v>61</v>
      </c>
      <c r="I2049" s="12" t="s">
        <v>289</v>
      </c>
      <c r="J2049" s="12" t="s">
        <v>290</v>
      </c>
      <c r="K2049" s="12" t="s">
        <v>100</v>
      </c>
      <c r="L2049" s="14"/>
      <c r="M2049" s="12" t="s">
        <v>43</v>
      </c>
      <c r="N2049" s="12" t="s">
        <v>161</v>
      </c>
      <c r="O2049" s="12" t="s">
        <v>7776</v>
      </c>
      <c r="P2049" s="12" t="s">
        <v>66</v>
      </c>
      <c r="Q2049" s="12" t="s">
        <v>233</v>
      </c>
      <c r="R2049" s="12" t="s">
        <v>664</v>
      </c>
      <c r="S2049" s="13">
        <v>197065709808</v>
      </c>
      <c r="T2049" s="12" t="s">
        <v>235</v>
      </c>
      <c r="U2049" s="13">
        <v>29</v>
      </c>
      <c r="V2049" s="12" t="s">
        <v>6267</v>
      </c>
      <c r="W2049" s="12" t="s">
        <v>51</v>
      </c>
      <c r="X2049" s="13">
        <v>0</v>
      </c>
      <c r="Y2049" s="12" t="s">
        <v>53</v>
      </c>
      <c r="Z2049" s="12" t="s">
        <v>108</v>
      </c>
      <c r="AA2049" s="13">
        <v>0</v>
      </c>
      <c r="AB2049" s="13">
        <v>0</v>
      </c>
      <c r="AC2049" s="15">
        <v>36.4</v>
      </c>
      <c r="AD2049" s="15">
        <f>AC2049*AG2049</f>
        <v>72.8</v>
      </c>
      <c r="AE2049" s="15">
        <v>80</v>
      </c>
      <c r="AF2049" s="15">
        <f>AE2049*AG2049</f>
        <v>160</v>
      </c>
      <c r="AG2049" s="16">
        <v>2</v>
      </c>
    </row>
    <row r="2050" spans="1:33" ht="15" customHeight="1" x14ac:dyDescent="0.2">
      <c r="A2050" s="11" t="str">
        <f t="shared" ref="A2050:A2963" si="846">HYPERLINK("https://assets.vans.eu/images/VN000GA0D3Z-HERO/1","VN000GA0D3Z1")</f>
        <v>VN000GA0D3Z1</v>
      </c>
      <c r="B2050" s="12" t="s">
        <v>7777</v>
      </c>
      <c r="C2050" s="12" t="s">
        <v>6264</v>
      </c>
      <c r="D2050" s="12" t="s">
        <v>4721</v>
      </c>
      <c r="E2050" s="12" t="s">
        <v>7778</v>
      </c>
      <c r="F2050" s="13">
        <v>24</v>
      </c>
      <c r="G2050" s="14"/>
      <c r="H2050" s="12" t="s">
        <v>61</v>
      </c>
      <c r="I2050" s="12" t="s">
        <v>289</v>
      </c>
      <c r="J2050" s="12" t="s">
        <v>290</v>
      </c>
      <c r="K2050" s="12" t="s">
        <v>100</v>
      </c>
      <c r="L2050" s="14"/>
      <c r="M2050" s="12" t="s">
        <v>43</v>
      </c>
      <c r="N2050" s="12" t="s">
        <v>161</v>
      </c>
      <c r="O2050" s="12" t="s">
        <v>7779</v>
      </c>
      <c r="P2050" s="12" t="s">
        <v>66</v>
      </c>
      <c r="Q2050" s="12" t="s">
        <v>233</v>
      </c>
      <c r="R2050" s="12" t="s">
        <v>664</v>
      </c>
      <c r="S2050" s="13">
        <v>197065709617</v>
      </c>
      <c r="T2050" s="12" t="s">
        <v>235</v>
      </c>
      <c r="U2050" s="13">
        <v>24</v>
      </c>
      <c r="V2050" s="12" t="s">
        <v>6267</v>
      </c>
      <c r="W2050" s="12" t="s">
        <v>118</v>
      </c>
      <c r="X2050" s="13">
        <v>0</v>
      </c>
      <c r="Y2050" s="12" t="s">
        <v>53</v>
      </c>
      <c r="Z2050" s="12" t="s">
        <v>108</v>
      </c>
      <c r="AA2050" s="13">
        <v>0</v>
      </c>
      <c r="AB2050" s="13">
        <v>0</v>
      </c>
      <c r="AC2050" s="15">
        <v>36.4</v>
      </c>
      <c r="AD2050" s="15">
        <f>AC2050*AG2050</f>
        <v>72.8</v>
      </c>
      <c r="AE2050" s="15">
        <v>80</v>
      </c>
      <c r="AF2050" s="15">
        <f>AE2050*AG2050</f>
        <v>160</v>
      </c>
      <c r="AG2050" s="16">
        <v>2</v>
      </c>
    </row>
    <row r="2051" spans="1:33" ht="15" customHeight="1" x14ac:dyDescent="0.2">
      <c r="A2051" s="11" t="str">
        <f>HYPERLINK("https://assets.vans.eu/images/VN000GCHLKZ-HERO/1","VN000GCHLKZ1")</f>
        <v>VN000GCHLKZ1</v>
      </c>
      <c r="B2051" s="12" t="s">
        <v>7780</v>
      </c>
      <c r="C2051" s="12" t="s">
        <v>7781</v>
      </c>
      <c r="D2051" s="12" t="s">
        <v>1213</v>
      </c>
      <c r="E2051" s="12" t="s">
        <v>7782</v>
      </c>
      <c r="F2051" s="12" t="s">
        <v>403</v>
      </c>
      <c r="G2051" s="14"/>
      <c r="H2051" s="12" t="s">
        <v>61</v>
      </c>
      <c r="I2051" s="12" t="s">
        <v>62</v>
      </c>
      <c r="J2051" s="12" t="s">
        <v>63</v>
      </c>
      <c r="K2051" s="12" t="s">
        <v>64</v>
      </c>
      <c r="L2051" s="14"/>
      <c r="M2051" s="12" t="s">
        <v>43</v>
      </c>
      <c r="N2051" s="12" t="s">
        <v>274</v>
      </c>
      <c r="O2051" s="12" t="s">
        <v>7783</v>
      </c>
      <c r="P2051" s="12" t="s">
        <v>66</v>
      </c>
      <c r="Q2051" s="12" t="s">
        <v>67</v>
      </c>
      <c r="R2051" s="12" t="s">
        <v>730</v>
      </c>
      <c r="S2051" s="13">
        <v>197063519331</v>
      </c>
      <c r="T2051" s="12" t="s">
        <v>7784</v>
      </c>
      <c r="U2051" s="12" t="s">
        <v>403</v>
      </c>
      <c r="V2051" s="12" t="s">
        <v>70</v>
      </c>
      <c r="W2051" s="12" t="s">
        <v>284</v>
      </c>
      <c r="X2051" s="13">
        <v>0</v>
      </c>
      <c r="Y2051" s="12" t="s">
        <v>91</v>
      </c>
      <c r="Z2051" s="12" t="s">
        <v>108</v>
      </c>
      <c r="AA2051" s="13">
        <v>0</v>
      </c>
      <c r="AB2051" s="13">
        <v>0</v>
      </c>
      <c r="AC2051" s="15">
        <v>29.55</v>
      </c>
      <c r="AD2051" s="15">
        <f>AC2051*AG2051</f>
        <v>59.1</v>
      </c>
      <c r="AE2051" s="15">
        <v>65</v>
      </c>
      <c r="AF2051" s="15">
        <f>AE2051*AG2051</f>
        <v>130</v>
      </c>
      <c r="AG2051" s="16">
        <v>2</v>
      </c>
    </row>
    <row r="2052" spans="1:33" ht="15" customHeight="1" x14ac:dyDescent="0.2">
      <c r="A2052" s="11" t="str">
        <f t="shared" si="666"/>
        <v>VN000GDFBLK1</v>
      </c>
      <c r="B2052" s="12" t="s">
        <v>7785</v>
      </c>
      <c r="C2052" s="12" t="s">
        <v>6279</v>
      </c>
      <c r="D2052" s="12" t="s">
        <v>76</v>
      </c>
      <c r="E2052" s="12" t="s">
        <v>7786</v>
      </c>
      <c r="F2052" s="12" t="s">
        <v>179</v>
      </c>
      <c r="G2052" s="14"/>
      <c r="H2052" s="12" t="s">
        <v>61</v>
      </c>
      <c r="I2052" s="12" t="s">
        <v>62</v>
      </c>
      <c r="J2052" s="12" t="s">
        <v>63</v>
      </c>
      <c r="K2052" s="12" t="s">
        <v>64</v>
      </c>
      <c r="L2052" s="12" t="s">
        <v>350</v>
      </c>
      <c r="M2052" s="12" t="s">
        <v>43</v>
      </c>
      <c r="N2052" s="12" t="s">
        <v>44</v>
      </c>
      <c r="O2052" s="12" t="s">
        <v>7787</v>
      </c>
      <c r="P2052" s="12" t="s">
        <v>66</v>
      </c>
      <c r="Q2052" s="12" t="s">
        <v>67</v>
      </c>
      <c r="R2052" s="12" t="s">
        <v>68</v>
      </c>
      <c r="S2052" s="13">
        <v>197063404828</v>
      </c>
      <c r="T2052" s="12" t="s">
        <v>422</v>
      </c>
      <c r="U2052" s="12" t="s">
        <v>179</v>
      </c>
      <c r="V2052" s="12" t="s">
        <v>70</v>
      </c>
      <c r="W2052" s="12" t="s">
        <v>51</v>
      </c>
      <c r="X2052" s="13">
        <v>0</v>
      </c>
      <c r="Y2052" s="12" t="s">
        <v>91</v>
      </c>
      <c r="Z2052" s="12" t="s">
        <v>108</v>
      </c>
      <c r="AA2052" s="13">
        <v>0</v>
      </c>
      <c r="AB2052" s="13">
        <v>0</v>
      </c>
      <c r="AC2052" s="15">
        <v>17.3</v>
      </c>
      <c r="AD2052" s="15">
        <f>AC2052*AG2052</f>
        <v>34.6</v>
      </c>
      <c r="AE2052" s="15">
        <v>38</v>
      </c>
      <c r="AF2052" s="15">
        <f>AE2052*AG2052</f>
        <v>76</v>
      </c>
      <c r="AG2052" s="16">
        <v>2</v>
      </c>
    </row>
    <row r="2053" spans="1:33" ht="15" customHeight="1" x14ac:dyDescent="0.2">
      <c r="A2053" s="11" t="str">
        <f t="shared" ref="A2053:A2975" si="847">HYPERLINK("https://assets.vans.eu/images/VN000GF8WHT-HERO/1","VN000GF8WHT1")</f>
        <v>VN000GF8WHT1</v>
      </c>
      <c r="B2053" s="12" t="s">
        <v>7788</v>
      </c>
      <c r="C2053" s="12" t="s">
        <v>7789</v>
      </c>
      <c r="D2053" s="12" t="s">
        <v>168</v>
      </c>
      <c r="E2053" s="12" t="s">
        <v>7790</v>
      </c>
      <c r="F2053" s="12" t="s">
        <v>170</v>
      </c>
      <c r="G2053" s="14"/>
      <c r="H2053" s="12" t="s">
        <v>61</v>
      </c>
      <c r="I2053" s="12" t="s">
        <v>62</v>
      </c>
      <c r="J2053" s="12" t="s">
        <v>63</v>
      </c>
      <c r="K2053" s="12" t="s">
        <v>64</v>
      </c>
      <c r="L2053" s="14"/>
      <c r="M2053" s="12" t="s">
        <v>43</v>
      </c>
      <c r="N2053" s="12" t="s">
        <v>274</v>
      </c>
      <c r="O2053" s="12" t="s">
        <v>7791</v>
      </c>
      <c r="P2053" s="12" t="s">
        <v>66</v>
      </c>
      <c r="Q2053" s="12" t="s">
        <v>67</v>
      </c>
      <c r="R2053" s="12" t="s">
        <v>68</v>
      </c>
      <c r="S2053" s="13">
        <v>197063508229</v>
      </c>
      <c r="T2053" s="12" t="s">
        <v>69</v>
      </c>
      <c r="U2053" s="12" t="s">
        <v>170</v>
      </c>
      <c r="V2053" s="12" t="s">
        <v>70</v>
      </c>
      <c r="W2053" s="12" t="s">
        <v>175</v>
      </c>
      <c r="X2053" s="13">
        <v>0</v>
      </c>
      <c r="Y2053" s="12" t="s">
        <v>91</v>
      </c>
      <c r="Z2053" s="12" t="s">
        <v>108</v>
      </c>
      <c r="AA2053" s="13">
        <v>0</v>
      </c>
      <c r="AB2053" s="13">
        <v>0</v>
      </c>
      <c r="AC2053" s="15">
        <v>13.65</v>
      </c>
      <c r="AD2053" s="15">
        <f>AC2053*AG2053</f>
        <v>27.3</v>
      </c>
      <c r="AE2053" s="15">
        <v>30</v>
      </c>
      <c r="AF2053" s="15">
        <f>AE2053*AG2053</f>
        <v>60</v>
      </c>
      <c r="AG2053" s="16">
        <v>2</v>
      </c>
    </row>
    <row r="2054" spans="1:33" ht="15" customHeight="1" x14ac:dyDescent="0.2">
      <c r="A2054" s="11" t="str">
        <f t="shared" si="667"/>
        <v>VN000GGC15P1</v>
      </c>
      <c r="B2054" s="12" t="s">
        <v>7792</v>
      </c>
      <c r="C2054" s="12" t="s">
        <v>6287</v>
      </c>
      <c r="D2054" s="12" t="s">
        <v>6288</v>
      </c>
      <c r="E2054" s="12" t="s">
        <v>7793</v>
      </c>
      <c r="F2054" s="12" t="s">
        <v>170</v>
      </c>
      <c r="G2054" s="14"/>
      <c r="H2054" s="12" t="s">
        <v>61</v>
      </c>
      <c r="I2054" s="12" t="s">
        <v>289</v>
      </c>
      <c r="J2054" s="12" t="s">
        <v>706</v>
      </c>
      <c r="K2054" s="12" t="s">
        <v>100</v>
      </c>
      <c r="L2054" s="14"/>
      <c r="M2054" s="12" t="s">
        <v>43</v>
      </c>
      <c r="N2054" s="12" t="s">
        <v>274</v>
      </c>
      <c r="O2054" s="12" t="s">
        <v>7794</v>
      </c>
      <c r="P2054" s="12" t="s">
        <v>66</v>
      </c>
      <c r="Q2054" s="12" t="s">
        <v>67</v>
      </c>
      <c r="R2054" s="12" t="s">
        <v>1200</v>
      </c>
      <c r="S2054" s="13">
        <v>197063462033</v>
      </c>
      <c r="T2054" s="12" t="s">
        <v>49</v>
      </c>
      <c r="U2054" s="12" t="s">
        <v>170</v>
      </c>
      <c r="V2054" s="12" t="s">
        <v>6291</v>
      </c>
      <c r="W2054" s="12" t="s">
        <v>175</v>
      </c>
      <c r="X2054" s="13">
        <v>0</v>
      </c>
      <c r="Y2054" s="12" t="s">
        <v>53</v>
      </c>
      <c r="Z2054" s="12" t="s">
        <v>108</v>
      </c>
      <c r="AA2054" s="13">
        <v>0</v>
      </c>
      <c r="AB2054" s="13">
        <v>0</v>
      </c>
      <c r="AC2054" s="15">
        <v>36.4</v>
      </c>
      <c r="AD2054" s="15">
        <f>AC2054*AG2054</f>
        <v>72.8</v>
      </c>
      <c r="AE2054" s="15">
        <v>80</v>
      </c>
      <c r="AF2054" s="15">
        <f>AE2054*AG2054</f>
        <v>160</v>
      </c>
      <c r="AG2054" s="16">
        <v>2</v>
      </c>
    </row>
    <row r="2055" spans="1:33" ht="15" customHeight="1" x14ac:dyDescent="0.2">
      <c r="A2055" s="11" t="str">
        <f>HYPERLINK("https://assets.vans.eu/images/VN000GH8BLK-HERO/1","VN000GH8BLK1")</f>
        <v>VN000GH8BLK1</v>
      </c>
      <c r="B2055" s="12" t="s">
        <v>7795</v>
      </c>
      <c r="C2055" s="12" t="s">
        <v>7796</v>
      </c>
      <c r="D2055" s="12" t="s">
        <v>76</v>
      </c>
      <c r="E2055" s="12" t="s">
        <v>7797</v>
      </c>
      <c r="F2055" s="12" t="s">
        <v>153</v>
      </c>
      <c r="G2055" s="14"/>
      <c r="H2055" s="12" t="s">
        <v>61</v>
      </c>
      <c r="I2055" s="12" t="s">
        <v>289</v>
      </c>
      <c r="J2055" s="12" t="s">
        <v>706</v>
      </c>
      <c r="K2055" s="12" t="s">
        <v>100</v>
      </c>
      <c r="L2055" s="14"/>
      <c r="M2055" s="12" t="s">
        <v>43</v>
      </c>
      <c r="N2055" s="12" t="s">
        <v>84</v>
      </c>
      <c r="O2055" s="12" t="s">
        <v>7798</v>
      </c>
      <c r="P2055" s="12" t="s">
        <v>66</v>
      </c>
      <c r="Q2055" s="12" t="s">
        <v>67</v>
      </c>
      <c r="R2055" s="12" t="s">
        <v>1146</v>
      </c>
      <c r="S2055" s="13">
        <v>197063407126</v>
      </c>
      <c r="T2055" s="12" t="s">
        <v>422</v>
      </c>
      <c r="U2055" s="12" t="s">
        <v>153</v>
      </c>
      <c r="V2055" s="12" t="s">
        <v>70</v>
      </c>
      <c r="W2055" s="12" t="s">
        <v>51</v>
      </c>
      <c r="X2055" s="13">
        <v>0</v>
      </c>
      <c r="Y2055" s="12" t="s">
        <v>91</v>
      </c>
      <c r="Z2055" s="12" t="s">
        <v>108</v>
      </c>
      <c r="AA2055" s="13">
        <v>0</v>
      </c>
      <c r="AB2055" s="13">
        <v>0</v>
      </c>
      <c r="AC2055" s="15">
        <v>15.95</v>
      </c>
      <c r="AD2055" s="15">
        <f>AC2055*AG2055</f>
        <v>31.9</v>
      </c>
      <c r="AE2055" s="15">
        <v>35</v>
      </c>
      <c r="AF2055" s="15">
        <f>AE2055*AG2055</f>
        <v>70</v>
      </c>
      <c r="AG2055" s="16">
        <v>2</v>
      </c>
    </row>
    <row r="2056" spans="1:33" ht="15" customHeight="1" x14ac:dyDescent="0.2">
      <c r="A2056" s="11" t="str">
        <f t="shared" ref="A2056:A2981" si="848">HYPERLINK("https://assets.vans.eu/images/VN000GJ6BLK-HERO/1","VN000GJ6BLK1")</f>
        <v>VN000GJ6BLK1</v>
      </c>
      <c r="B2056" s="12" t="s">
        <v>7799</v>
      </c>
      <c r="C2056" s="12" t="s">
        <v>7800</v>
      </c>
      <c r="D2056" s="12" t="s">
        <v>76</v>
      </c>
      <c r="E2056" s="12" t="s">
        <v>7801</v>
      </c>
      <c r="F2056" s="12" t="s">
        <v>179</v>
      </c>
      <c r="G2056" s="14"/>
      <c r="H2056" s="12" t="s">
        <v>61</v>
      </c>
      <c r="I2056" s="12" t="s">
        <v>289</v>
      </c>
      <c r="J2056" s="12" t="s">
        <v>706</v>
      </c>
      <c r="K2056" s="12" t="s">
        <v>100</v>
      </c>
      <c r="L2056" s="14"/>
      <c r="M2056" s="12" t="s">
        <v>43</v>
      </c>
      <c r="N2056" s="12" t="s">
        <v>274</v>
      </c>
      <c r="O2056" s="12" t="s">
        <v>7802</v>
      </c>
      <c r="P2056" s="12" t="s">
        <v>66</v>
      </c>
      <c r="Q2056" s="12" t="s">
        <v>67</v>
      </c>
      <c r="R2056" s="12" t="s">
        <v>1146</v>
      </c>
      <c r="S2056" s="13">
        <v>197063413226</v>
      </c>
      <c r="T2056" s="12" t="s">
        <v>49</v>
      </c>
      <c r="U2056" s="12" t="s">
        <v>179</v>
      </c>
      <c r="V2056" s="12" t="s">
        <v>7803</v>
      </c>
      <c r="W2056" s="12" t="s">
        <v>51</v>
      </c>
      <c r="X2056" s="13">
        <v>0</v>
      </c>
      <c r="Y2056" s="12" t="s">
        <v>53</v>
      </c>
      <c r="Z2056" s="12" t="s">
        <v>108</v>
      </c>
      <c r="AA2056" s="13">
        <v>0</v>
      </c>
      <c r="AB2056" s="13">
        <v>0</v>
      </c>
      <c r="AC2056" s="15">
        <v>20.5</v>
      </c>
      <c r="AD2056" s="15">
        <f>AC2056*AG2056</f>
        <v>41</v>
      </c>
      <c r="AE2056" s="15">
        <v>45</v>
      </c>
      <c r="AF2056" s="15">
        <f>AE2056*AG2056</f>
        <v>90</v>
      </c>
      <c r="AG2056" s="16">
        <v>2</v>
      </c>
    </row>
    <row r="2057" spans="1:33" ht="15" customHeight="1" x14ac:dyDescent="0.2">
      <c r="A2057" s="11" t="str">
        <f t="shared" ref="A2057:A2989" si="849">HYPERLINK("https://assets.vans.eu/images/VN000HANCDX-HERO/1","VN000HANCDX1")</f>
        <v>VN000HANCDX1</v>
      </c>
      <c r="B2057" s="12" t="s">
        <v>7804</v>
      </c>
      <c r="C2057" s="12" t="s">
        <v>7805</v>
      </c>
      <c r="D2057" s="12" t="s">
        <v>760</v>
      </c>
      <c r="E2057" s="12" t="s">
        <v>7806</v>
      </c>
      <c r="F2057" s="13">
        <v>38</v>
      </c>
      <c r="G2057" s="14"/>
      <c r="H2057" s="12" t="s">
        <v>61</v>
      </c>
      <c r="I2057" s="12" t="s">
        <v>230</v>
      </c>
      <c r="J2057" s="12" t="s">
        <v>231</v>
      </c>
      <c r="K2057" s="12" t="s">
        <v>199</v>
      </c>
      <c r="L2057" s="14"/>
      <c r="M2057" s="12" t="s">
        <v>43</v>
      </c>
      <c r="N2057" s="12" t="s">
        <v>44</v>
      </c>
      <c r="O2057" s="12" t="s">
        <v>7807</v>
      </c>
      <c r="P2057" s="12" t="s">
        <v>66</v>
      </c>
      <c r="Q2057" s="12" t="s">
        <v>233</v>
      </c>
      <c r="R2057" s="12" t="s">
        <v>361</v>
      </c>
      <c r="S2057" s="13">
        <v>197643458401</v>
      </c>
      <c r="T2057" s="12" t="s">
        <v>235</v>
      </c>
      <c r="U2057" s="13">
        <v>38</v>
      </c>
      <c r="V2057" s="12" t="s">
        <v>665</v>
      </c>
      <c r="W2057" s="12" t="s">
        <v>284</v>
      </c>
      <c r="X2057" s="13">
        <v>0</v>
      </c>
      <c r="Y2057" s="12" t="s">
        <v>53</v>
      </c>
      <c r="Z2057" s="12" t="s">
        <v>108</v>
      </c>
      <c r="AA2057" s="13">
        <v>0</v>
      </c>
      <c r="AB2057" s="13">
        <v>0</v>
      </c>
      <c r="AC2057" s="15">
        <v>40.950000000000003</v>
      </c>
      <c r="AD2057" s="15">
        <f>AC2057*AG2057</f>
        <v>81.900000000000006</v>
      </c>
      <c r="AE2057" s="15">
        <v>90</v>
      </c>
      <c r="AF2057" s="15">
        <f>AE2057*AG2057</f>
        <v>180</v>
      </c>
      <c r="AG2057" s="16">
        <v>2</v>
      </c>
    </row>
    <row r="2058" spans="1:33" ht="15" customHeight="1" x14ac:dyDescent="0.2">
      <c r="A2058" s="11" t="str">
        <f>HYPERLINK("https://assets.vans.eu/images/VN000HDZKOU-HERO/1","VN000HDZKOU1")</f>
        <v>VN000HDZKOU1</v>
      </c>
      <c r="B2058" s="12" t="s">
        <v>7808</v>
      </c>
      <c r="C2058" s="12" t="s">
        <v>7809</v>
      </c>
      <c r="D2058" s="12" t="s">
        <v>4469</v>
      </c>
      <c r="E2058" s="12" t="s">
        <v>7810</v>
      </c>
      <c r="F2058" s="12" t="s">
        <v>170</v>
      </c>
      <c r="G2058" s="14"/>
      <c r="H2058" s="12" t="s">
        <v>61</v>
      </c>
      <c r="I2058" s="12" t="s">
        <v>230</v>
      </c>
      <c r="J2058" s="12" t="s">
        <v>419</v>
      </c>
      <c r="K2058" s="12" t="s">
        <v>199</v>
      </c>
      <c r="L2058" s="14"/>
      <c r="M2058" s="12" t="s">
        <v>43</v>
      </c>
      <c r="N2058" s="12" t="s">
        <v>161</v>
      </c>
      <c r="O2058" s="12" t="s">
        <v>7811</v>
      </c>
      <c r="P2058" s="12" t="s">
        <v>66</v>
      </c>
      <c r="Q2058" s="12" t="s">
        <v>67</v>
      </c>
      <c r="R2058" s="12" t="s">
        <v>1500</v>
      </c>
      <c r="S2058" s="13">
        <v>197065452759</v>
      </c>
      <c r="T2058" s="12" t="s">
        <v>49</v>
      </c>
      <c r="U2058" s="12" t="s">
        <v>170</v>
      </c>
      <c r="V2058" s="12" t="s">
        <v>665</v>
      </c>
      <c r="W2058" s="12" t="s">
        <v>51</v>
      </c>
      <c r="X2058" s="13">
        <v>0</v>
      </c>
      <c r="Y2058" s="12" t="s">
        <v>53</v>
      </c>
      <c r="Z2058" s="12" t="s">
        <v>108</v>
      </c>
      <c r="AA2058" s="13">
        <v>0</v>
      </c>
      <c r="AB2058" s="13">
        <v>0</v>
      </c>
      <c r="AC2058" s="15">
        <v>31.85</v>
      </c>
      <c r="AD2058" s="15">
        <f>AC2058*AG2058</f>
        <v>63.7</v>
      </c>
      <c r="AE2058" s="15">
        <v>70</v>
      </c>
      <c r="AF2058" s="15">
        <f>AE2058*AG2058</f>
        <v>140</v>
      </c>
      <c r="AG2058" s="16">
        <v>2</v>
      </c>
    </row>
    <row r="2059" spans="1:33" ht="15" customHeight="1" x14ac:dyDescent="0.2">
      <c r="A2059" s="11" t="str">
        <f>HYPERLINK("https://assets.vans.eu/images/VN000HMFWHT-HERO/1","VN000HMFWHT1")</f>
        <v>VN000HMFWHT1</v>
      </c>
      <c r="B2059" s="12" t="s">
        <v>7812</v>
      </c>
      <c r="C2059" s="12" t="s">
        <v>7813</v>
      </c>
      <c r="D2059" s="12" t="s">
        <v>168</v>
      </c>
      <c r="E2059" s="12" t="s">
        <v>7814</v>
      </c>
      <c r="F2059" s="12" t="s">
        <v>621</v>
      </c>
      <c r="G2059" s="14"/>
      <c r="H2059" s="12" t="s">
        <v>61</v>
      </c>
      <c r="I2059" s="12" t="s">
        <v>230</v>
      </c>
      <c r="J2059" s="12" t="s">
        <v>419</v>
      </c>
      <c r="K2059" s="12" t="s">
        <v>199</v>
      </c>
      <c r="L2059" s="14"/>
      <c r="M2059" s="12" t="s">
        <v>43</v>
      </c>
      <c r="N2059" s="12" t="s">
        <v>161</v>
      </c>
      <c r="O2059" s="12" t="s">
        <v>7815</v>
      </c>
      <c r="P2059" s="12" t="s">
        <v>66</v>
      </c>
      <c r="Q2059" s="12" t="s">
        <v>67</v>
      </c>
      <c r="R2059" s="12" t="s">
        <v>1490</v>
      </c>
      <c r="S2059" s="13">
        <v>197065820992</v>
      </c>
      <c r="T2059" s="12" t="s">
        <v>143</v>
      </c>
      <c r="U2059" s="12" t="s">
        <v>621</v>
      </c>
      <c r="V2059" s="12" t="s">
        <v>7816</v>
      </c>
      <c r="W2059" s="12" t="s">
        <v>175</v>
      </c>
      <c r="X2059" s="13">
        <v>0</v>
      </c>
      <c r="Y2059" s="12" t="s">
        <v>1011</v>
      </c>
      <c r="Z2059" s="12" t="s">
        <v>6135</v>
      </c>
      <c r="AA2059" s="13">
        <v>0</v>
      </c>
      <c r="AB2059" s="13">
        <v>0</v>
      </c>
      <c r="AC2059" s="15">
        <v>54.55</v>
      </c>
      <c r="AD2059" s="15">
        <f>AC2059*AG2059</f>
        <v>109.1</v>
      </c>
      <c r="AE2059" s="15">
        <v>120</v>
      </c>
      <c r="AF2059" s="15">
        <f>AE2059*AG2059</f>
        <v>240</v>
      </c>
      <c r="AG2059" s="16">
        <v>2</v>
      </c>
    </row>
    <row r="2060" spans="1:33" ht="15" customHeight="1" x14ac:dyDescent="0.2">
      <c r="A2060" s="11" t="str">
        <f>HYPERLINK("https://assets.vans.eu/images/VN000HMQF0E-HERO/1","VN000HMQF0E1")</f>
        <v>VN000HMQF0E1</v>
      </c>
      <c r="B2060" s="12" t="s">
        <v>7817</v>
      </c>
      <c r="C2060" s="12" t="s">
        <v>6317</v>
      </c>
      <c r="D2060" s="12" t="s">
        <v>1542</v>
      </c>
      <c r="E2060" s="12" t="s">
        <v>7818</v>
      </c>
      <c r="F2060" s="12" t="s">
        <v>179</v>
      </c>
      <c r="G2060" s="14"/>
      <c r="H2060" s="12" t="s">
        <v>61</v>
      </c>
      <c r="I2060" s="12" t="s">
        <v>230</v>
      </c>
      <c r="J2060" s="12" t="s">
        <v>762</v>
      </c>
      <c r="K2060" s="12" t="s">
        <v>199</v>
      </c>
      <c r="L2060" s="14"/>
      <c r="M2060" s="12" t="s">
        <v>43</v>
      </c>
      <c r="N2060" s="12" t="s">
        <v>84</v>
      </c>
      <c r="O2060" s="12" t="s">
        <v>7819</v>
      </c>
      <c r="P2060" s="12" t="s">
        <v>66</v>
      </c>
      <c r="Q2060" s="12" t="s">
        <v>764</v>
      </c>
      <c r="R2060" s="12" t="s">
        <v>765</v>
      </c>
      <c r="S2060" s="13">
        <v>197804384761</v>
      </c>
      <c r="T2060" s="12" t="s">
        <v>235</v>
      </c>
      <c r="U2060" s="12" t="s">
        <v>179</v>
      </c>
      <c r="V2060" s="12" t="s">
        <v>1811</v>
      </c>
      <c r="W2060" s="12" t="s">
        <v>51</v>
      </c>
      <c r="X2060" s="14"/>
      <c r="Y2060" s="14"/>
      <c r="Z2060" s="14"/>
      <c r="AA2060" s="14"/>
      <c r="AB2060" s="14"/>
      <c r="AC2060" s="15">
        <v>59.1</v>
      </c>
      <c r="AD2060" s="15">
        <f>AC2060*AG2060</f>
        <v>118.2</v>
      </c>
      <c r="AE2060" s="15">
        <v>130</v>
      </c>
      <c r="AF2060" s="15">
        <f>AE2060*AG2060</f>
        <v>260</v>
      </c>
      <c r="AG2060" s="16">
        <v>2</v>
      </c>
    </row>
    <row r="2061" spans="1:33" ht="15" customHeight="1" x14ac:dyDescent="0.2">
      <c r="A2061" s="11" t="str">
        <f t="shared" ref="A2061:A3005" si="850">HYPERLINK("https://assets.vans.eu/images/VN000HMQJDU-HERO/1","VN000HMQJDU1")</f>
        <v>VN000HMQJDU1</v>
      </c>
      <c r="B2061" s="12" t="s">
        <v>7820</v>
      </c>
      <c r="C2061" s="12" t="s">
        <v>6317</v>
      </c>
      <c r="D2061" s="12" t="s">
        <v>814</v>
      </c>
      <c r="E2061" s="12" t="s">
        <v>7821</v>
      </c>
      <c r="F2061" s="12" t="s">
        <v>153</v>
      </c>
      <c r="G2061" s="14"/>
      <c r="H2061" s="12" t="s">
        <v>61</v>
      </c>
      <c r="I2061" s="12" t="s">
        <v>230</v>
      </c>
      <c r="J2061" s="12" t="s">
        <v>762</v>
      </c>
      <c r="K2061" s="12" t="s">
        <v>199</v>
      </c>
      <c r="L2061" s="14"/>
      <c r="M2061" s="12" t="s">
        <v>43</v>
      </c>
      <c r="N2061" s="12" t="s">
        <v>44</v>
      </c>
      <c r="O2061" s="12" t="s">
        <v>7822</v>
      </c>
      <c r="P2061" s="12" t="s">
        <v>66</v>
      </c>
      <c r="Q2061" s="12" t="s">
        <v>764</v>
      </c>
      <c r="R2061" s="12" t="s">
        <v>765</v>
      </c>
      <c r="S2061" s="13">
        <v>197643458593</v>
      </c>
      <c r="T2061" s="12" t="s">
        <v>235</v>
      </c>
      <c r="U2061" s="12" t="s">
        <v>153</v>
      </c>
      <c r="V2061" s="12" t="s">
        <v>1811</v>
      </c>
      <c r="W2061" s="12" t="s">
        <v>284</v>
      </c>
      <c r="X2061" s="13">
        <v>0</v>
      </c>
      <c r="Y2061" s="12" t="s">
        <v>91</v>
      </c>
      <c r="Z2061" s="12" t="s">
        <v>108</v>
      </c>
      <c r="AA2061" s="13">
        <v>0</v>
      </c>
      <c r="AB2061" s="13">
        <v>0</v>
      </c>
      <c r="AC2061" s="15">
        <v>59.1</v>
      </c>
      <c r="AD2061" s="15">
        <f>AC2061*AG2061</f>
        <v>118.2</v>
      </c>
      <c r="AE2061" s="15">
        <v>130</v>
      </c>
      <c r="AF2061" s="15">
        <f>AE2061*AG2061</f>
        <v>260</v>
      </c>
      <c r="AG2061" s="16">
        <v>2</v>
      </c>
    </row>
    <row r="2062" spans="1:33" ht="15" customHeight="1" x14ac:dyDescent="0.2">
      <c r="A2062" s="11" t="str">
        <f t="shared" ref="A2062:A3008" si="851">HYPERLINK("https://assets.vans.eu/images/VN000HN197I-HERO/1","VN000HN197I1")</f>
        <v>VN000HN197I1</v>
      </c>
      <c r="B2062" s="12" t="s">
        <v>7823</v>
      </c>
      <c r="C2062" s="12" t="s">
        <v>7824</v>
      </c>
      <c r="D2062" s="12" t="s">
        <v>1990</v>
      </c>
      <c r="E2062" s="12" t="s">
        <v>7825</v>
      </c>
      <c r="F2062" s="12" t="s">
        <v>153</v>
      </c>
      <c r="G2062" s="14"/>
      <c r="H2062" s="12" t="s">
        <v>61</v>
      </c>
      <c r="I2062" s="12" t="s">
        <v>230</v>
      </c>
      <c r="J2062" s="12" t="s">
        <v>419</v>
      </c>
      <c r="K2062" s="12" t="s">
        <v>199</v>
      </c>
      <c r="L2062" s="14"/>
      <c r="M2062" s="12" t="s">
        <v>43</v>
      </c>
      <c r="N2062" s="12" t="s">
        <v>161</v>
      </c>
      <c r="O2062" s="12" t="s">
        <v>7826</v>
      </c>
      <c r="P2062" s="12" t="s">
        <v>66</v>
      </c>
      <c r="Q2062" s="12" t="s">
        <v>67</v>
      </c>
      <c r="R2062" s="12" t="s">
        <v>623</v>
      </c>
      <c r="S2062" s="13">
        <v>197065820961</v>
      </c>
      <c r="T2062" s="12" t="s">
        <v>49</v>
      </c>
      <c r="U2062" s="12" t="s">
        <v>153</v>
      </c>
      <c r="V2062" s="12" t="s">
        <v>90</v>
      </c>
      <c r="W2062" s="12" t="s">
        <v>51</v>
      </c>
      <c r="X2062" s="13">
        <v>0</v>
      </c>
      <c r="Y2062" s="12" t="s">
        <v>1011</v>
      </c>
      <c r="Z2062" s="12" t="s">
        <v>6135</v>
      </c>
      <c r="AA2062" s="13">
        <v>0</v>
      </c>
      <c r="AB2062" s="13">
        <v>0</v>
      </c>
      <c r="AC2062" s="15">
        <v>50</v>
      </c>
      <c r="AD2062" s="15">
        <f>AC2062*AG2062</f>
        <v>100</v>
      </c>
      <c r="AE2062" s="15">
        <v>110</v>
      </c>
      <c r="AF2062" s="15">
        <f>AE2062*AG2062</f>
        <v>220</v>
      </c>
      <c r="AG2062" s="16">
        <v>2</v>
      </c>
    </row>
    <row r="2063" spans="1:33" ht="15" customHeight="1" x14ac:dyDescent="0.2">
      <c r="A2063" s="11" t="str">
        <f t="shared" ref="A2063:A3010" si="852">HYPERLINK("https://assets.vans.eu/images/VN000HN9DRJ-HERO/1","VN000HN9DRJ1")</f>
        <v>VN000HN9DRJ1</v>
      </c>
      <c r="B2063" s="12" t="s">
        <v>7827</v>
      </c>
      <c r="C2063" s="12" t="s">
        <v>7828</v>
      </c>
      <c r="D2063" s="12" t="s">
        <v>7829</v>
      </c>
      <c r="E2063" s="12" t="s">
        <v>7830</v>
      </c>
      <c r="F2063" s="12" t="s">
        <v>153</v>
      </c>
      <c r="G2063" s="14"/>
      <c r="H2063" s="12" t="s">
        <v>61</v>
      </c>
      <c r="I2063" s="12" t="s">
        <v>230</v>
      </c>
      <c r="J2063" s="12" t="s">
        <v>762</v>
      </c>
      <c r="K2063" s="12" t="s">
        <v>199</v>
      </c>
      <c r="L2063" s="14"/>
      <c r="M2063" s="12" t="s">
        <v>43</v>
      </c>
      <c r="N2063" s="12" t="s">
        <v>161</v>
      </c>
      <c r="O2063" s="12" t="s">
        <v>7831</v>
      </c>
      <c r="P2063" s="12" t="s">
        <v>66</v>
      </c>
      <c r="Q2063" s="12" t="s">
        <v>764</v>
      </c>
      <c r="R2063" s="12" t="s">
        <v>765</v>
      </c>
      <c r="S2063" s="13">
        <v>197065459826</v>
      </c>
      <c r="T2063" s="12" t="s">
        <v>235</v>
      </c>
      <c r="U2063" s="12" t="s">
        <v>153</v>
      </c>
      <c r="V2063" s="12" t="s">
        <v>1811</v>
      </c>
      <c r="W2063" s="12" t="s">
        <v>51</v>
      </c>
      <c r="X2063" s="13">
        <v>0</v>
      </c>
      <c r="Y2063" s="12" t="s">
        <v>91</v>
      </c>
      <c r="Z2063" s="12" t="s">
        <v>108</v>
      </c>
      <c r="AA2063" s="13">
        <v>0</v>
      </c>
      <c r="AB2063" s="13">
        <v>0</v>
      </c>
      <c r="AC2063" s="15">
        <v>100</v>
      </c>
      <c r="AD2063" s="15">
        <f>AC2063*AG2063</f>
        <v>200</v>
      </c>
      <c r="AE2063" s="15">
        <v>220</v>
      </c>
      <c r="AF2063" s="15">
        <f>AE2063*AG2063</f>
        <v>440</v>
      </c>
      <c r="AG2063" s="16">
        <v>2</v>
      </c>
    </row>
    <row r="2064" spans="1:33" ht="15" customHeight="1" x14ac:dyDescent="0.2">
      <c r="A2064" s="11" t="str">
        <f t="shared" ref="A2064:A3012" si="853">HYPERLINK("https://assets.vans.eu/images/VN000HNFD40-HERO/1","VN000HNFD401")</f>
        <v>VN000HNFD401</v>
      </c>
      <c r="B2064" s="12" t="s">
        <v>7832</v>
      </c>
      <c r="C2064" s="12" t="s">
        <v>7833</v>
      </c>
      <c r="D2064" s="12" t="s">
        <v>7834</v>
      </c>
      <c r="E2064" s="12" t="s">
        <v>7835</v>
      </c>
      <c r="F2064" s="12" t="s">
        <v>403</v>
      </c>
      <c r="G2064" s="14"/>
      <c r="H2064" s="12" t="s">
        <v>61</v>
      </c>
      <c r="I2064" s="12" t="s">
        <v>230</v>
      </c>
      <c r="J2064" s="12" t="s">
        <v>762</v>
      </c>
      <c r="K2064" s="12" t="s">
        <v>199</v>
      </c>
      <c r="L2064" s="14"/>
      <c r="M2064" s="12" t="s">
        <v>43</v>
      </c>
      <c r="N2064" s="12" t="s">
        <v>161</v>
      </c>
      <c r="O2064" s="12" t="s">
        <v>7836</v>
      </c>
      <c r="P2064" s="12" t="s">
        <v>66</v>
      </c>
      <c r="Q2064" s="12" t="s">
        <v>764</v>
      </c>
      <c r="R2064" s="12" t="s">
        <v>765</v>
      </c>
      <c r="S2064" s="13">
        <v>197065460143</v>
      </c>
      <c r="T2064" s="12" t="s">
        <v>235</v>
      </c>
      <c r="U2064" s="12" t="s">
        <v>403</v>
      </c>
      <c r="V2064" s="12" t="s">
        <v>7837</v>
      </c>
      <c r="W2064" s="12" t="s">
        <v>933</v>
      </c>
      <c r="X2064" s="13">
        <v>0</v>
      </c>
      <c r="Y2064" s="12" t="s">
        <v>91</v>
      </c>
      <c r="Z2064" s="12" t="s">
        <v>108</v>
      </c>
      <c r="AA2064" s="13">
        <v>0</v>
      </c>
      <c r="AB2064" s="13">
        <v>0</v>
      </c>
      <c r="AC2064" s="15">
        <v>109.1</v>
      </c>
      <c r="AD2064" s="15">
        <f>AC2064*AG2064</f>
        <v>218.2</v>
      </c>
      <c r="AE2064" s="15">
        <v>240</v>
      </c>
      <c r="AF2064" s="15">
        <f>AE2064*AG2064</f>
        <v>480</v>
      </c>
      <c r="AG2064" s="16">
        <v>2</v>
      </c>
    </row>
    <row r="2065" spans="1:33" ht="15" customHeight="1" x14ac:dyDescent="0.2">
      <c r="A2065" s="11" t="str">
        <f t="shared" ref="A2065:A3026" si="854">HYPERLINK("https://assets.vans.eu/images/VN000HU0QID-HERO/1","VN000HU0QID1")</f>
        <v>VN000HU0QID1</v>
      </c>
      <c r="B2065" s="12" t="s">
        <v>7838</v>
      </c>
      <c r="C2065" s="12" t="s">
        <v>4107</v>
      </c>
      <c r="D2065" s="12" t="s">
        <v>347</v>
      </c>
      <c r="E2065" s="12" t="s">
        <v>7839</v>
      </c>
      <c r="F2065" s="12" t="s">
        <v>138</v>
      </c>
      <c r="G2065" s="14"/>
      <c r="H2065" s="12" t="s">
        <v>61</v>
      </c>
      <c r="I2065" s="12" t="s">
        <v>289</v>
      </c>
      <c r="J2065" s="12" t="s">
        <v>706</v>
      </c>
      <c r="K2065" s="12" t="s">
        <v>100</v>
      </c>
      <c r="L2065" s="14"/>
      <c r="M2065" s="12" t="s">
        <v>43</v>
      </c>
      <c r="N2065" s="12" t="s">
        <v>161</v>
      </c>
      <c r="O2065" s="12" t="s">
        <v>7840</v>
      </c>
      <c r="P2065" s="12" t="s">
        <v>66</v>
      </c>
      <c r="Q2065" s="12" t="s">
        <v>67</v>
      </c>
      <c r="R2065" s="12" t="s">
        <v>708</v>
      </c>
      <c r="S2065" s="13">
        <v>197064863778</v>
      </c>
      <c r="T2065" s="12" t="s">
        <v>49</v>
      </c>
      <c r="U2065" s="12" t="s">
        <v>138</v>
      </c>
      <c r="V2065" s="12" t="s">
        <v>1726</v>
      </c>
      <c r="W2065" s="12" t="s">
        <v>299</v>
      </c>
      <c r="X2065" s="13">
        <v>0</v>
      </c>
      <c r="Y2065" s="12" t="s">
        <v>71</v>
      </c>
      <c r="Z2065" s="12" t="s">
        <v>72</v>
      </c>
      <c r="AA2065" s="12" t="s">
        <v>73</v>
      </c>
      <c r="AB2065" s="13">
        <v>0</v>
      </c>
      <c r="AC2065" s="15">
        <v>35.5</v>
      </c>
      <c r="AD2065" s="15">
        <f>AC2065*AG2065</f>
        <v>71</v>
      </c>
      <c r="AE2065" s="15">
        <v>78</v>
      </c>
      <c r="AF2065" s="15">
        <f>AE2065*AG2065</f>
        <v>156</v>
      </c>
      <c r="AG2065" s="16">
        <v>2</v>
      </c>
    </row>
    <row r="2066" spans="1:33" ht="15" customHeight="1" x14ac:dyDescent="0.2">
      <c r="A2066" s="11" t="str">
        <f>HYPERLINK("https://assets.vans.eu/images/VN000HZBBLK-HERO/1","VN000HZBBLK1")</f>
        <v>VN000HZBBLK1</v>
      </c>
      <c r="B2066" s="12" t="s">
        <v>7841</v>
      </c>
      <c r="C2066" s="12" t="s">
        <v>357</v>
      </c>
      <c r="D2066" s="12" t="s">
        <v>76</v>
      </c>
      <c r="E2066" s="12" t="s">
        <v>7842</v>
      </c>
      <c r="F2066" s="13">
        <v>38</v>
      </c>
      <c r="G2066" s="14"/>
      <c r="H2066" s="12" t="s">
        <v>61</v>
      </c>
      <c r="I2066" s="12" t="s">
        <v>230</v>
      </c>
      <c r="J2066" s="12" t="s">
        <v>231</v>
      </c>
      <c r="K2066" s="12" t="s">
        <v>199</v>
      </c>
      <c r="L2066" s="14"/>
      <c r="M2066" s="12" t="s">
        <v>43</v>
      </c>
      <c r="N2066" s="12" t="s">
        <v>84</v>
      </c>
      <c r="O2066" s="12" t="s">
        <v>7843</v>
      </c>
      <c r="P2066" s="12" t="s">
        <v>66</v>
      </c>
      <c r="Q2066" s="12" t="s">
        <v>233</v>
      </c>
      <c r="R2066" s="12" t="s">
        <v>361</v>
      </c>
      <c r="S2066" s="13">
        <v>197065841331</v>
      </c>
      <c r="T2066" s="12" t="s">
        <v>235</v>
      </c>
      <c r="U2066" s="13">
        <v>38</v>
      </c>
      <c r="V2066" s="12" t="s">
        <v>362</v>
      </c>
      <c r="W2066" s="12" t="s">
        <v>51</v>
      </c>
      <c r="X2066" s="13">
        <v>0</v>
      </c>
      <c r="Y2066" s="12" t="s">
        <v>91</v>
      </c>
      <c r="Z2066" s="12" t="s">
        <v>108</v>
      </c>
      <c r="AA2066" s="13">
        <v>0</v>
      </c>
      <c r="AB2066" s="13">
        <v>0</v>
      </c>
      <c r="AC2066" s="15">
        <v>34.1</v>
      </c>
      <c r="AD2066" s="15">
        <f>AC2066*AG2066</f>
        <v>68.2</v>
      </c>
      <c r="AE2066" s="15">
        <v>75</v>
      </c>
      <c r="AF2066" s="15">
        <f>AE2066*AG2066</f>
        <v>150</v>
      </c>
      <c r="AG2066" s="16">
        <v>2</v>
      </c>
    </row>
    <row r="2067" spans="1:33" ht="15" customHeight="1" x14ac:dyDescent="0.2">
      <c r="A2067" s="11" t="str">
        <f t="shared" ref="A2067:A3031" si="855">HYPERLINK("https://assets.vans.eu/images/VN000HZBKCZ-HERO/1","VN000HZBKCZ1")</f>
        <v>VN000HZBKCZ1</v>
      </c>
      <c r="B2067" s="12" t="s">
        <v>7844</v>
      </c>
      <c r="C2067" s="12" t="s">
        <v>357</v>
      </c>
      <c r="D2067" s="12" t="s">
        <v>1109</v>
      </c>
      <c r="E2067" s="12" t="s">
        <v>7845</v>
      </c>
      <c r="F2067" s="13">
        <v>32</v>
      </c>
      <c r="G2067" s="14"/>
      <c r="H2067" s="12" t="s">
        <v>61</v>
      </c>
      <c r="I2067" s="12" t="s">
        <v>230</v>
      </c>
      <c r="J2067" s="12" t="s">
        <v>231</v>
      </c>
      <c r="K2067" s="12" t="s">
        <v>199</v>
      </c>
      <c r="L2067" s="14"/>
      <c r="M2067" s="12" t="s">
        <v>43</v>
      </c>
      <c r="N2067" s="12" t="s">
        <v>84</v>
      </c>
      <c r="O2067" s="12" t="s">
        <v>7846</v>
      </c>
      <c r="P2067" s="12" t="s">
        <v>66</v>
      </c>
      <c r="Q2067" s="12" t="s">
        <v>233</v>
      </c>
      <c r="R2067" s="12" t="s">
        <v>361</v>
      </c>
      <c r="S2067" s="13">
        <v>197804386543</v>
      </c>
      <c r="T2067" s="12" t="s">
        <v>235</v>
      </c>
      <c r="U2067" s="13">
        <v>32</v>
      </c>
      <c r="V2067" s="12" t="s">
        <v>362</v>
      </c>
      <c r="W2067" s="12" t="s">
        <v>118</v>
      </c>
      <c r="X2067" s="14"/>
      <c r="Y2067" s="14"/>
      <c r="Z2067" s="14"/>
      <c r="AA2067" s="14"/>
      <c r="AB2067" s="14"/>
      <c r="AC2067" s="15">
        <v>34.1</v>
      </c>
      <c r="AD2067" s="15">
        <f>AC2067*AG2067</f>
        <v>68.2</v>
      </c>
      <c r="AE2067" s="15">
        <v>75</v>
      </c>
      <c r="AF2067" s="15">
        <f>AE2067*AG2067</f>
        <v>150</v>
      </c>
      <c r="AG2067" s="16">
        <v>2</v>
      </c>
    </row>
    <row r="2068" spans="1:33" ht="15" customHeight="1" x14ac:dyDescent="0.2">
      <c r="A2068" s="11" t="str">
        <f t="shared" si="670"/>
        <v>VN000HZCBLK1</v>
      </c>
      <c r="B2068" s="12" t="s">
        <v>7847</v>
      </c>
      <c r="C2068" s="12" t="s">
        <v>1567</v>
      </c>
      <c r="D2068" s="12" t="s">
        <v>76</v>
      </c>
      <c r="E2068" s="12" t="s">
        <v>7848</v>
      </c>
      <c r="F2068" s="13">
        <v>31</v>
      </c>
      <c r="G2068" s="14"/>
      <c r="H2068" s="12" t="s">
        <v>61</v>
      </c>
      <c r="I2068" s="12" t="s">
        <v>230</v>
      </c>
      <c r="J2068" s="12" t="s">
        <v>231</v>
      </c>
      <c r="K2068" s="12" t="s">
        <v>199</v>
      </c>
      <c r="L2068" s="14"/>
      <c r="M2068" s="12" t="s">
        <v>43</v>
      </c>
      <c r="N2068" s="12" t="s">
        <v>84</v>
      </c>
      <c r="O2068" s="12" t="s">
        <v>7849</v>
      </c>
      <c r="P2068" s="12" t="s">
        <v>66</v>
      </c>
      <c r="Q2068" s="12" t="s">
        <v>233</v>
      </c>
      <c r="R2068" s="12" t="s">
        <v>361</v>
      </c>
      <c r="S2068" s="13">
        <v>197065839659</v>
      </c>
      <c r="T2068" s="12" t="s">
        <v>235</v>
      </c>
      <c r="U2068" s="13">
        <v>31</v>
      </c>
      <c r="V2068" s="12" t="s">
        <v>1570</v>
      </c>
      <c r="W2068" s="12" t="s">
        <v>51</v>
      </c>
      <c r="X2068" s="13">
        <v>0</v>
      </c>
      <c r="Y2068" s="12" t="s">
        <v>91</v>
      </c>
      <c r="Z2068" s="12" t="s">
        <v>108</v>
      </c>
      <c r="AA2068" s="13">
        <v>0</v>
      </c>
      <c r="AB2068" s="13">
        <v>0</v>
      </c>
      <c r="AC2068" s="15">
        <v>34.1</v>
      </c>
      <c r="AD2068" s="15">
        <f>AC2068*AG2068</f>
        <v>68.2</v>
      </c>
      <c r="AE2068" s="15">
        <v>75</v>
      </c>
      <c r="AF2068" s="15">
        <f>AE2068*AG2068</f>
        <v>150</v>
      </c>
      <c r="AG2068" s="16">
        <v>2</v>
      </c>
    </row>
    <row r="2069" spans="1:33" ht="15" customHeight="1" x14ac:dyDescent="0.2">
      <c r="A2069" s="11" t="str">
        <f>HYPERLINK("https://assets.vans.eu/images/VN000IVEZX7-HERO/1","VN000IVEZX71")</f>
        <v>VN000IVEZX71</v>
      </c>
      <c r="B2069" s="12" t="s">
        <v>7850</v>
      </c>
      <c r="C2069" s="12" t="s">
        <v>4111</v>
      </c>
      <c r="D2069" s="12" t="s">
        <v>3458</v>
      </c>
      <c r="E2069" s="12" t="s">
        <v>7851</v>
      </c>
      <c r="F2069" s="12" t="s">
        <v>60</v>
      </c>
      <c r="G2069" s="14"/>
      <c r="H2069" s="12" t="s">
        <v>61</v>
      </c>
      <c r="I2069" s="12" t="s">
        <v>62</v>
      </c>
      <c r="J2069" s="12" t="s">
        <v>63</v>
      </c>
      <c r="K2069" s="12" t="s">
        <v>64</v>
      </c>
      <c r="L2069" s="12" t="s">
        <v>83</v>
      </c>
      <c r="M2069" s="12" t="s">
        <v>43</v>
      </c>
      <c r="N2069" s="12" t="s">
        <v>44</v>
      </c>
      <c r="O2069" s="12" t="s">
        <v>7852</v>
      </c>
      <c r="P2069" s="12" t="s">
        <v>66</v>
      </c>
      <c r="Q2069" s="12" t="s">
        <v>67</v>
      </c>
      <c r="R2069" s="12" t="s">
        <v>68</v>
      </c>
      <c r="S2069" s="13">
        <v>197803398691</v>
      </c>
      <c r="T2069" s="12" t="s">
        <v>422</v>
      </c>
      <c r="U2069" s="12" t="s">
        <v>60</v>
      </c>
      <c r="V2069" s="12" t="s">
        <v>423</v>
      </c>
      <c r="W2069" s="12" t="s">
        <v>625</v>
      </c>
      <c r="X2069" s="13">
        <v>0</v>
      </c>
      <c r="Y2069" s="12" t="s">
        <v>91</v>
      </c>
      <c r="Z2069" s="12" t="s">
        <v>108</v>
      </c>
      <c r="AA2069" s="13">
        <v>0</v>
      </c>
      <c r="AB2069" s="12" t="s">
        <v>616</v>
      </c>
      <c r="AC2069" s="15">
        <v>10.95</v>
      </c>
      <c r="AD2069" s="15">
        <f>AC2069*AG2069</f>
        <v>21.9</v>
      </c>
      <c r="AE2069" s="15">
        <v>24</v>
      </c>
      <c r="AF2069" s="15">
        <f>AE2069*AG2069</f>
        <v>48</v>
      </c>
      <c r="AG2069" s="16">
        <v>2</v>
      </c>
    </row>
    <row r="2070" spans="1:33" ht="15" customHeight="1" x14ac:dyDescent="0.2">
      <c r="A2070" s="11" t="str">
        <f>HYPERLINK("https://assets.vans.eu/images/VN000IVFBRD-HERO/1","VN000IVFBRD1")</f>
        <v>VN000IVFBRD1</v>
      </c>
      <c r="B2070" s="12" t="s">
        <v>7853</v>
      </c>
      <c r="C2070" s="12" t="s">
        <v>572</v>
      </c>
      <c r="D2070" s="12" t="s">
        <v>590</v>
      </c>
      <c r="E2070" s="12" t="s">
        <v>7854</v>
      </c>
      <c r="F2070" s="12" t="s">
        <v>60</v>
      </c>
      <c r="G2070" s="14"/>
      <c r="H2070" s="12" t="s">
        <v>61</v>
      </c>
      <c r="I2070" s="12" t="s">
        <v>62</v>
      </c>
      <c r="J2070" s="12" t="s">
        <v>63</v>
      </c>
      <c r="K2070" s="12" t="s">
        <v>64</v>
      </c>
      <c r="L2070" s="14"/>
      <c r="M2070" s="12" t="s">
        <v>43</v>
      </c>
      <c r="N2070" s="12" t="s">
        <v>84</v>
      </c>
      <c r="O2070" s="12" t="s">
        <v>7855</v>
      </c>
      <c r="P2070" s="12" t="s">
        <v>66</v>
      </c>
      <c r="Q2070" s="12" t="s">
        <v>67</v>
      </c>
      <c r="R2070" s="12" t="s">
        <v>68</v>
      </c>
      <c r="S2070" s="13">
        <v>197804655885</v>
      </c>
      <c r="T2070" s="12" t="s">
        <v>422</v>
      </c>
      <c r="U2070" s="12" t="s">
        <v>60</v>
      </c>
      <c r="V2070" s="12" t="s">
        <v>70</v>
      </c>
      <c r="W2070" s="12" t="s">
        <v>262</v>
      </c>
      <c r="X2070" s="14"/>
      <c r="Y2070" s="14"/>
      <c r="Z2070" s="14"/>
      <c r="AA2070" s="14"/>
      <c r="AB2070" s="14"/>
      <c r="AC2070" s="15">
        <v>11.4</v>
      </c>
      <c r="AD2070" s="15">
        <f>AC2070*AG2070</f>
        <v>22.8</v>
      </c>
      <c r="AE2070" s="15">
        <v>25</v>
      </c>
      <c r="AF2070" s="15">
        <f>AE2070*AG2070</f>
        <v>50</v>
      </c>
      <c r="AG2070" s="16">
        <v>2</v>
      </c>
    </row>
    <row r="2071" spans="1:33" ht="15" customHeight="1" x14ac:dyDescent="0.2">
      <c r="A2071" s="11" t="str">
        <f t="shared" ref="A2071:A3050" si="856">HYPERLINK("https://assets.vans.eu/images/VN000J9JZR6-HERO/1","VN000J9JZR61")</f>
        <v>VN000J9JZR61</v>
      </c>
      <c r="B2071" s="12" t="s">
        <v>7856</v>
      </c>
      <c r="C2071" s="12" t="s">
        <v>5233</v>
      </c>
      <c r="D2071" s="12" t="s">
        <v>5234</v>
      </c>
      <c r="E2071" s="12" t="s">
        <v>7857</v>
      </c>
      <c r="F2071" s="13">
        <v>36</v>
      </c>
      <c r="G2071" s="14"/>
      <c r="H2071" s="12" t="s">
        <v>61</v>
      </c>
      <c r="I2071" s="12" t="s">
        <v>230</v>
      </c>
      <c r="J2071" s="12" t="s">
        <v>231</v>
      </c>
      <c r="K2071" s="12" t="s">
        <v>199</v>
      </c>
      <c r="L2071" s="14"/>
      <c r="M2071" s="12" t="s">
        <v>43</v>
      </c>
      <c r="N2071" s="12" t="s">
        <v>161</v>
      </c>
      <c r="O2071" s="12" t="s">
        <v>7858</v>
      </c>
      <c r="P2071" s="12" t="s">
        <v>66</v>
      </c>
      <c r="Q2071" s="12" t="s">
        <v>233</v>
      </c>
      <c r="R2071" s="12" t="s">
        <v>361</v>
      </c>
      <c r="S2071" s="13">
        <v>197065492069</v>
      </c>
      <c r="T2071" s="12" t="s">
        <v>235</v>
      </c>
      <c r="U2071" s="13">
        <v>36</v>
      </c>
      <c r="V2071" s="12" t="s">
        <v>665</v>
      </c>
      <c r="W2071" s="12" t="s">
        <v>186</v>
      </c>
      <c r="X2071" s="13">
        <v>0</v>
      </c>
      <c r="Y2071" s="12" t="s">
        <v>53</v>
      </c>
      <c r="Z2071" s="12" t="s">
        <v>108</v>
      </c>
      <c r="AA2071" s="13">
        <v>0</v>
      </c>
      <c r="AB2071" s="13">
        <v>0</v>
      </c>
      <c r="AC2071" s="15">
        <v>38.65</v>
      </c>
      <c r="AD2071" s="15">
        <f>AC2071*AG2071</f>
        <v>77.3</v>
      </c>
      <c r="AE2071" s="15">
        <v>85</v>
      </c>
      <c r="AF2071" s="15">
        <f>AE2071*AG2071</f>
        <v>170</v>
      </c>
      <c r="AG2071" s="16">
        <v>2</v>
      </c>
    </row>
    <row r="2072" spans="1:33" ht="15" customHeight="1" x14ac:dyDescent="0.2">
      <c r="A2072" s="11" t="str">
        <f>HYPERLINK("https://assets.vans.eu/images/VN000JBDDBC-HERO/1","VN000JBDDBC1")</f>
        <v>VN000JBDDBC1</v>
      </c>
      <c r="B2072" s="12" t="s">
        <v>7859</v>
      </c>
      <c r="C2072" s="12" t="s">
        <v>7860</v>
      </c>
      <c r="D2072" s="12" t="s">
        <v>821</v>
      </c>
      <c r="E2072" s="12" t="s">
        <v>7861</v>
      </c>
      <c r="F2072" s="12" t="s">
        <v>179</v>
      </c>
      <c r="G2072" s="14"/>
      <c r="H2072" s="12" t="s">
        <v>61</v>
      </c>
      <c r="I2072" s="12" t="s">
        <v>62</v>
      </c>
      <c r="J2072" s="12" t="s">
        <v>972</v>
      </c>
      <c r="K2072" s="12" t="s">
        <v>64</v>
      </c>
      <c r="L2072" s="14"/>
      <c r="M2072" s="12" t="s">
        <v>43</v>
      </c>
      <c r="N2072" s="12" t="s">
        <v>161</v>
      </c>
      <c r="O2072" s="12" t="s">
        <v>7862</v>
      </c>
      <c r="P2072" s="12" t="s">
        <v>66</v>
      </c>
      <c r="Q2072" s="12" t="s">
        <v>233</v>
      </c>
      <c r="R2072" s="12" t="s">
        <v>974</v>
      </c>
      <c r="S2072" s="13">
        <v>197065464103</v>
      </c>
      <c r="T2072" s="12" t="s">
        <v>49</v>
      </c>
      <c r="U2072" s="12" t="s">
        <v>179</v>
      </c>
      <c r="V2072" s="12" t="s">
        <v>1726</v>
      </c>
      <c r="W2072" s="12" t="s">
        <v>118</v>
      </c>
      <c r="X2072" s="13">
        <v>0</v>
      </c>
      <c r="Y2072" s="12" t="s">
        <v>91</v>
      </c>
      <c r="Z2072" s="12" t="s">
        <v>108</v>
      </c>
      <c r="AA2072" s="13">
        <v>0</v>
      </c>
      <c r="AB2072" s="13">
        <v>0</v>
      </c>
      <c r="AC2072" s="15">
        <v>25</v>
      </c>
      <c r="AD2072" s="15">
        <f>AC2072*AG2072</f>
        <v>50</v>
      </c>
      <c r="AE2072" s="15">
        <v>55</v>
      </c>
      <c r="AF2072" s="15">
        <f>AE2072*AG2072</f>
        <v>110</v>
      </c>
      <c r="AG2072" s="16">
        <v>2</v>
      </c>
    </row>
    <row r="2073" spans="1:33" ht="15" customHeight="1" x14ac:dyDescent="0.2">
      <c r="A2073" s="11" t="str">
        <f t="shared" si="673"/>
        <v>VN000JBK02F1</v>
      </c>
      <c r="B2073" s="12" t="s">
        <v>7863</v>
      </c>
      <c r="C2073" s="12" t="s">
        <v>6360</v>
      </c>
      <c r="D2073" s="12" t="s">
        <v>857</v>
      </c>
      <c r="E2073" s="12" t="s">
        <v>7864</v>
      </c>
      <c r="F2073" s="12" t="s">
        <v>170</v>
      </c>
      <c r="G2073" s="14"/>
      <c r="H2073" s="12" t="s">
        <v>61</v>
      </c>
      <c r="I2073" s="12" t="s">
        <v>62</v>
      </c>
      <c r="J2073" s="12" t="s">
        <v>63</v>
      </c>
      <c r="K2073" s="12" t="s">
        <v>64</v>
      </c>
      <c r="L2073" s="14"/>
      <c r="M2073" s="12" t="s">
        <v>43</v>
      </c>
      <c r="N2073" s="12" t="s">
        <v>161</v>
      </c>
      <c r="O2073" s="12" t="s">
        <v>7865</v>
      </c>
      <c r="P2073" s="12" t="s">
        <v>66</v>
      </c>
      <c r="Q2073" s="12" t="s">
        <v>67</v>
      </c>
      <c r="R2073" s="12" t="s">
        <v>730</v>
      </c>
      <c r="S2073" s="13">
        <v>197641035895</v>
      </c>
      <c r="T2073" s="12" t="s">
        <v>69</v>
      </c>
      <c r="U2073" s="12" t="s">
        <v>170</v>
      </c>
      <c r="V2073" s="12" t="s">
        <v>6363</v>
      </c>
      <c r="W2073" s="12" t="s">
        <v>455</v>
      </c>
      <c r="X2073" s="13">
        <v>0</v>
      </c>
      <c r="Y2073" s="12" t="s">
        <v>91</v>
      </c>
      <c r="Z2073" s="12" t="s">
        <v>108</v>
      </c>
      <c r="AA2073" s="13">
        <v>0</v>
      </c>
      <c r="AB2073" s="13">
        <v>0</v>
      </c>
      <c r="AC2073" s="15">
        <v>29.55</v>
      </c>
      <c r="AD2073" s="15">
        <f>AC2073*AG2073</f>
        <v>59.1</v>
      </c>
      <c r="AE2073" s="15">
        <v>65</v>
      </c>
      <c r="AF2073" s="15">
        <f>AE2073*AG2073</f>
        <v>130</v>
      </c>
      <c r="AG2073" s="16">
        <v>2</v>
      </c>
    </row>
    <row r="2074" spans="1:33" ht="15" customHeight="1" x14ac:dyDescent="0.2">
      <c r="A2074" s="11" t="str">
        <f t="shared" ref="A2074:A3051" si="857">HYPERLINK("https://assets.vans.eu/images/VN000JBK02F-HERO/1","VN000JBK02F1")</f>
        <v>VN000JBK02F1</v>
      </c>
      <c r="B2074" s="12" t="s">
        <v>7866</v>
      </c>
      <c r="C2074" s="12" t="s">
        <v>6360</v>
      </c>
      <c r="D2074" s="12" t="s">
        <v>857</v>
      </c>
      <c r="E2074" s="12" t="s">
        <v>7867</v>
      </c>
      <c r="F2074" s="12" t="s">
        <v>60</v>
      </c>
      <c r="G2074" s="14"/>
      <c r="H2074" s="12" t="s">
        <v>61</v>
      </c>
      <c r="I2074" s="12" t="s">
        <v>62</v>
      </c>
      <c r="J2074" s="12" t="s">
        <v>63</v>
      </c>
      <c r="K2074" s="12" t="s">
        <v>64</v>
      </c>
      <c r="L2074" s="14"/>
      <c r="M2074" s="12" t="s">
        <v>43</v>
      </c>
      <c r="N2074" s="12" t="s">
        <v>161</v>
      </c>
      <c r="O2074" s="12" t="s">
        <v>7868</v>
      </c>
      <c r="P2074" s="12" t="s">
        <v>66</v>
      </c>
      <c r="Q2074" s="12" t="s">
        <v>67</v>
      </c>
      <c r="R2074" s="12" t="s">
        <v>730</v>
      </c>
      <c r="S2074" s="13">
        <v>197641036267</v>
      </c>
      <c r="T2074" s="12" t="s">
        <v>69</v>
      </c>
      <c r="U2074" s="12" t="s">
        <v>60</v>
      </c>
      <c r="V2074" s="12" t="s">
        <v>6363</v>
      </c>
      <c r="W2074" s="12" t="s">
        <v>455</v>
      </c>
      <c r="X2074" s="13">
        <v>0</v>
      </c>
      <c r="Y2074" s="12" t="s">
        <v>91</v>
      </c>
      <c r="Z2074" s="12" t="s">
        <v>108</v>
      </c>
      <c r="AA2074" s="13">
        <v>0</v>
      </c>
      <c r="AB2074" s="13">
        <v>0</v>
      </c>
      <c r="AC2074" s="15">
        <v>29.55</v>
      </c>
      <c r="AD2074" s="15">
        <f>AC2074*AG2074</f>
        <v>59.1</v>
      </c>
      <c r="AE2074" s="15">
        <v>65</v>
      </c>
      <c r="AF2074" s="15">
        <f>AE2074*AG2074</f>
        <v>130</v>
      </c>
      <c r="AG2074" s="16">
        <v>2</v>
      </c>
    </row>
    <row r="2075" spans="1:33" ht="15" customHeight="1" x14ac:dyDescent="0.2">
      <c r="A2075" s="11" t="str">
        <f t="shared" ref="A2075:A3052" si="858">HYPERLINK("https://assets.vans.eu/images/VN000JBMCIB-HERO/1","VN000JBMCIB1")</f>
        <v>VN000JBMCIB1</v>
      </c>
      <c r="B2075" s="12" t="s">
        <v>7869</v>
      </c>
      <c r="C2075" s="12" t="s">
        <v>3379</v>
      </c>
      <c r="D2075" s="12" t="s">
        <v>7870</v>
      </c>
      <c r="E2075" s="12" t="s">
        <v>7871</v>
      </c>
      <c r="F2075" s="12" t="s">
        <v>60</v>
      </c>
      <c r="G2075" s="14"/>
      <c r="H2075" s="12" t="s">
        <v>61</v>
      </c>
      <c r="I2075" s="12" t="s">
        <v>62</v>
      </c>
      <c r="J2075" s="12" t="s">
        <v>63</v>
      </c>
      <c r="K2075" s="12" t="s">
        <v>64</v>
      </c>
      <c r="L2075" s="12" t="s">
        <v>83</v>
      </c>
      <c r="M2075" s="12" t="s">
        <v>43</v>
      </c>
      <c r="N2075" s="12" t="s">
        <v>84</v>
      </c>
      <c r="O2075" s="12" t="s">
        <v>7872</v>
      </c>
      <c r="P2075" s="12" t="s">
        <v>66</v>
      </c>
      <c r="Q2075" s="12" t="s">
        <v>67</v>
      </c>
      <c r="R2075" s="12" t="s">
        <v>730</v>
      </c>
      <c r="S2075" s="13">
        <v>197065713584</v>
      </c>
      <c r="T2075" s="12" t="s">
        <v>499</v>
      </c>
      <c r="U2075" s="12" t="s">
        <v>60</v>
      </c>
      <c r="V2075" s="12" t="s">
        <v>1378</v>
      </c>
      <c r="W2075" s="12" t="s">
        <v>118</v>
      </c>
      <c r="X2075" s="13">
        <v>0</v>
      </c>
      <c r="Y2075" s="12" t="s">
        <v>91</v>
      </c>
      <c r="Z2075" s="12" t="s">
        <v>108</v>
      </c>
      <c r="AA2075" s="13">
        <v>0</v>
      </c>
      <c r="AB2075" s="13">
        <v>0</v>
      </c>
      <c r="AC2075" s="15">
        <v>27.3</v>
      </c>
      <c r="AD2075" s="15">
        <f>AC2075*AG2075</f>
        <v>54.6</v>
      </c>
      <c r="AE2075" s="15">
        <v>60</v>
      </c>
      <c r="AF2075" s="15">
        <f>AE2075*AG2075</f>
        <v>120</v>
      </c>
      <c r="AG2075" s="16">
        <v>2</v>
      </c>
    </row>
    <row r="2076" spans="1:33" ht="15" customHeight="1" x14ac:dyDescent="0.2">
      <c r="A2076" s="11" t="str">
        <f t="shared" si="674"/>
        <v>VN000JBRBR11</v>
      </c>
      <c r="B2076" s="12" t="s">
        <v>7873</v>
      </c>
      <c r="C2076" s="12" t="s">
        <v>1723</v>
      </c>
      <c r="D2076" s="12" t="s">
        <v>496</v>
      </c>
      <c r="E2076" s="12" t="s">
        <v>7874</v>
      </c>
      <c r="F2076" s="12" t="s">
        <v>60</v>
      </c>
      <c r="G2076" s="14"/>
      <c r="H2076" s="12" t="s">
        <v>61</v>
      </c>
      <c r="I2076" s="12" t="s">
        <v>62</v>
      </c>
      <c r="J2076" s="12" t="s">
        <v>63</v>
      </c>
      <c r="K2076" s="12" t="s">
        <v>64</v>
      </c>
      <c r="L2076" s="14"/>
      <c r="M2076" s="12" t="s">
        <v>43</v>
      </c>
      <c r="N2076" s="12" t="s">
        <v>44</v>
      </c>
      <c r="O2076" s="12" t="s">
        <v>7875</v>
      </c>
      <c r="P2076" s="12" t="s">
        <v>66</v>
      </c>
      <c r="Q2076" s="12" t="s">
        <v>67</v>
      </c>
      <c r="R2076" s="12" t="s">
        <v>730</v>
      </c>
      <c r="S2076" s="13">
        <v>197643460312</v>
      </c>
      <c r="T2076" s="12" t="s">
        <v>499</v>
      </c>
      <c r="U2076" s="12" t="s">
        <v>60</v>
      </c>
      <c r="V2076" s="12" t="s">
        <v>70</v>
      </c>
      <c r="W2076" s="12" t="s">
        <v>118</v>
      </c>
      <c r="X2076" s="13">
        <v>0</v>
      </c>
      <c r="Y2076" s="12" t="s">
        <v>91</v>
      </c>
      <c r="Z2076" s="12" t="s">
        <v>108</v>
      </c>
      <c r="AA2076" s="13">
        <v>0</v>
      </c>
      <c r="AB2076" s="13">
        <v>0</v>
      </c>
      <c r="AC2076" s="15">
        <v>29.55</v>
      </c>
      <c r="AD2076" s="15">
        <f>AC2076*AG2076</f>
        <v>59.1</v>
      </c>
      <c r="AE2076" s="15">
        <v>65</v>
      </c>
      <c r="AF2076" s="15">
        <f>AE2076*AG2076</f>
        <v>130</v>
      </c>
      <c r="AG2076" s="16">
        <v>2</v>
      </c>
    </row>
    <row r="2077" spans="1:33" ht="15" customHeight="1" x14ac:dyDescent="0.2">
      <c r="A2077" s="11" t="str">
        <f t="shared" ref="A2077:A3058" si="859">HYPERLINK("https://assets.vans.eu/images/VN000JC0J5F-HERO/1","VN000JC0J5F1")</f>
        <v>VN000JC0J5F1</v>
      </c>
      <c r="B2077" s="12" t="s">
        <v>7876</v>
      </c>
      <c r="C2077" s="12" t="s">
        <v>7877</v>
      </c>
      <c r="D2077" s="12" t="s">
        <v>1703</v>
      </c>
      <c r="E2077" s="12" t="s">
        <v>7878</v>
      </c>
      <c r="F2077" s="12" t="s">
        <v>403</v>
      </c>
      <c r="G2077" s="14"/>
      <c r="H2077" s="12" t="s">
        <v>61</v>
      </c>
      <c r="I2077" s="12" t="s">
        <v>62</v>
      </c>
      <c r="J2077" s="12" t="s">
        <v>63</v>
      </c>
      <c r="K2077" s="12" t="s">
        <v>64</v>
      </c>
      <c r="L2077" s="14"/>
      <c r="M2077" s="12" t="s">
        <v>43</v>
      </c>
      <c r="N2077" s="12" t="s">
        <v>84</v>
      </c>
      <c r="O2077" s="12" t="s">
        <v>7879</v>
      </c>
      <c r="P2077" s="12" t="s">
        <v>66</v>
      </c>
      <c r="Q2077" s="12" t="s">
        <v>67</v>
      </c>
      <c r="R2077" s="12" t="s">
        <v>730</v>
      </c>
      <c r="S2077" s="13">
        <v>197065465032</v>
      </c>
      <c r="T2077" s="12" t="s">
        <v>89</v>
      </c>
      <c r="U2077" s="12" t="s">
        <v>403</v>
      </c>
      <c r="V2077" s="12" t="s">
        <v>7880</v>
      </c>
      <c r="W2077" s="12" t="s">
        <v>118</v>
      </c>
      <c r="X2077" s="13">
        <v>0</v>
      </c>
      <c r="Y2077" s="12" t="s">
        <v>91</v>
      </c>
      <c r="Z2077" s="12" t="s">
        <v>108</v>
      </c>
      <c r="AA2077" s="13">
        <v>0</v>
      </c>
      <c r="AB2077" s="13">
        <v>0</v>
      </c>
      <c r="AC2077" s="15">
        <v>29.55</v>
      </c>
      <c r="AD2077" s="15">
        <f>AC2077*AG2077</f>
        <v>59.1</v>
      </c>
      <c r="AE2077" s="15">
        <v>65</v>
      </c>
      <c r="AF2077" s="15">
        <f>AE2077*AG2077</f>
        <v>130</v>
      </c>
      <c r="AG2077" s="16">
        <v>2</v>
      </c>
    </row>
    <row r="2078" spans="1:33" ht="15" customHeight="1" x14ac:dyDescent="0.2">
      <c r="A2078" s="11" t="str">
        <f t="shared" si="675"/>
        <v>VN000JC5LKZ1</v>
      </c>
      <c r="B2078" s="12" t="s">
        <v>7881</v>
      </c>
      <c r="C2078" s="12" t="s">
        <v>6368</v>
      </c>
      <c r="D2078" s="12" t="s">
        <v>1213</v>
      </c>
      <c r="E2078" s="12" t="s">
        <v>7882</v>
      </c>
      <c r="F2078" s="12" t="s">
        <v>403</v>
      </c>
      <c r="G2078" s="14"/>
      <c r="H2078" s="12" t="s">
        <v>61</v>
      </c>
      <c r="I2078" s="12" t="s">
        <v>62</v>
      </c>
      <c r="J2078" s="12" t="s">
        <v>63</v>
      </c>
      <c r="K2078" s="12" t="s">
        <v>64</v>
      </c>
      <c r="L2078" s="14"/>
      <c r="M2078" s="12" t="s">
        <v>43</v>
      </c>
      <c r="N2078" s="12" t="s">
        <v>161</v>
      </c>
      <c r="O2078" s="12" t="s">
        <v>7883</v>
      </c>
      <c r="P2078" s="12" t="s">
        <v>66</v>
      </c>
      <c r="Q2078" s="12" t="s">
        <v>67</v>
      </c>
      <c r="R2078" s="12" t="s">
        <v>68</v>
      </c>
      <c r="S2078" s="13">
        <v>197065465346</v>
      </c>
      <c r="T2078" s="12" t="s">
        <v>915</v>
      </c>
      <c r="U2078" s="12" t="s">
        <v>403</v>
      </c>
      <c r="V2078" s="12" t="s">
        <v>1028</v>
      </c>
      <c r="W2078" s="12" t="s">
        <v>284</v>
      </c>
      <c r="X2078" s="13">
        <v>0</v>
      </c>
      <c r="Y2078" s="12" t="s">
        <v>91</v>
      </c>
      <c r="Z2078" s="12" t="s">
        <v>108</v>
      </c>
      <c r="AA2078" s="13">
        <v>0</v>
      </c>
      <c r="AB2078" s="13">
        <v>0</v>
      </c>
      <c r="AC2078" s="15">
        <v>15.95</v>
      </c>
      <c r="AD2078" s="15">
        <f>AC2078*AG2078</f>
        <v>31.9</v>
      </c>
      <c r="AE2078" s="15">
        <v>35</v>
      </c>
      <c r="AF2078" s="15">
        <f>AE2078*AG2078</f>
        <v>70</v>
      </c>
      <c r="AG2078" s="16">
        <v>2</v>
      </c>
    </row>
    <row r="2079" spans="1:33" ht="15" customHeight="1" x14ac:dyDescent="0.2">
      <c r="A2079" s="11" t="str">
        <f>HYPERLINK("https://assets.vans.eu/images/VN000JCXWHT-HERO/1","VN000JCXWHT1")</f>
        <v>VN000JCXWHT1</v>
      </c>
      <c r="B2079" s="12" t="s">
        <v>7884</v>
      </c>
      <c r="C2079" s="12" t="s">
        <v>7885</v>
      </c>
      <c r="D2079" s="12" t="s">
        <v>168</v>
      </c>
      <c r="E2079" s="12" t="s">
        <v>7886</v>
      </c>
      <c r="F2079" s="12" t="s">
        <v>60</v>
      </c>
      <c r="G2079" s="14"/>
      <c r="H2079" s="12" t="s">
        <v>61</v>
      </c>
      <c r="I2079" s="12" t="s">
        <v>62</v>
      </c>
      <c r="J2079" s="12" t="s">
        <v>63</v>
      </c>
      <c r="K2079" s="12" t="s">
        <v>64</v>
      </c>
      <c r="L2079" s="14"/>
      <c r="M2079" s="12" t="s">
        <v>43</v>
      </c>
      <c r="N2079" s="12" t="s">
        <v>161</v>
      </c>
      <c r="O2079" s="12" t="s">
        <v>7887</v>
      </c>
      <c r="P2079" s="12" t="s">
        <v>66</v>
      </c>
      <c r="Q2079" s="12" t="s">
        <v>67</v>
      </c>
      <c r="R2079" s="12" t="s">
        <v>68</v>
      </c>
      <c r="S2079" s="13">
        <v>197065465964</v>
      </c>
      <c r="T2079" s="12" t="s">
        <v>915</v>
      </c>
      <c r="U2079" s="12" t="s">
        <v>60</v>
      </c>
      <c r="V2079" s="12" t="s">
        <v>1028</v>
      </c>
      <c r="W2079" s="12" t="s">
        <v>175</v>
      </c>
      <c r="X2079" s="13">
        <v>0</v>
      </c>
      <c r="Y2079" s="12" t="s">
        <v>91</v>
      </c>
      <c r="Z2079" s="12" t="s">
        <v>108</v>
      </c>
      <c r="AA2079" s="13">
        <v>0</v>
      </c>
      <c r="AB2079" s="13">
        <v>0</v>
      </c>
      <c r="AC2079" s="15">
        <v>17.3</v>
      </c>
      <c r="AD2079" s="15">
        <f>AC2079*AG2079</f>
        <v>34.6</v>
      </c>
      <c r="AE2079" s="15">
        <v>38</v>
      </c>
      <c r="AF2079" s="15">
        <f>AE2079*AG2079</f>
        <v>76</v>
      </c>
      <c r="AG2079" s="16">
        <v>2</v>
      </c>
    </row>
    <row r="2080" spans="1:33" ht="15" customHeight="1" x14ac:dyDescent="0.2">
      <c r="A2080" s="11" t="str">
        <f t="shared" ref="A2080:A2081" si="860">HYPERLINK("https://assets.vans.eu/images/VN000JF5BLK-HERO/1","VN000JF5BLK1")</f>
        <v>VN000JF5BLK1</v>
      </c>
      <c r="B2080" s="12" t="s">
        <v>7888</v>
      </c>
      <c r="C2080" s="12" t="s">
        <v>4562</v>
      </c>
      <c r="D2080" s="12" t="s">
        <v>76</v>
      </c>
      <c r="E2080" s="12" t="s">
        <v>7889</v>
      </c>
      <c r="F2080" s="12" t="s">
        <v>179</v>
      </c>
      <c r="G2080" s="14"/>
      <c r="H2080" s="12" t="s">
        <v>61</v>
      </c>
      <c r="I2080" s="12" t="s">
        <v>289</v>
      </c>
      <c r="J2080" s="12" t="s">
        <v>706</v>
      </c>
      <c r="K2080" s="12" t="s">
        <v>100</v>
      </c>
      <c r="L2080" s="12" t="s">
        <v>83</v>
      </c>
      <c r="M2080" s="12" t="s">
        <v>43</v>
      </c>
      <c r="N2080" s="12" t="s">
        <v>44</v>
      </c>
      <c r="O2080" s="12" t="s">
        <v>7890</v>
      </c>
      <c r="P2080" s="12" t="s">
        <v>66</v>
      </c>
      <c r="Q2080" s="12" t="s">
        <v>67</v>
      </c>
      <c r="R2080" s="12" t="s">
        <v>708</v>
      </c>
      <c r="S2080" s="13">
        <v>197063677673</v>
      </c>
      <c r="T2080" s="12" t="s">
        <v>69</v>
      </c>
      <c r="U2080" s="12" t="s">
        <v>179</v>
      </c>
      <c r="V2080" s="12" t="s">
        <v>1378</v>
      </c>
      <c r="W2080" s="12" t="s">
        <v>51</v>
      </c>
      <c r="X2080" s="13">
        <v>0</v>
      </c>
      <c r="Y2080" s="12" t="s">
        <v>91</v>
      </c>
      <c r="Z2080" s="12" t="s">
        <v>108</v>
      </c>
      <c r="AA2080" s="13">
        <v>0</v>
      </c>
      <c r="AB2080" s="12" t="s">
        <v>616</v>
      </c>
      <c r="AC2080" s="15">
        <v>25</v>
      </c>
      <c r="AD2080" s="15">
        <f>AC2080*AG2080</f>
        <v>50</v>
      </c>
      <c r="AE2080" s="15">
        <v>55</v>
      </c>
      <c r="AF2080" s="15">
        <f>AE2080*AG2080</f>
        <v>110</v>
      </c>
      <c r="AG2080" s="16">
        <v>2</v>
      </c>
    </row>
    <row r="2081" spans="1:33" ht="15" customHeight="1" x14ac:dyDescent="0.2">
      <c r="A2081" s="11" t="str">
        <f t="shared" si="860"/>
        <v>VN000JF5BLK1</v>
      </c>
      <c r="B2081" s="12" t="s">
        <v>7891</v>
      </c>
      <c r="C2081" s="12" t="s">
        <v>4562</v>
      </c>
      <c r="D2081" s="12" t="s">
        <v>76</v>
      </c>
      <c r="E2081" s="12" t="s">
        <v>7892</v>
      </c>
      <c r="F2081" s="12" t="s">
        <v>153</v>
      </c>
      <c r="G2081" s="14"/>
      <c r="H2081" s="12" t="s">
        <v>61</v>
      </c>
      <c r="I2081" s="12" t="s">
        <v>289</v>
      </c>
      <c r="J2081" s="12" t="s">
        <v>706</v>
      </c>
      <c r="K2081" s="12" t="s">
        <v>100</v>
      </c>
      <c r="L2081" s="12" t="s">
        <v>83</v>
      </c>
      <c r="M2081" s="12" t="s">
        <v>43</v>
      </c>
      <c r="N2081" s="12" t="s">
        <v>44</v>
      </c>
      <c r="O2081" s="12" t="s">
        <v>7893</v>
      </c>
      <c r="P2081" s="12" t="s">
        <v>66</v>
      </c>
      <c r="Q2081" s="12" t="s">
        <v>67</v>
      </c>
      <c r="R2081" s="12" t="s">
        <v>708</v>
      </c>
      <c r="S2081" s="13">
        <v>197063678250</v>
      </c>
      <c r="T2081" s="12" t="s">
        <v>69</v>
      </c>
      <c r="U2081" s="12" t="s">
        <v>153</v>
      </c>
      <c r="V2081" s="12" t="s">
        <v>1378</v>
      </c>
      <c r="W2081" s="12" t="s">
        <v>51</v>
      </c>
      <c r="X2081" s="13">
        <v>0</v>
      </c>
      <c r="Y2081" s="12" t="s">
        <v>91</v>
      </c>
      <c r="Z2081" s="12" t="s">
        <v>108</v>
      </c>
      <c r="AA2081" s="13">
        <v>0</v>
      </c>
      <c r="AB2081" s="12" t="s">
        <v>616</v>
      </c>
      <c r="AC2081" s="15">
        <v>25</v>
      </c>
      <c r="AD2081" s="15">
        <f>AC2081*AG2081</f>
        <v>50</v>
      </c>
      <c r="AE2081" s="15">
        <v>55</v>
      </c>
      <c r="AF2081" s="15">
        <f>AE2081*AG2081</f>
        <v>110</v>
      </c>
      <c r="AG2081" s="16">
        <v>2</v>
      </c>
    </row>
    <row r="2082" spans="1:33" ht="15" customHeight="1" x14ac:dyDescent="0.2">
      <c r="A2082" s="11" t="str">
        <f>HYPERLINK("https://assets.vans.eu/images/VN000JQP7YO-HERO/1","VN000JQP7YO1")</f>
        <v>VN000JQP7YO1</v>
      </c>
      <c r="B2082" s="12" t="s">
        <v>7894</v>
      </c>
      <c r="C2082" s="12" t="s">
        <v>7895</v>
      </c>
      <c r="D2082" s="12" t="s">
        <v>2353</v>
      </c>
      <c r="E2082" s="12" t="s">
        <v>7896</v>
      </c>
      <c r="F2082" s="12" t="s">
        <v>170</v>
      </c>
      <c r="G2082" s="14"/>
      <c r="H2082" s="12" t="s">
        <v>61</v>
      </c>
      <c r="I2082" s="12" t="s">
        <v>230</v>
      </c>
      <c r="J2082" s="12" t="s">
        <v>419</v>
      </c>
      <c r="K2082" s="12" t="s">
        <v>199</v>
      </c>
      <c r="L2082" s="14"/>
      <c r="M2082" s="12" t="s">
        <v>43</v>
      </c>
      <c r="N2082" s="12" t="s">
        <v>161</v>
      </c>
      <c r="O2082" s="12" t="s">
        <v>7897</v>
      </c>
      <c r="P2082" s="12" t="s">
        <v>66</v>
      </c>
      <c r="Q2082" s="12" t="s">
        <v>67</v>
      </c>
      <c r="R2082" s="12" t="s">
        <v>421</v>
      </c>
      <c r="S2082" s="13">
        <v>197065493417</v>
      </c>
      <c r="T2082" s="12" t="s">
        <v>49</v>
      </c>
      <c r="U2082" s="12" t="s">
        <v>170</v>
      </c>
      <c r="V2082" s="12" t="s">
        <v>70</v>
      </c>
      <c r="W2082" s="12" t="s">
        <v>186</v>
      </c>
      <c r="X2082" s="13">
        <v>0</v>
      </c>
      <c r="Y2082" s="12" t="s">
        <v>91</v>
      </c>
      <c r="Z2082" s="12" t="s">
        <v>108</v>
      </c>
      <c r="AA2082" s="13">
        <v>0</v>
      </c>
      <c r="AB2082" s="13">
        <v>0</v>
      </c>
      <c r="AC2082" s="15">
        <v>25</v>
      </c>
      <c r="AD2082" s="15">
        <f>AC2082*AG2082</f>
        <v>50</v>
      </c>
      <c r="AE2082" s="15">
        <v>55</v>
      </c>
      <c r="AF2082" s="15">
        <f>AE2082*AG2082</f>
        <v>110</v>
      </c>
      <c r="AG2082" s="16">
        <v>2</v>
      </c>
    </row>
    <row r="2083" spans="1:33" ht="15" customHeight="1" x14ac:dyDescent="0.2">
      <c r="A2083" s="11" t="str">
        <f t="shared" ref="A2083:A2084" si="861">HYPERLINK("https://assets.vans.eu/images/VN000JT37W6-HERO/1","VN000JT37W61")</f>
        <v>VN000JT37W61</v>
      </c>
      <c r="B2083" s="12" t="s">
        <v>7898</v>
      </c>
      <c r="C2083" s="12" t="s">
        <v>7899</v>
      </c>
      <c r="D2083" s="12" t="s">
        <v>7900</v>
      </c>
      <c r="E2083" s="12" t="s">
        <v>7901</v>
      </c>
      <c r="F2083" s="12" t="s">
        <v>170</v>
      </c>
      <c r="G2083" s="14"/>
      <c r="H2083" s="12" t="s">
        <v>61</v>
      </c>
      <c r="I2083" s="12" t="s">
        <v>289</v>
      </c>
      <c r="J2083" s="12" t="s">
        <v>706</v>
      </c>
      <c r="K2083" s="12" t="s">
        <v>100</v>
      </c>
      <c r="L2083" s="14"/>
      <c r="M2083" s="12" t="s">
        <v>43</v>
      </c>
      <c r="N2083" s="12" t="s">
        <v>161</v>
      </c>
      <c r="O2083" s="12" t="s">
        <v>7902</v>
      </c>
      <c r="P2083" s="12" t="s">
        <v>66</v>
      </c>
      <c r="Q2083" s="12" t="s">
        <v>67</v>
      </c>
      <c r="R2083" s="12" t="s">
        <v>1200</v>
      </c>
      <c r="S2083" s="13">
        <v>197065468507</v>
      </c>
      <c r="T2083" s="12" t="s">
        <v>235</v>
      </c>
      <c r="U2083" s="12" t="s">
        <v>170</v>
      </c>
      <c r="V2083" s="12" t="s">
        <v>665</v>
      </c>
      <c r="W2083" s="12" t="s">
        <v>175</v>
      </c>
      <c r="X2083" s="13">
        <v>0</v>
      </c>
      <c r="Y2083" s="12" t="s">
        <v>91</v>
      </c>
      <c r="Z2083" s="12" t="s">
        <v>108</v>
      </c>
      <c r="AA2083" s="13">
        <v>0</v>
      </c>
      <c r="AB2083" s="13">
        <v>0</v>
      </c>
      <c r="AC2083" s="15">
        <v>29.55</v>
      </c>
      <c r="AD2083" s="15">
        <f>AC2083*AG2083</f>
        <v>59.1</v>
      </c>
      <c r="AE2083" s="15">
        <v>65</v>
      </c>
      <c r="AF2083" s="15">
        <f>AE2083*AG2083</f>
        <v>130</v>
      </c>
      <c r="AG2083" s="16">
        <v>2</v>
      </c>
    </row>
    <row r="2084" spans="1:33" ht="15" customHeight="1" x14ac:dyDescent="0.2">
      <c r="A2084" s="11" t="str">
        <f t="shared" si="861"/>
        <v>VN000JT37W61</v>
      </c>
      <c r="B2084" s="12" t="s">
        <v>7903</v>
      </c>
      <c r="C2084" s="12" t="s">
        <v>7899</v>
      </c>
      <c r="D2084" s="12" t="s">
        <v>7900</v>
      </c>
      <c r="E2084" s="12" t="s">
        <v>7904</v>
      </c>
      <c r="F2084" s="12" t="s">
        <v>60</v>
      </c>
      <c r="G2084" s="14"/>
      <c r="H2084" s="12" t="s">
        <v>61</v>
      </c>
      <c r="I2084" s="12" t="s">
        <v>289</v>
      </c>
      <c r="J2084" s="12" t="s">
        <v>706</v>
      </c>
      <c r="K2084" s="12" t="s">
        <v>100</v>
      </c>
      <c r="L2084" s="14"/>
      <c r="M2084" s="12" t="s">
        <v>43</v>
      </c>
      <c r="N2084" s="12" t="s">
        <v>161</v>
      </c>
      <c r="O2084" s="12" t="s">
        <v>7905</v>
      </c>
      <c r="P2084" s="12" t="s">
        <v>66</v>
      </c>
      <c r="Q2084" s="12" t="s">
        <v>67</v>
      </c>
      <c r="R2084" s="12" t="s">
        <v>1200</v>
      </c>
      <c r="S2084" s="13">
        <v>197065468583</v>
      </c>
      <c r="T2084" s="12" t="s">
        <v>235</v>
      </c>
      <c r="U2084" s="12" t="s">
        <v>60</v>
      </c>
      <c r="V2084" s="12" t="s">
        <v>665</v>
      </c>
      <c r="W2084" s="12" t="s">
        <v>175</v>
      </c>
      <c r="X2084" s="13">
        <v>0</v>
      </c>
      <c r="Y2084" s="12" t="s">
        <v>91</v>
      </c>
      <c r="Z2084" s="12" t="s">
        <v>108</v>
      </c>
      <c r="AA2084" s="13">
        <v>0</v>
      </c>
      <c r="AB2084" s="13">
        <v>0</v>
      </c>
      <c r="AC2084" s="15">
        <v>29.55</v>
      </c>
      <c r="AD2084" s="15">
        <f>AC2084*AG2084</f>
        <v>59.1</v>
      </c>
      <c r="AE2084" s="15">
        <v>65</v>
      </c>
      <c r="AF2084" s="15">
        <f>AE2084*AG2084</f>
        <v>130</v>
      </c>
      <c r="AG2084" s="16">
        <v>2</v>
      </c>
    </row>
    <row r="2085" spans="1:33" ht="15" customHeight="1" x14ac:dyDescent="0.2">
      <c r="A2085" s="11" t="str">
        <f t="shared" ref="A2085:A3076" si="862">HYPERLINK("https://assets.vans.eu/images/VN000JY412S-HERO/1","VN000JY412S1")</f>
        <v>VN000JY412S1</v>
      </c>
      <c r="B2085" s="12" t="s">
        <v>7906</v>
      </c>
      <c r="C2085" s="12" t="s">
        <v>7907</v>
      </c>
      <c r="D2085" s="12" t="s">
        <v>5837</v>
      </c>
      <c r="E2085" s="12" t="s">
        <v>7908</v>
      </c>
      <c r="F2085" s="12" t="s">
        <v>153</v>
      </c>
      <c r="G2085" s="14"/>
      <c r="H2085" s="12" t="s">
        <v>61</v>
      </c>
      <c r="I2085" s="12" t="s">
        <v>230</v>
      </c>
      <c r="J2085" s="12" t="s">
        <v>419</v>
      </c>
      <c r="K2085" s="12" t="s">
        <v>199</v>
      </c>
      <c r="L2085" s="14"/>
      <c r="M2085" s="12" t="s">
        <v>43</v>
      </c>
      <c r="N2085" s="12" t="s">
        <v>161</v>
      </c>
      <c r="O2085" s="12" t="s">
        <v>7909</v>
      </c>
      <c r="P2085" s="12" t="s">
        <v>66</v>
      </c>
      <c r="Q2085" s="12" t="s">
        <v>67</v>
      </c>
      <c r="R2085" s="12" t="s">
        <v>623</v>
      </c>
      <c r="S2085" s="13">
        <v>197065494681</v>
      </c>
      <c r="T2085" s="12" t="s">
        <v>105</v>
      </c>
      <c r="U2085" s="12" t="s">
        <v>153</v>
      </c>
      <c r="V2085" s="12" t="s">
        <v>90</v>
      </c>
      <c r="W2085" s="12" t="s">
        <v>284</v>
      </c>
      <c r="X2085" s="13">
        <v>0</v>
      </c>
      <c r="Y2085" s="12" t="s">
        <v>91</v>
      </c>
      <c r="Z2085" s="12" t="s">
        <v>108</v>
      </c>
      <c r="AA2085" s="13">
        <v>0</v>
      </c>
      <c r="AB2085" s="13">
        <v>0</v>
      </c>
      <c r="AC2085" s="15">
        <v>45.5</v>
      </c>
      <c r="AD2085" s="15">
        <f>AC2085*AG2085</f>
        <v>91</v>
      </c>
      <c r="AE2085" s="15">
        <v>100</v>
      </c>
      <c r="AF2085" s="15">
        <f>AE2085*AG2085</f>
        <v>200</v>
      </c>
      <c r="AG2085" s="16">
        <v>2</v>
      </c>
    </row>
    <row r="2086" spans="1:33" ht="15" customHeight="1" x14ac:dyDescent="0.2">
      <c r="A2086" s="11" t="str">
        <f t="shared" ref="A2086:A3078" si="863">HYPERLINK("https://assets.vans.eu/images/VN000JY4BLK-HERO/1","VN000JY4BLK1")</f>
        <v>VN000JY4BLK1</v>
      </c>
      <c r="B2086" s="12" t="s">
        <v>7910</v>
      </c>
      <c r="C2086" s="12" t="s">
        <v>7907</v>
      </c>
      <c r="D2086" s="12" t="s">
        <v>76</v>
      </c>
      <c r="E2086" s="12" t="s">
        <v>7911</v>
      </c>
      <c r="F2086" s="12" t="s">
        <v>403</v>
      </c>
      <c r="G2086" s="14"/>
      <c r="H2086" s="12" t="s">
        <v>61</v>
      </c>
      <c r="I2086" s="12" t="s">
        <v>230</v>
      </c>
      <c r="J2086" s="12" t="s">
        <v>419</v>
      </c>
      <c r="K2086" s="12" t="s">
        <v>199</v>
      </c>
      <c r="L2086" s="14"/>
      <c r="M2086" s="12" t="s">
        <v>43</v>
      </c>
      <c r="N2086" s="12" t="s">
        <v>161</v>
      </c>
      <c r="O2086" s="12" t="s">
        <v>7912</v>
      </c>
      <c r="P2086" s="12" t="s">
        <v>66</v>
      </c>
      <c r="Q2086" s="12" t="s">
        <v>67</v>
      </c>
      <c r="R2086" s="12" t="s">
        <v>623</v>
      </c>
      <c r="S2086" s="13">
        <v>197065494636</v>
      </c>
      <c r="T2086" s="12" t="s">
        <v>105</v>
      </c>
      <c r="U2086" s="12" t="s">
        <v>403</v>
      </c>
      <c r="V2086" s="12" t="s">
        <v>90</v>
      </c>
      <c r="W2086" s="12" t="s">
        <v>51</v>
      </c>
      <c r="X2086" s="13">
        <v>0</v>
      </c>
      <c r="Y2086" s="12" t="s">
        <v>91</v>
      </c>
      <c r="Z2086" s="12" t="s">
        <v>108</v>
      </c>
      <c r="AA2086" s="13">
        <v>0</v>
      </c>
      <c r="AB2086" s="13">
        <v>0</v>
      </c>
      <c r="AC2086" s="15">
        <v>45.5</v>
      </c>
      <c r="AD2086" s="15">
        <f>AC2086*AG2086</f>
        <v>91</v>
      </c>
      <c r="AE2086" s="15">
        <v>100</v>
      </c>
      <c r="AF2086" s="15">
        <f>AE2086*AG2086</f>
        <v>200</v>
      </c>
      <c r="AG2086" s="16">
        <v>2</v>
      </c>
    </row>
    <row r="2087" spans="1:33" ht="15" customHeight="1" x14ac:dyDescent="0.2">
      <c r="A2087" s="11" t="str">
        <f t="shared" ref="A2087:A2088" si="864">HYPERLINK("https://assets.vans.eu/images/VN000JYD14A-HERO/1","VN000JYD14A1")</f>
        <v>VN000JYD14A1</v>
      </c>
      <c r="B2087" s="12" t="s">
        <v>7913</v>
      </c>
      <c r="C2087" s="12" t="s">
        <v>7914</v>
      </c>
      <c r="D2087" s="12" t="s">
        <v>1932</v>
      </c>
      <c r="E2087" s="12" t="s">
        <v>7915</v>
      </c>
      <c r="F2087" s="12" t="s">
        <v>179</v>
      </c>
      <c r="G2087" s="14"/>
      <c r="H2087" s="12" t="s">
        <v>61</v>
      </c>
      <c r="I2087" s="12" t="s">
        <v>62</v>
      </c>
      <c r="J2087" s="12" t="s">
        <v>63</v>
      </c>
      <c r="K2087" s="12" t="s">
        <v>64</v>
      </c>
      <c r="L2087" s="12" t="s">
        <v>83</v>
      </c>
      <c r="M2087" s="12" t="s">
        <v>43</v>
      </c>
      <c r="N2087" s="12" t="s">
        <v>84</v>
      </c>
      <c r="O2087" s="12" t="s">
        <v>7916</v>
      </c>
      <c r="P2087" s="12" t="s">
        <v>66</v>
      </c>
      <c r="Q2087" s="12" t="s">
        <v>67</v>
      </c>
      <c r="R2087" s="12" t="s">
        <v>730</v>
      </c>
      <c r="S2087" s="13">
        <v>197804294084</v>
      </c>
      <c r="T2087" s="12" t="s">
        <v>69</v>
      </c>
      <c r="U2087" s="12" t="s">
        <v>179</v>
      </c>
      <c r="V2087" s="12" t="s">
        <v>1378</v>
      </c>
      <c r="W2087" s="12" t="s">
        <v>262</v>
      </c>
      <c r="X2087" s="14"/>
      <c r="Y2087" s="14"/>
      <c r="Z2087" s="14"/>
      <c r="AA2087" s="14"/>
      <c r="AB2087" s="14"/>
      <c r="AC2087" s="15">
        <v>27.3</v>
      </c>
      <c r="AD2087" s="15">
        <f>AC2087*AG2087</f>
        <v>54.6</v>
      </c>
      <c r="AE2087" s="15">
        <v>60</v>
      </c>
      <c r="AF2087" s="15">
        <f>AE2087*AG2087</f>
        <v>120</v>
      </c>
      <c r="AG2087" s="16">
        <v>2</v>
      </c>
    </row>
    <row r="2088" spans="1:33" ht="15" customHeight="1" x14ac:dyDescent="0.2">
      <c r="A2088" s="11" t="str">
        <f t="shared" si="864"/>
        <v>VN000JYD14A1</v>
      </c>
      <c r="B2088" s="12" t="s">
        <v>7917</v>
      </c>
      <c r="C2088" s="12" t="s">
        <v>7914</v>
      </c>
      <c r="D2088" s="12" t="s">
        <v>1932</v>
      </c>
      <c r="E2088" s="12" t="s">
        <v>7918</v>
      </c>
      <c r="F2088" s="12" t="s">
        <v>170</v>
      </c>
      <c r="G2088" s="14"/>
      <c r="H2088" s="12" t="s">
        <v>61</v>
      </c>
      <c r="I2088" s="12" t="s">
        <v>62</v>
      </c>
      <c r="J2088" s="12" t="s">
        <v>63</v>
      </c>
      <c r="K2088" s="12" t="s">
        <v>64</v>
      </c>
      <c r="L2088" s="12" t="s">
        <v>83</v>
      </c>
      <c r="M2088" s="12" t="s">
        <v>43</v>
      </c>
      <c r="N2088" s="12" t="s">
        <v>84</v>
      </c>
      <c r="O2088" s="12" t="s">
        <v>7919</v>
      </c>
      <c r="P2088" s="12" t="s">
        <v>66</v>
      </c>
      <c r="Q2088" s="12" t="s">
        <v>67</v>
      </c>
      <c r="R2088" s="12" t="s">
        <v>730</v>
      </c>
      <c r="S2088" s="13">
        <v>197804294381</v>
      </c>
      <c r="T2088" s="12" t="s">
        <v>69</v>
      </c>
      <c r="U2088" s="12" t="s">
        <v>170</v>
      </c>
      <c r="V2088" s="12" t="s">
        <v>1378</v>
      </c>
      <c r="W2088" s="12" t="s">
        <v>262</v>
      </c>
      <c r="X2088" s="14"/>
      <c r="Y2088" s="14"/>
      <c r="Z2088" s="14"/>
      <c r="AA2088" s="14"/>
      <c r="AB2088" s="14"/>
      <c r="AC2088" s="15">
        <v>27.3</v>
      </c>
      <c r="AD2088" s="15">
        <f>AC2088*AG2088</f>
        <v>54.6</v>
      </c>
      <c r="AE2088" s="15">
        <v>60</v>
      </c>
      <c r="AF2088" s="15">
        <f>AE2088*AG2088</f>
        <v>120</v>
      </c>
      <c r="AG2088" s="16">
        <v>2</v>
      </c>
    </row>
    <row r="2089" spans="1:33" ht="15" customHeight="1" x14ac:dyDescent="0.2">
      <c r="A2089" s="11" t="str">
        <f t="shared" si="677"/>
        <v>VN000K0DDBC1</v>
      </c>
      <c r="B2089" s="12" t="s">
        <v>7920</v>
      </c>
      <c r="C2089" s="12" t="s">
        <v>6380</v>
      </c>
      <c r="D2089" s="12" t="s">
        <v>821</v>
      </c>
      <c r="E2089" s="12" t="s">
        <v>7921</v>
      </c>
      <c r="F2089" s="12" t="s">
        <v>179</v>
      </c>
      <c r="G2089" s="14"/>
      <c r="H2089" s="12" t="s">
        <v>61</v>
      </c>
      <c r="I2089" s="12" t="s">
        <v>62</v>
      </c>
      <c r="J2089" s="12" t="s">
        <v>972</v>
      </c>
      <c r="K2089" s="12" t="s">
        <v>1022</v>
      </c>
      <c r="L2089" s="14"/>
      <c r="M2089" s="12" t="s">
        <v>43</v>
      </c>
      <c r="N2089" s="12" t="s">
        <v>161</v>
      </c>
      <c r="O2089" s="12" t="s">
        <v>7922</v>
      </c>
      <c r="P2089" s="12" t="s">
        <v>66</v>
      </c>
      <c r="Q2089" s="12" t="s">
        <v>233</v>
      </c>
      <c r="R2089" s="12" t="s">
        <v>974</v>
      </c>
      <c r="S2089" s="13">
        <v>197065471484</v>
      </c>
      <c r="T2089" s="12" t="s">
        <v>235</v>
      </c>
      <c r="U2089" s="12" t="s">
        <v>179</v>
      </c>
      <c r="V2089" s="12" t="s">
        <v>665</v>
      </c>
      <c r="W2089" s="12" t="s">
        <v>118</v>
      </c>
      <c r="X2089" s="13">
        <v>0</v>
      </c>
      <c r="Y2089" s="12" t="s">
        <v>53</v>
      </c>
      <c r="Z2089" s="12" t="s">
        <v>108</v>
      </c>
      <c r="AA2089" s="13">
        <v>0</v>
      </c>
      <c r="AB2089" s="13">
        <v>0</v>
      </c>
      <c r="AC2089" s="15">
        <v>34.1</v>
      </c>
      <c r="AD2089" s="15">
        <f>AC2089*AG2089</f>
        <v>68.2</v>
      </c>
      <c r="AE2089" s="15">
        <v>75</v>
      </c>
      <c r="AF2089" s="15">
        <f>AE2089*AG2089</f>
        <v>150</v>
      </c>
      <c r="AG2089" s="16">
        <v>2</v>
      </c>
    </row>
    <row r="2090" spans="1:33" ht="15" customHeight="1" x14ac:dyDescent="0.2">
      <c r="A2090" s="11" t="str">
        <f>HYPERLINK("https://assets.vans.eu/images/VN000K42D45-HERO/1","VN000K42D451")</f>
        <v>VN000K42D451</v>
      </c>
      <c r="B2090" s="12" t="s">
        <v>7923</v>
      </c>
      <c r="C2090" s="12" t="s">
        <v>3687</v>
      </c>
      <c r="D2090" s="12" t="s">
        <v>4516</v>
      </c>
      <c r="E2090" s="12" t="s">
        <v>7924</v>
      </c>
      <c r="F2090" s="12" t="s">
        <v>179</v>
      </c>
      <c r="G2090" s="14"/>
      <c r="H2090" s="12" t="s">
        <v>61</v>
      </c>
      <c r="I2090" s="12" t="s">
        <v>230</v>
      </c>
      <c r="J2090" s="12" t="s">
        <v>419</v>
      </c>
      <c r="K2090" s="12" t="s">
        <v>199</v>
      </c>
      <c r="L2090" s="12" t="s">
        <v>83</v>
      </c>
      <c r="M2090" s="12" t="s">
        <v>43</v>
      </c>
      <c r="N2090" s="12" t="s">
        <v>161</v>
      </c>
      <c r="O2090" s="12" t="s">
        <v>7925</v>
      </c>
      <c r="P2090" s="12" t="s">
        <v>66</v>
      </c>
      <c r="Q2090" s="12" t="s">
        <v>67</v>
      </c>
      <c r="R2090" s="12" t="s">
        <v>421</v>
      </c>
      <c r="S2090" s="13">
        <v>197065812386</v>
      </c>
      <c r="T2090" s="12" t="s">
        <v>422</v>
      </c>
      <c r="U2090" s="12" t="s">
        <v>179</v>
      </c>
      <c r="V2090" s="12" t="s">
        <v>423</v>
      </c>
      <c r="W2090" s="12" t="s">
        <v>107</v>
      </c>
      <c r="X2090" s="13">
        <v>0</v>
      </c>
      <c r="Y2090" s="12" t="s">
        <v>53</v>
      </c>
      <c r="Z2090" s="12" t="s">
        <v>108</v>
      </c>
      <c r="AA2090" s="13">
        <v>0</v>
      </c>
      <c r="AB2090" s="12" t="s">
        <v>616</v>
      </c>
      <c r="AC2090" s="15">
        <v>19.100000000000001</v>
      </c>
      <c r="AD2090" s="15">
        <f>AC2090*AG2090</f>
        <v>38.200000000000003</v>
      </c>
      <c r="AE2090" s="15">
        <v>42</v>
      </c>
      <c r="AF2090" s="15">
        <f>AE2090*AG2090</f>
        <v>84</v>
      </c>
      <c r="AG2090" s="16">
        <v>2</v>
      </c>
    </row>
    <row r="2091" spans="1:33" ht="15" customHeight="1" x14ac:dyDescent="0.2">
      <c r="A2091" s="11" t="str">
        <f>HYPERLINK("https://assets.vans.eu/images/VN000K42E2Z-HERO/1","VN000K42E2Z1")</f>
        <v>VN000K42E2Z1</v>
      </c>
      <c r="B2091" s="12" t="s">
        <v>7926</v>
      </c>
      <c r="C2091" s="12" t="s">
        <v>3687</v>
      </c>
      <c r="D2091" s="12" t="s">
        <v>3420</v>
      </c>
      <c r="E2091" s="12" t="s">
        <v>7927</v>
      </c>
      <c r="F2091" s="12" t="s">
        <v>403</v>
      </c>
      <c r="G2091" s="14"/>
      <c r="H2091" s="12" t="s">
        <v>61</v>
      </c>
      <c r="I2091" s="12" t="s">
        <v>230</v>
      </c>
      <c r="J2091" s="12" t="s">
        <v>419</v>
      </c>
      <c r="K2091" s="12" t="s">
        <v>199</v>
      </c>
      <c r="L2091" s="12" t="s">
        <v>83</v>
      </c>
      <c r="M2091" s="12" t="s">
        <v>43</v>
      </c>
      <c r="N2091" s="12" t="s">
        <v>44</v>
      </c>
      <c r="O2091" s="12" t="s">
        <v>7928</v>
      </c>
      <c r="P2091" s="12" t="s">
        <v>66</v>
      </c>
      <c r="Q2091" s="12" t="s">
        <v>67</v>
      </c>
      <c r="R2091" s="12" t="s">
        <v>421</v>
      </c>
      <c r="S2091" s="13">
        <v>197803419969</v>
      </c>
      <c r="T2091" s="12" t="s">
        <v>422</v>
      </c>
      <c r="U2091" s="12" t="s">
        <v>403</v>
      </c>
      <c r="V2091" s="12" t="s">
        <v>423</v>
      </c>
      <c r="W2091" s="12" t="s">
        <v>262</v>
      </c>
      <c r="X2091" s="13">
        <v>0</v>
      </c>
      <c r="Y2091" s="12" t="s">
        <v>53</v>
      </c>
      <c r="Z2091" s="12" t="s">
        <v>108</v>
      </c>
      <c r="AA2091" s="13">
        <v>0</v>
      </c>
      <c r="AB2091" s="12" t="s">
        <v>616</v>
      </c>
      <c r="AC2091" s="15">
        <v>19.100000000000001</v>
      </c>
      <c r="AD2091" s="15">
        <f>AC2091*AG2091</f>
        <v>38.200000000000003</v>
      </c>
      <c r="AE2091" s="15">
        <v>42</v>
      </c>
      <c r="AF2091" s="15">
        <f>AE2091*AG2091</f>
        <v>84</v>
      </c>
      <c r="AG2091" s="16">
        <v>2</v>
      </c>
    </row>
    <row r="2092" spans="1:33" ht="15" customHeight="1" x14ac:dyDescent="0.2">
      <c r="A2092" s="11" t="str">
        <f>HYPERLINK("https://assets.vans.eu/images/VN000K8WBLK-HERO/1","VN000K8WBLK1")</f>
        <v>VN000K8WBLK1</v>
      </c>
      <c r="B2092" s="12" t="s">
        <v>7929</v>
      </c>
      <c r="C2092" s="12" t="s">
        <v>7930</v>
      </c>
      <c r="D2092" s="12" t="s">
        <v>76</v>
      </c>
      <c r="E2092" s="12" t="s">
        <v>7931</v>
      </c>
      <c r="F2092" s="12" t="s">
        <v>403</v>
      </c>
      <c r="G2092" s="14"/>
      <c r="H2092" s="12" t="s">
        <v>61</v>
      </c>
      <c r="I2092" s="12" t="s">
        <v>62</v>
      </c>
      <c r="J2092" s="12" t="s">
        <v>63</v>
      </c>
      <c r="K2092" s="12" t="s">
        <v>1022</v>
      </c>
      <c r="L2092" s="12" t="s">
        <v>83</v>
      </c>
      <c r="M2092" s="12" t="s">
        <v>43</v>
      </c>
      <c r="N2092" s="12" t="s">
        <v>161</v>
      </c>
      <c r="O2092" s="12" t="s">
        <v>7932</v>
      </c>
      <c r="P2092" s="12" t="s">
        <v>66</v>
      </c>
      <c r="Q2092" s="12" t="s">
        <v>67</v>
      </c>
      <c r="R2092" s="12" t="s">
        <v>730</v>
      </c>
      <c r="S2092" s="13">
        <v>197065813659</v>
      </c>
      <c r="T2092" s="12" t="s">
        <v>69</v>
      </c>
      <c r="U2092" s="12" t="s">
        <v>403</v>
      </c>
      <c r="V2092" s="12" t="s">
        <v>1378</v>
      </c>
      <c r="W2092" s="12" t="s">
        <v>51</v>
      </c>
      <c r="X2092" s="13">
        <v>0</v>
      </c>
      <c r="Y2092" s="12" t="s">
        <v>91</v>
      </c>
      <c r="Z2092" s="12" t="s">
        <v>108</v>
      </c>
      <c r="AA2092" s="13">
        <v>0</v>
      </c>
      <c r="AB2092" s="12" t="s">
        <v>616</v>
      </c>
      <c r="AC2092" s="15">
        <v>29.55</v>
      </c>
      <c r="AD2092" s="15">
        <f>AC2092*AG2092</f>
        <v>59.1</v>
      </c>
      <c r="AE2092" s="15">
        <v>65</v>
      </c>
      <c r="AF2092" s="15">
        <f>AE2092*AG2092</f>
        <v>130</v>
      </c>
      <c r="AG2092" s="16">
        <v>2</v>
      </c>
    </row>
    <row r="2093" spans="1:33" ht="15" customHeight="1" x14ac:dyDescent="0.2">
      <c r="A2093" s="11" t="str">
        <f t="shared" ref="A2093:A3089" si="865">HYPERLINK("https://assets.vans.eu/images/VN000K98BLK-HERO/1","VN000K98BLK1")</f>
        <v>VN000K98BLK1</v>
      </c>
      <c r="B2093" s="12" t="s">
        <v>7933</v>
      </c>
      <c r="C2093" s="12" t="s">
        <v>7934</v>
      </c>
      <c r="D2093" s="12" t="s">
        <v>76</v>
      </c>
      <c r="E2093" s="12" t="s">
        <v>7935</v>
      </c>
      <c r="F2093" s="12" t="s">
        <v>170</v>
      </c>
      <c r="G2093" s="14"/>
      <c r="H2093" s="12" t="s">
        <v>61</v>
      </c>
      <c r="I2093" s="12" t="s">
        <v>62</v>
      </c>
      <c r="J2093" s="12" t="s">
        <v>63</v>
      </c>
      <c r="K2093" s="12" t="s">
        <v>64</v>
      </c>
      <c r="L2093" s="12" t="s">
        <v>83</v>
      </c>
      <c r="M2093" s="12" t="s">
        <v>43</v>
      </c>
      <c r="N2093" s="12" t="s">
        <v>84</v>
      </c>
      <c r="O2093" s="12" t="s">
        <v>7936</v>
      </c>
      <c r="P2093" s="12" t="s">
        <v>66</v>
      </c>
      <c r="Q2093" s="12" t="s">
        <v>67</v>
      </c>
      <c r="R2093" s="12" t="s">
        <v>730</v>
      </c>
      <c r="S2093" s="13">
        <v>197641025247</v>
      </c>
      <c r="T2093" s="12" t="s">
        <v>69</v>
      </c>
      <c r="U2093" s="12" t="s">
        <v>170</v>
      </c>
      <c r="V2093" s="12" t="s">
        <v>1378</v>
      </c>
      <c r="W2093" s="12" t="s">
        <v>51</v>
      </c>
      <c r="X2093" s="13">
        <v>0</v>
      </c>
      <c r="Y2093" s="12" t="s">
        <v>91</v>
      </c>
      <c r="Z2093" s="12" t="s">
        <v>108</v>
      </c>
      <c r="AA2093" s="13">
        <v>0</v>
      </c>
      <c r="AB2093" s="12" t="s">
        <v>616</v>
      </c>
      <c r="AC2093" s="15">
        <v>25</v>
      </c>
      <c r="AD2093" s="15">
        <f>AC2093*AG2093</f>
        <v>50</v>
      </c>
      <c r="AE2093" s="15">
        <v>55</v>
      </c>
      <c r="AF2093" s="15">
        <f>AE2093*AG2093</f>
        <v>110</v>
      </c>
      <c r="AG2093" s="16">
        <v>2</v>
      </c>
    </row>
    <row r="2094" spans="1:33" ht="15" customHeight="1" x14ac:dyDescent="0.2">
      <c r="A2094" s="11" t="str">
        <f t="shared" ref="A2094:A3091" si="866">HYPERLINK("https://assets.vans.eu/images/VN000K98EN6-HERO/1","VN000K98EN61")</f>
        <v>VN000K98EN61</v>
      </c>
      <c r="B2094" s="12" t="s">
        <v>7937</v>
      </c>
      <c r="C2094" s="12" t="s">
        <v>7934</v>
      </c>
      <c r="D2094" s="12" t="s">
        <v>189</v>
      </c>
      <c r="E2094" s="12" t="s">
        <v>7938</v>
      </c>
      <c r="F2094" s="12" t="s">
        <v>60</v>
      </c>
      <c r="G2094" s="14"/>
      <c r="H2094" s="12" t="s">
        <v>61</v>
      </c>
      <c r="I2094" s="12" t="s">
        <v>62</v>
      </c>
      <c r="J2094" s="12" t="s">
        <v>63</v>
      </c>
      <c r="K2094" s="12" t="s">
        <v>64</v>
      </c>
      <c r="L2094" s="12" t="s">
        <v>83</v>
      </c>
      <c r="M2094" s="12" t="s">
        <v>43</v>
      </c>
      <c r="N2094" s="12" t="s">
        <v>84</v>
      </c>
      <c r="O2094" s="12" t="s">
        <v>7939</v>
      </c>
      <c r="P2094" s="12" t="s">
        <v>66</v>
      </c>
      <c r="Q2094" s="12" t="s">
        <v>67</v>
      </c>
      <c r="R2094" s="12" t="s">
        <v>730</v>
      </c>
      <c r="S2094" s="13">
        <v>197804294718</v>
      </c>
      <c r="T2094" s="12" t="s">
        <v>69</v>
      </c>
      <c r="U2094" s="12" t="s">
        <v>60</v>
      </c>
      <c r="V2094" s="12" t="s">
        <v>1378</v>
      </c>
      <c r="W2094" s="12" t="s">
        <v>118</v>
      </c>
      <c r="X2094" s="14"/>
      <c r="Y2094" s="14"/>
      <c r="Z2094" s="14"/>
      <c r="AA2094" s="14"/>
      <c r="AB2094" s="14"/>
      <c r="AC2094" s="15">
        <v>25</v>
      </c>
      <c r="AD2094" s="15">
        <f>AC2094*AG2094</f>
        <v>50</v>
      </c>
      <c r="AE2094" s="15">
        <v>55</v>
      </c>
      <c r="AF2094" s="15">
        <f>AE2094*AG2094</f>
        <v>110</v>
      </c>
      <c r="AG2094" s="16">
        <v>2</v>
      </c>
    </row>
    <row r="2095" spans="1:33" ht="15" customHeight="1" x14ac:dyDescent="0.2">
      <c r="A2095" s="11" t="str">
        <f t="shared" si="170"/>
        <v>VN000KTAEMB1</v>
      </c>
      <c r="B2095" s="12" t="s">
        <v>7940</v>
      </c>
      <c r="C2095" s="12" t="s">
        <v>1943</v>
      </c>
      <c r="D2095" s="12" t="s">
        <v>1944</v>
      </c>
      <c r="E2095" s="12" t="s">
        <v>7941</v>
      </c>
      <c r="F2095" s="12" t="s">
        <v>60</v>
      </c>
      <c r="G2095" s="14"/>
      <c r="H2095" s="12" t="s">
        <v>61</v>
      </c>
      <c r="I2095" s="12" t="s">
        <v>230</v>
      </c>
      <c r="J2095" s="12" t="s">
        <v>762</v>
      </c>
      <c r="K2095" s="12" t="s">
        <v>199</v>
      </c>
      <c r="L2095" s="14"/>
      <c r="M2095" s="12" t="s">
        <v>43</v>
      </c>
      <c r="N2095" s="12" t="s">
        <v>84</v>
      </c>
      <c r="O2095" s="12" t="s">
        <v>7942</v>
      </c>
      <c r="P2095" s="12" t="s">
        <v>66</v>
      </c>
      <c r="Q2095" s="12" t="s">
        <v>764</v>
      </c>
      <c r="R2095" s="12" t="s">
        <v>765</v>
      </c>
      <c r="S2095" s="13">
        <v>197804385492</v>
      </c>
      <c r="T2095" s="12" t="s">
        <v>49</v>
      </c>
      <c r="U2095" s="12" t="s">
        <v>60</v>
      </c>
      <c r="V2095" s="12" t="s">
        <v>1947</v>
      </c>
      <c r="W2095" s="12" t="s">
        <v>118</v>
      </c>
      <c r="X2095" s="14"/>
      <c r="Y2095" s="14"/>
      <c r="Z2095" s="14"/>
      <c r="AA2095" s="14"/>
      <c r="AB2095" s="14"/>
      <c r="AC2095" s="15">
        <v>56.85</v>
      </c>
      <c r="AD2095" s="15">
        <f>AC2095*AG2095</f>
        <v>113.7</v>
      </c>
      <c r="AE2095" s="15">
        <v>125</v>
      </c>
      <c r="AF2095" s="15">
        <f>AE2095*AG2095</f>
        <v>250</v>
      </c>
      <c r="AG2095" s="16">
        <v>2</v>
      </c>
    </row>
    <row r="2096" spans="1:33" ht="15" customHeight="1" x14ac:dyDescent="0.2">
      <c r="A2096" s="11" t="str">
        <f t="shared" ref="A2096:A3105" si="867">HYPERLINK("https://assets.vans.eu/images/VN000KUE02F-HERO/1","VN000KUE02F1")</f>
        <v>VN000KUE02F1</v>
      </c>
      <c r="B2096" s="12" t="s">
        <v>7943</v>
      </c>
      <c r="C2096" s="12" t="s">
        <v>4576</v>
      </c>
      <c r="D2096" s="12" t="s">
        <v>857</v>
      </c>
      <c r="E2096" s="12" t="s">
        <v>7944</v>
      </c>
      <c r="F2096" s="12" t="s">
        <v>179</v>
      </c>
      <c r="G2096" s="14"/>
      <c r="H2096" s="12" t="s">
        <v>61</v>
      </c>
      <c r="I2096" s="12" t="s">
        <v>230</v>
      </c>
      <c r="J2096" s="12" t="s">
        <v>419</v>
      </c>
      <c r="K2096" s="12" t="s">
        <v>199</v>
      </c>
      <c r="L2096" s="14"/>
      <c r="M2096" s="12" t="s">
        <v>43</v>
      </c>
      <c r="N2096" s="12" t="s">
        <v>44</v>
      </c>
      <c r="O2096" s="12" t="s">
        <v>7945</v>
      </c>
      <c r="P2096" s="12" t="s">
        <v>66</v>
      </c>
      <c r="Q2096" s="12" t="s">
        <v>67</v>
      </c>
      <c r="R2096" s="12" t="s">
        <v>1500</v>
      </c>
      <c r="S2096" s="13">
        <v>197643536826</v>
      </c>
      <c r="T2096" s="12" t="s">
        <v>49</v>
      </c>
      <c r="U2096" s="12" t="s">
        <v>179</v>
      </c>
      <c r="V2096" s="12" t="s">
        <v>4579</v>
      </c>
      <c r="W2096" s="12" t="s">
        <v>455</v>
      </c>
      <c r="X2096" s="13">
        <v>0</v>
      </c>
      <c r="Y2096" s="12" t="s">
        <v>91</v>
      </c>
      <c r="Z2096" s="12" t="s">
        <v>108</v>
      </c>
      <c r="AA2096" s="13">
        <v>0</v>
      </c>
      <c r="AB2096" s="13">
        <v>0</v>
      </c>
      <c r="AC2096" s="15">
        <v>25</v>
      </c>
      <c r="AD2096" s="15">
        <f>AC2096*AG2096</f>
        <v>50</v>
      </c>
      <c r="AE2096" s="15">
        <v>55</v>
      </c>
      <c r="AF2096" s="15">
        <f>AE2096*AG2096</f>
        <v>110</v>
      </c>
      <c r="AG2096" s="16">
        <v>2</v>
      </c>
    </row>
    <row r="2097" spans="1:33" ht="15" customHeight="1" x14ac:dyDescent="0.2">
      <c r="A2097" s="11" t="str">
        <f t="shared" ref="A2097:A2098" si="868">HYPERLINK("https://assets.vans.eu/images/VN000KV2JDU-HERO/1","VN000KV2JDU1")</f>
        <v>VN000KV2JDU1</v>
      </c>
      <c r="B2097" s="12" t="s">
        <v>7946</v>
      </c>
      <c r="C2097" s="12" t="s">
        <v>7947</v>
      </c>
      <c r="D2097" s="12" t="s">
        <v>814</v>
      </c>
      <c r="E2097" s="12" t="s">
        <v>7948</v>
      </c>
      <c r="F2097" s="12" t="s">
        <v>179</v>
      </c>
      <c r="G2097" s="14"/>
      <c r="H2097" s="12" t="s">
        <v>61</v>
      </c>
      <c r="I2097" s="12" t="s">
        <v>230</v>
      </c>
      <c r="J2097" s="12" t="s">
        <v>762</v>
      </c>
      <c r="K2097" s="12" t="s">
        <v>199</v>
      </c>
      <c r="L2097" s="14"/>
      <c r="M2097" s="12" t="s">
        <v>43</v>
      </c>
      <c r="N2097" s="12" t="s">
        <v>44</v>
      </c>
      <c r="O2097" s="12" t="s">
        <v>7949</v>
      </c>
      <c r="P2097" s="12" t="s">
        <v>66</v>
      </c>
      <c r="Q2097" s="12" t="s">
        <v>764</v>
      </c>
      <c r="R2097" s="12" t="s">
        <v>765</v>
      </c>
      <c r="S2097" s="13">
        <v>197643403395</v>
      </c>
      <c r="T2097" s="12" t="s">
        <v>235</v>
      </c>
      <c r="U2097" s="12" t="s">
        <v>179</v>
      </c>
      <c r="V2097" s="12" t="s">
        <v>665</v>
      </c>
      <c r="W2097" s="12" t="s">
        <v>284</v>
      </c>
      <c r="X2097" s="13">
        <v>0</v>
      </c>
      <c r="Y2097" s="12" t="s">
        <v>91</v>
      </c>
      <c r="Z2097" s="12" t="s">
        <v>108</v>
      </c>
      <c r="AA2097" s="13">
        <v>0</v>
      </c>
      <c r="AB2097" s="13">
        <v>0</v>
      </c>
      <c r="AC2097" s="15">
        <v>43.2</v>
      </c>
      <c r="AD2097" s="15">
        <f>AC2097*AG2097</f>
        <v>86.4</v>
      </c>
      <c r="AE2097" s="15">
        <v>95</v>
      </c>
      <c r="AF2097" s="15">
        <f>AE2097*AG2097</f>
        <v>190</v>
      </c>
      <c r="AG2097" s="16">
        <v>2</v>
      </c>
    </row>
    <row r="2098" spans="1:33" ht="15" customHeight="1" x14ac:dyDescent="0.2">
      <c r="A2098" s="11" t="str">
        <f t="shared" si="868"/>
        <v>VN000KV2JDU1</v>
      </c>
      <c r="B2098" s="12" t="s">
        <v>7950</v>
      </c>
      <c r="C2098" s="12" t="s">
        <v>7947</v>
      </c>
      <c r="D2098" s="12" t="s">
        <v>814</v>
      </c>
      <c r="E2098" s="12" t="s">
        <v>7951</v>
      </c>
      <c r="F2098" s="12" t="s">
        <v>170</v>
      </c>
      <c r="G2098" s="14"/>
      <c r="H2098" s="12" t="s">
        <v>61</v>
      </c>
      <c r="I2098" s="12" t="s">
        <v>230</v>
      </c>
      <c r="J2098" s="12" t="s">
        <v>762</v>
      </c>
      <c r="K2098" s="12" t="s">
        <v>199</v>
      </c>
      <c r="L2098" s="14"/>
      <c r="M2098" s="12" t="s">
        <v>43</v>
      </c>
      <c r="N2098" s="12" t="s">
        <v>44</v>
      </c>
      <c r="O2098" s="12" t="s">
        <v>7952</v>
      </c>
      <c r="P2098" s="12" t="s">
        <v>66</v>
      </c>
      <c r="Q2098" s="12" t="s">
        <v>764</v>
      </c>
      <c r="R2098" s="12" t="s">
        <v>765</v>
      </c>
      <c r="S2098" s="13">
        <v>197643403579</v>
      </c>
      <c r="T2098" s="12" t="s">
        <v>235</v>
      </c>
      <c r="U2098" s="12" t="s">
        <v>170</v>
      </c>
      <c r="V2098" s="12" t="s">
        <v>665</v>
      </c>
      <c r="W2098" s="12" t="s">
        <v>284</v>
      </c>
      <c r="X2098" s="13">
        <v>0</v>
      </c>
      <c r="Y2098" s="12" t="s">
        <v>91</v>
      </c>
      <c r="Z2098" s="12" t="s">
        <v>108</v>
      </c>
      <c r="AA2098" s="13">
        <v>0</v>
      </c>
      <c r="AB2098" s="13">
        <v>0</v>
      </c>
      <c r="AC2098" s="15">
        <v>43.2</v>
      </c>
      <c r="AD2098" s="15">
        <f>AC2098*AG2098</f>
        <v>86.4</v>
      </c>
      <c r="AE2098" s="15">
        <v>95</v>
      </c>
      <c r="AF2098" s="15">
        <f>AE2098*AG2098</f>
        <v>190</v>
      </c>
      <c r="AG2098" s="16">
        <v>2</v>
      </c>
    </row>
    <row r="2099" spans="1:33" ht="15" customHeight="1" x14ac:dyDescent="0.2">
      <c r="A2099" s="11" t="str">
        <f>HYPERLINK("https://assets.vans.eu/images/VN000KVEBLK-HERO/1","VN000KVEBLK1")</f>
        <v>VN000KVEBLK1</v>
      </c>
      <c r="B2099" s="12" t="s">
        <v>7953</v>
      </c>
      <c r="C2099" s="12" t="s">
        <v>6404</v>
      </c>
      <c r="D2099" s="12" t="s">
        <v>76</v>
      </c>
      <c r="E2099" s="12" t="s">
        <v>7954</v>
      </c>
      <c r="F2099" s="12" t="s">
        <v>179</v>
      </c>
      <c r="G2099" s="14"/>
      <c r="H2099" s="12" t="s">
        <v>61</v>
      </c>
      <c r="I2099" s="12" t="s">
        <v>230</v>
      </c>
      <c r="J2099" s="12" t="s">
        <v>762</v>
      </c>
      <c r="K2099" s="12" t="s">
        <v>199</v>
      </c>
      <c r="L2099" s="14"/>
      <c r="M2099" s="12" t="s">
        <v>43</v>
      </c>
      <c r="N2099" s="12" t="s">
        <v>44</v>
      </c>
      <c r="O2099" s="12" t="s">
        <v>7955</v>
      </c>
      <c r="P2099" s="12" t="s">
        <v>66</v>
      </c>
      <c r="Q2099" s="12" t="s">
        <v>764</v>
      </c>
      <c r="R2099" s="12" t="s">
        <v>765</v>
      </c>
      <c r="S2099" s="13">
        <v>197643536659</v>
      </c>
      <c r="T2099" s="12" t="s">
        <v>235</v>
      </c>
      <c r="U2099" s="12" t="s">
        <v>179</v>
      </c>
      <c r="V2099" s="12" t="s">
        <v>665</v>
      </c>
      <c r="W2099" s="12" t="s">
        <v>51</v>
      </c>
      <c r="X2099" s="13">
        <v>0</v>
      </c>
      <c r="Y2099" s="12" t="s">
        <v>1011</v>
      </c>
      <c r="Z2099" s="12" t="s">
        <v>6135</v>
      </c>
      <c r="AA2099" s="13">
        <v>0</v>
      </c>
      <c r="AB2099" s="13">
        <v>0</v>
      </c>
      <c r="AC2099" s="15">
        <v>59.1</v>
      </c>
      <c r="AD2099" s="15">
        <f>AC2099*AG2099</f>
        <v>118.2</v>
      </c>
      <c r="AE2099" s="15">
        <v>130</v>
      </c>
      <c r="AF2099" s="15">
        <f>AE2099*AG2099</f>
        <v>260</v>
      </c>
      <c r="AG2099" s="16">
        <v>2</v>
      </c>
    </row>
    <row r="2100" spans="1:33" ht="15" customHeight="1" x14ac:dyDescent="0.2">
      <c r="A2100" s="11" t="str">
        <f t="shared" ref="A2100:A2102" si="869">HYPERLINK("https://assets.vans.eu/images/VN000M10ZUJ-HERO/1","VN000M10ZUJ1")</f>
        <v>VN000M10ZUJ1</v>
      </c>
      <c r="B2100" s="12" t="s">
        <v>7956</v>
      </c>
      <c r="C2100" s="12" t="s">
        <v>7957</v>
      </c>
      <c r="D2100" s="12" t="s">
        <v>2899</v>
      </c>
      <c r="E2100" s="12" t="s">
        <v>7958</v>
      </c>
      <c r="F2100" s="12" t="s">
        <v>403</v>
      </c>
      <c r="G2100" s="14"/>
      <c r="H2100" s="12" t="s">
        <v>61</v>
      </c>
      <c r="I2100" s="12" t="s">
        <v>230</v>
      </c>
      <c r="J2100" s="12" t="s">
        <v>419</v>
      </c>
      <c r="K2100" s="12" t="s">
        <v>199</v>
      </c>
      <c r="L2100" s="14"/>
      <c r="M2100" s="12" t="s">
        <v>43</v>
      </c>
      <c r="N2100" s="12" t="s">
        <v>44</v>
      </c>
      <c r="O2100" s="12" t="s">
        <v>7959</v>
      </c>
      <c r="P2100" s="12" t="s">
        <v>66</v>
      </c>
      <c r="Q2100" s="12" t="s">
        <v>67</v>
      </c>
      <c r="R2100" s="12" t="s">
        <v>1500</v>
      </c>
      <c r="S2100" s="13">
        <v>197643406303</v>
      </c>
      <c r="T2100" s="12" t="s">
        <v>235</v>
      </c>
      <c r="U2100" s="12" t="s">
        <v>403</v>
      </c>
      <c r="V2100" s="12" t="s">
        <v>665</v>
      </c>
      <c r="W2100" s="12" t="s">
        <v>598</v>
      </c>
      <c r="X2100" s="13">
        <v>0</v>
      </c>
      <c r="Y2100" s="12" t="s">
        <v>91</v>
      </c>
      <c r="Z2100" s="12" t="s">
        <v>108</v>
      </c>
      <c r="AA2100" s="13">
        <v>0</v>
      </c>
      <c r="AB2100" s="13">
        <v>0</v>
      </c>
      <c r="AC2100" s="15">
        <v>36.4</v>
      </c>
      <c r="AD2100" s="15">
        <f>AC2100*AG2100</f>
        <v>72.8</v>
      </c>
      <c r="AE2100" s="15">
        <v>80</v>
      </c>
      <c r="AF2100" s="15">
        <f>AE2100*AG2100</f>
        <v>160</v>
      </c>
      <c r="AG2100" s="16">
        <v>2</v>
      </c>
    </row>
    <row r="2101" spans="1:33" ht="15" customHeight="1" x14ac:dyDescent="0.2">
      <c r="A2101" s="11" t="str">
        <f t="shared" si="869"/>
        <v>VN000M10ZUJ1</v>
      </c>
      <c r="B2101" s="12" t="s">
        <v>7960</v>
      </c>
      <c r="C2101" s="12" t="s">
        <v>7957</v>
      </c>
      <c r="D2101" s="12" t="s">
        <v>2899</v>
      </c>
      <c r="E2101" s="12" t="s">
        <v>7961</v>
      </c>
      <c r="F2101" s="12" t="s">
        <v>60</v>
      </c>
      <c r="G2101" s="14"/>
      <c r="H2101" s="12" t="s">
        <v>61</v>
      </c>
      <c r="I2101" s="12" t="s">
        <v>230</v>
      </c>
      <c r="J2101" s="12" t="s">
        <v>419</v>
      </c>
      <c r="K2101" s="12" t="s">
        <v>199</v>
      </c>
      <c r="L2101" s="14"/>
      <c r="M2101" s="12" t="s">
        <v>43</v>
      </c>
      <c r="N2101" s="12" t="s">
        <v>44</v>
      </c>
      <c r="O2101" s="12" t="s">
        <v>7962</v>
      </c>
      <c r="P2101" s="12" t="s">
        <v>66</v>
      </c>
      <c r="Q2101" s="12" t="s">
        <v>67</v>
      </c>
      <c r="R2101" s="12" t="s">
        <v>1500</v>
      </c>
      <c r="S2101" s="13">
        <v>197643406358</v>
      </c>
      <c r="T2101" s="12" t="s">
        <v>235</v>
      </c>
      <c r="U2101" s="12" t="s">
        <v>60</v>
      </c>
      <c r="V2101" s="12" t="s">
        <v>665</v>
      </c>
      <c r="W2101" s="12" t="s">
        <v>598</v>
      </c>
      <c r="X2101" s="13">
        <v>0</v>
      </c>
      <c r="Y2101" s="12" t="s">
        <v>91</v>
      </c>
      <c r="Z2101" s="12" t="s">
        <v>108</v>
      </c>
      <c r="AA2101" s="13">
        <v>0</v>
      </c>
      <c r="AB2101" s="13">
        <v>0</v>
      </c>
      <c r="AC2101" s="15">
        <v>36.4</v>
      </c>
      <c r="AD2101" s="15">
        <f>AC2101*AG2101</f>
        <v>72.8</v>
      </c>
      <c r="AE2101" s="15">
        <v>80</v>
      </c>
      <c r="AF2101" s="15">
        <f>AE2101*AG2101</f>
        <v>160</v>
      </c>
      <c r="AG2101" s="16">
        <v>2</v>
      </c>
    </row>
    <row r="2102" spans="1:33" ht="15" customHeight="1" x14ac:dyDescent="0.2">
      <c r="A2102" s="11" t="str">
        <f t="shared" si="869"/>
        <v>VN000M10ZUJ1</v>
      </c>
      <c r="B2102" s="12" t="s">
        <v>7963</v>
      </c>
      <c r="C2102" s="12" t="s">
        <v>7957</v>
      </c>
      <c r="D2102" s="12" t="s">
        <v>2899</v>
      </c>
      <c r="E2102" s="12" t="s">
        <v>7964</v>
      </c>
      <c r="F2102" s="12" t="s">
        <v>153</v>
      </c>
      <c r="G2102" s="14"/>
      <c r="H2102" s="12" t="s">
        <v>61</v>
      </c>
      <c r="I2102" s="12" t="s">
        <v>230</v>
      </c>
      <c r="J2102" s="12" t="s">
        <v>419</v>
      </c>
      <c r="K2102" s="12" t="s">
        <v>199</v>
      </c>
      <c r="L2102" s="14"/>
      <c r="M2102" s="12" t="s">
        <v>43</v>
      </c>
      <c r="N2102" s="12" t="s">
        <v>44</v>
      </c>
      <c r="O2102" s="12" t="s">
        <v>7965</v>
      </c>
      <c r="P2102" s="12" t="s">
        <v>66</v>
      </c>
      <c r="Q2102" s="12" t="s">
        <v>67</v>
      </c>
      <c r="R2102" s="12" t="s">
        <v>1500</v>
      </c>
      <c r="S2102" s="13">
        <v>197643406396</v>
      </c>
      <c r="T2102" s="12" t="s">
        <v>235</v>
      </c>
      <c r="U2102" s="12" t="s">
        <v>153</v>
      </c>
      <c r="V2102" s="12" t="s">
        <v>665</v>
      </c>
      <c r="W2102" s="12" t="s">
        <v>598</v>
      </c>
      <c r="X2102" s="13">
        <v>0</v>
      </c>
      <c r="Y2102" s="12" t="s">
        <v>91</v>
      </c>
      <c r="Z2102" s="12" t="s">
        <v>108</v>
      </c>
      <c r="AA2102" s="13">
        <v>0</v>
      </c>
      <c r="AB2102" s="13">
        <v>0</v>
      </c>
      <c r="AC2102" s="15">
        <v>36.4</v>
      </c>
      <c r="AD2102" s="15">
        <f>AC2102*AG2102</f>
        <v>72.8</v>
      </c>
      <c r="AE2102" s="15">
        <v>80</v>
      </c>
      <c r="AF2102" s="15">
        <f>AE2102*AG2102</f>
        <v>160</v>
      </c>
      <c r="AG2102" s="16">
        <v>2</v>
      </c>
    </row>
    <row r="2103" spans="1:33" ht="15" customHeight="1" x14ac:dyDescent="0.2">
      <c r="A2103" s="11" t="str">
        <f t="shared" ref="A2103:A2105" si="870">HYPERLINK("https://assets.vans.eu/images/VN000M1PC9L-HERO/1","VN000M1PC9L1")</f>
        <v>VN000M1PC9L1</v>
      </c>
      <c r="B2103" s="12" t="s">
        <v>7966</v>
      </c>
      <c r="C2103" s="12" t="s">
        <v>7967</v>
      </c>
      <c r="D2103" s="12" t="s">
        <v>890</v>
      </c>
      <c r="E2103" s="12" t="s">
        <v>7968</v>
      </c>
      <c r="F2103" s="12" t="s">
        <v>179</v>
      </c>
      <c r="G2103" s="14"/>
      <c r="H2103" s="12" t="s">
        <v>61</v>
      </c>
      <c r="I2103" s="12" t="s">
        <v>230</v>
      </c>
      <c r="J2103" s="12" t="s">
        <v>419</v>
      </c>
      <c r="K2103" s="12" t="s">
        <v>199</v>
      </c>
      <c r="L2103" s="14"/>
      <c r="M2103" s="12" t="s">
        <v>43</v>
      </c>
      <c r="N2103" s="12" t="s">
        <v>44</v>
      </c>
      <c r="O2103" s="12" t="s">
        <v>7969</v>
      </c>
      <c r="P2103" s="12" t="s">
        <v>66</v>
      </c>
      <c r="Q2103" s="12" t="s">
        <v>67</v>
      </c>
      <c r="R2103" s="12" t="s">
        <v>623</v>
      </c>
      <c r="S2103" s="13">
        <v>197643407737</v>
      </c>
      <c r="T2103" s="12" t="s">
        <v>69</v>
      </c>
      <c r="U2103" s="12" t="s">
        <v>179</v>
      </c>
      <c r="V2103" s="12" t="s">
        <v>70</v>
      </c>
      <c r="W2103" s="12" t="s">
        <v>262</v>
      </c>
      <c r="X2103" s="12" t="s">
        <v>500</v>
      </c>
      <c r="Y2103" s="12" t="s">
        <v>91</v>
      </c>
      <c r="Z2103" s="12" t="s">
        <v>108</v>
      </c>
      <c r="AA2103" s="13">
        <v>0</v>
      </c>
      <c r="AB2103" s="13">
        <v>0</v>
      </c>
      <c r="AC2103" s="15">
        <v>40.950000000000003</v>
      </c>
      <c r="AD2103" s="15">
        <f>AC2103*AG2103</f>
        <v>81.900000000000006</v>
      </c>
      <c r="AE2103" s="15">
        <v>90</v>
      </c>
      <c r="AF2103" s="15">
        <f>AE2103*AG2103</f>
        <v>180</v>
      </c>
      <c r="AG2103" s="16">
        <v>2</v>
      </c>
    </row>
    <row r="2104" spans="1:33" ht="15" customHeight="1" x14ac:dyDescent="0.2">
      <c r="A2104" s="11" t="str">
        <f t="shared" si="870"/>
        <v>VN000M1PC9L1</v>
      </c>
      <c r="B2104" s="12" t="s">
        <v>7970</v>
      </c>
      <c r="C2104" s="12" t="s">
        <v>7967</v>
      </c>
      <c r="D2104" s="12" t="s">
        <v>890</v>
      </c>
      <c r="E2104" s="12" t="s">
        <v>7971</v>
      </c>
      <c r="F2104" s="12" t="s">
        <v>170</v>
      </c>
      <c r="G2104" s="14"/>
      <c r="H2104" s="12" t="s">
        <v>61</v>
      </c>
      <c r="I2104" s="12" t="s">
        <v>230</v>
      </c>
      <c r="J2104" s="12" t="s">
        <v>419</v>
      </c>
      <c r="K2104" s="12" t="s">
        <v>199</v>
      </c>
      <c r="L2104" s="14"/>
      <c r="M2104" s="12" t="s">
        <v>43</v>
      </c>
      <c r="N2104" s="12" t="s">
        <v>44</v>
      </c>
      <c r="O2104" s="12" t="s">
        <v>7972</v>
      </c>
      <c r="P2104" s="12" t="s">
        <v>66</v>
      </c>
      <c r="Q2104" s="12" t="s">
        <v>67</v>
      </c>
      <c r="R2104" s="12" t="s">
        <v>623</v>
      </c>
      <c r="S2104" s="13">
        <v>197643407836</v>
      </c>
      <c r="T2104" s="12" t="s">
        <v>69</v>
      </c>
      <c r="U2104" s="12" t="s">
        <v>170</v>
      </c>
      <c r="V2104" s="12" t="s">
        <v>70</v>
      </c>
      <c r="W2104" s="12" t="s">
        <v>262</v>
      </c>
      <c r="X2104" s="12" t="s">
        <v>500</v>
      </c>
      <c r="Y2104" s="12" t="s">
        <v>91</v>
      </c>
      <c r="Z2104" s="12" t="s">
        <v>108</v>
      </c>
      <c r="AA2104" s="13">
        <v>0</v>
      </c>
      <c r="AB2104" s="13">
        <v>0</v>
      </c>
      <c r="AC2104" s="15">
        <v>40.950000000000003</v>
      </c>
      <c r="AD2104" s="15">
        <f>AC2104*AG2104</f>
        <v>81.900000000000006</v>
      </c>
      <c r="AE2104" s="15">
        <v>90</v>
      </c>
      <c r="AF2104" s="15">
        <f>AE2104*AG2104</f>
        <v>180</v>
      </c>
      <c r="AG2104" s="16">
        <v>2</v>
      </c>
    </row>
    <row r="2105" spans="1:33" ht="15" customHeight="1" x14ac:dyDescent="0.2">
      <c r="A2105" s="11" t="str">
        <f t="shared" si="870"/>
        <v>VN000M1PC9L1</v>
      </c>
      <c r="B2105" s="12" t="s">
        <v>7973</v>
      </c>
      <c r="C2105" s="12" t="s">
        <v>7967</v>
      </c>
      <c r="D2105" s="12" t="s">
        <v>890</v>
      </c>
      <c r="E2105" s="12" t="s">
        <v>7974</v>
      </c>
      <c r="F2105" s="12" t="s">
        <v>60</v>
      </c>
      <c r="G2105" s="14"/>
      <c r="H2105" s="12" t="s">
        <v>61</v>
      </c>
      <c r="I2105" s="12" t="s">
        <v>230</v>
      </c>
      <c r="J2105" s="12" t="s">
        <v>419</v>
      </c>
      <c r="K2105" s="12" t="s">
        <v>199</v>
      </c>
      <c r="L2105" s="14"/>
      <c r="M2105" s="12" t="s">
        <v>43</v>
      </c>
      <c r="N2105" s="12" t="s">
        <v>44</v>
      </c>
      <c r="O2105" s="12" t="s">
        <v>7975</v>
      </c>
      <c r="P2105" s="12" t="s">
        <v>66</v>
      </c>
      <c r="Q2105" s="12" t="s">
        <v>67</v>
      </c>
      <c r="R2105" s="12" t="s">
        <v>623</v>
      </c>
      <c r="S2105" s="13">
        <v>197643408086</v>
      </c>
      <c r="T2105" s="12" t="s">
        <v>69</v>
      </c>
      <c r="U2105" s="12" t="s">
        <v>60</v>
      </c>
      <c r="V2105" s="12" t="s">
        <v>70</v>
      </c>
      <c r="W2105" s="12" t="s">
        <v>262</v>
      </c>
      <c r="X2105" s="12" t="s">
        <v>500</v>
      </c>
      <c r="Y2105" s="12" t="s">
        <v>91</v>
      </c>
      <c r="Z2105" s="12" t="s">
        <v>108</v>
      </c>
      <c r="AA2105" s="13">
        <v>0</v>
      </c>
      <c r="AB2105" s="13">
        <v>0</v>
      </c>
      <c r="AC2105" s="15">
        <v>40.950000000000003</v>
      </c>
      <c r="AD2105" s="15">
        <f>AC2105*AG2105</f>
        <v>81.900000000000006</v>
      </c>
      <c r="AE2105" s="15">
        <v>90</v>
      </c>
      <c r="AF2105" s="15">
        <f>AE2105*AG2105</f>
        <v>180</v>
      </c>
      <c r="AG2105" s="16">
        <v>2</v>
      </c>
    </row>
    <row r="2106" spans="1:33" ht="15" customHeight="1" x14ac:dyDescent="0.2">
      <c r="A2106" s="11" t="str">
        <f t="shared" ref="A2106:A3128" si="871">HYPERLINK("https://assets.vans.eu/images/VN000M27CFL-HERO/1","VN000M27CFL1")</f>
        <v>VN000M27CFL1</v>
      </c>
      <c r="B2106" s="12" t="s">
        <v>7976</v>
      </c>
      <c r="C2106" s="12" t="s">
        <v>1577</v>
      </c>
      <c r="D2106" s="12" t="s">
        <v>1258</v>
      </c>
      <c r="E2106" s="12" t="s">
        <v>7977</v>
      </c>
      <c r="F2106" s="13">
        <v>31</v>
      </c>
      <c r="G2106" s="14"/>
      <c r="H2106" s="12" t="s">
        <v>61</v>
      </c>
      <c r="I2106" s="12" t="s">
        <v>230</v>
      </c>
      <c r="J2106" s="12" t="s">
        <v>231</v>
      </c>
      <c r="K2106" s="12" t="s">
        <v>199</v>
      </c>
      <c r="L2106" s="14"/>
      <c r="M2106" s="12" t="s">
        <v>43</v>
      </c>
      <c r="N2106" s="12" t="s">
        <v>44</v>
      </c>
      <c r="O2106" s="12" t="s">
        <v>7978</v>
      </c>
      <c r="P2106" s="12" t="s">
        <v>66</v>
      </c>
      <c r="Q2106" s="12" t="s">
        <v>233</v>
      </c>
      <c r="R2106" s="12" t="s">
        <v>361</v>
      </c>
      <c r="S2106" s="13">
        <v>197643409199</v>
      </c>
      <c r="T2106" s="12" t="s">
        <v>235</v>
      </c>
      <c r="U2106" s="13">
        <v>31</v>
      </c>
      <c r="V2106" s="12" t="s">
        <v>665</v>
      </c>
      <c r="W2106" s="12" t="s">
        <v>284</v>
      </c>
      <c r="X2106" s="13">
        <v>0</v>
      </c>
      <c r="Y2106" s="12" t="s">
        <v>53</v>
      </c>
      <c r="Z2106" s="12" t="s">
        <v>108</v>
      </c>
      <c r="AA2106" s="13">
        <v>0</v>
      </c>
      <c r="AB2106" s="13">
        <v>0</v>
      </c>
      <c r="AC2106" s="15">
        <v>36.4</v>
      </c>
      <c r="AD2106" s="15">
        <f>AC2106*AG2106</f>
        <v>72.8</v>
      </c>
      <c r="AE2106" s="15">
        <v>80</v>
      </c>
      <c r="AF2106" s="15">
        <f>AE2106*AG2106</f>
        <v>160</v>
      </c>
      <c r="AG2106" s="16">
        <v>2</v>
      </c>
    </row>
    <row r="2107" spans="1:33" ht="15" customHeight="1" x14ac:dyDescent="0.2">
      <c r="A2107" s="11" t="str">
        <f t="shared" ref="A2107:A3132" si="872">HYPERLINK("https://assets.vans.eu/images/VN000M29DDN-HERO/1","VN000M29DDN1")</f>
        <v>VN000M29DDN1</v>
      </c>
      <c r="B2107" s="12" t="s">
        <v>7979</v>
      </c>
      <c r="C2107" s="12" t="s">
        <v>7980</v>
      </c>
      <c r="D2107" s="12" t="s">
        <v>962</v>
      </c>
      <c r="E2107" s="12" t="s">
        <v>7981</v>
      </c>
      <c r="F2107" s="13">
        <v>36</v>
      </c>
      <c r="G2107" s="14"/>
      <c r="H2107" s="12" t="s">
        <v>61</v>
      </c>
      <c r="I2107" s="12" t="s">
        <v>230</v>
      </c>
      <c r="J2107" s="12" t="s">
        <v>231</v>
      </c>
      <c r="K2107" s="12" t="s">
        <v>199</v>
      </c>
      <c r="L2107" s="14"/>
      <c r="M2107" s="12" t="s">
        <v>43</v>
      </c>
      <c r="N2107" s="12" t="s">
        <v>44</v>
      </c>
      <c r="O2107" s="12" t="s">
        <v>7982</v>
      </c>
      <c r="P2107" s="12" t="s">
        <v>66</v>
      </c>
      <c r="Q2107" s="12" t="s">
        <v>233</v>
      </c>
      <c r="R2107" s="12" t="s">
        <v>361</v>
      </c>
      <c r="S2107" s="13">
        <v>197643409595</v>
      </c>
      <c r="T2107" s="12" t="s">
        <v>235</v>
      </c>
      <c r="U2107" s="13">
        <v>36</v>
      </c>
      <c r="V2107" s="12" t="s">
        <v>665</v>
      </c>
      <c r="W2107" s="12" t="s">
        <v>284</v>
      </c>
      <c r="X2107" s="13">
        <v>0</v>
      </c>
      <c r="Y2107" s="12" t="s">
        <v>53</v>
      </c>
      <c r="Z2107" s="12" t="s">
        <v>108</v>
      </c>
      <c r="AA2107" s="13">
        <v>0</v>
      </c>
      <c r="AB2107" s="13">
        <v>0</v>
      </c>
      <c r="AC2107" s="15">
        <v>36.4</v>
      </c>
      <c r="AD2107" s="15">
        <f>AC2107*AG2107</f>
        <v>72.8</v>
      </c>
      <c r="AE2107" s="15">
        <v>80</v>
      </c>
      <c r="AF2107" s="15">
        <f>AE2107*AG2107</f>
        <v>160</v>
      </c>
      <c r="AG2107" s="16">
        <v>2</v>
      </c>
    </row>
    <row r="2108" spans="1:33" ht="15" customHeight="1" x14ac:dyDescent="0.2">
      <c r="A2108" s="11" t="str">
        <f t="shared" si="428"/>
        <v>VN000M2P1O71</v>
      </c>
      <c r="B2108" s="12" t="s">
        <v>7983</v>
      </c>
      <c r="C2108" s="12" t="s">
        <v>4124</v>
      </c>
      <c r="D2108" s="12" t="s">
        <v>637</v>
      </c>
      <c r="E2108" s="12" t="s">
        <v>7984</v>
      </c>
      <c r="F2108" s="12" t="s">
        <v>179</v>
      </c>
      <c r="G2108" s="14"/>
      <c r="H2108" s="12" t="s">
        <v>61</v>
      </c>
      <c r="I2108" s="12" t="s">
        <v>230</v>
      </c>
      <c r="J2108" s="12" t="s">
        <v>419</v>
      </c>
      <c r="K2108" s="12" t="s">
        <v>199</v>
      </c>
      <c r="L2108" s="14"/>
      <c r="M2108" s="12" t="s">
        <v>43</v>
      </c>
      <c r="N2108" s="12" t="s">
        <v>44</v>
      </c>
      <c r="O2108" s="12" t="s">
        <v>7985</v>
      </c>
      <c r="P2108" s="12" t="s">
        <v>66</v>
      </c>
      <c r="Q2108" s="12" t="s">
        <v>67</v>
      </c>
      <c r="R2108" s="12" t="s">
        <v>623</v>
      </c>
      <c r="S2108" s="13">
        <v>197643537175</v>
      </c>
      <c r="T2108" s="12" t="s">
        <v>49</v>
      </c>
      <c r="U2108" s="12" t="s">
        <v>179</v>
      </c>
      <c r="V2108" s="12" t="s">
        <v>1726</v>
      </c>
      <c r="W2108" s="12" t="s">
        <v>455</v>
      </c>
      <c r="X2108" s="13">
        <v>0</v>
      </c>
      <c r="Y2108" s="12" t="s">
        <v>91</v>
      </c>
      <c r="Z2108" s="12" t="s">
        <v>108</v>
      </c>
      <c r="AA2108" s="13">
        <v>0</v>
      </c>
      <c r="AB2108" s="13">
        <v>0</v>
      </c>
      <c r="AC2108" s="15">
        <v>38.65</v>
      </c>
      <c r="AD2108" s="15">
        <f>AC2108*AG2108</f>
        <v>77.3</v>
      </c>
      <c r="AE2108" s="15">
        <v>85</v>
      </c>
      <c r="AF2108" s="15">
        <f>AE2108*AG2108</f>
        <v>170</v>
      </c>
      <c r="AG2108" s="16">
        <v>2</v>
      </c>
    </row>
    <row r="2109" spans="1:33" ht="15" customHeight="1" x14ac:dyDescent="0.2">
      <c r="A2109" s="11" t="str">
        <f t="shared" si="682"/>
        <v>VN000M37ZBF1</v>
      </c>
      <c r="B2109" s="12" t="s">
        <v>7986</v>
      </c>
      <c r="C2109" s="12" t="s">
        <v>3390</v>
      </c>
      <c r="D2109" s="12" t="s">
        <v>680</v>
      </c>
      <c r="E2109" s="12" t="s">
        <v>7987</v>
      </c>
      <c r="F2109" s="13">
        <v>29</v>
      </c>
      <c r="G2109" s="14"/>
      <c r="H2109" s="12" t="s">
        <v>61</v>
      </c>
      <c r="I2109" s="12" t="s">
        <v>230</v>
      </c>
      <c r="J2109" s="12" t="s">
        <v>231</v>
      </c>
      <c r="K2109" s="12" t="s">
        <v>199</v>
      </c>
      <c r="L2109" s="14"/>
      <c r="M2109" s="12" t="s">
        <v>43</v>
      </c>
      <c r="N2109" s="12" t="s">
        <v>44</v>
      </c>
      <c r="O2109" s="12" t="s">
        <v>7988</v>
      </c>
      <c r="P2109" s="12" t="s">
        <v>66</v>
      </c>
      <c r="Q2109" s="12" t="s">
        <v>233</v>
      </c>
      <c r="R2109" s="12" t="s">
        <v>234</v>
      </c>
      <c r="S2109" s="13">
        <v>197643411659</v>
      </c>
      <c r="T2109" s="12" t="s">
        <v>235</v>
      </c>
      <c r="U2109" s="13">
        <v>29</v>
      </c>
      <c r="V2109" s="12" t="s">
        <v>665</v>
      </c>
      <c r="W2109" s="12" t="s">
        <v>118</v>
      </c>
      <c r="X2109" s="13">
        <v>0</v>
      </c>
      <c r="Y2109" s="12" t="s">
        <v>53</v>
      </c>
      <c r="Z2109" s="12" t="s">
        <v>108</v>
      </c>
      <c r="AA2109" s="13">
        <v>0</v>
      </c>
      <c r="AB2109" s="13">
        <v>0</v>
      </c>
      <c r="AC2109" s="15">
        <v>31.85</v>
      </c>
      <c r="AD2109" s="15">
        <f>AC2109*AG2109</f>
        <v>63.7</v>
      </c>
      <c r="AE2109" s="15">
        <v>70</v>
      </c>
      <c r="AF2109" s="15">
        <f>AE2109*AG2109</f>
        <v>140</v>
      </c>
      <c r="AG2109" s="16">
        <v>2</v>
      </c>
    </row>
    <row r="2110" spans="1:33" ht="15" customHeight="1" x14ac:dyDescent="0.2">
      <c r="A2110" s="11" t="str">
        <f t="shared" si="111"/>
        <v>VN000M39D4C1</v>
      </c>
      <c r="B2110" s="12" t="s">
        <v>7989</v>
      </c>
      <c r="C2110" s="12" t="s">
        <v>1281</v>
      </c>
      <c r="D2110" s="12" t="s">
        <v>1454</v>
      </c>
      <c r="E2110" s="12" t="s">
        <v>7990</v>
      </c>
      <c r="F2110" s="13">
        <v>31</v>
      </c>
      <c r="G2110" s="14"/>
      <c r="H2110" s="12" t="s">
        <v>61</v>
      </c>
      <c r="I2110" s="12" t="s">
        <v>230</v>
      </c>
      <c r="J2110" s="12" t="s">
        <v>231</v>
      </c>
      <c r="K2110" s="12" t="s">
        <v>199</v>
      </c>
      <c r="L2110" s="14"/>
      <c r="M2110" s="12" t="s">
        <v>43</v>
      </c>
      <c r="N2110" s="12" t="s">
        <v>44</v>
      </c>
      <c r="O2110" s="12" t="s">
        <v>7991</v>
      </c>
      <c r="P2110" s="12" t="s">
        <v>66</v>
      </c>
      <c r="Q2110" s="12" t="s">
        <v>233</v>
      </c>
      <c r="R2110" s="12" t="s">
        <v>234</v>
      </c>
      <c r="S2110" s="13">
        <v>197643412014</v>
      </c>
      <c r="T2110" s="12" t="s">
        <v>235</v>
      </c>
      <c r="U2110" s="13">
        <v>31</v>
      </c>
      <c r="V2110" s="12" t="s">
        <v>665</v>
      </c>
      <c r="W2110" s="12" t="s">
        <v>186</v>
      </c>
      <c r="X2110" s="13">
        <v>0</v>
      </c>
      <c r="Y2110" s="12" t="s">
        <v>53</v>
      </c>
      <c r="Z2110" s="12" t="s">
        <v>108</v>
      </c>
      <c r="AA2110" s="13">
        <v>0</v>
      </c>
      <c r="AB2110" s="13">
        <v>0</v>
      </c>
      <c r="AC2110" s="15">
        <v>29.55</v>
      </c>
      <c r="AD2110" s="15">
        <f>AC2110*AG2110</f>
        <v>59.1</v>
      </c>
      <c r="AE2110" s="15">
        <v>65</v>
      </c>
      <c r="AF2110" s="15">
        <f>AE2110*AG2110</f>
        <v>130</v>
      </c>
      <c r="AG2110" s="16">
        <v>2</v>
      </c>
    </row>
    <row r="2111" spans="1:33" ht="15" customHeight="1" x14ac:dyDescent="0.2">
      <c r="A2111" s="11" t="str">
        <f>HYPERLINK("https://assets.vans.eu/images/VN000M3AZBF-HERO/1","VN000M3AZBF1")</f>
        <v>VN000M3AZBF1</v>
      </c>
      <c r="B2111" s="12" t="s">
        <v>7992</v>
      </c>
      <c r="C2111" s="12" t="s">
        <v>7993</v>
      </c>
      <c r="D2111" s="12" t="s">
        <v>680</v>
      </c>
      <c r="E2111" s="12" t="s">
        <v>7994</v>
      </c>
      <c r="F2111" s="13">
        <v>36</v>
      </c>
      <c r="G2111" s="14"/>
      <c r="H2111" s="12" t="s">
        <v>61</v>
      </c>
      <c r="I2111" s="12" t="s">
        <v>230</v>
      </c>
      <c r="J2111" s="12" t="s">
        <v>231</v>
      </c>
      <c r="K2111" s="12" t="s">
        <v>199</v>
      </c>
      <c r="L2111" s="14"/>
      <c r="M2111" s="12" t="s">
        <v>43</v>
      </c>
      <c r="N2111" s="12" t="s">
        <v>44</v>
      </c>
      <c r="O2111" s="12" t="s">
        <v>7995</v>
      </c>
      <c r="P2111" s="12" t="s">
        <v>66</v>
      </c>
      <c r="Q2111" s="12" t="s">
        <v>233</v>
      </c>
      <c r="R2111" s="12" t="s">
        <v>234</v>
      </c>
      <c r="S2111" s="13">
        <v>197643413189</v>
      </c>
      <c r="T2111" s="12" t="s">
        <v>235</v>
      </c>
      <c r="U2111" s="13">
        <v>36</v>
      </c>
      <c r="V2111" s="12" t="s">
        <v>5273</v>
      </c>
      <c r="W2111" s="12" t="s">
        <v>118</v>
      </c>
      <c r="X2111" s="13">
        <v>0</v>
      </c>
      <c r="Y2111" s="12" t="s">
        <v>53</v>
      </c>
      <c r="Z2111" s="12" t="s">
        <v>108</v>
      </c>
      <c r="AA2111" s="13">
        <v>0</v>
      </c>
      <c r="AB2111" s="13">
        <v>0</v>
      </c>
      <c r="AC2111" s="15">
        <v>29.55</v>
      </c>
      <c r="AD2111" s="15">
        <f>AC2111*AG2111</f>
        <v>59.1</v>
      </c>
      <c r="AE2111" s="15">
        <v>65</v>
      </c>
      <c r="AF2111" s="15">
        <f>AE2111*AG2111</f>
        <v>130</v>
      </c>
      <c r="AG2111" s="16">
        <v>2</v>
      </c>
    </row>
    <row r="2112" spans="1:33" ht="15" customHeight="1" x14ac:dyDescent="0.2">
      <c r="A2112" s="11" t="str">
        <f>HYPERLINK("https://assets.vans.eu/images/VN000M3GJDU-HERO/1","VN000M3GJDU1")</f>
        <v>VN000M3GJDU1</v>
      </c>
      <c r="B2112" s="12" t="s">
        <v>7996</v>
      </c>
      <c r="C2112" s="12" t="s">
        <v>813</v>
      </c>
      <c r="D2112" s="12" t="s">
        <v>814</v>
      </c>
      <c r="E2112" s="12" t="s">
        <v>7997</v>
      </c>
      <c r="F2112" s="12" t="s">
        <v>621</v>
      </c>
      <c r="G2112" s="14"/>
      <c r="H2112" s="12" t="s">
        <v>61</v>
      </c>
      <c r="I2112" s="12" t="s">
        <v>230</v>
      </c>
      <c r="J2112" s="12" t="s">
        <v>557</v>
      </c>
      <c r="K2112" s="12" t="s">
        <v>199</v>
      </c>
      <c r="L2112" s="14"/>
      <c r="M2112" s="12" t="s">
        <v>43</v>
      </c>
      <c r="N2112" s="12" t="s">
        <v>44</v>
      </c>
      <c r="O2112" s="12" t="s">
        <v>7998</v>
      </c>
      <c r="P2112" s="12" t="s">
        <v>66</v>
      </c>
      <c r="Q2112" s="12" t="s">
        <v>559</v>
      </c>
      <c r="R2112" s="12" t="s">
        <v>560</v>
      </c>
      <c r="S2112" s="13">
        <v>197643538233</v>
      </c>
      <c r="T2112" s="12" t="s">
        <v>49</v>
      </c>
      <c r="U2112" s="12" t="s">
        <v>621</v>
      </c>
      <c r="V2112" s="12" t="s">
        <v>90</v>
      </c>
      <c r="W2112" s="12" t="s">
        <v>284</v>
      </c>
      <c r="X2112" s="13">
        <v>0</v>
      </c>
      <c r="Y2112" s="12" t="s">
        <v>53</v>
      </c>
      <c r="Z2112" s="12" t="s">
        <v>108</v>
      </c>
      <c r="AA2112" s="13">
        <v>0</v>
      </c>
      <c r="AB2112" s="13">
        <v>0</v>
      </c>
      <c r="AC2112" s="15">
        <v>27.3</v>
      </c>
      <c r="AD2112" s="15">
        <f>AC2112*AG2112</f>
        <v>54.6</v>
      </c>
      <c r="AE2112" s="15">
        <v>60</v>
      </c>
      <c r="AF2112" s="15">
        <f>AE2112*AG2112</f>
        <v>120</v>
      </c>
      <c r="AG2112" s="16">
        <v>2</v>
      </c>
    </row>
    <row r="2113" spans="1:33" ht="15" customHeight="1" x14ac:dyDescent="0.2">
      <c r="A2113" s="11" t="str">
        <f t="shared" ref="A2113:A3136" si="873">HYPERLINK("https://assets.vans.eu/images/VN000M3VBLK-HERO/1","VN000M3VBLK1")</f>
        <v>VN000M3VBLK1</v>
      </c>
      <c r="B2113" s="12" t="s">
        <v>7999</v>
      </c>
      <c r="C2113" s="12" t="s">
        <v>8000</v>
      </c>
      <c r="D2113" s="12" t="s">
        <v>76</v>
      </c>
      <c r="E2113" s="12" t="s">
        <v>8001</v>
      </c>
      <c r="F2113" s="12" t="s">
        <v>403</v>
      </c>
      <c r="G2113" s="14"/>
      <c r="H2113" s="12" t="s">
        <v>61</v>
      </c>
      <c r="I2113" s="12" t="s">
        <v>230</v>
      </c>
      <c r="J2113" s="12" t="s">
        <v>419</v>
      </c>
      <c r="K2113" s="12" t="s">
        <v>199</v>
      </c>
      <c r="L2113" s="14"/>
      <c r="M2113" s="12" t="s">
        <v>43</v>
      </c>
      <c r="N2113" s="12" t="s">
        <v>44</v>
      </c>
      <c r="O2113" s="12" t="s">
        <v>8002</v>
      </c>
      <c r="P2113" s="12" t="s">
        <v>66</v>
      </c>
      <c r="Q2113" s="12" t="s">
        <v>67</v>
      </c>
      <c r="R2113" s="12" t="s">
        <v>421</v>
      </c>
      <c r="S2113" s="13">
        <v>197643413516</v>
      </c>
      <c r="T2113" s="12" t="s">
        <v>499</v>
      </c>
      <c r="U2113" s="12" t="s">
        <v>403</v>
      </c>
      <c r="V2113" s="12" t="s">
        <v>70</v>
      </c>
      <c r="W2113" s="12" t="s">
        <v>51</v>
      </c>
      <c r="X2113" s="13">
        <v>0</v>
      </c>
      <c r="Y2113" s="12" t="s">
        <v>91</v>
      </c>
      <c r="Z2113" s="12" t="s">
        <v>108</v>
      </c>
      <c r="AA2113" s="13">
        <v>0</v>
      </c>
      <c r="AB2113" s="13">
        <v>0</v>
      </c>
      <c r="AC2113" s="15">
        <v>17.3</v>
      </c>
      <c r="AD2113" s="15">
        <f>AC2113*AG2113</f>
        <v>34.6</v>
      </c>
      <c r="AE2113" s="15">
        <v>38</v>
      </c>
      <c r="AF2113" s="15">
        <f>AE2113*AG2113</f>
        <v>76</v>
      </c>
      <c r="AG2113" s="16">
        <v>2</v>
      </c>
    </row>
    <row r="2114" spans="1:33" ht="15" customHeight="1" x14ac:dyDescent="0.2">
      <c r="A2114" s="11" t="str">
        <f t="shared" si="683"/>
        <v>VN000M4W4SS1</v>
      </c>
      <c r="B2114" s="12" t="s">
        <v>8003</v>
      </c>
      <c r="C2114" s="12" t="s">
        <v>6419</v>
      </c>
      <c r="D2114" s="12" t="s">
        <v>6420</v>
      </c>
      <c r="E2114" s="12" t="s">
        <v>8004</v>
      </c>
      <c r="F2114" s="12" t="s">
        <v>621</v>
      </c>
      <c r="G2114" s="14"/>
      <c r="H2114" s="12" t="s">
        <v>61</v>
      </c>
      <c r="I2114" s="12" t="s">
        <v>6422</v>
      </c>
      <c r="J2114" s="12" t="s">
        <v>6423</v>
      </c>
      <c r="K2114" s="12" t="s">
        <v>199</v>
      </c>
      <c r="L2114" s="12" t="s">
        <v>872</v>
      </c>
      <c r="M2114" s="12" t="s">
        <v>43</v>
      </c>
      <c r="N2114" s="12" t="s">
        <v>6424</v>
      </c>
      <c r="O2114" s="12" t="s">
        <v>8005</v>
      </c>
      <c r="P2114" s="12" t="s">
        <v>66</v>
      </c>
      <c r="Q2114" s="12" t="s">
        <v>233</v>
      </c>
      <c r="R2114" s="12" t="s">
        <v>361</v>
      </c>
      <c r="S2114" s="13">
        <v>885928415019</v>
      </c>
      <c r="T2114" s="12" t="s">
        <v>130</v>
      </c>
      <c r="U2114" s="12" t="s">
        <v>621</v>
      </c>
      <c r="V2114" s="13">
        <v>0</v>
      </c>
      <c r="W2114" s="12" t="s">
        <v>51</v>
      </c>
      <c r="X2114" s="14"/>
      <c r="Y2114" s="14"/>
      <c r="Z2114" s="14"/>
      <c r="AA2114" s="14"/>
      <c r="AB2114" s="14"/>
      <c r="AC2114" s="15">
        <v>93.35</v>
      </c>
      <c r="AD2114" s="15">
        <f>AC2114*AG2114</f>
        <v>186.7</v>
      </c>
      <c r="AE2114" s="15">
        <v>210</v>
      </c>
      <c r="AF2114" s="15">
        <f>AE2114*AG2114</f>
        <v>420</v>
      </c>
      <c r="AG2114" s="16">
        <v>2</v>
      </c>
    </row>
    <row r="2115" spans="1:33" ht="15" customHeight="1" x14ac:dyDescent="0.2">
      <c r="A2115" s="11" t="str">
        <f t="shared" si="558"/>
        <v>VN000M5FCLH1</v>
      </c>
      <c r="B2115" s="12" t="s">
        <v>8006</v>
      </c>
      <c r="C2115" s="12" t="s">
        <v>5278</v>
      </c>
      <c r="D2115" s="12" t="s">
        <v>838</v>
      </c>
      <c r="E2115" s="12" t="s">
        <v>8007</v>
      </c>
      <c r="F2115" s="12" t="s">
        <v>60</v>
      </c>
      <c r="G2115" s="14"/>
      <c r="H2115" s="12" t="s">
        <v>61</v>
      </c>
      <c r="I2115" s="12" t="s">
        <v>230</v>
      </c>
      <c r="J2115" s="12" t="s">
        <v>419</v>
      </c>
      <c r="K2115" s="12" t="s">
        <v>199</v>
      </c>
      <c r="L2115" s="14"/>
      <c r="M2115" s="12" t="s">
        <v>43</v>
      </c>
      <c r="N2115" s="12" t="s">
        <v>44</v>
      </c>
      <c r="O2115" s="12" t="s">
        <v>8008</v>
      </c>
      <c r="P2115" s="12" t="s">
        <v>66</v>
      </c>
      <c r="Q2115" s="12" t="s">
        <v>67</v>
      </c>
      <c r="R2115" s="12" t="s">
        <v>421</v>
      </c>
      <c r="S2115" s="13">
        <v>197643416517</v>
      </c>
      <c r="T2115" s="12" t="s">
        <v>422</v>
      </c>
      <c r="U2115" s="12" t="s">
        <v>60</v>
      </c>
      <c r="V2115" s="12" t="s">
        <v>70</v>
      </c>
      <c r="W2115" s="12" t="s">
        <v>118</v>
      </c>
      <c r="X2115" s="13">
        <v>0</v>
      </c>
      <c r="Y2115" s="12" t="s">
        <v>91</v>
      </c>
      <c r="Z2115" s="12" t="s">
        <v>108</v>
      </c>
      <c r="AA2115" s="13">
        <v>0</v>
      </c>
      <c r="AB2115" s="13">
        <v>0</v>
      </c>
      <c r="AC2115" s="15">
        <v>17.3</v>
      </c>
      <c r="AD2115" s="15">
        <f>AC2115*AG2115</f>
        <v>34.6</v>
      </c>
      <c r="AE2115" s="15">
        <v>38</v>
      </c>
      <c r="AF2115" s="15">
        <f>AE2115*AG2115</f>
        <v>76</v>
      </c>
      <c r="AG2115" s="16">
        <v>2</v>
      </c>
    </row>
    <row r="2116" spans="1:33" ht="15" customHeight="1" x14ac:dyDescent="0.2">
      <c r="A2116" s="11" t="str">
        <f t="shared" si="430"/>
        <v>VN000M6ZZBF1</v>
      </c>
      <c r="B2116" s="12" t="s">
        <v>8009</v>
      </c>
      <c r="C2116" s="12" t="s">
        <v>679</v>
      </c>
      <c r="D2116" s="12" t="s">
        <v>680</v>
      </c>
      <c r="E2116" s="12" t="s">
        <v>8010</v>
      </c>
      <c r="F2116" s="12" t="s">
        <v>621</v>
      </c>
      <c r="G2116" s="14"/>
      <c r="H2116" s="12" t="s">
        <v>61</v>
      </c>
      <c r="I2116" s="12" t="s">
        <v>289</v>
      </c>
      <c r="J2116" s="12" t="s">
        <v>290</v>
      </c>
      <c r="K2116" s="12" t="s">
        <v>100</v>
      </c>
      <c r="L2116" s="14"/>
      <c r="M2116" s="12" t="s">
        <v>43</v>
      </c>
      <c r="N2116" s="12" t="s">
        <v>44</v>
      </c>
      <c r="O2116" s="12" t="s">
        <v>8011</v>
      </c>
      <c r="P2116" s="12" t="s">
        <v>66</v>
      </c>
      <c r="Q2116" s="12" t="s">
        <v>233</v>
      </c>
      <c r="R2116" s="12" t="s">
        <v>664</v>
      </c>
      <c r="S2116" s="13">
        <v>197643361442</v>
      </c>
      <c r="T2116" s="12" t="s">
        <v>235</v>
      </c>
      <c r="U2116" s="12" t="s">
        <v>621</v>
      </c>
      <c r="V2116" s="12" t="s">
        <v>683</v>
      </c>
      <c r="W2116" s="12" t="s">
        <v>118</v>
      </c>
      <c r="X2116" s="13">
        <v>0</v>
      </c>
      <c r="Y2116" s="12" t="s">
        <v>91</v>
      </c>
      <c r="Z2116" s="12" t="s">
        <v>108</v>
      </c>
      <c r="AA2116" s="13">
        <v>0</v>
      </c>
      <c r="AB2116" s="13">
        <v>0</v>
      </c>
      <c r="AC2116" s="15">
        <v>38.65</v>
      </c>
      <c r="AD2116" s="15">
        <f>AC2116*AG2116</f>
        <v>77.3</v>
      </c>
      <c r="AE2116" s="15">
        <v>85</v>
      </c>
      <c r="AF2116" s="15">
        <f>AE2116*AG2116</f>
        <v>170</v>
      </c>
      <c r="AG2116" s="16">
        <v>2</v>
      </c>
    </row>
    <row r="2117" spans="1:33" ht="15" customHeight="1" x14ac:dyDescent="0.2">
      <c r="A2117" s="11" t="str">
        <f t="shared" ref="A2117:A3150" si="874">HYPERLINK("https://assets.vans.eu/images/VN000M8EBL2-HERO/1","VN000M8EBL21")</f>
        <v>VN000M8EBL21</v>
      </c>
      <c r="B2117" s="12" t="s">
        <v>8012</v>
      </c>
      <c r="C2117" s="12" t="s">
        <v>685</v>
      </c>
      <c r="D2117" s="12" t="s">
        <v>686</v>
      </c>
      <c r="E2117" s="12" t="s">
        <v>8013</v>
      </c>
      <c r="F2117" s="13">
        <v>36</v>
      </c>
      <c r="G2117" s="14"/>
      <c r="H2117" s="12" t="s">
        <v>61</v>
      </c>
      <c r="I2117" s="12" t="s">
        <v>230</v>
      </c>
      <c r="J2117" s="12" t="s">
        <v>557</v>
      </c>
      <c r="K2117" s="12" t="s">
        <v>199</v>
      </c>
      <c r="L2117" s="14"/>
      <c r="M2117" s="12" t="s">
        <v>43</v>
      </c>
      <c r="N2117" s="12" t="s">
        <v>44</v>
      </c>
      <c r="O2117" s="12" t="s">
        <v>8014</v>
      </c>
      <c r="P2117" s="12" t="s">
        <v>66</v>
      </c>
      <c r="Q2117" s="12" t="s">
        <v>559</v>
      </c>
      <c r="R2117" s="12" t="s">
        <v>560</v>
      </c>
      <c r="S2117" s="13">
        <v>197643538950</v>
      </c>
      <c r="T2117" s="12" t="s">
        <v>49</v>
      </c>
      <c r="U2117" s="13">
        <v>36</v>
      </c>
      <c r="V2117" s="12" t="s">
        <v>689</v>
      </c>
      <c r="W2117" s="12" t="s">
        <v>186</v>
      </c>
      <c r="X2117" s="13">
        <v>0</v>
      </c>
      <c r="Y2117" s="12" t="s">
        <v>53</v>
      </c>
      <c r="Z2117" s="12" t="s">
        <v>108</v>
      </c>
      <c r="AA2117" s="13">
        <v>0</v>
      </c>
      <c r="AB2117" s="13">
        <v>0</v>
      </c>
      <c r="AC2117" s="15">
        <v>29.55</v>
      </c>
      <c r="AD2117" s="15">
        <f>AC2117*AG2117</f>
        <v>59.1</v>
      </c>
      <c r="AE2117" s="15">
        <v>65</v>
      </c>
      <c r="AF2117" s="15">
        <f>AE2117*AG2117</f>
        <v>130</v>
      </c>
      <c r="AG2117" s="16">
        <v>2</v>
      </c>
    </row>
    <row r="2118" spans="1:33" ht="15" customHeight="1" x14ac:dyDescent="0.2">
      <c r="A2118" s="11" t="str">
        <f t="shared" ref="A2118:A2119" si="875">HYPERLINK("https://assets.vans.eu/images/VN000M8G1O7-HERO/1","VN000M8G1O71")</f>
        <v>VN000M8G1O71</v>
      </c>
      <c r="B2118" s="12" t="s">
        <v>8015</v>
      </c>
      <c r="C2118" s="12" t="s">
        <v>5303</v>
      </c>
      <c r="D2118" s="12" t="s">
        <v>637</v>
      </c>
      <c r="E2118" s="12" t="s">
        <v>8016</v>
      </c>
      <c r="F2118" s="13">
        <v>30</v>
      </c>
      <c r="G2118" s="14"/>
      <c r="H2118" s="12" t="s">
        <v>61</v>
      </c>
      <c r="I2118" s="12" t="s">
        <v>230</v>
      </c>
      <c r="J2118" s="12" t="s">
        <v>557</v>
      </c>
      <c r="K2118" s="12" t="s">
        <v>199</v>
      </c>
      <c r="L2118" s="14"/>
      <c r="M2118" s="12" t="s">
        <v>43</v>
      </c>
      <c r="N2118" s="12" t="s">
        <v>44</v>
      </c>
      <c r="O2118" s="12" t="s">
        <v>8017</v>
      </c>
      <c r="P2118" s="12" t="s">
        <v>66</v>
      </c>
      <c r="Q2118" s="12" t="s">
        <v>559</v>
      </c>
      <c r="R2118" s="12" t="s">
        <v>560</v>
      </c>
      <c r="S2118" s="13">
        <v>197643566175</v>
      </c>
      <c r="T2118" s="12" t="s">
        <v>49</v>
      </c>
      <c r="U2118" s="13">
        <v>30</v>
      </c>
      <c r="V2118" s="12" t="s">
        <v>5306</v>
      </c>
      <c r="W2118" s="12" t="s">
        <v>455</v>
      </c>
      <c r="X2118" s="13">
        <v>0</v>
      </c>
      <c r="Y2118" s="12" t="s">
        <v>91</v>
      </c>
      <c r="Z2118" s="12" t="s">
        <v>108</v>
      </c>
      <c r="AA2118" s="13">
        <v>0</v>
      </c>
      <c r="AB2118" s="13">
        <v>0</v>
      </c>
      <c r="AC2118" s="15">
        <v>29.55</v>
      </c>
      <c r="AD2118" s="15">
        <f>AC2118*AG2118</f>
        <v>59.1</v>
      </c>
      <c r="AE2118" s="15">
        <v>65</v>
      </c>
      <c r="AF2118" s="15">
        <f>AE2118*AG2118</f>
        <v>130</v>
      </c>
      <c r="AG2118" s="16">
        <v>2</v>
      </c>
    </row>
    <row r="2119" spans="1:33" ht="15" customHeight="1" x14ac:dyDescent="0.2">
      <c r="A2119" s="11" t="str">
        <f t="shared" si="875"/>
        <v>VN000M8G1O71</v>
      </c>
      <c r="B2119" s="12" t="s">
        <v>8018</v>
      </c>
      <c r="C2119" s="12" t="s">
        <v>5303</v>
      </c>
      <c r="D2119" s="12" t="s">
        <v>637</v>
      </c>
      <c r="E2119" s="12" t="s">
        <v>8019</v>
      </c>
      <c r="F2119" s="13">
        <v>33</v>
      </c>
      <c r="G2119" s="14"/>
      <c r="H2119" s="12" t="s">
        <v>61</v>
      </c>
      <c r="I2119" s="12" t="s">
        <v>230</v>
      </c>
      <c r="J2119" s="12" t="s">
        <v>557</v>
      </c>
      <c r="K2119" s="12" t="s">
        <v>199</v>
      </c>
      <c r="L2119" s="14"/>
      <c r="M2119" s="12" t="s">
        <v>43</v>
      </c>
      <c r="N2119" s="12" t="s">
        <v>44</v>
      </c>
      <c r="O2119" s="12" t="s">
        <v>8020</v>
      </c>
      <c r="P2119" s="12" t="s">
        <v>66</v>
      </c>
      <c r="Q2119" s="12" t="s">
        <v>559</v>
      </c>
      <c r="R2119" s="12" t="s">
        <v>560</v>
      </c>
      <c r="S2119" s="13">
        <v>197643566670</v>
      </c>
      <c r="T2119" s="12" t="s">
        <v>49</v>
      </c>
      <c r="U2119" s="13">
        <v>33</v>
      </c>
      <c r="V2119" s="12" t="s">
        <v>5306</v>
      </c>
      <c r="W2119" s="12" t="s">
        <v>455</v>
      </c>
      <c r="X2119" s="13">
        <v>0</v>
      </c>
      <c r="Y2119" s="12" t="s">
        <v>91</v>
      </c>
      <c r="Z2119" s="12" t="s">
        <v>108</v>
      </c>
      <c r="AA2119" s="13">
        <v>0</v>
      </c>
      <c r="AB2119" s="13">
        <v>0</v>
      </c>
      <c r="AC2119" s="15">
        <v>29.55</v>
      </c>
      <c r="AD2119" s="15">
        <f>AC2119*AG2119</f>
        <v>59.1</v>
      </c>
      <c r="AE2119" s="15">
        <v>65</v>
      </c>
      <c r="AF2119" s="15">
        <f>AE2119*AG2119</f>
        <v>130</v>
      </c>
      <c r="AG2119" s="16">
        <v>2</v>
      </c>
    </row>
    <row r="2120" spans="1:33" ht="15" customHeight="1" x14ac:dyDescent="0.2">
      <c r="A2120" s="11" t="str">
        <f>HYPERLINK("https://assets.vans.eu/images/VN000M8HZBF-HERO/1","VN000M8HZBF1")</f>
        <v>VN000M8HZBF1</v>
      </c>
      <c r="B2120" s="12" t="s">
        <v>8021</v>
      </c>
      <c r="C2120" s="12" t="s">
        <v>4602</v>
      </c>
      <c r="D2120" s="12" t="s">
        <v>680</v>
      </c>
      <c r="E2120" s="12" t="s">
        <v>8022</v>
      </c>
      <c r="F2120" s="13">
        <v>34</v>
      </c>
      <c r="G2120" s="14"/>
      <c r="H2120" s="12" t="s">
        <v>61</v>
      </c>
      <c r="I2120" s="12" t="s">
        <v>230</v>
      </c>
      <c r="J2120" s="12" t="s">
        <v>557</v>
      </c>
      <c r="K2120" s="12" t="s">
        <v>199</v>
      </c>
      <c r="L2120" s="14"/>
      <c r="M2120" s="12" t="s">
        <v>43</v>
      </c>
      <c r="N2120" s="12" t="s">
        <v>44</v>
      </c>
      <c r="O2120" s="12" t="s">
        <v>8023</v>
      </c>
      <c r="P2120" s="12" t="s">
        <v>66</v>
      </c>
      <c r="Q2120" s="12" t="s">
        <v>559</v>
      </c>
      <c r="R2120" s="12" t="s">
        <v>560</v>
      </c>
      <c r="S2120" s="13">
        <v>197643539216</v>
      </c>
      <c r="T2120" s="12" t="s">
        <v>49</v>
      </c>
      <c r="U2120" s="13">
        <v>34</v>
      </c>
      <c r="V2120" s="12" t="s">
        <v>8024</v>
      </c>
      <c r="W2120" s="12" t="s">
        <v>118</v>
      </c>
      <c r="X2120" s="13">
        <v>0</v>
      </c>
      <c r="Y2120" s="12" t="s">
        <v>91</v>
      </c>
      <c r="Z2120" s="12" t="s">
        <v>108</v>
      </c>
      <c r="AA2120" s="13">
        <v>0</v>
      </c>
      <c r="AB2120" s="13">
        <v>0</v>
      </c>
      <c r="AC2120" s="15">
        <v>31.85</v>
      </c>
      <c r="AD2120" s="15">
        <f>AC2120*AG2120</f>
        <v>63.7</v>
      </c>
      <c r="AE2120" s="15">
        <v>70</v>
      </c>
      <c r="AF2120" s="15">
        <f>AE2120*AG2120</f>
        <v>140</v>
      </c>
      <c r="AG2120" s="16">
        <v>2</v>
      </c>
    </row>
    <row r="2121" spans="1:33" ht="15" customHeight="1" x14ac:dyDescent="0.2">
      <c r="A2121" s="11" t="str">
        <f t="shared" si="685"/>
        <v>VN000M8JY281</v>
      </c>
      <c r="B2121" s="12" t="s">
        <v>8025</v>
      </c>
      <c r="C2121" s="12" t="s">
        <v>4602</v>
      </c>
      <c r="D2121" s="12" t="s">
        <v>58</v>
      </c>
      <c r="E2121" s="12" t="s">
        <v>8026</v>
      </c>
      <c r="F2121" s="13">
        <v>36</v>
      </c>
      <c r="G2121" s="14"/>
      <c r="H2121" s="12" t="s">
        <v>61</v>
      </c>
      <c r="I2121" s="12" t="s">
        <v>230</v>
      </c>
      <c r="J2121" s="12" t="s">
        <v>557</v>
      </c>
      <c r="K2121" s="12" t="s">
        <v>199</v>
      </c>
      <c r="L2121" s="14"/>
      <c r="M2121" s="12" t="s">
        <v>43</v>
      </c>
      <c r="N2121" s="12" t="s">
        <v>44</v>
      </c>
      <c r="O2121" s="12" t="s">
        <v>8027</v>
      </c>
      <c r="P2121" s="12" t="s">
        <v>66</v>
      </c>
      <c r="Q2121" s="12" t="s">
        <v>559</v>
      </c>
      <c r="R2121" s="12" t="s">
        <v>560</v>
      </c>
      <c r="S2121" s="13">
        <v>197643539384</v>
      </c>
      <c r="T2121" s="12" t="s">
        <v>49</v>
      </c>
      <c r="U2121" s="13">
        <v>36</v>
      </c>
      <c r="V2121" s="12" t="s">
        <v>4605</v>
      </c>
      <c r="W2121" s="12" t="s">
        <v>51</v>
      </c>
      <c r="X2121" s="13">
        <v>0</v>
      </c>
      <c r="Y2121" s="12" t="s">
        <v>53</v>
      </c>
      <c r="Z2121" s="12" t="s">
        <v>108</v>
      </c>
      <c r="AA2121" s="13">
        <v>0</v>
      </c>
      <c r="AB2121" s="13">
        <v>0</v>
      </c>
      <c r="AC2121" s="15">
        <v>34.1</v>
      </c>
      <c r="AD2121" s="15">
        <f>AC2121*AG2121</f>
        <v>68.2</v>
      </c>
      <c r="AE2121" s="15">
        <v>75</v>
      </c>
      <c r="AF2121" s="15">
        <f>AE2121*AG2121</f>
        <v>150</v>
      </c>
      <c r="AG2121" s="16">
        <v>2</v>
      </c>
    </row>
    <row r="2122" spans="1:33" ht="15" customHeight="1" x14ac:dyDescent="0.2">
      <c r="A2122" s="11" t="str">
        <f t="shared" si="561"/>
        <v>VN000M8UBLK1</v>
      </c>
      <c r="B2122" s="12" t="s">
        <v>8028</v>
      </c>
      <c r="C2122" s="12" t="s">
        <v>5311</v>
      </c>
      <c r="D2122" s="12" t="s">
        <v>76</v>
      </c>
      <c r="E2122" s="12" t="s">
        <v>8029</v>
      </c>
      <c r="F2122" s="12" t="s">
        <v>170</v>
      </c>
      <c r="G2122" s="14"/>
      <c r="H2122" s="12" t="s">
        <v>61</v>
      </c>
      <c r="I2122" s="12" t="s">
        <v>289</v>
      </c>
      <c r="J2122" s="12" t="s">
        <v>706</v>
      </c>
      <c r="K2122" s="12" t="s">
        <v>100</v>
      </c>
      <c r="L2122" s="14"/>
      <c r="M2122" s="12" t="s">
        <v>43</v>
      </c>
      <c r="N2122" s="12" t="s">
        <v>44</v>
      </c>
      <c r="O2122" s="12" t="s">
        <v>8030</v>
      </c>
      <c r="P2122" s="12" t="s">
        <v>66</v>
      </c>
      <c r="Q2122" s="12" t="s">
        <v>67</v>
      </c>
      <c r="R2122" s="12" t="s">
        <v>1200</v>
      </c>
      <c r="S2122" s="13">
        <v>197643362050</v>
      </c>
      <c r="T2122" s="12" t="s">
        <v>49</v>
      </c>
      <c r="U2122" s="12" t="s">
        <v>170</v>
      </c>
      <c r="V2122" s="12" t="s">
        <v>665</v>
      </c>
      <c r="W2122" s="12" t="s">
        <v>51</v>
      </c>
      <c r="X2122" s="13">
        <v>0</v>
      </c>
      <c r="Y2122" s="12" t="s">
        <v>53</v>
      </c>
      <c r="Z2122" s="12" t="s">
        <v>108</v>
      </c>
      <c r="AA2122" s="13">
        <v>0</v>
      </c>
      <c r="AB2122" s="13">
        <v>0</v>
      </c>
      <c r="AC2122" s="15">
        <v>10.95</v>
      </c>
      <c r="AD2122" s="15">
        <f>AC2122*AG2122</f>
        <v>21.9</v>
      </c>
      <c r="AE2122" s="15">
        <v>24</v>
      </c>
      <c r="AF2122" s="15">
        <f>AE2122*AG2122</f>
        <v>48</v>
      </c>
      <c r="AG2122" s="16">
        <v>2</v>
      </c>
    </row>
    <row r="2123" spans="1:33" ht="15" customHeight="1" x14ac:dyDescent="0.2">
      <c r="A2123" s="11" t="str">
        <f t="shared" ref="A2123:A3162" si="876">HYPERLINK("https://assets.vans.eu/images/VN000M8UBLK-HERO/1","VN000M8UBLK1")</f>
        <v>VN000M8UBLK1</v>
      </c>
      <c r="B2123" s="12" t="s">
        <v>8031</v>
      </c>
      <c r="C2123" s="12" t="s">
        <v>5311</v>
      </c>
      <c r="D2123" s="12" t="s">
        <v>76</v>
      </c>
      <c r="E2123" s="12" t="s">
        <v>8032</v>
      </c>
      <c r="F2123" s="12" t="s">
        <v>153</v>
      </c>
      <c r="G2123" s="14"/>
      <c r="H2123" s="12" t="s">
        <v>61</v>
      </c>
      <c r="I2123" s="12" t="s">
        <v>289</v>
      </c>
      <c r="J2123" s="12" t="s">
        <v>706</v>
      </c>
      <c r="K2123" s="12" t="s">
        <v>100</v>
      </c>
      <c r="L2123" s="14"/>
      <c r="M2123" s="12" t="s">
        <v>43</v>
      </c>
      <c r="N2123" s="12" t="s">
        <v>44</v>
      </c>
      <c r="O2123" s="12" t="s">
        <v>8033</v>
      </c>
      <c r="P2123" s="12" t="s">
        <v>66</v>
      </c>
      <c r="Q2123" s="12" t="s">
        <v>67</v>
      </c>
      <c r="R2123" s="12" t="s">
        <v>1200</v>
      </c>
      <c r="S2123" s="13">
        <v>197643362371</v>
      </c>
      <c r="T2123" s="12" t="s">
        <v>49</v>
      </c>
      <c r="U2123" s="12" t="s">
        <v>153</v>
      </c>
      <c r="V2123" s="12" t="s">
        <v>665</v>
      </c>
      <c r="W2123" s="12" t="s">
        <v>51</v>
      </c>
      <c r="X2123" s="13">
        <v>0</v>
      </c>
      <c r="Y2123" s="12" t="s">
        <v>53</v>
      </c>
      <c r="Z2123" s="12" t="s">
        <v>108</v>
      </c>
      <c r="AA2123" s="13">
        <v>0</v>
      </c>
      <c r="AB2123" s="13">
        <v>0</v>
      </c>
      <c r="AC2123" s="15">
        <v>10.95</v>
      </c>
      <c r="AD2123" s="15">
        <f>AC2123*AG2123</f>
        <v>21.9</v>
      </c>
      <c r="AE2123" s="15">
        <v>24</v>
      </c>
      <c r="AF2123" s="15">
        <f>AE2123*AG2123</f>
        <v>48</v>
      </c>
      <c r="AG2123" s="16">
        <v>2</v>
      </c>
    </row>
    <row r="2124" spans="1:33" ht="15" customHeight="1" x14ac:dyDescent="0.2">
      <c r="A2124" s="11" t="str">
        <f>HYPERLINK("https://assets.vans.eu/images/VN000M8UWHT-HERO/1","VN000M8UWHT1")</f>
        <v>VN000M8UWHT1</v>
      </c>
      <c r="B2124" s="12" t="s">
        <v>8034</v>
      </c>
      <c r="C2124" s="12" t="s">
        <v>5311</v>
      </c>
      <c r="D2124" s="12" t="s">
        <v>168</v>
      </c>
      <c r="E2124" s="12" t="s">
        <v>8035</v>
      </c>
      <c r="F2124" s="12" t="s">
        <v>60</v>
      </c>
      <c r="G2124" s="14"/>
      <c r="H2124" s="12" t="s">
        <v>61</v>
      </c>
      <c r="I2124" s="12" t="s">
        <v>289</v>
      </c>
      <c r="J2124" s="12" t="s">
        <v>706</v>
      </c>
      <c r="K2124" s="12" t="s">
        <v>100</v>
      </c>
      <c r="L2124" s="14"/>
      <c r="M2124" s="12" t="s">
        <v>43</v>
      </c>
      <c r="N2124" s="12" t="s">
        <v>44</v>
      </c>
      <c r="O2124" s="12" t="s">
        <v>8036</v>
      </c>
      <c r="P2124" s="12" t="s">
        <v>66</v>
      </c>
      <c r="Q2124" s="12" t="s">
        <v>67</v>
      </c>
      <c r="R2124" s="12" t="s">
        <v>1200</v>
      </c>
      <c r="S2124" s="13">
        <v>197643362357</v>
      </c>
      <c r="T2124" s="12" t="s">
        <v>49</v>
      </c>
      <c r="U2124" s="12" t="s">
        <v>60</v>
      </c>
      <c r="V2124" s="12" t="s">
        <v>665</v>
      </c>
      <c r="W2124" s="12" t="s">
        <v>175</v>
      </c>
      <c r="X2124" s="13">
        <v>0</v>
      </c>
      <c r="Y2124" s="12" t="s">
        <v>53</v>
      </c>
      <c r="Z2124" s="12" t="s">
        <v>108</v>
      </c>
      <c r="AA2124" s="13">
        <v>0</v>
      </c>
      <c r="AB2124" s="13">
        <v>0</v>
      </c>
      <c r="AC2124" s="15">
        <v>10.95</v>
      </c>
      <c r="AD2124" s="15">
        <f>AC2124*AG2124</f>
        <v>21.9</v>
      </c>
      <c r="AE2124" s="15">
        <v>24</v>
      </c>
      <c r="AF2124" s="15">
        <f>AE2124*AG2124</f>
        <v>48</v>
      </c>
      <c r="AG2124" s="16">
        <v>2</v>
      </c>
    </row>
    <row r="2125" spans="1:33" ht="15" customHeight="1" x14ac:dyDescent="0.2">
      <c r="A2125" s="11" t="str">
        <f t="shared" si="317"/>
        <v>VN000M99CFL1</v>
      </c>
      <c r="B2125" s="12" t="s">
        <v>8037</v>
      </c>
      <c r="C2125" s="12" t="s">
        <v>3105</v>
      </c>
      <c r="D2125" s="12" t="s">
        <v>1258</v>
      </c>
      <c r="E2125" s="12" t="s">
        <v>8038</v>
      </c>
      <c r="F2125" s="12" t="s">
        <v>138</v>
      </c>
      <c r="G2125" s="14"/>
      <c r="H2125" s="12" t="s">
        <v>61</v>
      </c>
      <c r="I2125" s="12" t="s">
        <v>289</v>
      </c>
      <c r="J2125" s="12" t="s">
        <v>706</v>
      </c>
      <c r="K2125" s="12" t="s">
        <v>100</v>
      </c>
      <c r="L2125" s="14"/>
      <c r="M2125" s="12" t="s">
        <v>43</v>
      </c>
      <c r="N2125" s="12" t="s">
        <v>44</v>
      </c>
      <c r="O2125" s="12" t="s">
        <v>8039</v>
      </c>
      <c r="P2125" s="12" t="s">
        <v>66</v>
      </c>
      <c r="Q2125" s="12" t="s">
        <v>67</v>
      </c>
      <c r="R2125" s="12" t="s">
        <v>1200</v>
      </c>
      <c r="S2125" s="13">
        <v>197643362890</v>
      </c>
      <c r="T2125" s="12" t="s">
        <v>49</v>
      </c>
      <c r="U2125" s="12" t="s">
        <v>138</v>
      </c>
      <c r="V2125" s="12" t="s">
        <v>1092</v>
      </c>
      <c r="W2125" s="12" t="s">
        <v>284</v>
      </c>
      <c r="X2125" s="13">
        <v>0</v>
      </c>
      <c r="Y2125" s="12" t="s">
        <v>91</v>
      </c>
      <c r="Z2125" s="12" t="s">
        <v>108</v>
      </c>
      <c r="AA2125" s="13">
        <v>0</v>
      </c>
      <c r="AB2125" s="13">
        <v>0</v>
      </c>
      <c r="AC2125" s="15">
        <v>25</v>
      </c>
      <c r="AD2125" s="15">
        <f>AC2125*AG2125</f>
        <v>50</v>
      </c>
      <c r="AE2125" s="15">
        <v>55</v>
      </c>
      <c r="AF2125" s="15">
        <f>AE2125*AG2125</f>
        <v>110</v>
      </c>
      <c r="AG2125" s="16">
        <v>2</v>
      </c>
    </row>
    <row r="2126" spans="1:33" ht="15" customHeight="1" x14ac:dyDescent="0.2">
      <c r="A2126" s="11" t="str">
        <f t="shared" si="562"/>
        <v>VN000M9DBLK1</v>
      </c>
      <c r="B2126" s="12" t="s">
        <v>8040</v>
      </c>
      <c r="C2126" s="12" t="s">
        <v>5315</v>
      </c>
      <c r="D2126" s="12" t="s">
        <v>76</v>
      </c>
      <c r="E2126" s="12" t="s">
        <v>8041</v>
      </c>
      <c r="F2126" s="12" t="s">
        <v>138</v>
      </c>
      <c r="G2126" s="14"/>
      <c r="H2126" s="12" t="s">
        <v>61</v>
      </c>
      <c r="I2126" s="12" t="s">
        <v>289</v>
      </c>
      <c r="J2126" s="12" t="s">
        <v>706</v>
      </c>
      <c r="K2126" s="12" t="s">
        <v>100</v>
      </c>
      <c r="L2126" s="14"/>
      <c r="M2126" s="12" t="s">
        <v>43</v>
      </c>
      <c r="N2126" s="12" t="s">
        <v>44</v>
      </c>
      <c r="O2126" s="12" t="s">
        <v>8042</v>
      </c>
      <c r="P2126" s="12" t="s">
        <v>66</v>
      </c>
      <c r="Q2126" s="12" t="s">
        <v>67</v>
      </c>
      <c r="R2126" s="12" t="s">
        <v>1200</v>
      </c>
      <c r="S2126" s="13">
        <v>197643363262</v>
      </c>
      <c r="T2126" s="12" t="s">
        <v>49</v>
      </c>
      <c r="U2126" s="12" t="s">
        <v>138</v>
      </c>
      <c r="V2126" s="12" t="s">
        <v>90</v>
      </c>
      <c r="W2126" s="12" t="s">
        <v>51</v>
      </c>
      <c r="X2126" s="13">
        <v>0</v>
      </c>
      <c r="Y2126" s="12" t="s">
        <v>53</v>
      </c>
      <c r="Z2126" s="12" t="s">
        <v>108</v>
      </c>
      <c r="AA2126" s="13">
        <v>0</v>
      </c>
      <c r="AB2126" s="13">
        <v>0</v>
      </c>
      <c r="AC2126" s="15">
        <v>31.85</v>
      </c>
      <c r="AD2126" s="15">
        <f>AC2126*AG2126</f>
        <v>63.7</v>
      </c>
      <c r="AE2126" s="15">
        <v>70</v>
      </c>
      <c r="AF2126" s="15">
        <f>AE2126*AG2126</f>
        <v>140</v>
      </c>
      <c r="AG2126" s="16">
        <v>2</v>
      </c>
    </row>
    <row r="2127" spans="1:33" ht="15" customHeight="1" x14ac:dyDescent="0.2">
      <c r="A2127" s="11" t="str">
        <f t="shared" si="688"/>
        <v>VN000M9MZUJ1</v>
      </c>
      <c r="B2127" s="12" t="s">
        <v>8043</v>
      </c>
      <c r="C2127" s="12" t="s">
        <v>5319</v>
      </c>
      <c r="D2127" s="12" t="s">
        <v>2899</v>
      </c>
      <c r="E2127" s="12" t="s">
        <v>8044</v>
      </c>
      <c r="F2127" s="12" t="s">
        <v>60</v>
      </c>
      <c r="G2127" s="14"/>
      <c r="H2127" s="12" t="s">
        <v>61</v>
      </c>
      <c r="I2127" s="12" t="s">
        <v>289</v>
      </c>
      <c r="J2127" s="12" t="s">
        <v>290</v>
      </c>
      <c r="K2127" s="12" t="s">
        <v>100</v>
      </c>
      <c r="L2127" s="14"/>
      <c r="M2127" s="12" t="s">
        <v>43</v>
      </c>
      <c r="N2127" s="12" t="s">
        <v>44</v>
      </c>
      <c r="O2127" s="12" t="s">
        <v>8045</v>
      </c>
      <c r="P2127" s="12" t="s">
        <v>66</v>
      </c>
      <c r="Q2127" s="12" t="s">
        <v>233</v>
      </c>
      <c r="R2127" s="12" t="s">
        <v>2073</v>
      </c>
      <c r="S2127" s="13">
        <v>197643363842</v>
      </c>
      <c r="T2127" s="12" t="s">
        <v>235</v>
      </c>
      <c r="U2127" s="12" t="s">
        <v>60</v>
      </c>
      <c r="V2127" s="12" t="s">
        <v>3746</v>
      </c>
      <c r="W2127" s="12" t="s">
        <v>598</v>
      </c>
      <c r="X2127" s="13">
        <v>0</v>
      </c>
      <c r="Y2127" s="12" t="s">
        <v>91</v>
      </c>
      <c r="Z2127" s="12" t="s">
        <v>108</v>
      </c>
      <c r="AA2127" s="13">
        <v>0</v>
      </c>
      <c r="AB2127" s="13">
        <v>0</v>
      </c>
      <c r="AC2127" s="15">
        <v>29.55</v>
      </c>
      <c r="AD2127" s="15">
        <f>AC2127*AG2127</f>
        <v>59.1</v>
      </c>
      <c r="AE2127" s="15">
        <v>65</v>
      </c>
      <c r="AF2127" s="15">
        <f>AE2127*AG2127</f>
        <v>130</v>
      </c>
      <c r="AG2127" s="16">
        <v>2</v>
      </c>
    </row>
    <row r="2128" spans="1:33" ht="15" customHeight="1" x14ac:dyDescent="0.2">
      <c r="A2128" s="11" t="str">
        <f>HYPERLINK("https://assets.vans.eu/images/VN000M9MZUJ-HERO/1","VN000M9MZUJ1")</f>
        <v>VN000M9MZUJ1</v>
      </c>
      <c r="B2128" s="12" t="s">
        <v>8046</v>
      </c>
      <c r="C2128" s="12" t="s">
        <v>5319</v>
      </c>
      <c r="D2128" s="12" t="s">
        <v>2899</v>
      </c>
      <c r="E2128" s="12" t="s">
        <v>8047</v>
      </c>
      <c r="F2128" s="12" t="s">
        <v>153</v>
      </c>
      <c r="G2128" s="14"/>
      <c r="H2128" s="12" t="s">
        <v>61</v>
      </c>
      <c r="I2128" s="12" t="s">
        <v>289</v>
      </c>
      <c r="J2128" s="12" t="s">
        <v>290</v>
      </c>
      <c r="K2128" s="12" t="s">
        <v>100</v>
      </c>
      <c r="L2128" s="14"/>
      <c r="M2128" s="12" t="s">
        <v>43</v>
      </c>
      <c r="N2128" s="12" t="s">
        <v>44</v>
      </c>
      <c r="O2128" s="12" t="s">
        <v>8048</v>
      </c>
      <c r="P2128" s="12" t="s">
        <v>66</v>
      </c>
      <c r="Q2128" s="12" t="s">
        <v>233</v>
      </c>
      <c r="R2128" s="12" t="s">
        <v>2073</v>
      </c>
      <c r="S2128" s="13">
        <v>197643364030</v>
      </c>
      <c r="T2128" s="12" t="s">
        <v>235</v>
      </c>
      <c r="U2128" s="12" t="s">
        <v>153</v>
      </c>
      <c r="V2128" s="12" t="s">
        <v>3746</v>
      </c>
      <c r="W2128" s="12" t="s">
        <v>598</v>
      </c>
      <c r="X2128" s="13">
        <v>0</v>
      </c>
      <c r="Y2128" s="12" t="s">
        <v>91</v>
      </c>
      <c r="Z2128" s="12" t="s">
        <v>108</v>
      </c>
      <c r="AA2128" s="13">
        <v>0</v>
      </c>
      <c r="AB2128" s="13">
        <v>0</v>
      </c>
      <c r="AC2128" s="15">
        <v>29.55</v>
      </c>
      <c r="AD2128" s="15">
        <f>AC2128*AG2128</f>
        <v>59.1</v>
      </c>
      <c r="AE2128" s="15">
        <v>65</v>
      </c>
      <c r="AF2128" s="15">
        <f>AE2128*AG2128</f>
        <v>130</v>
      </c>
      <c r="AG2128" s="16">
        <v>2</v>
      </c>
    </row>
    <row r="2129" spans="1:33" ht="15" customHeight="1" x14ac:dyDescent="0.2">
      <c r="A2129" s="11" t="str">
        <f>HYPERLINK("https://assets.vans.eu/images/VN000M9SBLK-HERO/1","VN000M9SBLK1")</f>
        <v>VN000M9SBLK1</v>
      </c>
      <c r="B2129" s="12" t="s">
        <v>8049</v>
      </c>
      <c r="C2129" s="12" t="s">
        <v>2222</v>
      </c>
      <c r="D2129" s="12" t="s">
        <v>76</v>
      </c>
      <c r="E2129" s="12" t="s">
        <v>8050</v>
      </c>
      <c r="F2129" s="12" t="s">
        <v>170</v>
      </c>
      <c r="G2129" s="14"/>
      <c r="H2129" s="12" t="s">
        <v>61</v>
      </c>
      <c r="I2129" s="12" t="s">
        <v>289</v>
      </c>
      <c r="J2129" s="12" t="s">
        <v>706</v>
      </c>
      <c r="K2129" s="12" t="s">
        <v>100</v>
      </c>
      <c r="L2129" s="14"/>
      <c r="M2129" s="12" t="s">
        <v>43</v>
      </c>
      <c r="N2129" s="12" t="s">
        <v>84</v>
      </c>
      <c r="O2129" s="12" t="s">
        <v>8051</v>
      </c>
      <c r="P2129" s="12" t="s">
        <v>66</v>
      </c>
      <c r="Q2129" s="12" t="s">
        <v>67</v>
      </c>
      <c r="R2129" s="12" t="s">
        <v>708</v>
      </c>
      <c r="S2129" s="13">
        <v>197804387304</v>
      </c>
      <c r="T2129" s="12" t="s">
        <v>709</v>
      </c>
      <c r="U2129" s="12" t="s">
        <v>170</v>
      </c>
      <c r="V2129" s="12" t="s">
        <v>2225</v>
      </c>
      <c r="W2129" s="12" t="s">
        <v>51</v>
      </c>
      <c r="X2129" s="14"/>
      <c r="Y2129" s="14"/>
      <c r="Z2129" s="14"/>
      <c r="AA2129" s="14"/>
      <c r="AB2129" s="14"/>
      <c r="AC2129" s="15">
        <v>34.1</v>
      </c>
      <c r="AD2129" s="15">
        <f>AC2129*AG2129</f>
        <v>68.2</v>
      </c>
      <c r="AE2129" s="15">
        <v>75</v>
      </c>
      <c r="AF2129" s="15">
        <f>AE2129*AG2129</f>
        <v>150</v>
      </c>
      <c r="AG2129" s="16">
        <v>2</v>
      </c>
    </row>
    <row r="2130" spans="1:33" ht="15" customHeight="1" x14ac:dyDescent="0.2">
      <c r="A2130" s="11" t="str">
        <f>HYPERLINK("https://assets.vans.eu/images/VN000M9SEMJ-HERO/1","VN000M9SEMJ1")</f>
        <v>VN000M9SEMJ1</v>
      </c>
      <c r="B2130" s="12" t="s">
        <v>8052</v>
      </c>
      <c r="C2130" s="12" t="s">
        <v>2222</v>
      </c>
      <c r="D2130" s="12" t="s">
        <v>768</v>
      </c>
      <c r="E2130" s="12" t="s">
        <v>8053</v>
      </c>
      <c r="F2130" s="12" t="s">
        <v>170</v>
      </c>
      <c r="G2130" s="14"/>
      <c r="H2130" s="12" t="s">
        <v>61</v>
      </c>
      <c r="I2130" s="12" t="s">
        <v>289</v>
      </c>
      <c r="J2130" s="12" t="s">
        <v>706</v>
      </c>
      <c r="K2130" s="12" t="s">
        <v>100</v>
      </c>
      <c r="L2130" s="14"/>
      <c r="M2130" s="12" t="s">
        <v>43</v>
      </c>
      <c r="N2130" s="12" t="s">
        <v>84</v>
      </c>
      <c r="O2130" s="12" t="s">
        <v>8054</v>
      </c>
      <c r="P2130" s="12" t="s">
        <v>66</v>
      </c>
      <c r="Q2130" s="12" t="s">
        <v>67</v>
      </c>
      <c r="R2130" s="12" t="s">
        <v>708</v>
      </c>
      <c r="S2130" s="13">
        <v>197804387502</v>
      </c>
      <c r="T2130" s="12" t="s">
        <v>709</v>
      </c>
      <c r="U2130" s="12" t="s">
        <v>170</v>
      </c>
      <c r="V2130" s="12" t="s">
        <v>2225</v>
      </c>
      <c r="W2130" s="12" t="s">
        <v>625</v>
      </c>
      <c r="X2130" s="14"/>
      <c r="Y2130" s="14"/>
      <c r="Z2130" s="14"/>
      <c r="AA2130" s="14"/>
      <c r="AB2130" s="14"/>
      <c r="AC2130" s="15">
        <v>34.1</v>
      </c>
      <c r="AD2130" s="15">
        <f>AC2130*AG2130</f>
        <v>68.2</v>
      </c>
      <c r="AE2130" s="15">
        <v>75</v>
      </c>
      <c r="AF2130" s="15">
        <f>AE2130*AG2130</f>
        <v>150</v>
      </c>
      <c r="AG2130" s="16">
        <v>2</v>
      </c>
    </row>
    <row r="2131" spans="1:33" ht="15" customHeight="1" x14ac:dyDescent="0.2">
      <c r="A2131" s="11" t="str">
        <f t="shared" si="383"/>
        <v>VN000M9SRV21</v>
      </c>
      <c r="B2131" s="12" t="s">
        <v>8055</v>
      </c>
      <c r="C2131" s="12" t="s">
        <v>2222</v>
      </c>
      <c r="D2131" s="12" t="s">
        <v>1428</v>
      </c>
      <c r="E2131" s="12" t="s">
        <v>8056</v>
      </c>
      <c r="F2131" s="12" t="s">
        <v>403</v>
      </c>
      <c r="G2131" s="14"/>
      <c r="H2131" s="12" t="s">
        <v>61</v>
      </c>
      <c r="I2131" s="12" t="s">
        <v>289</v>
      </c>
      <c r="J2131" s="12" t="s">
        <v>706</v>
      </c>
      <c r="K2131" s="12" t="s">
        <v>100</v>
      </c>
      <c r="L2131" s="14"/>
      <c r="M2131" s="12" t="s">
        <v>43</v>
      </c>
      <c r="N2131" s="12" t="s">
        <v>84</v>
      </c>
      <c r="O2131" s="12" t="s">
        <v>8057</v>
      </c>
      <c r="P2131" s="12" t="s">
        <v>66</v>
      </c>
      <c r="Q2131" s="12" t="s">
        <v>67</v>
      </c>
      <c r="R2131" s="12" t="s">
        <v>708</v>
      </c>
      <c r="S2131" s="13">
        <v>197804387656</v>
      </c>
      <c r="T2131" s="12" t="s">
        <v>709</v>
      </c>
      <c r="U2131" s="12" t="s">
        <v>403</v>
      </c>
      <c r="V2131" s="12" t="s">
        <v>2225</v>
      </c>
      <c r="W2131" s="12" t="s">
        <v>51</v>
      </c>
      <c r="X2131" s="14"/>
      <c r="Y2131" s="14"/>
      <c r="Z2131" s="14"/>
      <c r="AA2131" s="14"/>
      <c r="AB2131" s="14"/>
      <c r="AC2131" s="15">
        <v>34.1</v>
      </c>
      <c r="AD2131" s="15">
        <f>AC2131*AG2131</f>
        <v>68.2</v>
      </c>
      <c r="AE2131" s="15">
        <v>75</v>
      </c>
      <c r="AF2131" s="15">
        <f>AE2131*AG2131</f>
        <v>150</v>
      </c>
      <c r="AG2131" s="16">
        <v>2</v>
      </c>
    </row>
    <row r="2132" spans="1:33" ht="15" customHeight="1" x14ac:dyDescent="0.2">
      <c r="A2132" s="11" t="str">
        <f t="shared" ref="A2132:A2133" si="877">HYPERLINK("https://assets.vans.eu/images/VN000M9SRV2-HERO/1","VN000M9SRV21")</f>
        <v>VN000M9SRV21</v>
      </c>
      <c r="B2132" s="12" t="s">
        <v>8058</v>
      </c>
      <c r="C2132" s="12" t="s">
        <v>2222</v>
      </c>
      <c r="D2132" s="12" t="s">
        <v>1428</v>
      </c>
      <c r="E2132" s="12" t="s">
        <v>8059</v>
      </c>
      <c r="F2132" s="12" t="s">
        <v>60</v>
      </c>
      <c r="G2132" s="14"/>
      <c r="H2132" s="12" t="s">
        <v>61</v>
      </c>
      <c r="I2132" s="12" t="s">
        <v>289</v>
      </c>
      <c r="J2132" s="12" t="s">
        <v>706</v>
      </c>
      <c r="K2132" s="12" t="s">
        <v>100</v>
      </c>
      <c r="L2132" s="14"/>
      <c r="M2132" s="12" t="s">
        <v>43</v>
      </c>
      <c r="N2132" s="12" t="s">
        <v>84</v>
      </c>
      <c r="O2132" s="12" t="s">
        <v>8060</v>
      </c>
      <c r="P2132" s="12" t="s">
        <v>66</v>
      </c>
      <c r="Q2132" s="12" t="s">
        <v>67</v>
      </c>
      <c r="R2132" s="12" t="s">
        <v>708</v>
      </c>
      <c r="S2132" s="13">
        <v>197804387694</v>
      </c>
      <c r="T2132" s="12" t="s">
        <v>709</v>
      </c>
      <c r="U2132" s="12" t="s">
        <v>60</v>
      </c>
      <c r="V2132" s="12" t="s">
        <v>2225</v>
      </c>
      <c r="W2132" s="12" t="s">
        <v>51</v>
      </c>
      <c r="X2132" s="14"/>
      <c r="Y2132" s="14"/>
      <c r="Z2132" s="14"/>
      <c r="AA2132" s="14"/>
      <c r="AB2132" s="14"/>
      <c r="AC2132" s="15">
        <v>34.1</v>
      </c>
      <c r="AD2132" s="15">
        <f>AC2132*AG2132</f>
        <v>68.2</v>
      </c>
      <c r="AE2132" s="15">
        <v>75</v>
      </c>
      <c r="AF2132" s="15">
        <f>AE2132*AG2132</f>
        <v>150</v>
      </c>
      <c r="AG2132" s="16">
        <v>2</v>
      </c>
    </row>
    <row r="2133" spans="1:33" ht="15" customHeight="1" x14ac:dyDescent="0.2">
      <c r="A2133" s="11" t="str">
        <f t="shared" si="877"/>
        <v>VN000M9SRV21</v>
      </c>
      <c r="B2133" s="12" t="s">
        <v>8061</v>
      </c>
      <c r="C2133" s="12" t="s">
        <v>2222</v>
      </c>
      <c r="D2133" s="12" t="s">
        <v>1428</v>
      </c>
      <c r="E2133" s="12" t="s">
        <v>8062</v>
      </c>
      <c r="F2133" s="12" t="s">
        <v>138</v>
      </c>
      <c r="G2133" s="14"/>
      <c r="H2133" s="12" t="s">
        <v>61</v>
      </c>
      <c r="I2133" s="12" t="s">
        <v>289</v>
      </c>
      <c r="J2133" s="12" t="s">
        <v>706</v>
      </c>
      <c r="K2133" s="12" t="s">
        <v>100</v>
      </c>
      <c r="L2133" s="14"/>
      <c r="M2133" s="12" t="s">
        <v>43</v>
      </c>
      <c r="N2133" s="12" t="s">
        <v>84</v>
      </c>
      <c r="O2133" s="12" t="s">
        <v>8063</v>
      </c>
      <c r="P2133" s="12" t="s">
        <v>66</v>
      </c>
      <c r="Q2133" s="12" t="s">
        <v>67</v>
      </c>
      <c r="R2133" s="12" t="s">
        <v>708</v>
      </c>
      <c r="S2133" s="13">
        <v>197804388103</v>
      </c>
      <c r="T2133" s="12" t="s">
        <v>709</v>
      </c>
      <c r="U2133" s="12" t="s">
        <v>138</v>
      </c>
      <c r="V2133" s="12" t="s">
        <v>2225</v>
      </c>
      <c r="W2133" s="12" t="s">
        <v>51</v>
      </c>
      <c r="X2133" s="14"/>
      <c r="Y2133" s="14"/>
      <c r="Z2133" s="14"/>
      <c r="AA2133" s="14"/>
      <c r="AB2133" s="14"/>
      <c r="AC2133" s="15">
        <v>34.1</v>
      </c>
      <c r="AD2133" s="15">
        <f>AC2133*AG2133</f>
        <v>68.2</v>
      </c>
      <c r="AE2133" s="15">
        <v>75</v>
      </c>
      <c r="AF2133" s="15">
        <f>AE2133*AG2133</f>
        <v>150</v>
      </c>
      <c r="AG2133" s="16">
        <v>2</v>
      </c>
    </row>
    <row r="2134" spans="1:33" ht="15" customHeight="1" x14ac:dyDescent="0.2">
      <c r="A2134" s="11" t="str">
        <f t="shared" ref="A2134:A2135" si="878">HYPERLINK("https://assets.vans.eu/images/VN000MA21O7-HERO/1","VN000MA21O71")</f>
        <v>VN000MA21O71</v>
      </c>
      <c r="B2134" s="12" t="s">
        <v>8064</v>
      </c>
      <c r="C2134" s="12" t="s">
        <v>3712</v>
      </c>
      <c r="D2134" s="12" t="s">
        <v>637</v>
      </c>
      <c r="E2134" s="12" t="s">
        <v>8065</v>
      </c>
      <c r="F2134" s="12" t="s">
        <v>170</v>
      </c>
      <c r="G2134" s="14"/>
      <c r="H2134" s="12" t="s">
        <v>61</v>
      </c>
      <c r="I2134" s="12" t="s">
        <v>289</v>
      </c>
      <c r="J2134" s="12" t="s">
        <v>706</v>
      </c>
      <c r="K2134" s="12" t="s">
        <v>100</v>
      </c>
      <c r="L2134" s="14"/>
      <c r="M2134" s="12" t="s">
        <v>43</v>
      </c>
      <c r="N2134" s="12" t="s">
        <v>84</v>
      </c>
      <c r="O2134" s="12" t="s">
        <v>8066</v>
      </c>
      <c r="P2134" s="12" t="s">
        <v>66</v>
      </c>
      <c r="Q2134" s="12" t="s">
        <v>67</v>
      </c>
      <c r="R2134" s="12" t="s">
        <v>708</v>
      </c>
      <c r="S2134" s="13">
        <v>197804387786</v>
      </c>
      <c r="T2134" s="12" t="s">
        <v>49</v>
      </c>
      <c r="U2134" s="12" t="s">
        <v>170</v>
      </c>
      <c r="V2134" s="12" t="s">
        <v>1726</v>
      </c>
      <c r="W2134" s="12" t="s">
        <v>455</v>
      </c>
      <c r="X2134" s="14"/>
      <c r="Y2134" s="14"/>
      <c r="Z2134" s="14"/>
      <c r="AA2134" s="14"/>
      <c r="AB2134" s="14"/>
      <c r="AC2134" s="15">
        <v>36.4</v>
      </c>
      <c r="AD2134" s="15">
        <f>AC2134*AG2134</f>
        <v>72.8</v>
      </c>
      <c r="AE2134" s="15">
        <v>80</v>
      </c>
      <c r="AF2134" s="15">
        <f>AE2134*AG2134</f>
        <v>160</v>
      </c>
      <c r="AG2134" s="16">
        <v>2</v>
      </c>
    </row>
    <row r="2135" spans="1:33" ht="15" customHeight="1" x14ac:dyDescent="0.2">
      <c r="A2135" s="11" t="str">
        <f t="shared" si="878"/>
        <v>VN000MA21O71</v>
      </c>
      <c r="B2135" s="12" t="s">
        <v>8067</v>
      </c>
      <c r="C2135" s="12" t="s">
        <v>3712</v>
      </c>
      <c r="D2135" s="12" t="s">
        <v>637</v>
      </c>
      <c r="E2135" s="12" t="s">
        <v>8068</v>
      </c>
      <c r="F2135" s="12" t="s">
        <v>403</v>
      </c>
      <c r="G2135" s="14"/>
      <c r="H2135" s="12" t="s">
        <v>61</v>
      </c>
      <c r="I2135" s="12" t="s">
        <v>289</v>
      </c>
      <c r="J2135" s="12" t="s">
        <v>706</v>
      </c>
      <c r="K2135" s="12" t="s">
        <v>100</v>
      </c>
      <c r="L2135" s="14"/>
      <c r="M2135" s="12" t="s">
        <v>43</v>
      </c>
      <c r="N2135" s="12" t="s">
        <v>84</v>
      </c>
      <c r="O2135" s="12" t="s">
        <v>8069</v>
      </c>
      <c r="P2135" s="12" t="s">
        <v>66</v>
      </c>
      <c r="Q2135" s="12" t="s">
        <v>67</v>
      </c>
      <c r="R2135" s="12" t="s">
        <v>708</v>
      </c>
      <c r="S2135" s="13">
        <v>197804387946</v>
      </c>
      <c r="T2135" s="12" t="s">
        <v>49</v>
      </c>
      <c r="U2135" s="12" t="s">
        <v>403</v>
      </c>
      <c r="V2135" s="12" t="s">
        <v>1726</v>
      </c>
      <c r="W2135" s="12" t="s">
        <v>455</v>
      </c>
      <c r="X2135" s="14"/>
      <c r="Y2135" s="14"/>
      <c r="Z2135" s="14"/>
      <c r="AA2135" s="14"/>
      <c r="AB2135" s="14"/>
      <c r="AC2135" s="15">
        <v>36.4</v>
      </c>
      <c r="AD2135" s="15">
        <f>AC2135*AG2135</f>
        <v>72.8</v>
      </c>
      <c r="AE2135" s="15">
        <v>80</v>
      </c>
      <c r="AF2135" s="15">
        <f>AE2135*AG2135</f>
        <v>160</v>
      </c>
      <c r="AG2135" s="16">
        <v>2</v>
      </c>
    </row>
    <row r="2136" spans="1:33" ht="15" customHeight="1" x14ac:dyDescent="0.2">
      <c r="A2136" s="11" t="str">
        <f t="shared" ref="A2136:A2137" si="879">HYPERLINK("https://assets.vans.eu/images/VN000MA2EMF-HERO/1","VN000MA2EMF1")</f>
        <v>VN000MA2EMF1</v>
      </c>
      <c r="B2136" s="12" t="s">
        <v>8070</v>
      </c>
      <c r="C2136" s="12" t="s">
        <v>3712</v>
      </c>
      <c r="D2136" s="12" t="s">
        <v>1282</v>
      </c>
      <c r="E2136" s="12" t="s">
        <v>8071</v>
      </c>
      <c r="F2136" s="12" t="s">
        <v>179</v>
      </c>
      <c r="G2136" s="14"/>
      <c r="H2136" s="12" t="s">
        <v>61</v>
      </c>
      <c r="I2136" s="12" t="s">
        <v>289</v>
      </c>
      <c r="J2136" s="12" t="s">
        <v>706</v>
      </c>
      <c r="K2136" s="12" t="s">
        <v>100</v>
      </c>
      <c r="L2136" s="14"/>
      <c r="M2136" s="12" t="s">
        <v>43</v>
      </c>
      <c r="N2136" s="12" t="s">
        <v>84</v>
      </c>
      <c r="O2136" s="12" t="s">
        <v>8072</v>
      </c>
      <c r="P2136" s="12" t="s">
        <v>66</v>
      </c>
      <c r="Q2136" s="12" t="s">
        <v>67</v>
      </c>
      <c r="R2136" s="12" t="s">
        <v>708</v>
      </c>
      <c r="S2136" s="13">
        <v>197804387779</v>
      </c>
      <c r="T2136" s="12" t="s">
        <v>49</v>
      </c>
      <c r="U2136" s="12" t="s">
        <v>179</v>
      </c>
      <c r="V2136" s="12" t="s">
        <v>1726</v>
      </c>
      <c r="W2136" s="12" t="s">
        <v>118</v>
      </c>
      <c r="X2136" s="14"/>
      <c r="Y2136" s="14"/>
      <c r="Z2136" s="14"/>
      <c r="AA2136" s="14"/>
      <c r="AB2136" s="14"/>
      <c r="AC2136" s="15">
        <v>36.4</v>
      </c>
      <c r="AD2136" s="15">
        <f>AC2136*AG2136</f>
        <v>72.8</v>
      </c>
      <c r="AE2136" s="15">
        <v>80</v>
      </c>
      <c r="AF2136" s="15">
        <f>AE2136*AG2136</f>
        <v>160</v>
      </c>
      <c r="AG2136" s="16">
        <v>2</v>
      </c>
    </row>
    <row r="2137" spans="1:33" ht="15" customHeight="1" x14ac:dyDescent="0.2">
      <c r="A2137" s="11" t="str">
        <f t="shared" si="879"/>
        <v>VN000MA2EMF1</v>
      </c>
      <c r="B2137" s="12" t="s">
        <v>8073</v>
      </c>
      <c r="C2137" s="12" t="s">
        <v>3712</v>
      </c>
      <c r="D2137" s="12" t="s">
        <v>1282</v>
      </c>
      <c r="E2137" s="12" t="s">
        <v>8074</v>
      </c>
      <c r="F2137" s="12" t="s">
        <v>403</v>
      </c>
      <c r="G2137" s="14"/>
      <c r="H2137" s="12" t="s">
        <v>61</v>
      </c>
      <c r="I2137" s="12" t="s">
        <v>289</v>
      </c>
      <c r="J2137" s="12" t="s">
        <v>706</v>
      </c>
      <c r="K2137" s="12" t="s">
        <v>100</v>
      </c>
      <c r="L2137" s="14"/>
      <c r="M2137" s="12" t="s">
        <v>43</v>
      </c>
      <c r="N2137" s="12" t="s">
        <v>84</v>
      </c>
      <c r="O2137" s="12" t="s">
        <v>8075</v>
      </c>
      <c r="P2137" s="12" t="s">
        <v>66</v>
      </c>
      <c r="Q2137" s="12" t="s">
        <v>67</v>
      </c>
      <c r="R2137" s="12" t="s">
        <v>708</v>
      </c>
      <c r="S2137" s="13">
        <v>197804388004</v>
      </c>
      <c r="T2137" s="12" t="s">
        <v>49</v>
      </c>
      <c r="U2137" s="12" t="s">
        <v>403</v>
      </c>
      <c r="V2137" s="12" t="s">
        <v>1726</v>
      </c>
      <c r="W2137" s="12" t="s">
        <v>118</v>
      </c>
      <c r="X2137" s="14"/>
      <c r="Y2137" s="14"/>
      <c r="Z2137" s="14"/>
      <c r="AA2137" s="14"/>
      <c r="AB2137" s="14"/>
      <c r="AC2137" s="15">
        <v>36.4</v>
      </c>
      <c r="AD2137" s="15">
        <f>AC2137*AG2137</f>
        <v>72.8</v>
      </c>
      <c r="AE2137" s="15">
        <v>80</v>
      </c>
      <c r="AF2137" s="15">
        <f>AE2137*AG2137</f>
        <v>160</v>
      </c>
      <c r="AG2137" s="16">
        <v>2</v>
      </c>
    </row>
    <row r="2138" spans="1:33" ht="15" customHeight="1" x14ac:dyDescent="0.2">
      <c r="A2138" s="11" t="str">
        <f t="shared" ref="A2138:A3181" si="880">HYPERLINK("https://assets.vans.eu/images/VN000MAEBLK-HERO/1","VN000MAEBLK1")</f>
        <v>VN000MAEBLK1</v>
      </c>
      <c r="B2138" s="12" t="s">
        <v>8076</v>
      </c>
      <c r="C2138" s="12" t="s">
        <v>8077</v>
      </c>
      <c r="D2138" s="12" t="s">
        <v>76</v>
      </c>
      <c r="E2138" s="12" t="s">
        <v>8078</v>
      </c>
      <c r="F2138" s="12" t="s">
        <v>170</v>
      </c>
      <c r="G2138" s="14"/>
      <c r="H2138" s="12" t="s">
        <v>61</v>
      </c>
      <c r="I2138" s="12" t="s">
        <v>289</v>
      </c>
      <c r="J2138" s="12" t="s">
        <v>706</v>
      </c>
      <c r="K2138" s="12" t="s">
        <v>100</v>
      </c>
      <c r="L2138" s="14"/>
      <c r="M2138" s="12" t="s">
        <v>43</v>
      </c>
      <c r="N2138" s="12" t="s">
        <v>44</v>
      </c>
      <c r="O2138" s="12" t="s">
        <v>8079</v>
      </c>
      <c r="P2138" s="12" t="s">
        <v>66</v>
      </c>
      <c r="Q2138" s="12" t="s">
        <v>67</v>
      </c>
      <c r="R2138" s="12" t="s">
        <v>708</v>
      </c>
      <c r="S2138" s="13">
        <v>197643365426</v>
      </c>
      <c r="T2138" s="12" t="s">
        <v>49</v>
      </c>
      <c r="U2138" s="12" t="s">
        <v>170</v>
      </c>
      <c r="V2138" s="12" t="s">
        <v>1726</v>
      </c>
      <c r="W2138" s="12" t="s">
        <v>51</v>
      </c>
      <c r="X2138" s="13">
        <v>0</v>
      </c>
      <c r="Y2138" s="12" t="s">
        <v>53</v>
      </c>
      <c r="Z2138" s="12" t="s">
        <v>108</v>
      </c>
      <c r="AA2138" s="13">
        <v>0</v>
      </c>
      <c r="AB2138" s="13">
        <v>0</v>
      </c>
      <c r="AC2138" s="15">
        <v>40.950000000000003</v>
      </c>
      <c r="AD2138" s="15">
        <f>AC2138*AG2138</f>
        <v>81.900000000000006</v>
      </c>
      <c r="AE2138" s="15">
        <v>90</v>
      </c>
      <c r="AF2138" s="15">
        <f>AE2138*AG2138</f>
        <v>180</v>
      </c>
      <c r="AG2138" s="16">
        <v>2</v>
      </c>
    </row>
    <row r="2139" spans="1:33" ht="15" customHeight="1" x14ac:dyDescent="0.2">
      <c r="A2139" s="11" t="str">
        <f>HYPERLINK("https://assets.vans.eu/images/VN000MAME2W-HERO/1","VN000MAME2W1")</f>
        <v>VN000MAME2W1</v>
      </c>
      <c r="B2139" s="12" t="s">
        <v>8080</v>
      </c>
      <c r="C2139" s="12" t="s">
        <v>8081</v>
      </c>
      <c r="D2139" s="12" t="s">
        <v>1476</v>
      </c>
      <c r="E2139" s="12" t="s">
        <v>8082</v>
      </c>
      <c r="F2139" s="12" t="s">
        <v>621</v>
      </c>
      <c r="G2139" s="14"/>
      <c r="H2139" s="12" t="s">
        <v>61</v>
      </c>
      <c r="I2139" s="12" t="s">
        <v>289</v>
      </c>
      <c r="J2139" s="12" t="s">
        <v>706</v>
      </c>
      <c r="K2139" s="12" t="s">
        <v>100</v>
      </c>
      <c r="L2139" s="14"/>
      <c r="M2139" s="12" t="s">
        <v>43</v>
      </c>
      <c r="N2139" s="12" t="s">
        <v>44</v>
      </c>
      <c r="O2139" s="12" t="s">
        <v>8083</v>
      </c>
      <c r="P2139" s="12" t="s">
        <v>66</v>
      </c>
      <c r="Q2139" s="12" t="s">
        <v>67</v>
      </c>
      <c r="R2139" s="12" t="s">
        <v>708</v>
      </c>
      <c r="S2139" s="13">
        <v>197643365693</v>
      </c>
      <c r="T2139" s="12" t="s">
        <v>49</v>
      </c>
      <c r="U2139" s="12" t="s">
        <v>621</v>
      </c>
      <c r="V2139" s="12" t="s">
        <v>1726</v>
      </c>
      <c r="W2139" s="12" t="s">
        <v>284</v>
      </c>
      <c r="X2139" s="13">
        <v>0</v>
      </c>
      <c r="Y2139" s="12" t="s">
        <v>53</v>
      </c>
      <c r="Z2139" s="12" t="s">
        <v>108</v>
      </c>
      <c r="AA2139" s="13">
        <v>0</v>
      </c>
      <c r="AB2139" s="13">
        <v>0</v>
      </c>
      <c r="AC2139" s="15">
        <v>40.950000000000003</v>
      </c>
      <c r="AD2139" s="15">
        <f>AC2139*AG2139</f>
        <v>81.900000000000006</v>
      </c>
      <c r="AE2139" s="15">
        <v>90</v>
      </c>
      <c r="AF2139" s="15">
        <f>AE2139*AG2139</f>
        <v>180</v>
      </c>
      <c r="AG2139" s="16">
        <v>2</v>
      </c>
    </row>
    <row r="2140" spans="1:33" ht="15" customHeight="1" x14ac:dyDescent="0.2">
      <c r="A2140" s="11" t="str">
        <f t="shared" si="690"/>
        <v>VN000MAT7WM1</v>
      </c>
      <c r="B2140" s="12" t="s">
        <v>8084</v>
      </c>
      <c r="C2140" s="12" t="s">
        <v>6461</v>
      </c>
      <c r="D2140" s="12" t="s">
        <v>388</v>
      </c>
      <c r="E2140" s="12" t="s">
        <v>8085</v>
      </c>
      <c r="F2140" s="12" t="s">
        <v>170</v>
      </c>
      <c r="G2140" s="14"/>
      <c r="H2140" s="12" t="s">
        <v>61</v>
      </c>
      <c r="I2140" s="12" t="s">
        <v>289</v>
      </c>
      <c r="J2140" s="12" t="s">
        <v>290</v>
      </c>
      <c r="K2140" s="12" t="s">
        <v>100</v>
      </c>
      <c r="L2140" s="14"/>
      <c r="M2140" s="12" t="s">
        <v>43</v>
      </c>
      <c r="N2140" s="12" t="s">
        <v>44</v>
      </c>
      <c r="O2140" s="12" t="s">
        <v>8086</v>
      </c>
      <c r="P2140" s="12" t="s">
        <v>66</v>
      </c>
      <c r="Q2140" s="12" t="s">
        <v>233</v>
      </c>
      <c r="R2140" s="12" t="s">
        <v>664</v>
      </c>
      <c r="S2140" s="13">
        <v>197643365761</v>
      </c>
      <c r="T2140" s="12" t="s">
        <v>49</v>
      </c>
      <c r="U2140" s="12" t="s">
        <v>170</v>
      </c>
      <c r="V2140" s="12" t="s">
        <v>6291</v>
      </c>
      <c r="W2140" s="12" t="s">
        <v>284</v>
      </c>
      <c r="X2140" s="13">
        <v>0</v>
      </c>
      <c r="Y2140" s="12" t="s">
        <v>91</v>
      </c>
      <c r="Z2140" s="12" t="s">
        <v>108</v>
      </c>
      <c r="AA2140" s="13">
        <v>0</v>
      </c>
      <c r="AB2140" s="13">
        <v>0</v>
      </c>
      <c r="AC2140" s="15">
        <v>38.65</v>
      </c>
      <c r="AD2140" s="15">
        <f>AC2140*AG2140</f>
        <v>77.3</v>
      </c>
      <c r="AE2140" s="15">
        <v>85</v>
      </c>
      <c r="AF2140" s="15">
        <f>AE2140*AG2140</f>
        <v>170</v>
      </c>
      <c r="AG2140" s="16">
        <v>2</v>
      </c>
    </row>
    <row r="2141" spans="1:33" ht="15" customHeight="1" x14ac:dyDescent="0.2">
      <c r="A2141" s="11" t="str">
        <f t="shared" ref="A2141:A2142" si="881">HYPERLINK("https://assets.vans.eu/images/VN000MB3ZBF-HERO/1","VN000MB3ZBF1")</f>
        <v>VN000MB3ZBF1</v>
      </c>
      <c r="B2141" s="12" t="s">
        <v>8087</v>
      </c>
      <c r="C2141" s="12" t="s">
        <v>8088</v>
      </c>
      <c r="D2141" s="12" t="s">
        <v>680</v>
      </c>
      <c r="E2141" s="12" t="s">
        <v>8089</v>
      </c>
      <c r="F2141" s="13">
        <v>26</v>
      </c>
      <c r="G2141" s="14"/>
      <c r="H2141" s="12" t="s">
        <v>61</v>
      </c>
      <c r="I2141" s="12" t="s">
        <v>289</v>
      </c>
      <c r="J2141" s="12" t="s">
        <v>290</v>
      </c>
      <c r="K2141" s="12" t="s">
        <v>100</v>
      </c>
      <c r="L2141" s="14"/>
      <c r="M2141" s="12" t="s">
        <v>43</v>
      </c>
      <c r="N2141" s="12" t="s">
        <v>44</v>
      </c>
      <c r="O2141" s="12" t="s">
        <v>8090</v>
      </c>
      <c r="P2141" s="12" t="s">
        <v>66</v>
      </c>
      <c r="Q2141" s="12" t="s">
        <v>233</v>
      </c>
      <c r="R2141" s="12" t="s">
        <v>664</v>
      </c>
      <c r="S2141" s="13">
        <v>197643366805</v>
      </c>
      <c r="T2141" s="12" t="s">
        <v>235</v>
      </c>
      <c r="U2141" s="13">
        <v>26</v>
      </c>
      <c r="V2141" s="12" t="s">
        <v>665</v>
      </c>
      <c r="W2141" s="12" t="s">
        <v>118</v>
      </c>
      <c r="X2141" s="13">
        <v>0</v>
      </c>
      <c r="Y2141" s="12" t="s">
        <v>91</v>
      </c>
      <c r="Z2141" s="12" t="s">
        <v>108</v>
      </c>
      <c r="AA2141" s="13">
        <v>0</v>
      </c>
      <c r="AB2141" s="13">
        <v>0</v>
      </c>
      <c r="AC2141" s="15">
        <v>34.1</v>
      </c>
      <c r="AD2141" s="15">
        <f>AC2141*AG2141</f>
        <v>68.2</v>
      </c>
      <c r="AE2141" s="15">
        <v>75</v>
      </c>
      <c r="AF2141" s="15">
        <f>AE2141*AG2141</f>
        <v>150</v>
      </c>
      <c r="AG2141" s="16">
        <v>2</v>
      </c>
    </row>
    <row r="2142" spans="1:33" ht="15" customHeight="1" x14ac:dyDescent="0.2">
      <c r="A2142" s="11" t="str">
        <f t="shared" si="881"/>
        <v>VN000MB3ZBF1</v>
      </c>
      <c r="B2142" s="12" t="s">
        <v>8091</v>
      </c>
      <c r="C2142" s="12" t="s">
        <v>8088</v>
      </c>
      <c r="D2142" s="12" t="s">
        <v>680</v>
      </c>
      <c r="E2142" s="12" t="s">
        <v>8092</v>
      </c>
      <c r="F2142" s="13">
        <v>30</v>
      </c>
      <c r="G2142" s="14"/>
      <c r="H2142" s="12" t="s">
        <v>61</v>
      </c>
      <c r="I2142" s="12" t="s">
        <v>289</v>
      </c>
      <c r="J2142" s="12" t="s">
        <v>290</v>
      </c>
      <c r="K2142" s="12" t="s">
        <v>100</v>
      </c>
      <c r="L2142" s="14"/>
      <c r="M2142" s="12" t="s">
        <v>43</v>
      </c>
      <c r="N2142" s="12" t="s">
        <v>44</v>
      </c>
      <c r="O2142" s="12" t="s">
        <v>8093</v>
      </c>
      <c r="P2142" s="12" t="s">
        <v>66</v>
      </c>
      <c r="Q2142" s="12" t="s">
        <v>233</v>
      </c>
      <c r="R2142" s="12" t="s">
        <v>664</v>
      </c>
      <c r="S2142" s="13">
        <v>197643367222</v>
      </c>
      <c r="T2142" s="12" t="s">
        <v>235</v>
      </c>
      <c r="U2142" s="13">
        <v>30</v>
      </c>
      <c r="V2142" s="12" t="s">
        <v>665</v>
      </c>
      <c r="W2142" s="12" t="s">
        <v>118</v>
      </c>
      <c r="X2142" s="13">
        <v>0</v>
      </c>
      <c r="Y2142" s="12" t="s">
        <v>91</v>
      </c>
      <c r="Z2142" s="12" t="s">
        <v>108</v>
      </c>
      <c r="AA2142" s="13">
        <v>0</v>
      </c>
      <c r="AB2142" s="13">
        <v>0</v>
      </c>
      <c r="AC2142" s="15">
        <v>34.1</v>
      </c>
      <c r="AD2142" s="15">
        <f>AC2142*AG2142</f>
        <v>68.2</v>
      </c>
      <c r="AE2142" s="15">
        <v>75</v>
      </c>
      <c r="AF2142" s="15">
        <f>AE2142*AG2142</f>
        <v>150</v>
      </c>
      <c r="AG2142" s="16">
        <v>2</v>
      </c>
    </row>
    <row r="2143" spans="1:33" ht="15" customHeight="1" x14ac:dyDescent="0.2">
      <c r="A2143" s="11" t="str">
        <f t="shared" ref="A2143:A3192" si="882">HYPERLINK("https://assets.vans.eu/images/VN000MBEFS8-HERO/1","VN000MBEFS81")</f>
        <v>VN000MBEFS81</v>
      </c>
      <c r="B2143" s="12" t="s">
        <v>8094</v>
      </c>
      <c r="C2143" s="12" t="s">
        <v>1581</v>
      </c>
      <c r="D2143" s="12" t="s">
        <v>239</v>
      </c>
      <c r="E2143" s="12" t="s">
        <v>8095</v>
      </c>
      <c r="F2143" s="13">
        <v>27</v>
      </c>
      <c r="G2143" s="14"/>
      <c r="H2143" s="12" t="s">
        <v>61</v>
      </c>
      <c r="I2143" s="12" t="s">
        <v>289</v>
      </c>
      <c r="J2143" s="12" t="s">
        <v>290</v>
      </c>
      <c r="K2143" s="12" t="s">
        <v>100</v>
      </c>
      <c r="L2143" s="14"/>
      <c r="M2143" s="12" t="s">
        <v>43</v>
      </c>
      <c r="N2143" s="12" t="s">
        <v>44</v>
      </c>
      <c r="O2143" s="12" t="s">
        <v>8096</v>
      </c>
      <c r="P2143" s="12" t="s">
        <v>66</v>
      </c>
      <c r="Q2143" s="12" t="s">
        <v>233</v>
      </c>
      <c r="R2143" s="12" t="s">
        <v>292</v>
      </c>
      <c r="S2143" s="13">
        <v>197643566519</v>
      </c>
      <c r="T2143" s="12" t="s">
        <v>235</v>
      </c>
      <c r="U2143" s="13">
        <v>27</v>
      </c>
      <c r="V2143" s="12" t="s">
        <v>665</v>
      </c>
      <c r="W2143" s="12" t="s">
        <v>175</v>
      </c>
      <c r="X2143" s="13">
        <v>0</v>
      </c>
      <c r="Y2143" s="12" t="s">
        <v>91</v>
      </c>
      <c r="Z2143" s="12" t="s">
        <v>108</v>
      </c>
      <c r="AA2143" s="13">
        <v>0</v>
      </c>
      <c r="AB2143" s="13">
        <v>0</v>
      </c>
      <c r="AC2143" s="15">
        <v>27.3</v>
      </c>
      <c r="AD2143" s="15">
        <f>AC2143*AG2143</f>
        <v>54.6</v>
      </c>
      <c r="AE2143" s="15">
        <v>60</v>
      </c>
      <c r="AF2143" s="15">
        <f>AE2143*AG2143</f>
        <v>120</v>
      </c>
      <c r="AG2143" s="16">
        <v>2</v>
      </c>
    </row>
    <row r="2144" spans="1:33" ht="15" customHeight="1" x14ac:dyDescent="0.2">
      <c r="A2144" s="11" t="str">
        <f t="shared" si="691"/>
        <v>VN000MBHC9L1</v>
      </c>
      <c r="B2144" s="12" t="s">
        <v>8097</v>
      </c>
      <c r="C2144" s="12" t="s">
        <v>6468</v>
      </c>
      <c r="D2144" s="12" t="s">
        <v>890</v>
      </c>
      <c r="E2144" s="12" t="s">
        <v>8098</v>
      </c>
      <c r="F2144" s="13">
        <v>26</v>
      </c>
      <c r="G2144" s="14"/>
      <c r="H2144" s="12" t="s">
        <v>61</v>
      </c>
      <c r="I2144" s="12" t="s">
        <v>289</v>
      </c>
      <c r="J2144" s="12" t="s">
        <v>290</v>
      </c>
      <c r="K2144" s="12" t="s">
        <v>100</v>
      </c>
      <c r="L2144" s="14"/>
      <c r="M2144" s="12" t="s">
        <v>43</v>
      </c>
      <c r="N2144" s="12" t="s">
        <v>44</v>
      </c>
      <c r="O2144" s="12" t="s">
        <v>8099</v>
      </c>
      <c r="P2144" s="12" t="s">
        <v>66</v>
      </c>
      <c r="Q2144" s="12" t="s">
        <v>233</v>
      </c>
      <c r="R2144" s="12" t="s">
        <v>292</v>
      </c>
      <c r="S2144" s="13">
        <v>197643566557</v>
      </c>
      <c r="T2144" s="12" t="s">
        <v>235</v>
      </c>
      <c r="U2144" s="13">
        <v>26</v>
      </c>
      <c r="V2144" s="12" t="s">
        <v>665</v>
      </c>
      <c r="W2144" s="12" t="s">
        <v>262</v>
      </c>
      <c r="X2144" s="13">
        <v>0</v>
      </c>
      <c r="Y2144" s="12" t="s">
        <v>53</v>
      </c>
      <c r="Z2144" s="12" t="s">
        <v>108</v>
      </c>
      <c r="AA2144" s="13">
        <v>0</v>
      </c>
      <c r="AB2144" s="13">
        <v>0</v>
      </c>
      <c r="AC2144" s="15">
        <v>31.85</v>
      </c>
      <c r="AD2144" s="15">
        <f>AC2144*AG2144</f>
        <v>63.7</v>
      </c>
      <c r="AE2144" s="15">
        <v>70</v>
      </c>
      <c r="AF2144" s="15">
        <f>AE2144*AG2144</f>
        <v>140</v>
      </c>
      <c r="AG2144" s="16">
        <v>2</v>
      </c>
    </row>
    <row r="2145" spans="1:33" ht="15" customHeight="1" x14ac:dyDescent="0.2">
      <c r="A2145" s="11" t="str">
        <f t="shared" ref="A2145:A2146" si="883">HYPERLINK("https://assets.vans.eu/images/VN000MBHC9L-HERO/1","VN000MBHC9L1")</f>
        <v>VN000MBHC9L1</v>
      </c>
      <c r="B2145" s="12" t="s">
        <v>8100</v>
      </c>
      <c r="C2145" s="12" t="s">
        <v>6468</v>
      </c>
      <c r="D2145" s="12" t="s">
        <v>890</v>
      </c>
      <c r="E2145" s="12" t="s">
        <v>8101</v>
      </c>
      <c r="F2145" s="13">
        <v>27</v>
      </c>
      <c r="G2145" s="14"/>
      <c r="H2145" s="12" t="s">
        <v>61</v>
      </c>
      <c r="I2145" s="12" t="s">
        <v>289</v>
      </c>
      <c r="J2145" s="12" t="s">
        <v>290</v>
      </c>
      <c r="K2145" s="12" t="s">
        <v>100</v>
      </c>
      <c r="L2145" s="14"/>
      <c r="M2145" s="12" t="s">
        <v>43</v>
      </c>
      <c r="N2145" s="12" t="s">
        <v>44</v>
      </c>
      <c r="O2145" s="12" t="s">
        <v>8102</v>
      </c>
      <c r="P2145" s="12" t="s">
        <v>66</v>
      </c>
      <c r="Q2145" s="12" t="s">
        <v>233</v>
      </c>
      <c r="R2145" s="12" t="s">
        <v>292</v>
      </c>
      <c r="S2145" s="13">
        <v>197643566595</v>
      </c>
      <c r="T2145" s="12" t="s">
        <v>235</v>
      </c>
      <c r="U2145" s="13">
        <v>27</v>
      </c>
      <c r="V2145" s="12" t="s">
        <v>665</v>
      </c>
      <c r="W2145" s="12" t="s">
        <v>262</v>
      </c>
      <c r="X2145" s="13">
        <v>0</v>
      </c>
      <c r="Y2145" s="12" t="s">
        <v>53</v>
      </c>
      <c r="Z2145" s="12" t="s">
        <v>108</v>
      </c>
      <c r="AA2145" s="13">
        <v>0</v>
      </c>
      <c r="AB2145" s="13">
        <v>0</v>
      </c>
      <c r="AC2145" s="15">
        <v>31.85</v>
      </c>
      <c r="AD2145" s="15">
        <f>AC2145*AG2145</f>
        <v>63.7</v>
      </c>
      <c r="AE2145" s="15">
        <v>70</v>
      </c>
      <c r="AF2145" s="15">
        <f>AE2145*AG2145</f>
        <v>140</v>
      </c>
      <c r="AG2145" s="16">
        <v>2</v>
      </c>
    </row>
    <row r="2146" spans="1:33" ht="15" customHeight="1" x14ac:dyDescent="0.2">
      <c r="A2146" s="11" t="str">
        <f t="shared" si="883"/>
        <v>VN000MBHC9L1</v>
      </c>
      <c r="B2146" s="12" t="s">
        <v>8103</v>
      </c>
      <c r="C2146" s="12" t="s">
        <v>6468</v>
      </c>
      <c r="D2146" s="12" t="s">
        <v>890</v>
      </c>
      <c r="E2146" s="12" t="s">
        <v>8104</v>
      </c>
      <c r="F2146" s="13">
        <v>34</v>
      </c>
      <c r="G2146" s="14"/>
      <c r="H2146" s="12" t="s">
        <v>61</v>
      </c>
      <c r="I2146" s="12" t="s">
        <v>289</v>
      </c>
      <c r="J2146" s="12" t="s">
        <v>290</v>
      </c>
      <c r="K2146" s="12" t="s">
        <v>100</v>
      </c>
      <c r="L2146" s="14"/>
      <c r="M2146" s="12" t="s">
        <v>43</v>
      </c>
      <c r="N2146" s="12" t="s">
        <v>44</v>
      </c>
      <c r="O2146" s="12" t="s">
        <v>8105</v>
      </c>
      <c r="P2146" s="12" t="s">
        <v>66</v>
      </c>
      <c r="Q2146" s="12" t="s">
        <v>233</v>
      </c>
      <c r="R2146" s="12" t="s">
        <v>292</v>
      </c>
      <c r="S2146" s="13">
        <v>197643567004</v>
      </c>
      <c r="T2146" s="12" t="s">
        <v>235</v>
      </c>
      <c r="U2146" s="13">
        <v>34</v>
      </c>
      <c r="V2146" s="12" t="s">
        <v>665</v>
      </c>
      <c r="W2146" s="12" t="s">
        <v>262</v>
      </c>
      <c r="X2146" s="13">
        <v>0</v>
      </c>
      <c r="Y2146" s="12" t="s">
        <v>53</v>
      </c>
      <c r="Z2146" s="12" t="s">
        <v>108</v>
      </c>
      <c r="AA2146" s="13">
        <v>0</v>
      </c>
      <c r="AB2146" s="13">
        <v>0</v>
      </c>
      <c r="AC2146" s="15">
        <v>31.85</v>
      </c>
      <c r="AD2146" s="15">
        <f>AC2146*AG2146</f>
        <v>63.7</v>
      </c>
      <c r="AE2146" s="15">
        <v>70</v>
      </c>
      <c r="AF2146" s="15">
        <f>AE2146*AG2146</f>
        <v>140</v>
      </c>
      <c r="AG2146" s="16">
        <v>2</v>
      </c>
    </row>
    <row r="2147" spans="1:33" ht="15" customHeight="1" x14ac:dyDescent="0.2">
      <c r="A2147" s="11" t="str">
        <f t="shared" ref="A2147:A3194" si="884">HYPERLINK("https://assets.vans.eu/images/VN000MBXFS8-HERO/1","VN000MBXFS81")</f>
        <v>VN000MBXFS81</v>
      </c>
      <c r="B2147" s="12" t="s">
        <v>8106</v>
      </c>
      <c r="C2147" s="12" t="s">
        <v>2227</v>
      </c>
      <c r="D2147" s="12" t="s">
        <v>239</v>
      </c>
      <c r="E2147" s="12" t="s">
        <v>8107</v>
      </c>
      <c r="F2147" s="12" t="s">
        <v>621</v>
      </c>
      <c r="G2147" s="14"/>
      <c r="H2147" s="12" t="s">
        <v>61</v>
      </c>
      <c r="I2147" s="12" t="s">
        <v>289</v>
      </c>
      <c r="J2147" s="12" t="s">
        <v>706</v>
      </c>
      <c r="K2147" s="12" t="s">
        <v>100</v>
      </c>
      <c r="L2147" s="14"/>
      <c r="M2147" s="12" t="s">
        <v>43</v>
      </c>
      <c r="N2147" s="12" t="s">
        <v>44</v>
      </c>
      <c r="O2147" s="12" t="s">
        <v>8108</v>
      </c>
      <c r="P2147" s="12" t="s">
        <v>66</v>
      </c>
      <c r="Q2147" s="12" t="s">
        <v>67</v>
      </c>
      <c r="R2147" s="12" t="s">
        <v>1146</v>
      </c>
      <c r="S2147" s="13">
        <v>197643369011</v>
      </c>
      <c r="T2147" s="12" t="s">
        <v>709</v>
      </c>
      <c r="U2147" s="12" t="s">
        <v>621</v>
      </c>
      <c r="V2147" s="12" t="s">
        <v>2230</v>
      </c>
      <c r="W2147" s="12" t="s">
        <v>175</v>
      </c>
      <c r="X2147" s="13">
        <v>0</v>
      </c>
      <c r="Y2147" s="12" t="s">
        <v>91</v>
      </c>
      <c r="Z2147" s="12" t="s">
        <v>108</v>
      </c>
      <c r="AA2147" s="13">
        <v>0</v>
      </c>
      <c r="AB2147" s="13">
        <v>0</v>
      </c>
      <c r="AC2147" s="15">
        <v>13.65</v>
      </c>
      <c r="AD2147" s="15">
        <f>AC2147*AG2147</f>
        <v>27.3</v>
      </c>
      <c r="AE2147" s="15">
        <v>30</v>
      </c>
      <c r="AF2147" s="15">
        <f>AE2147*AG2147</f>
        <v>60</v>
      </c>
      <c r="AG2147" s="16">
        <v>2</v>
      </c>
    </row>
    <row r="2148" spans="1:33" ht="15" customHeight="1" x14ac:dyDescent="0.2">
      <c r="A2148" s="11" t="str">
        <f>HYPERLINK("https://assets.vans.eu/images/VN000MC0ZUJ-HERO/1","VN000MC0ZUJ1")</f>
        <v>VN000MC0ZUJ1</v>
      </c>
      <c r="B2148" s="12" t="s">
        <v>8109</v>
      </c>
      <c r="C2148" s="12" t="s">
        <v>2898</v>
      </c>
      <c r="D2148" s="12" t="s">
        <v>2899</v>
      </c>
      <c r="E2148" s="12" t="s">
        <v>8110</v>
      </c>
      <c r="F2148" s="12" t="s">
        <v>60</v>
      </c>
      <c r="G2148" s="14"/>
      <c r="H2148" s="12" t="s">
        <v>61</v>
      </c>
      <c r="I2148" s="12" t="s">
        <v>289</v>
      </c>
      <c r="J2148" s="12" t="s">
        <v>706</v>
      </c>
      <c r="K2148" s="12" t="s">
        <v>100</v>
      </c>
      <c r="L2148" s="14"/>
      <c r="M2148" s="12" t="s">
        <v>43</v>
      </c>
      <c r="N2148" s="12" t="s">
        <v>44</v>
      </c>
      <c r="O2148" s="12" t="s">
        <v>8111</v>
      </c>
      <c r="P2148" s="12" t="s">
        <v>66</v>
      </c>
      <c r="Q2148" s="12" t="s">
        <v>67</v>
      </c>
      <c r="R2148" s="12" t="s">
        <v>1146</v>
      </c>
      <c r="S2148" s="13">
        <v>197643369356</v>
      </c>
      <c r="T2148" s="12" t="s">
        <v>49</v>
      </c>
      <c r="U2148" s="12" t="s">
        <v>60</v>
      </c>
      <c r="V2148" s="12" t="s">
        <v>2556</v>
      </c>
      <c r="W2148" s="12" t="s">
        <v>598</v>
      </c>
      <c r="X2148" s="13">
        <v>0</v>
      </c>
      <c r="Y2148" s="12" t="s">
        <v>91</v>
      </c>
      <c r="Z2148" s="12" t="s">
        <v>108</v>
      </c>
      <c r="AA2148" s="13">
        <v>0</v>
      </c>
      <c r="AB2148" s="13">
        <v>0</v>
      </c>
      <c r="AC2148" s="15">
        <v>15.5</v>
      </c>
      <c r="AD2148" s="15">
        <f>AC2148*AG2148</f>
        <v>31</v>
      </c>
      <c r="AE2148" s="15">
        <v>34</v>
      </c>
      <c r="AF2148" s="15">
        <f>AE2148*AG2148</f>
        <v>68</v>
      </c>
      <c r="AG2148" s="16">
        <v>2</v>
      </c>
    </row>
    <row r="2149" spans="1:33" ht="15" customHeight="1" x14ac:dyDescent="0.2">
      <c r="A2149" s="11" t="str">
        <f>HYPERLINK("https://assets.vans.eu/images/VN000MC8E30-HERO/1","VN000MC8E301")</f>
        <v>VN000MC8E301</v>
      </c>
      <c r="B2149" s="12" t="s">
        <v>8112</v>
      </c>
      <c r="C2149" s="12" t="s">
        <v>8113</v>
      </c>
      <c r="D2149" s="12" t="s">
        <v>619</v>
      </c>
      <c r="E2149" s="12" t="s">
        <v>8114</v>
      </c>
      <c r="F2149" s="12" t="s">
        <v>138</v>
      </c>
      <c r="G2149" s="14"/>
      <c r="H2149" s="12" t="s">
        <v>61</v>
      </c>
      <c r="I2149" s="12" t="s">
        <v>289</v>
      </c>
      <c r="J2149" s="12" t="s">
        <v>706</v>
      </c>
      <c r="K2149" s="12" t="s">
        <v>100</v>
      </c>
      <c r="L2149" s="14"/>
      <c r="M2149" s="12" t="s">
        <v>43</v>
      </c>
      <c r="N2149" s="12" t="s">
        <v>44</v>
      </c>
      <c r="O2149" s="12" t="s">
        <v>8115</v>
      </c>
      <c r="P2149" s="12" t="s">
        <v>66</v>
      </c>
      <c r="Q2149" s="12" t="s">
        <v>67</v>
      </c>
      <c r="R2149" s="12" t="s">
        <v>1146</v>
      </c>
      <c r="S2149" s="13">
        <v>197643370406</v>
      </c>
      <c r="T2149" s="12" t="s">
        <v>709</v>
      </c>
      <c r="U2149" s="12" t="s">
        <v>138</v>
      </c>
      <c r="V2149" s="12" t="s">
        <v>423</v>
      </c>
      <c r="W2149" s="12" t="s">
        <v>625</v>
      </c>
      <c r="X2149" s="13">
        <v>0</v>
      </c>
      <c r="Y2149" s="12" t="s">
        <v>91</v>
      </c>
      <c r="Z2149" s="12" t="s">
        <v>108</v>
      </c>
      <c r="AA2149" s="13">
        <v>0</v>
      </c>
      <c r="AB2149" s="13">
        <v>0</v>
      </c>
      <c r="AC2149" s="15">
        <v>15.5</v>
      </c>
      <c r="AD2149" s="15">
        <f>AC2149*AG2149</f>
        <v>31</v>
      </c>
      <c r="AE2149" s="15">
        <v>34</v>
      </c>
      <c r="AF2149" s="15">
        <f>AE2149*AG2149</f>
        <v>68</v>
      </c>
      <c r="AG2149" s="16">
        <v>2</v>
      </c>
    </row>
    <row r="2150" spans="1:33" ht="15" customHeight="1" x14ac:dyDescent="0.2">
      <c r="A2150" s="11" t="str">
        <f>HYPERLINK("https://assets.vans.eu/images/VN000MEMZBF-HERO/1","VN000MEMZBF1")</f>
        <v>VN000MEMZBF1</v>
      </c>
      <c r="B2150" s="12" t="s">
        <v>8116</v>
      </c>
      <c r="C2150" s="12" t="s">
        <v>8117</v>
      </c>
      <c r="D2150" s="12" t="s">
        <v>680</v>
      </c>
      <c r="E2150" s="12" t="s">
        <v>8118</v>
      </c>
      <c r="F2150" s="12" t="s">
        <v>170</v>
      </c>
      <c r="G2150" s="14"/>
      <c r="H2150" s="12" t="s">
        <v>61</v>
      </c>
      <c r="I2150" s="12" t="s">
        <v>62</v>
      </c>
      <c r="J2150" s="12" t="s">
        <v>972</v>
      </c>
      <c r="K2150" s="12" t="s">
        <v>1022</v>
      </c>
      <c r="L2150" s="14"/>
      <c r="M2150" s="12" t="s">
        <v>43</v>
      </c>
      <c r="N2150" s="12" t="s">
        <v>44</v>
      </c>
      <c r="O2150" s="12" t="s">
        <v>8119</v>
      </c>
      <c r="P2150" s="12" t="s">
        <v>66</v>
      </c>
      <c r="Q2150" s="12" t="s">
        <v>233</v>
      </c>
      <c r="R2150" s="12" t="s">
        <v>8120</v>
      </c>
      <c r="S2150" s="13">
        <v>197643372226</v>
      </c>
      <c r="T2150" s="12" t="s">
        <v>235</v>
      </c>
      <c r="U2150" s="12" t="s">
        <v>170</v>
      </c>
      <c r="V2150" s="12" t="s">
        <v>665</v>
      </c>
      <c r="W2150" s="12" t="s">
        <v>118</v>
      </c>
      <c r="X2150" s="13">
        <v>0</v>
      </c>
      <c r="Y2150" s="12" t="s">
        <v>91</v>
      </c>
      <c r="Z2150" s="12" t="s">
        <v>108</v>
      </c>
      <c r="AA2150" s="13">
        <v>0</v>
      </c>
      <c r="AB2150" s="13">
        <v>0</v>
      </c>
      <c r="AC2150" s="15">
        <v>18.2</v>
      </c>
      <c r="AD2150" s="15">
        <f>AC2150*AG2150</f>
        <v>36.4</v>
      </c>
      <c r="AE2150" s="15">
        <v>40</v>
      </c>
      <c r="AF2150" s="15">
        <f>AE2150*AG2150</f>
        <v>80</v>
      </c>
      <c r="AG2150" s="16">
        <v>2</v>
      </c>
    </row>
    <row r="2151" spans="1:33" ht="15" customHeight="1" x14ac:dyDescent="0.2">
      <c r="A2151" s="11" t="str">
        <f t="shared" si="260"/>
        <v>VN000MFWUUI1</v>
      </c>
      <c r="B2151" s="12" t="s">
        <v>8121</v>
      </c>
      <c r="C2151" s="12" t="s">
        <v>1338</v>
      </c>
      <c r="D2151" s="12" t="s">
        <v>723</v>
      </c>
      <c r="E2151" s="12" t="s">
        <v>8122</v>
      </c>
      <c r="F2151" s="12" t="s">
        <v>2382</v>
      </c>
      <c r="G2151" s="14"/>
      <c r="H2151" s="12" t="s">
        <v>61</v>
      </c>
      <c r="I2151" s="12" t="s">
        <v>1340</v>
      </c>
      <c r="J2151" s="12" t="s">
        <v>1341</v>
      </c>
      <c r="K2151" s="12" t="s">
        <v>1022</v>
      </c>
      <c r="L2151" s="14"/>
      <c r="M2151" s="12" t="s">
        <v>43</v>
      </c>
      <c r="N2151" s="12" t="s">
        <v>44</v>
      </c>
      <c r="O2151" s="12" t="s">
        <v>8123</v>
      </c>
      <c r="P2151" s="12" t="s">
        <v>66</v>
      </c>
      <c r="Q2151" s="12" t="s">
        <v>67</v>
      </c>
      <c r="R2151" s="12" t="s">
        <v>730</v>
      </c>
      <c r="S2151" s="13">
        <v>197643373230</v>
      </c>
      <c r="T2151" s="12" t="s">
        <v>49</v>
      </c>
      <c r="U2151" s="12" t="s">
        <v>2382</v>
      </c>
      <c r="V2151" s="12" t="s">
        <v>1343</v>
      </c>
      <c r="W2151" s="12" t="s">
        <v>107</v>
      </c>
      <c r="X2151" s="13">
        <v>0</v>
      </c>
      <c r="Y2151" s="12" t="s">
        <v>91</v>
      </c>
      <c r="Z2151" s="12" t="s">
        <v>108</v>
      </c>
      <c r="AA2151" s="13">
        <v>0</v>
      </c>
      <c r="AB2151" s="13">
        <v>0</v>
      </c>
      <c r="AC2151" s="15">
        <v>26.4</v>
      </c>
      <c r="AD2151" s="15">
        <f>AC2151*AG2151</f>
        <v>52.8</v>
      </c>
      <c r="AE2151" s="15">
        <v>58</v>
      </c>
      <c r="AF2151" s="15">
        <f>AE2151*AG2151</f>
        <v>116</v>
      </c>
      <c r="AG2151" s="16">
        <v>2</v>
      </c>
    </row>
    <row r="2152" spans="1:33" ht="15" customHeight="1" x14ac:dyDescent="0.2">
      <c r="A2152" s="11" t="str">
        <f t="shared" ref="A2152:A3205" si="885">HYPERLINK("https://assets.vans.eu/images/VN000MG8UUI-HERO/1","VN000MG8UUI1")</f>
        <v>VN000MG8UUI1</v>
      </c>
      <c r="B2152" s="12" t="s">
        <v>8124</v>
      </c>
      <c r="C2152" s="12" t="s">
        <v>8125</v>
      </c>
      <c r="D2152" s="12" t="s">
        <v>723</v>
      </c>
      <c r="E2152" s="12" t="s">
        <v>8126</v>
      </c>
      <c r="F2152" s="13">
        <v>2</v>
      </c>
      <c r="G2152" s="14"/>
      <c r="H2152" s="12" t="s">
        <v>61</v>
      </c>
      <c r="I2152" s="12" t="s">
        <v>1340</v>
      </c>
      <c r="J2152" s="12" t="s">
        <v>1341</v>
      </c>
      <c r="K2152" s="12" t="s">
        <v>1022</v>
      </c>
      <c r="L2152" s="14"/>
      <c r="M2152" s="12" t="s">
        <v>43</v>
      </c>
      <c r="N2152" s="12" t="s">
        <v>44</v>
      </c>
      <c r="O2152" s="12" t="s">
        <v>8127</v>
      </c>
      <c r="P2152" s="12" t="s">
        <v>66</v>
      </c>
      <c r="Q2152" s="12" t="s">
        <v>67</v>
      </c>
      <c r="R2152" s="12" t="s">
        <v>68</v>
      </c>
      <c r="S2152" s="13">
        <v>197643373308</v>
      </c>
      <c r="T2152" s="12" t="s">
        <v>915</v>
      </c>
      <c r="U2152" s="13">
        <v>2</v>
      </c>
      <c r="V2152" s="12" t="s">
        <v>665</v>
      </c>
      <c r="W2152" s="12" t="s">
        <v>107</v>
      </c>
      <c r="X2152" s="13">
        <v>0</v>
      </c>
      <c r="Y2152" s="12" t="s">
        <v>91</v>
      </c>
      <c r="Z2152" s="12" t="s">
        <v>108</v>
      </c>
      <c r="AA2152" s="13">
        <v>0</v>
      </c>
      <c r="AB2152" s="13">
        <v>0</v>
      </c>
      <c r="AC2152" s="15">
        <v>10.95</v>
      </c>
      <c r="AD2152" s="15">
        <f>AC2152*AG2152</f>
        <v>21.9</v>
      </c>
      <c r="AE2152" s="15">
        <v>24</v>
      </c>
      <c r="AF2152" s="15">
        <f>AE2152*AG2152</f>
        <v>48</v>
      </c>
      <c r="AG2152" s="16">
        <v>2</v>
      </c>
    </row>
    <row r="2153" spans="1:33" ht="15" customHeight="1" x14ac:dyDescent="0.2">
      <c r="A2153" s="11" t="str">
        <f t="shared" ref="A2153:A3206" si="886">HYPERLINK("https://assets.vans.eu/images/VN000MGGBLK-HERO/1","VN000MGGBLK1")</f>
        <v>VN000MGGBLK1</v>
      </c>
      <c r="B2153" s="12" t="s">
        <v>8128</v>
      </c>
      <c r="C2153" s="12" t="s">
        <v>8129</v>
      </c>
      <c r="D2153" s="12" t="s">
        <v>76</v>
      </c>
      <c r="E2153" s="12" t="s">
        <v>8130</v>
      </c>
      <c r="F2153" s="12" t="s">
        <v>170</v>
      </c>
      <c r="G2153" s="14"/>
      <c r="H2153" s="12" t="s">
        <v>61</v>
      </c>
      <c r="I2153" s="12" t="s">
        <v>62</v>
      </c>
      <c r="J2153" s="12" t="s">
        <v>63</v>
      </c>
      <c r="K2153" s="12" t="s">
        <v>64</v>
      </c>
      <c r="L2153" s="14"/>
      <c r="M2153" s="12" t="s">
        <v>43</v>
      </c>
      <c r="N2153" s="12" t="s">
        <v>44</v>
      </c>
      <c r="O2153" s="12" t="s">
        <v>8131</v>
      </c>
      <c r="P2153" s="12" t="s">
        <v>66</v>
      </c>
      <c r="Q2153" s="12" t="s">
        <v>67</v>
      </c>
      <c r="R2153" s="12" t="s">
        <v>1791</v>
      </c>
      <c r="S2153" s="13">
        <v>197643373445</v>
      </c>
      <c r="T2153" s="12" t="s">
        <v>235</v>
      </c>
      <c r="U2153" s="12" t="s">
        <v>170</v>
      </c>
      <c r="V2153" s="12" t="s">
        <v>8132</v>
      </c>
      <c r="W2153" s="12" t="s">
        <v>51</v>
      </c>
      <c r="X2153" s="12" t="s">
        <v>500</v>
      </c>
      <c r="Y2153" s="12" t="s">
        <v>91</v>
      </c>
      <c r="Z2153" s="12" t="s">
        <v>108</v>
      </c>
      <c r="AA2153" s="13">
        <v>0</v>
      </c>
      <c r="AB2153" s="13">
        <v>0</v>
      </c>
      <c r="AC2153" s="15">
        <v>20.5</v>
      </c>
      <c r="AD2153" s="15">
        <f>AC2153*AG2153</f>
        <v>41</v>
      </c>
      <c r="AE2153" s="15">
        <v>45</v>
      </c>
      <c r="AF2153" s="15">
        <f>AE2153*AG2153</f>
        <v>90</v>
      </c>
      <c r="AG2153" s="16">
        <v>2</v>
      </c>
    </row>
    <row r="2154" spans="1:33" ht="15" customHeight="1" x14ac:dyDescent="0.2">
      <c r="A2154" s="11" t="str">
        <f>HYPERLINK("https://assets.vans.eu/images/VN000MH702F-HERO/1","VN000MH702F1")</f>
        <v>VN000MH702F1</v>
      </c>
      <c r="B2154" s="12" t="s">
        <v>8133</v>
      </c>
      <c r="C2154" s="12" t="s">
        <v>8134</v>
      </c>
      <c r="D2154" s="12" t="s">
        <v>857</v>
      </c>
      <c r="E2154" s="12" t="s">
        <v>8135</v>
      </c>
      <c r="F2154" s="12" t="s">
        <v>60</v>
      </c>
      <c r="G2154" s="14"/>
      <c r="H2154" s="12" t="s">
        <v>61</v>
      </c>
      <c r="I2154" s="12" t="s">
        <v>62</v>
      </c>
      <c r="J2154" s="12" t="s">
        <v>63</v>
      </c>
      <c r="K2154" s="12" t="s">
        <v>64</v>
      </c>
      <c r="L2154" s="14"/>
      <c r="M2154" s="12" t="s">
        <v>43</v>
      </c>
      <c r="N2154" s="12" t="s">
        <v>44</v>
      </c>
      <c r="O2154" s="12" t="s">
        <v>8136</v>
      </c>
      <c r="P2154" s="12" t="s">
        <v>66</v>
      </c>
      <c r="Q2154" s="12" t="s">
        <v>67</v>
      </c>
      <c r="R2154" s="12" t="s">
        <v>730</v>
      </c>
      <c r="S2154" s="13">
        <v>197643374244</v>
      </c>
      <c r="T2154" s="12" t="s">
        <v>89</v>
      </c>
      <c r="U2154" s="12" t="s">
        <v>60</v>
      </c>
      <c r="V2154" s="12" t="s">
        <v>8137</v>
      </c>
      <c r="W2154" s="12" t="s">
        <v>455</v>
      </c>
      <c r="X2154" s="13">
        <v>0</v>
      </c>
      <c r="Y2154" s="12" t="s">
        <v>53</v>
      </c>
      <c r="Z2154" s="12" t="s">
        <v>108</v>
      </c>
      <c r="AA2154" s="13">
        <v>0</v>
      </c>
      <c r="AB2154" s="13">
        <v>0</v>
      </c>
      <c r="AC2154" s="15">
        <v>31.85</v>
      </c>
      <c r="AD2154" s="15">
        <f>AC2154*AG2154</f>
        <v>63.7</v>
      </c>
      <c r="AE2154" s="15">
        <v>70</v>
      </c>
      <c r="AF2154" s="15">
        <f>AE2154*AG2154</f>
        <v>140</v>
      </c>
      <c r="AG2154" s="16">
        <v>2</v>
      </c>
    </row>
    <row r="2155" spans="1:33" ht="15" customHeight="1" x14ac:dyDescent="0.2">
      <c r="A2155" s="11" t="str">
        <f>HYPERLINK("https://assets.vans.eu/images/VN000MH9BLK-HERO/1","VN000MH9BLK1")</f>
        <v>VN000MH9BLK1</v>
      </c>
      <c r="B2155" s="12" t="s">
        <v>8138</v>
      </c>
      <c r="C2155" s="12" t="s">
        <v>8139</v>
      </c>
      <c r="D2155" s="12" t="s">
        <v>76</v>
      </c>
      <c r="E2155" s="12" t="s">
        <v>8140</v>
      </c>
      <c r="F2155" s="12" t="s">
        <v>403</v>
      </c>
      <c r="G2155" s="14"/>
      <c r="H2155" s="12" t="s">
        <v>61</v>
      </c>
      <c r="I2155" s="12" t="s">
        <v>62</v>
      </c>
      <c r="J2155" s="12" t="s">
        <v>63</v>
      </c>
      <c r="K2155" s="12" t="s">
        <v>64</v>
      </c>
      <c r="L2155" s="14"/>
      <c r="M2155" s="12" t="s">
        <v>43</v>
      </c>
      <c r="N2155" s="12" t="s">
        <v>44</v>
      </c>
      <c r="O2155" s="12" t="s">
        <v>8141</v>
      </c>
      <c r="P2155" s="12" t="s">
        <v>66</v>
      </c>
      <c r="Q2155" s="12" t="s">
        <v>67</v>
      </c>
      <c r="R2155" s="12" t="s">
        <v>730</v>
      </c>
      <c r="S2155" s="13">
        <v>197803401384</v>
      </c>
      <c r="T2155" s="12" t="s">
        <v>499</v>
      </c>
      <c r="U2155" s="12" t="s">
        <v>403</v>
      </c>
      <c r="V2155" s="12" t="s">
        <v>70</v>
      </c>
      <c r="W2155" s="12" t="s">
        <v>51</v>
      </c>
      <c r="X2155" s="13">
        <v>0</v>
      </c>
      <c r="Y2155" s="12" t="s">
        <v>91</v>
      </c>
      <c r="Z2155" s="12" t="s">
        <v>108</v>
      </c>
      <c r="AA2155" s="13">
        <v>0</v>
      </c>
      <c r="AB2155" s="13">
        <v>0</v>
      </c>
      <c r="AC2155" s="15">
        <v>30.95</v>
      </c>
      <c r="AD2155" s="15">
        <f>AC2155*AG2155</f>
        <v>61.9</v>
      </c>
      <c r="AE2155" s="15">
        <v>68</v>
      </c>
      <c r="AF2155" s="15">
        <f>AE2155*AG2155</f>
        <v>136</v>
      </c>
      <c r="AG2155" s="16">
        <v>2</v>
      </c>
    </row>
    <row r="2156" spans="1:33" ht="15" customHeight="1" x14ac:dyDescent="0.2">
      <c r="A2156" s="11" t="str">
        <f>HYPERLINK("https://assets.vans.eu/images/VN000MJ6BLK-HERO/1","VN000MJ6BLK1")</f>
        <v>VN000MJ6BLK1</v>
      </c>
      <c r="B2156" s="12" t="s">
        <v>8142</v>
      </c>
      <c r="C2156" s="12" t="s">
        <v>8143</v>
      </c>
      <c r="D2156" s="12" t="s">
        <v>76</v>
      </c>
      <c r="E2156" s="12" t="s">
        <v>8144</v>
      </c>
      <c r="F2156" s="12" t="s">
        <v>60</v>
      </c>
      <c r="G2156" s="14"/>
      <c r="H2156" s="12" t="s">
        <v>61</v>
      </c>
      <c r="I2156" s="12" t="s">
        <v>62</v>
      </c>
      <c r="J2156" s="12" t="s">
        <v>63</v>
      </c>
      <c r="K2156" s="12" t="s">
        <v>64</v>
      </c>
      <c r="L2156" s="14"/>
      <c r="M2156" s="12" t="s">
        <v>43</v>
      </c>
      <c r="N2156" s="12" t="s">
        <v>44</v>
      </c>
      <c r="O2156" s="12" t="s">
        <v>8145</v>
      </c>
      <c r="P2156" s="12" t="s">
        <v>66</v>
      </c>
      <c r="Q2156" s="12" t="s">
        <v>67</v>
      </c>
      <c r="R2156" s="12" t="s">
        <v>730</v>
      </c>
      <c r="S2156" s="13">
        <v>197643374428</v>
      </c>
      <c r="T2156" s="12" t="s">
        <v>49</v>
      </c>
      <c r="U2156" s="12" t="s">
        <v>60</v>
      </c>
      <c r="V2156" s="12" t="s">
        <v>1726</v>
      </c>
      <c r="W2156" s="12" t="s">
        <v>51</v>
      </c>
      <c r="X2156" s="13">
        <v>0</v>
      </c>
      <c r="Y2156" s="12" t="s">
        <v>91</v>
      </c>
      <c r="Z2156" s="12" t="s">
        <v>108</v>
      </c>
      <c r="AA2156" s="13">
        <v>0</v>
      </c>
      <c r="AB2156" s="13">
        <v>0</v>
      </c>
      <c r="AC2156" s="15">
        <v>26.4</v>
      </c>
      <c r="AD2156" s="15">
        <f>AC2156*AG2156</f>
        <v>52.8</v>
      </c>
      <c r="AE2156" s="15">
        <v>58</v>
      </c>
      <c r="AF2156" s="15">
        <f>AE2156*AG2156</f>
        <v>116</v>
      </c>
      <c r="AG2156" s="16">
        <v>2</v>
      </c>
    </row>
    <row r="2157" spans="1:33" ht="15" customHeight="1" x14ac:dyDescent="0.2">
      <c r="A2157" s="11" t="str">
        <f t="shared" ref="A2157:A2159" si="887">HYPERLINK("https://assets.vans.eu/images/VN000MK8BLK-HERO/1","VN000MK8BLK1")</f>
        <v>VN000MK8BLK1</v>
      </c>
      <c r="B2157" s="12" t="s">
        <v>8146</v>
      </c>
      <c r="C2157" s="12" t="s">
        <v>8147</v>
      </c>
      <c r="D2157" s="12" t="s">
        <v>76</v>
      </c>
      <c r="E2157" s="12" t="s">
        <v>8148</v>
      </c>
      <c r="F2157" s="12" t="s">
        <v>179</v>
      </c>
      <c r="G2157" s="14"/>
      <c r="H2157" s="12" t="s">
        <v>61</v>
      </c>
      <c r="I2157" s="12" t="s">
        <v>62</v>
      </c>
      <c r="J2157" s="12" t="s">
        <v>63</v>
      </c>
      <c r="K2157" s="12" t="s">
        <v>64</v>
      </c>
      <c r="L2157" s="14"/>
      <c r="M2157" s="12" t="s">
        <v>43</v>
      </c>
      <c r="N2157" s="12" t="s">
        <v>44</v>
      </c>
      <c r="O2157" s="12" t="s">
        <v>8149</v>
      </c>
      <c r="P2157" s="12" t="s">
        <v>66</v>
      </c>
      <c r="Q2157" s="12" t="s">
        <v>67</v>
      </c>
      <c r="R2157" s="12" t="s">
        <v>68</v>
      </c>
      <c r="S2157" s="13">
        <v>197803401452</v>
      </c>
      <c r="T2157" s="12" t="s">
        <v>422</v>
      </c>
      <c r="U2157" s="12" t="s">
        <v>179</v>
      </c>
      <c r="V2157" s="12" t="s">
        <v>70</v>
      </c>
      <c r="W2157" s="12" t="s">
        <v>51</v>
      </c>
      <c r="X2157" s="12" t="s">
        <v>500</v>
      </c>
      <c r="Y2157" s="12" t="s">
        <v>91</v>
      </c>
      <c r="Z2157" s="12" t="s">
        <v>108</v>
      </c>
      <c r="AA2157" s="13">
        <v>0</v>
      </c>
      <c r="AB2157" s="13">
        <v>0</v>
      </c>
      <c r="AC2157" s="15">
        <v>14.55</v>
      </c>
      <c r="AD2157" s="15">
        <f>AC2157*AG2157</f>
        <v>29.1</v>
      </c>
      <c r="AE2157" s="15">
        <v>32</v>
      </c>
      <c r="AF2157" s="15">
        <f>AE2157*AG2157</f>
        <v>64</v>
      </c>
      <c r="AG2157" s="16">
        <v>2</v>
      </c>
    </row>
    <row r="2158" spans="1:33" ht="15" customHeight="1" x14ac:dyDescent="0.2">
      <c r="A2158" s="11" t="str">
        <f t="shared" si="887"/>
        <v>VN000MK8BLK1</v>
      </c>
      <c r="B2158" s="12" t="s">
        <v>8150</v>
      </c>
      <c r="C2158" s="12" t="s">
        <v>8147</v>
      </c>
      <c r="D2158" s="12" t="s">
        <v>76</v>
      </c>
      <c r="E2158" s="12" t="s">
        <v>8151</v>
      </c>
      <c r="F2158" s="12" t="s">
        <v>170</v>
      </c>
      <c r="G2158" s="14"/>
      <c r="H2158" s="12" t="s">
        <v>61</v>
      </c>
      <c r="I2158" s="12" t="s">
        <v>62</v>
      </c>
      <c r="J2158" s="12" t="s">
        <v>63</v>
      </c>
      <c r="K2158" s="12" t="s">
        <v>64</v>
      </c>
      <c r="L2158" s="14"/>
      <c r="M2158" s="12" t="s">
        <v>43</v>
      </c>
      <c r="N2158" s="12" t="s">
        <v>44</v>
      </c>
      <c r="O2158" s="12" t="s">
        <v>8152</v>
      </c>
      <c r="P2158" s="12" t="s">
        <v>66</v>
      </c>
      <c r="Q2158" s="12" t="s">
        <v>67</v>
      </c>
      <c r="R2158" s="12" t="s">
        <v>68</v>
      </c>
      <c r="S2158" s="13">
        <v>197803401483</v>
      </c>
      <c r="T2158" s="12" t="s">
        <v>422</v>
      </c>
      <c r="U2158" s="12" t="s">
        <v>170</v>
      </c>
      <c r="V2158" s="12" t="s">
        <v>70</v>
      </c>
      <c r="W2158" s="12" t="s">
        <v>51</v>
      </c>
      <c r="X2158" s="12" t="s">
        <v>500</v>
      </c>
      <c r="Y2158" s="12" t="s">
        <v>91</v>
      </c>
      <c r="Z2158" s="12" t="s">
        <v>108</v>
      </c>
      <c r="AA2158" s="13">
        <v>0</v>
      </c>
      <c r="AB2158" s="13">
        <v>0</v>
      </c>
      <c r="AC2158" s="15">
        <v>14.55</v>
      </c>
      <c r="AD2158" s="15">
        <f>AC2158*AG2158</f>
        <v>29.1</v>
      </c>
      <c r="AE2158" s="15">
        <v>32</v>
      </c>
      <c r="AF2158" s="15">
        <f>AE2158*AG2158</f>
        <v>64</v>
      </c>
      <c r="AG2158" s="16">
        <v>2</v>
      </c>
    </row>
    <row r="2159" spans="1:33" ht="15" customHeight="1" x14ac:dyDescent="0.2">
      <c r="A2159" s="11" t="str">
        <f t="shared" si="887"/>
        <v>VN000MK8BLK1</v>
      </c>
      <c r="B2159" s="12" t="s">
        <v>8153</v>
      </c>
      <c r="C2159" s="12" t="s">
        <v>8147</v>
      </c>
      <c r="D2159" s="12" t="s">
        <v>76</v>
      </c>
      <c r="E2159" s="12" t="s">
        <v>8154</v>
      </c>
      <c r="F2159" s="12" t="s">
        <v>60</v>
      </c>
      <c r="G2159" s="14"/>
      <c r="H2159" s="12" t="s">
        <v>61</v>
      </c>
      <c r="I2159" s="12" t="s">
        <v>62</v>
      </c>
      <c r="J2159" s="12" t="s">
        <v>63</v>
      </c>
      <c r="K2159" s="12" t="s">
        <v>64</v>
      </c>
      <c r="L2159" s="14"/>
      <c r="M2159" s="12" t="s">
        <v>43</v>
      </c>
      <c r="N2159" s="12" t="s">
        <v>44</v>
      </c>
      <c r="O2159" s="12" t="s">
        <v>8155</v>
      </c>
      <c r="P2159" s="12" t="s">
        <v>66</v>
      </c>
      <c r="Q2159" s="12" t="s">
        <v>67</v>
      </c>
      <c r="R2159" s="12" t="s">
        <v>68</v>
      </c>
      <c r="S2159" s="13">
        <v>197803401674</v>
      </c>
      <c r="T2159" s="12" t="s">
        <v>422</v>
      </c>
      <c r="U2159" s="12" t="s">
        <v>60</v>
      </c>
      <c r="V2159" s="12" t="s">
        <v>70</v>
      </c>
      <c r="W2159" s="12" t="s">
        <v>51</v>
      </c>
      <c r="X2159" s="12" t="s">
        <v>500</v>
      </c>
      <c r="Y2159" s="12" t="s">
        <v>91</v>
      </c>
      <c r="Z2159" s="12" t="s">
        <v>108</v>
      </c>
      <c r="AA2159" s="13">
        <v>0</v>
      </c>
      <c r="AB2159" s="13">
        <v>0</v>
      </c>
      <c r="AC2159" s="15">
        <v>14.55</v>
      </c>
      <c r="AD2159" s="15">
        <f>AC2159*AG2159</f>
        <v>29.1</v>
      </c>
      <c r="AE2159" s="15">
        <v>32</v>
      </c>
      <c r="AF2159" s="15">
        <f>AE2159*AG2159</f>
        <v>64</v>
      </c>
      <c r="AG2159" s="16">
        <v>2</v>
      </c>
    </row>
    <row r="2160" spans="1:33" ht="15" customHeight="1" x14ac:dyDescent="0.2">
      <c r="A2160" s="11" t="str">
        <f>HYPERLINK("https://assets.vans.eu/images/VN000MKU6PH-HERO/1","VN000MKU6PH1")</f>
        <v>VN000MKU6PH1</v>
      </c>
      <c r="B2160" s="12" t="s">
        <v>8156</v>
      </c>
      <c r="C2160" s="12" t="s">
        <v>8157</v>
      </c>
      <c r="D2160" s="12" t="s">
        <v>1878</v>
      </c>
      <c r="E2160" s="12" t="s">
        <v>8158</v>
      </c>
      <c r="F2160" s="12" t="s">
        <v>60</v>
      </c>
      <c r="G2160" s="14"/>
      <c r="H2160" s="12" t="s">
        <v>61</v>
      </c>
      <c r="I2160" s="12" t="s">
        <v>62</v>
      </c>
      <c r="J2160" s="12" t="s">
        <v>63</v>
      </c>
      <c r="K2160" s="12" t="s">
        <v>64</v>
      </c>
      <c r="L2160" s="14"/>
      <c r="M2160" s="12" t="s">
        <v>43</v>
      </c>
      <c r="N2160" s="12" t="s">
        <v>44</v>
      </c>
      <c r="O2160" s="12" t="s">
        <v>8159</v>
      </c>
      <c r="P2160" s="12" t="s">
        <v>66</v>
      </c>
      <c r="Q2160" s="12" t="s">
        <v>67</v>
      </c>
      <c r="R2160" s="12" t="s">
        <v>68</v>
      </c>
      <c r="S2160" s="13">
        <v>197643375609</v>
      </c>
      <c r="T2160" s="12" t="s">
        <v>422</v>
      </c>
      <c r="U2160" s="12" t="s">
        <v>60</v>
      </c>
      <c r="V2160" s="12" t="s">
        <v>70</v>
      </c>
      <c r="W2160" s="12" t="s">
        <v>107</v>
      </c>
      <c r="X2160" s="12" t="s">
        <v>500</v>
      </c>
      <c r="Y2160" s="12" t="s">
        <v>91</v>
      </c>
      <c r="Z2160" s="12" t="s">
        <v>108</v>
      </c>
      <c r="AA2160" s="13">
        <v>0</v>
      </c>
      <c r="AB2160" s="13">
        <v>0</v>
      </c>
      <c r="AC2160" s="15">
        <v>13.65</v>
      </c>
      <c r="AD2160" s="15">
        <f>AC2160*AG2160</f>
        <v>27.3</v>
      </c>
      <c r="AE2160" s="15">
        <v>30</v>
      </c>
      <c r="AF2160" s="15">
        <f>AE2160*AG2160</f>
        <v>60</v>
      </c>
      <c r="AG2160" s="16">
        <v>2</v>
      </c>
    </row>
    <row r="2161" spans="1:33" ht="15" customHeight="1" x14ac:dyDescent="0.2">
      <c r="A2161" s="11" t="str">
        <f t="shared" ref="A2161:A3220" si="888">HYPERLINK("https://assets.vans.eu/images/VN000MKYBLK-HERO/1","VN000MKYBLK1")</f>
        <v>VN000MKYBLK1</v>
      </c>
      <c r="B2161" s="12" t="s">
        <v>8160</v>
      </c>
      <c r="C2161" s="12" t="s">
        <v>8161</v>
      </c>
      <c r="D2161" s="12" t="s">
        <v>76</v>
      </c>
      <c r="E2161" s="12" t="s">
        <v>8162</v>
      </c>
      <c r="F2161" s="12" t="s">
        <v>403</v>
      </c>
      <c r="G2161" s="14"/>
      <c r="H2161" s="12" t="s">
        <v>61</v>
      </c>
      <c r="I2161" s="12" t="s">
        <v>62</v>
      </c>
      <c r="J2161" s="12" t="s">
        <v>63</v>
      </c>
      <c r="K2161" s="12" t="s">
        <v>64</v>
      </c>
      <c r="L2161" s="14"/>
      <c r="M2161" s="12" t="s">
        <v>43</v>
      </c>
      <c r="N2161" s="12" t="s">
        <v>44</v>
      </c>
      <c r="O2161" s="12" t="s">
        <v>8163</v>
      </c>
      <c r="P2161" s="12" t="s">
        <v>66</v>
      </c>
      <c r="Q2161" s="12" t="s">
        <v>67</v>
      </c>
      <c r="R2161" s="12" t="s">
        <v>68</v>
      </c>
      <c r="S2161" s="13">
        <v>197643375524</v>
      </c>
      <c r="T2161" s="12" t="s">
        <v>915</v>
      </c>
      <c r="U2161" s="12" t="s">
        <v>403</v>
      </c>
      <c r="V2161" s="12" t="s">
        <v>1028</v>
      </c>
      <c r="W2161" s="12" t="s">
        <v>51</v>
      </c>
      <c r="X2161" s="12" t="s">
        <v>500</v>
      </c>
      <c r="Y2161" s="12" t="s">
        <v>91</v>
      </c>
      <c r="Z2161" s="12" t="s">
        <v>108</v>
      </c>
      <c r="AA2161" s="13">
        <v>0</v>
      </c>
      <c r="AB2161" s="13">
        <v>0</v>
      </c>
      <c r="AC2161" s="15">
        <v>13.65</v>
      </c>
      <c r="AD2161" s="15">
        <f>AC2161*AG2161</f>
        <v>27.3</v>
      </c>
      <c r="AE2161" s="15">
        <v>30</v>
      </c>
      <c r="AF2161" s="15">
        <f>AE2161*AG2161</f>
        <v>60</v>
      </c>
      <c r="AG2161" s="16">
        <v>2</v>
      </c>
    </row>
    <row r="2162" spans="1:33" ht="15" customHeight="1" x14ac:dyDescent="0.2">
      <c r="A2162" s="11" t="str">
        <f t="shared" ref="A2162:A2163" si="889">HYPERLINK("https://assets.vans.eu/images/VN000MMC7WM-HERO/1","VN000MMC7WM1")</f>
        <v>VN000MMC7WM1</v>
      </c>
      <c r="B2162" s="12" t="s">
        <v>8164</v>
      </c>
      <c r="C2162" s="12" t="s">
        <v>8165</v>
      </c>
      <c r="D2162" s="12" t="s">
        <v>388</v>
      </c>
      <c r="E2162" s="12" t="s">
        <v>8166</v>
      </c>
      <c r="F2162" s="13">
        <v>2</v>
      </c>
      <c r="G2162" s="14"/>
      <c r="H2162" s="12" t="s">
        <v>61</v>
      </c>
      <c r="I2162" s="12" t="s">
        <v>1340</v>
      </c>
      <c r="J2162" s="12" t="s">
        <v>1341</v>
      </c>
      <c r="K2162" s="12" t="s">
        <v>64</v>
      </c>
      <c r="L2162" s="14"/>
      <c r="M2162" s="12" t="s">
        <v>43</v>
      </c>
      <c r="N2162" s="12" t="s">
        <v>44</v>
      </c>
      <c r="O2162" s="12" t="s">
        <v>8167</v>
      </c>
      <c r="P2162" s="12" t="s">
        <v>66</v>
      </c>
      <c r="Q2162" s="12" t="s">
        <v>67</v>
      </c>
      <c r="R2162" s="12" t="s">
        <v>730</v>
      </c>
      <c r="S2162" s="13">
        <v>197643375678</v>
      </c>
      <c r="T2162" s="12" t="s">
        <v>69</v>
      </c>
      <c r="U2162" s="13">
        <v>2</v>
      </c>
      <c r="V2162" s="12" t="s">
        <v>1378</v>
      </c>
      <c r="W2162" s="12" t="s">
        <v>284</v>
      </c>
      <c r="X2162" s="13">
        <v>0</v>
      </c>
      <c r="Y2162" s="12" t="s">
        <v>91</v>
      </c>
      <c r="Z2162" s="12" t="s">
        <v>108</v>
      </c>
      <c r="AA2162" s="13">
        <v>0</v>
      </c>
      <c r="AB2162" s="13">
        <v>0</v>
      </c>
      <c r="AC2162" s="15">
        <v>27.3</v>
      </c>
      <c r="AD2162" s="15">
        <f>AC2162*AG2162</f>
        <v>54.6</v>
      </c>
      <c r="AE2162" s="15">
        <v>60</v>
      </c>
      <c r="AF2162" s="15">
        <f>AE2162*AG2162</f>
        <v>120</v>
      </c>
      <c r="AG2162" s="16">
        <v>2</v>
      </c>
    </row>
    <row r="2163" spans="1:33" ht="15" customHeight="1" x14ac:dyDescent="0.2">
      <c r="A2163" s="11" t="str">
        <f t="shared" si="889"/>
        <v>VN000MMC7WM1</v>
      </c>
      <c r="B2163" s="12" t="s">
        <v>8168</v>
      </c>
      <c r="C2163" s="12" t="s">
        <v>8165</v>
      </c>
      <c r="D2163" s="12" t="s">
        <v>388</v>
      </c>
      <c r="E2163" s="12" t="s">
        <v>8169</v>
      </c>
      <c r="F2163" s="13">
        <v>3</v>
      </c>
      <c r="G2163" s="14"/>
      <c r="H2163" s="12" t="s">
        <v>61</v>
      </c>
      <c r="I2163" s="12" t="s">
        <v>1340</v>
      </c>
      <c r="J2163" s="12" t="s">
        <v>1341</v>
      </c>
      <c r="K2163" s="12" t="s">
        <v>64</v>
      </c>
      <c r="L2163" s="14"/>
      <c r="M2163" s="12" t="s">
        <v>43</v>
      </c>
      <c r="N2163" s="12" t="s">
        <v>44</v>
      </c>
      <c r="O2163" s="12" t="s">
        <v>8170</v>
      </c>
      <c r="P2163" s="12" t="s">
        <v>66</v>
      </c>
      <c r="Q2163" s="12" t="s">
        <v>67</v>
      </c>
      <c r="R2163" s="12" t="s">
        <v>730</v>
      </c>
      <c r="S2163" s="13">
        <v>197643376002</v>
      </c>
      <c r="T2163" s="12" t="s">
        <v>69</v>
      </c>
      <c r="U2163" s="13">
        <v>3</v>
      </c>
      <c r="V2163" s="12" t="s">
        <v>1378</v>
      </c>
      <c r="W2163" s="12" t="s">
        <v>284</v>
      </c>
      <c r="X2163" s="13">
        <v>0</v>
      </c>
      <c r="Y2163" s="12" t="s">
        <v>91</v>
      </c>
      <c r="Z2163" s="12" t="s">
        <v>108</v>
      </c>
      <c r="AA2163" s="13">
        <v>0</v>
      </c>
      <c r="AB2163" s="13">
        <v>0</v>
      </c>
      <c r="AC2163" s="15">
        <v>27.3</v>
      </c>
      <c r="AD2163" s="15">
        <f>AC2163*AG2163</f>
        <v>54.6</v>
      </c>
      <c r="AE2163" s="15">
        <v>60</v>
      </c>
      <c r="AF2163" s="15">
        <f>AE2163*AG2163</f>
        <v>120</v>
      </c>
      <c r="AG2163" s="16">
        <v>2</v>
      </c>
    </row>
    <row r="2164" spans="1:33" ht="15" customHeight="1" x14ac:dyDescent="0.2">
      <c r="A2164" s="11" t="str">
        <f t="shared" ref="A2164:A3230" si="890">HYPERLINK("https://assets.vans.eu/images/VN000ND8JDU-HERO/1","VN000ND8JDU1")</f>
        <v>VN000ND8JDU1</v>
      </c>
      <c r="B2164" s="12" t="s">
        <v>8171</v>
      </c>
      <c r="C2164" s="12" t="s">
        <v>8172</v>
      </c>
      <c r="D2164" s="12" t="s">
        <v>814</v>
      </c>
      <c r="E2164" s="12" t="s">
        <v>8173</v>
      </c>
      <c r="F2164" s="12" t="s">
        <v>403</v>
      </c>
      <c r="G2164" s="14"/>
      <c r="H2164" s="12" t="s">
        <v>61</v>
      </c>
      <c r="I2164" s="12" t="s">
        <v>230</v>
      </c>
      <c r="J2164" s="12" t="s">
        <v>419</v>
      </c>
      <c r="K2164" s="12" t="s">
        <v>199</v>
      </c>
      <c r="L2164" s="14"/>
      <c r="M2164" s="12" t="s">
        <v>43</v>
      </c>
      <c r="N2164" s="12" t="s">
        <v>44</v>
      </c>
      <c r="O2164" s="12" t="s">
        <v>8174</v>
      </c>
      <c r="P2164" s="12" t="s">
        <v>66</v>
      </c>
      <c r="Q2164" s="12" t="s">
        <v>67</v>
      </c>
      <c r="R2164" s="12" t="s">
        <v>421</v>
      </c>
      <c r="S2164" s="13">
        <v>197643420095</v>
      </c>
      <c r="T2164" s="12" t="s">
        <v>49</v>
      </c>
      <c r="U2164" s="12" t="s">
        <v>403</v>
      </c>
      <c r="V2164" s="12" t="s">
        <v>665</v>
      </c>
      <c r="W2164" s="12" t="s">
        <v>284</v>
      </c>
      <c r="X2164" s="13">
        <v>0</v>
      </c>
      <c r="Y2164" s="12" t="s">
        <v>91</v>
      </c>
      <c r="Z2164" s="12" t="s">
        <v>108</v>
      </c>
      <c r="AA2164" s="13">
        <v>0</v>
      </c>
      <c r="AB2164" s="13">
        <v>0</v>
      </c>
      <c r="AC2164" s="15">
        <v>25</v>
      </c>
      <c r="AD2164" s="15">
        <f>AC2164*AG2164</f>
        <v>50</v>
      </c>
      <c r="AE2164" s="15">
        <v>55</v>
      </c>
      <c r="AF2164" s="15">
        <f>AE2164*AG2164</f>
        <v>110</v>
      </c>
      <c r="AG2164" s="16">
        <v>2</v>
      </c>
    </row>
    <row r="2165" spans="1:33" ht="15" customHeight="1" x14ac:dyDescent="0.2">
      <c r="A2165" s="11" t="str">
        <f>HYPERLINK("https://assets.vans.eu/images/VN000NDQBLK-HERO/1","VN000NDQBLK1")</f>
        <v>VN000NDQBLK1</v>
      </c>
      <c r="B2165" s="12" t="s">
        <v>8175</v>
      </c>
      <c r="C2165" s="12" t="s">
        <v>8176</v>
      </c>
      <c r="D2165" s="12" t="s">
        <v>76</v>
      </c>
      <c r="E2165" s="12" t="s">
        <v>8177</v>
      </c>
      <c r="F2165" s="12" t="s">
        <v>153</v>
      </c>
      <c r="G2165" s="14"/>
      <c r="H2165" s="12" t="s">
        <v>61</v>
      </c>
      <c r="I2165" s="12" t="s">
        <v>230</v>
      </c>
      <c r="J2165" s="12" t="s">
        <v>762</v>
      </c>
      <c r="K2165" s="12" t="s">
        <v>199</v>
      </c>
      <c r="L2165" s="12" t="s">
        <v>260</v>
      </c>
      <c r="M2165" s="12" t="s">
        <v>43</v>
      </c>
      <c r="N2165" s="12" t="s">
        <v>161</v>
      </c>
      <c r="O2165" s="12" t="s">
        <v>8178</v>
      </c>
      <c r="P2165" s="12" t="s">
        <v>66</v>
      </c>
      <c r="Q2165" s="12" t="s">
        <v>764</v>
      </c>
      <c r="R2165" s="12" t="s">
        <v>765</v>
      </c>
      <c r="S2165" s="13">
        <v>197642406182</v>
      </c>
      <c r="T2165" s="12" t="s">
        <v>49</v>
      </c>
      <c r="U2165" s="12" t="s">
        <v>153</v>
      </c>
      <c r="V2165" s="12" t="s">
        <v>3746</v>
      </c>
      <c r="W2165" s="12" t="s">
        <v>51</v>
      </c>
      <c r="X2165" s="13">
        <v>0</v>
      </c>
      <c r="Y2165" s="12" t="s">
        <v>91</v>
      </c>
      <c r="Z2165" s="12" t="s">
        <v>108</v>
      </c>
      <c r="AA2165" s="13">
        <v>0</v>
      </c>
      <c r="AB2165" s="12" t="s">
        <v>264</v>
      </c>
      <c r="AC2165" s="15">
        <v>59.1</v>
      </c>
      <c r="AD2165" s="15">
        <f>AC2165*AG2165</f>
        <v>118.2</v>
      </c>
      <c r="AE2165" s="15">
        <v>130</v>
      </c>
      <c r="AF2165" s="15">
        <f>AE2165*AG2165</f>
        <v>260</v>
      </c>
      <c r="AG2165" s="16">
        <v>2</v>
      </c>
    </row>
    <row r="2166" spans="1:33" ht="15" customHeight="1" x14ac:dyDescent="0.2">
      <c r="A2166" s="11" t="str">
        <f>HYPERLINK("https://assets.vans.eu/images/VN000NU0WHT-HERO/1","VN000NU0WHT1")</f>
        <v>VN000NU0WHT1</v>
      </c>
      <c r="B2166" s="12" t="s">
        <v>8179</v>
      </c>
      <c r="C2166" s="12" t="s">
        <v>8180</v>
      </c>
      <c r="D2166" s="12" t="s">
        <v>168</v>
      </c>
      <c r="E2166" s="12" t="s">
        <v>8181</v>
      </c>
      <c r="F2166" s="12" t="s">
        <v>403</v>
      </c>
      <c r="G2166" s="14"/>
      <c r="H2166" s="12" t="s">
        <v>61</v>
      </c>
      <c r="I2166" s="12" t="s">
        <v>230</v>
      </c>
      <c r="J2166" s="12" t="s">
        <v>419</v>
      </c>
      <c r="K2166" s="12" t="s">
        <v>199</v>
      </c>
      <c r="L2166" s="12" t="s">
        <v>83</v>
      </c>
      <c r="M2166" s="12" t="s">
        <v>43</v>
      </c>
      <c r="N2166" s="12" t="s">
        <v>44</v>
      </c>
      <c r="O2166" s="12" t="s">
        <v>8182</v>
      </c>
      <c r="P2166" s="12" t="s">
        <v>66</v>
      </c>
      <c r="Q2166" s="12" t="s">
        <v>67</v>
      </c>
      <c r="R2166" s="12" t="s">
        <v>421</v>
      </c>
      <c r="S2166" s="13">
        <v>197803402428</v>
      </c>
      <c r="T2166" s="12" t="s">
        <v>69</v>
      </c>
      <c r="U2166" s="12" t="s">
        <v>403</v>
      </c>
      <c r="V2166" s="12" t="s">
        <v>423</v>
      </c>
      <c r="W2166" s="12" t="s">
        <v>175</v>
      </c>
      <c r="X2166" s="13">
        <v>0</v>
      </c>
      <c r="Y2166" s="12" t="s">
        <v>53</v>
      </c>
      <c r="Z2166" s="12" t="s">
        <v>108</v>
      </c>
      <c r="AA2166" s="13">
        <v>0</v>
      </c>
      <c r="AB2166" s="12" t="s">
        <v>616</v>
      </c>
      <c r="AC2166" s="15">
        <v>22.75</v>
      </c>
      <c r="AD2166" s="15">
        <f>AC2166*AG2166</f>
        <v>45.5</v>
      </c>
      <c r="AE2166" s="15">
        <v>50</v>
      </c>
      <c r="AF2166" s="15">
        <f>AE2166*AG2166</f>
        <v>100</v>
      </c>
      <c r="AG2166" s="16">
        <v>2</v>
      </c>
    </row>
    <row r="2167" spans="1:33" ht="15" customHeight="1" x14ac:dyDescent="0.2">
      <c r="A2167" s="11" t="str">
        <f t="shared" si="433"/>
        <v>VN000NUYO3N1</v>
      </c>
      <c r="B2167" s="12" t="s">
        <v>8183</v>
      </c>
      <c r="C2167" s="12" t="s">
        <v>4162</v>
      </c>
      <c r="D2167" s="12" t="s">
        <v>744</v>
      </c>
      <c r="E2167" s="12" t="s">
        <v>8184</v>
      </c>
      <c r="F2167" s="12" t="s">
        <v>153</v>
      </c>
      <c r="G2167" s="14"/>
      <c r="H2167" s="12" t="s">
        <v>61</v>
      </c>
      <c r="I2167" s="12" t="s">
        <v>289</v>
      </c>
      <c r="J2167" s="12" t="s">
        <v>706</v>
      </c>
      <c r="K2167" s="12" t="s">
        <v>100</v>
      </c>
      <c r="L2167" s="12" t="s">
        <v>83</v>
      </c>
      <c r="M2167" s="12" t="s">
        <v>43</v>
      </c>
      <c r="N2167" s="12" t="s">
        <v>44</v>
      </c>
      <c r="O2167" s="12" t="s">
        <v>8185</v>
      </c>
      <c r="P2167" s="12" t="s">
        <v>66</v>
      </c>
      <c r="Q2167" s="12" t="s">
        <v>67</v>
      </c>
      <c r="R2167" s="12" t="s">
        <v>1146</v>
      </c>
      <c r="S2167" s="13">
        <v>197803403029</v>
      </c>
      <c r="T2167" s="12" t="s">
        <v>69</v>
      </c>
      <c r="U2167" s="12" t="s">
        <v>153</v>
      </c>
      <c r="V2167" s="12" t="s">
        <v>4165</v>
      </c>
      <c r="W2167" s="12" t="s">
        <v>299</v>
      </c>
      <c r="X2167" s="13">
        <v>0</v>
      </c>
      <c r="Y2167" s="12" t="s">
        <v>91</v>
      </c>
      <c r="Z2167" s="12" t="s">
        <v>108</v>
      </c>
      <c r="AA2167" s="13">
        <v>0</v>
      </c>
      <c r="AB2167" s="12" t="s">
        <v>616</v>
      </c>
      <c r="AC2167" s="15">
        <v>10.95</v>
      </c>
      <c r="AD2167" s="15">
        <f>AC2167*AG2167</f>
        <v>21.9</v>
      </c>
      <c r="AE2167" s="15">
        <v>24</v>
      </c>
      <c r="AF2167" s="15">
        <f>AE2167*AG2167</f>
        <v>48</v>
      </c>
      <c r="AG2167" s="16">
        <v>2</v>
      </c>
    </row>
    <row r="2168" spans="1:33" ht="15" customHeight="1" x14ac:dyDescent="0.2">
      <c r="A2168" s="11" t="str">
        <f t="shared" ref="A2168:A3239" si="891">HYPERLINK("https://assets.vans.eu/images/VN000NWBCFL-HERO/1","VN000NWBCFL1")</f>
        <v>VN000NWBCFL1</v>
      </c>
      <c r="B2168" s="12" t="s">
        <v>8186</v>
      </c>
      <c r="C2168" s="12" t="s">
        <v>8187</v>
      </c>
      <c r="D2168" s="12" t="s">
        <v>1258</v>
      </c>
      <c r="E2168" s="12" t="s">
        <v>8188</v>
      </c>
      <c r="F2168" s="12" t="s">
        <v>60</v>
      </c>
      <c r="G2168" s="14"/>
      <c r="H2168" s="12" t="s">
        <v>61</v>
      </c>
      <c r="I2168" s="12" t="s">
        <v>230</v>
      </c>
      <c r="J2168" s="12" t="s">
        <v>419</v>
      </c>
      <c r="K2168" s="12" t="s">
        <v>199</v>
      </c>
      <c r="L2168" s="12" t="s">
        <v>83</v>
      </c>
      <c r="M2168" s="12" t="s">
        <v>43</v>
      </c>
      <c r="N2168" s="12" t="s">
        <v>44</v>
      </c>
      <c r="O2168" s="12" t="s">
        <v>8189</v>
      </c>
      <c r="P2168" s="12" t="s">
        <v>66</v>
      </c>
      <c r="Q2168" s="12" t="s">
        <v>67</v>
      </c>
      <c r="R2168" s="12" t="s">
        <v>623</v>
      </c>
      <c r="S2168" s="13">
        <v>197803403210</v>
      </c>
      <c r="T2168" s="12" t="s">
        <v>499</v>
      </c>
      <c r="U2168" s="12" t="s">
        <v>60</v>
      </c>
      <c r="V2168" s="12" t="s">
        <v>423</v>
      </c>
      <c r="W2168" s="12" t="s">
        <v>284</v>
      </c>
      <c r="X2168" s="13">
        <v>0</v>
      </c>
      <c r="Y2168" s="12" t="s">
        <v>91</v>
      </c>
      <c r="Z2168" s="12" t="s">
        <v>108</v>
      </c>
      <c r="AA2168" s="13">
        <v>0</v>
      </c>
      <c r="AB2168" s="12" t="s">
        <v>616</v>
      </c>
      <c r="AC2168" s="15">
        <v>27.3</v>
      </c>
      <c r="AD2168" s="15">
        <f>AC2168*AG2168</f>
        <v>54.6</v>
      </c>
      <c r="AE2168" s="15">
        <v>60</v>
      </c>
      <c r="AF2168" s="15">
        <f>AE2168*AG2168</f>
        <v>120</v>
      </c>
      <c r="AG2168" s="16">
        <v>2</v>
      </c>
    </row>
    <row r="2169" spans="1:33" ht="15" customHeight="1" x14ac:dyDescent="0.2">
      <c r="A2169" s="11" t="str">
        <f>HYPERLINK("https://assets.vans.eu/images/VN000NWGCLH-HERO/1","VN000NWGCLH1")</f>
        <v>VN000NWGCLH1</v>
      </c>
      <c r="B2169" s="12" t="s">
        <v>8190</v>
      </c>
      <c r="C2169" s="12" t="s">
        <v>8191</v>
      </c>
      <c r="D2169" s="12" t="s">
        <v>838</v>
      </c>
      <c r="E2169" s="12" t="s">
        <v>8192</v>
      </c>
      <c r="F2169" s="12" t="s">
        <v>403</v>
      </c>
      <c r="G2169" s="14"/>
      <c r="H2169" s="12" t="s">
        <v>61</v>
      </c>
      <c r="I2169" s="12" t="s">
        <v>230</v>
      </c>
      <c r="J2169" s="12" t="s">
        <v>419</v>
      </c>
      <c r="K2169" s="12" t="s">
        <v>199</v>
      </c>
      <c r="L2169" s="12" t="s">
        <v>83</v>
      </c>
      <c r="M2169" s="12" t="s">
        <v>43</v>
      </c>
      <c r="N2169" s="12" t="s">
        <v>44</v>
      </c>
      <c r="O2169" s="12" t="s">
        <v>8193</v>
      </c>
      <c r="P2169" s="12" t="s">
        <v>66</v>
      </c>
      <c r="Q2169" s="12" t="s">
        <v>67</v>
      </c>
      <c r="R2169" s="12" t="s">
        <v>421</v>
      </c>
      <c r="S2169" s="13">
        <v>197803403449</v>
      </c>
      <c r="T2169" s="12" t="s">
        <v>422</v>
      </c>
      <c r="U2169" s="12" t="s">
        <v>403</v>
      </c>
      <c r="V2169" s="12" t="s">
        <v>423</v>
      </c>
      <c r="W2169" s="12" t="s">
        <v>118</v>
      </c>
      <c r="X2169" s="13">
        <v>0</v>
      </c>
      <c r="Y2169" s="12" t="s">
        <v>53</v>
      </c>
      <c r="Z2169" s="12" t="s">
        <v>108</v>
      </c>
      <c r="AA2169" s="13">
        <v>0</v>
      </c>
      <c r="AB2169" s="12" t="s">
        <v>616</v>
      </c>
      <c r="AC2169" s="15">
        <v>20.5</v>
      </c>
      <c r="AD2169" s="15">
        <f>AC2169*AG2169</f>
        <v>41</v>
      </c>
      <c r="AE2169" s="15">
        <v>45</v>
      </c>
      <c r="AF2169" s="15">
        <f>AE2169*AG2169</f>
        <v>90</v>
      </c>
      <c r="AG2169" s="16">
        <v>2</v>
      </c>
    </row>
    <row r="2170" spans="1:33" ht="15" customHeight="1" x14ac:dyDescent="0.2">
      <c r="A2170" s="11" t="str">
        <f t="shared" ref="A2170:A2171" si="892">HYPERLINK("https://assets.vans.eu/images/VN000NZDC9L-HERO/1","VN000NZDC9L1")</f>
        <v>VN000NZDC9L1</v>
      </c>
      <c r="B2170" s="12" t="s">
        <v>8194</v>
      </c>
      <c r="C2170" s="12" t="s">
        <v>8195</v>
      </c>
      <c r="D2170" s="12" t="s">
        <v>890</v>
      </c>
      <c r="E2170" s="12" t="s">
        <v>8196</v>
      </c>
      <c r="F2170" s="12" t="s">
        <v>403</v>
      </c>
      <c r="G2170" s="14"/>
      <c r="H2170" s="12" t="s">
        <v>61</v>
      </c>
      <c r="I2170" s="12" t="s">
        <v>230</v>
      </c>
      <c r="J2170" s="12" t="s">
        <v>419</v>
      </c>
      <c r="K2170" s="12" t="s">
        <v>199</v>
      </c>
      <c r="L2170" s="12" t="s">
        <v>83</v>
      </c>
      <c r="M2170" s="12" t="s">
        <v>43</v>
      </c>
      <c r="N2170" s="12" t="s">
        <v>44</v>
      </c>
      <c r="O2170" s="12" t="s">
        <v>8197</v>
      </c>
      <c r="P2170" s="12" t="s">
        <v>66</v>
      </c>
      <c r="Q2170" s="12" t="s">
        <v>67</v>
      </c>
      <c r="R2170" s="12" t="s">
        <v>623</v>
      </c>
      <c r="S2170" s="13">
        <v>197803404774</v>
      </c>
      <c r="T2170" s="12" t="s">
        <v>69</v>
      </c>
      <c r="U2170" s="12" t="s">
        <v>403</v>
      </c>
      <c r="V2170" s="12" t="s">
        <v>423</v>
      </c>
      <c r="W2170" s="12" t="s">
        <v>262</v>
      </c>
      <c r="X2170" s="13">
        <v>0</v>
      </c>
      <c r="Y2170" s="12" t="s">
        <v>53</v>
      </c>
      <c r="Z2170" s="12" t="s">
        <v>108</v>
      </c>
      <c r="AA2170" s="13">
        <v>0</v>
      </c>
      <c r="AB2170" s="12" t="s">
        <v>616</v>
      </c>
      <c r="AC2170" s="15">
        <v>54.55</v>
      </c>
      <c r="AD2170" s="15">
        <f>AC2170*AG2170</f>
        <v>109.1</v>
      </c>
      <c r="AE2170" s="15">
        <v>120</v>
      </c>
      <c r="AF2170" s="15">
        <f>AE2170*AG2170</f>
        <v>240</v>
      </c>
      <c r="AG2170" s="16">
        <v>2</v>
      </c>
    </row>
    <row r="2171" spans="1:33" ht="15" customHeight="1" x14ac:dyDescent="0.2">
      <c r="A2171" s="11" t="str">
        <f t="shared" si="892"/>
        <v>VN000NZDC9L1</v>
      </c>
      <c r="B2171" s="12" t="s">
        <v>8198</v>
      </c>
      <c r="C2171" s="12" t="s">
        <v>8195</v>
      </c>
      <c r="D2171" s="12" t="s">
        <v>890</v>
      </c>
      <c r="E2171" s="12" t="s">
        <v>8199</v>
      </c>
      <c r="F2171" s="12" t="s">
        <v>153</v>
      </c>
      <c r="G2171" s="14"/>
      <c r="H2171" s="12" t="s">
        <v>61</v>
      </c>
      <c r="I2171" s="12" t="s">
        <v>230</v>
      </c>
      <c r="J2171" s="12" t="s">
        <v>419</v>
      </c>
      <c r="K2171" s="12" t="s">
        <v>199</v>
      </c>
      <c r="L2171" s="12" t="s">
        <v>83</v>
      </c>
      <c r="M2171" s="12" t="s">
        <v>43</v>
      </c>
      <c r="N2171" s="12" t="s">
        <v>44</v>
      </c>
      <c r="O2171" s="12" t="s">
        <v>8200</v>
      </c>
      <c r="P2171" s="12" t="s">
        <v>66</v>
      </c>
      <c r="Q2171" s="12" t="s">
        <v>67</v>
      </c>
      <c r="R2171" s="12" t="s">
        <v>623</v>
      </c>
      <c r="S2171" s="13">
        <v>197803405078</v>
      </c>
      <c r="T2171" s="12" t="s">
        <v>69</v>
      </c>
      <c r="U2171" s="12" t="s">
        <v>153</v>
      </c>
      <c r="V2171" s="12" t="s">
        <v>423</v>
      </c>
      <c r="W2171" s="12" t="s">
        <v>262</v>
      </c>
      <c r="X2171" s="13">
        <v>0</v>
      </c>
      <c r="Y2171" s="12" t="s">
        <v>53</v>
      </c>
      <c r="Z2171" s="12" t="s">
        <v>108</v>
      </c>
      <c r="AA2171" s="13">
        <v>0</v>
      </c>
      <c r="AB2171" s="12" t="s">
        <v>616</v>
      </c>
      <c r="AC2171" s="15">
        <v>54.55</v>
      </c>
      <c r="AD2171" s="15">
        <f>AC2171*AG2171</f>
        <v>109.1</v>
      </c>
      <c r="AE2171" s="15">
        <v>120</v>
      </c>
      <c r="AF2171" s="15">
        <f>AE2171*AG2171</f>
        <v>240</v>
      </c>
      <c r="AG2171" s="16">
        <v>2</v>
      </c>
    </row>
    <row r="2172" spans="1:33" ht="15" customHeight="1" x14ac:dyDescent="0.2">
      <c r="A2172" s="11" t="str">
        <f>HYPERLINK("https://assets.vans.eu/images/VN000P1P4MG-HERO/1","VN000P1P4MG1")</f>
        <v>VN000P1P4MG1</v>
      </c>
      <c r="B2172" s="12" t="s">
        <v>8201</v>
      </c>
      <c r="C2172" s="12" t="s">
        <v>2706</v>
      </c>
      <c r="D2172" s="12" t="s">
        <v>7051</v>
      </c>
      <c r="E2172" s="12" t="s">
        <v>8202</v>
      </c>
      <c r="F2172" s="12" t="s">
        <v>153</v>
      </c>
      <c r="G2172" s="14"/>
      <c r="H2172" s="12" t="s">
        <v>61</v>
      </c>
      <c r="I2172" s="12" t="s">
        <v>230</v>
      </c>
      <c r="J2172" s="12" t="s">
        <v>419</v>
      </c>
      <c r="K2172" s="12" t="s">
        <v>199</v>
      </c>
      <c r="L2172" s="12" t="s">
        <v>83</v>
      </c>
      <c r="M2172" s="12" t="s">
        <v>43</v>
      </c>
      <c r="N2172" s="12" t="s">
        <v>84</v>
      </c>
      <c r="O2172" s="12" t="s">
        <v>8203</v>
      </c>
      <c r="P2172" s="12" t="s">
        <v>66</v>
      </c>
      <c r="Q2172" s="12" t="s">
        <v>67</v>
      </c>
      <c r="R2172" s="12" t="s">
        <v>421</v>
      </c>
      <c r="S2172" s="13">
        <v>197804661183</v>
      </c>
      <c r="T2172" s="12" t="s">
        <v>422</v>
      </c>
      <c r="U2172" s="12" t="s">
        <v>153</v>
      </c>
      <c r="V2172" s="12" t="s">
        <v>423</v>
      </c>
      <c r="W2172" s="12" t="s">
        <v>51</v>
      </c>
      <c r="X2172" s="13">
        <v>0</v>
      </c>
      <c r="Y2172" s="12" t="s">
        <v>91</v>
      </c>
      <c r="Z2172" s="12" t="s">
        <v>108</v>
      </c>
      <c r="AA2172" s="13">
        <v>0</v>
      </c>
      <c r="AB2172" s="12" t="s">
        <v>94</v>
      </c>
      <c r="AC2172" s="15">
        <v>13.65</v>
      </c>
      <c r="AD2172" s="15">
        <f>AC2172*AG2172</f>
        <v>27.3</v>
      </c>
      <c r="AE2172" s="15">
        <v>30</v>
      </c>
      <c r="AF2172" s="15">
        <f>AE2172*AG2172</f>
        <v>60</v>
      </c>
      <c r="AG2172" s="16">
        <v>2</v>
      </c>
    </row>
    <row r="2173" spans="1:33" ht="15" customHeight="1" x14ac:dyDescent="0.2">
      <c r="A2173" s="11" t="str">
        <f t="shared" si="434"/>
        <v>VN000P1P6JL1</v>
      </c>
      <c r="B2173" s="12" t="s">
        <v>8204</v>
      </c>
      <c r="C2173" s="12" t="s">
        <v>2706</v>
      </c>
      <c r="D2173" s="12" t="s">
        <v>2733</v>
      </c>
      <c r="E2173" s="12" t="s">
        <v>8205</v>
      </c>
      <c r="F2173" s="12" t="s">
        <v>621</v>
      </c>
      <c r="G2173" s="14"/>
      <c r="H2173" s="12" t="s">
        <v>61</v>
      </c>
      <c r="I2173" s="12" t="s">
        <v>230</v>
      </c>
      <c r="J2173" s="12" t="s">
        <v>419</v>
      </c>
      <c r="K2173" s="12" t="s">
        <v>199</v>
      </c>
      <c r="L2173" s="12" t="s">
        <v>115</v>
      </c>
      <c r="M2173" s="12" t="s">
        <v>43</v>
      </c>
      <c r="N2173" s="12" t="s">
        <v>84</v>
      </c>
      <c r="O2173" s="12" t="s">
        <v>8206</v>
      </c>
      <c r="P2173" s="12" t="s">
        <v>66</v>
      </c>
      <c r="Q2173" s="12" t="s">
        <v>67</v>
      </c>
      <c r="R2173" s="12" t="s">
        <v>421</v>
      </c>
      <c r="S2173" s="13">
        <v>198266982755</v>
      </c>
      <c r="T2173" s="12" t="s">
        <v>422</v>
      </c>
      <c r="U2173" s="12" t="s">
        <v>621</v>
      </c>
      <c r="V2173" s="12" t="s">
        <v>423</v>
      </c>
      <c r="W2173" s="12" t="s">
        <v>118</v>
      </c>
      <c r="X2173" s="14"/>
      <c r="Y2173" s="14"/>
      <c r="Z2173" s="14"/>
      <c r="AA2173" s="14"/>
      <c r="AB2173" s="14"/>
      <c r="AC2173" s="15">
        <v>13.65</v>
      </c>
      <c r="AD2173" s="15">
        <f>AC2173*AG2173</f>
        <v>27.3</v>
      </c>
      <c r="AE2173" s="15">
        <v>30</v>
      </c>
      <c r="AF2173" s="15">
        <f>AE2173*AG2173</f>
        <v>60</v>
      </c>
      <c r="AG2173" s="16">
        <v>2</v>
      </c>
    </row>
    <row r="2174" spans="1:33" ht="15" customHeight="1" x14ac:dyDescent="0.2">
      <c r="A2174" s="11" t="str">
        <f t="shared" ref="A2174:A2175" si="893">HYPERLINK("https://assets.vans.eu/images/VN000P1PBR1-HERO/1","VN000P1PBR11")</f>
        <v>VN000P1PBR11</v>
      </c>
      <c r="B2174" s="12" t="s">
        <v>8207</v>
      </c>
      <c r="C2174" s="12" t="s">
        <v>2706</v>
      </c>
      <c r="D2174" s="12" t="s">
        <v>496</v>
      </c>
      <c r="E2174" s="12" t="s">
        <v>8208</v>
      </c>
      <c r="F2174" s="12" t="s">
        <v>179</v>
      </c>
      <c r="G2174" s="14"/>
      <c r="H2174" s="12" t="s">
        <v>61</v>
      </c>
      <c r="I2174" s="12" t="s">
        <v>230</v>
      </c>
      <c r="J2174" s="12" t="s">
        <v>419</v>
      </c>
      <c r="K2174" s="12" t="s">
        <v>199</v>
      </c>
      <c r="L2174" s="12" t="s">
        <v>83</v>
      </c>
      <c r="M2174" s="12" t="s">
        <v>43</v>
      </c>
      <c r="N2174" s="12" t="s">
        <v>84</v>
      </c>
      <c r="O2174" s="12" t="s">
        <v>8209</v>
      </c>
      <c r="P2174" s="12" t="s">
        <v>66</v>
      </c>
      <c r="Q2174" s="12" t="s">
        <v>67</v>
      </c>
      <c r="R2174" s="12" t="s">
        <v>421</v>
      </c>
      <c r="S2174" s="13">
        <v>197804660384</v>
      </c>
      <c r="T2174" s="12" t="s">
        <v>422</v>
      </c>
      <c r="U2174" s="12" t="s">
        <v>179</v>
      </c>
      <c r="V2174" s="12" t="s">
        <v>423</v>
      </c>
      <c r="W2174" s="12" t="s">
        <v>118</v>
      </c>
      <c r="X2174" s="13">
        <v>0</v>
      </c>
      <c r="Y2174" s="12" t="s">
        <v>91</v>
      </c>
      <c r="Z2174" s="12" t="s">
        <v>108</v>
      </c>
      <c r="AA2174" s="13">
        <v>0</v>
      </c>
      <c r="AB2174" s="12" t="s">
        <v>94</v>
      </c>
      <c r="AC2174" s="15">
        <v>13.65</v>
      </c>
      <c r="AD2174" s="15">
        <f>AC2174*AG2174</f>
        <v>27.3</v>
      </c>
      <c r="AE2174" s="15">
        <v>30</v>
      </c>
      <c r="AF2174" s="15">
        <f>AE2174*AG2174</f>
        <v>60</v>
      </c>
      <c r="AG2174" s="16">
        <v>2</v>
      </c>
    </row>
    <row r="2175" spans="1:33" ht="15" customHeight="1" x14ac:dyDescent="0.2">
      <c r="A2175" s="11" t="str">
        <f t="shared" si="893"/>
        <v>VN000P1PBR11</v>
      </c>
      <c r="B2175" s="12" t="s">
        <v>8210</v>
      </c>
      <c r="C2175" s="12" t="s">
        <v>2706</v>
      </c>
      <c r="D2175" s="12" t="s">
        <v>496</v>
      </c>
      <c r="E2175" s="12" t="s">
        <v>8211</v>
      </c>
      <c r="F2175" s="12" t="s">
        <v>60</v>
      </c>
      <c r="G2175" s="14"/>
      <c r="H2175" s="12" t="s">
        <v>61</v>
      </c>
      <c r="I2175" s="12" t="s">
        <v>230</v>
      </c>
      <c r="J2175" s="12" t="s">
        <v>419</v>
      </c>
      <c r="K2175" s="12" t="s">
        <v>199</v>
      </c>
      <c r="L2175" s="12" t="s">
        <v>83</v>
      </c>
      <c r="M2175" s="12" t="s">
        <v>43</v>
      </c>
      <c r="N2175" s="12" t="s">
        <v>84</v>
      </c>
      <c r="O2175" s="12" t="s">
        <v>8212</v>
      </c>
      <c r="P2175" s="12" t="s">
        <v>66</v>
      </c>
      <c r="Q2175" s="12" t="s">
        <v>67</v>
      </c>
      <c r="R2175" s="12" t="s">
        <v>421</v>
      </c>
      <c r="S2175" s="13">
        <v>197804660926</v>
      </c>
      <c r="T2175" s="12" t="s">
        <v>422</v>
      </c>
      <c r="U2175" s="12" t="s">
        <v>60</v>
      </c>
      <c r="V2175" s="12" t="s">
        <v>423</v>
      </c>
      <c r="W2175" s="12" t="s">
        <v>118</v>
      </c>
      <c r="X2175" s="13">
        <v>0</v>
      </c>
      <c r="Y2175" s="12" t="s">
        <v>91</v>
      </c>
      <c r="Z2175" s="12" t="s">
        <v>108</v>
      </c>
      <c r="AA2175" s="13">
        <v>0</v>
      </c>
      <c r="AB2175" s="12" t="s">
        <v>94</v>
      </c>
      <c r="AC2175" s="15">
        <v>13.65</v>
      </c>
      <c r="AD2175" s="15">
        <f>AC2175*AG2175</f>
        <v>27.3</v>
      </c>
      <c r="AE2175" s="15">
        <v>30</v>
      </c>
      <c r="AF2175" s="15">
        <f>AE2175*AG2175</f>
        <v>60</v>
      </c>
      <c r="AG2175" s="16">
        <v>2</v>
      </c>
    </row>
    <row r="2176" spans="1:33" ht="15" customHeight="1" x14ac:dyDescent="0.2">
      <c r="A2176" s="11" t="str">
        <f t="shared" si="701"/>
        <v>VN000P1PEMU1</v>
      </c>
      <c r="B2176" s="12" t="s">
        <v>8213</v>
      </c>
      <c r="C2176" s="12" t="s">
        <v>2706</v>
      </c>
      <c r="D2176" s="12" t="s">
        <v>1319</v>
      </c>
      <c r="E2176" s="12" t="s">
        <v>8214</v>
      </c>
      <c r="F2176" s="12" t="s">
        <v>170</v>
      </c>
      <c r="G2176" s="14"/>
      <c r="H2176" s="12" t="s">
        <v>61</v>
      </c>
      <c r="I2176" s="12" t="s">
        <v>230</v>
      </c>
      <c r="J2176" s="12" t="s">
        <v>419</v>
      </c>
      <c r="K2176" s="12" t="s">
        <v>199</v>
      </c>
      <c r="L2176" s="12" t="s">
        <v>83</v>
      </c>
      <c r="M2176" s="12" t="s">
        <v>43</v>
      </c>
      <c r="N2176" s="12" t="s">
        <v>84</v>
      </c>
      <c r="O2176" s="12" t="s">
        <v>8215</v>
      </c>
      <c r="P2176" s="12" t="s">
        <v>66</v>
      </c>
      <c r="Q2176" s="12" t="s">
        <v>67</v>
      </c>
      <c r="R2176" s="12" t="s">
        <v>421</v>
      </c>
      <c r="S2176" s="13">
        <v>197804294299</v>
      </c>
      <c r="T2176" s="12" t="s">
        <v>422</v>
      </c>
      <c r="U2176" s="12" t="s">
        <v>170</v>
      </c>
      <c r="V2176" s="12" t="s">
        <v>70</v>
      </c>
      <c r="W2176" s="12" t="s">
        <v>118</v>
      </c>
      <c r="X2176" s="14"/>
      <c r="Y2176" s="14"/>
      <c r="Z2176" s="14"/>
      <c r="AA2176" s="14"/>
      <c r="AB2176" s="14"/>
      <c r="AC2176" s="15">
        <v>13.65</v>
      </c>
      <c r="AD2176" s="15">
        <f>AC2176*AG2176</f>
        <v>27.3</v>
      </c>
      <c r="AE2176" s="15">
        <v>30</v>
      </c>
      <c r="AF2176" s="15">
        <f>AE2176*AG2176</f>
        <v>60</v>
      </c>
      <c r="AG2176" s="16">
        <v>2</v>
      </c>
    </row>
    <row r="2177" spans="1:33" ht="15" customHeight="1" x14ac:dyDescent="0.2">
      <c r="A2177" s="11" t="str">
        <f t="shared" si="435"/>
        <v>VN000P20EMU1</v>
      </c>
      <c r="B2177" s="12" t="s">
        <v>8216</v>
      </c>
      <c r="C2177" s="12" t="s">
        <v>4170</v>
      </c>
      <c r="D2177" s="12" t="s">
        <v>1319</v>
      </c>
      <c r="E2177" s="12" t="s">
        <v>8217</v>
      </c>
      <c r="F2177" s="12" t="s">
        <v>179</v>
      </c>
      <c r="G2177" s="14"/>
      <c r="H2177" s="12" t="s">
        <v>61</v>
      </c>
      <c r="I2177" s="12" t="s">
        <v>230</v>
      </c>
      <c r="J2177" s="12" t="s">
        <v>419</v>
      </c>
      <c r="K2177" s="12" t="s">
        <v>199</v>
      </c>
      <c r="L2177" s="12" t="s">
        <v>83</v>
      </c>
      <c r="M2177" s="12" t="s">
        <v>43</v>
      </c>
      <c r="N2177" s="12" t="s">
        <v>84</v>
      </c>
      <c r="O2177" s="12" t="s">
        <v>8218</v>
      </c>
      <c r="P2177" s="12" t="s">
        <v>66</v>
      </c>
      <c r="Q2177" s="12" t="s">
        <v>67</v>
      </c>
      <c r="R2177" s="12" t="s">
        <v>623</v>
      </c>
      <c r="S2177" s="13">
        <v>197804294220</v>
      </c>
      <c r="T2177" s="12" t="s">
        <v>499</v>
      </c>
      <c r="U2177" s="12" t="s">
        <v>179</v>
      </c>
      <c r="V2177" s="12" t="s">
        <v>70</v>
      </c>
      <c r="W2177" s="12" t="s">
        <v>118</v>
      </c>
      <c r="X2177" s="14"/>
      <c r="Y2177" s="14"/>
      <c r="Z2177" s="14"/>
      <c r="AA2177" s="14"/>
      <c r="AB2177" s="14"/>
      <c r="AC2177" s="15">
        <v>31.85</v>
      </c>
      <c r="AD2177" s="15">
        <f>AC2177*AG2177</f>
        <v>63.7</v>
      </c>
      <c r="AE2177" s="15">
        <v>70</v>
      </c>
      <c r="AF2177" s="15">
        <f>AE2177*AG2177</f>
        <v>140</v>
      </c>
      <c r="AG2177" s="16">
        <v>2</v>
      </c>
    </row>
    <row r="2178" spans="1:33" ht="15" customHeight="1" x14ac:dyDescent="0.2">
      <c r="A2178" s="11" t="str">
        <f t="shared" ref="A2178:A3259" si="894">HYPERLINK("https://assets.vans.eu/images/VN000P20EMU-HERO/1","VN000P20EMU1")</f>
        <v>VN000P20EMU1</v>
      </c>
      <c r="B2178" s="12" t="s">
        <v>8219</v>
      </c>
      <c r="C2178" s="12" t="s">
        <v>4170</v>
      </c>
      <c r="D2178" s="12" t="s">
        <v>1319</v>
      </c>
      <c r="E2178" s="12" t="s">
        <v>8220</v>
      </c>
      <c r="F2178" s="12" t="s">
        <v>621</v>
      </c>
      <c r="G2178" s="14"/>
      <c r="H2178" s="12" t="s">
        <v>61</v>
      </c>
      <c r="I2178" s="12" t="s">
        <v>230</v>
      </c>
      <c r="J2178" s="12" t="s">
        <v>419</v>
      </c>
      <c r="K2178" s="12" t="s">
        <v>199</v>
      </c>
      <c r="L2178" s="12" t="s">
        <v>83</v>
      </c>
      <c r="M2178" s="12" t="s">
        <v>43</v>
      </c>
      <c r="N2178" s="12" t="s">
        <v>84</v>
      </c>
      <c r="O2178" s="12" t="s">
        <v>8221</v>
      </c>
      <c r="P2178" s="12" t="s">
        <v>66</v>
      </c>
      <c r="Q2178" s="12" t="s">
        <v>67</v>
      </c>
      <c r="R2178" s="12" t="s">
        <v>623</v>
      </c>
      <c r="S2178" s="13">
        <v>197804295197</v>
      </c>
      <c r="T2178" s="12" t="s">
        <v>499</v>
      </c>
      <c r="U2178" s="12" t="s">
        <v>621</v>
      </c>
      <c r="V2178" s="12" t="s">
        <v>70</v>
      </c>
      <c r="W2178" s="12" t="s">
        <v>118</v>
      </c>
      <c r="X2178" s="14"/>
      <c r="Y2178" s="14"/>
      <c r="Z2178" s="14"/>
      <c r="AA2178" s="14"/>
      <c r="AB2178" s="14"/>
      <c r="AC2178" s="15">
        <v>31.85</v>
      </c>
      <c r="AD2178" s="15">
        <f>AC2178*AG2178</f>
        <v>63.7</v>
      </c>
      <c r="AE2178" s="15">
        <v>70</v>
      </c>
      <c r="AF2178" s="15">
        <f>AE2178*AG2178</f>
        <v>140</v>
      </c>
      <c r="AG2178" s="16">
        <v>2</v>
      </c>
    </row>
    <row r="2179" spans="1:33" ht="15" customHeight="1" x14ac:dyDescent="0.2">
      <c r="A2179" s="11" t="str">
        <f t="shared" ref="A2179:A2180" si="895">HYPERLINK("https://assets.vans.eu/images/VN000P20ZRY-HERO/1","VN000P20ZRY1")</f>
        <v>VN000P20ZRY1</v>
      </c>
      <c r="B2179" s="12" t="s">
        <v>8222</v>
      </c>
      <c r="C2179" s="12" t="s">
        <v>4170</v>
      </c>
      <c r="D2179" s="12" t="s">
        <v>1996</v>
      </c>
      <c r="E2179" s="12" t="s">
        <v>8223</v>
      </c>
      <c r="F2179" s="12" t="s">
        <v>403</v>
      </c>
      <c r="G2179" s="14"/>
      <c r="H2179" s="12" t="s">
        <v>61</v>
      </c>
      <c r="I2179" s="12" t="s">
        <v>230</v>
      </c>
      <c r="J2179" s="12" t="s">
        <v>419</v>
      </c>
      <c r="K2179" s="12" t="s">
        <v>199</v>
      </c>
      <c r="L2179" s="12" t="s">
        <v>83</v>
      </c>
      <c r="M2179" s="12" t="s">
        <v>43</v>
      </c>
      <c r="N2179" s="12" t="s">
        <v>84</v>
      </c>
      <c r="O2179" s="12" t="s">
        <v>8224</v>
      </c>
      <c r="P2179" s="12" t="s">
        <v>66</v>
      </c>
      <c r="Q2179" s="12" t="s">
        <v>67</v>
      </c>
      <c r="R2179" s="12" t="s">
        <v>623</v>
      </c>
      <c r="S2179" s="13">
        <v>197804294565</v>
      </c>
      <c r="T2179" s="12" t="s">
        <v>499</v>
      </c>
      <c r="U2179" s="12" t="s">
        <v>403</v>
      </c>
      <c r="V2179" s="12" t="s">
        <v>70</v>
      </c>
      <c r="W2179" s="12" t="s">
        <v>299</v>
      </c>
      <c r="X2179" s="14"/>
      <c r="Y2179" s="14"/>
      <c r="Z2179" s="14"/>
      <c r="AA2179" s="14"/>
      <c r="AB2179" s="14"/>
      <c r="AC2179" s="15">
        <v>31.85</v>
      </c>
      <c r="AD2179" s="15">
        <f>AC2179*AG2179</f>
        <v>63.7</v>
      </c>
      <c r="AE2179" s="15">
        <v>70</v>
      </c>
      <c r="AF2179" s="15">
        <f>AE2179*AG2179</f>
        <v>140</v>
      </c>
      <c r="AG2179" s="16">
        <v>2</v>
      </c>
    </row>
    <row r="2180" spans="1:33" ht="15" customHeight="1" x14ac:dyDescent="0.2">
      <c r="A2180" s="11" t="str">
        <f t="shared" si="895"/>
        <v>VN000P20ZRY1</v>
      </c>
      <c r="B2180" s="12" t="s">
        <v>8225</v>
      </c>
      <c r="C2180" s="12" t="s">
        <v>4170</v>
      </c>
      <c r="D2180" s="12" t="s">
        <v>1996</v>
      </c>
      <c r="E2180" s="12" t="s">
        <v>8226</v>
      </c>
      <c r="F2180" s="12" t="s">
        <v>60</v>
      </c>
      <c r="G2180" s="14"/>
      <c r="H2180" s="12" t="s">
        <v>61</v>
      </c>
      <c r="I2180" s="12" t="s">
        <v>230</v>
      </c>
      <c r="J2180" s="12" t="s">
        <v>419</v>
      </c>
      <c r="K2180" s="12" t="s">
        <v>199</v>
      </c>
      <c r="L2180" s="12" t="s">
        <v>83</v>
      </c>
      <c r="M2180" s="12" t="s">
        <v>43</v>
      </c>
      <c r="N2180" s="12" t="s">
        <v>84</v>
      </c>
      <c r="O2180" s="12" t="s">
        <v>8227</v>
      </c>
      <c r="P2180" s="12" t="s">
        <v>66</v>
      </c>
      <c r="Q2180" s="12" t="s">
        <v>67</v>
      </c>
      <c r="R2180" s="12" t="s">
        <v>623</v>
      </c>
      <c r="S2180" s="13">
        <v>197804294848</v>
      </c>
      <c r="T2180" s="12" t="s">
        <v>499</v>
      </c>
      <c r="U2180" s="12" t="s">
        <v>60</v>
      </c>
      <c r="V2180" s="12" t="s">
        <v>70</v>
      </c>
      <c r="W2180" s="12" t="s">
        <v>299</v>
      </c>
      <c r="X2180" s="14"/>
      <c r="Y2180" s="14"/>
      <c r="Z2180" s="14"/>
      <c r="AA2180" s="14"/>
      <c r="AB2180" s="14"/>
      <c r="AC2180" s="15">
        <v>31.85</v>
      </c>
      <c r="AD2180" s="15">
        <f>AC2180*AG2180</f>
        <v>63.7</v>
      </c>
      <c r="AE2180" s="15">
        <v>70</v>
      </c>
      <c r="AF2180" s="15">
        <f>AE2180*AG2180</f>
        <v>140</v>
      </c>
      <c r="AG2180" s="16">
        <v>2</v>
      </c>
    </row>
    <row r="2181" spans="1:33" ht="15" customHeight="1" x14ac:dyDescent="0.2">
      <c r="A2181" s="11" t="str">
        <f>HYPERLINK("https://assets.vans.eu/images/VN000P21EMU-HERO/1","VN000P21EMU1")</f>
        <v>VN000P21EMU1</v>
      </c>
      <c r="B2181" s="12" t="s">
        <v>8228</v>
      </c>
      <c r="C2181" s="12" t="s">
        <v>3728</v>
      </c>
      <c r="D2181" s="12" t="s">
        <v>1319</v>
      </c>
      <c r="E2181" s="12" t="s">
        <v>8229</v>
      </c>
      <c r="F2181" s="12" t="s">
        <v>60</v>
      </c>
      <c r="G2181" s="14"/>
      <c r="H2181" s="12" t="s">
        <v>61</v>
      </c>
      <c r="I2181" s="12" t="s">
        <v>230</v>
      </c>
      <c r="J2181" s="12" t="s">
        <v>419</v>
      </c>
      <c r="K2181" s="12" t="s">
        <v>199</v>
      </c>
      <c r="L2181" s="12" t="s">
        <v>83</v>
      </c>
      <c r="M2181" s="12" t="s">
        <v>43</v>
      </c>
      <c r="N2181" s="12" t="s">
        <v>84</v>
      </c>
      <c r="O2181" s="12" t="s">
        <v>8230</v>
      </c>
      <c r="P2181" s="12" t="s">
        <v>66</v>
      </c>
      <c r="Q2181" s="12" t="s">
        <v>67</v>
      </c>
      <c r="R2181" s="12" t="s">
        <v>623</v>
      </c>
      <c r="S2181" s="13">
        <v>197804294947</v>
      </c>
      <c r="T2181" s="12" t="s">
        <v>499</v>
      </c>
      <c r="U2181" s="12" t="s">
        <v>60</v>
      </c>
      <c r="V2181" s="12" t="s">
        <v>70</v>
      </c>
      <c r="W2181" s="12" t="s">
        <v>118</v>
      </c>
      <c r="X2181" s="14"/>
      <c r="Y2181" s="14"/>
      <c r="Z2181" s="14"/>
      <c r="AA2181" s="14"/>
      <c r="AB2181" s="14"/>
      <c r="AC2181" s="15">
        <v>36.4</v>
      </c>
      <c r="AD2181" s="15">
        <f>AC2181*AG2181</f>
        <v>72.8</v>
      </c>
      <c r="AE2181" s="15">
        <v>80</v>
      </c>
      <c r="AF2181" s="15">
        <f>AE2181*AG2181</f>
        <v>160</v>
      </c>
      <c r="AG2181" s="16">
        <v>2</v>
      </c>
    </row>
    <row r="2182" spans="1:33" ht="15" customHeight="1" x14ac:dyDescent="0.2">
      <c r="A2182" s="11" t="str">
        <f t="shared" si="386"/>
        <v>VN000P21JDU1</v>
      </c>
      <c r="B2182" s="12" t="s">
        <v>8231</v>
      </c>
      <c r="C2182" s="12" t="s">
        <v>3728</v>
      </c>
      <c r="D2182" s="12" t="s">
        <v>814</v>
      </c>
      <c r="E2182" s="12" t="s">
        <v>8232</v>
      </c>
      <c r="F2182" s="12" t="s">
        <v>179</v>
      </c>
      <c r="G2182" s="14"/>
      <c r="H2182" s="12" t="s">
        <v>61</v>
      </c>
      <c r="I2182" s="12" t="s">
        <v>230</v>
      </c>
      <c r="J2182" s="12" t="s">
        <v>419</v>
      </c>
      <c r="K2182" s="12" t="s">
        <v>199</v>
      </c>
      <c r="L2182" s="12" t="s">
        <v>83</v>
      </c>
      <c r="M2182" s="12" t="s">
        <v>43</v>
      </c>
      <c r="N2182" s="12" t="s">
        <v>84</v>
      </c>
      <c r="O2182" s="12" t="s">
        <v>8233</v>
      </c>
      <c r="P2182" s="12" t="s">
        <v>66</v>
      </c>
      <c r="Q2182" s="12" t="s">
        <v>67</v>
      </c>
      <c r="R2182" s="12" t="s">
        <v>623</v>
      </c>
      <c r="S2182" s="13">
        <v>197803497134</v>
      </c>
      <c r="T2182" s="12" t="s">
        <v>499</v>
      </c>
      <c r="U2182" s="12" t="s">
        <v>179</v>
      </c>
      <c r="V2182" s="12" t="s">
        <v>70</v>
      </c>
      <c r="W2182" s="12" t="s">
        <v>284</v>
      </c>
      <c r="X2182" s="13">
        <v>0</v>
      </c>
      <c r="Y2182" s="12" t="s">
        <v>91</v>
      </c>
      <c r="Z2182" s="12" t="s">
        <v>108</v>
      </c>
      <c r="AA2182" s="13">
        <v>0</v>
      </c>
      <c r="AB2182" s="12" t="s">
        <v>616</v>
      </c>
      <c r="AC2182" s="15">
        <v>36.4</v>
      </c>
      <c r="AD2182" s="15">
        <f>AC2182*AG2182</f>
        <v>72.8</v>
      </c>
      <c r="AE2182" s="15">
        <v>80</v>
      </c>
      <c r="AF2182" s="15">
        <f>AE2182*AG2182</f>
        <v>160</v>
      </c>
      <c r="AG2182" s="16">
        <v>2</v>
      </c>
    </row>
    <row r="2183" spans="1:33" ht="15" customHeight="1" x14ac:dyDescent="0.2">
      <c r="A2183" s="11" t="str">
        <f t="shared" ref="A2183:A3261" si="896">HYPERLINK("https://assets.vans.eu/images/VN000P21JDU-HERO/1","VN000P21JDU1")</f>
        <v>VN000P21JDU1</v>
      </c>
      <c r="B2183" s="12" t="s">
        <v>8234</v>
      </c>
      <c r="C2183" s="12" t="s">
        <v>3728</v>
      </c>
      <c r="D2183" s="12" t="s">
        <v>814</v>
      </c>
      <c r="E2183" s="12" t="s">
        <v>8235</v>
      </c>
      <c r="F2183" s="12" t="s">
        <v>60</v>
      </c>
      <c r="G2183" s="14"/>
      <c r="H2183" s="12" t="s">
        <v>61</v>
      </c>
      <c r="I2183" s="12" t="s">
        <v>230</v>
      </c>
      <c r="J2183" s="12" t="s">
        <v>419</v>
      </c>
      <c r="K2183" s="12" t="s">
        <v>199</v>
      </c>
      <c r="L2183" s="12" t="s">
        <v>83</v>
      </c>
      <c r="M2183" s="12" t="s">
        <v>43</v>
      </c>
      <c r="N2183" s="12" t="s">
        <v>84</v>
      </c>
      <c r="O2183" s="12" t="s">
        <v>8236</v>
      </c>
      <c r="P2183" s="12" t="s">
        <v>66</v>
      </c>
      <c r="Q2183" s="12" t="s">
        <v>67</v>
      </c>
      <c r="R2183" s="12" t="s">
        <v>623</v>
      </c>
      <c r="S2183" s="13">
        <v>197803497608</v>
      </c>
      <c r="T2183" s="12" t="s">
        <v>499</v>
      </c>
      <c r="U2183" s="12" t="s">
        <v>60</v>
      </c>
      <c r="V2183" s="12" t="s">
        <v>70</v>
      </c>
      <c r="W2183" s="12" t="s">
        <v>284</v>
      </c>
      <c r="X2183" s="13">
        <v>0</v>
      </c>
      <c r="Y2183" s="12" t="s">
        <v>91</v>
      </c>
      <c r="Z2183" s="12" t="s">
        <v>108</v>
      </c>
      <c r="AA2183" s="13">
        <v>0</v>
      </c>
      <c r="AB2183" s="12" t="s">
        <v>616</v>
      </c>
      <c r="AC2183" s="15">
        <v>36.4</v>
      </c>
      <c r="AD2183" s="15">
        <f>AC2183*AG2183</f>
        <v>72.8</v>
      </c>
      <c r="AE2183" s="15">
        <v>80</v>
      </c>
      <c r="AF2183" s="15">
        <f>AE2183*AG2183</f>
        <v>160</v>
      </c>
      <c r="AG2183" s="16">
        <v>2</v>
      </c>
    </row>
    <row r="2184" spans="1:33" ht="15" customHeight="1" x14ac:dyDescent="0.2">
      <c r="A2184" s="11" t="str">
        <f>HYPERLINK("https://assets.vans.eu/images/VN000P4YC9L-HERO/1","VN000P4YC9L1")</f>
        <v>VN000P4YC9L1</v>
      </c>
      <c r="B2184" s="12" t="s">
        <v>8237</v>
      </c>
      <c r="C2184" s="12" t="s">
        <v>8238</v>
      </c>
      <c r="D2184" s="12" t="s">
        <v>890</v>
      </c>
      <c r="E2184" s="12" t="s">
        <v>8239</v>
      </c>
      <c r="F2184" s="12" t="s">
        <v>621</v>
      </c>
      <c r="G2184" s="14"/>
      <c r="H2184" s="12" t="s">
        <v>61</v>
      </c>
      <c r="I2184" s="12" t="s">
        <v>230</v>
      </c>
      <c r="J2184" s="12" t="s">
        <v>419</v>
      </c>
      <c r="K2184" s="12" t="s">
        <v>199</v>
      </c>
      <c r="L2184" s="12" t="s">
        <v>83</v>
      </c>
      <c r="M2184" s="12" t="s">
        <v>43</v>
      </c>
      <c r="N2184" s="12" t="s">
        <v>44</v>
      </c>
      <c r="O2184" s="12" t="s">
        <v>8240</v>
      </c>
      <c r="P2184" s="12" t="s">
        <v>66</v>
      </c>
      <c r="Q2184" s="12" t="s">
        <v>67</v>
      </c>
      <c r="R2184" s="12" t="s">
        <v>421</v>
      </c>
      <c r="S2184" s="13">
        <v>197803420767</v>
      </c>
      <c r="T2184" s="12" t="s">
        <v>69</v>
      </c>
      <c r="U2184" s="12" t="s">
        <v>621</v>
      </c>
      <c r="V2184" s="12" t="s">
        <v>423</v>
      </c>
      <c r="W2184" s="12" t="s">
        <v>262</v>
      </c>
      <c r="X2184" s="13">
        <v>0</v>
      </c>
      <c r="Y2184" s="12" t="s">
        <v>53</v>
      </c>
      <c r="Z2184" s="12" t="s">
        <v>108</v>
      </c>
      <c r="AA2184" s="13">
        <v>0</v>
      </c>
      <c r="AB2184" s="12" t="s">
        <v>616</v>
      </c>
      <c r="AC2184" s="15">
        <v>19.100000000000001</v>
      </c>
      <c r="AD2184" s="15">
        <f>AC2184*AG2184</f>
        <v>38.200000000000003</v>
      </c>
      <c r="AE2184" s="15">
        <v>42</v>
      </c>
      <c r="AF2184" s="15">
        <f>AE2184*AG2184</f>
        <v>84</v>
      </c>
      <c r="AG2184" s="16">
        <v>2</v>
      </c>
    </row>
    <row r="2185" spans="1:33" ht="15" customHeight="1" x14ac:dyDescent="0.2">
      <c r="A2185" s="11" t="str">
        <f t="shared" si="703"/>
        <v>VN000P50EMF1</v>
      </c>
      <c r="B2185" s="12" t="s">
        <v>8241</v>
      </c>
      <c r="C2185" s="12" t="s">
        <v>4668</v>
      </c>
      <c r="D2185" s="12" t="s">
        <v>1282</v>
      </c>
      <c r="E2185" s="12" t="s">
        <v>8242</v>
      </c>
      <c r="F2185" s="12" t="s">
        <v>170</v>
      </c>
      <c r="G2185" s="14"/>
      <c r="H2185" s="12" t="s">
        <v>61</v>
      </c>
      <c r="I2185" s="12" t="s">
        <v>230</v>
      </c>
      <c r="J2185" s="12" t="s">
        <v>419</v>
      </c>
      <c r="K2185" s="12" t="s">
        <v>199</v>
      </c>
      <c r="L2185" s="12" t="s">
        <v>83</v>
      </c>
      <c r="M2185" s="12" t="s">
        <v>43</v>
      </c>
      <c r="N2185" s="12" t="s">
        <v>84</v>
      </c>
      <c r="O2185" s="12" t="s">
        <v>8243</v>
      </c>
      <c r="P2185" s="12" t="s">
        <v>66</v>
      </c>
      <c r="Q2185" s="12" t="s">
        <v>67</v>
      </c>
      <c r="R2185" s="12" t="s">
        <v>421</v>
      </c>
      <c r="S2185" s="13">
        <v>197804294657</v>
      </c>
      <c r="T2185" s="12" t="s">
        <v>422</v>
      </c>
      <c r="U2185" s="12" t="s">
        <v>170</v>
      </c>
      <c r="V2185" s="12" t="s">
        <v>70</v>
      </c>
      <c r="W2185" s="12" t="s">
        <v>118</v>
      </c>
      <c r="X2185" s="14"/>
      <c r="Y2185" s="14"/>
      <c r="Z2185" s="14"/>
      <c r="AA2185" s="14"/>
      <c r="AB2185" s="14"/>
      <c r="AC2185" s="15">
        <v>18.2</v>
      </c>
      <c r="AD2185" s="15">
        <f>AC2185*AG2185</f>
        <v>36.4</v>
      </c>
      <c r="AE2185" s="15">
        <v>40</v>
      </c>
      <c r="AF2185" s="15">
        <f>AE2185*AG2185</f>
        <v>80</v>
      </c>
      <c r="AG2185" s="16">
        <v>2</v>
      </c>
    </row>
    <row r="2186" spans="1:33" ht="15" customHeight="1" x14ac:dyDescent="0.2">
      <c r="A2186" s="11" t="str">
        <f t="shared" si="489"/>
        <v>VN000P50EMW1</v>
      </c>
      <c r="B2186" s="12" t="s">
        <v>8244</v>
      </c>
      <c r="C2186" s="12" t="s">
        <v>4668</v>
      </c>
      <c r="D2186" s="12" t="s">
        <v>147</v>
      </c>
      <c r="E2186" s="12" t="s">
        <v>8245</v>
      </c>
      <c r="F2186" s="12" t="s">
        <v>170</v>
      </c>
      <c r="G2186" s="14"/>
      <c r="H2186" s="12" t="s">
        <v>61</v>
      </c>
      <c r="I2186" s="12" t="s">
        <v>230</v>
      </c>
      <c r="J2186" s="12" t="s">
        <v>419</v>
      </c>
      <c r="K2186" s="12" t="s">
        <v>199</v>
      </c>
      <c r="L2186" s="12" t="s">
        <v>83</v>
      </c>
      <c r="M2186" s="12" t="s">
        <v>43</v>
      </c>
      <c r="N2186" s="12" t="s">
        <v>84</v>
      </c>
      <c r="O2186" s="12" t="s">
        <v>8246</v>
      </c>
      <c r="P2186" s="12" t="s">
        <v>66</v>
      </c>
      <c r="Q2186" s="12" t="s">
        <v>67</v>
      </c>
      <c r="R2186" s="12" t="s">
        <v>421</v>
      </c>
      <c r="S2186" s="13">
        <v>197804295302</v>
      </c>
      <c r="T2186" s="12" t="s">
        <v>422</v>
      </c>
      <c r="U2186" s="12" t="s">
        <v>170</v>
      </c>
      <c r="V2186" s="12" t="s">
        <v>70</v>
      </c>
      <c r="W2186" s="12" t="s">
        <v>118</v>
      </c>
      <c r="X2186" s="14"/>
      <c r="Y2186" s="14"/>
      <c r="Z2186" s="14"/>
      <c r="AA2186" s="14"/>
      <c r="AB2186" s="14"/>
      <c r="AC2186" s="15">
        <v>18.2</v>
      </c>
      <c r="AD2186" s="15">
        <f>AC2186*AG2186</f>
        <v>36.4</v>
      </c>
      <c r="AE2186" s="15">
        <v>40</v>
      </c>
      <c r="AF2186" s="15">
        <f>AE2186*AG2186</f>
        <v>80</v>
      </c>
      <c r="AG2186" s="16">
        <v>2</v>
      </c>
    </row>
    <row r="2187" spans="1:33" ht="15" customHeight="1" x14ac:dyDescent="0.2">
      <c r="A2187" s="11" t="str">
        <f>HYPERLINK("https://assets.vans.eu/images/VN000P50EMW-HERO/1","VN000P50EMW1")</f>
        <v>VN000P50EMW1</v>
      </c>
      <c r="B2187" s="12" t="s">
        <v>8247</v>
      </c>
      <c r="C2187" s="12" t="s">
        <v>4668</v>
      </c>
      <c r="D2187" s="12" t="s">
        <v>147</v>
      </c>
      <c r="E2187" s="12" t="s">
        <v>8248</v>
      </c>
      <c r="F2187" s="12" t="s">
        <v>403</v>
      </c>
      <c r="G2187" s="14"/>
      <c r="H2187" s="12" t="s">
        <v>61</v>
      </c>
      <c r="I2187" s="12" t="s">
        <v>230</v>
      </c>
      <c r="J2187" s="12" t="s">
        <v>419</v>
      </c>
      <c r="K2187" s="12" t="s">
        <v>199</v>
      </c>
      <c r="L2187" s="12" t="s">
        <v>83</v>
      </c>
      <c r="M2187" s="12" t="s">
        <v>43</v>
      </c>
      <c r="N2187" s="12" t="s">
        <v>84</v>
      </c>
      <c r="O2187" s="12" t="s">
        <v>8249</v>
      </c>
      <c r="P2187" s="12" t="s">
        <v>66</v>
      </c>
      <c r="Q2187" s="12" t="s">
        <v>67</v>
      </c>
      <c r="R2187" s="12" t="s">
        <v>421</v>
      </c>
      <c r="S2187" s="13">
        <v>197804295333</v>
      </c>
      <c r="T2187" s="12" t="s">
        <v>422</v>
      </c>
      <c r="U2187" s="12" t="s">
        <v>403</v>
      </c>
      <c r="V2187" s="12" t="s">
        <v>70</v>
      </c>
      <c r="W2187" s="12" t="s">
        <v>118</v>
      </c>
      <c r="X2187" s="14"/>
      <c r="Y2187" s="14"/>
      <c r="Z2187" s="14"/>
      <c r="AA2187" s="14"/>
      <c r="AB2187" s="14"/>
      <c r="AC2187" s="15">
        <v>18.2</v>
      </c>
      <c r="AD2187" s="15">
        <f>AC2187*AG2187</f>
        <v>36.4</v>
      </c>
      <c r="AE2187" s="15">
        <v>40</v>
      </c>
      <c r="AF2187" s="15">
        <f>AE2187*AG2187</f>
        <v>80</v>
      </c>
      <c r="AG2187" s="16">
        <v>2</v>
      </c>
    </row>
    <row r="2188" spans="1:33" ht="15" customHeight="1" x14ac:dyDescent="0.2">
      <c r="A2188" s="11" t="str">
        <f t="shared" ref="A2188:A3270" si="897">HYPERLINK("https://assets.vans.eu/images/VN000P50YB2-HERO/1","VN000P50YB21")</f>
        <v>VN000P50YB21</v>
      </c>
      <c r="B2188" s="12" t="s">
        <v>8250</v>
      </c>
      <c r="C2188" s="12" t="s">
        <v>4668</v>
      </c>
      <c r="D2188" s="12" t="s">
        <v>1138</v>
      </c>
      <c r="E2188" s="12" t="s">
        <v>8251</v>
      </c>
      <c r="F2188" s="12" t="s">
        <v>170</v>
      </c>
      <c r="G2188" s="14"/>
      <c r="H2188" s="12" t="s">
        <v>61</v>
      </c>
      <c r="I2188" s="12" t="s">
        <v>230</v>
      </c>
      <c r="J2188" s="12" t="s">
        <v>419</v>
      </c>
      <c r="K2188" s="12" t="s">
        <v>199</v>
      </c>
      <c r="L2188" s="12" t="s">
        <v>83</v>
      </c>
      <c r="M2188" s="12" t="s">
        <v>43</v>
      </c>
      <c r="N2188" s="12" t="s">
        <v>84</v>
      </c>
      <c r="O2188" s="12" t="s">
        <v>8252</v>
      </c>
      <c r="P2188" s="12" t="s">
        <v>66</v>
      </c>
      <c r="Q2188" s="12" t="s">
        <v>67</v>
      </c>
      <c r="R2188" s="12" t="s">
        <v>421</v>
      </c>
      <c r="S2188" s="13">
        <v>197803405597</v>
      </c>
      <c r="T2188" s="12" t="s">
        <v>422</v>
      </c>
      <c r="U2188" s="12" t="s">
        <v>170</v>
      </c>
      <c r="V2188" s="12" t="s">
        <v>70</v>
      </c>
      <c r="W2188" s="12" t="s">
        <v>175</v>
      </c>
      <c r="X2188" s="13">
        <v>0</v>
      </c>
      <c r="Y2188" s="12" t="s">
        <v>53</v>
      </c>
      <c r="Z2188" s="12" t="s">
        <v>108</v>
      </c>
      <c r="AA2188" s="13">
        <v>0</v>
      </c>
      <c r="AB2188" s="12" t="s">
        <v>616</v>
      </c>
      <c r="AC2188" s="15">
        <v>18.2</v>
      </c>
      <c r="AD2188" s="15">
        <f>AC2188*AG2188</f>
        <v>36.4</v>
      </c>
      <c r="AE2188" s="15">
        <v>40</v>
      </c>
      <c r="AF2188" s="15">
        <f>AE2188*AG2188</f>
        <v>80</v>
      </c>
      <c r="AG2188" s="16">
        <v>2</v>
      </c>
    </row>
    <row r="2189" spans="1:33" ht="15" customHeight="1" x14ac:dyDescent="0.2">
      <c r="A2189" s="11" t="str">
        <f t="shared" ref="A2189:A2190" si="898">HYPERLINK("https://assets.vans.eu/images/VN000P51Y28-HERO/1","VN000P51Y281")</f>
        <v>VN000P51Y281</v>
      </c>
      <c r="B2189" s="12" t="s">
        <v>8253</v>
      </c>
      <c r="C2189" s="12" t="s">
        <v>5354</v>
      </c>
      <c r="D2189" s="12" t="s">
        <v>58</v>
      </c>
      <c r="E2189" s="12" t="s">
        <v>8254</v>
      </c>
      <c r="F2189" s="12" t="s">
        <v>179</v>
      </c>
      <c r="G2189" s="14"/>
      <c r="H2189" s="12" t="s">
        <v>61</v>
      </c>
      <c r="I2189" s="12" t="s">
        <v>230</v>
      </c>
      <c r="J2189" s="12" t="s">
        <v>419</v>
      </c>
      <c r="K2189" s="12" t="s">
        <v>199</v>
      </c>
      <c r="L2189" s="12" t="s">
        <v>83</v>
      </c>
      <c r="M2189" s="12" t="s">
        <v>43</v>
      </c>
      <c r="N2189" s="12" t="s">
        <v>84</v>
      </c>
      <c r="O2189" s="12" t="s">
        <v>8255</v>
      </c>
      <c r="P2189" s="12" t="s">
        <v>66</v>
      </c>
      <c r="Q2189" s="12" t="s">
        <v>67</v>
      </c>
      <c r="R2189" s="12" t="s">
        <v>623</v>
      </c>
      <c r="S2189" s="13">
        <v>197803405870</v>
      </c>
      <c r="T2189" s="12" t="s">
        <v>69</v>
      </c>
      <c r="U2189" s="12" t="s">
        <v>179</v>
      </c>
      <c r="V2189" s="12" t="s">
        <v>70</v>
      </c>
      <c r="W2189" s="12" t="s">
        <v>51</v>
      </c>
      <c r="X2189" s="13">
        <v>0</v>
      </c>
      <c r="Y2189" s="12" t="s">
        <v>53</v>
      </c>
      <c r="Z2189" s="12" t="s">
        <v>108</v>
      </c>
      <c r="AA2189" s="13">
        <v>0</v>
      </c>
      <c r="AB2189" s="12" t="s">
        <v>616</v>
      </c>
      <c r="AC2189" s="15">
        <v>40.950000000000003</v>
      </c>
      <c r="AD2189" s="15">
        <f>AC2189*AG2189</f>
        <v>81.900000000000006</v>
      </c>
      <c r="AE2189" s="15">
        <v>90</v>
      </c>
      <c r="AF2189" s="15">
        <f>AE2189*AG2189</f>
        <v>180</v>
      </c>
      <c r="AG2189" s="16">
        <v>2</v>
      </c>
    </row>
    <row r="2190" spans="1:33" ht="15" customHeight="1" x14ac:dyDescent="0.2">
      <c r="A2190" s="11" t="str">
        <f t="shared" si="898"/>
        <v>VN000P51Y281</v>
      </c>
      <c r="B2190" s="12" t="s">
        <v>8256</v>
      </c>
      <c r="C2190" s="12" t="s">
        <v>5354</v>
      </c>
      <c r="D2190" s="12" t="s">
        <v>58</v>
      </c>
      <c r="E2190" s="12" t="s">
        <v>8257</v>
      </c>
      <c r="F2190" s="12" t="s">
        <v>403</v>
      </c>
      <c r="G2190" s="14"/>
      <c r="H2190" s="12" t="s">
        <v>61</v>
      </c>
      <c r="I2190" s="12" t="s">
        <v>230</v>
      </c>
      <c r="J2190" s="12" t="s">
        <v>419</v>
      </c>
      <c r="K2190" s="12" t="s">
        <v>199</v>
      </c>
      <c r="L2190" s="12" t="s">
        <v>83</v>
      </c>
      <c r="M2190" s="12" t="s">
        <v>43</v>
      </c>
      <c r="N2190" s="12" t="s">
        <v>84</v>
      </c>
      <c r="O2190" s="12" t="s">
        <v>8258</v>
      </c>
      <c r="P2190" s="12" t="s">
        <v>66</v>
      </c>
      <c r="Q2190" s="12" t="s">
        <v>67</v>
      </c>
      <c r="R2190" s="12" t="s">
        <v>623</v>
      </c>
      <c r="S2190" s="13">
        <v>197803406204</v>
      </c>
      <c r="T2190" s="12" t="s">
        <v>69</v>
      </c>
      <c r="U2190" s="12" t="s">
        <v>403</v>
      </c>
      <c r="V2190" s="12" t="s">
        <v>70</v>
      </c>
      <c r="W2190" s="12" t="s">
        <v>51</v>
      </c>
      <c r="X2190" s="13">
        <v>0</v>
      </c>
      <c r="Y2190" s="12" t="s">
        <v>53</v>
      </c>
      <c r="Z2190" s="12" t="s">
        <v>108</v>
      </c>
      <c r="AA2190" s="13">
        <v>0</v>
      </c>
      <c r="AB2190" s="12" t="s">
        <v>616</v>
      </c>
      <c r="AC2190" s="15">
        <v>40.950000000000003</v>
      </c>
      <c r="AD2190" s="15">
        <f>AC2190*AG2190</f>
        <v>81.900000000000006</v>
      </c>
      <c r="AE2190" s="15">
        <v>90</v>
      </c>
      <c r="AF2190" s="15">
        <f>AE2190*AG2190</f>
        <v>180</v>
      </c>
      <c r="AG2190" s="16">
        <v>2</v>
      </c>
    </row>
    <row r="2191" spans="1:33" ht="15" customHeight="1" x14ac:dyDescent="0.2">
      <c r="A2191" s="11" t="str">
        <f t="shared" si="706"/>
        <v>VN000P52Y281</v>
      </c>
      <c r="B2191" s="12" t="s">
        <v>8259</v>
      </c>
      <c r="C2191" s="12" t="s">
        <v>6573</v>
      </c>
      <c r="D2191" s="12" t="s">
        <v>58</v>
      </c>
      <c r="E2191" s="12" t="s">
        <v>8260</v>
      </c>
      <c r="F2191" s="12" t="s">
        <v>170</v>
      </c>
      <c r="G2191" s="14"/>
      <c r="H2191" s="12" t="s">
        <v>61</v>
      </c>
      <c r="I2191" s="12" t="s">
        <v>230</v>
      </c>
      <c r="J2191" s="12" t="s">
        <v>419</v>
      </c>
      <c r="K2191" s="12" t="s">
        <v>199</v>
      </c>
      <c r="L2191" s="12" t="s">
        <v>83</v>
      </c>
      <c r="M2191" s="12" t="s">
        <v>43</v>
      </c>
      <c r="N2191" s="12" t="s">
        <v>84</v>
      </c>
      <c r="O2191" s="12" t="s">
        <v>8261</v>
      </c>
      <c r="P2191" s="12" t="s">
        <v>66</v>
      </c>
      <c r="Q2191" s="12" t="s">
        <v>67</v>
      </c>
      <c r="R2191" s="12" t="s">
        <v>623</v>
      </c>
      <c r="S2191" s="13">
        <v>197803406044</v>
      </c>
      <c r="T2191" s="12" t="s">
        <v>69</v>
      </c>
      <c r="U2191" s="12" t="s">
        <v>170</v>
      </c>
      <c r="V2191" s="12" t="s">
        <v>70</v>
      </c>
      <c r="W2191" s="12" t="s">
        <v>51</v>
      </c>
      <c r="X2191" s="13">
        <v>0</v>
      </c>
      <c r="Y2191" s="12" t="s">
        <v>53</v>
      </c>
      <c r="Z2191" s="12" t="s">
        <v>108</v>
      </c>
      <c r="AA2191" s="13">
        <v>0</v>
      </c>
      <c r="AB2191" s="12" t="s">
        <v>616</v>
      </c>
      <c r="AC2191" s="15">
        <v>36.4</v>
      </c>
      <c r="AD2191" s="15">
        <f>AC2191*AG2191</f>
        <v>72.8</v>
      </c>
      <c r="AE2191" s="15">
        <v>80</v>
      </c>
      <c r="AF2191" s="15">
        <f>AE2191*AG2191</f>
        <v>160</v>
      </c>
      <c r="AG2191" s="16">
        <v>2</v>
      </c>
    </row>
    <row r="2192" spans="1:33" ht="15" customHeight="1" x14ac:dyDescent="0.2">
      <c r="A2192" s="11" t="str">
        <f t="shared" si="707"/>
        <v>VN000P56EMW1</v>
      </c>
      <c r="B2192" s="12" t="s">
        <v>8262</v>
      </c>
      <c r="C2192" s="12" t="s">
        <v>6577</v>
      </c>
      <c r="D2192" s="12" t="s">
        <v>147</v>
      </c>
      <c r="E2192" s="12" t="s">
        <v>8263</v>
      </c>
      <c r="F2192" s="12" t="s">
        <v>179</v>
      </c>
      <c r="G2192" s="14"/>
      <c r="H2192" s="12" t="s">
        <v>61</v>
      </c>
      <c r="I2192" s="12" t="s">
        <v>230</v>
      </c>
      <c r="J2192" s="12" t="s">
        <v>419</v>
      </c>
      <c r="K2192" s="12" t="s">
        <v>199</v>
      </c>
      <c r="L2192" s="12" t="s">
        <v>83</v>
      </c>
      <c r="M2192" s="12" t="s">
        <v>43</v>
      </c>
      <c r="N2192" s="12" t="s">
        <v>84</v>
      </c>
      <c r="O2192" s="12" t="s">
        <v>8264</v>
      </c>
      <c r="P2192" s="12" t="s">
        <v>66</v>
      </c>
      <c r="Q2192" s="12" t="s">
        <v>67</v>
      </c>
      <c r="R2192" s="12" t="s">
        <v>421</v>
      </c>
      <c r="S2192" s="13">
        <v>197804295449</v>
      </c>
      <c r="T2192" s="12" t="s">
        <v>422</v>
      </c>
      <c r="U2192" s="12" t="s">
        <v>179</v>
      </c>
      <c r="V2192" s="12" t="s">
        <v>70</v>
      </c>
      <c r="W2192" s="12" t="s">
        <v>118</v>
      </c>
      <c r="X2192" s="14"/>
      <c r="Y2192" s="14"/>
      <c r="Z2192" s="14"/>
      <c r="AA2192" s="14"/>
      <c r="AB2192" s="14"/>
      <c r="AC2192" s="15">
        <v>13.65</v>
      </c>
      <c r="AD2192" s="15">
        <f>AC2192*AG2192</f>
        <v>27.3</v>
      </c>
      <c r="AE2192" s="15">
        <v>30</v>
      </c>
      <c r="AF2192" s="15">
        <f>AE2192*AG2192</f>
        <v>60</v>
      </c>
      <c r="AG2192" s="16">
        <v>2</v>
      </c>
    </row>
    <row r="2193" spans="1:33" ht="15" customHeight="1" x14ac:dyDescent="0.2">
      <c r="A2193" s="11" t="str">
        <f>HYPERLINK("https://assets.vans.eu/images/VN000P58E2Z-HERO/1","VN000P58E2Z1")</f>
        <v>VN000P58E2Z1</v>
      </c>
      <c r="B2193" s="12" t="s">
        <v>8265</v>
      </c>
      <c r="C2193" s="12" t="s">
        <v>1888</v>
      </c>
      <c r="D2193" s="12" t="s">
        <v>3420</v>
      </c>
      <c r="E2193" s="12" t="s">
        <v>8266</v>
      </c>
      <c r="F2193" s="12" t="s">
        <v>153</v>
      </c>
      <c r="G2193" s="14"/>
      <c r="H2193" s="12" t="s">
        <v>61</v>
      </c>
      <c r="I2193" s="12" t="s">
        <v>230</v>
      </c>
      <c r="J2193" s="12" t="s">
        <v>419</v>
      </c>
      <c r="K2193" s="12" t="s">
        <v>199</v>
      </c>
      <c r="L2193" s="12" t="s">
        <v>83</v>
      </c>
      <c r="M2193" s="12" t="s">
        <v>43</v>
      </c>
      <c r="N2193" s="12" t="s">
        <v>44</v>
      </c>
      <c r="O2193" s="12" t="s">
        <v>8267</v>
      </c>
      <c r="P2193" s="12" t="s">
        <v>66</v>
      </c>
      <c r="Q2193" s="12" t="s">
        <v>67</v>
      </c>
      <c r="R2193" s="12" t="s">
        <v>623</v>
      </c>
      <c r="S2193" s="13">
        <v>197803420675</v>
      </c>
      <c r="T2193" s="12" t="s">
        <v>499</v>
      </c>
      <c r="U2193" s="12" t="s">
        <v>153</v>
      </c>
      <c r="V2193" s="12" t="s">
        <v>423</v>
      </c>
      <c r="W2193" s="12" t="s">
        <v>262</v>
      </c>
      <c r="X2193" s="13">
        <v>0</v>
      </c>
      <c r="Y2193" s="12" t="s">
        <v>91</v>
      </c>
      <c r="Z2193" s="12" t="s">
        <v>108</v>
      </c>
      <c r="AA2193" s="13">
        <v>0</v>
      </c>
      <c r="AB2193" s="12" t="s">
        <v>616</v>
      </c>
      <c r="AC2193" s="15">
        <v>36.4</v>
      </c>
      <c r="AD2193" s="15">
        <f>AC2193*AG2193</f>
        <v>72.8</v>
      </c>
      <c r="AE2193" s="15">
        <v>80</v>
      </c>
      <c r="AF2193" s="15">
        <f>AE2193*AG2193</f>
        <v>160</v>
      </c>
      <c r="AG2193" s="16">
        <v>2</v>
      </c>
    </row>
    <row r="2194" spans="1:33" ht="15" customHeight="1" x14ac:dyDescent="0.2">
      <c r="A2194" s="11" t="str">
        <f t="shared" ref="A2194:A3292" si="899">HYPERLINK("https://assets.vans.eu/images/VN000P58EMW-HERO/1","VN000P58EMW1")</f>
        <v>VN000P58EMW1</v>
      </c>
      <c r="B2194" s="12" t="s">
        <v>8268</v>
      </c>
      <c r="C2194" s="12" t="s">
        <v>1888</v>
      </c>
      <c r="D2194" s="12" t="s">
        <v>147</v>
      </c>
      <c r="E2194" s="12" t="s">
        <v>8269</v>
      </c>
      <c r="F2194" s="12" t="s">
        <v>153</v>
      </c>
      <c r="G2194" s="14"/>
      <c r="H2194" s="12" t="s">
        <v>61</v>
      </c>
      <c r="I2194" s="12" t="s">
        <v>230</v>
      </c>
      <c r="J2194" s="12" t="s">
        <v>419</v>
      </c>
      <c r="K2194" s="12" t="s">
        <v>199</v>
      </c>
      <c r="L2194" s="12" t="s">
        <v>83</v>
      </c>
      <c r="M2194" s="12" t="s">
        <v>43</v>
      </c>
      <c r="N2194" s="12" t="s">
        <v>84</v>
      </c>
      <c r="O2194" s="12" t="s">
        <v>8270</v>
      </c>
      <c r="P2194" s="12" t="s">
        <v>66</v>
      </c>
      <c r="Q2194" s="12" t="s">
        <v>67</v>
      </c>
      <c r="R2194" s="12" t="s">
        <v>623</v>
      </c>
      <c r="S2194" s="13">
        <v>197804296385</v>
      </c>
      <c r="T2194" s="12" t="s">
        <v>499</v>
      </c>
      <c r="U2194" s="12" t="s">
        <v>153</v>
      </c>
      <c r="V2194" s="12" t="s">
        <v>70</v>
      </c>
      <c r="W2194" s="12" t="s">
        <v>118</v>
      </c>
      <c r="X2194" s="14"/>
      <c r="Y2194" s="14"/>
      <c r="Z2194" s="14"/>
      <c r="AA2194" s="14"/>
      <c r="AB2194" s="14"/>
      <c r="AC2194" s="15">
        <v>36.4</v>
      </c>
      <c r="AD2194" s="15">
        <f>AC2194*AG2194</f>
        <v>72.8</v>
      </c>
      <c r="AE2194" s="15">
        <v>80</v>
      </c>
      <c r="AF2194" s="15">
        <f>AE2194*AG2194</f>
        <v>160</v>
      </c>
      <c r="AG2194" s="16">
        <v>2</v>
      </c>
    </row>
    <row r="2195" spans="1:33" ht="15" customHeight="1" x14ac:dyDescent="0.2">
      <c r="A2195" s="11" t="str">
        <f>HYPERLINK("https://assets.vans.eu/images/VN000P59E2Z-HERO/1","VN000P59E2Z1")</f>
        <v>VN000P59E2Z1</v>
      </c>
      <c r="B2195" s="12" t="s">
        <v>8271</v>
      </c>
      <c r="C2195" s="12" t="s">
        <v>3419</v>
      </c>
      <c r="D2195" s="12" t="s">
        <v>3420</v>
      </c>
      <c r="E2195" s="12" t="s">
        <v>8272</v>
      </c>
      <c r="F2195" s="12" t="s">
        <v>179</v>
      </c>
      <c r="G2195" s="14"/>
      <c r="H2195" s="12" t="s">
        <v>61</v>
      </c>
      <c r="I2195" s="12" t="s">
        <v>230</v>
      </c>
      <c r="J2195" s="12" t="s">
        <v>419</v>
      </c>
      <c r="K2195" s="12" t="s">
        <v>199</v>
      </c>
      <c r="L2195" s="12" t="s">
        <v>83</v>
      </c>
      <c r="M2195" s="12" t="s">
        <v>43</v>
      </c>
      <c r="N2195" s="12" t="s">
        <v>44</v>
      </c>
      <c r="O2195" s="12" t="s">
        <v>8273</v>
      </c>
      <c r="P2195" s="12" t="s">
        <v>66</v>
      </c>
      <c r="Q2195" s="12" t="s">
        <v>67</v>
      </c>
      <c r="R2195" s="12" t="s">
        <v>623</v>
      </c>
      <c r="S2195" s="13">
        <v>197803419952</v>
      </c>
      <c r="T2195" s="12" t="s">
        <v>499</v>
      </c>
      <c r="U2195" s="12" t="s">
        <v>179</v>
      </c>
      <c r="V2195" s="12" t="s">
        <v>423</v>
      </c>
      <c r="W2195" s="12" t="s">
        <v>262</v>
      </c>
      <c r="X2195" s="13">
        <v>0</v>
      </c>
      <c r="Y2195" s="12" t="s">
        <v>91</v>
      </c>
      <c r="Z2195" s="12" t="s">
        <v>108</v>
      </c>
      <c r="AA2195" s="13">
        <v>0</v>
      </c>
      <c r="AB2195" s="12" t="s">
        <v>616</v>
      </c>
      <c r="AC2195" s="15">
        <v>31.85</v>
      </c>
      <c r="AD2195" s="15">
        <f>AC2195*AG2195</f>
        <v>63.7</v>
      </c>
      <c r="AE2195" s="15">
        <v>70</v>
      </c>
      <c r="AF2195" s="15">
        <f>AE2195*AG2195</f>
        <v>140</v>
      </c>
      <c r="AG2195" s="16">
        <v>2</v>
      </c>
    </row>
    <row r="2196" spans="1:33" ht="15" customHeight="1" x14ac:dyDescent="0.2">
      <c r="A2196" s="11" t="str">
        <f t="shared" ref="A2196:A3302" si="900">HYPERLINK("https://assets.vans.eu/images/VN000P5D02F-HERO/1","VN000P5D02F1")</f>
        <v>VN000P5D02F1</v>
      </c>
      <c r="B2196" s="12" t="s">
        <v>8274</v>
      </c>
      <c r="C2196" s="12" t="s">
        <v>908</v>
      </c>
      <c r="D2196" s="12" t="s">
        <v>857</v>
      </c>
      <c r="E2196" s="12" t="s">
        <v>8275</v>
      </c>
      <c r="F2196" s="12" t="s">
        <v>60</v>
      </c>
      <c r="G2196" s="14"/>
      <c r="H2196" s="12" t="s">
        <v>61</v>
      </c>
      <c r="I2196" s="12" t="s">
        <v>230</v>
      </c>
      <c r="J2196" s="12" t="s">
        <v>419</v>
      </c>
      <c r="K2196" s="12" t="s">
        <v>199</v>
      </c>
      <c r="L2196" s="14"/>
      <c r="M2196" s="12" t="s">
        <v>43</v>
      </c>
      <c r="N2196" s="12" t="s">
        <v>44</v>
      </c>
      <c r="O2196" s="12" t="s">
        <v>8276</v>
      </c>
      <c r="P2196" s="12" t="s">
        <v>66</v>
      </c>
      <c r="Q2196" s="12" t="s">
        <v>67</v>
      </c>
      <c r="R2196" s="12" t="s">
        <v>623</v>
      </c>
      <c r="S2196" s="13">
        <v>197643541592</v>
      </c>
      <c r="T2196" s="12" t="s">
        <v>49</v>
      </c>
      <c r="U2196" s="12" t="s">
        <v>60</v>
      </c>
      <c r="V2196" s="12" t="s">
        <v>860</v>
      </c>
      <c r="W2196" s="12" t="s">
        <v>455</v>
      </c>
      <c r="X2196" s="13">
        <v>0</v>
      </c>
      <c r="Y2196" s="12" t="s">
        <v>53</v>
      </c>
      <c r="Z2196" s="12" t="s">
        <v>108</v>
      </c>
      <c r="AA2196" s="13">
        <v>0</v>
      </c>
      <c r="AB2196" s="13">
        <v>0</v>
      </c>
      <c r="AC2196" s="15">
        <v>34.1</v>
      </c>
      <c r="AD2196" s="15">
        <f>AC2196*AG2196</f>
        <v>68.2</v>
      </c>
      <c r="AE2196" s="15">
        <v>75</v>
      </c>
      <c r="AF2196" s="15">
        <f>AE2196*AG2196</f>
        <v>150</v>
      </c>
      <c r="AG2196" s="16">
        <v>2</v>
      </c>
    </row>
    <row r="2197" spans="1:33" ht="15" customHeight="1" x14ac:dyDescent="0.2">
      <c r="A2197" s="11" t="str">
        <f>HYPERLINK("https://assets.vans.eu/images/VN000P5GBLK-HERO/1","VN000P5GBLK1")</f>
        <v>VN000P5GBLK1</v>
      </c>
      <c r="B2197" s="12" t="s">
        <v>8277</v>
      </c>
      <c r="C2197" s="12" t="s">
        <v>3424</v>
      </c>
      <c r="D2197" s="12" t="s">
        <v>76</v>
      </c>
      <c r="E2197" s="12" t="s">
        <v>8278</v>
      </c>
      <c r="F2197" s="12" t="s">
        <v>60</v>
      </c>
      <c r="G2197" s="14"/>
      <c r="H2197" s="12" t="s">
        <v>61</v>
      </c>
      <c r="I2197" s="12" t="s">
        <v>230</v>
      </c>
      <c r="J2197" s="12" t="s">
        <v>231</v>
      </c>
      <c r="K2197" s="12" t="s">
        <v>199</v>
      </c>
      <c r="L2197" s="14"/>
      <c r="M2197" s="12" t="s">
        <v>43</v>
      </c>
      <c r="N2197" s="12" t="s">
        <v>44</v>
      </c>
      <c r="O2197" s="12" t="s">
        <v>8279</v>
      </c>
      <c r="P2197" s="12" t="s">
        <v>66</v>
      </c>
      <c r="Q2197" s="12" t="s">
        <v>233</v>
      </c>
      <c r="R2197" s="12" t="s">
        <v>234</v>
      </c>
      <c r="S2197" s="13">
        <v>197643541981</v>
      </c>
      <c r="T2197" s="12" t="s">
        <v>49</v>
      </c>
      <c r="U2197" s="12" t="s">
        <v>60</v>
      </c>
      <c r="V2197" s="12" t="s">
        <v>3427</v>
      </c>
      <c r="W2197" s="12" t="s">
        <v>51</v>
      </c>
      <c r="X2197" s="13">
        <v>0</v>
      </c>
      <c r="Y2197" s="12" t="s">
        <v>53</v>
      </c>
      <c r="Z2197" s="12" t="s">
        <v>108</v>
      </c>
      <c r="AA2197" s="13">
        <v>0</v>
      </c>
      <c r="AB2197" s="13">
        <v>0</v>
      </c>
      <c r="AC2197" s="15">
        <v>29.55</v>
      </c>
      <c r="AD2197" s="15">
        <f>AC2197*AG2197</f>
        <v>59.1</v>
      </c>
      <c r="AE2197" s="15">
        <v>65</v>
      </c>
      <c r="AF2197" s="15">
        <f>AE2197*AG2197</f>
        <v>130</v>
      </c>
      <c r="AG2197" s="16">
        <v>2</v>
      </c>
    </row>
    <row r="2198" spans="1:33" ht="15" customHeight="1" x14ac:dyDescent="0.2">
      <c r="A2198" s="11" t="str">
        <f>HYPERLINK("https://assets.vans.eu/images/VN000P5RO3N-HERO/1","VN000P5RO3N1")</f>
        <v>VN000P5RO3N1</v>
      </c>
      <c r="B2198" s="12" t="s">
        <v>8280</v>
      </c>
      <c r="C2198" s="12" t="s">
        <v>8281</v>
      </c>
      <c r="D2198" s="12" t="s">
        <v>744</v>
      </c>
      <c r="E2198" s="12" t="s">
        <v>8282</v>
      </c>
      <c r="F2198" s="12" t="s">
        <v>170</v>
      </c>
      <c r="G2198" s="14"/>
      <c r="H2198" s="12" t="s">
        <v>61</v>
      </c>
      <c r="I2198" s="12" t="s">
        <v>62</v>
      </c>
      <c r="J2198" s="12" t="s">
        <v>63</v>
      </c>
      <c r="K2198" s="12" t="s">
        <v>1022</v>
      </c>
      <c r="L2198" s="12" t="s">
        <v>83</v>
      </c>
      <c r="M2198" s="12" t="s">
        <v>43</v>
      </c>
      <c r="N2198" s="12" t="s">
        <v>44</v>
      </c>
      <c r="O2198" s="12" t="s">
        <v>8283</v>
      </c>
      <c r="P2198" s="12" t="s">
        <v>66</v>
      </c>
      <c r="Q2198" s="12" t="s">
        <v>67</v>
      </c>
      <c r="R2198" s="12" t="s">
        <v>68</v>
      </c>
      <c r="S2198" s="13">
        <v>197803406723</v>
      </c>
      <c r="T2198" s="12" t="s">
        <v>69</v>
      </c>
      <c r="U2198" s="12" t="s">
        <v>170</v>
      </c>
      <c r="V2198" s="12" t="s">
        <v>423</v>
      </c>
      <c r="W2198" s="12" t="s">
        <v>299</v>
      </c>
      <c r="X2198" s="13">
        <v>0</v>
      </c>
      <c r="Y2198" s="12" t="s">
        <v>91</v>
      </c>
      <c r="Z2198" s="12" t="s">
        <v>108</v>
      </c>
      <c r="AA2198" s="13">
        <v>0</v>
      </c>
      <c r="AB2198" s="12" t="s">
        <v>616</v>
      </c>
      <c r="AC2198" s="15">
        <v>11.85</v>
      </c>
      <c r="AD2198" s="15">
        <f>AC2198*AG2198</f>
        <v>23.7</v>
      </c>
      <c r="AE2198" s="15">
        <v>26</v>
      </c>
      <c r="AF2198" s="15">
        <f>AE2198*AG2198</f>
        <v>52</v>
      </c>
      <c r="AG2198" s="16">
        <v>2</v>
      </c>
    </row>
    <row r="2199" spans="1:33" ht="15" customHeight="1" x14ac:dyDescent="0.2">
      <c r="A2199" s="11" t="str">
        <f t="shared" si="570"/>
        <v>VN000P5T5TU1</v>
      </c>
      <c r="B2199" s="12" t="s">
        <v>8284</v>
      </c>
      <c r="C2199" s="12" t="s">
        <v>5383</v>
      </c>
      <c r="D2199" s="12" t="s">
        <v>1356</v>
      </c>
      <c r="E2199" s="12" t="s">
        <v>8285</v>
      </c>
      <c r="F2199" s="12" t="s">
        <v>403</v>
      </c>
      <c r="G2199" s="14"/>
      <c r="H2199" s="12" t="s">
        <v>61</v>
      </c>
      <c r="I2199" s="12" t="s">
        <v>62</v>
      </c>
      <c r="J2199" s="12" t="s">
        <v>63</v>
      </c>
      <c r="K2199" s="12" t="s">
        <v>64</v>
      </c>
      <c r="L2199" s="12" t="s">
        <v>83</v>
      </c>
      <c r="M2199" s="12" t="s">
        <v>43</v>
      </c>
      <c r="N2199" s="12" t="s">
        <v>84</v>
      </c>
      <c r="O2199" s="12" t="s">
        <v>8286</v>
      </c>
      <c r="P2199" s="12" t="s">
        <v>66</v>
      </c>
      <c r="Q2199" s="12" t="s">
        <v>67</v>
      </c>
      <c r="R2199" s="12" t="s">
        <v>730</v>
      </c>
      <c r="S2199" s="13">
        <v>197804297078</v>
      </c>
      <c r="T2199" s="12" t="s">
        <v>499</v>
      </c>
      <c r="U2199" s="12" t="s">
        <v>403</v>
      </c>
      <c r="V2199" s="12" t="s">
        <v>1378</v>
      </c>
      <c r="W2199" s="12" t="s">
        <v>284</v>
      </c>
      <c r="X2199" s="14"/>
      <c r="Y2199" s="14"/>
      <c r="Z2199" s="14"/>
      <c r="AA2199" s="14"/>
      <c r="AB2199" s="14"/>
      <c r="AC2199" s="15">
        <v>27.3</v>
      </c>
      <c r="AD2199" s="15">
        <f>AC2199*AG2199</f>
        <v>54.6</v>
      </c>
      <c r="AE2199" s="15">
        <v>60</v>
      </c>
      <c r="AF2199" s="15">
        <f>AE2199*AG2199</f>
        <v>120</v>
      </c>
      <c r="AG2199" s="16">
        <v>2</v>
      </c>
    </row>
    <row r="2200" spans="1:33" ht="15" customHeight="1" x14ac:dyDescent="0.2">
      <c r="A2200" s="11" t="str">
        <f>HYPERLINK("https://assets.vans.eu/images/VN000P5T5TU-HERO/1","VN000P5T5TU1")</f>
        <v>VN000P5T5TU1</v>
      </c>
      <c r="B2200" s="12" t="s">
        <v>8287</v>
      </c>
      <c r="C2200" s="12" t="s">
        <v>5383</v>
      </c>
      <c r="D2200" s="12" t="s">
        <v>1356</v>
      </c>
      <c r="E2200" s="12" t="s">
        <v>8288</v>
      </c>
      <c r="F2200" s="12" t="s">
        <v>60</v>
      </c>
      <c r="G2200" s="14"/>
      <c r="H2200" s="12" t="s">
        <v>61</v>
      </c>
      <c r="I2200" s="12" t="s">
        <v>62</v>
      </c>
      <c r="J2200" s="12" t="s">
        <v>63</v>
      </c>
      <c r="K2200" s="12" t="s">
        <v>64</v>
      </c>
      <c r="L2200" s="12" t="s">
        <v>83</v>
      </c>
      <c r="M2200" s="12" t="s">
        <v>43</v>
      </c>
      <c r="N2200" s="12" t="s">
        <v>84</v>
      </c>
      <c r="O2200" s="12" t="s">
        <v>8289</v>
      </c>
      <c r="P2200" s="12" t="s">
        <v>66</v>
      </c>
      <c r="Q2200" s="12" t="s">
        <v>67</v>
      </c>
      <c r="R2200" s="12" t="s">
        <v>730</v>
      </c>
      <c r="S2200" s="13">
        <v>197804297191</v>
      </c>
      <c r="T2200" s="12" t="s">
        <v>499</v>
      </c>
      <c r="U2200" s="12" t="s">
        <v>60</v>
      </c>
      <c r="V2200" s="12" t="s">
        <v>1378</v>
      </c>
      <c r="W2200" s="12" t="s">
        <v>284</v>
      </c>
      <c r="X2200" s="14"/>
      <c r="Y2200" s="14"/>
      <c r="Z2200" s="14"/>
      <c r="AA2200" s="14"/>
      <c r="AB2200" s="14"/>
      <c r="AC2200" s="15">
        <v>27.3</v>
      </c>
      <c r="AD2200" s="15">
        <f>AC2200*AG2200</f>
        <v>54.6</v>
      </c>
      <c r="AE2200" s="15">
        <v>60</v>
      </c>
      <c r="AF2200" s="15">
        <f>AE2200*AG2200</f>
        <v>120</v>
      </c>
      <c r="AG2200" s="16">
        <v>2</v>
      </c>
    </row>
    <row r="2201" spans="1:33" ht="15" customHeight="1" x14ac:dyDescent="0.2">
      <c r="A2201" s="11" t="str">
        <f t="shared" si="491"/>
        <v>VN000P78BLK1</v>
      </c>
      <c r="B2201" s="12" t="s">
        <v>8290</v>
      </c>
      <c r="C2201" s="12" t="s">
        <v>3435</v>
      </c>
      <c r="D2201" s="12" t="s">
        <v>76</v>
      </c>
      <c r="E2201" s="12" t="s">
        <v>8291</v>
      </c>
      <c r="F2201" s="12" t="s">
        <v>153</v>
      </c>
      <c r="G2201" s="14"/>
      <c r="H2201" s="12" t="s">
        <v>61</v>
      </c>
      <c r="I2201" s="12" t="s">
        <v>230</v>
      </c>
      <c r="J2201" s="12" t="s">
        <v>762</v>
      </c>
      <c r="K2201" s="12" t="s">
        <v>199</v>
      </c>
      <c r="L2201" s="14"/>
      <c r="M2201" s="12" t="s">
        <v>43</v>
      </c>
      <c r="N2201" s="12" t="s">
        <v>84</v>
      </c>
      <c r="O2201" s="12" t="s">
        <v>8292</v>
      </c>
      <c r="P2201" s="12" t="s">
        <v>66</v>
      </c>
      <c r="Q2201" s="12" t="s">
        <v>764</v>
      </c>
      <c r="R2201" s="12" t="s">
        <v>765</v>
      </c>
      <c r="S2201" s="13">
        <v>197804351237</v>
      </c>
      <c r="T2201" s="12" t="s">
        <v>235</v>
      </c>
      <c r="U2201" s="12" t="s">
        <v>153</v>
      </c>
      <c r="V2201" s="12" t="s">
        <v>1811</v>
      </c>
      <c r="W2201" s="12" t="s">
        <v>51</v>
      </c>
      <c r="X2201" s="14"/>
      <c r="Y2201" s="14"/>
      <c r="Z2201" s="14"/>
      <c r="AA2201" s="14"/>
      <c r="AB2201" s="14"/>
      <c r="AC2201" s="15">
        <v>59.1</v>
      </c>
      <c r="AD2201" s="15">
        <f>AC2201*AG2201</f>
        <v>118.2</v>
      </c>
      <c r="AE2201" s="15">
        <v>130</v>
      </c>
      <c r="AF2201" s="15">
        <f>AE2201*AG2201</f>
        <v>260</v>
      </c>
      <c r="AG2201" s="16">
        <v>2</v>
      </c>
    </row>
    <row r="2202" spans="1:33" ht="15" customHeight="1" x14ac:dyDescent="0.2">
      <c r="A2202" s="11" t="str">
        <f t="shared" ref="A2202:A3315" si="901">HYPERLINK("https://assets.vans.eu/images/VN000P7U2N1-HERO/1","VN000P7U2N11")</f>
        <v>VN000P7U2N11</v>
      </c>
      <c r="B2202" s="12" t="s">
        <v>8293</v>
      </c>
      <c r="C2202" s="12" t="s">
        <v>8294</v>
      </c>
      <c r="D2202" s="12" t="s">
        <v>1082</v>
      </c>
      <c r="E2202" s="12" t="s">
        <v>8295</v>
      </c>
      <c r="F2202" s="12" t="s">
        <v>60</v>
      </c>
      <c r="G2202" s="14"/>
      <c r="H2202" s="12" t="s">
        <v>61</v>
      </c>
      <c r="I2202" s="12" t="s">
        <v>230</v>
      </c>
      <c r="J2202" s="12" t="s">
        <v>419</v>
      </c>
      <c r="K2202" s="12" t="s">
        <v>199</v>
      </c>
      <c r="L2202" s="14"/>
      <c r="M2202" s="12" t="s">
        <v>43</v>
      </c>
      <c r="N2202" s="12" t="s">
        <v>84</v>
      </c>
      <c r="O2202" s="12" t="s">
        <v>8296</v>
      </c>
      <c r="P2202" s="12" t="s">
        <v>66</v>
      </c>
      <c r="Q2202" s="12" t="s">
        <v>67</v>
      </c>
      <c r="R2202" s="12" t="s">
        <v>1500</v>
      </c>
      <c r="S2202" s="13">
        <v>197804351152</v>
      </c>
      <c r="T2202" s="12" t="s">
        <v>235</v>
      </c>
      <c r="U2202" s="12" t="s">
        <v>60</v>
      </c>
      <c r="V2202" s="12" t="s">
        <v>665</v>
      </c>
      <c r="W2202" s="12" t="s">
        <v>580</v>
      </c>
      <c r="X2202" s="14"/>
      <c r="Y2202" s="14"/>
      <c r="Z2202" s="14"/>
      <c r="AA2202" s="14"/>
      <c r="AB2202" s="14"/>
      <c r="AC2202" s="15">
        <v>40.950000000000003</v>
      </c>
      <c r="AD2202" s="15">
        <f>AC2202*AG2202</f>
        <v>81.900000000000006</v>
      </c>
      <c r="AE2202" s="15">
        <v>90</v>
      </c>
      <c r="AF2202" s="15">
        <f>AE2202*AG2202</f>
        <v>180</v>
      </c>
      <c r="AG2202" s="16">
        <v>2</v>
      </c>
    </row>
    <row r="2203" spans="1:33" ht="15" customHeight="1" x14ac:dyDescent="0.2">
      <c r="A2203" s="11" t="str">
        <f t="shared" ref="A2203:A3317" si="902">HYPERLINK("https://assets.vans.eu/images/VN000P7UJDU-HERO/1","VN000P7UJDU1")</f>
        <v>VN000P7UJDU1</v>
      </c>
      <c r="B2203" s="12" t="s">
        <v>8297</v>
      </c>
      <c r="C2203" s="12" t="s">
        <v>8294</v>
      </c>
      <c r="D2203" s="12" t="s">
        <v>814</v>
      </c>
      <c r="E2203" s="12" t="s">
        <v>8298</v>
      </c>
      <c r="F2203" s="12" t="s">
        <v>60</v>
      </c>
      <c r="G2203" s="14"/>
      <c r="H2203" s="12" t="s">
        <v>61</v>
      </c>
      <c r="I2203" s="12" t="s">
        <v>230</v>
      </c>
      <c r="J2203" s="12" t="s">
        <v>419</v>
      </c>
      <c r="K2203" s="12" t="s">
        <v>199</v>
      </c>
      <c r="L2203" s="14"/>
      <c r="M2203" s="12" t="s">
        <v>43</v>
      </c>
      <c r="N2203" s="12" t="s">
        <v>84</v>
      </c>
      <c r="O2203" s="12" t="s">
        <v>8299</v>
      </c>
      <c r="P2203" s="12" t="s">
        <v>66</v>
      </c>
      <c r="Q2203" s="12" t="s">
        <v>67</v>
      </c>
      <c r="R2203" s="12" t="s">
        <v>1500</v>
      </c>
      <c r="S2203" s="13">
        <v>197804351244</v>
      </c>
      <c r="T2203" s="12" t="s">
        <v>235</v>
      </c>
      <c r="U2203" s="12" t="s">
        <v>60</v>
      </c>
      <c r="V2203" s="12" t="s">
        <v>665</v>
      </c>
      <c r="W2203" s="12" t="s">
        <v>284</v>
      </c>
      <c r="X2203" s="14"/>
      <c r="Y2203" s="14"/>
      <c r="Z2203" s="14"/>
      <c r="AA2203" s="14"/>
      <c r="AB2203" s="14"/>
      <c r="AC2203" s="15">
        <v>40.950000000000003</v>
      </c>
      <c r="AD2203" s="15">
        <f>AC2203*AG2203</f>
        <v>81.900000000000006</v>
      </c>
      <c r="AE2203" s="15">
        <v>90</v>
      </c>
      <c r="AF2203" s="15">
        <f>AE2203*AG2203</f>
        <v>180</v>
      </c>
      <c r="AG2203" s="16">
        <v>2</v>
      </c>
    </row>
    <row r="2204" spans="1:33" ht="15" customHeight="1" x14ac:dyDescent="0.2">
      <c r="A2204" s="11" t="str">
        <f t="shared" ref="A2204:A2205" si="903">HYPERLINK("https://assets.vans.eu/images/VN000P86F0V-HERO/1","VN000P86F0V1")</f>
        <v>VN000P86F0V1</v>
      </c>
      <c r="B2204" s="12" t="s">
        <v>8300</v>
      </c>
      <c r="C2204" s="12" t="s">
        <v>8301</v>
      </c>
      <c r="D2204" s="12" t="s">
        <v>8302</v>
      </c>
      <c r="E2204" s="12" t="s">
        <v>8303</v>
      </c>
      <c r="F2204" s="12" t="s">
        <v>179</v>
      </c>
      <c r="G2204" s="14"/>
      <c r="H2204" s="12" t="s">
        <v>61</v>
      </c>
      <c r="I2204" s="12" t="s">
        <v>230</v>
      </c>
      <c r="J2204" s="12" t="s">
        <v>419</v>
      </c>
      <c r="K2204" s="12" t="s">
        <v>199</v>
      </c>
      <c r="L2204" s="14"/>
      <c r="M2204" s="12" t="s">
        <v>43</v>
      </c>
      <c r="N2204" s="12" t="s">
        <v>84</v>
      </c>
      <c r="O2204" s="12" t="s">
        <v>8304</v>
      </c>
      <c r="P2204" s="12" t="s">
        <v>66</v>
      </c>
      <c r="Q2204" s="12" t="s">
        <v>67</v>
      </c>
      <c r="R2204" s="12" t="s">
        <v>1500</v>
      </c>
      <c r="S2204" s="13">
        <v>197804351909</v>
      </c>
      <c r="T2204" s="12" t="s">
        <v>235</v>
      </c>
      <c r="U2204" s="12" t="s">
        <v>179</v>
      </c>
      <c r="V2204" s="12" t="s">
        <v>8305</v>
      </c>
      <c r="W2204" s="12" t="s">
        <v>186</v>
      </c>
      <c r="X2204" s="14"/>
      <c r="Y2204" s="14"/>
      <c r="Z2204" s="14"/>
      <c r="AA2204" s="14"/>
      <c r="AB2204" s="14"/>
      <c r="AC2204" s="15">
        <v>29.55</v>
      </c>
      <c r="AD2204" s="15">
        <f>AC2204*AG2204</f>
        <v>59.1</v>
      </c>
      <c r="AE2204" s="15">
        <v>65</v>
      </c>
      <c r="AF2204" s="15">
        <f>AE2204*AG2204</f>
        <v>130</v>
      </c>
      <c r="AG2204" s="16">
        <v>2</v>
      </c>
    </row>
    <row r="2205" spans="1:33" ht="15" customHeight="1" x14ac:dyDescent="0.2">
      <c r="A2205" s="11" t="str">
        <f t="shared" si="903"/>
        <v>VN000P86F0V1</v>
      </c>
      <c r="B2205" s="12" t="s">
        <v>8306</v>
      </c>
      <c r="C2205" s="12" t="s">
        <v>8301</v>
      </c>
      <c r="D2205" s="12" t="s">
        <v>8302</v>
      </c>
      <c r="E2205" s="12" t="s">
        <v>8307</v>
      </c>
      <c r="F2205" s="12" t="s">
        <v>403</v>
      </c>
      <c r="G2205" s="14"/>
      <c r="H2205" s="12" t="s">
        <v>61</v>
      </c>
      <c r="I2205" s="12" t="s">
        <v>230</v>
      </c>
      <c r="J2205" s="12" t="s">
        <v>419</v>
      </c>
      <c r="K2205" s="12" t="s">
        <v>199</v>
      </c>
      <c r="L2205" s="14"/>
      <c r="M2205" s="12" t="s">
        <v>43</v>
      </c>
      <c r="N2205" s="12" t="s">
        <v>84</v>
      </c>
      <c r="O2205" s="12" t="s">
        <v>8308</v>
      </c>
      <c r="P2205" s="12" t="s">
        <v>66</v>
      </c>
      <c r="Q2205" s="12" t="s">
        <v>67</v>
      </c>
      <c r="R2205" s="12" t="s">
        <v>1500</v>
      </c>
      <c r="S2205" s="13">
        <v>197804352302</v>
      </c>
      <c r="T2205" s="12" t="s">
        <v>235</v>
      </c>
      <c r="U2205" s="12" t="s">
        <v>403</v>
      </c>
      <c r="V2205" s="12" t="s">
        <v>8305</v>
      </c>
      <c r="W2205" s="12" t="s">
        <v>186</v>
      </c>
      <c r="X2205" s="14"/>
      <c r="Y2205" s="14"/>
      <c r="Z2205" s="14"/>
      <c r="AA2205" s="14"/>
      <c r="AB2205" s="14"/>
      <c r="AC2205" s="15">
        <v>29.55</v>
      </c>
      <c r="AD2205" s="15">
        <f>AC2205*AG2205</f>
        <v>59.1</v>
      </c>
      <c r="AE2205" s="15">
        <v>65</v>
      </c>
      <c r="AF2205" s="15">
        <f>AE2205*AG2205</f>
        <v>130</v>
      </c>
      <c r="AG2205" s="16">
        <v>2</v>
      </c>
    </row>
    <row r="2206" spans="1:33" ht="15" customHeight="1" x14ac:dyDescent="0.2">
      <c r="A2206" s="11" t="str">
        <f t="shared" si="436"/>
        <v>VN000P88BLK1</v>
      </c>
      <c r="B2206" s="12" t="s">
        <v>8309</v>
      </c>
      <c r="C2206" s="12" t="s">
        <v>4177</v>
      </c>
      <c r="D2206" s="12" t="s">
        <v>76</v>
      </c>
      <c r="E2206" s="12" t="s">
        <v>8310</v>
      </c>
      <c r="F2206" s="12" t="s">
        <v>60</v>
      </c>
      <c r="G2206" s="14"/>
      <c r="H2206" s="12" t="s">
        <v>61</v>
      </c>
      <c r="I2206" s="12" t="s">
        <v>230</v>
      </c>
      <c r="J2206" s="12" t="s">
        <v>419</v>
      </c>
      <c r="K2206" s="12" t="s">
        <v>199</v>
      </c>
      <c r="L2206" s="14"/>
      <c r="M2206" s="12" t="s">
        <v>43</v>
      </c>
      <c r="N2206" s="12" t="s">
        <v>84</v>
      </c>
      <c r="O2206" s="12" t="s">
        <v>8311</v>
      </c>
      <c r="P2206" s="12" t="s">
        <v>66</v>
      </c>
      <c r="Q2206" s="12" t="s">
        <v>67</v>
      </c>
      <c r="R2206" s="12" t="s">
        <v>1500</v>
      </c>
      <c r="S2206" s="13">
        <v>197804352258</v>
      </c>
      <c r="T2206" s="12" t="s">
        <v>235</v>
      </c>
      <c r="U2206" s="12" t="s">
        <v>60</v>
      </c>
      <c r="V2206" s="12" t="s">
        <v>903</v>
      </c>
      <c r="W2206" s="12" t="s">
        <v>51</v>
      </c>
      <c r="X2206" s="14"/>
      <c r="Y2206" s="14"/>
      <c r="Z2206" s="14"/>
      <c r="AA2206" s="14"/>
      <c r="AB2206" s="14"/>
      <c r="AC2206" s="15">
        <v>29.55</v>
      </c>
      <c r="AD2206" s="15">
        <f>AC2206*AG2206</f>
        <v>59.1</v>
      </c>
      <c r="AE2206" s="15">
        <v>65</v>
      </c>
      <c r="AF2206" s="15">
        <f>AE2206*AG2206</f>
        <v>130</v>
      </c>
      <c r="AG2206" s="16">
        <v>2</v>
      </c>
    </row>
    <row r="2207" spans="1:33" ht="15" customHeight="1" x14ac:dyDescent="0.2">
      <c r="A2207" s="11" t="str">
        <f t="shared" ref="A2207:A3327" si="904">HYPERLINK("https://assets.vans.eu/images/VN000P8CJDU-HERO/1","VN000P8CJDU1")</f>
        <v>VN000P8CJDU1</v>
      </c>
      <c r="B2207" s="12" t="s">
        <v>8312</v>
      </c>
      <c r="C2207" s="12" t="s">
        <v>856</v>
      </c>
      <c r="D2207" s="12" t="s">
        <v>814</v>
      </c>
      <c r="E2207" s="12" t="s">
        <v>8313</v>
      </c>
      <c r="F2207" s="12" t="s">
        <v>621</v>
      </c>
      <c r="G2207" s="14"/>
      <c r="H2207" s="12" t="s">
        <v>61</v>
      </c>
      <c r="I2207" s="12" t="s">
        <v>230</v>
      </c>
      <c r="J2207" s="12" t="s">
        <v>419</v>
      </c>
      <c r="K2207" s="12" t="s">
        <v>199</v>
      </c>
      <c r="L2207" s="14"/>
      <c r="M2207" s="12" t="s">
        <v>43</v>
      </c>
      <c r="N2207" s="12" t="s">
        <v>84</v>
      </c>
      <c r="O2207" s="12" t="s">
        <v>8314</v>
      </c>
      <c r="P2207" s="12" t="s">
        <v>66</v>
      </c>
      <c r="Q2207" s="12" t="s">
        <v>67</v>
      </c>
      <c r="R2207" s="12" t="s">
        <v>623</v>
      </c>
      <c r="S2207" s="13">
        <v>197804352814</v>
      </c>
      <c r="T2207" s="12" t="s">
        <v>49</v>
      </c>
      <c r="U2207" s="12" t="s">
        <v>621</v>
      </c>
      <c r="V2207" s="12" t="s">
        <v>860</v>
      </c>
      <c r="W2207" s="12" t="s">
        <v>284</v>
      </c>
      <c r="X2207" s="14"/>
      <c r="Y2207" s="14"/>
      <c r="Z2207" s="14"/>
      <c r="AA2207" s="14"/>
      <c r="AB2207" s="14"/>
      <c r="AC2207" s="15">
        <v>38.65</v>
      </c>
      <c r="AD2207" s="15">
        <f>AC2207*AG2207</f>
        <v>77.3</v>
      </c>
      <c r="AE2207" s="15">
        <v>85</v>
      </c>
      <c r="AF2207" s="15">
        <f>AE2207*AG2207</f>
        <v>170</v>
      </c>
      <c r="AG2207" s="16">
        <v>2</v>
      </c>
    </row>
    <row r="2208" spans="1:33" ht="15" customHeight="1" x14ac:dyDescent="0.2">
      <c r="A2208" s="11" t="str">
        <f>HYPERLINK("https://assets.vans.eu/images/VN000PA6BLK-HERO/1","VN000PA6BLK1")</f>
        <v>VN000PA6BLK1</v>
      </c>
      <c r="B2208" s="12" t="s">
        <v>8315</v>
      </c>
      <c r="C2208" s="12" t="s">
        <v>2063</v>
      </c>
      <c r="D2208" s="12" t="s">
        <v>76</v>
      </c>
      <c r="E2208" s="12" t="s">
        <v>8316</v>
      </c>
      <c r="F2208" s="12" t="s">
        <v>179</v>
      </c>
      <c r="G2208" s="14"/>
      <c r="H2208" s="12" t="s">
        <v>61</v>
      </c>
      <c r="I2208" s="12" t="s">
        <v>230</v>
      </c>
      <c r="J2208" s="12" t="s">
        <v>419</v>
      </c>
      <c r="K2208" s="12" t="s">
        <v>199</v>
      </c>
      <c r="L2208" s="12" t="s">
        <v>42</v>
      </c>
      <c r="M2208" s="12" t="s">
        <v>43</v>
      </c>
      <c r="N2208" s="12" t="s">
        <v>84</v>
      </c>
      <c r="O2208" s="12" t="s">
        <v>8317</v>
      </c>
      <c r="P2208" s="12" t="s">
        <v>66</v>
      </c>
      <c r="Q2208" s="12" t="s">
        <v>67</v>
      </c>
      <c r="R2208" s="12" t="s">
        <v>623</v>
      </c>
      <c r="S2208" s="13">
        <v>197804914043</v>
      </c>
      <c r="T2208" s="12" t="s">
        <v>709</v>
      </c>
      <c r="U2208" s="12" t="s">
        <v>179</v>
      </c>
      <c r="V2208" s="12" t="s">
        <v>710</v>
      </c>
      <c r="W2208" s="12" t="s">
        <v>51</v>
      </c>
      <c r="X2208" s="14"/>
      <c r="Y2208" s="14"/>
      <c r="Z2208" s="14"/>
      <c r="AA2208" s="14"/>
      <c r="AB2208" s="14"/>
      <c r="AC2208" s="15">
        <v>31.85</v>
      </c>
      <c r="AD2208" s="15">
        <f>AC2208*AG2208</f>
        <v>63.7</v>
      </c>
      <c r="AE2208" s="15">
        <v>70</v>
      </c>
      <c r="AF2208" s="15">
        <f>AE2208*AG2208</f>
        <v>140</v>
      </c>
      <c r="AG2208" s="16">
        <v>2</v>
      </c>
    </row>
    <row r="2209" spans="1:33" ht="15" customHeight="1" x14ac:dyDescent="0.2">
      <c r="A2209" s="11" t="str">
        <f t="shared" ref="A2209:A2211" si="905">HYPERLINK("https://assets.vans.eu/images/VN000PAABLK-HERO/1","VN000PAABLK1")</f>
        <v>VN000PAABLK1</v>
      </c>
      <c r="B2209" s="12" t="s">
        <v>8318</v>
      </c>
      <c r="C2209" s="12" t="s">
        <v>8319</v>
      </c>
      <c r="D2209" s="12" t="s">
        <v>76</v>
      </c>
      <c r="E2209" s="12" t="s">
        <v>8320</v>
      </c>
      <c r="F2209" s="12" t="s">
        <v>60</v>
      </c>
      <c r="G2209" s="14"/>
      <c r="H2209" s="12" t="s">
        <v>61</v>
      </c>
      <c r="I2209" s="12" t="s">
        <v>230</v>
      </c>
      <c r="J2209" s="12" t="s">
        <v>419</v>
      </c>
      <c r="K2209" s="12" t="s">
        <v>199</v>
      </c>
      <c r="L2209" s="14"/>
      <c r="M2209" s="12" t="s">
        <v>43</v>
      </c>
      <c r="N2209" s="12" t="s">
        <v>84</v>
      </c>
      <c r="O2209" s="12" t="s">
        <v>8321</v>
      </c>
      <c r="P2209" s="12" t="s">
        <v>66</v>
      </c>
      <c r="Q2209" s="12" t="s">
        <v>67</v>
      </c>
      <c r="R2209" s="12" t="s">
        <v>623</v>
      </c>
      <c r="S2209" s="13">
        <v>197804353811</v>
      </c>
      <c r="T2209" s="12" t="s">
        <v>709</v>
      </c>
      <c r="U2209" s="12" t="s">
        <v>60</v>
      </c>
      <c r="V2209" s="12" t="s">
        <v>710</v>
      </c>
      <c r="W2209" s="12" t="s">
        <v>51</v>
      </c>
      <c r="X2209" s="14"/>
      <c r="Y2209" s="14"/>
      <c r="Z2209" s="14"/>
      <c r="AA2209" s="14"/>
      <c r="AB2209" s="14"/>
      <c r="AC2209" s="15">
        <v>31.85</v>
      </c>
      <c r="AD2209" s="15">
        <f>AC2209*AG2209</f>
        <v>63.7</v>
      </c>
      <c r="AE2209" s="15">
        <v>70</v>
      </c>
      <c r="AF2209" s="15">
        <f>AE2209*AG2209</f>
        <v>140</v>
      </c>
      <c r="AG2209" s="16">
        <v>2</v>
      </c>
    </row>
    <row r="2210" spans="1:33" ht="15" customHeight="1" x14ac:dyDescent="0.2">
      <c r="A2210" s="11" t="str">
        <f t="shared" si="905"/>
        <v>VN000PAABLK1</v>
      </c>
      <c r="B2210" s="12" t="s">
        <v>8322</v>
      </c>
      <c r="C2210" s="12" t="s">
        <v>8319</v>
      </c>
      <c r="D2210" s="12" t="s">
        <v>76</v>
      </c>
      <c r="E2210" s="12" t="s">
        <v>8323</v>
      </c>
      <c r="F2210" s="12" t="s">
        <v>153</v>
      </c>
      <c r="G2210" s="14"/>
      <c r="H2210" s="12" t="s">
        <v>61</v>
      </c>
      <c r="I2210" s="12" t="s">
        <v>230</v>
      </c>
      <c r="J2210" s="12" t="s">
        <v>419</v>
      </c>
      <c r="K2210" s="12" t="s">
        <v>199</v>
      </c>
      <c r="L2210" s="14"/>
      <c r="M2210" s="12" t="s">
        <v>43</v>
      </c>
      <c r="N2210" s="12" t="s">
        <v>84</v>
      </c>
      <c r="O2210" s="12" t="s">
        <v>8324</v>
      </c>
      <c r="P2210" s="12" t="s">
        <v>66</v>
      </c>
      <c r="Q2210" s="12" t="s">
        <v>67</v>
      </c>
      <c r="R2210" s="12" t="s">
        <v>623</v>
      </c>
      <c r="S2210" s="13">
        <v>197804353873</v>
      </c>
      <c r="T2210" s="12" t="s">
        <v>709</v>
      </c>
      <c r="U2210" s="12" t="s">
        <v>153</v>
      </c>
      <c r="V2210" s="12" t="s">
        <v>710</v>
      </c>
      <c r="W2210" s="12" t="s">
        <v>51</v>
      </c>
      <c r="X2210" s="14"/>
      <c r="Y2210" s="14"/>
      <c r="Z2210" s="14"/>
      <c r="AA2210" s="14"/>
      <c r="AB2210" s="14"/>
      <c r="AC2210" s="15">
        <v>31.85</v>
      </c>
      <c r="AD2210" s="15">
        <f>AC2210*AG2210</f>
        <v>63.7</v>
      </c>
      <c r="AE2210" s="15">
        <v>70</v>
      </c>
      <c r="AF2210" s="15">
        <f>AE2210*AG2210</f>
        <v>140</v>
      </c>
      <c r="AG2210" s="16">
        <v>2</v>
      </c>
    </row>
    <row r="2211" spans="1:33" ht="15" customHeight="1" x14ac:dyDescent="0.2">
      <c r="A2211" s="11" t="str">
        <f t="shared" si="905"/>
        <v>VN000PAABLK1</v>
      </c>
      <c r="B2211" s="12" t="s">
        <v>8325</v>
      </c>
      <c r="C2211" s="12" t="s">
        <v>8319</v>
      </c>
      <c r="D2211" s="12" t="s">
        <v>76</v>
      </c>
      <c r="E2211" s="12" t="s">
        <v>8326</v>
      </c>
      <c r="F2211" s="12" t="s">
        <v>621</v>
      </c>
      <c r="G2211" s="14"/>
      <c r="H2211" s="12" t="s">
        <v>61</v>
      </c>
      <c r="I2211" s="12" t="s">
        <v>230</v>
      </c>
      <c r="J2211" s="12" t="s">
        <v>419</v>
      </c>
      <c r="K2211" s="12" t="s">
        <v>199</v>
      </c>
      <c r="L2211" s="14"/>
      <c r="M2211" s="12" t="s">
        <v>43</v>
      </c>
      <c r="N2211" s="12" t="s">
        <v>84</v>
      </c>
      <c r="O2211" s="12" t="s">
        <v>8327</v>
      </c>
      <c r="P2211" s="12" t="s">
        <v>66</v>
      </c>
      <c r="Q2211" s="12" t="s">
        <v>67</v>
      </c>
      <c r="R2211" s="12" t="s">
        <v>623</v>
      </c>
      <c r="S2211" s="13">
        <v>197804354009</v>
      </c>
      <c r="T2211" s="12" t="s">
        <v>709</v>
      </c>
      <c r="U2211" s="12" t="s">
        <v>621</v>
      </c>
      <c r="V2211" s="12" t="s">
        <v>710</v>
      </c>
      <c r="W2211" s="12" t="s">
        <v>51</v>
      </c>
      <c r="X2211" s="14"/>
      <c r="Y2211" s="14"/>
      <c r="Z2211" s="14"/>
      <c r="AA2211" s="14"/>
      <c r="AB2211" s="14"/>
      <c r="AC2211" s="15">
        <v>31.85</v>
      </c>
      <c r="AD2211" s="15">
        <f>AC2211*AG2211</f>
        <v>63.7</v>
      </c>
      <c r="AE2211" s="15">
        <v>70</v>
      </c>
      <c r="AF2211" s="15">
        <f>AE2211*AG2211</f>
        <v>140</v>
      </c>
      <c r="AG2211" s="16">
        <v>2</v>
      </c>
    </row>
    <row r="2212" spans="1:33" ht="15" customHeight="1" x14ac:dyDescent="0.2">
      <c r="A2212" s="11" t="str">
        <f>HYPERLINK("https://assets.vans.eu/images/VN000PAHEN7-HERO/1","VN000PAHEN71")</f>
        <v>VN000PAHEN71</v>
      </c>
      <c r="B2212" s="12" t="s">
        <v>8328</v>
      </c>
      <c r="C2212" s="12" t="s">
        <v>8329</v>
      </c>
      <c r="D2212" s="12" t="s">
        <v>295</v>
      </c>
      <c r="E2212" s="12" t="s">
        <v>8330</v>
      </c>
      <c r="F2212" s="12" t="s">
        <v>170</v>
      </c>
      <c r="G2212" s="14"/>
      <c r="H2212" s="12" t="s">
        <v>61</v>
      </c>
      <c r="I2212" s="12" t="s">
        <v>230</v>
      </c>
      <c r="J2212" s="12" t="s">
        <v>419</v>
      </c>
      <c r="K2212" s="12" t="s">
        <v>199</v>
      </c>
      <c r="L2212" s="14"/>
      <c r="M2212" s="12" t="s">
        <v>43</v>
      </c>
      <c r="N2212" s="12" t="s">
        <v>84</v>
      </c>
      <c r="O2212" s="12" t="s">
        <v>8331</v>
      </c>
      <c r="P2212" s="12" t="s">
        <v>66</v>
      </c>
      <c r="Q2212" s="12" t="s">
        <v>67</v>
      </c>
      <c r="R2212" s="12" t="s">
        <v>623</v>
      </c>
      <c r="S2212" s="13">
        <v>197804354061</v>
      </c>
      <c r="T2212" s="12" t="s">
        <v>709</v>
      </c>
      <c r="U2212" s="12" t="s">
        <v>170</v>
      </c>
      <c r="V2212" s="12" t="s">
        <v>3741</v>
      </c>
      <c r="W2212" s="12" t="s">
        <v>299</v>
      </c>
      <c r="X2212" s="14"/>
      <c r="Y2212" s="14"/>
      <c r="Z2212" s="14"/>
      <c r="AA2212" s="14"/>
      <c r="AB2212" s="14"/>
      <c r="AC2212" s="15">
        <v>36.4</v>
      </c>
      <c r="AD2212" s="15">
        <f>AC2212*AG2212</f>
        <v>72.8</v>
      </c>
      <c r="AE2212" s="15">
        <v>80</v>
      </c>
      <c r="AF2212" s="15">
        <f>AE2212*AG2212</f>
        <v>160</v>
      </c>
      <c r="AG2212" s="16">
        <v>2</v>
      </c>
    </row>
    <row r="2213" spans="1:33" ht="15" customHeight="1" x14ac:dyDescent="0.2">
      <c r="A2213" s="11" t="str">
        <f>HYPERLINK("https://assets.vans.eu/images/VN000PAZBLK-HERO/1","VN000PAZBLK1")</f>
        <v>VN000PAZBLK1</v>
      </c>
      <c r="B2213" s="12" t="s">
        <v>8332</v>
      </c>
      <c r="C2213" s="12" t="s">
        <v>1970</v>
      </c>
      <c r="D2213" s="12" t="s">
        <v>76</v>
      </c>
      <c r="E2213" s="12" t="s">
        <v>8333</v>
      </c>
      <c r="F2213" s="12" t="s">
        <v>170</v>
      </c>
      <c r="G2213" s="14"/>
      <c r="H2213" s="12" t="s">
        <v>61</v>
      </c>
      <c r="I2213" s="12" t="s">
        <v>230</v>
      </c>
      <c r="J2213" s="12" t="s">
        <v>419</v>
      </c>
      <c r="K2213" s="12" t="s">
        <v>199</v>
      </c>
      <c r="L2213" s="14"/>
      <c r="M2213" s="12" t="s">
        <v>43</v>
      </c>
      <c r="N2213" s="12" t="s">
        <v>84</v>
      </c>
      <c r="O2213" s="12" t="s">
        <v>8334</v>
      </c>
      <c r="P2213" s="12" t="s">
        <v>66</v>
      </c>
      <c r="Q2213" s="12" t="s">
        <v>67</v>
      </c>
      <c r="R2213" s="12" t="s">
        <v>623</v>
      </c>
      <c r="S2213" s="13">
        <v>197804371921</v>
      </c>
      <c r="T2213" s="12" t="s">
        <v>49</v>
      </c>
      <c r="U2213" s="12" t="s">
        <v>170</v>
      </c>
      <c r="V2213" s="12" t="s">
        <v>1973</v>
      </c>
      <c r="W2213" s="12" t="s">
        <v>51</v>
      </c>
      <c r="X2213" s="14"/>
      <c r="Y2213" s="14"/>
      <c r="Z2213" s="14"/>
      <c r="AA2213" s="14"/>
      <c r="AB2213" s="14"/>
      <c r="AC2213" s="15">
        <v>43.2</v>
      </c>
      <c r="AD2213" s="15">
        <f>AC2213*AG2213</f>
        <v>86.4</v>
      </c>
      <c r="AE2213" s="15">
        <v>95</v>
      </c>
      <c r="AF2213" s="15">
        <f>AE2213*AG2213</f>
        <v>190</v>
      </c>
      <c r="AG2213" s="16">
        <v>2</v>
      </c>
    </row>
    <row r="2214" spans="1:33" ht="15" customHeight="1" x14ac:dyDescent="0.2">
      <c r="A2214" s="11" t="str">
        <f>HYPERLINK("https://assets.vans.eu/images/VN000PBRBLK-HERO/1","VN000PBRBLK1")</f>
        <v>VN000PBRBLK1</v>
      </c>
      <c r="B2214" s="12" t="s">
        <v>8335</v>
      </c>
      <c r="C2214" s="12" t="s">
        <v>912</v>
      </c>
      <c r="D2214" s="12" t="s">
        <v>76</v>
      </c>
      <c r="E2214" s="12" t="s">
        <v>8336</v>
      </c>
      <c r="F2214" s="12" t="s">
        <v>153</v>
      </c>
      <c r="G2214" s="14"/>
      <c r="H2214" s="12" t="s">
        <v>61</v>
      </c>
      <c r="I2214" s="12" t="s">
        <v>230</v>
      </c>
      <c r="J2214" s="12" t="s">
        <v>419</v>
      </c>
      <c r="K2214" s="12" t="s">
        <v>199</v>
      </c>
      <c r="L2214" s="14"/>
      <c r="M2214" s="12" t="s">
        <v>43</v>
      </c>
      <c r="N2214" s="12" t="s">
        <v>84</v>
      </c>
      <c r="O2214" s="12" t="s">
        <v>8337</v>
      </c>
      <c r="P2214" s="12" t="s">
        <v>66</v>
      </c>
      <c r="Q2214" s="12" t="s">
        <v>67</v>
      </c>
      <c r="R2214" s="12" t="s">
        <v>421</v>
      </c>
      <c r="S2214" s="13">
        <v>197804354948</v>
      </c>
      <c r="T2214" s="12" t="s">
        <v>915</v>
      </c>
      <c r="U2214" s="12" t="s">
        <v>153</v>
      </c>
      <c r="V2214" s="12" t="s">
        <v>916</v>
      </c>
      <c r="W2214" s="12" t="s">
        <v>51</v>
      </c>
      <c r="X2214" s="14"/>
      <c r="Y2214" s="14"/>
      <c r="Z2214" s="14"/>
      <c r="AA2214" s="14"/>
      <c r="AB2214" s="14"/>
      <c r="AC2214" s="15">
        <v>15.95</v>
      </c>
      <c r="AD2214" s="15">
        <f>AC2214*AG2214</f>
        <v>31.9</v>
      </c>
      <c r="AE2214" s="15">
        <v>35</v>
      </c>
      <c r="AF2214" s="15">
        <f>AE2214*AG2214</f>
        <v>70</v>
      </c>
      <c r="AG2214" s="16">
        <v>2</v>
      </c>
    </row>
    <row r="2215" spans="1:33" ht="15" customHeight="1" x14ac:dyDescent="0.2">
      <c r="A2215" s="11" t="str">
        <f t="shared" ref="A2215:A3360" si="906">HYPERLINK("https://assets.vans.eu/images/VN000PCAWHT-HERO/1","VN000PCAWHT1")</f>
        <v>VN000PCAWHT1</v>
      </c>
      <c r="B2215" s="12" t="s">
        <v>8338</v>
      </c>
      <c r="C2215" s="12" t="s">
        <v>8339</v>
      </c>
      <c r="D2215" s="12" t="s">
        <v>168</v>
      </c>
      <c r="E2215" s="12" t="s">
        <v>8340</v>
      </c>
      <c r="F2215" s="12" t="s">
        <v>179</v>
      </c>
      <c r="G2215" s="14"/>
      <c r="H2215" s="12" t="s">
        <v>61</v>
      </c>
      <c r="I2215" s="12" t="s">
        <v>230</v>
      </c>
      <c r="J2215" s="12" t="s">
        <v>419</v>
      </c>
      <c r="K2215" s="12" t="s">
        <v>199</v>
      </c>
      <c r="L2215" s="14"/>
      <c r="M2215" s="12" t="s">
        <v>43</v>
      </c>
      <c r="N2215" s="12" t="s">
        <v>84</v>
      </c>
      <c r="O2215" s="12" t="s">
        <v>8341</v>
      </c>
      <c r="P2215" s="12" t="s">
        <v>66</v>
      </c>
      <c r="Q2215" s="12" t="s">
        <v>67</v>
      </c>
      <c r="R2215" s="12" t="s">
        <v>421</v>
      </c>
      <c r="S2215" s="13">
        <v>197804355570</v>
      </c>
      <c r="T2215" s="12" t="s">
        <v>915</v>
      </c>
      <c r="U2215" s="12" t="s">
        <v>179</v>
      </c>
      <c r="V2215" s="12" t="s">
        <v>916</v>
      </c>
      <c r="W2215" s="12" t="s">
        <v>175</v>
      </c>
      <c r="X2215" s="14"/>
      <c r="Y2215" s="14"/>
      <c r="Z2215" s="14"/>
      <c r="AA2215" s="14"/>
      <c r="AB2215" s="14"/>
      <c r="AC2215" s="15">
        <v>15.95</v>
      </c>
      <c r="AD2215" s="15">
        <f>AC2215*AG2215</f>
        <v>31.9</v>
      </c>
      <c r="AE2215" s="15">
        <v>35</v>
      </c>
      <c r="AF2215" s="15">
        <f>AE2215*AG2215</f>
        <v>70</v>
      </c>
      <c r="AG2215" s="16">
        <v>2</v>
      </c>
    </row>
    <row r="2216" spans="1:33" ht="15" customHeight="1" x14ac:dyDescent="0.2">
      <c r="A2216" s="11" t="str">
        <f t="shared" ref="A2216:A2217" si="907">HYPERLINK("https://assets.vans.eu/images/VN000PCWEMT-HERO/1","VN000PCWEMT1")</f>
        <v>VN000PCWEMT1</v>
      </c>
      <c r="B2216" s="12" t="s">
        <v>8342</v>
      </c>
      <c r="C2216" s="12" t="s">
        <v>8343</v>
      </c>
      <c r="D2216" s="12" t="s">
        <v>5149</v>
      </c>
      <c r="E2216" s="12" t="s">
        <v>8344</v>
      </c>
      <c r="F2216" s="12" t="s">
        <v>179</v>
      </c>
      <c r="G2216" s="14"/>
      <c r="H2216" s="12" t="s">
        <v>61</v>
      </c>
      <c r="I2216" s="12" t="s">
        <v>230</v>
      </c>
      <c r="J2216" s="12" t="s">
        <v>419</v>
      </c>
      <c r="K2216" s="12" t="s">
        <v>199</v>
      </c>
      <c r="L2216" s="14"/>
      <c r="M2216" s="12" t="s">
        <v>43</v>
      </c>
      <c r="N2216" s="12" t="s">
        <v>84</v>
      </c>
      <c r="O2216" s="12" t="s">
        <v>8345</v>
      </c>
      <c r="P2216" s="12" t="s">
        <v>66</v>
      </c>
      <c r="Q2216" s="12" t="s">
        <v>67</v>
      </c>
      <c r="R2216" s="12" t="s">
        <v>421</v>
      </c>
      <c r="S2216" s="13">
        <v>197804666713</v>
      </c>
      <c r="T2216" s="12" t="s">
        <v>915</v>
      </c>
      <c r="U2216" s="12" t="s">
        <v>179</v>
      </c>
      <c r="V2216" s="12" t="s">
        <v>979</v>
      </c>
      <c r="W2216" s="12" t="s">
        <v>284</v>
      </c>
      <c r="X2216" s="14"/>
      <c r="Y2216" s="14"/>
      <c r="Z2216" s="14"/>
      <c r="AA2216" s="14"/>
      <c r="AB2216" s="14"/>
      <c r="AC2216" s="15">
        <v>20.5</v>
      </c>
      <c r="AD2216" s="15">
        <f>AC2216*AG2216</f>
        <v>41</v>
      </c>
      <c r="AE2216" s="15">
        <v>45</v>
      </c>
      <c r="AF2216" s="15">
        <f>AE2216*AG2216</f>
        <v>90</v>
      </c>
      <c r="AG2216" s="16">
        <v>2</v>
      </c>
    </row>
    <row r="2217" spans="1:33" ht="15" customHeight="1" x14ac:dyDescent="0.2">
      <c r="A2217" s="11" t="str">
        <f t="shared" si="907"/>
        <v>VN000PCWEMT1</v>
      </c>
      <c r="B2217" s="12" t="s">
        <v>8346</v>
      </c>
      <c r="C2217" s="12" t="s">
        <v>8343</v>
      </c>
      <c r="D2217" s="12" t="s">
        <v>5149</v>
      </c>
      <c r="E2217" s="12" t="s">
        <v>8347</v>
      </c>
      <c r="F2217" s="12" t="s">
        <v>60</v>
      </c>
      <c r="G2217" s="14"/>
      <c r="H2217" s="12" t="s">
        <v>61</v>
      </c>
      <c r="I2217" s="12" t="s">
        <v>230</v>
      </c>
      <c r="J2217" s="12" t="s">
        <v>419</v>
      </c>
      <c r="K2217" s="12" t="s">
        <v>199</v>
      </c>
      <c r="L2217" s="14"/>
      <c r="M2217" s="12" t="s">
        <v>43</v>
      </c>
      <c r="N2217" s="12" t="s">
        <v>84</v>
      </c>
      <c r="O2217" s="12" t="s">
        <v>8348</v>
      </c>
      <c r="P2217" s="12" t="s">
        <v>66</v>
      </c>
      <c r="Q2217" s="12" t="s">
        <v>67</v>
      </c>
      <c r="R2217" s="12" t="s">
        <v>421</v>
      </c>
      <c r="S2217" s="13">
        <v>197804667260</v>
      </c>
      <c r="T2217" s="12" t="s">
        <v>915</v>
      </c>
      <c r="U2217" s="12" t="s">
        <v>60</v>
      </c>
      <c r="V2217" s="12" t="s">
        <v>979</v>
      </c>
      <c r="W2217" s="12" t="s">
        <v>284</v>
      </c>
      <c r="X2217" s="14"/>
      <c r="Y2217" s="14"/>
      <c r="Z2217" s="14"/>
      <c r="AA2217" s="14"/>
      <c r="AB2217" s="14"/>
      <c r="AC2217" s="15">
        <v>20.5</v>
      </c>
      <c r="AD2217" s="15">
        <f>AC2217*AG2217</f>
        <v>41</v>
      </c>
      <c r="AE2217" s="15">
        <v>45</v>
      </c>
      <c r="AF2217" s="15">
        <f>AE2217*AG2217</f>
        <v>90</v>
      </c>
      <c r="AG2217" s="16">
        <v>2</v>
      </c>
    </row>
    <row r="2218" spans="1:33" ht="15" customHeight="1" x14ac:dyDescent="0.2">
      <c r="A2218" s="11" t="str">
        <f t="shared" si="715"/>
        <v>VN000PCXEMS1</v>
      </c>
      <c r="B2218" s="12" t="s">
        <v>8349</v>
      </c>
      <c r="C2218" s="12" t="s">
        <v>6622</v>
      </c>
      <c r="D2218" s="12" t="s">
        <v>863</v>
      </c>
      <c r="E2218" s="12" t="s">
        <v>8350</v>
      </c>
      <c r="F2218" s="12" t="s">
        <v>170</v>
      </c>
      <c r="G2218" s="14"/>
      <c r="H2218" s="12" t="s">
        <v>61</v>
      </c>
      <c r="I2218" s="12" t="s">
        <v>230</v>
      </c>
      <c r="J2218" s="12" t="s">
        <v>419</v>
      </c>
      <c r="K2218" s="12" t="s">
        <v>199</v>
      </c>
      <c r="L2218" s="14"/>
      <c r="M2218" s="12" t="s">
        <v>43</v>
      </c>
      <c r="N2218" s="12" t="s">
        <v>84</v>
      </c>
      <c r="O2218" s="12" t="s">
        <v>8351</v>
      </c>
      <c r="P2218" s="12" t="s">
        <v>66</v>
      </c>
      <c r="Q2218" s="12" t="s">
        <v>67</v>
      </c>
      <c r="R2218" s="12" t="s">
        <v>421</v>
      </c>
      <c r="S2218" s="13">
        <v>197804666591</v>
      </c>
      <c r="T2218" s="12" t="s">
        <v>915</v>
      </c>
      <c r="U2218" s="12" t="s">
        <v>170</v>
      </c>
      <c r="V2218" s="12" t="s">
        <v>979</v>
      </c>
      <c r="W2218" s="12" t="s">
        <v>107</v>
      </c>
      <c r="X2218" s="14"/>
      <c r="Y2218" s="14"/>
      <c r="Z2218" s="14"/>
      <c r="AA2218" s="14"/>
      <c r="AB2218" s="14"/>
      <c r="AC2218" s="15">
        <v>18.2</v>
      </c>
      <c r="AD2218" s="15">
        <f>AC2218*AG2218</f>
        <v>36.4</v>
      </c>
      <c r="AE2218" s="15">
        <v>40</v>
      </c>
      <c r="AF2218" s="15">
        <f>AE2218*AG2218</f>
        <v>80</v>
      </c>
      <c r="AG2218" s="16">
        <v>2</v>
      </c>
    </row>
    <row r="2219" spans="1:33" ht="15" customHeight="1" x14ac:dyDescent="0.2">
      <c r="A2219" s="11" t="str">
        <f t="shared" ref="A2219:A3365" si="908">HYPERLINK("https://assets.vans.eu/images/VN000PCXEMS-HERO/1","VN000PCXEMS1")</f>
        <v>VN000PCXEMS1</v>
      </c>
      <c r="B2219" s="12" t="s">
        <v>8352</v>
      </c>
      <c r="C2219" s="12" t="s">
        <v>6622</v>
      </c>
      <c r="D2219" s="12" t="s">
        <v>863</v>
      </c>
      <c r="E2219" s="12" t="s">
        <v>8353</v>
      </c>
      <c r="F2219" s="12" t="s">
        <v>60</v>
      </c>
      <c r="G2219" s="14"/>
      <c r="H2219" s="12" t="s">
        <v>61</v>
      </c>
      <c r="I2219" s="12" t="s">
        <v>230</v>
      </c>
      <c r="J2219" s="12" t="s">
        <v>419</v>
      </c>
      <c r="K2219" s="12" t="s">
        <v>199</v>
      </c>
      <c r="L2219" s="14"/>
      <c r="M2219" s="12" t="s">
        <v>43</v>
      </c>
      <c r="N2219" s="12" t="s">
        <v>84</v>
      </c>
      <c r="O2219" s="12" t="s">
        <v>8354</v>
      </c>
      <c r="P2219" s="12" t="s">
        <v>66</v>
      </c>
      <c r="Q2219" s="12" t="s">
        <v>67</v>
      </c>
      <c r="R2219" s="12" t="s">
        <v>421</v>
      </c>
      <c r="S2219" s="13">
        <v>197804666935</v>
      </c>
      <c r="T2219" s="12" t="s">
        <v>915</v>
      </c>
      <c r="U2219" s="12" t="s">
        <v>60</v>
      </c>
      <c r="V2219" s="12" t="s">
        <v>979</v>
      </c>
      <c r="W2219" s="12" t="s">
        <v>107</v>
      </c>
      <c r="X2219" s="14"/>
      <c r="Y2219" s="14"/>
      <c r="Z2219" s="14"/>
      <c r="AA2219" s="14"/>
      <c r="AB2219" s="14"/>
      <c r="AC2219" s="15">
        <v>18.2</v>
      </c>
      <c r="AD2219" s="15">
        <f>AC2219*AG2219</f>
        <v>36.4</v>
      </c>
      <c r="AE2219" s="15">
        <v>40</v>
      </c>
      <c r="AF2219" s="15">
        <f>AE2219*AG2219</f>
        <v>80</v>
      </c>
      <c r="AG2219" s="16">
        <v>2</v>
      </c>
    </row>
    <row r="2220" spans="1:33" ht="15" customHeight="1" x14ac:dyDescent="0.2">
      <c r="A2220" s="11" t="str">
        <f>HYPERLINK("https://assets.vans.eu/images/VN000PCYWHT-HERO/1","VN000PCYWHT1")</f>
        <v>VN000PCYWHT1</v>
      </c>
      <c r="B2220" s="12" t="s">
        <v>8355</v>
      </c>
      <c r="C2220" s="12" t="s">
        <v>8356</v>
      </c>
      <c r="D2220" s="12" t="s">
        <v>168</v>
      </c>
      <c r="E2220" s="12" t="s">
        <v>8357</v>
      </c>
      <c r="F2220" s="12" t="s">
        <v>621</v>
      </c>
      <c r="G2220" s="14"/>
      <c r="H2220" s="12" t="s">
        <v>61</v>
      </c>
      <c r="I2220" s="12" t="s">
        <v>230</v>
      </c>
      <c r="J2220" s="12" t="s">
        <v>419</v>
      </c>
      <c r="K2220" s="12" t="s">
        <v>199</v>
      </c>
      <c r="L2220" s="14"/>
      <c r="M2220" s="12" t="s">
        <v>43</v>
      </c>
      <c r="N2220" s="12" t="s">
        <v>84</v>
      </c>
      <c r="O2220" s="12" t="s">
        <v>8358</v>
      </c>
      <c r="P2220" s="12" t="s">
        <v>66</v>
      </c>
      <c r="Q2220" s="12" t="s">
        <v>67</v>
      </c>
      <c r="R2220" s="12" t="s">
        <v>421</v>
      </c>
      <c r="S2220" s="13">
        <v>197804356560</v>
      </c>
      <c r="T2220" s="12" t="s">
        <v>915</v>
      </c>
      <c r="U2220" s="12" t="s">
        <v>621</v>
      </c>
      <c r="V2220" s="12" t="s">
        <v>979</v>
      </c>
      <c r="W2220" s="12" t="s">
        <v>175</v>
      </c>
      <c r="X2220" s="14"/>
      <c r="Y2220" s="14"/>
      <c r="Z2220" s="14"/>
      <c r="AA2220" s="14"/>
      <c r="AB2220" s="14"/>
      <c r="AC2220" s="15">
        <v>15.95</v>
      </c>
      <c r="AD2220" s="15">
        <f>AC2220*AG2220</f>
        <v>31.9</v>
      </c>
      <c r="AE2220" s="15">
        <v>35</v>
      </c>
      <c r="AF2220" s="15">
        <f>AE2220*AG2220</f>
        <v>70</v>
      </c>
      <c r="AG2220" s="16">
        <v>2</v>
      </c>
    </row>
    <row r="2221" spans="1:33" ht="15" customHeight="1" x14ac:dyDescent="0.2">
      <c r="A2221" s="11" t="str">
        <f t="shared" ref="A2221:A3368" si="909">HYPERLINK("https://assets.vans.eu/images/VN000PD7EMS-HERO/1","VN000PD7EMS1")</f>
        <v>VN000PD7EMS1</v>
      </c>
      <c r="B2221" s="12" t="s">
        <v>8359</v>
      </c>
      <c r="C2221" s="12" t="s">
        <v>8360</v>
      </c>
      <c r="D2221" s="12" t="s">
        <v>863</v>
      </c>
      <c r="E2221" s="12" t="s">
        <v>8361</v>
      </c>
      <c r="F2221" s="12" t="s">
        <v>179</v>
      </c>
      <c r="G2221" s="14"/>
      <c r="H2221" s="12" t="s">
        <v>61</v>
      </c>
      <c r="I2221" s="12" t="s">
        <v>230</v>
      </c>
      <c r="J2221" s="12" t="s">
        <v>419</v>
      </c>
      <c r="K2221" s="12" t="s">
        <v>199</v>
      </c>
      <c r="L2221" s="14"/>
      <c r="M2221" s="12" t="s">
        <v>43</v>
      </c>
      <c r="N2221" s="12" t="s">
        <v>84</v>
      </c>
      <c r="O2221" s="12" t="s">
        <v>8362</v>
      </c>
      <c r="P2221" s="12" t="s">
        <v>66</v>
      </c>
      <c r="Q2221" s="12" t="s">
        <v>67</v>
      </c>
      <c r="R2221" s="12" t="s">
        <v>421</v>
      </c>
      <c r="S2221" s="13">
        <v>197804356423</v>
      </c>
      <c r="T2221" s="12" t="s">
        <v>915</v>
      </c>
      <c r="U2221" s="12" t="s">
        <v>179</v>
      </c>
      <c r="V2221" s="12" t="s">
        <v>979</v>
      </c>
      <c r="W2221" s="12" t="s">
        <v>107</v>
      </c>
      <c r="X2221" s="14"/>
      <c r="Y2221" s="14"/>
      <c r="Z2221" s="14"/>
      <c r="AA2221" s="14"/>
      <c r="AB2221" s="14"/>
      <c r="AC2221" s="15">
        <v>20.5</v>
      </c>
      <c r="AD2221" s="15">
        <f>AC2221*AG2221</f>
        <v>41</v>
      </c>
      <c r="AE2221" s="15">
        <v>45</v>
      </c>
      <c r="AF2221" s="15">
        <f>AE2221*AG2221</f>
        <v>90</v>
      </c>
      <c r="AG2221" s="16">
        <v>2</v>
      </c>
    </row>
    <row r="2222" spans="1:33" ht="15" customHeight="1" x14ac:dyDescent="0.2">
      <c r="A2222" s="11" t="str">
        <f t="shared" ref="A2222:A2223" si="910">HYPERLINK("https://assets.vans.eu/images/VN000PDABLK-HERO/1","VN000PDABLK1")</f>
        <v>VN000PDABLK1</v>
      </c>
      <c r="B2222" s="12" t="s">
        <v>8363</v>
      </c>
      <c r="C2222" s="12" t="s">
        <v>8364</v>
      </c>
      <c r="D2222" s="12" t="s">
        <v>76</v>
      </c>
      <c r="E2222" s="12" t="s">
        <v>8365</v>
      </c>
      <c r="F2222" s="12" t="s">
        <v>179</v>
      </c>
      <c r="G2222" s="14"/>
      <c r="H2222" s="12" t="s">
        <v>61</v>
      </c>
      <c r="I2222" s="12" t="s">
        <v>230</v>
      </c>
      <c r="J2222" s="12" t="s">
        <v>419</v>
      </c>
      <c r="K2222" s="12" t="s">
        <v>199</v>
      </c>
      <c r="L2222" s="14"/>
      <c r="M2222" s="12" t="s">
        <v>43</v>
      </c>
      <c r="N2222" s="12" t="s">
        <v>84</v>
      </c>
      <c r="O2222" s="12" t="s">
        <v>8366</v>
      </c>
      <c r="P2222" s="12" t="s">
        <v>66</v>
      </c>
      <c r="Q2222" s="12" t="s">
        <v>67</v>
      </c>
      <c r="R2222" s="12" t="s">
        <v>421</v>
      </c>
      <c r="S2222" s="13">
        <v>197804356362</v>
      </c>
      <c r="T2222" s="12" t="s">
        <v>915</v>
      </c>
      <c r="U2222" s="12" t="s">
        <v>179</v>
      </c>
      <c r="V2222" s="12" t="s">
        <v>979</v>
      </c>
      <c r="W2222" s="12" t="s">
        <v>51</v>
      </c>
      <c r="X2222" s="14"/>
      <c r="Y2222" s="14"/>
      <c r="Z2222" s="14"/>
      <c r="AA2222" s="14"/>
      <c r="AB2222" s="14"/>
      <c r="AC2222" s="15">
        <v>15.95</v>
      </c>
      <c r="AD2222" s="15">
        <f>AC2222*AG2222</f>
        <v>31.9</v>
      </c>
      <c r="AE2222" s="15">
        <v>35</v>
      </c>
      <c r="AF2222" s="15">
        <f>AE2222*AG2222</f>
        <v>70</v>
      </c>
      <c r="AG2222" s="16">
        <v>2</v>
      </c>
    </row>
    <row r="2223" spans="1:33" ht="15" customHeight="1" x14ac:dyDescent="0.2">
      <c r="A2223" s="11" t="str">
        <f t="shared" si="910"/>
        <v>VN000PDABLK1</v>
      </c>
      <c r="B2223" s="12" t="s">
        <v>8367</v>
      </c>
      <c r="C2223" s="12" t="s">
        <v>8364</v>
      </c>
      <c r="D2223" s="12" t="s">
        <v>76</v>
      </c>
      <c r="E2223" s="12" t="s">
        <v>8368</v>
      </c>
      <c r="F2223" s="12" t="s">
        <v>170</v>
      </c>
      <c r="G2223" s="14"/>
      <c r="H2223" s="12" t="s">
        <v>61</v>
      </c>
      <c r="I2223" s="12" t="s">
        <v>230</v>
      </c>
      <c r="J2223" s="12" t="s">
        <v>419</v>
      </c>
      <c r="K2223" s="12" t="s">
        <v>199</v>
      </c>
      <c r="L2223" s="14"/>
      <c r="M2223" s="12" t="s">
        <v>43</v>
      </c>
      <c r="N2223" s="12" t="s">
        <v>84</v>
      </c>
      <c r="O2223" s="12" t="s">
        <v>8369</v>
      </c>
      <c r="P2223" s="12" t="s">
        <v>66</v>
      </c>
      <c r="Q2223" s="12" t="s">
        <v>67</v>
      </c>
      <c r="R2223" s="12" t="s">
        <v>421</v>
      </c>
      <c r="S2223" s="13">
        <v>197804356386</v>
      </c>
      <c r="T2223" s="12" t="s">
        <v>915</v>
      </c>
      <c r="U2223" s="12" t="s">
        <v>170</v>
      </c>
      <c r="V2223" s="12" t="s">
        <v>979</v>
      </c>
      <c r="W2223" s="12" t="s">
        <v>51</v>
      </c>
      <c r="X2223" s="14"/>
      <c r="Y2223" s="14"/>
      <c r="Z2223" s="14"/>
      <c r="AA2223" s="14"/>
      <c r="AB2223" s="14"/>
      <c r="AC2223" s="15">
        <v>15.95</v>
      </c>
      <c r="AD2223" s="15">
        <f>AC2223*AG2223</f>
        <v>31.9</v>
      </c>
      <c r="AE2223" s="15">
        <v>35</v>
      </c>
      <c r="AF2223" s="15">
        <f>AE2223*AG2223</f>
        <v>70</v>
      </c>
      <c r="AG2223" s="16">
        <v>2</v>
      </c>
    </row>
    <row r="2224" spans="1:33" ht="15" customHeight="1" x14ac:dyDescent="0.2">
      <c r="A2224" s="11" t="str">
        <f t="shared" ref="A2224:A2225" si="911">HYPERLINK("https://assets.vans.eu/images/VN000PDREMS-HERO/1","VN000PDREMS1")</f>
        <v>VN000PDREMS1</v>
      </c>
      <c r="B2224" s="12" t="s">
        <v>8370</v>
      </c>
      <c r="C2224" s="12" t="s">
        <v>976</v>
      </c>
      <c r="D2224" s="12" t="s">
        <v>863</v>
      </c>
      <c r="E2224" s="12" t="s">
        <v>8371</v>
      </c>
      <c r="F2224" s="12" t="s">
        <v>403</v>
      </c>
      <c r="G2224" s="14"/>
      <c r="H2224" s="12" t="s">
        <v>61</v>
      </c>
      <c r="I2224" s="12" t="s">
        <v>230</v>
      </c>
      <c r="J2224" s="12" t="s">
        <v>419</v>
      </c>
      <c r="K2224" s="12" t="s">
        <v>199</v>
      </c>
      <c r="L2224" s="14"/>
      <c r="M2224" s="12" t="s">
        <v>43</v>
      </c>
      <c r="N2224" s="12" t="s">
        <v>84</v>
      </c>
      <c r="O2224" s="12" t="s">
        <v>8372</v>
      </c>
      <c r="P2224" s="12" t="s">
        <v>66</v>
      </c>
      <c r="Q2224" s="12" t="s">
        <v>67</v>
      </c>
      <c r="R2224" s="12" t="s">
        <v>421</v>
      </c>
      <c r="S2224" s="13">
        <v>197804667062</v>
      </c>
      <c r="T2224" s="12" t="s">
        <v>915</v>
      </c>
      <c r="U2224" s="12" t="s">
        <v>403</v>
      </c>
      <c r="V2224" s="12" t="s">
        <v>979</v>
      </c>
      <c r="W2224" s="12" t="s">
        <v>107</v>
      </c>
      <c r="X2224" s="14"/>
      <c r="Y2224" s="14"/>
      <c r="Z2224" s="14"/>
      <c r="AA2224" s="14"/>
      <c r="AB2224" s="14"/>
      <c r="AC2224" s="15">
        <v>18.2</v>
      </c>
      <c r="AD2224" s="15">
        <f>AC2224*AG2224</f>
        <v>36.4</v>
      </c>
      <c r="AE2224" s="15">
        <v>40</v>
      </c>
      <c r="AF2224" s="15">
        <f>AE2224*AG2224</f>
        <v>80</v>
      </c>
      <c r="AG2224" s="16">
        <v>2</v>
      </c>
    </row>
    <row r="2225" spans="1:33" ht="15" customHeight="1" x14ac:dyDescent="0.2">
      <c r="A2225" s="11" t="str">
        <f t="shared" si="911"/>
        <v>VN000PDREMS1</v>
      </c>
      <c r="B2225" s="12" t="s">
        <v>8373</v>
      </c>
      <c r="C2225" s="12" t="s">
        <v>976</v>
      </c>
      <c r="D2225" s="12" t="s">
        <v>863</v>
      </c>
      <c r="E2225" s="12" t="s">
        <v>8374</v>
      </c>
      <c r="F2225" s="12" t="s">
        <v>621</v>
      </c>
      <c r="G2225" s="14"/>
      <c r="H2225" s="12" t="s">
        <v>61</v>
      </c>
      <c r="I2225" s="12" t="s">
        <v>230</v>
      </c>
      <c r="J2225" s="12" t="s">
        <v>419</v>
      </c>
      <c r="K2225" s="12" t="s">
        <v>199</v>
      </c>
      <c r="L2225" s="14"/>
      <c r="M2225" s="12" t="s">
        <v>43</v>
      </c>
      <c r="N2225" s="12" t="s">
        <v>84</v>
      </c>
      <c r="O2225" s="12" t="s">
        <v>8375</v>
      </c>
      <c r="P2225" s="12" t="s">
        <v>66</v>
      </c>
      <c r="Q2225" s="12" t="s">
        <v>67</v>
      </c>
      <c r="R2225" s="12" t="s">
        <v>421</v>
      </c>
      <c r="S2225" s="13">
        <v>197804667598</v>
      </c>
      <c r="T2225" s="12" t="s">
        <v>915</v>
      </c>
      <c r="U2225" s="12" t="s">
        <v>621</v>
      </c>
      <c r="V2225" s="12" t="s">
        <v>979</v>
      </c>
      <c r="W2225" s="12" t="s">
        <v>107</v>
      </c>
      <c r="X2225" s="14"/>
      <c r="Y2225" s="14"/>
      <c r="Z2225" s="14"/>
      <c r="AA2225" s="14"/>
      <c r="AB2225" s="14"/>
      <c r="AC2225" s="15">
        <v>18.2</v>
      </c>
      <c r="AD2225" s="15">
        <f>AC2225*AG2225</f>
        <v>36.4</v>
      </c>
      <c r="AE2225" s="15">
        <v>40</v>
      </c>
      <c r="AF2225" s="15">
        <f>AE2225*AG2225</f>
        <v>80</v>
      </c>
      <c r="AG2225" s="16">
        <v>2</v>
      </c>
    </row>
    <row r="2226" spans="1:33" ht="15" customHeight="1" x14ac:dyDescent="0.2">
      <c r="A2226" s="11" t="str">
        <f t="shared" ref="A2226:A3376" si="912">HYPERLINK("https://assets.vans.eu/images/VN000PDREN7-HERO/1","VN000PDREN71")</f>
        <v>VN000PDREN71</v>
      </c>
      <c r="B2226" s="12" t="s">
        <v>8376</v>
      </c>
      <c r="C2226" s="12" t="s">
        <v>976</v>
      </c>
      <c r="D2226" s="12" t="s">
        <v>295</v>
      </c>
      <c r="E2226" s="12" t="s">
        <v>8377</v>
      </c>
      <c r="F2226" s="12" t="s">
        <v>403</v>
      </c>
      <c r="G2226" s="14"/>
      <c r="H2226" s="12" t="s">
        <v>61</v>
      </c>
      <c r="I2226" s="12" t="s">
        <v>230</v>
      </c>
      <c r="J2226" s="12" t="s">
        <v>419</v>
      </c>
      <c r="K2226" s="12" t="s">
        <v>199</v>
      </c>
      <c r="L2226" s="14"/>
      <c r="M2226" s="12" t="s">
        <v>43</v>
      </c>
      <c r="N2226" s="12" t="s">
        <v>84</v>
      </c>
      <c r="O2226" s="12" t="s">
        <v>8378</v>
      </c>
      <c r="P2226" s="12" t="s">
        <v>66</v>
      </c>
      <c r="Q2226" s="12" t="s">
        <v>67</v>
      </c>
      <c r="R2226" s="12" t="s">
        <v>421</v>
      </c>
      <c r="S2226" s="13">
        <v>197804667123</v>
      </c>
      <c r="T2226" s="12" t="s">
        <v>915</v>
      </c>
      <c r="U2226" s="12" t="s">
        <v>403</v>
      </c>
      <c r="V2226" s="12" t="s">
        <v>979</v>
      </c>
      <c r="W2226" s="12" t="s">
        <v>299</v>
      </c>
      <c r="X2226" s="14"/>
      <c r="Y2226" s="14"/>
      <c r="Z2226" s="14"/>
      <c r="AA2226" s="14"/>
      <c r="AB2226" s="14"/>
      <c r="AC2226" s="15">
        <v>18.2</v>
      </c>
      <c r="AD2226" s="15">
        <f>AC2226*AG2226</f>
        <v>36.4</v>
      </c>
      <c r="AE2226" s="15">
        <v>40</v>
      </c>
      <c r="AF2226" s="15">
        <f>AE2226*AG2226</f>
        <v>80</v>
      </c>
      <c r="AG2226" s="16">
        <v>2</v>
      </c>
    </row>
    <row r="2227" spans="1:33" ht="15" customHeight="1" x14ac:dyDescent="0.2">
      <c r="A2227" s="11" t="str">
        <f t="shared" ref="A2227:A3377" si="913">HYPERLINK("https://assets.vans.eu/images/VN000PDYEMP-HERO/1","VN000PDYEMP1")</f>
        <v>VN000PDYEMP1</v>
      </c>
      <c r="B2227" s="12" t="s">
        <v>8379</v>
      </c>
      <c r="C2227" s="12" t="s">
        <v>3751</v>
      </c>
      <c r="D2227" s="12" t="s">
        <v>704</v>
      </c>
      <c r="E2227" s="12" t="s">
        <v>8380</v>
      </c>
      <c r="F2227" s="12" t="s">
        <v>60</v>
      </c>
      <c r="G2227" s="14"/>
      <c r="H2227" s="12" t="s">
        <v>61</v>
      </c>
      <c r="I2227" s="12" t="s">
        <v>230</v>
      </c>
      <c r="J2227" s="12" t="s">
        <v>419</v>
      </c>
      <c r="K2227" s="12" t="s">
        <v>199</v>
      </c>
      <c r="L2227" s="14"/>
      <c r="M2227" s="12" t="s">
        <v>43</v>
      </c>
      <c r="N2227" s="12" t="s">
        <v>84</v>
      </c>
      <c r="O2227" s="12" t="s">
        <v>8381</v>
      </c>
      <c r="P2227" s="12" t="s">
        <v>66</v>
      </c>
      <c r="Q2227" s="12" t="s">
        <v>67</v>
      </c>
      <c r="R2227" s="12" t="s">
        <v>421</v>
      </c>
      <c r="S2227" s="13">
        <v>197804357055</v>
      </c>
      <c r="T2227" s="12" t="s">
        <v>915</v>
      </c>
      <c r="U2227" s="12" t="s">
        <v>60</v>
      </c>
      <c r="V2227" s="12" t="s">
        <v>979</v>
      </c>
      <c r="W2227" s="12" t="s">
        <v>186</v>
      </c>
      <c r="X2227" s="14"/>
      <c r="Y2227" s="14"/>
      <c r="Z2227" s="14"/>
      <c r="AA2227" s="14"/>
      <c r="AB2227" s="14"/>
      <c r="AC2227" s="15">
        <v>18.2</v>
      </c>
      <c r="AD2227" s="15">
        <f>AC2227*AG2227</f>
        <v>36.4</v>
      </c>
      <c r="AE2227" s="15">
        <v>40</v>
      </c>
      <c r="AF2227" s="15">
        <f>AE2227*AG2227</f>
        <v>80</v>
      </c>
      <c r="AG2227" s="16">
        <v>2</v>
      </c>
    </row>
    <row r="2228" spans="1:33" ht="15" customHeight="1" x14ac:dyDescent="0.2">
      <c r="A2228" s="11" t="str">
        <f t="shared" ref="A2228:A3378" si="914">HYPERLINK("https://assets.vans.eu/images/VN000PDYWHT-HERO/1","VN000PDYWHT1")</f>
        <v>VN000PDYWHT1</v>
      </c>
      <c r="B2228" s="12" t="s">
        <v>8382</v>
      </c>
      <c r="C2228" s="12" t="s">
        <v>3751</v>
      </c>
      <c r="D2228" s="12" t="s">
        <v>168</v>
      </c>
      <c r="E2228" s="12" t="s">
        <v>8383</v>
      </c>
      <c r="F2228" s="12" t="s">
        <v>153</v>
      </c>
      <c r="G2228" s="14"/>
      <c r="H2228" s="12" t="s">
        <v>61</v>
      </c>
      <c r="I2228" s="12" t="s">
        <v>230</v>
      </c>
      <c r="J2228" s="12" t="s">
        <v>419</v>
      </c>
      <c r="K2228" s="12" t="s">
        <v>199</v>
      </c>
      <c r="L2228" s="14"/>
      <c r="M2228" s="12" t="s">
        <v>43</v>
      </c>
      <c r="N2228" s="12" t="s">
        <v>84</v>
      </c>
      <c r="O2228" s="12" t="s">
        <v>8384</v>
      </c>
      <c r="P2228" s="12" t="s">
        <v>66</v>
      </c>
      <c r="Q2228" s="12" t="s">
        <v>67</v>
      </c>
      <c r="R2228" s="12" t="s">
        <v>421</v>
      </c>
      <c r="S2228" s="13">
        <v>197804357369</v>
      </c>
      <c r="T2228" s="12" t="s">
        <v>915</v>
      </c>
      <c r="U2228" s="12" t="s">
        <v>153</v>
      </c>
      <c r="V2228" s="12" t="s">
        <v>979</v>
      </c>
      <c r="W2228" s="12" t="s">
        <v>175</v>
      </c>
      <c r="X2228" s="14"/>
      <c r="Y2228" s="14"/>
      <c r="Z2228" s="14"/>
      <c r="AA2228" s="14"/>
      <c r="AB2228" s="14"/>
      <c r="AC2228" s="15">
        <v>18.2</v>
      </c>
      <c r="AD2228" s="15">
        <f>AC2228*AG2228</f>
        <v>36.4</v>
      </c>
      <c r="AE2228" s="15">
        <v>40</v>
      </c>
      <c r="AF2228" s="15">
        <f>AE2228*AG2228</f>
        <v>80</v>
      </c>
      <c r="AG2228" s="16">
        <v>2</v>
      </c>
    </row>
    <row r="2229" spans="1:33" ht="15" customHeight="1" x14ac:dyDescent="0.2">
      <c r="A2229" s="11" t="str">
        <f t="shared" ref="A2229:A2230" si="915">HYPERLINK("https://assets.vans.eu/images/VN000PE7BLK-HERO/1","VN000PE7BLK1")</f>
        <v>VN000PE7BLK1</v>
      </c>
      <c r="B2229" s="12" t="s">
        <v>8385</v>
      </c>
      <c r="C2229" s="12" t="s">
        <v>1740</v>
      </c>
      <c r="D2229" s="12" t="s">
        <v>76</v>
      </c>
      <c r="E2229" s="12" t="s">
        <v>8386</v>
      </c>
      <c r="F2229" s="12" t="s">
        <v>403</v>
      </c>
      <c r="G2229" s="14"/>
      <c r="H2229" s="12" t="s">
        <v>61</v>
      </c>
      <c r="I2229" s="12" t="s">
        <v>230</v>
      </c>
      <c r="J2229" s="12" t="s">
        <v>419</v>
      </c>
      <c r="K2229" s="12" t="s">
        <v>199</v>
      </c>
      <c r="L2229" s="14"/>
      <c r="M2229" s="12" t="s">
        <v>43</v>
      </c>
      <c r="N2229" s="12" t="s">
        <v>84</v>
      </c>
      <c r="O2229" s="12" t="s">
        <v>8387</v>
      </c>
      <c r="P2229" s="12" t="s">
        <v>66</v>
      </c>
      <c r="Q2229" s="12" t="s">
        <v>67</v>
      </c>
      <c r="R2229" s="12" t="s">
        <v>421</v>
      </c>
      <c r="S2229" s="13">
        <v>197804357086</v>
      </c>
      <c r="T2229" s="12" t="s">
        <v>915</v>
      </c>
      <c r="U2229" s="12" t="s">
        <v>403</v>
      </c>
      <c r="V2229" s="12" t="s">
        <v>979</v>
      </c>
      <c r="W2229" s="12" t="s">
        <v>51</v>
      </c>
      <c r="X2229" s="14"/>
      <c r="Y2229" s="14"/>
      <c r="Z2229" s="14"/>
      <c r="AA2229" s="14"/>
      <c r="AB2229" s="14"/>
      <c r="AC2229" s="15">
        <v>18.2</v>
      </c>
      <c r="AD2229" s="15">
        <f>AC2229*AG2229</f>
        <v>36.4</v>
      </c>
      <c r="AE2229" s="15">
        <v>40</v>
      </c>
      <c r="AF2229" s="15">
        <f>AE2229*AG2229</f>
        <v>80</v>
      </c>
      <c r="AG2229" s="16">
        <v>2</v>
      </c>
    </row>
    <row r="2230" spans="1:33" ht="15" customHeight="1" x14ac:dyDescent="0.2">
      <c r="A2230" s="11" t="str">
        <f t="shared" si="915"/>
        <v>VN000PE7BLK1</v>
      </c>
      <c r="B2230" s="12" t="s">
        <v>8388</v>
      </c>
      <c r="C2230" s="12" t="s">
        <v>1740</v>
      </c>
      <c r="D2230" s="12" t="s">
        <v>76</v>
      </c>
      <c r="E2230" s="12" t="s">
        <v>8389</v>
      </c>
      <c r="F2230" s="12" t="s">
        <v>60</v>
      </c>
      <c r="G2230" s="14"/>
      <c r="H2230" s="12" t="s">
        <v>61</v>
      </c>
      <c r="I2230" s="12" t="s">
        <v>230</v>
      </c>
      <c r="J2230" s="12" t="s">
        <v>419</v>
      </c>
      <c r="K2230" s="12" t="s">
        <v>199</v>
      </c>
      <c r="L2230" s="14"/>
      <c r="M2230" s="12" t="s">
        <v>43</v>
      </c>
      <c r="N2230" s="12" t="s">
        <v>84</v>
      </c>
      <c r="O2230" s="12" t="s">
        <v>8390</v>
      </c>
      <c r="P2230" s="12" t="s">
        <v>66</v>
      </c>
      <c r="Q2230" s="12" t="s">
        <v>67</v>
      </c>
      <c r="R2230" s="12" t="s">
        <v>421</v>
      </c>
      <c r="S2230" s="13">
        <v>197804357246</v>
      </c>
      <c r="T2230" s="12" t="s">
        <v>915</v>
      </c>
      <c r="U2230" s="12" t="s">
        <v>60</v>
      </c>
      <c r="V2230" s="12" t="s">
        <v>979</v>
      </c>
      <c r="W2230" s="12" t="s">
        <v>51</v>
      </c>
      <c r="X2230" s="14"/>
      <c r="Y2230" s="14"/>
      <c r="Z2230" s="14"/>
      <c r="AA2230" s="14"/>
      <c r="AB2230" s="14"/>
      <c r="AC2230" s="15">
        <v>18.2</v>
      </c>
      <c r="AD2230" s="15">
        <f>AC2230*AG2230</f>
        <v>36.4</v>
      </c>
      <c r="AE2230" s="15">
        <v>40</v>
      </c>
      <c r="AF2230" s="15">
        <f>AE2230*AG2230</f>
        <v>80</v>
      </c>
      <c r="AG2230" s="16">
        <v>2</v>
      </c>
    </row>
    <row r="2231" spans="1:33" ht="15" customHeight="1" x14ac:dyDescent="0.2">
      <c r="A2231" s="11" t="str">
        <f t="shared" ref="A2231:A2233" si="916">HYPERLINK("https://assets.vans.eu/images/VN000PEWEMU-HERO/1","VN000PEWEMU1")</f>
        <v>VN000PEWEMU1</v>
      </c>
      <c r="B2231" s="12" t="s">
        <v>8391</v>
      </c>
      <c r="C2231" s="12" t="s">
        <v>8392</v>
      </c>
      <c r="D2231" s="12" t="s">
        <v>1319</v>
      </c>
      <c r="E2231" s="12" t="s">
        <v>8393</v>
      </c>
      <c r="F2231" s="12" t="s">
        <v>179</v>
      </c>
      <c r="G2231" s="14"/>
      <c r="H2231" s="12" t="s">
        <v>61</v>
      </c>
      <c r="I2231" s="12" t="s">
        <v>230</v>
      </c>
      <c r="J2231" s="12" t="s">
        <v>419</v>
      </c>
      <c r="K2231" s="12" t="s">
        <v>199</v>
      </c>
      <c r="L2231" s="14"/>
      <c r="M2231" s="12" t="s">
        <v>43</v>
      </c>
      <c r="N2231" s="12" t="s">
        <v>84</v>
      </c>
      <c r="O2231" s="12" t="s">
        <v>8394</v>
      </c>
      <c r="P2231" s="12" t="s">
        <v>66</v>
      </c>
      <c r="Q2231" s="12" t="s">
        <v>67</v>
      </c>
      <c r="R2231" s="12" t="s">
        <v>421</v>
      </c>
      <c r="S2231" s="13">
        <v>197804357550</v>
      </c>
      <c r="T2231" s="12" t="s">
        <v>915</v>
      </c>
      <c r="U2231" s="12" t="s">
        <v>179</v>
      </c>
      <c r="V2231" s="12" t="s">
        <v>979</v>
      </c>
      <c r="W2231" s="12" t="s">
        <v>118</v>
      </c>
      <c r="X2231" s="14"/>
      <c r="Y2231" s="14"/>
      <c r="Z2231" s="14"/>
      <c r="AA2231" s="14"/>
      <c r="AB2231" s="14"/>
      <c r="AC2231" s="15">
        <v>18.2</v>
      </c>
      <c r="AD2231" s="15">
        <f>AC2231*AG2231</f>
        <v>36.4</v>
      </c>
      <c r="AE2231" s="15">
        <v>40</v>
      </c>
      <c r="AF2231" s="15">
        <f>AE2231*AG2231</f>
        <v>80</v>
      </c>
      <c r="AG2231" s="16">
        <v>2</v>
      </c>
    </row>
    <row r="2232" spans="1:33" ht="15" customHeight="1" x14ac:dyDescent="0.2">
      <c r="A2232" s="11" t="str">
        <f t="shared" si="916"/>
        <v>VN000PEWEMU1</v>
      </c>
      <c r="B2232" s="12" t="s">
        <v>8395</v>
      </c>
      <c r="C2232" s="12" t="s">
        <v>8392</v>
      </c>
      <c r="D2232" s="12" t="s">
        <v>1319</v>
      </c>
      <c r="E2232" s="12" t="s">
        <v>8396</v>
      </c>
      <c r="F2232" s="12" t="s">
        <v>403</v>
      </c>
      <c r="G2232" s="14"/>
      <c r="H2232" s="12" t="s">
        <v>61</v>
      </c>
      <c r="I2232" s="12" t="s">
        <v>230</v>
      </c>
      <c r="J2232" s="12" t="s">
        <v>419</v>
      </c>
      <c r="K2232" s="12" t="s">
        <v>199</v>
      </c>
      <c r="L2232" s="14"/>
      <c r="M2232" s="12" t="s">
        <v>43</v>
      </c>
      <c r="N2232" s="12" t="s">
        <v>84</v>
      </c>
      <c r="O2232" s="12" t="s">
        <v>8397</v>
      </c>
      <c r="P2232" s="12" t="s">
        <v>66</v>
      </c>
      <c r="Q2232" s="12" t="s">
        <v>67</v>
      </c>
      <c r="R2232" s="12" t="s">
        <v>421</v>
      </c>
      <c r="S2232" s="13">
        <v>197804357918</v>
      </c>
      <c r="T2232" s="12" t="s">
        <v>915</v>
      </c>
      <c r="U2232" s="12" t="s">
        <v>403</v>
      </c>
      <c r="V2232" s="12" t="s">
        <v>979</v>
      </c>
      <c r="W2232" s="12" t="s">
        <v>118</v>
      </c>
      <c r="X2232" s="14"/>
      <c r="Y2232" s="14"/>
      <c r="Z2232" s="14"/>
      <c r="AA2232" s="14"/>
      <c r="AB2232" s="14"/>
      <c r="AC2232" s="15">
        <v>18.2</v>
      </c>
      <c r="AD2232" s="15">
        <f>AC2232*AG2232</f>
        <v>36.4</v>
      </c>
      <c r="AE2232" s="15">
        <v>40</v>
      </c>
      <c r="AF2232" s="15">
        <f>AE2232*AG2232</f>
        <v>80</v>
      </c>
      <c r="AG2232" s="16">
        <v>2</v>
      </c>
    </row>
    <row r="2233" spans="1:33" ht="15" customHeight="1" x14ac:dyDescent="0.2">
      <c r="A2233" s="11" t="str">
        <f t="shared" si="916"/>
        <v>VN000PEWEMU1</v>
      </c>
      <c r="B2233" s="12" t="s">
        <v>8398</v>
      </c>
      <c r="C2233" s="12" t="s">
        <v>8392</v>
      </c>
      <c r="D2233" s="12" t="s">
        <v>1319</v>
      </c>
      <c r="E2233" s="12" t="s">
        <v>8399</v>
      </c>
      <c r="F2233" s="12" t="s">
        <v>621</v>
      </c>
      <c r="G2233" s="14"/>
      <c r="H2233" s="12" t="s">
        <v>61</v>
      </c>
      <c r="I2233" s="12" t="s">
        <v>230</v>
      </c>
      <c r="J2233" s="12" t="s">
        <v>419</v>
      </c>
      <c r="K2233" s="12" t="s">
        <v>199</v>
      </c>
      <c r="L2233" s="14"/>
      <c r="M2233" s="12" t="s">
        <v>43</v>
      </c>
      <c r="N2233" s="12" t="s">
        <v>84</v>
      </c>
      <c r="O2233" s="12" t="s">
        <v>8400</v>
      </c>
      <c r="P2233" s="12" t="s">
        <v>66</v>
      </c>
      <c r="Q2233" s="12" t="s">
        <v>67</v>
      </c>
      <c r="R2233" s="12" t="s">
        <v>421</v>
      </c>
      <c r="S2233" s="13">
        <v>197804358366</v>
      </c>
      <c r="T2233" s="12" t="s">
        <v>915</v>
      </c>
      <c r="U2233" s="12" t="s">
        <v>621</v>
      </c>
      <c r="V2233" s="12" t="s">
        <v>979</v>
      </c>
      <c r="W2233" s="12" t="s">
        <v>118</v>
      </c>
      <c r="X2233" s="14"/>
      <c r="Y2233" s="14"/>
      <c r="Z2233" s="14"/>
      <c r="AA2233" s="14"/>
      <c r="AB2233" s="14"/>
      <c r="AC2233" s="15">
        <v>18.2</v>
      </c>
      <c r="AD2233" s="15">
        <f>AC2233*AG2233</f>
        <v>36.4</v>
      </c>
      <c r="AE2233" s="15">
        <v>40</v>
      </c>
      <c r="AF2233" s="15">
        <f>AE2233*AG2233</f>
        <v>80</v>
      </c>
      <c r="AG2233" s="16">
        <v>2</v>
      </c>
    </row>
    <row r="2234" spans="1:33" ht="15" customHeight="1" x14ac:dyDescent="0.2">
      <c r="A2234" s="11" t="str">
        <f t="shared" ref="A2234:A3395" si="917">HYPERLINK("https://assets.vans.eu/images/VN000PFBF2L-HERO/1","VN000PFBF2L1")</f>
        <v>VN000PFBF2L1</v>
      </c>
      <c r="B2234" s="12" t="s">
        <v>8401</v>
      </c>
      <c r="C2234" s="12" t="s">
        <v>1588</v>
      </c>
      <c r="D2234" s="12" t="s">
        <v>8402</v>
      </c>
      <c r="E2234" s="12" t="s">
        <v>8403</v>
      </c>
      <c r="F2234" s="12" t="s">
        <v>179</v>
      </c>
      <c r="G2234" s="14"/>
      <c r="H2234" s="12" t="s">
        <v>61</v>
      </c>
      <c r="I2234" s="12" t="s">
        <v>230</v>
      </c>
      <c r="J2234" s="12" t="s">
        <v>419</v>
      </c>
      <c r="K2234" s="12" t="s">
        <v>199</v>
      </c>
      <c r="L2234" s="14"/>
      <c r="M2234" s="12" t="s">
        <v>43</v>
      </c>
      <c r="N2234" s="12" t="s">
        <v>84</v>
      </c>
      <c r="O2234" s="12" t="s">
        <v>8404</v>
      </c>
      <c r="P2234" s="12" t="s">
        <v>66</v>
      </c>
      <c r="Q2234" s="12" t="s">
        <v>67</v>
      </c>
      <c r="R2234" s="12" t="s">
        <v>421</v>
      </c>
      <c r="S2234" s="13">
        <v>197804383504</v>
      </c>
      <c r="T2234" s="12" t="s">
        <v>49</v>
      </c>
      <c r="U2234" s="12" t="s">
        <v>179</v>
      </c>
      <c r="V2234" s="12" t="s">
        <v>665</v>
      </c>
      <c r="W2234" s="12" t="s">
        <v>175</v>
      </c>
      <c r="X2234" s="14"/>
      <c r="Y2234" s="14"/>
      <c r="Z2234" s="14"/>
      <c r="AA2234" s="14"/>
      <c r="AB2234" s="14"/>
      <c r="AC2234" s="15">
        <v>20.5</v>
      </c>
      <c r="AD2234" s="15">
        <f>AC2234*AG2234</f>
        <v>41</v>
      </c>
      <c r="AE2234" s="15">
        <v>45</v>
      </c>
      <c r="AF2234" s="15">
        <f>AE2234*AG2234</f>
        <v>90</v>
      </c>
      <c r="AG2234" s="16">
        <v>2</v>
      </c>
    </row>
    <row r="2235" spans="1:33" ht="15" customHeight="1" x14ac:dyDescent="0.2">
      <c r="A2235" s="11" t="str">
        <f>HYPERLINK("https://assets.vans.eu/images/VN000PFF2B6-HERO/1","VN000PFF2B61")</f>
        <v>VN000PFF2B61</v>
      </c>
      <c r="B2235" s="12" t="s">
        <v>8405</v>
      </c>
      <c r="C2235" s="12" t="s">
        <v>1588</v>
      </c>
      <c r="D2235" s="12" t="s">
        <v>4375</v>
      </c>
      <c r="E2235" s="12" t="s">
        <v>8406</v>
      </c>
      <c r="F2235" s="12" t="s">
        <v>621</v>
      </c>
      <c r="G2235" s="14"/>
      <c r="H2235" s="12" t="s">
        <v>61</v>
      </c>
      <c r="I2235" s="12" t="s">
        <v>230</v>
      </c>
      <c r="J2235" s="12" t="s">
        <v>419</v>
      </c>
      <c r="K2235" s="12" t="s">
        <v>199</v>
      </c>
      <c r="L2235" s="14"/>
      <c r="M2235" s="12" t="s">
        <v>43</v>
      </c>
      <c r="N2235" s="12" t="s">
        <v>84</v>
      </c>
      <c r="O2235" s="12" t="s">
        <v>8407</v>
      </c>
      <c r="P2235" s="12" t="s">
        <v>66</v>
      </c>
      <c r="Q2235" s="12" t="s">
        <v>67</v>
      </c>
      <c r="R2235" s="12" t="s">
        <v>421</v>
      </c>
      <c r="S2235" s="13">
        <v>197804358724</v>
      </c>
      <c r="T2235" s="12" t="s">
        <v>49</v>
      </c>
      <c r="U2235" s="12" t="s">
        <v>621</v>
      </c>
      <c r="V2235" s="12" t="s">
        <v>665</v>
      </c>
      <c r="W2235" s="12" t="s">
        <v>51</v>
      </c>
      <c r="X2235" s="14"/>
      <c r="Y2235" s="14"/>
      <c r="Z2235" s="14"/>
      <c r="AA2235" s="14"/>
      <c r="AB2235" s="14"/>
      <c r="AC2235" s="15">
        <v>22.75</v>
      </c>
      <c r="AD2235" s="15">
        <f>AC2235*AG2235</f>
        <v>45.5</v>
      </c>
      <c r="AE2235" s="15">
        <v>50</v>
      </c>
      <c r="AF2235" s="15">
        <f>AE2235*AG2235</f>
        <v>100</v>
      </c>
      <c r="AG2235" s="16">
        <v>2</v>
      </c>
    </row>
    <row r="2236" spans="1:33" ht="15" customHeight="1" x14ac:dyDescent="0.2">
      <c r="A2236" s="11" t="str">
        <f t="shared" si="389"/>
        <v>VN000PGMEMU1</v>
      </c>
      <c r="B2236" s="12" t="s">
        <v>8408</v>
      </c>
      <c r="C2236" s="12" t="s">
        <v>3761</v>
      </c>
      <c r="D2236" s="12" t="s">
        <v>1319</v>
      </c>
      <c r="E2236" s="12" t="s">
        <v>8409</v>
      </c>
      <c r="F2236" s="12" t="s">
        <v>179</v>
      </c>
      <c r="G2236" s="14"/>
      <c r="H2236" s="12" t="s">
        <v>61</v>
      </c>
      <c r="I2236" s="12" t="s">
        <v>230</v>
      </c>
      <c r="J2236" s="12" t="s">
        <v>419</v>
      </c>
      <c r="K2236" s="12" t="s">
        <v>199</v>
      </c>
      <c r="L2236" s="14"/>
      <c r="M2236" s="12" t="s">
        <v>43</v>
      </c>
      <c r="N2236" s="12" t="s">
        <v>84</v>
      </c>
      <c r="O2236" s="12" t="s">
        <v>8410</v>
      </c>
      <c r="P2236" s="12" t="s">
        <v>66</v>
      </c>
      <c r="Q2236" s="12" t="s">
        <v>67</v>
      </c>
      <c r="R2236" s="12" t="s">
        <v>623</v>
      </c>
      <c r="S2236" s="13">
        <v>197804791002</v>
      </c>
      <c r="T2236" s="12" t="s">
        <v>709</v>
      </c>
      <c r="U2236" s="12" t="s">
        <v>179</v>
      </c>
      <c r="V2236" s="12" t="s">
        <v>710</v>
      </c>
      <c r="W2236" s="12" t="s">
        <v>118</v>
      </c>
      <c r="X2236" s="14"/>
      <c r="Y2236" s="14"/>
      <c r="Z2236" s="14"/>
      <c r="AA2236" s="14"/>
      <c r="AB2236" s="14"/>
      <c r="AC2236" s="15">
        <v>34.1</v>
      </c>
      <c r="AD2236" s="15">
        <f>AC2236*AG2236</f>
        <v>68.2</v>
      </c>
      <c r="AE2236" s="15">
        <v>75</v>
      </c>
      <c r="AF2236" s="15">
        <f>AE2236*AG2236</f>
        <v>150</v>
      </c>
      <c r="AG2236" s="16">
        <v>2</v>
      </c>
    </row>
    <row r="2237" spans="1:33" ht="15" customHeight="1" x14ac:dyDescent="0.2">
      <c r="A2237" s="11" t="str">
        <f t="shared" ref="A2237:A3398" si="918">HYPERLINK("https://assets.vans.eu/images/VN000PGMEMU-HERO/1","VN000PGMEMU1")</f>
        <v>VN000PGMEMU1</v>
      </c>
      <c r="B2237" s="12" t="s">
        <v>8411</v>
      </c>
      <c r="C2237" s="12" t="s">
        <v>3761</v>
      </c>
      <c r="D2237" s="12" t="s">
        <v>1319</v>
      </c>
      <c r="E2237" s="12" t="s">
        <v>8412</v>
      </c>
      <c r="F2237" s="12" t="s">
        <v>60</v>
      </c>
      <c r="G2237" s="14"/>
      <c r="H2237" s="12" t="s">
        <v>61</v>
      </c>
      <c r="I2237" s="12" t="s">
        <v>230</v>
      </c>
      <c r="J2237" s="12" t="s">
        <v>419</v>
      </c>
      <c r="K2237" s="12" t="s">
        <v>199</v>
      </c>
      <c r="L2237" s="14"/>
      <c r="M2237" s="12" t="s">
        <v>43</v>
      </c>
      <c r="N2237" s="12" t="s">
        <v>84</v>
      </c>
      <c r="O2237" s="12" t="s">
        <v>8413</v>
      </c>
      <c r="P2237" s="12" t="s">
        <v>66</v>
      </c>
      <c r="Q2237" s="12" t="s">
        <v>67</v>
      </c>
      <c r="R2237" s="12" t="s">
        <v>623</v>
      </c>
      <c r="S2237" s="13">
        <v>197804791132</v>
      </c>
      <c r="T2237" s="12" t="s">
        <v>709</v>
      </c>
      <c r="U2237" s="12" t="s">
        <v>60</v>
      </c>
      <c r="V2237" s="12" t="s">
        <v>710</v>
      </c>
      <c r="W2237" s="12" t="s">
        <v>118</v>
      </c>
      <c r="X2237" s="14"/>
      <c r="Y2237" s="14"/>
      <c r="Z2237" s="14"/>
      <c r="AA2237" s="14"/>
      <c r="AB2237" s="14"/>
      <c r="AC2237" s="15">
        <v>34.1</v>
      </c>
      <c r="AD2237" s="15">
        <f>AC2237*AG2237</f>
        <v>68.2</v>
      </c>
      <c r="AE2237" s="15">
        <v>75</v>
      </c>
      <c r="AF2237" s="15">
        <f>AE2237*AG2237</f>
        <v>150</v>
      </c>
      <c r="AG2237" s="16">
        <v>2</v>
      </c>
    </row>
    <row r="2238" spans="1:33" ht="15" customHeight="1" x14ac:dyDescent="0.2">
      <c r="A2238" s="11" t="str">
        <f>HYPERLINK("https://assets.vans.eu/images/VN000PGMY28-HERO/1","VN000PGMY281")</f>
        <v>VN000PGMY281</v>
      </c>
      <c r="B2238" s="12" t="s">
        <v>8414</v>
      </c>
      <c r="C2238" s="12" t="s">
        <v>3761</v>
      </c>
      <c r="D2238" s="12" t="s">
        <v>58</v>
      </c>
      <c r="E2238" s="12" t="s">
        <v>8415</v>
      </c>
      <c r="F2238" s="12" t="s">
        <v>621</v>
      </c>
      <c r="G2238" s="14"/>
      <c r="H2238" s="12" t="s">
        <v>61</v>
      </c>
      <c r="I2238" s="12" t="s">
        <v>230</v>
      </c>
      <c r="J2238" s="12" t="s">
        <v>419</v>
      </c>
      <c r="K2238" s="12" t="s">
        <v>199</v>
      </c>
      <c r="L2238" s="14"/>
      <c r="M2238" s="12" t="s">
        <v>43</v>
      </c>
      <c r="N2238" s="12" t="s">
        <v>84</v>
      </c>
      <c r="O2238" s="12" t="s">
        <v>8416</v>
      </c>
      <c r="P2238" s="12" t="s">
        <v>66</v>
      </c>
      <c r="Q2238" s="12" t="s">
        <v>67</v>
      </c>
      <c r="R2238" s="12" t="s">
        <v>623</v>
      </c>
      <c r="S2238" s="13">
        <v>197804393831</v>
      </c>
      <c r="T2238" s="12" t="s">
        <v>709</v>
      </c>
      <c r="U2238" s="12" t="s">
        <v>621</v>
      </c>
      <c r="V2238" s="12" t="s">
        <v>710</v>
      </c>
      <c r="W2238" s="12" t="s">
        <v>51</v>
      </c>
      <c r="X2238" s="14"/>
      <c r="Y2238" s="14"/>
      <c r="Z2238" s="14"/>
      <c r="AA2238" s="14"/>
      <c r="AB2238" s="14"/>
      <c r="AC2238" s="15">
        <v>34.1</v>
      </c>
      <c r="AD2238" s="15">
        <f>AC2238*AG2238</f>
        <v>68.2</v>
      </c>
      <c r="AE2238" s="15">
        <v>75</v>
      </c>
      <c r="AF2238" s="15">
        <f>AE2238*AG2238</f>
        <v>150</v>
      </c>
      <c r="AG2238" s="16">
        <v>2</v>
      </c>
    </row>
    <row r="2239" spans="1:33" ht="15" customHeight="1" x14ac:dyDescent="0.2">
      <c r="A2239" s="11" t="str">
        <f t="shared" si="716"/>
        <v>VN000PH6IYR1</v>
      </c>
      <c r="B2239" s="12" t="s">
        <v>8417</v>
      </c>
      <c r="C2239" s="12" t="s">
        <v>1577</v>
      </c>
      <c r="D2239" s="12" t="s">
        <v>1497</v>
      </c>
      <c r="E2239" s="12" t="s">
        <v>8418</v>
      </c>
      <c r="F2239" s="13">
        <v>28</v>
      </c>
      <c r="G2239" s="14"/>
      <c r="H2239" s="12" t="s">
        <v>61</v>
      </c>
      <c r="I2239" s="12" t="s">
        <v>230</v>
      </c>
      <c r="J2239" s="12" t="s">
        <v>231</v>
      </c>
      <c r="K2239" s="12" t="s">
        <v>199</v>
      </c>
      <c r="L2239" s="14"/>
      <c r="M2239" s="12" t="s">
        <v>43</v>
      </c>
      <c r="N2239" s="12" t="s">
        <v>84</v>
      </c>
      <c r="O2239" s="12" t="s">
        <v>8419</v>
      </c>
      <c r="P2239" s="12" t="s">
        <v>66</v>
      </c>
      <c r="Q2239" s="12" t="s">
        <v>233</v>
      </c>
      <c r="R2239" s="12" t="s">
        <v>361</v>
      </c>
      <c r="S2239" s="13">
        <v>197804579655</v>
      </c>
      <c r="T2239" s="12" t="s">
        <v>235</v>
      </c>
      <c r="U2239" s="13">
        <v>28</v>
      </c>
      <c r="V2239" s="12" t="s">
        <v>665</v>
      </c>
      <c r="W2239" s="12" t="s">
        <v>284</v>
      </c>
      <c r="X2239" s="14"/>
      <c r="Y2239" s="14"/>
      <c r="Z2239" s="14"/>
      <c r="AA2239" s="14"/>
      <c r="AB2239" s="14"/>
      <c r="AC2239" s="15">
        <v>36.4</v>
      </c>
      <c r="AD2239" s="15">
        <f>AC2239*AG2239</f>
        <v>72.8</v>
      </c>
      <c r="AE2239" s="15">
        <v>80</v>
      </c>
      <c r="AF2239" s="15">
        <f>AE2239*AG2239</f>
        <v>160</v>
      </c>
      <c r="AG2239" s="16">
        <v>2</v>
      </c>
    </row>
    <row r="2240" spans="1:33" ht="15" customHeight="1" x14ac:dyDescent="0.2">
      <c r="A2240" s="11" t="str">
        <f t="shared" ref="A2240:A3399" si="919">HYPERLINK("https://assets.vans.eu/images/VN000PH6IYR-HERO/1","VN000PH6IYR1")</f>
        <v>VN000PH6IYR1</v>
      </c>
      <c r="B2240" s="12" t="s">
        <v>8420</v>
      </c>
      <c r="C2240" s="12" t="s">
        <v>1577</v>
      </c>
      <c r="D2240" s="12" t="s">
        <v>1497</v>
      </c>
      <c r="E2240" s="12" t="s">
        <v>8421</v>
      </c>
      <c r="F2240" s="13">
        <v>34</v>
      </c>
      <c r="G2240" s="14"/>
      <c r="H2240" s="12" t="s">
        <v>61</v>
      </c>
      <c r="I2240" s="12" t="s">
        <v>230</v>
      </c>
      <c r="J2240" s="12" t="s">
        <v>231</v>
      </c>
      <c r="K2240" s="12" t="s">
        <v>199</v>
      </c>
      <c r="L2240" s="14"/>
      <c r="M2240" s="12" t="s">
        <v>43</v>
      </c>
      <c r="N2240" s="12" t="s">
        <v>84</v>
      </c>
      <c r="O2240" s="12" t="s">
        <v>8422</v>
      </c>
      <c r="P2240" s="12" t="s">
        <v>66</v>
      </c>
      <c r="Q2240" s="12" t="s">
        <v>233</v>
      </c>
      <c r="R2240" s="12" t="s">
        <v>361</v>
      </c>
      <c r="S2240" s="13">
        <v>197804581245</v>
      </c>
      <c r="T2240" s="12" t="s">
        <v>235</v>
      </c>
      <c r="U2240" s="13">
        <v>34</v>
      </c>
      <c r="V2240" s="12" t="s">
        <v>665</v>
      </c>
      <c r="W2240" s="12" t="s">
        <v>284</v>
      </c>
      <c r="X2240" s="14"/>
      <c r="Y2240" s="14"/>
      <c r="Z2240" s="14"/>
      <c r="AA2240" s="14"/>
      <c r="AB2240" s="14"/>
      <c r="AC2240" s="15">
        <v>36.4</v>
      </c>
      <c r="AD2240" s="15">
        <f>AC2240*AG2240</f>
        <v>72.8</v>
      </c>
      <c r="AE2240" s="15">
        <v>80</v>
      </c>
      <c r="AF2240" s="15">
        <f>AE2240*AG2240</f>
        <v>160</v>
      </c>
      <c r="AG2240" s="16">
        <v>2</v>
      </c>
    </row>
    <row r="2241" spans="1:33" ht="15" customHeight="1" x14ac:dyDescent="0.2">
      <c r="A2241" s="11" t="str">
        <f t="shared" ref="A2241:A2244" si="920">HYPERLINK("https://assets.vans.eu/images/VN000PH8CDX-HERO/1","VN000PH8CDX1")</f>
        <v>VN000PH8CDX1</v>
      </c>
      <c r="B2241" s="12" t="s">
        <v>8423</v>
      </c>
      <c r="C2241" s="12" t="s">
        <v>6816</v>
      </c>
      <c r="D2241" s="12" t="s">
        <v>760</v>
      </c>
      <c r="E2241" s="12" t="s">
        <v>8424</v>
      </c>
      <c r="F2241" s="13">
        <v>29</v>
      </c>
      <c r="G2241" s="14"/>
      <c r="H2241" s="12" t="s">
        <v>61</v>
      </c>
      <c r="I2241" s="12" t="s">
        <v>230</v>
      </c>
      <c r="J2241" s="12" t="s">
        <v>231</v>
      </c>
      <c r="K2241" s="12" t="s">
        <v>199</v>
      </c>
      <c r="L2241" s="14"/>
      <c r="M2241" s="12" t="s">
        <v>43</v>
      </c>
      <c r="N2241" s="12" t="s">
        <v>84</v>
      </c>
      <c r="O2241" s="12" t="s">
        <v>8425</v>
      </c>
      <c r="P2241" s="12" t="s">
        <v>66</v>
      </c>
      <c r="Q2241" s="12" t="s">
        <v>233</v>
      </c>
      <c r="R2241" s="12" t="s">
        <v>361</v>
      </c>
      <c r="S2241" s="13">
        <v>197804579471</v>
      </c>
      <c r="T2241" s="12" t="s">
        <v>235</v>
      </c>
      <c r="U2241" s="13">
        <v>29</v>
      </c>
      <c r="V2241" s="12" t="s">
        <v>665</v>
      </c>
      <c r="W2241" s="12" t="s">
        <v>284</v>
      </c>
      <c r="X2241" s="14"/>
      <c r="Y2241" s="14"/>
      <c r="Z2241" s="14"/>
      <c r="AA2241" s="14"/>
      <c r="AB2241" s="14"/>
      <c r="AC2241" s="15">
        <v>40.950000000000003</v>
      </c>
      <c r="AD2241" s="15">
        <f>AC2241*AG2241</f>
        <v>81.900000000000006</v>
      </c>
      <c r="AE2241" s="15">
        <v>90</v>
      </c>
      <c r="AF2241" s="15">
        <f>AE2241*AG2241</f>
        <v>180</v>
      </c>
      <c r="AG2241" s="16">
        <v>2</v>
      </c>
    </row>
    <row r="2242" spans="1:33" ht="15" customHeight="1" x14ac:dyDescent="0.2">
      <c r="A2242" s="11" t="str">
        <f t="shared" si="920"/>
        <v>VN000PH8CDX1</v>
      </c>
      <c r="B2242" s="12" t="s">
        <v>8426</v>
      </c>
      <c r="C2242" s="12" t="s">
        <v>6816</v>
      </c>
      <c r="D2242" s="12" t="s">
        <v>760</v>
      </c>
      <c r="E2242" s="12" t="s">
        <v>8427</v>
      </c>
      <c r="F2242" s="13">
        <v>32</v>
      </c>
      <c r="G2242" s="14"/>
      <c r="H2242" s="12" t="s">
        <v>61</v>
      </c>
      <c r="I2242" s="12" t="s">
        <v>230</v>
      </c>
      <c r="J2242" s="12" t="s">
        <v>231</v>
      </c>
      <c r="K2242" s="12" t="s">
        <v>199</v>
      </c>
      <c r="L2242" s="14"/>
      <c r="M2242" s="12" t="s">
        <v>43</v>
      </c>
      <c r="N2242" s="12" t="s">
        <v>84</v>
      </c>
      <c r="O2242" s="12" t="s">
        <v>8428</v>
      </c>
      <c r="P2242" s="12" t="s">
        <v>66</v>
      </c>
      <c r="Q2242" s="12" t="s">
        <v>233</v>
      </c>
      <c r="R2242" s="12" t="s">
        <v>361</v>
      </c>
      <c r="S2242" s="13">
        <v>197804579983</v>
      </c>
      <c r="T2242" s="12" t="s">
        <v>235</v>
      </c>
      <c r="U2242" s="13">
        <v>32</v>
      </c>
      <c r="V2242" s="12" t="s">
        <v>665</v>
      </c>
      <c r="W2242" s="12" t="s">
        <v>284</v>
      </c>
      <c r="X2242" s="14"/>
      <c r="Y2242" s="14"/>
      <c r="Z2242" s="14"/>
      <c r="AA2242" s="14"/>
      <c r="AB2242" s="14"/>
      <c r="AC2242" s="15">
        <v>40.950000000000003</v>
      </c>
      <c r="AD2242" s="15">
        <f>AC2242*AG2242</f>
        <v>81.900000000000006</v>
      </c>
      <c r="AE2242" s="15">
        <v>90</v>
      </c>
      <c r="AF2242" s="15">
        <f>AE2242*AG2242</f>
        <v>180</v>
      </c>
      <c r="AG2242" s="16">
        <v>2</v>
      </c>
    </row>
    <row r="2243" spans="1:33" ht="15" customHeight="1" x14ac:dyDescent="0.2">
      <c r="A2243" s="11" t="str">
        <f t="shared" si="920"/>
        <v>VN000PH8CDX1</v>
      </c>
      <c r="B2243" s="12" t="s">
        <v>8429</v>
      </c>
      <c r="C2243" s="12" t="s">
        <v>6816</v>
      </c>
      <c r="D2243" s="12" t="s">
        <v>760</v>
      </c>
      <c r="E2243" s="12" t="s">
        <v>8430</v>
      </c>
      <c r="F2243" s="13">
        <v>33</v>
      </c>
      <c r="G2243" s="14"/>
      <c r="H2243" s="12" t="s">
        <v>61</v>
      </c>
      <c r="I2243" s="12" t="s">
        <v>230</v>
      </c>
      <c r="J2243" s="12" t="s">
        <v>231</v>
      </c>
      <c r="K2243" s="12" t="s">
        <v>199</v>
      </c>
      <c r="L2243" s="14"/>
      <c r="M2243" s="12" t="s">
        <v>43</v>
      </c>
      <c r="N2243" s="12" t="s">
        <v>84</v>
      </c>
      <c r="O2243" s="12" t="s">
        <v>8431</v>
      </c>
      <c r="P2243" s="12" t="s">
        <v>66</v>
      </c>
      <c r="Q2243" s="12" t="s">
        <v>233</v>
      </c>
      <c r="R2243" s="12" t="s">
        <v>361</v>
      </c>
      <c r="S2243" s="13">
        <v>197804580156</v>
      </c>
      <c r="T2243" s="12" t="s">
        <v>235</v>
      </c>
      <c r="U2243" s="13">
        <v>33</v>
      </c>
      <c r="V2243" s="12" t="s">
        <v>665</v>
      </c>
      <c r="W2243" s="12" t="s">
        <v>284</v>
      </c>
      <c r="X2243" s="14"/>
      <c r="Y2243" s="14"/>
      <c r="Z2243" s="14"/>
      <c r="AA2243" s="14"/>
      <c r="AB2243" s="14"/>
      <c r="AC2243" s="15">
        <v>40.950000000000003</v>
      </c>
      <c r="AD2243" s="15">
        <f>AC2243*AG2243</f>
        <v>81.900000000000006</v>
      </c>
      <c r="AE2243" s="15">
        <v>90</v>
      </c>
      <c r="AF2243" s="15">
        <f>AE2243*AG2243</f>
        <v>180</v>
      </c>
      <c r="AG2243" s="16">
        <v>2</v>
      </c>
    </row>
    <row r="2244" spans="1:33" ht="15" customHeight="1" x14ac:dyDescent="0.2">
      <c r="A2244" s="11" t="str">
        <f t="shared" si="920"/>
        <v>VN000PH8CDX1</v>
      </c>
      <c r="B2244" s="12" t="s">
        <v>8432</v>
      </c>
      <c r="C2244" s="12" t="s">
        <v>6816</v>
      </c>
      <c r="D2244" s="12" t="s">
        <v>760</v>
      </c>
      <c r="E2244" s="12" t="s">
        <v>8433</v>
      </c>
      <c r="F2244" s="13">
        <v>34</v>
      </c>
      <c r="G2244" s="14"/>
      <c r="H2244" s="12" t="s">
        <v>61</v>
      </c>
      <c r="I2244" s="12" t="s">
        <v>230</v>
      </c>
      <c r="J2244" s="12" t="s">
        <v>231</v>
      </c>
      <c r="K2244" s="12" t="s">
        <v>199</v>
      </c>
      <c r="L2244" s="14"/>
      <c r="M2244" s="12" t="s">
        <v>43</v>
      </c>
      <c r="N2244" s="12" t="s">
        <v>84</v>
      </c>
      <c r="O2244" s="12" t="s">
        <v>8434</v>
      </c>
      <c r="P2244" s="12" t="s">
        <v>66</v>
      </c>
      <c r="Q2244" s="12" t="s">
        <v>233</v>
      </c>
      <c r="R2244" s="12" t="s">
        <v>361</v>
      </c>
      <c r="S2244" s="13">
        <v>197804580286</v>
      </c>
      <c r="T2244" s="12" t="s">
        <v>235</v>
      </c>
      <c r="U2244" s="13">
        <v>34</v>
      </c>
      <c r="V2244" s="12" t="s">
        <v>665</v>
      </c>
      <c r="W2244" s="12" t="s">
        <v>284</v>
      </c>
      <c r="X2244" s="14"/>
      <c r="Y2244" s="14"/>
      <c r="Z2244" s="14"/>
      <c r="AA2244" s="14"/>
      <c r="AB2244" s="14"/>
      <c r="AC2244" s="15">
        <v>40.950000000000003</v>
      </c>
      <c r="AD2244" s="15">
        <f>AC2244*AG2244</f>
        <v>81.900000000000006</v>
      </c>
      <c r="AE2244" s="15">
        <v>90</v>
      </c>
      <c r="AF2244" s="15">
        <f>AE2244*AG2244</f>
        <v>180</v>
      </c>
      <c r="AG2244" s="16">
        <v>2</v>
      </c>
    </row>
    <row r="2245" spans="1:33" ht="15" customHeight="1" x14ac:dyDescent="0.2">
      <c r="A2245" s="11" t="str">
        <f>HYPERLINK("https://assets.vans.eu/images/VN000PHPAFM-HERO/1","VN000PHPAFM1")</f>
        <v>VN000PHPAFM1</v>
      </c>
      <c r="B2245" s="12" t="s">
        <v>8435</v>
      </c>
      <c r="C2245" s="12" t="s">
        <v>1281</v>
      </c>
      <c r="D2245" s="12" t="s">
        <v>2373</v>
      </c>
      <c r="E2245" s="12" t="s">
        <v>8436</v>
      </c>
      <c r="F2245" s="13">
        <v>30</v>
      </c>
      <c r="G2245" s="14"/>
      <c r="H2245" s="12" t="s">
        <v>61</v>
      </c>
      <c r="I2245" s="12" t="s">
        <v>230</v>
      </c>
      <c r="J2245" s="12" t="s">
        <v>231</v>
      </c>
      <c r="K2245" s="12" t="s">
        <v>199</v>
      </c>
      <c r="L2245" s="14"/>
      <c r="M2245" s="12" t="s">
        <v>43</v>
      </c>
      <c r="N2245" s="12" t="s">
        <v>84</v>
      </c>
      <c r="O2245" s="12" t="s">
        <v>8437</v>
      </c>
      <c r="P2245" s="12" t="s">
        <v>66</v>
      </c>
      <c r="Q2245" s="12" t="s">
        <v>233</v>
      </c>
      <c r="R2245" s="12" t="s">
        <v>361</v>
      </c>
      <c r="S2245" s="13">
        <v>197804656165</v>
      </c>
      <c r="T2245" s="12" t="s">
        <v>235</v>
      </c>
      <c r="U2245" s="13">
        <v>30</v>
      </c>
      <c r="V2245" s="12" t="s">
        <v>665</v>
      </c>
      <c r="W2245" s="12" t="s">
        <v>51</v>
      </c>
      <c r="X2245" s="14"/>
      <c r="Y2245" s="14"/>
      <c r="Z2245" s="14"/>
      <c r="AA2245" s="14"/>
      <c r="AB2245" s="14"/>
      <c r="AC2245" s="15">
        <v>36.4</v>
      </c>
      <c r="AD2245" s="15">
        <f>AC2245*AG2245</f>
        <v>72.8</v>
      </c>
      <c r="AE2245" s="15">
        <v>80</v>
      </c>
      <c r="AF2245" s="15">
        <f>AE2245*AG2245</f>
        <v>160</v>
      </c>
      <c r="AG2245" s="16">
        <v>2</v>
      </c>
    </row>
    <row r="2246" spans="1:33" ht="15" customHeight="1" x14ac:dyDescent="0.2">
      <c r="A2246" s="11" t="str">
        <f t="shared" si="717"/>
        <v>VN000PJ7BLK1</v>
      </c>
      <c r="B2246" s="12" t="s">
        <v>8438</v>
      </c>
      <c r="C2246" s="12" t="s">
        <v>6645</v>
      </c>
      <c r="D2246" s="12" t="s">
        <v>76</v>
      </c>
      <c r="E2246" s="12" t="s">
        <v>8439</v>
      </c>
      <c r="F2246" s="12" t="s">
        <v>179</v>
      </c>
      <c r="G2246" s="14"/>
      <c r="H2246" s="12" t="s">
        <v>61</v>
      </c>
      <c r="I2246" s="12" t="s">
        <v>230</v>
      </c>
      <c r="J2246" s="12" t="s">
        <v>762</v>
      </c>
      <c r="K2246" s="12" t="s">
        <v>199</v>
      </c>
      <c r="L2246" s="14"/>
      <c r="M2246" s="12" t="s">
        <v>43</v>
      </c>
      <c r="N2246" s="12" t="s">
        <v>84</v>
      </c>
      <c r="O2246" s="12" t="s">
        <v>8440</v>
      </c>
      <c r="P2246" s="12" t="s">
        <v>66</v>
      </c>
      <c r="Q2246" s="12" t="s">
        <v>764</v>
      </c>
      <c r="R2246" s="12" t="s">
        <v>765</v>
      </c>
      <c r="S2246" s="13">
        <v>197804359103</v>
      </c>
      <c r="T2246" s="12" t="s">
        <v>235</v>
      </c>
      <c r="U2246" s="12" t="s">
        <v>179</v>
      </c>
      <c r="V2246" s="12" t="s">
        <v>90</v>
      </c>
      <c r="W2246" s="12" t="s">
        <v>51</v>
      </c>
      <c r="X2246" s="14"/>
      <c r="Y2246" s="14"/>
      <c r="Z2246" s="14"/>
      <c r="AA2246" s="14"/>
      <c r="AB2246" s="14"/>
      <c r="AC2246" s="15">
        <v>113.65</v>
      </c>
      <c r="AD2246" s="15">
        <f>AC2246*AG2246</f>
        <v>227.3</v>
      </c>
      <c r="AE2246" s="15">
        <v>250</v>
      </c>
      <c r="AF2246" s="15">
        <f>AE2246*AG2246</f>
        <v>500</v>
      </c>
      <c r="AG2246" s="16">
        <v>2</v>
      </c>
    </row>
    <row r="2247" spans="1:33" ht="15" customHeight="1" x14ac:dyDescent="0.2">
      <c r="A2247" s="11" t="str">
        <f t="shared" ref="A2247:A2248" si="921">HYPERLINK("https://assets.vans.eu/images/VN000PJ7BLK-HERO/1","VN000PJ7BLK1")</f>
        <v>VN000PJ7BLK1</v>
      </c>
      <c r="B2247" s="12" t="s">
        <v>8441</v>
      </c>
      <c r="C2247" s="12" t="s">
        <v>6645</v>
      </c>
      <c r="D2247" s="12" t="s">
        <v>76</v>
      </c>
      <c r="E2247" s="12" t="s">
        <v>8442</v>
      </c>
      <c r="F2247" s="12" t="s">
        <v>170</v>
      </c>
      <c r="G2247" s="14"/>
      <c r="H2247" s="12" t="s">
        <v>61</v>
      </c>
      <c r="I2247" s="12" t="s">
        <v>230</v>
      </c>
      <c r="J2247" s="12" t="s">
        <v>762</v>
      </c>
      <c r="K2247" s="12" t="s">
        <v>199</v>
      </c>
      <c r="L2247" s="14"/>
      <c r="M2247" s="12" t="s">
        <v>43</v>
      </c>
      <c r="N2247" s="12" t="s">
        <v>84</v>
      </c>
      <c r="O2247" s="12" t="s">
        <v>8443</v>
      </c>
      <c r="P2247" s="12" t="s">
        <v>66</v>
      </c>
      <c r="Q2247" s="12" t="s">
        <v>764</v>
      </c>
      <c r="R2247" s="12" t="s">
        <v>765</v>
      </c>
      <c r="S2247" s="13">
        <v>197804359202</v>
      </c>
      <c r="T2247" s="12" t="s">
        <v>235</v>
      </c>
      <c r="U2247" s="12" t="s">
        <v>170</v>
      </c>
      <c r="V2247" s="12" t="s">
        <v>90</v>
      </c>
      <c r="W2247" s="12" t="s">
        <v>51</v>
      </c>
      <c r="X2247" s="14"/>
      <c r="Y2247" s="14"/>
      <c r="Z2247" s="14"/>
      <c r="AA2247" s="14"/>
      <c r="AB2247" s="14"/>
      <c r="AC2247" s="15">
        <v>113.65</v>
      </c>
      <c r="AD2247" s="15">
        <f>AC2247*AG2247</f>
        <v>227.3</v>
      </c>
      <c r="AE2247" s="15">
        <v>250</v>
      </c>
      <c r="AF2247" s="15">
        <f>AE2247*AG2247</f>
        <v>500</v>
      </c>
      <c r="AG2247" s="16">
        <v>2</v>
      </c>
    </row>
    <row r="2248" spans="1:33" ht="15" customHeight="1" x14ac:dyDescent="0.2">
      <c r="A2248" s="11" t="str">
        <f t="shared" si="921"/>
        <v>VN000PJ7BLK1</v>
      </c>
      <c r="B2248" s="12" t="s">
        <v>8444</v>
      </c>
      <c r="C2248" s="12" t="s">
        <v>6645</v>
      </c>
      <c r="D2248" s="12" t="s">
        <v>76</v>
      </c>
      <c r="E2248" s="12" t="s">
        <v>8445</v>
      </c>
      <c r="F2248" s="12" t="s">
        <v>403</v>
      </c>
      <c r="G2248" s="14"/>
      <c r="H2248" s="12" t="s">
        <v>61</v>
      </c>
      <c r="I2248" s="12" t="s">
        <v>230</v>
      </c>
      <c r="J2248" s="12" t="s">
        <v>762</v>
      </c>
      <c r="K2248" s="12" t="s">
        <v>199</v>
      </c>
      <c r="L2248" s="14"/>
      <c r="M2248" s="12" t="s">
        <v>43</v>
      </c>
      <c r="N2248" s="12" t="s">
        <v>84</v>
      </c>
      <c r="O2248" s="12" t="s">
        <v>8446</v>
      </c>
      <c r="P2248" s="12" t="s">
        <v>66</v>
      </c>
      <c r="Q2248" s="12" t="s">
        <v>764</v>
      </c>
      <c r="R2248" s="12" t="s">
        <v>765</v>
      </c>
      <c r="S2248" s="13">
        <v>197804359295</v>
      </c>
      <c r="T2248" s="12" t="s">
        <v>235</v>
      </c>
      <c r="U2248" s="12" t="s">
        <v>403</v>
      </c>
      <c r="V2248" s="12" t="s">
        <v>90</v>
      </c>
      <c r="W2248" s="12" t="s">
        <v>51</v>
      </c>
      <c r="X2248" s="14"/>
      <c r="Y2248" s="14"/>
      <c r="Z2248" s="14"/>
      <c r="AA2248" s="14"/>
      <c r="AB2248" s="14"/>
      <c r="AC2248" s="15">
        <v>113.65</v>
      </c>
      <c r="AD2248" s="15">
        <f>AC2248*AG2248</f>
        <v>227.3</v>
      </c>
      <c r="AE2248" s="15">
        <v>250</v>
      </c>
      <c r="AF2248" s="15">
        <f>AE2248*AG2248</f>
        <v>500</v>
      </c>
      <c r="AG2248" s="16">
        <v>2</v>
      </c>
    </row>
    <row r="2249" spans="1:33" ht="15" customHeight="1" x14ac:dyDescent="0.2">
      <c r="A2249" s="11" t="str">
        <f>HYPERLINK("https://assets.vans.eu/images/VN000PJ7KCZ-HERO/1","VN000PJ7KCZ1")</f>
        <v>VN000PJ7KCZ1</v>
      </c>
      <c r="B2249" s="12" t="s">
        <v>8447</v>
      </c>
      <c r="C2249" s="12" t="s">
        <v>6645</v>
      </c>
      <c r="D2249" s="12" t="s">
        <v>1109</v>
      </c>
      <c r="E2249" s="12" t="s">
        <v>8448</v>
      </c>
      <c r="F2249" s="12" t="s">
        <v>179</v>
      </c>
      <c r="G2249" s="14"/>
      <c r="H2249" s="12" t="s">
        <v>61</v>
      </c>
      <c r="I2249" s="12" t="s">
        <v>230</v>
      </c>
      <c r="J2249" s="12" t="s">
        <v>762</v>
      </c>
      <c r="K2249" s="12" t="s">
        <v>199</v>
      </c>
      <c r="L2249" s="14"/>
      <c r="M2249" s="12" t="s">
        <v>43</v>
      </c>
      <c r="N2249" s="12" t="s">
        <v>84</v>
      </c>
      <c r="O2249" s="12" t="s">
        <v>8449</v>
      </c>
      <c r="P2249" s="12" t="s">
        <v>66</v>
      </c>
      <c r="Q2249" s="12" t="s">
        <v>764</v>
      </c>
      <c r="R2249" s="12" t="s">
        <v>765</v>
      </c>
      <c r="S2249" s="13">
        <v>197804359141</v>
      </c>
      <c r="T2249" s="12" t="s">
        <v>235</v>
      </c>
      <c r="U2249" s="12" t="s">
        <v>179</v>
      </c>
      <c r="V2249" s="12" t="s">
        <v>90</v>
      </c>
      <c r="W2249" s="12" t="s">
        <v>118</v>
      </c>
      <c r="X2249" s="14"/>
      <c r="Y2249" s="14"/>
      <c r="Z2249" s="14"/>
      <c r="AA2249" s="14"/>
      <c r="AB2249" s="14"/>
      <c r="AC2249" s="15">
        <v>113.65</v>
      </c>
      <c r="AD2249" s="15">
        <f>AC2249*AG2249</f>
        <v>227.3</v>
      </c>
      <c r="AE2249" s="15">
        <v>250</v>
      </c>
      <c r="AF2249" s="15">
        <f>AE2249*AG2249</f>
        <v>500</v>
      </c>
      <c r="AG2249" s="16">
        <v>2</v>
      </c>
    </row>
    <row r="2250" spans="1:33" ht="15" customHeight="1" x14ac:dyDescent="0.2">
      <c r="A2250" s="11" t="str">
        <f>HYPERLINK("https://assets.vans.eu/images/VN000PJHLKZ-HERO/1","VN000PJHLKZ1")</f>
        <v>VN000PJHLKZ1</v>
      </c>
      <c r="B2250" s="12" t="s">
        <v>8450</v>
      </c>
      <c r="C2250" s="12" t="s">
        <v>8451</v>
      </c>
      <c r="D2250" s="12" t="s">
        <v>1213</v>
      </c>
      <c r="E2250" s="12" t="s">
        <v>8452</v>
      </c>
      <c r="F2250" s="12" t="s">
        <v>403</v>
      </c>
      <c r="G2250" s="14"/>
      <c r="H2250" s="12" t="s">
        <v>61</v>
      </c>
      <c r="I2250" s="12" t="s">
        <v>230</v>
      </c>
      <c r="J2250" s="12" t="s">
        <v>419</v>
      </c>
      <c r="K2250" s="12" t="s">
        <v>199</v>
      </c>
      <c r="L2250" s="14"/>
      <c r="M2250" s="12" t="s">
        <v>43</v>
      </c>
      <c r="N2250" s="12" t="s">
        <v>84</v>
      </c>
      <c r="O2250" s="12" t="s">
        <v>8453</v>
      </c>
      <c r="P2250" s="12" t="s">
        <v>66</v>
      </c>
      <c r="Q2250" s="12" t="s">
        <v>67</v>
      </c>
      <c r="R2250" s="12" t="s">
        <v>1500</v>
      </c>
      <c r="S2250" s="13">
        <v>197804359929</v>
      </c>
      <c r="T2250" s="12" t="s">
        <v>49</v>
      </c>
      <c r="U2250" s="12" t="s">
        <v>403</v>
      </c>
      <c r="V2250" s="12" t="s">
        <v>90</v>
      </c>
      <c r="W2250" s="12" t="s">
        <v>284</v>
      </c>
      <c r="X2250" s="14"/>
      <c r="Y2250" s="14"/>
      <c r="Z2250" s="14"/>
      <c r="AA2250" s="14"/>
      <c r="AB2250" s="14"/>
      <c r="AC2250" s="15">
        <v>25</v>
      </c>
      <c r="AD2250" s="15">
        <f>AC2250*AG2250</f>
        <v>50</v>
      </c>
      <c r="AE2250" s="15">
        <v>55</v>
      </c>
      <c r="AF2250" s="15">
        <f>AE2250*AG2250</f>
        <v>110</v>
      </c>
      <c r="AG2250" s="16">
        <v>2</v>
      </c>
    </row>
    <row r="2251" spans="1:33" ht="15" customHeight="1" x14ac:dyDescent="0.2">
      <c r="A2251" s="11" t="str">
        <f t="shared" ref="A2251:A2253" si="922">HYPERLINK("https://assets.vans.eu/images/VN000PJMZBF-HERO/1","VN000PJMZBF1")</f>
        <v>VN000PJMZBF1</v>
      </c>
      <c r="B2251" s="12" t="s">
        <v>8454</v>
      </c>
      <c r="C2251" s="12" t="s">
        <v>5429</v>
      </c>
      <c r="D2251" s="12" t="s">
        <v>680</v>
      </c>
      <c r="E2251" s="12" t="s">
        <v>8455</v>
      </c>
      <c r="F2251" s="12" t="s">
        <v>170</v>
      </c>
      <c r="G2251" s="14"/>
      <c r="H2251" s="12" t="s">
        <v>61</v>
      </c>
      <c r="I2251" s="12" t="s">
        <v>230</v>
      </c>
      <c r="J2251" s="12" t="s">
        <v>419</v>
      </c>
      <c r="K2251" s="12" t="s">
        <v>199</v>
      </c>
      <c r="L2251" s="14"/>
      <c r="M2251" s="12" t="s">
        <v>43</v>
      </c>
      <c r="N2251" s="12" t="s">
        <v>84</v>
      </c>
      <c r="O2251" s="12" t="s">
        <v>8456</v>
      </c>
      <c r="P2251" s="12" t="s">
        <v>66</v>
      </c>
      <c r="Q2251" s="12" t="s">
        <v>67</v>
      </c>
      <c r="R2251" s="12" t="s">
        <v>623</v>
      </c>
      <c r="S2251" s="13">
        <v>197804359981</v>
      </c>
      <c r="T2251" s="12" t="s">
        <v>49</v>
      </c>
      <c r="U2251" s="12" t="s">
        <v>170</v>
      </c>
      <c r="V2251" s="12" t="s">
        <v>1726</v>
      </c>
      <c r="W2251" s="12" t="s">
        <v>118</v>
      </c>
      <c r="X2251" s="14"/>
      <c r="Y2251" s="14"/>
      <c r="Z2251" s="14"/>
      <c r="AA2251" s="14"/>
      <c r="AB2251" s="14"/>
      <c r="AC2251" s="15">
        <v>43.2</v>
      </c>
      <c r="AD2251" s="15">
        <f>AC2251*AG2251</f>
        <v>86.4</v>
      </c>
      <c r="AE2251" s="15">
        <v>95</v>
      </c>
      <c r="AF2251" s="15">
        <f>AE2251*AG2251</f>
        <v>190</v>
      </c>
      <c r="AG2251" s="16">
        <v>2</v>
      </c>
    </row>
    <row r="2252" spans="1:33" ht="15" customHeight="1" x14ac:dyDescent="0.2">
      <c r="A2252" s="11" t="str">
        <f t="shared" si="922"/>
        <v>VN000PJMZBF1</v>
      </c>
      <c r="B2252" s="12" t="s">
        <v>8457</v>
      </c>
      <c r="C2252" s="12" t="s">
        <v>5429</v>
      </c>
      <c r="D2252" s="12" t="s">
        <v>680</v>
      </c>
      <c r="E2252" s="12" t="s">
        <v>8458</v>
      </c>
      <c r="F2252" s="12" t="s">
        <v>403</v>
      </c>
      <c r="G2252" s="14"/>
      <c r="H2252" s="12" t="s">
        <v>61</v>
      </c>
      <c r="I2252" s="12" t="s">
        <v>230</v>
      </c>
      <c r="J2252" s="12" t="s">
        <v>419</v>
      </c>
      <c r="K2252" s="12" t="s">
        <v>199</v>
      </c>
      <c r="L2252" s="14"/>
      <c r="M2252" s="12" t="s">
        <v>43</v>
      </c>
      <c r="N2252" s="12" t="s">
        <v>84</v>
      </c>
      <c r="O2252" s="12" t="s">
        <v>8459</v>
      </c>
      <c r="P2252" s="12" t="s">
        <v>66</v>
      </c>
      <c r="Q2252" s="12" t="s">
        <v>67</v>
      </c>
      <c r="R2252" s="12" t="s">
        <v>623</v>
      </c>
      <c r="S2252" s="13">
        <v>197804360024</v>
      </c>
      <c r="T2252" s="12" t="s">
        <v>49</v>
      </c>
      <c r="U2252" s="12" t="s">
        <v>403</v>
      </c>
      <c r="V2252" s="12" t="s">
        <v>1726</v>
      </c>
      <c r="W2252" s="12" t="s">
        <v>118</v>
      </c>
      <c r="X2252" s="14"/>
      <c r="Y2252" s="14"/>
      <c r="Z2252" s="14"/>
      <c r="AA2252" s="14"/>
      <c r="AB2252" s="14"/>
      <c r="AC2252" s="15">
        <v>43.2</v>
      </c>
      <c r="AD2252" s="15">
        <f>AC2252*AG2252</f>
        <v>86.4</v>
      </c>
      <c r="AE2252" s="15">
        <v>95</v>
      </c>
      <c r="AF2252" s="15">
        <f>AE2252*AG2252</f>
        <v>190</v>
      </c>
      <c r="AG2252" s="16">
        <v>2</v>
      </c>
    </row>
    <row r="2253" spans="1:33" ht="15" customHeight="1" x14ac:dyDescent="0.2">
      <c r="A2253" s="11" t="str">
        <f t="shared" si="922"/>
        <v>VN000PJMZBF1</v>
      </c>
      <c r="B2253" s="12" t="s">
        <v>8460</v>
      </c>
      <c r="C2253" s="12" t="s">
        <v>5429</v>
      </c>
      <c r="D2253" s="12" t="s">
        <v>680</v>
      </c>
      <c r="E2253" s="12" t="s">
        <v>8461</v>
      </c>
      <c r="F2253" s="12" t="s">
        <v>60</v>
      </c>
      <c r="G2253" s="14"/>
      <c r="H2253" s="12" t="s">
        <v>61</v>
      </c>
      <c r="I2253" s="12" t="s">
        <v>230</v>
      </c>
      <c r="J2253" s="12" t="s">
        <v>419</v>
      </c>
      <c r="K2253" s="12" t="s">
        <v>199</v>
      </c>
      <c r="L2253" s="14"/>
      <c r="M2253" s="12" t="s">
        <v>43</v>
      </c>
      <c r="N2253" s="12" t="s">
        <v>84</v>
      </c>
      <c r="O2253" s="12" t="s">
        <v>8462</v>
      </c>
      <c r="P2253" s="12" t="s">
        <v>66</v>
      </c>
      <c r="Q2253" s="12" t="s">
        <v>67</v>
      </c>
      <c r="R2253" s="12" t="s">
        <v>623</v>
      </c>
      <c r="S2253" s="13">
        <v>197804360055</v>
      </c>
      <c r="T2253" s="12" t="s">
        <v>49</v>
      </c>
      <c r="U2253" s="12" t="s">
        <v>60</v>
      </c>
      <c r="V2253" s="12" t="s">
        <v>1726</v>
      </c>
      <c r="W2253" s="12" t="s">
        <v>118</v>
      </c>
      <c r="X2253" s="14"/>
      <c r="Y2253" s="14"/>
      <c r="Z2253" s="14"/>
      <c r="AA2253" s="14"/>
      <c r="AB2253" s="14"/>
      <c r="AC2253" s="15">
        <v>43.2</v>
      </c>
      <c r="AD2253" s="15">
        <f>AC2253*AG2253</f>
        <v>86.4</v>
      </c>
      <c r="AE2253" s="15">
        <v>95</v>
      </c>
      <c r="AF2253" s="15">
        <f>AE2253*AG2253</f>
        <v>190</v>
      </c>
      <c r="AG2253" s="16">
        <v>2</v>
      </c>
    </row>
    <row r="2254" spans="1:33" ht="15" customHeight="1" x14ac:dyDescent="0.2">
      <c r="A2254" s="11" t="str">
        <f t="shared" ref="A2254:A3416" si="923">HYPERLINK("https://assets.vans.eu/images/VN000PJR3N1-HERO/1","VN000PJR3N11")</f>
        <v>VN000PJR3N11</v>
      </c>
      <c r="B2254" s="12" t="s">
        <v>8463</v>
      </c>
      <c r="C2254" s="12" t="s">
        <v>8464</v>
      </c>
      <c r="D2254" s="12" t="s">
        <v>2961</v>
      </c>
      <c r="E2254" s="12" t="s">
        <v>8465</v>
      </c>
      <c r="F2254" s="12" t="s">
        <v>60</v>
      </c>
      <c r="G2254" s="14"/>
      <c r="H2254" s="12" t="s">
        <v>61</v>
      </c>
      <c r="I2254" s="12" t="s">
        <v>230</v>
      </c>
      <c r="J2254" s="12" t="s">
        <v>419</v>
      </c>
      <c r="K2254" s="12" t="s">
        <v>199</v>
      </c>
      <c r="L2254" s="14"/>
      <c r="M2254" s="12" t="s">
        <v>43</v>
      </c>
      <c r="N2254" s="12" t="s">
        <v>84</v>
      </c>
      <c r="O2254" s="12" t="s">
        <v>8466</v>
      </c>
      <c r="P2254" s="12" t="s">
        <v>66</v>
      </c>
      <c r="Q2254" s="12" t="s">
        <v>67</v>
      </c>
      <c r="R2254" s="12" t="s">
        <v>623</v>
      </c>
      <c r="S2254" s="13">
        <v>197804360345</v>
      </c>
      <c r="T2254" s="12" t="s">
        <v>49</v>
      </c>
      <c r="U2254" s="12" t="s">
        <v>60</v>
      </c>
      <c r="V2254" s="12" t="s">
        <v>1726</v>
      </c>
      <c r="W2254" s="12" t="s">
        <v>186</v>
      </c>
      <c r="X2254" s="14"/>
      <c r="Y2254" s="14"/>
      <c r="Z2254" s="14"/>
      <c r="AA2254" s="14"/>
      <c r="AB2254" s="14"/>
      <c r="AC2254" s="15">
        <v>40.950000000000003</v>
      </c>
      <c r="AD2254" s="15">
        <f>AC2254*AG2254</f>
        <v>81.900000000000006</v>
      </c>
      <c r="AE2254" s="15">
        <v>90</v>
      </c>
      <c r="AF2254" s="15">
        <f>AE2254*AG2254</f>
        <v>180</v>
      </c>
      <c r="AG2254" s="16">
        <v>2</v>
      </c>
    </row>
    <row r="2255" spans="1:33" ht="15" customHeight="1" x14ac:dyDescent="0.2">
      <c r="A2255" s="11" t="str">
        <f t="shared" si="719"/>
        <v>VN000PJSBLK1</v>
      </c>
      <c r="B2255" s="12" t="s">
        <v>8467</v>
      </c>
      <c r="C2255" s="12" t="s">
        <v>4720</v>
      </c>
      <c r="D2255" s="12" t="s">
        <v>76</v>
      </c>
      <c r="E2255" s="12" t="s">
        <v>8468</v>
      </c>
      <c r="F2255" s="12" t="s">
        <v>179</v>
      </c>
      <c r="G2255" s="14"/>
      <c r="H2255" s="12" t="s">
        <v>61</v>
      </c>
      <c r="I2255" s="12" t="s">
        <v>230</v>
      </c>
      <c r="J2255" s="12" t="s">
        <v>419</v>
      </c>
      <c r="K2255" s="12" t="s">
        <v>199</v>
      </c>
      <c r="L2255" s="14"/>
      <c r="M2255" s="12" t="s">
        <v>43</v>
      </c>
      <c r="N2255" s="12" t="s">
        <v>84</v>
      </c>
      <c r="O2255" s="12" t="s">
        <v>8469</v>
      </c>
      <c r="P2255" s="12" t="s">
        <v>66</v>
      </c>
      <c r="Q2255" s="12" t="s">
        <v>67</v>
      </c>
      <c r="R2255" s="12" t="s">
        <v>421</v>
      </c>
      <c r="S2255" s="13">
        <v>197804359875</v>
      </c>
      <c r="T2255" s="12" t="s">
        <v>49</v>
      </c>
      <c r="U2255" s="12" t="s">
        <v>179</v>
      </c>
      <c r="V2255" s="12" t="s">
        <v>665</v>
      </c>
      <c r="W2255" s="12" t="s">
        <v>51</v>
      </c>
      <c r="X2255" s="14"/>
      <c r="Y2255" s="14"/>
      <c r="Z2255" s="14"/>
      <c r="AA2255" s="14"/>
      <c r="AB2255" s="14"/>
      <c r="AC2255" s="15">
        <v>22.75</v>
      </c>
      <c r="AD2255" s="15">
        <f>AC2255*AG2255</f>
        <v>45.5</v>
      </c>
      <c r="AE2255" s="15">
        <v>50</v>
      </c>
      <c r="AF2255" s="15">
        <f>AE2255*AG2255</f>
        <v>100</v>
      </c>
      <c r="AG2255" s="16">
        <v>2</v>
      </c>
    </row>
    <row r="2256" spans="1:33" ht="15" customHeight="1" x14ac:dyDescent="0.2">
      <c r="A2256" s="11" t="str">
        <f t="shared" si="720"/>
        <v>VN000PJSD3Z1</v>
      </c>
      <c r="B2256" s="12" t="s">
        <v>8470</v>
      </c>
      <c r="C2256" s="12" t="s">
        <v>4720</v>
      </c>
      <c r="D2256" s="12" t="s">
        <v>4721</v>
      </c>
      <c r="E2256" s="12" t="s">
        <v>8471</v>
      </c>
      <c r="F2256" s="12" t="s">
        <v>153</v>
      </c>
      <c r="G2256" s="14"/>
      <c r="H2256" s="12" t="s">
        <v>61</v>
      </c>
      <c r="I2256" s="12" t="s">
        <v>230</v>
      </c>
      <c r="J2256" s="12" t="s">
        <v>419</v>
      </c>
      <c r="K2256" s="12" t="s">
        <v>199</v>
      </c>
      <c r="L2256" s="14"/>
      <c r="M2256" s="12" t="s">
        <v>43</v>
      </c>
      <c r="N2256" s="12" t="s">
        <v>84</v>
      </c>
      <c r="O2256" s="12" t="s">
        <v>8472</v>
      </c>
      <c r="P2256" s="12" t="s">
        <v>66</v>
      </c>
      <c r="Q2256" s="12" t="s">
        <v>67</v>
      </c>
      <c r="R2256" s="12" t="s">
        <v>421</v>
      </c>
      <c r="S2256" s="13">
        <v>197804360604</v>
      </c>
      <c r="T2256" s="12" t="s">
        <v>49</v>
      </c>
      <c r="U2256" s="12" t="s">
        <v>153</v>
      </c>
      <c r="V2256" s="12" t="s">
        <v>665</v>
      </c>
      <c r="W2256" s="12" t="s">
        <v>118</v>
      </c>
      <c r="X2256" s="14"/>
      <c r="Y2256" s="14"/>
      <c r="Z2256" s="14"/>
      <c r="AA2256" s="14"/>
      <c r="AB2256" s="14"/>
      <c r="AC2256" s="15">
        <v>22.75</v>
      </c>
      <c r="AD2256" s="15">
        <f>AC2256*AG2256</f>
        <v>45.5</v>
      </c>
      <c r="AE2256" s="15">
        <v>50</v>
      </c>
      <c r="AF2256" s="15">
        <f>AE2256*AG2256</f>
        <v>100</v>
      </c>
      <c r="AG2256" s="16">
        <v>2</v>
      </c>
    </row>
    <row r="2257" spans="1:33" ht="15" customHeight="1" x14ac:dyDescent="0.2">
      <c r="A2257" s="11" t="str">
        <f>HYPERLINK("https://assets.vans.eu/images/VN000PJTC9F-HERO/1","VN000PJTC9F1")</f>
        <v>VN000PJTC9F1</v>
      </c>
      <c r="B2257" s="12" t="s">
        <v>8473</v>
      </c>
      <c r="C2257" s="12" t="s">
        <v>8474</v>
      </c>
      <c r="D2257" s="12" t="s">
        <v>2056</v>
      </c>
      <c r="E2257" s="12" t="s">
        <v>8475</v>
      </c>
      <c r="F2257" s="12" t="s">
        <v>621</v>
      </c>
      <c r="G2257" s="14"/>
      <c r="H2257" s="12" t="s">
        <v>61</v>
      </c>
      <c r="I2257" s="12" t="s">
        <v>230</v>
      </c>
      <c r="J2257" s="12" t="s">
        <v>419</v>
      </c>
      <c r="K2257" s="12" t="s">
        <v>199</v>
      </c>
      <c r="L2257" s="14"/>
      <c r="M2257" s="12" t="s">
        <v>43</v>
      </c>
      <c r="N2257" s="12" t="s">
        <v>84</v>
      </c>
      <c r="O2257" s="12" t="s">
        <v>8476</v>
      </c>
      <c r="P2257" s="12" t="s">
        <v>66</v>
      </c>
      <c r="Q2257" s="12" t="s">
        <v>67</v>
      </c>
      <c r="R2257" s="12" t="s">
        <v>421</v>
      </c>
      <c r="S2257" s="13">
        <v>197804361038</v>
      </c>
      <c r="T2257" s="12" t="s">
        <v>49</v>
      </c>
      <c r="U2257" s="12" t="s">
        <v>621</v>
      </c>
      <c r="V2257" s="12" t="s">
        <v>665</v>
      </c>
      <c r="W2257" s="12" t="s">
        <v>175</v>
      </c>
      <c r="X2257" s="14"/>
      <c r="Y2257" s="14"/>
      <c r="Z2257" s="14"/>
      <c r="AA2257" s="14"/>
      <c r="AB2257" s="14"/>
      <c r="AC2257" s="15">
        <v>22.75</v>
      </c>
      <c r="AD2257" s="15">
        <f>AC2257*AG2257</f>
        <v>45.5</v>
      </c>
      <c r="AE2257" s="15">
        <v>50</v>
      </c>
      <c r="AF2257" s="15">
        <f>AE2257*AG2257</f>
        <v>100</v>
      </c>
      <c r="AG2257" s="16">
        <v>2</v>
      </c>
    </row>
    <row r="2258" spans="1:33" ht="15" customHeight="1" x14ac:dyDescent="0.2">
      <c r="A2258" s="11" t="str">
        <f t="shared" si="323"/>
        <v>VN000PJU7WM1</v>
      </c>
      <c r="B2258" s="12" t="s">
        <v>8477</v>
      </c>
      <c r="C2258" s="12" t="s">
        <v>3141</v>
      </c>
      <c r="D2258" s="12" t="s">
        <v>388</v>
      </c>
      <c r="E2258" s="12" t="s">
        <v>8478</v>
      </c>
      <c r="F2258" s="12" t="s">
        <v>170</v>
      </c>
      <c r="G2258" s="14"/>
      <c r="H2258" s="12" t="s">
        <v>61</v>
      </c>
      <c r="I2258" s="12" t="s">
        <v>230</v>
      </c>
      <c r="J2258" s="12" t="s">
        <v>419</v>
      </c>
      <c r="K2258" s="12" t="s">
        <v>199</v>
      </c>
      <c r="L2258" s="14"/>
      <c r="M2258" s="12" t="s">
        <v>43</v>
      </c>
      <c r="N2258" s="12" t="s">
        <v>84</v>
      </c>
      <c r="O2258" s="12" t="s">
        <v>8479</v>
      </c>
      <c r="P2258" s="12" t="s">
        <v>66</v>
      </c>
      <c r="Q2258" s="12" t="s">
        <v>67</v>
      </c>
      <c r="R2258" s="12" t="s">
        <v>421</v>
      </c>
      <c r="S2258" s="13">
        <v>197804360536</v>
      </c>
      <c r="T2258" s="12" t="s">
        <v>49</v>
      </c>
      <c r="U2258" s="12" t="s">
        <v>170</v>
      </c>
      <c r="V2258" s="12" t="s">
        <v>665</v>
      </c>
      <c r="W2258" s="12" t="s">
        <v>284</v>
      </c>
      <c r="X2258" s="14"/>
      <c r="Y2258" s="14"/>
      <c r="Z2258" s="14"/>
      <c r="AA2258" s="14"/>
      <c r="AB2258" s="14"/>
      <c r="AC2258" s="15">
        <v>22.75</v>
      </c>
      <c r="AD2258" s="15">
        <f>AC2258*AG2258</f>
        <v>45.5</v>
      </c>
      <c r="AE2258" s="15">
        <v>50</v>
      </c>
      <c r="AF2258" s="15">
        <f>AE2258*AG2258</f>
        <v>100</v>
      </c>
      <c r="AG2258" s="16">
        <v>2</v>
      </c>
    </row>
    <row r="2259" spans="1:33" ht="15" customHeight="1" x14ac:dyDescent="0.2">
      <c r="A2259" s="11" t="str">
        <f t="shared" ref="A2259:A2261" si="924">HYPERLINK("https://assets.vans.eu/images/VN000PJU7WM-HERO/1","VN000PJU7WM1")</f>
        <v>VN000PJU7WM1</v>
      </c>
      <c r="B2259" s="12" t="s">
        <v>8480</v>
      </c>
      <c r="C2259" s="12" t="s">
        <v>3141</v>
      </c>
      <c r="D2259" s="12" t="s">
        <v>388</v>
      </c>
      <c r="E2259" s="12" t="s">
        <v>8481</v>
      </c>
      <c r="F2259" s="12" t="s">
        <v>60</v>
      </c>
      <c r="G2259" s="14"/>
      <c r="H2259" s="12" t="s">
        <v>61</v>
      </c>
      <c r="I2259" s="12" t="s">
        <v>230</v>
      </c>
      <c r="J2259" s="12" t="s">
        <v>419</v>
      </c>
      <c r="K2259" s="12" t="s">
        <v>199</v>
      </c>
      <c r="L2259" s="14"/>
      <c r="M2259" s="12" t="s">
        <v>43</v>
      </c>
      <c r="N2259" s="12" t="s">
        <v>84</v>
      </c>
      <c r="O2259" s="12" t="s">
        <v>8482</v>
      </c>
      <c r="P2259" s="12" t="s">
        <v>66</v>
      </c>
      <c r="Q2259" s="12" t="s">
        <v>67</v>
      </c>
      <c r="R2259" s="12" t="s">
        <v>421</v>
      </c>
      <c r="S2259" s="13">
        <v>197804360864</v>
      </c>
      <c r="T2259" s="12" t="s">
        <v>49</v>
      </c>
      <c r="U2259" s="12" t="s">
        <v>60</v>
      </c>
      <c r="V2259" s="12" t="s">
        <v>665</v>
      </c>
      <c r="W2259" s="12" t="s">
        <v>284</v>
      </c>
      <c r="X2259" s="14"/>
      <c r="Y2259" s="14"/>
      <c r="Z2259" s="14"/>
      <c r="AA2259" s="14"/>
      <c r="AB2259" s="14"/>
      <c r="AC2259" s="15">
        <v>22.75</v>
      </c>
      <c r="AD2259" s="15">
        <f>AC2259*AG2259</f>
        <v>45.5</v>
      </c>
      <c r="AE2259" s="15">
        <v>50</v>
      </c>
      <c r="AF2259" s="15">
        <f>AE2259*AG2259</f>
        <v>100</v>
      </c>
      <c r="AG2259" s="16">
        <v>2</v>
      </c>
    </row>
    <row r="2260" spans="1:33" ht="15" customHeight="1" x14ac:dyDescent="0.2">
      <c r="A2260" s="11" t="str">
        <f t="shared" si="924"/>
        <v>VN000PJU7WM1</v>
      </c>
      <c r="B2260" s="12" t="s">
        <v>8483</v>
      </c>
      <c r="C2260" s="12" t="s">
        <v>3141</v>
      </c>
      <c r="D2260" s="12" t="s">
        <v>388</v>
      </c>
      <c r="E2260" s="12" t="s">
        <v>8484</v>
      </c>
      <c r="F2260" s="12" t="s">
        <v>153</v>
      </c>
      <c r="G2260" s="14"/>
      <c r="H2260" s="12" t="s">
        <v>61</v>
      </c>
      <c r="I2260" s="12" t="s">
        <v>230</v>
      </c>
      <c r="J2260" s="12" t="s">
        <v>419</v>
      </c>
      <c r="K2260" s="12" t="s">
        <v>199</v>
      </c>
      <c r="L2260" s="14"/>
      <c r="M2260" s="12" t="s">
        <v>43</v>
      </c>
      <c r="N2260" s="12" t="s">
        <v>84</v>
      </c>
      <c r="O2260" s="12" t="s">
        <v>8485</v>
      </c>
      <c r="P2260" s="12" t="s">
        <v>66</v>
      </c>
      <c r="Q2260" s="12" t="s">
        <v>67</v>
      </c>
      <c r="R2260" s="12" t="s">
        <v>421</v>
      </c>
      <c r="S2260" s="13">
        <v>197804361106</v>
      </c>
      <c r="T2260" s="12" t="s">
        <v>49</v>
      </c>
      <c r="U2260" s="12" t="s">
        <v>153</v>
      </c>
      <c r="V2260" s="12" t="s">
        <v>665</v>
      </c>
      <c r="W2260" s="12" t="s">
        <v>284</v>
      </c>
      <c r="X2260" s="14"/>
      <c r="Y2260" s="14"/>
      <c r="Z2260" s="14"/>
      <c r="AA2260" s="14"/>
      <c r="AB2260" s="14"/>
      <c r="AC2260" s="15">
        <v>22.75</v>
      </c>
      <c r="AD2260" s="15">
        <f>AC2260*AG2260</f>
        <v>45.5</v>
      </c>
      <c r="AE2260" s="15">
        <v>50</v>
      </c>
      <c r="AF2260" s="15">
        <f>AE2260*AG2260</f>
        <v>100</v>
      </c>
      <c r="AG2260" s="16">
        <v>2</v>
      </c>
    </row>
    <row r="2261" spans="1:33" ht="15" customHeight="1" x14ac:dyDescent="0.2">
      <c r="A2261" s="11" t="str">
        <f t="shared" si="924"/>
        <v>VN000PJU7WM1</v>
      </c>
      <c r="B2261" s="12" t="s">
        <v>8486</v>
      </c>
      <c r="C2261" s="12" t="s">
        <v>3141</v>
      </c>
      <c r="D2261" s="12" t="s">
        <v>388</v>
      </c>
      <c r="E2261" s="12" t="s">
        <v>8487</v>
      </c>
      <c r="F2261" s="12" t="s">
        <v>621</v>
      </c>
      <c r="G2261" s="14"/>
      <c r="H2261" s="12" t="s">
        <v>61</v>
      </c>
      <c r="I2261" s="12" t="s">
        <v>230</v>
      </c>
      <c r="J2261" s="12" t="s">
        <v>419</v>
      </c>
      <c r="K2261" s="12" t="s">
        <v>199</v>
      </c>
      <c r="L2261" s="14"/>
      <c r="M2261" s="12" t="s">
        <v>43</v>
      </c>
      <c r="N2261" s="12" t="s">
        <v>84</v>
      </c>
      <c r="O2261" s="12" t="s">
        <v>8488</v>
      </c>
      <c r="P2261" s="12" t="s">
        <v>66</v>
      </c>
      <c r="Q2261" s="12" t="s">
        <v>67</v>
      </c>
      <c r="R2261" s="12" t="s">
        <v>421</v>
      </c>
      <c r="S2261" s="13">
        <v>197804361144</v>
      </c>
      <c r="T2261" s="12" t="s">
        <v>49</v>
      </c>
      <c r="U2261" s="12" t="s">
        <v>621</v>
      </c>
      <c r="V2261" s="12" t="s">
        <v>665</v>
      </c>
      <c r="W2261" s="12" t="s">
        <v>284</v>
      </c>
      <c r="X2261" s="14"/>
      <c r="Y2261" s="14"/>
      <c r="Z2261" s="14"/>
      <c r="AA2261" s="14"/>
      <c r="AB2261" s="14"/>
      <c r="AC2261" s="15">
        <v>22.75</v>
      </c>
      <c r="AD2261" s="15">
        <f>AC2261*AG2261</f>
        <v>45.5</v>
      </c>
      <c r="AE2261" s="15">
        <v>50</v>
      </c>
      <c r="AF2261" s="15">
        <f>AE2261*AG2261</f>
        <v>100</v>
      </c>
      <c r="AG2261" s="16">
        <v>2</v>
      </c>
    </row>
    <row r="2262" spans="1:33" ht="15" customHeight="1" x14ac:dyDescent="0.2">
      <c r="A2262" s="11" t="str">
        <f t="shared" ref="A2262:A3423" si="925">HYPERLINK("https://assets.vans.eu/images/VN000PK0ZRY-HERO/1","VN000PK0ZRY1")</f>
        <v>VN000PK0ZRY1</v>
      </c>
      <c r="B2262" s="12" t="s">
        <v>8489</v>
      </c>
      <c r="C2262" s="12" t="s">
        <v>8490</v>
      </c>
      <c r="D2262" s="12" t="s">
        <v>1996</v>
      </c>
      <c r="E2262" s="12" t="s">
        <v>8491</v>
      </c>
      <c r="F2262" s="12" t="s">
        <v>403</v>
      </c>
      <c r="G2262" s="14"/>
      <c r="H2262" s="12" t="s">
        <v>61</v>
      </c>
      <c r="I2262" s="12" t="s">
        <v>289</v>
      </c>
      <c r="J2262" s="12" t="s">
        <v>706</v>
      </c>
      <c r="K2262" s="12" t="s">
        <v>100</v>
      </c>
      <c r="L2262" s="14"/>
      <c r="M2262" s="12" t="s">
        <v>43</v>
      </c>
      <c r="N2262" s="12" t="s">
        <v>84</v>
      </c>
      <c r="O2262" s="12" t="s">
        <v>8492</v>
      </c>
      <c r="P2262" s="12" t="s">
        <v>66</v>
      </c>
      <c r="Q2262" s="12" t="s">
        <v>67</v>
      </c>
      <c r="R2262" s="12" t="s">
        <v>708</v>
      </c>
      <c r="S2262" s="13">
        <v>197804610488</v>
      </c>
      <c r="T2262" s="12" t="s">
        <v>49</v>
      </c>
      <c r="U2262" s="12" t="s">
        <v>403</v>
      </c>
      <c r="V2262" s="12" t="s">
        <v>3746</v>
      </c>
      <c r="W2262" s="12" t="s">
        <v>299</v>
      </c>
      <c r="X2262" s="14"/>
      <c r="Y2262" s="14"/>
      <c r="Z2262" s="14"/>
      <c r="AA2262" s="14"/>
      <c r="AB2262" s="14"/>
      <c r="AC2262" s="15">
        <v>45.5</v>
      </c>
      <c r="AD2262" s="15">
        <f>AC2262*AG2262</f>
        <v>91</v>
      </c>
      <c r="AE2262" s="15">
        <v>100</v>
      </c>
      <c r="AF2262" s="15">
        <f>AE2262*AG2262</f>
        <v>200</v>
      </c>
      <c r="AG2262" s="16">
        <v>2</v>
      </c>
    </row>
    <row r="2263" spans="1:33" ht="15" customHeight="1" x14ac:dyDescent="0.2">
      <c r="A2263" s="11" t="str">
        <f t="shared" si="355"/>
        <v>VN000PK8BLK1</v>
      </c>
      <c r="B2263" s="12" t="s">
        <v>8493</v>
      </c>
      <c r="C2263" s="12" t="s">
        <v>2070</v>
      </c>
      <c r="D2263" s="12" t="s">
        <v>76</v>
      </c>
      <c r="E2263" s="12" t="s">
        <v>8494</v>
      </c>
      <c r="F2263" s="12" t="s">
        <v>153</v>
      </c>
      <c r="G2263" s="14"/>
      <c r="H2263" s="12" t="s">
        <v>61</v>
      </c>
      <c r="I2263" s="12" t="s">
        <v>289</v>
      </c>
      <c r="J2263" s="12" t="s">
        <v>290</v>
      </c>
      <c r="K2263" s="12" t="s">
        <v>100</v>
      </c>
      <c r="L2263" s="14"/>
      <c r="M2263" s="12" t="s">
        <v>43</v>
      </c>
      <c r="N2263" s="12" t="s">
        <v>84</v>
      </c>
      <c r="O2263" s="12" t="s">
        <v>8495</v>
      </c>
      <c r="P2263" s="12" t="s">
        <v>66</v>
      </c>
      <c r="Q2263" s="12" t="s">
        <v>233</v>
      </c>
      <c r="R2263" s="12" t="s">
        <v>2073</v>
      </c>
      <c r="S2263" s="13">
        <v>197804579785</v>
      </c>
      <c r="T2263" s="12" t="s">
        <v>49</v>
      </c>
      <c r="U2263" s="12" t="s">
        <v>153</v>
      </c>
      <c r="V2263" s="12" t="s">
        <v>2074</v>
      </c>
      <c r="W2263" s="12" t="s">
        <v>51</v>
      </c>
      <c r="X2263" s="14"/>
      <c r="Y2263" s="14"/>
      <c r="Z2263" s="14"/>
      <c r="AA2263" s="14"/>
      <c r="AB2263" s="14"/>
      <c r="AC2263" s="15">
        <v>40.950000000000003</v>
      </c>
      <c r="AD2263" s="15">
        <f>AC2263*AG2263</f>
        <v>81.900000000000006</v>
      </c>
      <c r="AE2263" s="15">
        <v>90</v>
      </c>
      <c r="AF2263" s="15">
        <f>AE2263*AG2263</f>
        <v>180</v>
      </c>
      <c r="AG2263" s="16">
        <v>2</v>
      </c>
    </row>
    <row r="2264" spans="1:33" ht="15" customHeight="1" x14ac:dyDescent="0.2">
      <c r="A2264" s="11" t="str">
        <f t="shared" si="721"/>
        <v>VN000PKEEN61</v>
      </c>
      <c r="B2264" s="12" t="s">
        <v>8496</v>
      </c>
      <c r="C2264" s="12" t="s">
        <v>6661</v>
      </c>
      <c r="D2264" s="12" t="s">
        <v>189</v>
      </c>
      <c r="E2264" s="12" t="s">
        <v>8497</v>
      </c>
      <c r="F2264" s="12" t="s">
        <v>179</v>
      </c>
      <c r="G2264" s="14"/>
      <c r="H2264" s="12" t="s">
        <v>61</v>
      </c>
      <c r="I2264" s="12" t="s">
        <v>289</v>
      </c>
      <c r="J2264" s="12" t="s">
        <v>706</v>
      </c>
      <c r="K2264" s="12" t="s">
        <v>100</v>
      </c>
      <c r="L2264" s="14"/>
      <c r="M2264" s="12" t="s">
        <v>43</v>
      </c>
      <c r="N2264" s="12" t="s">
        <v>84</v>
      </c>
      <c r="O2264" s="12" t="s">
        <v>8498</v>
      </c>
      <c r="P2264" s="12" t="s">
        <v>66</v>
      </c>
      <c r="Q2264" s="12" t="s">
        <v>67</v>
      </c>
      <c r="R2264" s="12" t="s">
        <v>708</v>
      </c>
      <c r="S2264" s="13">
        <v>197804579730</v>
      </c>
      <c r="T2264" s="12" t="s">
        <v>49</v>
      </c>
      <c r="U2264" s="12" t="s">
        <v>179</v>
      </c>
      <c r="V2264" s="12" t="s">
        <v>6664</v>
      </c>
      <c r="W2264" s="12" t="s">
        <v>118</v>
      </c>
      <c r="X2264" s="14"/>
      <c r="Y2264" s="14"/>
      <c r="Z2264" s="14"/>
      <c r="AA2264" s="14"/>
      <c r="AB2264" s="14"/>
      <c r="AC2264" s="15">
        <v>40.950000000000003</v>
      </c>
      <c r="AD2264" s="15">
        <f>AC2264*AG2264</f>
        <v>81.900000000000006</v>
      </c>
      <c r="AE2264" s="15">
        <v>90</v>
      </c>
      <c r="AF2264" s="15">
        <f>AE2264*AG2264</f>
        <v>180</v>
      </c>
      <c r="AG2264" s="16">
        <v>2</v>
      </c>
    </row>
    <row r="2265" spans="1:33" ht="15" customHeight="1" x14ac:dyDescent="0.2">
      <c r="A2265" s="11" t="str">
        <f t="shared" si="578"/>
        <v>VN000PM39JC1</v>
      </c>
      <c r="B2265" s="12" t="s">
        <v>8499</v>
      </c>
      <c r="C2265" s="12" t="s">
        <v>4201</v>
      </c>
      <c r="D2265" s="12" t="s">
        <v>4481</v>
      </c>
      <c r="E2265" s="12" t="s">
        <v>8500</v>
      </c>
      <c r="F2265" s="12" t="s">
        <v>60</v>
      </c>
      <c r="G2265" s="14"/>
      <c r="H2265" s="12" t="s">
        <v>61</v>
      </c>
      <c r="I2265" s="12" t="s">
        <v>230</v>
      </c>
      <c r="J2265" s="12" t="s">
        <v>231</v>
      </c>
      <c r="K2265" s="12" t="s">
        <v>199</v>
      </c>
      <c r="L2265" s="14"/>
      <c r="M2265" s="12" t="s">
        <v>43</v>
      </c>
      <c r="N2265" s="12" t="s">
        <v>84</v>
      </c>
      <c r="O2265" s="12" t="s">
        <v>8501</v>
      </c>
      <c r="P2265" s="12" t="s">
        <v>66</v>
      </c>
      <c r="Q2265" s="12" t="s">
        <v>233</v>
      </c>
      <c r="R2265" s="12" t="s">
        <v>361</v>
      </c>
      <c r="S2265" s="13">
        <v>197804610556</v>
      </c>
      <c r="T2265" s="12" t="s">
        <v>49</v>
      </c>
      <c r="U2265" s="12" t="s">
        <v>60</v>
      </c>
      <c r="V2265" s="12" t="s">
        <v>90</v>
      </c>
      <c r="W2265" s="12" t="s">
        <v>186</v>
      </c>
      <c r="X2265" s="14"/>
      <c r="Y2265" s="14"/>
      <c r="Z2265" s="14"/>
      <c r="AA2265" s="14"/>
      <c r="AB2265" s="14"/>
      <c r="AC2265" s="15">
        <v>136.4</v>
      </c>
      <c r="AD2265" s="15">
        <f>AC2265*AG2265</f>
        <v>272.8</v>
      </c>
      <c r="AE2265" s="15">
        <v>300</v>
      </c>
      <c r="AF2265" s="15">
        <f>AE2265*AG2265</f>
        <v>600</v>
      </c>
      <c r="AG2265" s="16">
        <v>2</v>
      </c>
    </row>
    <row r="2266" spans="1:33" ht="15" customHeight="1" x14ac:dyDescent="0.2">
      <c r="A2266" s="11" t="str">
        <f t="shared" si="496"/>
        <v>VN000PMA9JC1</v>
      </c>
      <c r="B2266" s="12" t="s">
        <v>8502</v>
      </c>
      <c r="C2266" s="12" t="s">
        <v>2076</v>
      </c>
      <c r="D2266" s="12" t="s">
        <v>4481</v>
      </c>
      <c r="E2266" s="12" t="s">
        <v>8503</v>
      </c>
      <c r="F2266" s="12" t="s">
        <v>179</v>
      </c>
      <c r="G2266" s="14"/>
      <c r="H2266" s="12" t="s">
        <v>61</v>
      </c>
      <c r="I2266" s="12" t="s">
        <v>230</v>
      </c>
      <c r="J2266" s="12" t="s">
        <v>762</v>
      </c>
      <c r="K2266" s="12" t="s">
        <v>199</v>
      </c>
      <c r="L2266" s="14"/>
      <c r="M2266" s="12" t="s">
        <v>43</v>
      </c>
      <c r="N2266" s="12" t="s">
        <v>84</v>
      </c>
      <c r="O2266" s="12" t="s">
        <v>8504</v>
      </c>
      <c r="P2266" s="12" t="s">
        <v>66</v>
      </c>
      <c r="Q2266" s="12" t="s">
        <v>764</v>
      </c>
      <c r="R2266" s="12" t="s">
        <v>765</v>
      </c>
      <c r="S2266" s="13">
        <v>197804372522</v>
      </c>
      <c r="T2266" s="12" t="s">
        <v>49</v>
      </c>
      <c r="U2266" s="12" t="s">
        <v>179</v>
      </c>
      <c r="V2266" s="12" t="s">
        <v>90</v>
      </c>
      <c r="W2266" s="12" t="s">
        <v>186</v>
      </c>
      <c r="X2266" s="14"/>
      <c r="Y2266" s="14"/>
      <c r="Z2266" s="14"/>
      <c r="AA2266" s="14"/>
      <c r="AB2266" s="14"/>
      <c r="AC2266" s="15">
        <v>159.1</v>
      </c>
      <c r="AD2266" s="15">
        <f>AC2266*AG2266</f>
        <v>318.2</v>
      </c>
      <c r="AE2266" s="15">
        <v>350</v>
      </c>
      <c r="AF2266" s="15">
        <f>AE2266*AG2266</f>
        <v>700</v>
      </c>
      <c r="AG2266" s="16">
        <v>2</v>
      </c>
    </row>
    <row r="2267" spans="1:33" ht="15" customHeight="1" x14ac:dyDescent="0.2">
      <c r="A2267" s="11" t="str">
        <f t="shared" ref="A2267:A3432" si="926">HYPERLINK("https://assets.vans.eu/images/VN000PMABLK-HERO/1","VN000PMABLK1")</f>
        <v>VN000PMABLK1</v>
      </c>
      <c r="B2267" s="12" t="s">
        <v>8505</v>
      </c>
      <c r="C2267" s="12" t="s">
        <v>2076</v>
      </c>
      <c r="D2267" s="12" t="s">
        <v>76</v>
      </c>
      <c r="E2267" s="12" t="s">
        <v>8506</v>
      </c>
      <c r="F2267" s="12" t="s">
        <v>621</v>
      </c>
      <c r="G2267" s="14"/>
      <c r="H2267" s="12" t="s">
        <v>61</v>
      </c>
      <c r="I2267" s="12" t="s">
        <v>230</v>
      </c>
      <c r="J2267" s="12" t="s">
        <v>762</v>
      </c>
      <c r="K2267" s="12" t="s">
        <v>199</v>
      </c>
      <c r="L2267" s="14"/>
      <c r="M2267" s="12" t="s">
        <v>43</v>
      </c>
      <c r="N2267" s="12" t="s">
        <v>84</v>
      </c>
      <c r="O2267" s="12" t="s">
        <v>8507</v>
      </c>
      <c r="P2267" s="12" t="s">
        <v>66</v>
      </c>
      <c r="Q2267" s="12" t="s">
        <v>764</v>
      </c>
      <c r="R2267" s="12" t="s">
        <v>765</v>
      </c>
      <c r="S2267" s="13">
        <v>197804373048</v>
      </c>
      <c r="T2267" s="12" t="s">
        <v>49</v>
      </c>
      <c r="U2267" s="12" t="s">
        <v>621</v>
      </c>
      <c r="V2267" s="12" t="s">
        <v>90</v>
      </c>
      <c r="W2267" s="12" t="s">
        <v>51</v>
      </c>
      <c r="X2267" s="14"/>
      <c r="Y2267" s="14"/>
      <c r="Z2267" s="14"/>
      <c r="AA2267" s="14"/>
      <c r="AB2267" s="14"/>
      <c r="AC2267" s="15">
        <v>159.1</v>
      </c>
      <c r="AD2267" s="15">
        <f>AC2267*AG2267</f>
        <v>318.2</v>
      </c>
      <c r="AE2267" s="15">
        <v>350</v>
      </c>
      <c r="AF2267" s="15">
        <f>AE2267*AG2267</f>
        <v>700</v>
      </c>
      <c r="AG2267" s="16">
        <v>2</v>
      </c>
    </row>
    <row r="2268" spans="1:33" ht="15" customHeight="1" x14ac:dyDescent="0.2">
      <c r="A2268" s="11" t="str">
        <f t="shared" ref="A2268:A3436" si="927">HYPERLINK("https://assets.vans.eu/images/VN000PMDBLK-HERO/1","VN000PMDBLK1")</f>
        <v>VN000PMDBLK1</v>
      </c>
      <c r="B2268" s="12" t="s">
        <v>8508</v>
      </c>
      <c r="C2268" s="12" t="s">
        <v>2243</v>
      </c>
      <c r="D2268" s="12" t="s">
        <v>76</v>
      </c>
      <c r="E2268" s="12" t="s">
        <v>8509</v>
      </c>
      <c r="F2268" s="12" t="s">
        <v>153</v>
      </c>
      <c r="G2268" s="14"/>
      <c r="H2268" s="12" t="s">
        <v>61</v>
      </c>
      <c r="I2268" s="12" t="s">
        <v>230</v>
      </c>
      <c r="J2268" s="12" t="s">
        <v>762</v>
      </c>
      <c r="K2268" s="12" t="s">
        <v>199</v>
      </c>
      <c r="L2268" s="14"/>
      <c r="M2268" s="12" t="s">
        <v>43</v>
      </c>
      <c r="N2268" s="12" t="s">
        <v>84</v>
      </c>
      <c r="O2268" s="12" t="s">
        <v>8510</v>
      </c>
      <c r="P2268" s="12" t="s">
        <v>66</v>
      </c>
      <c r="Q2268" s="12" t="s">
        <v>764</v>
      </c>
      <c r="R2268" s="12" t="s">
        <v>765</v>
      </c>
      <c r="S2268" s="13">
        <v>197804581993</v>
      </c>
      <c r="T2268" s="12" t="s">
        <v>49</v>
      </c>
      <c r="U2268" s="12" t="s">
        <v>153</v>
      </c>
      <c r="V2268" s="12" t="s">
        <v>90</v>
      </c>
      <c r="W2268" s="12" t="s">
        <v>51</v>
      </c>
      <c r="X2268" s="14"/>
      <c r="Y2268" s="14"/>
      <c r="Z2268" s="14"/>
      <c r="AA2268" s="14"/>
      <c r="AB2268" s="14"/>
      <c r="AC2268" s="15">
        <v>136.4</v>
      </c>
      <c r="AD2268" s="15">
        <f>AC2268*AG2268</f>
        <v>272.8</v>
      </c>
      <c r="AE2268" s="15">
        <v>300</v>
      </c>
      <c r="AF2268" s="15">
        <f>AE2268*AG2268</f>
        <v>600</v>
      </c>
      <c r="AG2268" s="16">
        <v>2</v>
      </c>
    </row>
    <row r="2269" spans="1:33" ht="15" customHeight="1" x14ac:dyDescent="0.2">
      <c r="A2269" s="11" t="str">
        <f t="shared" ref="A2269:A2270" si="928">HYPERLINK("https://assets.vans.eu/images/VN000PMDEMW-HERO/1","VN000PMDEMW1")</f>
        <v>VN000PMDEMW1</v>
      </c>
      <c r="B2269" s="12" t="s">
        <v>8511</v>
      </c>
      <c r="C2269" s="12" t="s">
        <v>2243</v>
      </c>
      <c r="D2269" s="12" t="s">
        <v>147</v>
      </c>
      <c r="E2269" s="12" t="s">
        <v>8512</v>
      </c>
      <c r="F2269" s="12" t="s">
        <v>153</v>
      </c>
      <c r="G2269" s="14"/>
      <c r="H2269" s="12" t="s">
        <v>61</v>
      </c>
      <c r="I2269" s="12" t="s">
        <v>230</v>
      </c>
      <c r="J2269" s="12" t="s">
        <v>762</v>
      </c>
      <c r="K2269" s="12" t="s">
        <v>199</v>
      </c>
      <c r="L2269" s="14"/>
      <c r="M2269" s="12" t="s">
        <v>43</v>
      </c>
      <c r="N2269" s="12" t="s">
        <v>84</v>
      </c>
      <c r="O2269" s="12" t="s">
        <v>8513</v>
      </c>
      <c r="P2269" s="12" t="s">
        <v>66</v>
      </c>
      <c r="Q2269" s="12" t="s">
        <v>764</v>
      </c>
      <c r="R2269" s="12" t="s">
        <v>765</v>
      </c>
      <c r="S2269" s="13">
        <v>197804581887</v>
      </c>
      <c r="T2269" s="12" t="s">
        <v>49</v>
      </c>
      <c r="U2269" s="12" t="s">
        <v>153</v>
      </c>
      <c r="V2269" s="12" t="s">
        <v>90</v>
      </c>
      <c r="W2269" s="12" t="s">
        <v>118</v>
      </c>
      <c r="X2269" s="14"/>
      <c r="Y2269" s="14"/>
      <c r="Z2269" s="14"/>
      <c r="AA2269" s="14"/>
      <c r="AB2269" s="14"/>
      <c r="AC2269" s="15">
        <v>136.4</v>
      </c>
      <c r="AD2269" s="15">
        <f>AC2269*AG2269</f>
        <v>272.8</v>
      </c>
      <c r="AE2269" s="15">
        <v>300</v>
      </c>
      <c r="AF2269" s="15">
        <f>AE2269*AG2269</f>
        <v>600</v>
      </c>
      <c r="AG2269" s="16">
        <v>2</v>
      </c>
    </row>
    <row r="2270" spans="1:33" ht="15" customHeight="1" x14ac:dyDescent="0.2">
      <c r="A2270" s="11" t="str">
        <f t="shared" si="928"/>
        <v>VN000PMDEMW1</v>
      </c>
      <c r="B2270" s="12" t="s">
        <v>8514</v>
      </c>
      <c r="C2270" s="12" t="s">
        <v>2243</v>
      </c>
      <c r="D2270" s="12" t="s">
        <v>147</v>
      </c>
      <c r="E2270" s="12" t="s">
        <v>8515</v>
      </c>
      <c r="F2270" s="12" t="s">
        <v>621</v>
      </c>
      <c r="G2270" s="14"/>
      <c r="H2270" s="12" t="s">
        <v>61</v>
      </c>
      <c r="I2270" s="12" t="s">
        <v>230</v>
      </c>
      <c r="J2270" s="12" t="s">
        <v>762</v>
      </c>
      <c r="K2270" s="12" t="s">
        <v>199</v>
      </c>
      <c r="L2270" s="14"/>
      <c r="M2270" s="12" t="s">
        <v>43</v>
      </c>
      <c r="N2270" s="12" t="s">
        <v>84</v>
      </c>
      <c r="O2270" s="12" t="s">
        <v>8516</v>
      </c>
      <c r="P2270" s="12" t="s">
        <v>66</v>
      </c>
      <c r="Q2270" s="12" t="s">
        <v>764</v>
      </c>
      <c r="R2270" s="12" t="s">
        <v>765</v>
      </c>
      <c r="S2270" s="13">
        <v>197804582020</v>
      </c>
      <c r="T2270" s="12" t="s">
        <v>49</v>
      </c>
      <c r="U2270" s="12" t="s">
        <v>621</v>
      </c>
      <c r="V2270" s="12" t="s">
        <v>90</v>
      </c>
      <c r="W2270" s="12" t="s">
        <v>118</v>
      </c>
      <c r="X2270" s="14"/>
      <c r="Y2270" s="14"/>
      <c r="Z2270" s="14"/>
      <c r="AA2270" s="14"/>
      <c r="AB2270" s="14"/>
      <c r="AC2270" s="15">
        <v>136.4</v>
      </c>
      <c r="AD2270" s="15">
        <f>AC2270*AG2270</f>
        <v>272.8</v>
      </c>
      <c r="AE2270" s="15">
        <v>300</v>
      </c>
      <c r="AF2270" s="15">
        <f>AE2270*AG2270</f>
        <v>600</v>
      </c>
      <c r="AG2270" s="16">
        <v>2</v>
      </c>
    </row>
    <row r="2271" spans="1:33" ht="15" customHeight="1" x14ac:dyDescent="0.2">
      <c r="A2271" s="11" t="str">
        <f>HYPERLINK("https://assets.vans.eu/images/VN000PMFEB2-HERO/1","VN000PMFEB21")</f>
        <v>VN000PMFEB21</v>
      </c>
      <c r="B2271" s="12" t="s">
        <v>8517</v>
      </c>
      <c r="C2271" s="12" t="s">
        <v>3148</v>
      </c>
      <c r="D2271" s="12" t="s">
        <v>2693</v>
      </c>
      <c r="E2271" s="12" t="s">
        <v>8518</v>
      </c>
      <c r="F2271" s="12" t="s">
        <v>621</v>
      </c>
      <c r="G2271" s="14"/>
      <c r="H2271" s="12" t="s">
        <v>61</v>
      </c>
      <c r="I2271" s="12" t="s">
        <v>230</v>
      </c>
      <c r="J2271" s="12" t="s">
        <v>762</v>
      </c>
      <c r="K2271" s="12" t="s">
        <v>199</v>
      </c>
      <c r="L2271" s="14"/>
      <c r="M2271" s="12" t="s">
        <v>43</v>
      </c>
      <c r="N2271" s="12" t="s">
        <v>84</v>
      </c>
      <c r="O2271" s="12" t="s">
        <v>8519</v>
      </c>
      <c r="P2271" s="12" t="s">
        <v>66</v>
      </c>
      <c r="Q2271" s="12" t="s">
        <v>764</v>
      </c>
      <c r="R2271" s="12" t="s">
        <v>765</v>
      </c>
      <c r="S2271" s="13">
        <v>197804373079</v>
      </c>
      <c r="T2271" s="12" t="s">
        <v>49</v>
      </c>
      <c r="U2271" s="12" t="s">
        <v>621</v>
      </c>
      <c r="V2271" s="12" t="s">
        <v>1811</v>
      </c>
      <c r="W2271" s="12" t="s">
        <v>51</v>
      </c>
      <c r="X2271" s="14"/>
      <c r="Y2271" s="14"/>
      <c r="Z2271" s="14"/>
      <c r="AA2271" s="14"/>
      <c r="AB2271" s="14"/>
      <c r="AC2271" s="15">
        <v>136.4</v>
      </c>
      <c r="AD2271" s="15">
        <f>AC2271*AG2271</f>
        <v>272.8</v>
      </c>
      <c r="AE2271" s="15">
        <v>300</v>
      </c>
      <c r="AF2271" s="15">
        <f>AE2271*AG2271</f>
        <v>600</v>
      </c>
      <c r="AG2271" s="16">
        <v>2</v>
      </c>
    </row>
    <row r="2272" spans="1:33" ht="15" customHeight="1" x14ac:dyDescent="0.2">
      <c r="A2272" s="11" t="str">
        <f>HYPERLINK("https://assets.vans.eu/images/VN000PMFENB-HERO/1","VN000PMFENB1")</f>
        <v>VN000PMFENB1</v>
      </c>
      <c r="B2272" s="12" t="s">
        <v>8520</v>
      </c>
      <c r="C2272" s="12" t="s">
        <v>3148</v>
      </c>
      <c r="D2272" s="12" t="s">
        <v>2917</v>
      </c>
      <c r="E2272" s="12" t="s">
        <v>8521</v>
      </c>
      <c r="F2272" s="12" t="s">
        <v>60</v>
      </c>
      <c r="G2272" s="14"/>
      <c r="H2272" s="12" t="s">
        <v>61</v>
      </c>
      <c r="I2272" s="12" t="s">
        <v>230</v>
      </c>
      <c r="J2272" s="12" t="s">
        <v>762</v>
      </c>
      <c r="K2272" s="12" t="s">
        <v>199</v>
      </c>
      <c r="L2272" s="14"/>
      <c r="M2272" s="12" t="s">
        <v>43</v>
      </c>
      <c r="N2272" s="12" t="s">
        <v>84</v>
      </c>
      <c r="O2272" s="12" t="s">
        <v>8522</v>
      </c>
      <c r="P2272" s="12" t="s">
        <v>66</v>
      </c>
      <c r="Q2272" s="12" t="s">
        <v>764</v>
      </c>
      <c r="R2272" s="12" t="s">
        <v>765</v>
      </c>
      <c r="S2272" s="13">
        <v>197804373000</v>
      </c>
      <c r="T2272" s="12" t="s">
        <v>49</v>
      </c>
      <c r="U2272" s="12" t="s">
        <v>60</v>
      </c>
      <c r="V2272" s="12" t="s">
        <v>1811</v>
      </c>
      <c r="W2272" s="12" t="s">
        <v>186</v>
      </c>
      <c r="X2272" s="14"/>
      <c r="Y2272" s="14"/>
      <c r="Z2272" s="14"/>
      <c r="AA2272" s="14"/>
      <c r="AB2272" s="14"/>
      <c r="AC2272" s="15">
        <v>136.4</v>
      </c>
      <c r="AD2272" s="15">
        <f>AC2272*AG2272</f>
        <v>272.8</v>
      </c>
      <c r="AE2272" s="15">
        <v>300</v>
      </c>
      <c r="AF2272" s="15">
        <f>AE2272*AG2272</f>
        <v>600</v>
      </c>
      <c r="AG2272" s="16">
        <v>2</v>
      </c>
    </row>
    <row r="2273" spans="1:33" ht="15" customHeight="1" x14ac:dyDescent="0.2">
      <c r="A2273" s="11" t="str">
        <f t="shared" si="723"/>
        <v>VN000PMHEB21</v>
      </c>
      <c r="B2273" s="12" t="s">
        <v>8523</v>
      </c>
      <c r="C2273" s="12" t="s">
        <v>2916</v>
      </c>
      <c r="D2273" s="12" t="s">
        <v>2693</v>
      </c>
      <c r="E2273" s="12" t="s">
        <v>8524</v>
      </c>
      <c r="F2273" s="12" t="s">
        <v>403</v>
      </c>
      <c r="G2273" s="14"/>
      <c r="H2273" s="12" t="s">
        <v>61</v>
      </c>
      <c r="I2273" s="12" t="s">
        <v>230</v>
      </c>
      <c r="J2273" s="12" t="s">
        <v>762</v>
      </c>
      <c r="K2273" s="12" t="s">
        <v>199</v>
      </c>
      <c r="L2273" s="14"/>
      <c r="M2273" s="12" t="s">
        <v>43</v>
      </c>
      <c r="N2273" s="12" t="s">
        <v>84</v>
      </c>
      <c r="O2273" s="12" t="s">
        <v>8525</v>
      </c>
      <c r="P2273" s="12" t="s">
        <v>66</v>
      </c>
      <c r="Q2273" s="12" t="s">
        <v>764</v>
      </c>
      <c r="R2273" s="12" t="s">
        <v>765</v>
      </c>
      <c r="S2273" s="13">
        <v>197804678785</v>
      </c>
      <c r="T2273" s="12" t="s">
        <v>49</v>
      </c>
      <c r="U2273" s="12" t="s">
        <v>403</v>
      </c>
      <c r="V2273" s="12" t="s">
        <v>1811</v>
      </c>
      <c r="W2273" s="12" t="s">
        <v>51</v>
      </c>
      <c r="X2273" s="14"/>
      <c r="Y2273" s="14"/>
      <c r="Z2273" s="14"/>
      <c r="AA2273" s="14"/>
      <c r="AB2273" s="14"/>
      <c r="AC2273" s="15">
        <v>95.5</v>
      </c>
      <c r="AD2273" s="15">
        <f>AC2273*AG2273</f>
        <v>191</v>
      </c>
      <c r="AE2273" s="15">
        <v>210</v>
      </c>
      <c r="AF2273" s="15">
        <f>AE2273*AG2273</f>
        <v>420</v>
      </c>
      <c r="AG2273" s="16">
        <v>2</v>
      </c>
    </row>
    <row r="2274" spans="1:33" ht="15" customHeight="1" x14ac:dyDescent="0.2">
      <c r="A2274" s="11" t="str">
        <f t="shared" ref="A2274:A3440" si="929">HYPERLINK("https://assets.vans.eu/images/VN000PMHEB2-HERO/1","VN000PMHEB21")</f>
        <v>VN000PMHEB21</v>
      </c>
      <c r="B2274" s="12" t="s">
        <v>8526</v>
      </c>
      <c r="C2274" s="12" t="s">
        <v>2916</v>
      </c>
      <c r="D2274" s="12" t="s">
        <v>2693</v>
      </c>
      <c r="E2274" s="12" t="s">
        <v>8527</v>
      </c>
      <c r="F2274" s="12" t="s">
        <v>621</v>
      </c>
      <c r="G2274" s="14"/>
      <c r="H2274" s="12" t="s">
        <v>61</v>
      </c>
      <c r="I2274" s="12" t="s">
        <v>230</v>
      </c>
      <c r="J2274" s="12" t="s">
        <v>762</v>
      </c>
      <c r="K2274" s="12" t="s">
        <v>199</v>
      </c>
      <c r="L2274" s="14"/>
      <c r="M2274" s="12" t="s">
        <v>43</v>
      </c>
      <c r="N2274" s="12" t="s">
        <v>84</v>
      </c>
      <c r="O2274" s="12" t="s">
        <v>8528</v>
      </c>
      <c r="P2274" s="12" t="s">
        <v>66</v>
      </c>
      <c r="Q2274" s="12" t="s">
        <v>764</v>
      </c>
      <c r="R2274" s="12" t="s">
        <v>765</v>
      </c>
      <c r="S2274" s="13">
        <v>197804678877</v>
      </c>
      <c r="T2274" s="12" t="s">
        <v>49</v>
      </c>
      <c r="U2274" s="12" t="s">
        <v>621</v>
      </c>
      <c r="V2274" s="12" t="s">
        <v>1811</v>
      </c>
      <c r="W2274" s="12" t="s">
        <v>51</v>
      </c>
      <c r="X2274" s="14"/>
      <c r="Y2274" s="14"/>
      <c r="Z2274" s="14"/>
      <c r="AA2274" s="14"/>
      <c r="AB2274" s="14"/>
      <c r="AC2274" s="15">
        <v>95.5</v>
      </c>
      <c r="AD2274" s="15">
        <f>AC2274*AG2274</f>
        <v>191</v>
      </c>
      <c r="AE2274" s="15">
        <v>210</v>
      </c>
      <c r="AF2274" s="15">
        <f>AE2274*AG2274</f>
        <v>420</v>
      </c>
      <c r="AG2274" s="16">
        <v>2</v>
      </c>
    </row>
    <row r="2275" spans="1:33" ht="15" customHeight="1" x14ac:dyDescent="0.2">
      <c r="A2275" s="11" t="str">
        <f t="shared" ref="A2275:A3441" si="930">HYPERLINK("https://assets.vans.eu/images/VN000PMHENB-HERO/1","VN000PMHENB1")</f>
        <v>VN000PMHENB1</v>
      </c>
      <c r="B2275" s="12" t="s">
        <v>8529</v>
      </c>
      <c r="C2275" s="12" t="s">
        <v>2916</v>
      </c>
      <c r="D2275" s="12" t="s">
        <v>2917</v>
      </c>
      <c r="E2275" s="12" t="s">
        <v>8530</v>
      </c>
      <c r="F2275" s="12" t="s">
        <v>153</v>
      </c>
      <c r="G2275" s="14"/>
      <c r="H2275" s="12" t="s">
        <v>61</v>
      </c>
      <c r="I2275" s="12" t="s">
        <v>230</v>
      </c>
      <c r="J2275" s="12" t="s">
        <v>762</v>
      </c>
      <c r="K2275" s="12" t="s">
        <v>199</v>
      </c>
      <c r="L2275" s="14"/>
      <c r="M2275" s="12" t="s">
        <v>43</v>
      </c>
      <c r="N2275" s="12" t="s">
        <v>84</v>
      </c>
      <c r="O2275" s="12" t="s">
        <v>8531</v>
      </c>
      <c r="P2275" s="12" t="s">
        <v>66</v>
      </c>
      <c r="Q2275" s="12" t="s">
        <v>764</v>
      </c>
      <c r="R2275" s="12" t="s">
        <v>765</v>
      </c>
      <c r="S2275" s="13">
        <v>197804678846</v>
      </c>
      <c r="T2275" s="12" t="s">
        <v>49</v>
      </c>
      <c r="U2275" s="12" t="s">
        <v>153</v>
      </c>
      <c r="V2275" s="12" t="s">
        <v>1811</v>
      </c>
      <c r="W2275" s="12" t="s">
        <v>186</v>
      </c>
      <c r="X2275" s="14"/>
      <c r="Y2275" s="14"/>
      <c r="Z2275" s="14"/>
      <c r="AA2275" s="14"/>
      <c r="AB2275" s="14"/>
      <c r="AC2275" s="15">
        <v>95.5</v>
      </c>
      <c r="AD2275" s="15">
        <f>AC2275*AG2275</f>
        <v>191</v>
      </c>
      <c r="AE2275" s="15">
        <v>210</v>
      </c>
      <c r="AF2275" s="15">
        <f>AE2275*AG2275</f>
        <v>420</v>
      </c>
      <c r="AG2275" s="16">
        <v>2</v>
      </c>
    </row>
    <row r="2276" spans="1:33" ht="15" customHeight="1" x14ac:dyDescent="0.2">
      <c r="A2276" s="11" t="str">
        <f t="shared" si="725"/>
        <v>VN000PMXEMU1</v>
      </c>
      <c r="B2276" s="12" t="s">
        <v>8532</v>
      </c>
      <c r="C2276" s="12" t="s">
        <v>5470</v>
      </c>
      <c r="D2276" s="12" t="s">
        <v>1319</v>
      </c>
      <c r="E2276" s="12" t="s">
        <v>8533</v>
      </c>
      <c r="F2276" s="12" t="s">
        <v>179</v>
      </c>
      <c r="G2276" s="14"/>
      <c r="H2276" s="12" t="s">
        <v>61</v>
      </c>
      <c r="I2276" s="12" t="s">
        <v>230</v>
      </c>
      <c r="J2276" s="12" t="s">
        <v>419</v>
      </c>
      <c r="K2276" s="12" t="s">
        <v>199</v>
      </c>
      <c r="L2276" s="14"/>
      <c r="M2276" s="12" t="s">
        <v>43</v>
      </c>
      <c r="N2276" s="12" t="s">
        <v>84</v>
      </c>
      <c r="O2276" s="12" t="s">
        <v>8534</v>
      </c>
      <c r="P2276" s="12" t="s">
        <v>66</v>
      </c>
      <c r="Q2276" s="12" t="s">
        <v>67</v>
      </c>
      <c r="R2276" s="12" t="s">
        <v>1500</v>
      </c>
      <c r="S2276" s="13">
        <v>197804361830</v>
      </c>
      <c r="T2276" s="12" t="s">
        <v>49</v>
      </c>
      <c r="U2276" s="12" t="s">
        <v>179</v>
      </c>
      <c r="V2276" s="12" t="s">
        <v>665</v>
      </c>
      <c r="W2276" s="12" t="s">
        <v>118</v>
      </c>
      <c r="X2276" s="14"/>
      <c r="Y2276" s="14"/>
      <c r="Z2276" s="14"/>
      <c r="AA2276" s="14"/>
      <c r="AB2276" s="14"/>
      <c r="AC2276" s="15">
        <v>22.75</v>
      </c>
      <c r="AD2276" s="15">
        <f>AC2276*AG2276</f>
        <v>45.5</v>
      </c>
      <c r="AE2276" s="15">
        <v>50</v>
      </c>
      <c r="AF2276" s="15">
        <f>AE2276*AG2276</f>
        <v>100</v>
      </c>
      <c r="AG2276" s="16">
        <v>2</v>
      </c>
    </row>
    <row r="2277" spans="1:33" ht="15" customHeight="1" x14ac:dyDescent="0.2">
      <c r="A2277" s="11" t="str">
        <f>HYPERLINK("https://assets.vans.eu/images/VN000PMXEMU-HERO/1","VN000PMXEMU1")</f>
        <v>VN000PMXEMU1</v>
      </c>
      <c r="B2277" s="12" t="s">
        <v>8535</v>
      </c>
      <c r="C2277" s="12" t="s">
        <v>5470</v>
      </c>
      <c r="D2277" s="12" t="s">
        <v>1319</v>
      </c>
      <c r="E2277" s="12" t="s">
        <v>8536</v>
      </c>
      <c r="F2277" s="12" t="s">
        <v>153</v>
      </c>
      <c r="G2277" s="14"/>
      <c r="H2277" s="12" t="s">
        <v>61</v>
      </c>
      <c r="I2277" s="12" t="s">
        <v>230</v>
      </c>
      <c r="J2277" s="12" t="s">
        <v>419</v>
      </c>
      <c r="K2277" s="12" t="s">
        <v>199</v>
      </c>
      <c r="L2277" s="14"/>
      <c r="M2277" s="12" t="s">
        <v>43</v>
      </c>
      <c r="N2277" s="12" t="s">
        <v>84</v>
      </c>
      <c r="O2277" s="12" t="s">
        <v>8537</v>
      </c>
      <c r="P2277" s="12" t="s">
        <v>66</v>
      </c>
      <c r="Q2277" s="12" t="s">
        <v>67</v>
      </c>
      <c r="R2277" s="12" t="s">
        <v>1500</v>
      </c>
      <c r="S2277" s="13">
        <v>197804362202</v>
      </c>
      <c r="T2277" s="12" t="s">
        <v>49</v>
      </c>
      <c r="U2277" s="12" t="s">
        <v>153</v>
      </c>
      <c r="V2277" s="12" t="s">
        <v>665</v>
      </c>
      <c r="W2277" s="12" t="s">
        <v>118</v>
      </c>
      <c r="X2277" s="14"/>
      <c r="Y2277" s="14"/>
      <c r="Z2277" s="14"/>
      <c r="AA2277" s="14"/>
      <c r="AB2277" s="14"/>
      <c r="AC2277" s="15">
        <v>22.75</v>
      </c>
      <c r="AD2277" s="15">
        <f>AC2277*AG2277</f>
        <v>45.5</v>
      </c>
      <c r="AE2277" s="15">
        <v>50</v>
      </c>
      <c r="AF2277" s="15">
        <f>AE2277*AG2277</f>
        <v>100</v>
      </c>
      <c r="AG2277" s="16">
        <v>2</v>
      </c>
    </row>
    <row r="2278" spans="1:33" ht="15" customHeight="1" x14ac:dyDescent="0.2">
      <c r="A2278" s="11" t="str">
        <f>HYPERLINK("https://assets.vans.eu/images/VN000PN9ZX7-HERO/1","VN000PN9ZX71")</f>
        <v>VN000PN9ZX71</v>
      </c>
      <c r="B2278" s="12" t="s">
        <v>8538</v>
      </c>
      <c r="C2278" s="12" t="s">
        <v>3457</v>
      </c>
      <c r="D2278" s="12" t="s">
        <v>3458</v>
      </c>
      <c r="E2278" s="12" t="s">
        <v>8539</v>
      </c>
      <c r="F2278" s="12" t="s">
        <v>179</v>
      </c>
      <c r="G2278" s="14"/>
      <c r="H2278" s="12" t="s">
        <v>61</v>
      </c>
      <c r="I2278" s="12" t="s">
        <v>230</v>
      </c>
      <c r="J2278" s="12" t="s">
        <v>419</v>
      </c>
      <c r="K2278" s="12" t="s">
        <v>199</v>
      </c>
      <c r="L2278" s="14"/>
      <c r="M2278" s="12" t="s">
        <v>43</v>
      </c>
      <c r="N2278" s="12" t="s">
        <v>84</v>
      </c>
      <c r="O2278" s="12" t="s">
        <v>8540</v>
      </c>
      <c r="P2278" s="12" t="s">
        <v>66</v>
      </c>
      <c r="Q2278" s="12" t="s">
        <v>67</v>
      </c>
      <c r="R2278" s="12" t="s">
        <v>421</v>
      </c>
      <c r="S2278" s="13">
        <v>197804362363</v>
      </c>
      <c r="T2278" s="12" t="s">
        <v>49</v>
      </c>
      <c r="U2278" s="12" t="s">
        <v>179</v>
      </c>
      <c r="V2278" s="12" t="s">
        <v>665</v>
      </c>
      <c r="W2278" s="12" t="s">
        <v>625</v>
      </c>
      <c r="X2278" s="14"/>
      <c r="Y2278" s="14"/>
      <c r="Z2278" s="14"/>
      <c r="AA2278" s="14"/>
      <c r="AB2278" s="14"/>
      <c r="AC2278" s="15">
        <v>19.100000000000001</v>
      </c>
      <c r="AD2278" s="15">
        <f>AC2278*AG2278</f>
        <v>38.200000000000003</v>
      </c>
      <c r="AE2278" s="15">
        <v>42</v>
      </c>
      <c r="AF2278" s="15">
        <f>AE2278*AG2278</f>
        <v>84</v>
      </c>
      <c r="AG2278" s="16">
        <v>2</v>
      </c>
    </row>
    <row r="2279" spans="1:33" ht="15" customHeight="1" x14ac:dyDescent="0.2">
      <c r="A2279" s="11" t="str">
        <f t="shared" ref="A2279:A3443" si="931">HYPERLINK("https://assets.vans.eu/images/VN000PNCRKZ-HERO/1","VN000PNCRKZ1")</f>
        <v>VN000PNCRKZ1</v>
      </c>
      <c r="B2279" s="12" t="s">
        <v>8541</v>
      </c>
      <c r="C2279" s="12" t="s">
        <v>6700</v>
      </c>
      <c r="D2279" s="12" t="s">
        <v>6701</v>
      </c>
      <c r="E2279" s="12" t="s">
        <v>8542</v>
      </c>
      <c r="F2279" s="12" t="s">
        <v>60</v>
      </c>
      <c r="G2279" s="14"/>
      <c r="H2279" s="12" t="s">
        <v>61</v>
      </c>
      <c r="I2279" s="12" t="s">
        <v>230</v>
      </c>
      <c r="J2279" s="12" t="s">
        <v>419</v>
      </c>
      <c r="K2279" s="12" t="s">
        <v>199</v>
      </c>
      <c r="L2279" s="14"/>
      <c r="M2279" s="12" t="s">
        <v>43</v>
      </c>
      <c r="N2279" s="12" t="s">
        <v>84</v>
      </c>
      <c r="O2279" s="12" t="s">
        <v>8543</v>
      </c>
      <c r="P2279" s="12" t="s">
        <v>66</v>
      </c>
      <c r="Q2279" s="12" t="s">
        <v>67</v>
      </c>
      <c r="R2279" s="12" t="s">
        <v>421</v>
      </c>
      <c r="S2279" s="13">
        <v>197804362738</v>
      </c>
      <c r="T2279" s="12" t="s">
        <v>49</v>
      </c>
      <c r="U2279" s="12" t="s">
        <v>60</v>
      </c>
      <c r="V2279" s="12" t="s">
        <v>665</v>
      </c>
      <c r="W2279" s="12" t="s">
        <v>455</v>
      </c>
      <c r="X2279" s="14"/>
      <c r="Y2279" s="14"/>
      <c r="Z2279" s="14"/>
      <c r="AA2279" s="14"/>
      <c r="AB2279" s="14"/>
      <c r="AC2279" s="15">
        <v>20.5</v>
      </c>
      <c r="AD2279" s="15">
        <f>AC2279*AG2279</f>
        <v>41</v>
      </c>
      <c r="AE2279" s="15">
        <v>45</v>
      </c>
      <c r="AF2279" s="15">
        <f>AE2279*AG2279</f>
        <v>90</v>
      </c>
      <c r="AG2279" s="16">
        <v>2</v>
      </c>
    </row>
    <row r="2280" spans="1:33" ht="15" customHeight="1" x14ac:dyDescent="0.2">
      <c r="A2280" s="11" t="str">
        <f t="shared" ref="A2280:A3446" si="932">HYPERLINK("https://assets.vans.eu/images/VN000PNGEMV-HERO/1","VN000PNGEMV1")</f>
        <v>VN000PNGEMV1</v>
      </c>
      <c r="B2280" s="12" t="s">
        <v>8544</v>
      </c>
      <c r="C2280" s="12" t="s">
        <v>8545</v>
      </c>
      <c r="D2280" s="12" t="s">
        <v>1908</v>
      </c>
      <c r="E2280" s="12" t="s">
        <v>8546</v>
      </c>
      <c r="F2280" s="12" t="s">
        <v>621</v>
      </c>
      <c r="G2280" s="14"/>
      <c r="H2280" s="12" t="s">
        <v>61</v>
      </c>
      <c r="I2280" s="12" t="s">
        <v>230</v>
      </c>
      <c r="J2280" s="12" t="s">
        <v>419</v>
      </c>
      <c r="K2280" s="12" t="s">
        <v>199</v>
      </c>
      <c r="L2280" s="14"/>
      <c r="M2280" s="12" t="s">
        <v>43</v>
      </c>
      <c r="N2280" s="12" t="s">
        <v>84</v>
      </c>
      <c r="O2280" s="12" t="s">
        <v>8547</v>
      </c>
      <c r="P2280" s="12" t="s">
        <v>66</v>
      </c>
      <c r="Q2280" s="12" t="s">
        <v>67</v>
      </c>
      <c r="R2280" s="12" t="s">
        <v>421</v>
      </c>
      <c r="S2280" s="13">
        <v>197804363193</v>
      </c>
      <c r="T2280" s="12" t="s">
        <v>49</v>
      </c>
      <c r="U2280" s="12" t="s">
        <v>621</v>
      </c>
      <c r="V2280" s="12" t="s">
        <v>665</v>
      </c>
      <c r="W2280" s="12" t="s">
        <v>51</v>
      </c>
      <c r="X2280" s="14"/>
      <c r="Y2280" s="14"/>
      <c r="Z2280" s="14"/>
      <c r="AA2280" s="14"/>
      <c r="AB2280" s="14"/>
      <c r="AC2280" s="15">
        <v>19.100000000000001</v>
      </c>
      <c r="AD2280" s="15">
        <f>AC2280*AG2280</f>
        <v>38.200000000000003</v>
      </c>
      <c r="AE2280" s="15">
        <v>42</v>
      </c>
      <c r="AF2280" s="15">
        <f>AE2280*AG2280</f>
        <v>84</v>
      </c>
      <c r="AG2280" s="16">
        <v>2</v>
      </c>
    </row>
    <row r="2281" spans="1:33" ht="15" customHeight="1" x14ac:dyDescent="0.2">
      <c r="A2281" s="11" t="str">
        <f>HYPERLINK("https://assets.vans.eu/images/VN000PPJ02F-HERO/1","VN000PPJ02F1")</f>
        <v>VN000PPJ02F1</v>
      </c>
      <c r="B2281" s="12" t="s">
        <v>8548</v>
      </c>
      <c r="C2281" s="12" t="s">
        <v>3462</v>
      </c>
      <c r="D2281" s="12" t="s">
        <v>857</v>
      </c>
      <c r="E2281" s="12" t="s">
        <v>8549</v>
      </c>
      <c r="F2281" s="12" t="s">
        <v>179</v>
      </c>
      <c r="G2281" s="14"/>
      <c r="H2281" s="12" t="s">
        <v>61</v>
      </c>
      <c r="I2281" s="12" t="s">
        <v>62</v>
      </c>
      <c r="J2281" s="12" t="s">
        <v>63</v>
      </c>
      <c r="K2281" s="12" t="s">
        <v>1022</v>
      </c>
      <c r="L2281" s="14"/>
      <c r="M2281" s="12" t="s">
        <v>43</v>
      </c>
      <c r="N2281" s="12" t="s">
        <v>84</v>
      </c>
      <c r="O2281" s="12" t="s">
        <v>8550</v>
      </c>
      <c r="P2281" s="12" t="s">
        <v>66</v>
      </c>
      <c r="Q2281" s="12" t="s">
        <v>67</v>
      </c>
      <c r="R2281" s="12" t="s">
        <v>730</v>
      </c>
      <c r="S2281" s="13">
        <v>197804362875</v>
      </c>
      <c r="T2281" s="12" t="s">
        <v>709</v>
      </c>
      <c r="U2281" s="12" t="s">
        <v>179</v>
      </c>
      <c r="V2281" s="12" t="s">
        <v>1092</v>
      </c>
      <c r="W2281" s="12" t="s">
        <v>455</v>
      </c>
      <c r="X2281" s="14"/>
      <c r="Y2281" s="14"/>
      <c r="Z2281" s="14"/>
      <c r="AA2281" s="14"/>
      <c r="AB2281" s="14"/>
      <c r="AC2281" s="15">
        <v>31.85</v>
      </c>
      <c r="AD2281" s="15">
        <f>AC2281*AG2281</f>
        <v>63.7</v>
      </c>
      <c r="AE2281" s="15">
        <v>70</v>
      </c>
      <c r="AF2281" s="15">
        <f>AE2281*AG2281</f>
        <v>140</v>
      </c>
      <c r="AG2281" s="16">
        <v>2</v>
      </c>
    </row>
    <row r="2282" spans="1:33" ht="15" customHeight="1" x14ac:dyDescent="0.2">
      <c r="A2282" s="11" t="str">
        <f t="shared" ref="A2282:A3453" si="933">HYPERLINK("https://assets.vans.eu/images/VN000PPKEMP-HERO/1","VN000PPKEMP1")</f>
        <v>VN000PPKEMP1</v>
      </c>
      <c r="B2282" s="12" t="s">
        <v>8551</v>
      </c>
      <c r="C2282" s="12" t="s">
        <v>8552</v>
      </c>
      <c r="D2282" s="12" t="s">
        <v>704</v>
      </c>
      <c r="E2282" s="12" t="s">
        <v>8553</v>
      </c>
      <c r="F2282" s="12" t="s">
        <v>403</v>
      </c>
      <c r="G2282" s="14"/>
      <c r="H2282" s="12" t="s">
        <v>61</v>
      </c>
      <c r="I2282" s="12" t="s">
        <v>62</v>
      </c>
      <c r="J2282" s="12" t="s">
        <v>63</v>
      </c>
      <c r="K2282" s="12" t="s">
        <v>1022</v>
      </c>
      <c r="L2282" s="14"/>
      <c r="M2282" s="12" t="s">
        <v>43</v>
      </c>
      <c r="N2282" s="12" t="s">
        <v>84</v>
      </c>
      <c r="O2282" s="12" t="s">
        <v>8554</v>
      </c>
      <c r="P2282" s="12" t="s">
        <v>66</v>
      </c>
      <c r="Q2282" s="12" t="s">
        <v>67</v>
      </c>
      <c r="R2282" s="12" t="s">
        <v>730</v>
      </c>
      <c r="S2282" s="13">
        <v>197804363230</v>
      </c>
      <c r="T2282" s="12" t="s">
        <v>709</v>
      </c>
      <c r="U2282" s="12" t="s">
        <v>403</v>
      </c>
      <c r="V2282" s="12" t="s">
        <v>710</v>
      </c>
      <c r="W2282" s="12" t="s">
        <v>186</v>
      </c>
      <c r="X2282" s="14"/>
      <c r="Y2282" s="14"/>
      <c r="Z2282" s="14"/>
      <c r="AA2282" s="14"/>
      <c r="AB2282" s="14"/>
      <c r="AC2282" s="15">
        <v>31.85</v>
      </c>
      <c r="AD2282" s="15">
        <f>AC2282*AG2282</f>
        <v>63.7</v>
      </c>
      <c r="AE2282" s="15">
        <v>70</v>
      </c>
      <c r="AF2282" s="15">
        <f>AE2282*AG2282</f>
        <v>140</v>
      </c>
      <c r="AG2282" s="16">
        <v>2</v>
      </c>
    </row>
    <row r="2283" spans="1:33" ht="15" customHeight="1" x14ac:dyDescent="0.2">
      <c r="A2283" s="11" t="str">
        <f t="shared" si="727"/>
        <v>VN000PPUEN71</v>
      </c>
      <c r="B2283" s="12" t="s">
        <v>8555</v>
      </c>
      <c r="C2283" s="12" t="s">
        <v>6711</v>
      </c>
      <c r="D2283" s="12" t="s">
        <v>295</v>
      </c>
      <c r="E2283" s="12" t="s">
        <v>8556</v>
      </c>
      <c r="F2283" s="12" t="s">
        <v>179</v>
      </c>
      <c r="G2283" s="14"/>
      <c r="H2283" s="12" t="s">
        <v>61</v>
      </c>
      <c r="I2283" s="12" t="s">
        <v>62</v>
      </c>
      <c r="J2283" s="12" t="s">
        <v>63</v>
      </c>
      <c r="K2283" s="12" t="s">
        <v>1022</v>
      </c>
      <c r="L2283" s="14"/>
      <c r="M2283" s="12" t="s">
        <v>43</v>
      </c>
      <c r="N2283" s="12" t="s">
        <v>84</v>
      </c>
      <c r="O2283" s="12" t="s">
        <v>8557</v>
      </c>
      <c r="P2283" s="12" t="s">
        <v>66</v>
      </c>
      <c r="Q2283" s="12" t="s">
        <v>67</v>
      </c>
      <c r="R2283" s="12" t="s">
        <v>730</v>
      </c>
      <c r="S2283" s="13">
        <v>197804363247</v>
      </c>
      <c r="T2283" s="12" t="s">
        <v>709</v>
      </c>
      <c r="U2283" s="12" t="s">
        <v>179</v>
      </c>
      <c r="V2283" s="12" t="s">
        <v>710</v>
      </c>
      <c r="W2283" s="12" t="s">
        <v>299</v>
      </c>
      <c r="X2283" s="14"/>
      <c r="Y2283" s="14"/>
      <c r="Z2283" s="14"/>
      <c r="AA2283" s="14"/>
      <c r="AB2283" s="14"/>
      <c r="AC2283" s="15">
        <v>27.3</v>
      </c>
      <c r="AD2283" s="15">
        <f>AC2283*AG2283</f>
        <v>54.6</v>
      </c>
      <c r="AE2283" s="15">
        <v>60</v>
      </c>
      <c r="AF2283" s="15">
        <f>AE2283*AG2283</f>
        <v>120</v>
      </c>
      <c r="AG2283" s="16">
        <v>2</v>
      </c>
    </row>
    <row r="2284" spans="1:33" ht="15" customHeight="1" x14ac:dyDescent="0.2">
      <c r="A2284" s="11" t="str">
        <f t="shared" ref="A2284:A3455" si="934">HYPERLINK("https://assets.vans.eu/images/VN000PPUEN7-HERO/1","VN000PPUEN71")</f>
        <v>VN000PPUEN71</v>
      </c>
      <c r="B2284" s="12" t="s">
        <v>8558</v>
      </c>
      <c r="C2284" s="12" t="s">
        <v>6711</v>
      </c>
      <c r="D2284" s="12" t="s">
        <v>295</v>
      </c>
      <c r="E2284" s="12" t="s">
        <v>8559</v>
      </c>
      <c r="F2284" s="12" t="s">
        <v>403</v>
      </c>
      <c r="G2284" s="14"/>
      <c r="H2284" s="12" t="s">
        <v>61</v>
      </c>
      <c r="I2284" s="12" t="s">
        <v>62</v>
      </c>
      <c r="J2284" s="12" t="s">
        <v>63</v>
      </c>
      <c r="K2284" s="12" t="s">
        <v>1022</v>
      </c>
      <c r="L2284" s="14"/>
      <c r="M2284" s="12" t="s">
        <v>43</v>
      </c>
      <c r="N2284" s="12" t="s">
        <v>84</v>
      </c>
      <c r="O2284" s="12" t="s">
        <v>8560</v>
      </c>
      <c r="P2284" s="12" t="s">
        <v>66</v>
      </c>
      <c r="Q2284" s="12" t="s">
        <v>67</v>
      </c>
      <c r="R2284" s="12" t="s">
        <v>730</v>
      </c>
      <c r="S2284" s="13">
        <v>197804363292</v>
      </c>
      <c r="T2284" s="12" t="s">
        <v>709</v>
      </c>
      <c r="U2284" s="12" t="s">
        <v>403</v>
      </c>
      <c r="V2284" s="12" t="s">
        <v>710</v>
      </c>
      <c r="W2284" s="12" t="s">
        <v>299</v>
      </c>
      <c r="X2284" s="14"/>
      <c r="Y2284" s="14"/>
      <c r="Z2284" s="14"/>
      <c r="AA2284" s="14"/>
      <c r="AB2284" s="14"/>
      <c r="AC2284" s="15">
        <v>27.3</v>
      </c>
      <c r="AD2284" s="15">
        <f>AC2284*AG2284</f>
        <v>54.6</v>
      </c>
      <c r="AE2284" s="15">
        <v>60</v>
      </c>
      <c r="AF2284" s="15">
        <f>AE2284*AG2284</f>
        <v>120</v>
      </c>
      <c r="AG2284" s="16">
        <v>2</v>
      </c>
    </row>
    <row r="2285" spans="1:33" ht="15" customHeight="1" x14ac:dyDescent="0.2">
      <c r="A2285" s="11" t="str">
        <f>HYPERLINK("https://assets.vans.eu/images/VN000PQHE90-HERO/1","VN000PQHE901")</f>
        <v>VN000PQHE901</v>
      </c>
      <c r="B2285" s="12" t="s">
        <v>8561</v>
      </c>
      <c r="C2285" s="12" t="s">
        <v>2921</v>
      </c>
      <c r="D2285" s="12" t="s">
        <v>2922</v>
      </c>
      <c r="E2285" s="12" t="s">
        <v>8562</v>
      </c>
      <c r="F2285" s="13">
        <v>32</v>
      </c>
      <c r="G2285" s="14"/>
      <c r="H2285" s="12" t="s">
        <v>61</v>
      </c>
      <c r="I2285" s="12" t="s">
        <v>230</v>
      </c>
      <c r="J2285" s="12" t="s">
        <v>231</v>
      </c>
      <c r="K2285" s="12" t="s">
        <v>199</v>
      </c>
      <c r="L2285" s="14"/>
      <c r="M2285" s="12" t="s">
        <v>43</v>
      </c>
      <c r="N2285" s="12" t="s">
        <v>84</v>
      </c>
      <c r="O2285" s="12" t="s">
        <v>8563</v>
      </c>
      <c r="P2285" s="12" t="s">
        <v>66</v>
      </c>
      <c r="Q2285" s="12" t="s">
        <v>233</v>
      </c>
      <c r="R2285" s="12" t="s">
        <v>361</v>
      </c>
      <c r="S2285" s="13">
        <v>197804582709</v>
      </c>
      <c r="T2285" s="12" t="s">
        <v>235</v>
      </c>
      <c r="U2285" s="13">
        <v>32</v>
      </c>
      <c r="V2285" s="12" t="s">
        <v>665</v>
      </c>
      <c r="W2285" s="12" t="s">
        <v>598</v>
      </c>
      <c r="X2285" s="14"/>
      <c r="Y2285" s="14"/>
      <c r="Z2285" s="14"/>
      <c r="AA2285" s="14"/>
      <c r="AB2285" s="14"/>
      <c r="AC2285" s="15">
        <v>36.4</v>
      </c>
      <c r="AD2285" s="15">
        <f>AC2285*AG2285</f>
        <v>72.8</v>
      </c>
      <c r="AE2285" s="15">
        <v>80</v>
      </c>
      <c r="AF2285" s="15">
        <f>AE2285*AG2285</f>
        <v>160</v>
      </c>
      <c r="AG2285" s="16">
        <v>2</v>
      </c>
    </row>
    <row r="2286" spans="1:33" ht="15" customHeight="1" x14ac:dyDescent="0.2">
      <c r="A2286" s="11" t="str">
        <f t="shared" si="730"/>
        <v>VN000PR2BLK1</v>
      </c>
      <c r="B2286" s="12" t="s">
        <v>8564</v>
      </c>
      <c r="C2286" s="12" t="s">
        <v>6727</v>
      </c>
      <c r="D2286" s="12" t="s">
        <v>76</v>
      </c>
      <c r="E2286" s="12" t="s">
        <v>8565</v>
      </c>
      <c r="F2286" s="12" t="s">
        <v>138</v>
      </c>
      <c r="G2286" s="14"/>
      <c r="H2286" s="12" t="s">
        <v>61</v>
      </c>
      <c r="I2286" s="12" t="s">
        <v>289</v>
      </c>
      <c r="J2286" s="12" t="s">
        <v>706</v>
      </c>
      <c r="K2286" s="12" t="s">
        <v>100</v>
      </c>
      <c r="L2286" s="14"/>
      <c r="M2286" s="12" t="s">
        <v>43</v>
      </c>
      <c r="N2286" s="12" t="s">
        <v>84</v>
      </c>
      <c r="O2286" s="12" t="s">
        <v>8566</v>
      </c>
      <c r="P2286" s="12" t="s">
        <v>66</v>
      </c>
      <c r="Q2286" s="12" t="s">
        <v>67</v>
      </c>
      <c r="R2286" s="12" t="s">
        <v>1146</v>
      </c>
      <c r="S2286" s="13">
        <v>197804611836</v>
      </c>
      <c r="T2286" s="12" t="s">
        <v>709</v>
      </c>
      <c r="U2286" s="12" t="s">
        <v>138</v>
      </c>
      <c r="V2286" s="12" t="s">
        <v>665</v>
      </c>
      <c r="W2286" s="12" t="s">
        <v>51</v>
      </c>
      <c r="X2286" s="14"/>
      <c r="Y2286" s="14"/>
      <c r="Z2286" s="14"/>
      <c r="AA2286" s="14"/>
      <c r="AB2286" s="14"/>
      <c r="AC2286" s="15">
        <v>15.95</v>
      </c>
      <c r="AD2286" s="15">
        <f>AC2286*AG2286</f>
        <v>31.9</v>
      </c>
      <c r="AE2286" s="15">
        <v>35</v>
      </c>
      <c r="AF2286" s="15">
        <f>AE2286*AG2286</f>
        <v>70</v>
      </c>
      <c r="AG2286" s="16">
        <v>2</v>
      </c>
    </row>
    <row r="2287" spans="1:33" ht="15" customHeight="1" x14ac:dyDescent="0.2">
      <c r="A2287" s="11" t="str">
        <f t="shared" ref="A2287:A3462" si="935">HYPERLINK("https://assets.vans.eu/images/VN000PR3BLK-HERO/1","VN000PR3BLK1")</f>
        <v>VN000PR3BLK1</v>
      </c>
      <c r="B2287" s="12" t="s">
        <v>8567</v>
      </c>
      <c r="C2287" s="12" t="s">
        <v>2926</v>
      </c>
      <c r="D2287" s="12" t="s">
        <v>76</v>
      </c>
      <c r="E2287" s="12" t="s">
        <v>8568</v>
      </c>
      <c r="F2287" s="12" t="s">
        <v>170</v>
      </c>
      <c r="G2287" s="14"/>
      <c r="H2287" s="12" t="s">
        <v>61</v>
      </c>
      <c r="I2287" s="12" t="s">
        <v>289</v>
      </c>
      <c r="J2287" s="12" t="s">
        <v>706</v>
      </c>
      <c r="K2287" s="12" t="s">
        <v>100</v>
      </c>
      <c r="L2287" s="14"/>
      <c r="M2287" s="12" t="s">
        <v>43</v>
      </c>
      <c r="N2287" s="12" t="s">
        <v>84</v>
      </c>
      <c r="O2287" s="12" t="s">
        <v>8569</v>
      </c>
      <c r="P2287" s="12" t="s">
        <v>66</v>
      </c>
      <c r="Q2287" s="12" t="s">
        <v>67</v>
      </c>
      <c r="R2287" s="12" t="s">
        <v>1146</v>
      </c>
      <c r="S2287" s="13">
        <v>197804393473</v>
      </c>
      <c r="T2287" s="12" t="s">
        <v>709</v>
      </c>
      <c r="U2287" s="12" t="s">
        <v>170</v>
      </c>
      <c r="V2287" s="12" t="s">
        <v>665</v>
      </c>
      <c r="W2287" s="12" t="s">
        <v>51</v>
      </c>
      <c r="X2287" s="14"/>
      <c r="Y2287" s="14"/>
      <c r="Z2287" s="14"/>
      <c r="AA2287" s="14"/>
      <c r="AB2287" s="14"/>
      <c r="AC2287" s="15">
        <v>15.95</v>
      </c>
      <c r="AD2287" s="15">
        <f>AC2287*AG2287</f>
        <v>31.9</v>
      </c>
      <c r="AE2287" s="15">
        <v>35</v>
      </c>
      <c r="AF2287" s="15">
        <f>AE2287*AG2287</f>
        <v>70</v>
      </c>
      <c r="AG2287" s="16">
        <v>2</v>
      </c>
    </row>
    <row r="2288" spans="1:33" ht="15" customHeight="1" x14ac:dyDescent="0.2">
      <c r="A2288" s="11" t="str">
        <f t="shared" si="732"/>
        <v>VN000PR485T1</v>
      </c>
      <c r="B2288" s="12" t="s">
        <v>8570</v>
      </c>
      <c r="C2288" s="12" t="s">
        <v>4773</v>
      </c>
      <c r="D2288" s="12" t="s">
        <v>4774</v>
      </c>
      <c r="E2288" s="12" t="s">
        <v>8571</v>
      </c>
      <c r="F2288" s="12" t="s">
        <v>403</v>
      </c>
      <c r="G2288" s="14"/>
      <c r="H2288" s="12" t="s">
        <v>61</v>
      </c>
      <c r="I2288" s="12" t="s">
        <v>289</v>
      </c>
      <c r="J2288" s="12" t="s">
        <v>706</v>
      </c>
      <c r="K2288" s="12" t="s">
        <v>100</v>
      </c>
      <c r="L2288" s="14"/>
      <c r="M2288" s="12" t="s">
        <v>43</v>
      </c>
      <c r="N2288" s="12" t="s">
        <v>84</v>
      </c>
      <c r="O2288" s="12" t="s">
        <v>8572</v>
      </c>
      <c r="P2288" s="12" t="s">
        <v>66</v>
      </c>
      <c r="Q2288" s="12" t="s">
        <v>67</v>
      </c>
      <c r="R2288" s="12" t="s">
        <v>1146</v>
      </c>
      <c r="S2288" s="13">
        <v>197804363636</v>
      </c>
      <c r="T2288" s="12" t="s">
        <v>49</v>
      </c>
      <c r="U2288" s="12" t="s">
        <v>403</v>
      </c>
      <c r="V2288" s="12" t="s">
        <v>665</v>
      </c>
      <c r="W2288" s="12" t="s">
        <v>455</v>
      </c>
      <c r="X2288" s="14"/>
      <c r="Y2288" s="14"/>
      <c r="Z2288" s="14"/>
      <c r="AA2288" s="14"/>
      <c r="AB2288" s="14"/>
      <c r="AC2288" s="15">
        <v>18.2</v>
      </c>
      <c r="AD2288" s="15">
        <f>AC2288*AG2288</f>
        <v>36.4</v>
      </c>
      <c r="AE2288" s="15">
        <v>40</v>
      </c>
      <c r="AF2288" s="15">
        <f>AE2288*AG2288</f>
        <v>80</v>
      </c>
      <c r="AG2288" s="16">
        <v>2</v>
      </c>
    </row>
    <row r="2289" spans="1:33" ht="15" customHeight="1" x14ac:dyDescent="0.2">
      <c r="A2289" s="11" t="str">
        <f>HYPERLINK("https://assets.vans.eu/images/VN000PR485T-HERO/1","VN000PR485T1")</f>
        <v>VN000PR485T1</v>
      </c>
      <c r="B2289" s="12" t="s">
        <v>8573</v>
      </c>
      <c r="C2289" s="12" t="s">
        <v>4773</v>
      </c>
      <c r="D2289" s="12" t="s">
        <v>4774</v>
      </c>
      <c r="E2289" s="12" t="s">
        <v>8574</v>
      </c>
      <c r="F2289" s="12" t="s">
        <v>60</v>
      </c>
      <c r="G2289" s="14"/>
      <c r="H2289" s="12" t="s">
        <v>61</v>
      </c>
      <c r="I2289" s="12" t="s">
        <v>289</v>
      </c>
      <c r="J2289" s="12" t="s">
        <v>706</v>
      </c>
      <c r="K2289" s="12" t="s">
        <v>100</v>
      </c>
      <c r="L2289" s="14"/>
      <c r="M2289" s="12" t="s">
        <v>43</v>
      </c>
      <c r="N2289" s="12" t="s">
        <v>84</v>
      </c>
      <c r="O2289" s="12" t="s">
        <v>8575</v>
      </c>
      <c r="P2289" s="12" t="s">
        <v>66</v>
      </c>
      <c r="Q2289" s="12" t="s">
        <v>67</v>
      </c>
      <c r="R2289" s="12" t="s">
        <v>1146</v>
      </c>
      <c r="S2289" s="13">
        <v>197804363681</v>
      </c>
      <c r="T2289" s="12" t="s">
        <v>49</v>
      </c>
      <c r="U2289" s="12" t="s">
        <v>60</v>
      </c>
      <c r="V2289" s="12" t="s">
        <v>665</v>
      </c>
      <c r="W2289" s="12" t="s">
        <v>455</v>
      </c>
      <c r="X2289" s="14"/>
      <c r="Y2289" s="14"/>
      <c r="Z2289" s="14"/>
      <c r="AA2289" s="14"/>
      <c r="AB2289" s="14"/>
      <c r="AC2289" s="15">
        <v>18.2</v>
      </c>
      <c r="AD2289" s="15">
        <f>AC2289*AG2289</f>
        <v>36.4</v>
      </c>
      <c r="AE2289" s="15">
        <v>40</v>
      </c>
      <c r="AF2289" s="15">
        <f>AE2289*AG2289</f>
        <v>80</v>
      </c>
      <c r="AG2289" s="16">
        <v>2</v>
      </c>
    </row>
    <row r="2290" spans="1:33" ht="15" customHeight="1" x14ac:dyDescent="0.2">
      <c r="A2290" s="11" t="str">
        <f t="shared" ref="A2290:A2292" si="936">HYPERLINK("https://assets.vans.eu/images/VN000PR4EMV-HERO/1","VN000PR4EMV1")</f>
        <v>VN000PR4EMV1</v>
      </c>
      <c r="B2290" s="12" t="s">
        <v>8576</v>
      </c>
      <c r="C2290" s="12" t="s">
        <v>4773</v>
      </c>
      <c r="D2290" s="12" t="s">
        <v>1908</v>
      </c>
      <c r="E2290" s="12" t="s">
        <v>8577</v>
      </c>
      <c r="F2290" s="12" t="s">
        <v>179</v>
      </c>
      <c r="G2290" s="14"/>
      <c r="H2290" s="12" t="s">
        <v>61</v>
      </c>
      <c r="I2290" s="12" t="s">
        <v>289</v>
      </c>
      <c r="J2290" s="12" t="s">
        <v>706</v>
      </c>
      <c r="K2290" s="12" t="s">
        <v>100</v>
      </c>
      <c r="L2290" s="14"/>
      <c r="M2290" s="12" t="s">
        <v>43</v>
      </c>
      <c r="N2290" s="12" t="s">
        <v>84</v>
      </c>
      <c r="O2290" s="12" t="s">
        <v>8578</v>
      </c>
      <c r="P2290" s="12" t="s">
        <v>66</v>
      </c>
      <c r="Q2290" s="12" t="s">
        <v>67</v>
      </c>
      <c r="R2290" s="12" t="s">
        <v>1146</v>
      </c>
      <c r="S2290" s="13">
        <v>197804363513</v>
      </c>
      <c r="T2290" s="12" t="s">
        <v>49</v>
      </c>
      <c r="U2290" s="12" t="s">
        <v>179</v>
      </c>
      <c r="V2290" s="12" t="s">
        <v>665</v>
      </c>
      <c r="W2290" s="12" t="s">
        <v>51</v>
      </c>
      <c r="X2290" s="14"/>
      <c r="Y2290" s="14"/>
      <c r="Z2290" s="14"/>
      <c r="AA2290" s="14"/>
      <c r="AB2290" s="14"/>
      <c r="AC2290" s="15">
        <v>18.2</v>
      </c>
      <c r="AD2290" s="15">
        <f>AC2290*AG2290</f>
        <v>36.4</v>
      </c>
      <c r="AE2290" s="15">
        <v>40</v>
      </c>
      <c r="AF2290" s="15">
        <f>AE2290*AG2290</f>
        <v>80</v>
      </c>
      <c r="AG2290" s="16">
        <v>2</v>
      </c>
    </row>
    <row r="2291" spans="1:33" ht="15" customHeight="1" x14ac:dyDescent="0.2">
      <c r="A2291" s="11" t="str">
        <f t="shared" si="936"/>
        <v>VN000PR4EMV1</v>
      </c>
      <c r="B2291" s="12" t="s">
        <v>8579</v>
      </c>
      <c r="C2291" s="12" t="s">
        <v>4773</v>
      </c>
      <c r="D2291" s="12" t="s">
        <v>1908</v>
      </c>
      <c r="E2291" s="12" t="s">
        <v>8580</v>
      </c>
      <c r="F2291" s="12" t="s">
        <v>170</v>
      </c>
      <c r="G2291" s="14"/>
      <c r="H2291" s="12" t="s">
        <v>61</v>
      </c>
      <c r="I2291" s="12" t="s">
        <v>289</v>
      </c>
      <c r="J2291" s="12" t="s">
        <v>706</v>
      </c>
      <c r="K2291" s="12" t="s">
        <v>100</v>
      </c>
      <c r="L2291" s="14"/>
      <c r="M2291" s="12" t="s">
        <v>43</v>
      </c>
      <c r="N2291" s="12" t="s">
        <v>84</v>
      </c>
      <c r="O2291" s="12" t="s">
        <v>8581</v>
      </c>
      <c r="P2291" s="12" t="s">
        <v>66</v>
      </c>
      <c r="Q2291" s="12" t="s">
        <v>67</v>
      </c>
      <c r="R2291" s="12" t="s">
        <v>1146</v>
      </c>
      <c r="S2291" s="13">
        <v>197804363568</v>
      </c>
      <c r="T2291" s="12" t="s">
        <v>49</v>
      </c>
      <c r="U2291" s="12" t="s">
        <v>170</v>
      </c>
      <c r="V2291" s="12" t="s">
        <v>665</v>
      </c>
      <c r="W2291" s="12" t="s">
        <v>51</v>
      </c>
      <c r="X2291" s="14"/>
      <c r="Y2291" s="14"/>
      <c r="Z2291" s="14"/>
      <c r="AA2291" s="14"/>
      <c r="AB2291" s="14"/>
      <c r="AC2291" s="15">
        <v>18.2</v>
      </c>
      <c r="AD2291" s="15">
        <f>AC2291*AG2291</f>
        <v>36.4</v>
      </c>
      <c r="AE2291" s="15">
        <v>40</v>
      </c>
      <c r="AF2291" s="15">
        <f>AE2291*AG2291</f>
        <v>80</v>
      </c>
      <c r="AG2291" s="16">
        <v>2</v>
      </c>
    </row>
    <row r="2292" spans="1:33" ht="15" customHeight="1" x14ac:dyDescent="0.2">
      <c r="A2292" s="11" t="str">
        <f t="shared" si="936"/>
        <v>VN000PR4EMV1</v>
      </c>
      <c r="B2292" s="12" t="s">
        <v>8582</v>
      </c>
      <c r="C2292" s="12" t="s">
        <v>4773</v>
      </c>
      <c r="D2292" s="12" t="s">
        <v>1908</v>
      </c>
      <c r="E2292" s="12" t="s">
        <v>8583</v>
      </c>
      <c r="F2292" s="12" t="s">
        <v>153</v>
      </c>
      <c r="G2292" s="14"/>
      <c r="H2292" s="12" t="s">
        <v>61</v>
      </c>
      <c r="I2292" s="12" t="s">
        <v>289</v>
      </c>
      <c r="J2292" s="12" t="s">
        <v>706</v>
      </c>
      <c r="K2292" s="12" t="s">
        <v>100</v>
      </c>
      <c r="L2292" s="14"/>
      <c r="M2292" s="12" t="s">
        <v>43</v>
      </c>
      <c r="N2292" s="12" t="s">
        <v>84</v>
      </c>
      <c r="O2292" s="12" t="s">
        <v>8584</v>
      </c>
      <c r="P2292" s="12" t="s">
        <v>66</v>
      </c>
      <c r="Q2292" s="12" t="s">
        <v>67</v>
      </c>
      <c r="R2292" s="12" t="s">
        <v>1146</v>
      </c>
      <c r="S2292" s="13">
        <v>197804363773</v>
      </c>
      <c r="T2292" s="12" t="s">
        <v>49</v>
      </c>
      <c r="U2292" s="12" t="s">
        <v>153</v>
      </c>
      <c r="V2292" s="12" t="s">
        <v>665</v>
      </c>
      <c r="W2292" s="12" t="s">
        <v>51</v>
      </c>
      <c r="X2292" s="14"/>
      <c r="Y2292" s="14"/>
      <c r="Z2292" s="14"/>
      <c r="AA2292" s="14"/>
      <c r="AB2292" s="14"/>
      <c r="AC2292" s="15">
        <v>18.2</v>
      </c>
      <c r="AD2292" s="15">
        <f>AC2292*AG2292</f>
        <v>36.4</v>
      </c>
      <c r="AE2292" s="15">
        <v>40</v>
      </c>
      <c r="AF2292" s="15">
        <f>AE2292*AG2292</f>
        <v>80</v>
      </c>
      <c r="AG2292" s="16">
        <v>2</v>
      </c>
    </row>
    <row r="2293" spans="1:33" ht="15" customHeight="1" x14ac:dyDescent="0.2">
      <c r="A2293" s="11" t="str">
        <f>HYPERLINK("https://assets.vans.eu/images/VN000PREEMW-HERO/1","VN000PREEMW1")</f>
        <v>VN000PREEMW1</v>
      </c>
      <c r="B2293" s="12" t="s">
        <v>8585</v>
      </c>
      <c r="C2293" s="12" t="s">
        <v>5480</v>
      </c>
      <c r="D2293" s="12" t="s">
        <v>147</v>
      </c>
      <c r="E2293" s="12" t="s">
        <v>8586</v>
      </c>
      <c r="F2293" s="12" t="s">
        <v>179</v>
      </c>
      <c r="G2293" s="14"/>
      <c r="H2293" s="12" t="s">
        <v>61</v>
      </c>
      <c r="I2293" s="12" t="s">
        <v>289</v>
      </c>
      <c r="J2293" s="12" t="s">
        <v>706</v>
      </c>
      <c r="K2293" s="12" t="s">
        <v>100</v>
      </c>
      <c r="L2293" s="14"/>
      <c r="M2293" s="12" t="s">
        <v>43</v>
      </c>
      <c r="N2293" s="12" t="s">
        <v>84</v>
      </c>
      <c r="O2293" s="12" t="s">
        <v>8587</v>
      </c>
      <c r="P2293" s="12" t="s">
        <v>66</v>
      </c>
      <c r="Q2293" s="12" t="s">
        <v>67</v>
      </c>
      <c r="R2293" s="12" t="s">
        <v>1146</v>
      </c>
      <c r="S2293" s="13">
        <v>197804392483</v>
      </c>
      <c r="T2293" s="12" t="s">
        <v>709</v>
      </c>
      <c r="U2293" s="12" t="s">
        <v>179</v>
      </c>
      <c r="V2293" s="12" t="s">
        <v>665</v>
      </c>
      <c r="W2293" s="12" t="s">
        <v>118</v>
      </c>
      <c r="X2293" s="14"/>
      <c r="Y2293" s="14"/>
      <c r="Z2293" s="14"/>
      <c r="AA2293" s="14"/>
      <c r="AB2293" s="14"/>
      <c r="AC2293" s="15">
        <v>18.2</v>
      </c>
      <c r="AD2293" s="15">
        <f>AC2293*AG2293</f>
        <v>36.4</v>
      </c>
      <c r="AE2293" s="15">
        <v>40</v>
      </c>
      <c r="AF2293" s="15">
        <f>AE2293*AG2293</f>
        <v>80</v>
      </c>
      <c r="AG2293" s="16">
        <v>2</v>
      </c>
    </row>
    <row r="2294" spans="1:33" ht="15" customHeight="1" x14ac:dyDescent="0.2">
      <c r="A2294" s="11" t="str">
        <f>HYPERLINK("https://assets.vans.eu/images/VN000PREEMW-HERO/1","VN000PREEMW1")</f>
        <v>VN000PREEMW1</v>
      </c>
      <c r="B2294" s="12" t="s">
        <v>8588</v>
      </c>
      <c r="C2294" s="12" t="s">
        <v>5480</v>
      </c>
      <c r="D2294" s="12" t="s">
        <v>147</v>
      </c>
      <c r="E2294" s="12" t="s">
        <v>8589</v>
      </c>
      <c r="F2294" s="12" t="s">
        <v>170</v>
      </c>
      <c r="G2294" s="14"/>
      <c r="H2294" s="12" t="s">
        <v>61</v>
      </c>
      <c r="I2294" s="12" t="s">
        <v>289</v>
      </c>
      <c r="J2294" s="12" t="s">
        <v>706</v>
      </c>
      <c r="K2294" s="12" t="s">
        <v>100</v>
      </c>
      <c r="L2294" s="14"/>
      <c r="M2294" s="12" t="s">
        <v>43</v>
      </c>
      <c r="N2294" s="12" t="s">
        <v>84</v>
      </c>
      <c r="O2294" s="12" t="s">
        <v>8590</v>
      </c>
      <c r="P2294" s="12" t="s">
        <v>66</v>
      </c>
      <c r="Q2294" s="12" t="s">
        <v>67</v>
      </c>
      <c r="R2294" s="12" t="s">
        <v>1146</v>
      </c>
      <c r="S2294" s="13">
        <v>197804392490</v>
      </c>
      <c r="T2294" s="12" t="s">
        <v>709</v>
      </c>
      <c r="U2294" s="12" t="s">
        <v>170</v>
      </c>
      <c r="V2294" s="12" t="s">
        <v>665</v>
      </c>
      <c r="W2294" s="12" t="s">
        <v>118</v>
      </c>
      <c r="X2294" s="14"/>
      <c r="Y2294" s="14"/>
      <c r="Z2294" s="14"/>
      <c r="AA2294" s="14"/>
      <c r="AB2294" s="14"/>
      <c r="AC2294" s="15">
        <v>18.2</v>
      </c>
      <c r="AD2294" s="15">
        <f>AC2294*AG2294</f>
        <v>36.4</v>
      </c>
      <c r="AE2294" s="15">
        <v>40</v>
      </c>
      <c r="AF2294" s="15">
        <f>AE2294*AG2294</f>
        <v>80</v>
      </c>
      <c r="AG2294" s="16">
        <v>2</v>
      </c>
    </row>
    <row r="2295" spans="1:33" ht="15" customHeight="1" x14ac:dyDescent="0.2">
      <c r="A2295" s="11" t="str">
        <f t="shared" ref="A2295:A2296" si="937">HYPERLINK("https://assets.vans.eu/images/VN000PRKEN9-HERO/1","VN000PRKEN91")</f>
        <v>VN000PRKEN91</v>
      </c>
      <c r="B2295" s="12" t="s">
        <v>8591</v>
      </c>
      <c r="C2295" s="12" t="s">
        <v>8592</v>
      </c>
      <c r="D2295" s="12" t="s">
        <v>982</v>
      </c>
      <c r="E2295" s="12" t="s">
        <v>8593</v>
      </c>
      <c r="F2295" s="12" t="s">
        <v>621</v>
      </c>
      <c r="G2295" s="14"/>
      <c r="H2295" s="12" t="s">
        <v>61</v>
      </c>
      <c r="I2295" s="12" t="s">
        <v>289</v>
      </c>
      <c r="J2295" s="12" t="s">
        <v>706</v>
      </c>
      <c r="K2295" s="12" t="s">
        <v>100</v>
      </c>
      <c r="L2295" s="14"/>
      <c r="M2295" s="12" t="s">
        <v>43</v>
      </c>
      <c r="N2295" s="12" t="s">
        <v>84</v>
      </c>
      <c r="O2295" s="12" t="s">
        <v>8594</v>
      </c>
      <c r="P2295" s="12" t="s">
        <v>66</v>
      </c>
      <c r="Q2295" s="12" t="s">
        <v>67</v>
      </c>
      <c r="R2295" s="12" t="s">
        <v>1146</v>
      </c>
      <c r="S2295" s="13">
        <v>197804363889</v>
      </c>
      <c r="T2295" s="12" t="s">
        <v>49</v>
      </c>
      <c r="U2295" s="12" t="s">
        <v>621</v>
      </c>
      <c r="V2295" s="12" t="s">
        <v>665</v>
      </c>
      <c r="W2295" s="12" t="s">
        <v>455</v>
      </c>
      <c r="X2295" s="14"/>
      <c r="Y2295" s="14"/>
      <c r="Z2295" s="14"/>
      <c r="AA2295" s="14"/>
      <c r="AB2295" s="14"/>
      <c r="AC2295" s="15">
        <v>20.5</v>
      </c>
      <c r="AD2295" s="15">
        <f>AC2295*AG2295</f>
        <v>41</v>
      </c>
      <c r="AE2295" s="15">
        <v>45</v>
      </c>
      <c r="AF2295" s="15">
        <f>AE2295*AG2295</f>
        <v>90</v>
      </c>
      <c r="AG2295" s="16">
        <v>2</v>
      </c>
    </row>
    <row r="2296" spans="1:33" ht="15" customHeight="1" x14ac:dyDescent="0.2">
      <c r="A2296" s="11" t="str">
        <f t="shared" si="937"/>
        <v>VN000PRKEN91</v>
      </c>
      <c r="B2296" s="12" t="s">
        <v>8595</v>
      </c>
      <c r="C2296" s="12" t="s">
        <v>8592</v>
      </c>
      <c r="D2296" s="12" t="s">
        <v>982</v>
      </c>
      <c r="E2296" s="12" t="s">
        <v>8596</v>
      </c>
      <c r="F2296" s="12" t="s">
        <v>138</v>
      </c>
      <c r="G2296" s="14"/>
      <c r="H2296" s="12" t="s">
        <v>61</v>
      </c>
      <c r="I2296" s="12" t="s">
        <v>289</v>
      </c>
      <c r="J2296" s="12" t="s">
        <v>706</v>
      </c>
      <c r="K2296" s="12" t="s">
        <v>100</v>
      </c>
      <c r="L2296" s="14"/>
      <c r="M2296" s="12" t="s">
        <v>43</v>
      </c>
      <c r="N2296" s="12" t="s">
        <v>84</v>
      </c>
      <c r="O2296" s="12" t="s">
        <v>8597</v>
      </c>
      <c r="P2296" s="12" t="s">
        <v>66</v>
      </c>
      <c r="Q2296" s="12" t="s">
        <v>67</v>
      </c>
      <c r="R2296" s="12" t="s">
        <v>1146</v>
      </c>
      <c r="S2296" s="13">
        <v>197804363971</v>
      </c>
      <c r="T2296" s="12" t="s">
        <v>49</v>
      </c>
      <c r="U2296" s="12" t="s">
        <v>138</v>
      </c>
      <c r="V2296" s="12" t="s">
        <v>665</v>
      </c>
      <c r="W2296" s="12" t="s">
        <v>455</v>
      </c>
      <c r="X2296" s="14"/>
      <c r="Y2296" s="14"/>
      <c r="Z2296" s="14"/>
      <c r="AA2296" s="14"/>
      <c r="AB2296" s="14"/>
      <c r="AC2296" s="15">
        <v>20.5</v>
      </c>
      <c r="AD2296" s="15">
        <f>AC2296*AG2296</f>
        <v>41</v>
      </c>
      <c r="AE2296" s="15">
        <v>45</v>
      </c>
      <c r="AF2296" s="15">
        <f>AE2296*AG2296</f>
        <v>90</v>
      </c>
      <c r="AG2296" s="16">
        <v>2</v>
      </c>
    </row>
    <row r="2297" spans="1:33" ht="15" customHeight="1" x14ac:dyDescent="0.2">
      <c r="A2297" s="11" t="str">
        <f>HYPERLINK("https://assets.vans.eu/images/VN000PRKRV2-HERO/1","VN000PRKRV21")</f>
        <v>VN000PRKRV21</v>
      </c>
      <c r="B2297" s="12" t="s">
        <v>8598</v>
      </c>
      <c r="C2297" s="12" t="s">
        <v>8592</v>
      </c>
      <c r="D2297" s="12" t="s">
        <v>1428</v>
      </c>
      <c r="E2297" s="12" t="s">
        <v>8599</v>
      </c>
      <c r="F2297" s="12" t="s">
        <v>138</v>
      </c>
      <c r="G2297" s="14"/>
      <c r="H2297" s="12" t="s">
        <v>61</v>
      </c>
      <c r="I2297" s="12" t="s">
        <v>289</v>
      </c>
      <c r="J2297" s="12" t="s">
        <v>706</v>
      </c>
      <c r="K2297" s="12" t="s">
        <v>100</v>
      </c>
      <c r="L2297" s="14"/>
      <c r="M2297" s="12" t="s">
        <v>43</v>
      </c>
      <c r="N2297" s="12" t="s">
        <v>84</v>
      </c>
      <c r="O2297" s="12" t="s">
        <v>8600</v>
      </c>
      <c r="P2297" s="12" t="s">
        <v>66</v>
      </c>
      <c r="Q2297" s="12" t="s">
        <v>67</v>
      </c>
      <c r="R2297" s="12" t="s">
        <v>1146</v>
      </c>
      <c r="S2297" s="13">
        <v>197804364169</v>
      </c>
      <c r="T2297" s="12" t="s">
        <v>49</v>
      </c>
      <c r="U2297" s="12" t="s">
        <v>138</v>
      </c>
      <c r="V2297" s="12" t="s">
        <v>665</v>
      </c>
      <c r="W2297" s="12" t="s">
        <v>51</v>
      </c>
      <c r="X2297" s="14"/>
      <c r="Y2297" s="14"/>
      <c r="Z2297" s="14"/>
      <c r="AA2297" s="14"/>
      <c r="AB2297" s="14"/>
      <c r="AC2297" s="15">
        <v>20.5</v>
      </c>
      <c r="AD2297" s="15">
        <f>AC2297*AG2297</f>
        <v>41</v>
      </c>
      <c r="AE2297" s="15">
        <v>45</v>
      </c>
      <c r="AF2297" s="15">
        <f>AE2297*AG2297</f>
        <v>90</v>
      </c>
      <c r="AG2297" s="16">
        <v>2</v>
      </c>
    </row>
    <row r="2298" spans="1:33" ht="15" customHeight="1" x14ac:dyDescent="0.2">
      <c r="A2298" s="11" t="str">
        <f t="shared" ref="A2298:A2299" si="938">HYPERLINK("https://assets.vans.eu/images/VN000PTBF0W-HERO/1","VN000PTBF0W1")</f>
        <v>VN000PTBF0W1</v>
      </c>
      <c r="B2298" s="12" t="s">
        <v>8601</v>
      </c>
      <c r="C2298" s="12" t="s">
        <v>4218</v>
      </c>
      <c r="D2298" s="12" t="s">
        <v>4219</v>
      </c>
      <c r="E2298" s="12" t="s">
        <v>8602</v>
      </c>
      <c r="F2298" s="12" t="s">
        <v>170</v>
      </c>
      <c r="G2298" s="14"/>
      <c r="H2298" s="12" t="s">
        <v>61</v>
      </c>
      <c r="I2298" s="12" t="s">
        <v>230</v>
      </c>
      <c r="J2298" s="12" t="s">
        <v>762</v>
      </c>
      <c r="K2298" s="12" t="s">
        <v>199</v>
      </c>
      <c r="L2298" s="14"/>
      <c r="M2298" s="12" t="s">
        <v>43</v>
      </c>
      <c r="N2298" s="12" t="s">
        <v>84</v>
      </c>
      <c r="O2298" s="12" t="s">
        <v>8603</v>
      </c>
      <c r="P2298" s="12" t="s">
        <v>66</v>
      </c>
      <c r="Q2298" s="12" t="s">
        <v>764</v>
      </c>
      <c r="R2298" s="12" t="s">
        <v>765</v>
      </c>
      <c r="S2298" s="13">
        <v>197804363902</v>
      </c>
      <c r="T2298" s="12" t="s">
        <v>235</v>
      </c>
      <c r="U2298" s="12" t="s">
        <v>170</v>
      </c>
      <c r="V2298" s="12" t="s">
        <v>90</v>
      </c>
      <c r="W2298" s="12" t="s">
        <v>625</v>
      </c>
      <c r="X2298" s="14"/>
      <c r="Y2298" s="14"/>
      <c r="Z2298" s="14"/>
      <c r="AA2298" s="14"/>
      <c r="AB2298" s="14"/>
      <c r="AC2298" s="15">
        <v>54.55</v>
      </c>
      <c r="AD2298" s="15">
        <f>AC2298*AG2298</f>
        <v>109.1</v>
      </c>
      <c r="AE2298" s="15">
        <v>120</v>
      </c>
      <c r="AF2298" s="15">
        <f>AE2298*AG2298</f>
        <v>240</v>
      </c>
      <c r="AG2298" s="16">
        <v>2</v>
      </c>
    </row>
    <row r="2299" spans="1:33" ht="15" customHeight="1" x14ac:dyDescent="0.2">
      <c r="A2299" s="11" t="str">
        <f t="shared" si="938"/>
        <v>VN000PTBF0W1</v>
      </c>
      <c r="B2299" s="12" t="s">
        <v>8604</v>
      </c>
      <c r="C2299" s="12" t="s">
        <v>4218</v>
      </c>
      <c r="D2299" s="12" t="s">
        <v>4219</v>
      </c>
      <c r="E2299" s="12" t="s">
        <v>8605</v>
      </c>
      <c r="F2299" s="12" t="s">
        <v>621</v>
      </c>
      <c r="G2299" s="14"/>
      <c r="H2299" s="12" t="s">
        <v>61</v>
      </c>
      <c r="I2299" s="12" t="s">
        <v>230</v>
      </c>
      <c r="J2299" s="12" t="s">
        <v>762</v>
      </c>
      <c r="K2299" s="12" t="s">
        <v>199</v>
      </c>
      <c r="L2299" s="14"/>
      <c r="M2299" s="12" t="s">
        <v>43</v>
      </c>
      <c r="N2299" s="12" t="s">
        <v>84</v>
      </c>
      <c r="O2299" s="12" t="s">
        <v>8606</v>
      </c>
      <c r="P2299" s="12" t="s">
        <v>66</v>
      </c>
      <c r="Q2299" s="12" t="s">
        <v>764</v>
      </c>
      <c r="R2299" s="12" t="s">
        <v>765</v>
      </c>
      <c r="S2299" s="13">
        <v>197804364527</v>
      </c>
      <c r="T2299" s="12" t="s">
        <v>235</v>
      </c>
      <c r="U2299" s="12" t="s">
        <v>621</v>
      </c>
      <c r="V2299" s="12" t="s">
        <v>90</v>
      </c>
      <c r="W2299" s="12" t="s">
        <v>625</v>
      </c>
      <c r="X2299" s="14"/>
      <c r="Y2299" s="14"/>
      <c r="Z2299" s="14"/>
      <c r="AA2299" s="14"/>
      <c r="AB2299" s="14"/>
      <c r="AC2299" s="15">
        <v>54.55</v>
      </c>
      <c r="AD2299" s="15">
        <f>AC2299*AG2299</f>
        <v>109.1</v>
      </c>
      <c r="AE2299" s="15">
        <v>120</v>
      </c>
      <c r="AF2299" s="15">
        <f>AE2299*AG2299</f>
        <v>240</v>
      </c>
      <c r="AG2299" s="16">
        <v>2</v>
      </c>
    </row>
    <row r="2300" spans="1:33" ht="15" customHeight="1" x14ac:dyDescent="0.2">
      <c r="A2300" s="11" t="str">
        <f t="shared" ref="A2300:A2301" si="939">HYPERLINK("https://assets.vans.eu/images/VN000PTTBRD-HERO/1","VN000PTTBRD1")</f>
        <v>VN000PTTBRD1</v>
      </c>
      <c r="B2300" s="12" t="s">
        <v>8607</v>
      </c>
      <c r="C2300" s="12" t="s">
        <v>8608</v>
      </c>
      <c r="D2300" s="12" t="s">
        <v>590</v>
      </c>
      <c r="E2300" s="12" t="s">
        <v>8609</v>
      </c>
      <c r="F2300" s="12" t="s">
        <v>179</v>
      </c>
      <c r="G2300" s="14"/>
      <c r="H2300" s="12" t="s">
        <v>61</v>
      </c>
      <c r="I2300" s="12" t="s">
        <v>62</v>
      </c>
      <c r="J2300" s="12" t="s">
        <v>63</v>
      </c>
      <c r="K2300" s="12" t="s">
        <v>1022</v>
      </c>
      <c r="L2300" s="14"/>
      <c r="M2300" s="12" t="s">
        <v>43</v>
      </c>
      <c r="N2300" s="12" t="s">
        <v>84</v>
      </c>
      <c r="O2300" s="12" t="s">
        <v>8610</v>
      </c>
      <c r="P2300" s="12" t="s">
        <v>66</v>
      </c>
      <c r="Q2300" s="12" t="s">
        <v>67</v>
      </c>
      <c r="R2300" s="12" t="s">
        <v>68</v>
      </c>
      <c r="S2300" s="13">
        <v>197804581849</v>
      </c>
      <c r="T2300" s="12" t="s">
        <v>915</v>
      </c>
      <c r="U2300" s="12" t="s">
        <v>179</v>
      </c>
      <c r="V2300" s="12" t="s">
        <v>1028</v>
      </c>
      <c r="W2300" s="12" t="s">
        <v>262</v>
      </c>
      <c r="X2300" s="14"/>
      <c r="Y2300" s="14"/>
      <c r="Z2300" s="14"/>
      <c r="AA2300" s="14"/>
      <c r="AB2300" s="14"/>
      <c r="AC2300" s="15">
        <v>13.65</v>
      </c>
      <c r="AD2300" s="15">
        <f>AC2300*AG2300</f>
        <v>27.3</v>
      </c>
      <c r="AE2300" s="15">
        <v>30</v>
      </c>
      <c r="AF2300" s="15">
        <f>AE2300*AG2300</f>
        <v>60</v>
      </c>
      <c r="AG2300" s="16">
        <v>2</v>
      </c>
    </row>
    <row r="2301" spans="1:33" ht="15" customHeight="1" x14ac:dyDescent="0.2">
      <c r="A2301" s="11" t="str">
        <f t="shared" si="939"/>
        <v>VN000PTTBRD1</v>
      </c>
      <c r="B2301" s="12" t="s">
        <v>8611</v>
      </c>
      <c r="C2301" s="12" t="s">
        <v>8608</v>
      </c>
      <c r="D2301" s="12" t="s">
        <v>590</v>
      </c>
      <c r="E2301" s="12" t="s">
        <v>8612</v>
      </c>
      <c r="F2301" s="12" t="s">
        <v>170</v>
      </c>
      <c r="G2301" s="14"/>
      <c r="H2301" s="12" t="s">
        <v>61</v>
      </c>
      <c r="I2301" s="12" t="s">
        <v>62</v>
      </c>
      <c r="J2301" s="12" t="s">
        <v>63</v>
      </c>
      <c r="K2301" s="12" t="s">
        <v>1022</v>
      </c>
      <c r="L2301" s="14"/>
      <c r="M2301" s="12" t="s">
        <v>43</v>
      </c>
      <c r="N2301" s="12" t="s">
        <v>84</v>
      </c>
      <c r="O2301" s="12" t="s">
        <v>8613</v>
      </c>
      <c r="P2301" s="12" t="s">
        <v>66</v>
      </c>
      <c r="Q2301" s="12" t="s">
        <v>67</v>
      </c>
      <c r="R2301" s="12" t="s">
        <v>68</v>
      </c>
      <c r="S2301" s="13">
        <v>197804581894</v>
      </c>
      <c r="T2301" s="12" t="s">
        <v>915</v>
      </c>
      <c r="U2301" s="12" t="s">
        <v>170</v>
      </c>
      <c r="V2301" s="12" t="s">
        <v>1028</v>
      </c>
      <c r="W2301" s="12" t="s">
        <v>262</v>
      </c>
      <c r="X2301" s="14"/>
      <c r="Y2301" s="14"/>
      <c r="Z2301" s="14"/>
      <c r="AA2301" s="14"/>
      <c r="AB2301" s="14"/>
      <c r="AC2301" s="15">
        <v>13.65</v>
      </c>
      <c r="AD2301" s="15">
        <f>AC2301*AG2301</f>
        <v>27.3</v>
      </c>
      <c r="AE2301" s="15">
        <v>30</v>
      </c>
      <c r="AF2301" s="15">
        <f>AE2301*AG2301</f>
        <v>60</v>
      </c>
      <c r="AG2301" s="16">
        <v>2</v>
      </c>
    </row>
    <row r="2302" spans="1:33" ht="15" customHeight="1" x14ac:dyDescent="0.2">
      <c r="A2302" s="11" t="str">
        <f t="shared" si="734"/>
        <v>VN000PWXBLK1</v>
      </c>
      <c r="B2302" s="12" t="s">
        <v>8614</v>
      </c>
      <c r="C2302" s="12" t="s">
        <v>3761</v>
      </c>
      <c r="D2302" s="12" t="s">
        <v>76</v>
      </c>
      <c r="E2302" s="12" t="s">
        <v>8615</v>
      </c>
      <c r="F2302" s="12" t="s">
        <v>60</v>
      </c>
      <c r="G2302" s="14"/>
      <c r="H2302" s="12" t="s">
        <v>61</v>
      </c>
      <c r="I2302" s="12" t="s">
        <v>62</v>
      </c>
      <c r="J2302" s="12" t="s">
        <v>63</v>
      </c>
      <c r="K2302" s="12" t="s">
        <v>64</v>
      </c>
      <c r="L2302" s="14"/>
      <c r="M2302" s="12" t="s">
        <v>43</v>
      </c>
      <c r="N2302" s="12" t="s">
        <v>84</v>
      </c>
      <c r="O2302" s="12" t="s">
        <v>8616</v>
      </c>
      <c r="P2302" s="12" t="s">
        <v>66</v>
      </c>
      <c r="Q2302" s="12" t="s">
        <v>67</v>
      </c>
      <c r="R2302" s="12" t="s">
        <v>730</v>
      </c>
      <c r="S2302" s="13">
        <v>197804365296</v>
      </c>
      <c r="T2302" s="12" t="s">
        <v>709</v>
      </c>
      <c r="U2302" s="12" t="s">
        <v>60</v>
      </c>
      <c r="V2302" s="12" t="s">
        <v>710</v>
      </c>
      <c r="W2302" s="12" t="s">
        <v>51</v>
      </c>
      <c r="X2302" s="14"/>
      <c r="Y2302" s="14"/>
      <c r="Z2302" s="14"/>
      <c r="AA2302" s="14"/>
      <c r="AB2302" s="14"/>
      <c r="AC2302" s="15">
        <v>27.3</v>
      </c>
      <c r="AD2302" s="15">
        <f>AC2302*AG2302</f>
        <v>54.6</v>
      </c>
      <c r="AE2302" s="15">
        <v>60</v>
      </c>
      <c r="AF2302" s="15">
        <f>AE2302*AG2302</f>
        <v>120</v>
      </c>
      <c r="AG2302" s="16">
        <v>2</v>
      </c>
    </row>
    <row r="2303" spans="1:33" ht="15" customHeight="1" x14ac:dyDescent="0.2">
      <c r="A2303" s="11" t="str">
        <f t="shared" ref="A2303:A2304" si="940">HYPERLINK("https://assets.vans.eu/images/VN000PWXEMW-HERO/1","VN000PWXEMW1")</f>
        <v>VN000PWXEMW1</v>
      </c>
      <c r="B2303" s="12" t="s">
        <v>8617</v>
      </c>
      <c r="C2303" s="12" t="s">
        <v>3761</v>
      </c>
      <c r="D2303" s="12" t="s">
        <v>147</v>
      </c>
      <c r="E2303" s="12" t="s">
        <v>8618</v>
      </c>
      <c r="F2303" s="12" t="s">
        <v>170</v>
      </c>
      <c r="G2303" s="14"/>
      <c r="H2303" s="12" t="s">
        <v>61</v>
      </c>
      <c r="I2303" s="12" t="s">
        <v>62</v>
      </c>
      <c r="J2303" s="12" t="s">
        <v>63</v>
      </c>
      <c r="K2303" s="12" t="s">
        <v>64</v>
      </c>
      <c r="L2303" s="14"/>
      <c r="M2303" s="12" t="s">
        <v>43</v>
      </c>
      <c r="N2303" s="12" t="s">
        <v>84</v>
      </c>
      <c r="O2303" s="12" t="s">
        <v>8619</v>
      </c>
      <c r="P2303" s="12" t="s">
        <v>66</v>
      </c>
      <c r="Q2303" s="12" t="s">
        <v>67</v>
      </c>
      <c r="R2303" s="12" t="s">
        <v>730</v>
      </c>
      <c r="S2303" s="13">
        <v>197804364954</v>
      </c>
      <c r="T2303" s="12" t="s">
        <v>709</v>
      </c>
      <c r="U2303" s="12" t="s">
        <v>170</v>
      </c>
      <c r="V2303" s="12" t="s">
        <v>710</v>
      </c>
      <c r="W2303" s="12" t="s">
        <v>118</v>
      </c>
      <c r="X2303" s="14"/>
      <c r="Y2303" s="14"/>
      <c r="Z2303" s="14"/>
      <c r="AA2303" s="14"/>
      <c r="AB2303" s="14"/>
      <c r="AC2303" s="15">
        <v>27.3</v>
      </c>
      <c r="AD2303" s="15">
        <f>AC2303*AG2303</f>
        <v>54.6</v>
      </c>
      <c r="AE2303" s="15">
        <v>60</v>
      </c>
      <c r="AF2303" s="15">
        <f>AE2303*AG2303</f>
        <v>120</v>
      </c>
      <c r="AG2303" s="16">
        <v>2</v>
      </c>
    </row>
    <row r="2304" spans="1:33" ht="15" customHeight="1" x14ac:dyDescent="0.2">
      <c r="A2304" s="11" t="str">
        <f t="shared" si="940"/>
        <v>VN000PWXEMW1</v>
      </c>
      <c r="B2304" s="12" t="s">
        <v>8620</v>
      </c>
      <c r="C2304" s="12" t="s">
        <v>3761</v>
      </c>
      <c r="D2304" s="12" t="s">
        <v>147</v>
      </c>
      <c r="E2304" s="12" t="s">
        <v>8621</v>
      </c>
      <c r="F2304" s="12" t="s">
        <v>60</v>
      </c>
      <c r="G2304" s="14"/>
      <c r="H2304" s="12" t="s">
        <v>61</v>
      </c>
      <c r="I2304" s="12" t="s">
        <v>62</v>
      </c>
      <c r="J2304" s="12" t="s">
        <v>63</v>
      </c>
      <c r="K2304" s="12" t="s">
        <v>64</v>
      </c>
      <c r="L2304" s="14"/>
      <c r="M2304" s="12" t="s">
        <v>43</v>
      </c>
      <c r="N2304" s="12" t="s">
        <v>84</v>
      </c>
      <c r="O2304" s="12" t="s">
        <v>8622</v>
      </c>
      <c r="P2304" s="12" t="s">
        <v>66</v>
      </c>
      <c r="Q2304" s="12" t="s">
        <v>67</v>
      </c>
      <c r="R2304" s="12" t="s">
        <v>730</v>
      </c>
      <c r="S2304" s="13">
        <v>197804365326</v>
      </c>
      <c r="T2304" s="12" t="s">
        <v>709</v>
      </c>
      <c r="U2304" s="12" t="s">
        <v>60</v>
      </c>
      <c r="V2304" s="12" t="s">
        <v>710</v>
      </c>
      <c r="W2304" s="12" t="s">
        <v>118</v>
      </c>
      <c r="X2304" s="14"/>
      <c r="Y2304" s="14"/>
      <c r="Z2304" s="14"/>
      <c r="AA2304" s="14"/>
      <c r="AB2304" s="14"/>
      <c r="AC2304" s="15">
        <v>27.3</v>
      </c>
      <c r="AD2304" s="15">
        <f>AC2304*AG2304</f>
        <v>54.6</v>
      </c>
      <c r="AE2304" s="15">
        <v>60</v>
      </c>
      <c r="AF2304" s="15">
        <f>AE2304*AG2304</f>
        <v>120</v>
      </c>
      <c r="AG2304" s="16">
        <v>2</v>
      </c>
    </row>
    <row r="2305" spans="1:33" ht="15" customHeight="1" x14ac:dyDescent="0.2">
      <c r="A2305" s="11" t="str">
        <f>HYPERLINK("https://assets.vans.eu/images/VN000PX2EMP-HERO/1","VN000PX2EMP1")</f>
        <v>VN000PX2EMP1</v>
      </c>
      <c r="B2305" s="12" t="s">
        <v>8623</v>
      </c>
      <c r="C2305" s="12" t="s">
        <v>6768</v>
      </c>
      <c r="D2305" s="12" t="s">
        <v>704</v>
      </c>
      <c r="E2305" s="12" t="s">
        <v>8624</v>
      </c>
      <c r="F2305" s="12" t="s">
        <v>170</v>
      </c>
      <c r="G2305" s="14"/>
      <c r="H2305" s="12" t="s">
        <v>61</v>
      </c>
      <c r="I2305" s="12" t="s">
        <v>62</v>
      </c>
      <c r="J2305" s="12" t="s">
        <v>63</v>
      </c>
      <c r="K2305" s="12" t="s">
        <v>64</v>
      </c>
      <c r="L2305" s="14"/>
      <c r="M2305" s="12" t="s">
        <v>43</v>
      </c>
      <c r="N2305" s="12" t="s">
        <v>84</v>
      </c>
      <c r="O2305" s="12" t="s">
        <v>8625</v>
      </c>
      <c r="P2305" s="12" t="s">
        <v>66</v>
      </c>
      <c r="Q2305" s="12" t="s">
        <v>67</v>
      </c>
      <c r="R2305" s="12" t="s">
        <v>730</v>
      </c>
      <c r="S2305" s="13">
        <v>197804582136</v>
      </c>
      <c r="T2305" s="12" t="s">
        <v>49</v>
      </c>
      <c r="U2305" s="12" t="s">
        <v>170</v>
      </c>
      <c r="V2305" s="12" t="s">
        <v>710</v>
      </c>
      <c r="W2305" s="12" t="s">
        <v>186</v>
      </c>
      <c r="X2305" s="14"/>
      <c r="Y2305" s="14"/>
      <c r="Z2305" s="14"/>
      <c r="AA2305" s="14"/>
      <c r="AB2305" s="14"/>
      <c r="AC2305" s="15">
        <v>31.85</v>
      </c>
      <c r="AD2305" s="15">
        <f>AC2305*AG2305</f>
        <v>63.7</v>
      </c>
      <c r="AE2305" s="15">
        <v>70</v>
      </c>
      <c r="AF2305" s="15">
        <f>AE2305*AG2305</f>
        <v>140</v>
      </c>
      <c r="AG2305" s="16">
        <v>2</v>
      </c>
    </row>
    <row r="2306" spans="1:33" ht="15" customHeight="1" x14ac:dyDescent="0.2">
      <c r="A2306" s="11" t="str">
        <f t="shared" si="293"/>
        <v>VN000PX3BLK1</v>
      </c>
      <c r="B2306" s="12" t="s">
        <v>8626</v>
      </c>
      <c r="C2306" s="12" t="s">
        <v>1345</v>
      </c>
      <c r="D2306" s="12" t="s">
        <v>76</v>
      </c>
      <c r="E2306" s="12" t="s">
        <v>8627</v>
      </c>
      <c r="F2306" s="12" t="s">
        <v>179</v>
      </c>
      <c r="G2306" s="14"/>
      <c r="H2306" s="12" t="s">
        <v>61</v>
      </c>
      <c r="I2306" s="12" t="s">
        <v>62</v>
      </c>
      <c r="J2306" s="12" t="s">
        <v>63</v>
      </c>
      <c r="K2306" s="12" t="s">
        <v>64</v>
      </c>
      <c r="L2306" s="14"/>
      <c r="M2306" s="12" t="s">
        <v>43</v>
      </c>
      <c r="N2306" s="12" t="s">
        <v>84</v>
      </c>
      <c r="O2306" s="12" t="s">
        <v>8628</v>
      </c>
      <c r="P2306" s="12" t="s">
        <v>66</v>
      </c>
      <c r="Q2306" s="12" t="s">
        <v>67</v>
      </c>
      <c r="R2306" s="12" t="s">
        <v>730</v>
      </c>
      <c r="S2306" s="13">
        <v>197804582198</v>
      </c>
      <c r="T2306" s="12" t="s">
        <v>49</v>
      </c>
      <c r="U2306" s="12" t="s">
        <v>179</v>
      </c>
      <c r="V2306" s="12" t="s">
        <v>710</v>
      </c>
      <c r="W2306" s="12" t="s">
        <v>51</v>
      </c>
      <c r="X2306" s="14"/>
      <c r="Y2306" s="14"/>
      <c r="Z2306" s="14"/>
      <c r="AA2306" s="14"/>
      <c r="AB2306" s="14"/>
      <c r="AC2306" s="15">
        <v>31.85</v>
      </c>
      <c r="AD2306" s="15">
        <f>AC2306*AG2306</f>
        <v>63.7</v>
      </c>
      <c r="AE2306" s="15">
        <v>70</v>
      </c>
      <c r="AF2306" s="15">
        <f>AE2306*AG2306</f>
        <v>140</v>
      </c>
      <c r="AG2306" s="16">
        <v>2</v>
      </c>
    </row>
    <row r="2307" spans="1:33" ht="15" customHeight="1" x14ac:dyDescent="0.2">
      <c r="A2307" s="11" t="str">
        <f t="shared" ref="A2307:A3483" si="941">HYPERLINK("https://assets.vans.eu/images/VN000PX3BLK-HERO/1","VN000PX3BLK1")</f>
        <v>VN000PX3BLK1</v>
      </c>
      <c r="B2307" s="12" t="s">
        <v>8629</v>
      </c>
      <c r="C2307" s="12" t="s">
        <v>1345</v>
      </c>
      <c r="D2307" s="12" t="s">
        <v>76</v>
      </c>
      <c r="E2307" s="12" t="s">
        <v>8630</v>
      </c>
      <c r="F2307" s="12" t="s">
        <v>170</v>
      </c>
      <c r="G2307" s="14"/>
      <c r="H2307" s="12" t="s">
        <v>61</v>
      </c>
      <c r="I2307" s="12" t="s">
        <v>62</v>
      </c>
      <c r="J2307" s="12" t="s">
        <v>63</v>
      </c>
      <c r="K2307" s="12" t="s">
        <v>64</v>
      </c>
      <c r="L2307" s="14"/>
      <c r="M2307" s="12" t="s">
        <v>43</v>
      </c>
      <c r="N2307" s="12" t="s">
        <v>84</v>
      </c>
      <c r="O2307" s="12" t="s">
        <v>8631</v>
      </c>
      <c r="P2307" s="12" t="s">
        <v>66</v>
      </c>
      <c r="Q2307" s="12" t="s">
        <v>67</v>
      </c>
      <c r="R2307" s="12" t="s">
        <v>730</v>
      </c>
      <c r="S2307" s="13">
        <v>197804582235</v>
      </c>
      <c r="T2307" s="12" t="s">
        <v>49</v>
      </c>
      <c r="U2307" s="12" t="s">
        <v>170</v>
      </c>
      <c r="V2307" s="12" t="s">
        <v>710</v>
      </c>
      <c r="W2307" s="12" t="s">
        <v>51</v>
      </c>
      <c r="X2307" s="14"/>
      <c r="Y2307" s="14"/>
      <c r="Z2307" s="14"/>
      <c r="AA2307" s="14"/>
      <c r="AB2307" s="14"/>
      <c r="AC2307" s="15">
        <v>31.85</v>
      </c>
      <c r="AD2307" s="15">
        <f>AC2307*AG2307</f>
        <v>63.7</v>
      </c>
      <c r="AE2307" s="15">
        <v>70</v>
      </c>
      <c r="AF2307" s="15">
        <f>AE2307*AG2307</f>
        <v>140</v>
      </c>
      <c r="AG2307" s="16">
        <v>2</v>
      </c>
    </row>
    <row r="2308" spans="1:33" ht="15" customHeight="1" x14ac:dyDescent="0.2">
      <c r="A2308" s="11" t="str">
        <f>HYPERLINK("https://assets.vans.eu/images/VN000PX9RV2-HERO/1","VN000PX9RV21")</f>
        <v>VN000PX9RV21</v>
      </c>
      <c r="B2308" s="12" t="s">
        <v>8632</v>
      </c>
      <c r="C2308" s="12" t="s">
        <v>6778</v>
      </c>
      <c r="D2308" s="12" t="s">
        <v>1428</v>
      </c>
      <c r="E2308" s="12" t="s">
        <v>8633</v>
      </c>
      <c r="F2308" s="12" t="s">
        <v>60</v>
      </c>
      <c r="G2308" s="14"/>
      <c r="H2308" s="12" t="s">
        <v>61</v>
      </c>
      <c r="I2308" s="12" t="s">
        <v>62</v>
      </c>
      <c r="J2308" s="12" t="s">
        <v>63</v>
      </c>
      <c r="K2308" s="12" t="s">
        <v>64</v>
      </c>
      <c r="L2308" s="14"/>
      <c r="M2308" s="12" t="s">
        <v>43</v>
      </c>
      <c r="N2308" s="12" t="s">
        <v>84</v>
      </c>
      <c r="O2308" s="12" t="s">
        <v>8634</v>
      </c>
      <c r="P2308" s="12" t="s">
        <v>66</v>
      </c>
      <c r="Q2308" s="12" t="s">
        <v>67</v>
      </c>
      <c r="R2308" s="12" t="s">
        <v>730</v>
      </c>
      <c r="S2308" s="13">
        <v>197804365401</v>
      </c>
      <c r="T2308" s="12" t="s">
        <v>709</v>
      </c>
      <c r="U2308" s="12" t="s">
        <v>60</v>
      </c>
      <c r="V2308" s="12" t="s">
        <v>710</v>
      </c>
      <c r="W2308" s="12" t="s">
        <v>51</v>
      </c>
      <c r="X2308" s="14"/>
      <c r="Y2308" s="14"/>
      <c r="Z2308" s="14"/>
      <c r="AA2308" s="14"/>
      <c r="AB2308" s="14"/>
      <c r="AC2308" s="15">
        <v>29.55</v>
      </c>
      <c r="AD2308" s="15">
        <f>AC2308*AG2308</f>
        <v>59.1</v>
      </c>
      <c r="AE2308" s="15">
        <v>65</v>
      </c>
      <c r="AF2308" s="15">
        <f>AE2308*AG2308</f>
        <v>130</v>
      </c>
      <c r="AG2308" s="16">
        <v>2</v>
      </c>
    </row>
    <row r="2309" spans="1:33" ht="15" customHeight="1" x14ac:dyDescent="0.2">
      <c r="A2309" s="11" t="str">
        <f t="shared" si="739"/>
        <v>VN000PXMCDX1</v>
      </c>
      <c r="B2309" s="12" t="s">
        <v>8635</v>
      </c>
      <c r="C2309" s="12" t="s">
        <v>759</v>
      </c>
      <c r="D2309" s="12" t="s">
        <v>760</v>
      </c>
      <c r="E2309" s="12" t="s">
        <v>8636</v>
      </c>
      <c r="F2309" s="12" t="s">
        <v>60</v>
      </c>
      <c r="G2309" s="14"/>
      <c r="H2309" s="12" t="s">
        <v>61</v>
      </c>
      <c r="I2309" s="12" t="s">
        <v>62</v>
      </c>
      <c r="J2309" s="12" t="s">
        <v>2938</v>
      </c>
      <c r="K2309" s="12" t="s">
        <v>64</v>
      </c>
      <c r="L2309" s="14"/>
      <c r="M2309" s="12" t="s">
        <v>43</v>
      </c>
      <c r="N2309" s="12" t="s">
        <v>84</v>
      </c>
      <c r="O2309" s="12" t="s">
        <v>8637</v>
      </c>
      <c r="P2309" s="12" t="s">
        <v>66</v>
      </c>
      <c r="Q2309" s="12" t="s">
        <v>764</v>
      </c>
      <c r="R2309" s="12" t="s">
        <v>2940</v>
      </c>
      <c r="S2309" s="13">
        <v>197804366040</v>
      </c>
      <c r="T2309" s="12" t="s">
        <v>235</v>
      </c>
      <c r="U2309" s="12" t="s">
        <v>60</v>
      </c>
      <c r="V2309" s="12" t="s">
        <v>665</v>
      </c>
      <c r="W2309" s="12" t="s">
        <v>284</v>
      </c>
      <c r="X2309" s="14"/>
      <c r="Y2309" s="14"/>
      <c r="Z2309" s="14"/>
      <c r="AA2309" s="14"/>
      <c r="AB2309" s="14"/>
      <c r="AC2309" s="15">
        <v>50</v>
      </c>
      <c r="AD2309" s="15">
        <f>AC2309*AG2309</f>
        <v>100</v>
      </c>
      <c r="AE2309" s="15">
        <v>110</v>
      </c>
      <c r="AF2309" s="15">
        <f>AE2309*AG2309</f>
        <v>220</v>
      </c>
      <c r="AG2309" s="16">
        <v>2</v>
      </c>
    </row>
    <row r="2310" spans="1:33" ht="15" customHeight="1" x14ac:dyDescent="0.2">
      <c r="A2310" s="11" t="str">
        <f t="shared" ref="A2310:A3490" si="942">HYPERLINK("https://assets.vans.eu/images/VN000PXNJDU-HERO/1","VN000PXNJDU1")</f>
        <v>VN000PXNJDU1</v>
      </c>
      <c r="B2310" s="12" t="s">
        <v>8638</v>
      </c>
      <c r="C2310" s="12" t="s">
        <v>8639</v>
      </c>
      <c r="D2310" s="12" t="s">
        <v>814</v>
      </c>
      <c r="E2310" s="12" t="s">
        <v>8640</v>
      </c>
      <c r="F2310" s="12" t="s">
        <v>403</v>
      </c>
      <c r="G2310" s="14"/>
      <c r="H2310" s="12" t="s">
        <v>61</v>
      </c>
      <c r="I2310" s="12" t="s">
        <v>62</v>
      </c>
      <c r="J2310" s="12" t="s">
        <v>2938</v>
      </c>
      <c r="K2310" s="12" t="s">
        <v>64</v>
      </c>
      <c r="L2310" s="14"/>
      <c r="M2310" s="12" t="s">
        <v>43</v>
      </c>
      <c r="N2310" s="12" t="s">
        <v>84</v>
      </c>
      <c r="O2310" s="12" t="s">
        <v>8641</v>
      </c>
      <c r="P2310" s="12" t="s">
        <v>66</v>
      </c>
      <c r="Q2310" s="12" t="s">
        <v>764</v>
      </c>
      <c r="R2310" s="12" t="s">
        <v>2940</v>
      </c>
      <c r="S2310" s="13">
        <v>197804365791</v>
      </c>
      <c r="T2310" s="12" t="s">
        <v>235</v>
      </c>
      <c r="U2310" s="12" t="s">
        <v>403</v>
      </c>
      <c r="V2310" s="12" t="s">
        <v>665</v>
      </c>
      <c r="W2310" s="12" t="s">
        <v>284</v>
      </c>
      <c r="X2310" s="14"/>
      <c r="Y2310" s="14"/>
      <c r="Z2310" s="14"/>
      <c r="AA2310" s="14"/>
      <c r="AB2310" s="14"/>
      <c r="AC2310" s="15">
        <v>36.4</v>
      </c>
      <c r="AD2310" s="15">
        <f>AC2310*AG2310</f>
        <v>72.8</v>
      </c>
      <c r="AE2310" s="15">
        <v>80</v>
      </c>
      <c r="AF2310" s="15">
        <f>AE2310*AG2310</f>
        <v>160</v>
      </c>
      <c r="AG2310" s="16">
        <v>2</v>
      </c>
    </row>
    <row r="2311" spans="1:33" ht="15" customHeight="1" x14ac:dyDescent="0.2">
      <c r="A2311" s="11" t="str">
        <f>HYPERLINK("https://assets.vans.eu/images/VN000PXS6JL-HERO/1","VN000PXS6JL1")</f>
        <v>VN000PXS6JL1</v>
      </c>
      <c r="B2311" s="12" t="s">
        <v>8642</v>
      </c>
      <c r="C2311" s="12" t="s">
        <v>976</v>
      </c>
      <c r="D2311" s="12" t="s">
        <v>2733</v>
      </c>
      <c r="E2311" s="12" t="s">
        <v>8643</v>
      </c>
      <c r="F2311" s="12" t="s">
        <v>170</v>
      </c>
      <c r="G2311" s="14"/>
      <c r="H2311" s="12" t="s">
        <v>61</v>
      </c>
      <c r="I2311" s="12" t="s">
        <v>62</v>
      </c>
      <c r="J2311" s="12" t="s">
        <v>63</v>
      </c>
      <c r="K2311" s="12" t="s">
        <v>64</v>
      </c>
      <c r="L2311" s="14"/>
      <c r="M2311" s="12" t="s">
        <v>43</v>
      </c>
      <c r="N2311" s="12" t="s">
        <v>84</v>
      </c>
      <c r="O2311" s="12" t="s">
        <v>8644</v>
      </c>
      <c r="P2311" s="12" t="s">
        <v>66</v>
      </c>
      <c r="Q2311" s="12" t="s">
        <v>67</v>
      </c>
      <c r="R2311" s="12" t="s">
        <v>68</v>
      </c>
      <c r="S2311" s="13">
        <v>197804365821</v>
      </c>
      <c r="T2311" s="12" t="s">
        <v>915</v>
      </c>
      <c r="U2311" s="12" t="s">
        <v>170</v>
      </c>
      <c r="V2311" s="12" t="s">
        <v>1028</v>
      </c>
      <c r="W2311" s="12" t="s">
        <v>118</v>
      </c>
      <c r="X2311" s="14"/>
      <c r="Y2311" s="14"/>
      <c r="Z2311" s="14"/>
      <c r="AA2311" s="14"/>
      <c r="AB2311" s="14"/>
      <c r="AC2311" s="15">
        <v>13.65</v>
      </c>
      <c r="AD2311" s="15">
        <f>AC2311*AG2311</f>
        <v>27.3</v>
      </c>
      <c r="AE2311" s="15">
        <v>30</v>
      </c>
      <c r="AF2311" s="15">
        <f>AE2311*AG2311</f>
        <v>60</v>
      </c>
      <c r="AG2311" s="16">
        <v>2</v>
      </c>
    </row>
    <row r="2312" spans="1:33" ht="15" customHeight="1" x14ac:dyDescent="0.2">
      <c r="A2312" s="11" t="str">
        <f t="shared" ref="A2312:A3495" si="943">HYPERLINK("https://assets.vans.eu/images/VN000PXXWHT-HERO/1","VN000PXXWHT1")</f>
        <v>VN000PXXWHT1</v>
      </c>
      <c r="B2312" s="12" t="s">
        <v>8645</v>
      </c>
      <c r="C2312" s="12" t="s">
        <v>1912</v>
      </c>
      <c r="D2312" s="12" t="s">
        <v>168</v>
      </c>
      <c r="E2312" s="12" t="s">
        <v>8646</v>
      </c>
      <c r="F2312" s="12" t="s">
        <v>179</v>
      </c>
      <c r="G2312" s="14"/>
      <c r="H2312" s="12" t="s">
        <v>61</v>
      </c>
      <c r="I2312" s="12" t="s">
        <v>62</v>
      </c>
      <c r="J2312" s="12" t="s">
        <v>63</v>
      </c>
      <c r="K2312" s="12" t="s">
        <v>64</v>
      </c>
      <c r="L2312" s="14"/>
      <c r="M2312" s="12" t="s">
        <v>43</v>
      </c>
      <c r="N2312" s="12" t="s">
        <v>84</v>
      </c>
      <c r="O2312" s="12" t="s">
        <v>8647</v>
      </c>
      <c r="P2312" s="12" t="s">
        <v>66</v>
      </c>
      <c r="Q2312" s="12" t="s">
        <v>67</v>
      </c>
      <c r="R2312" s="12" t="s">
        <v>68</v>
      </c>
      <c r="S2312" s="13">
        <v>197804617227</v>
      </c>
      <c r="T2312" s="12" t="s">
        <v>422</v>
      </c>
      <c r="U2312" s="12" t="s">
        <v>179</v>
      </c>
      <c r="V2312" s="12" t="s">
        <v>70</v>
      </c>
      <c r="W2312" s="12" t="s">
        <v>175</v>
      </c>
      <c r="X2312" s="14"/>
      <c r="Y2312" s="14"/>
      <c r="Z2312" s="14"/>
      <c r="AA2312" s="14"/>
      <c r="AB2312" s="14"/>
      <c r="AC2312" s="15">
        <v>13.65</v>
      </c>
      <c r="AD2312" s="15">
        <f>AC2312*AG2312</f>
        <v>27.3</v>
      </c>
      <c r="AE2312" s="15">
        <v>30</v>
      </c>
      <c r="AF2312" s="15">
        <f>AE2312*AG2312</f>
        <v>60</v>
      </c>
      <c r="AG2312" s="16">
        <v>2</v>
      </c>
    </row>
    <row r="2313" spans="1:33" ht="15" customHeight="1" x14ac:dyDescent="0.2">
      <c r="A2313" s="11" t="str">
        <f t="shared" si="586"/>
        <v>VN000PY4BLK1</v>
      </c>
      <c r="B2313" s="12" t="s">
        <v>8648</v>
      </c>
      <c r="C2313" s="12" t="s">
        <v>3168</v>
      </c>
      <c r="D2313" s="12" t="s">
        <v>76</v>
      </c>
      <c r="E2313" s="12" t="s">
        <v>8649</v>
      </c>
      <c r="F2313" s="12" t="s">
        <v>403</v>
      </c>
      <c r="G2313" s="14"/>
      <c r="H2313" s="12" t="s">
        <v>61</v>
      </c>
      <c r="I2313" s="12" t="s">
        <v>62</v>
      </c>
      <c r="J2313" s="12" t="s">
        <v>63</v>
      </c>
      <c r="K2313" s="12" t="s">
        <v>64</v>
      </c>
      <c r="L2313" s="14"/>
      <c r="M2313" s="12" t="s">
        <v>43</v>
      </c>
      <c r="N2313" s="12" t="s">
        <v>84</v>
      </c>
      <c r="O2313" s="12" t="s">
        <v>8650</v>
      </c>
      <c r="P2313" s="12" t="s">
        <v>66</v>
      </c>
      <c r="Q2313" s="12" t="s">
        <v>67</v>
      </c>
      <c r="R2313" s="12" t="s">
        <v>68</v>
      </c>
      <c r="S2313" s="13">
        <v>197804366088</v>
      </c>
      <c r="T2313" s="12" t="s">
        <v>915</v>
      </c>
      <c r="U2313" s="12" t="s">
        <v>403</v>
      </c>
      <c r="V2313" s="12" t="s">
        <v>1028</v>
      </c>
      <c r="W2313" s="12" t="s">
        <v>51</v>
      </c>
      <c r="X2313" s="14"/>
      <c r="Y2313" s="14"/>
      <c r="Z2313" s="14"/>
      <c r="AA2313" s="14"/>
      <c r="AB2313" s="14"/>
      <c r="AC2313" s="15">
        <v>13.65</v>
      </c>
      <c r="AD2313" s="15">
        <f>AC2313*AG2313</f>
        <v>27.3</v>
      </c>
      <c r="AE2313" s="15">
        <v>30</v>
      </c>
      <c r="AF2313" s="15">
        <f>AE2313*AG2313</f>
        <v>60</v>
      </c>
      <c r="AG2313" s="16">
        <v>2</v>
      </c>
    </row>
    <row r="2314" spans="1:33" ht="15" customHeight="1" x14ac:dyDescent="0.2">
      <c r="A2314" s="11" t="str">
        <f>HYPERLINK("https://assets.vans.eu/images/VN000PY4BLK-HERO/1","VN000PY4BLK1")</f>
        <v>VN000PY4BLK1</v>
      </c>
      <c r="B2314" s="12" t="s">
        <v>8651</v>
      </c>
      <c r="C2314" s="12" t="s">
        <v>3168</v>
      </c>
      <c r="D2314" s="12" t="s">
        <v>76</v>
      </c>
      <c r="E2314" s="12" t="s">
        <v>8652</v>
      </c>
      <c r="F2314" s="12" t="s">
        <v>60</v>
      </c>
      <c r="G2314" s="14"/>
      <c r="H2314" s="12" t="s">
        <v>61</v>
      </c>
      <c r="I2314" s="12" t="s">
        <v>62</v>
      </c>
      <c r="J2314" s="12" t="s">
        <v>63</v>
      </c>
      <c r="K2314" s="12" t="s">
        <v>64</v>
      </c>
      <c r="L2314" s="14"/>
      <c r="M2314" s="12" t="s">
        <v>43</v>
      </c>
      <c r="N2314" s="12" t="s">
        <v>84</v>
      </c>
      <c r="O2314" s="12" t="s">
        <v>8653</v>
      </c>
      <c r="P2314" s="12" t="s">
        <v>66</v>
      </c>
      <c r="Q2314" s="12" t="s">
        <v>67</v>
      </c>
      <c r="R2314" s="12" t="s">
        <v>68</v>
      </c>
      <c r="S2314" s="13">
        <v>197804366125</v>
      </c>
      <c r="T2314" s="12" t="s">
        <v>915</v>
      </c>
      <c r="U2314" s="12" t="s">
        <v>60</v>
      </c>
      <c r="V2314" s="12" t="s">
        <v>1028</v>
      </c>
      <c r="W2314" s="12" t="s">
        <v>51</v>
      </c>
      <c r="X2314" s="14"/>
      <c r="Y2314" s="14"/>
      <c r="Z2314" s="14"/>
      <c r="AA2314" s="14"/>
      <c r="AB2314" s="14"/>
      <c r="AC2314" s="15">
        <v>13.65</v>
      </c>
      <c r="AD2314" s="15">
        <f>AC2314*AG2314</f>
        <v>27.3</v>
      </c>
      <c r="AE2314" s="15">
        <v>30</v>
      </c>
      <c r="AF2314" s="15">
        <f>AE2314*AG2314</f>
        <v>60</v>
      </c>
      <c r="AG2314" s="16">
        <v>2</v>
      </c>
    </row>
    <row r="2315" spans="1:33" ht="15" customHeight="1" x14ac:dyDescent="0.2">
      <c r="A2315" s="11" t="str">
        <f t="shared" si="741"/>
        <v>VN000PY4WHT1</v>
      </c>
      <c r="B2315" s="12" t="s">
        <v>8654</v>
      </c>
      <c r="C2315" s="12" t="s">
        <v>3168</v>
      </c>
      <c r="D2315" s="12" t="s">
        <v>168</v>
      </c>
      <c r="E2315" s="12" t="s">
        <v>8655</v>
      </c>
      <c r="F2315" s="12" t="s">
        <v>60</v>
      </c>
      <c r="G2315" s="14"/>
      <c r="H2315" s="12" t="s">
        <v>61</v>
      </c>
      <c r="I2315" s="12" t="s">
        <v>62</v>
      </c>
      <c r="J2315" s="12" t="s">
        <v>63</v>
      </c>
      <c r="K2315" s="12" t="s">
        <v>64</v>
      </c>
      <c r="L2315" s="14"/>
      <c r="M2315" s="12" t="s">
        <v>43</v>
      </c>
      <c r="N2315" s="12" t="s">
        <v>84</v>
      </c>
      <c r="O2315" s="12" t="s">
        <v>8656</v>
      </c>
      <c r="P2315" s="12" t="s">
        <v>66</v>
      </c>
      <c r="Q2315" s="12" t="s">
        <v>67</v>
      </c>
      <c r="R2315" s="12" t="s">
        <v>68</v>
      </c>
      <c r="S2315" s="13">
        <v>197804582440</v>
      </c>
      <c r="T2315" s="12" t="s">
        <v>915</v>
      </c>
      <c r="U2315" s="12" t="s">
        <v>60</v>
      </c>
      <c r="V2315" s="12" t="s">
        <v>1028</v>
      </c>
      <c r="W2315" s="12" t="s">
        <v>175</v>
      </c>
      <c r="X2315" s="14"/>
      <c r="Y2315" s="14"/>
      <c r="Z2315" s="14"/>
      <c r="AA2315" s="14"/>
      <c r="AB2315" s="14"/>
      <c r="AC2315" s="15">
        <v>13.65</v>
      </c>
      <c r="AD2315" s="15">
        <f>AC2315*AG2315</f>
        <v>27.3</v>
      </c>
      <c r="AE2315" s="15">
        <v>30</v>
      </c>
      <c r="AF2315" s="15">
        <f>AE2315*AG2315</f>
        <v>60</v>
      </c>
      <c r="AG2315" s="16">
        <v>2</v>
      </c>
    </row>
    <row r="2316" spans="1:33" ht="15" customHeight="1" x14ac:dyDescent="0.2">
      <c r="A2316" s="11" t="str">
        <f t="shared" si="742"/>
        <v>VN000PYXJDU1</v>
      </c>
      <c r="B2316" s="12" t="s">
        <v>8657</v>
      </c>
      <c r="C2316" s="12" t="s">
        <v>6809</v>
      </c>
      <c r="D2316" s="12" t="s">
        <v>814</v>
      </c>
      <c r="E2316" s="12" t="s">
        <v>8658</v>
      </c>
      <c r="F2316" s="13">
        <v>2</v>
      </c>
      <c r="G2316" s="14"/>
      <c r="H2316" s="12" t="s">
        <v>61</v>
      </c>
      <c r="I2316" s="12" t="s">
        <v>1340</v>
      </c>
      <c r="J2316" s="12" t="s">
        <v>1341</v>
      </c>
      <c r="K2316" s="12" t="s">
        <v>64</v>
      </c>
      <c r="L2316" s="14"/>
      <c r="M2316" s="12" t="s">
        <v>43</v>
      </c>
      <c r="N2316" s="12" t="s">
        <v>84</v>
      </c>
      <c r="O2316" s="12" t="s">
        <v>8659</v>
      </c>
      <c r="P2316" s="12" t="s">
        <v>66</v>
      </c>
      <c r="Q2316" s="12" t="s">
        <v>67</v>
      </c>
      <c r="R2316" s="12" t="s">
        <v>730</v>
      </c>
      <c r="S2316" s="13">
        <v>197804366637</v>
      </c>
      <c r="T2316" s="12" t="s">
        <v>709</v>
      </c>
      <c r="U2316" s="13">
        <v>2</v>
      </c>
      <c r="V2316" s="12" t="s">
        <v>710</v>
      </c>
      <c r="W2316" s="12" t="s">
        <v>284</v>
      </c>
      <c r="X2316" s="14"/>
      <c r="Y2316" s="14"/>
      <c r="Z2316" s="14"/>
      <c r="AA2316" s="14"/>
      <c r="AB2316" s="14"/>
      <c r="AC2316" s="15">
        <v>27.3</v>
      </c>
      <c r="AD2316" s="15">
        <f>AC2316*AG2316</f>
        <v>54.6</v>
      </c>
      <c r="AE2316" s="15">
        <v>60</v>
      </c>
      <c r="AF2316" s="15">
        <f>AE2316*AG2316</f>
        <v>120</v>
      </c>
      <c r="AG2316" s="16">
        <v>2</v>
      </c>
    </row>
    <row r="2317" spans="1:33" ht="15" customHeight="1" x14ac:dyDescent="0.2">
      <c r="A2317" s="11" t="str">
        <f>HYPERLINK("https://assets.vans.eu/images/VN000Q07BLK-HERO/1","VN000Q07BLK1")</f>
        <v>VN000Q07BLK1</v>
      </c>
      <c r="B2317" s="12" t="s">
        <v>8660</v>
      </c>
      <c r="C2317" s="12" t="s">
        <v>8661</v>
      </c>
      <c r="D2317" s="12" t="s">
        <v>76</v>
      </c>
      <c r="E2317" s="12" t="s">
        <v>8662</v>
      </c>
      <c r="F2317" s="13">
        <v>4</v>
      </c>
      <c r="G2317" s="14"/>
      <c r="H2317" s="12" t="s">
        <v>61</v>
      </c>
      <c r="I2317" s="12" t="s">
        <v>1340</v>
      </c>
      <c r="J2317" s="12" t="s">
        <v>1376</v>
      </c>
      <c r="K2317" s="12" t="s">
        <v>64</v>
      </c>
      <c r="L2317" s="14"/>
      <c r="M2317" s="12" t="s">
        <v>43</v>
      </c>
      <c r="N2317" s="12" t="s">
        <v>84</v>
      </c>
      <c r="O2317" s="12" t="s">
        <v>8663</v>
      </c>
      <c r="P2317" s="12" t="s">
        <v>66</v>
      </c>
      <c r="Q2317" s="12" t="s">
        <v>233</v>
      </c>
      <c r="R2317" s="12" t="s">
        <v>974</v>
      </c>
      <c r="S2317" s="13">
        <v>197804791064</v>
      </c>
      <c r="T2317" s="12" t="s">
        <v>49</v>
      </c>
      <c r="U2317" s="13">
        <v>4</v>
      </c>
      <c r="V2317" s="12" t="s">
        <v>1726</v>
      </c>
      <c r="W2317" s="12" t="s">
        <v>51</v>
      </c>
      <c r="X2317" s="14"/>
      <c r="Y2317" s="14"/>
      <c r="Z2317" s="14"/>
      <c r="AA2317" s="14"/>
      <c r="AB2317" s="14"/>
      <c r="AC2317" s="15">
        <v>20.5</v>
      </c>
      <c r="AD2317" s="15">
        <f>AC2317*AG2317</f>
        <v>41</v>
      </c>
      <c r="AE2317" s="15">
        <v>45</v>
      </c>
      <c r="AF2317" s="15">
        <f>AE2317*AG2317</f>
        <v>90</v>
      </c>
      <c r="AG2317" s="16">
        <v>2</v>
      </c>
    </row>
    <row r="2318" spans="1:33" ht="15" customHeight="1" x14ac:dyDescent="0.2">
      <c r="A2318" s="11" t="str">
        <f t="shared" ref="A2318:A3497" si="944">HYPERLINK("https://assets.vans.eu/images/VN000Q09GC6-HERO/1","VN000Q09GC61")</f>
        <v>VN000Q09GC61</v>
      </c>
      <c r="B2318" s="12" t="s">
        <v>8664</v>
      </c>
      <c r="C2318" s="12" t="s">
        <v>1577</v>
      </c>
      <c r="D2318" s="12" t="s">
        <v>1744</v>
      </c>
      <c r="E2318" s="12" t="s">
        <v>8665</v>
      </c>
      <c r="F2318" s="13">
        <v>28</v>
      </c>
      <c r="G2318" s="14"/>
      <c r="H2318" s="12" t="s">
        <v>61</v>
      </c>
      <c r="I2318" s="12" t="s">
        <v>62</v>
      </c>
      <c r="J2318" s="12" t="s">
        <v>972</v>
      </c>
      <c r="K2318" s="12" t="s">
        <v>64</v>
      </c>
      <c r="L2318" s="14"/>
      <c r="M2318" s="12" t="s">
        <v>43</v>
      </c>
      <c r="N2318" s="12" t="s">
        <v>84</v>
      </c>
      <c r="O2318" s="12" t="s">
        <v>8666</v>
      </c>
      <c r="P2318" s="12" t="s">
        <v>66</v>
      </c>
      <c r="Q2318" s="12" t="s">
        <v>233</v>
      </c>
      <c r="R2318" s="12" t="s">
        <v>974</v>
      </c>
      <c r="S2318" s="13">
        <v>197804669486</v>
      </c>
      <c r="T2318" s="12" t="s">
        <v>235</v>
      </c>
      <c r="U2318" s="13">
        <v>28</v>
      </c>
      <c r="V2318" s="12" t="s">
        <v>665</v>
      </c>
      <c r="W2318" s="12" t="s">
        <v>284</v>
      </c>
      <c r="X2318" s="14"/>
      <c r="Y2318" s="14"/>
      <c r="Z2318" s="14"/>
      <c r="AA2318" s="14"/>
      <c r="AB2318" s="14"/>
      <c r="AC2318" s="15">
        <v>29.55</v>
      </c>
      <c r="AD2318" s="15">
        <f>AC2318*AG2318</f>
        <v>59.1</v>
      </c>
      <c r="AE2318" s="15">
        <v>65</v>
      </c>
      <c r="AF2318" s="15">
        <f>AE2318*AG2318</f>
        <v>130</v>
      </c>
      <c r="AG2318" s="16">
        <v>2</v>
      </c>
    </row>
    <row r="2319" spans="1:33" ht="15" customHeight="1" x14ac:dyDescent="0.2">
      <c r="A2319" s="11" t="str">
        <f t="shared" si="743"/>
        <v>VN000Q0ACDX1</v>
      </c>
      <c r="B2319" s="12" t="s">
        <v>8667</v>
      </c>
      <c r="C2319" s="12" t="s">
        <v>6816</v>
      </c>
      <c r="D2319" s="12" t="s">
        <v>760</v>
      </c>
      <c r="E2319" s="12" t="s">
        <v>8668</v>
      </c>
      <c r="F2319" s="13">
        <v>27</v>
      </c>
      <c r="G2319" s="14"/>
      <c r="H2319" s="12" t="s">
        <v>61</v>
      </c>
      <c r="I2319" s="12" t="s">
        <v>62</v>
      </c>
      <c r="J2319" s="12" t="s">
        <v>972</v>
      </c>
      <c r="K2319" s="12" t="s">
        <v>64</v>
      </c>
      <c r="L2319" s="14"/>
      <c r="M2319" s="12" t="s">
        <v>43</v>
      </c>
      <c r="N2319" s="12" t="s">
        <v>84</v>
      </c>
      <c r="O2319" s="12" t="s">
        <v>8669</v>
      </c>
      <c r="P2319" s="12" t="s">
        <v>66</v>
      </c>
      <c r="Q2319" s="12" t="s">
        <v>233</v>
      </c>
      <c r="R2319" s="12" t="s">
        <v>974</v>
      </c>
      <c r="S2319" s="13">
        <v>197804669295</v>
      </c>
      <c r="T2319" s="12" t="s">
        <v>235</v>
      </c>
      <c r="U2319" s="13">
        <v>27</v>
      </c>
      <c r="V2319" s="12" t="s">
        <v>665</v>
      </c>
      <c r="W2319" s="12" t="s">
        <v>284</v>
      </c>
      <c r="X2319" s="14"/>
      <c r="Y2319" s="14"/>
      <c r="Z2319" s="14"/>
      <c r="AA2319" s="14"/>
      <c r="AB2319" s="14"/>
      <c r="AC2319" s="15">
        <v>31.85</v>
      </c>
      <c r="AD2319" s="15">
        <f>AC2319*AG2319</f>
        <v>63.7</v>
      </c>
      <c r="AE2319" s="15">
        <v>70</v>
      </c>
      <c r="AF2319" s="15">
        <f>AE2319*AG2319</f>
        <v>140</v>
      </c>
      <c r="AG2319" s="16">
        <v>2</v>
      </c>
    </row>
    <row r="2320" spans="1:33" ht="15" customHeight="1" x14ac:dyDescent="0.2">
      <c r="A2320" s="11" t="str">
        <f>HYPERLINK("https://assets.vans.eu/images/VN000Q39EN9-HERO/1","VN000Q39EN91")</f>
        <v>VN000Q39EN91</v>
      </c>
      <c r="B2320" s="12" t="s">
        <v>8670</v>
      </c>
      <c r="C2320" s="12" t="s">
        <v>2542</v>
      </c>
      <c r="D2320" s="12" t="s">
        <v>982</v>
      </c>
      <c r="E2320" s="12" t="s">
        <v>8671</v>
      </c>
      <c r="F2320" s="12" t="s">
        <v>153</v>
      </c>
      <c r="G2320" s="14"/>
      <c r="H2320" s="12" t="s">
        <v>61</v>
      </c>
      <c r="I2320" s="12" t="s">
        <v>289</v>
      </c>
      <c r="J2320" s="12" t="s">
        <v>706</v>
      </c>
      <c r="K2320" s="12" t="s">
        <v>100</v>
      </c>
      <c r="L2320" s="14"/>
      <c r="M2320" s="12" t="s">
        <v>43</v>
      </c>
      <c r="N2320" s="12" t="s">
        <v>84</v>
      </c>
      <c r="O2320" s="12" t="s">
        <v>8672</v>
      </c>
      <c r="P2320" s="12" t="s">
        <v>66</v>
      </c>
      <c r="Q2320" s="12" t="s">
        <v>67</v>
      </c>
      <c r="R2320" s="12" t="s">
        <v>708</v>
      </c>
      <c r="S2320" s="13">
        <v>197804368761</v>
      </c>
      <c r="T2320" s="12" t="s">
        <v>49</v>
      </c>
      <c r="U2320" s="12" t="s">
        <v>153</v>
      </c>
      <c r="V2320" s="12" t="s">
        <v>1343</v>
      </c>
      <c r="W2320" s="12" t="s">
        <v>455</v>
      </c>
      <c r="X2320" s="14"/>
      <c r="Y2320" s="14"/>
      <c r="Z2320" s="14"/>
      <c r="AA2320" s="14"/>
      <c r="AB2320" s="14"/>
      <c r="AC2320" s="15">
        <v>38.65</v>
      </c>
      <c r="AD2320" s="15">
        <f>AC2320*AG2320</f>
        <v>77.3</v>
      </c>
      <c r="AE2320" s="15">
        <v>85</v>
      </c>
      <c r="AF2320" s="15">
        <f>AE2320*AG2320</f>
        <v>170</v>
      </c>
      <c r="AG2320" s="16">
        <v>2</v>
      </c>
    </row>
    <row r="2321" spans="1:33" ht="15" customHeight="1" x14ac:dyDescent="0.2">
      <c r="A2321" s="11" t="str">
        <f t="shared" ref="A2321:A3515" si="945">HYPERLINK("https://assets.vans.eu/images/VN000Q43JDU-HERO/1","VN000Q43JDU1")</f>
        <v>VN000Q43JDU1</v>
      </c>
      <c r="B2321" s="12" t="s">
        <v>8673</v>
      </c>
      <c r="C2321" s="12" t="s">
        <v>8674</v>
      </c>
      <c r="D2321" s="12" t="s">
        <v>814</v>
      </c>
      <c r="E2321" s="12" t="s">
        <v>8675</v>
      </c>
      <c r="F2321" s="12" t="s">
        <v>403</v>
      </c>
      <c r="G2321" s="14"/>
      <c r="H2321" s="12" t="s">
        <v>61</v>
      </c>
      <c r="I2321" s="12" t="s">
        <v>289</v>
      </c>
      <c r="J2321" s="12" t="s">
        <v>706</v>
      </c>
      <c r="K2321" s="12" t="s">
        <v>100</v>
      </c>
      <c r="L2321" s="14"/>
      <c r="M2321" s="12" t="s">
        <v>43</v>
      </c>
      <c r="N2321" s="12" t="s">
        <v>84</v>
      </c>
      <c r="O2321" s="12" t="s">
        <v>8676</v>
      </c>
      <c r="P2321" s="12" t="s">
        <v>66</v>
      </c>
      <c r="Q2321" s="12" t="s">
        <v>67</v>
      </c>
      <c r="R2321" s="12" t="s">
        <v>708</v>
      </c>
      <c r="S2321" s="13">
        <v>197804686919</v>
      </c>
      <c r="T2321" s="12" t="s">
        <v>709</v>
      </c>
      <c r="U2321" s="12" t="s">
        <v>403</v>
      </c>
      <c r="V2321" s="12" t="s">
        <v>710</v>
      </c>
      <c r="W2321" s="12" t="s">
        <v>284</v>
      </c>
      <c r="X2321" s="14"/>
      <c r="Y2321" s="14"/>
      <c r="Z2321" s="14"/>
      <c r="AA2321" s="14"/>
      <c r="AB2321" s="14"/>
      <c r="AC2321" s="15">
        <v>36.4</v>
      </c>
      <c r="AD2321" s="15">
        <f>AC2321*AG2321</f>
        <v>72.8</v>
      </c>
      <c r="AE2321" s="15">
        <v>80</v>
      </c>
      <c r="AF2321" s="15">
        <f>AE2321*AG2321</f>
        <v>160</v>
      </c>
      <c r="AG2321" s="16">
        <v>2</v>
      </c>
    </row>
    <row r="2322" spans="1:33" ht="15" customHeight="1" x14ac:dyDescent="0.2">
      <c r="A2322" s="11" t="str">
        <f t="shared" ref="A2322:A2323" si="946">HYPERLINK("https://assets.vans.eu/images/VN000Q49BLK-HERO/1","VN000Q49BLK1")</f>
        <v>VN000Q49BLK1</v>
      </c>
      <c r="B2322" s="12" t="s">
        <v>8677</v>
      </c>
      <c r="C2322" s="12" t="s">
        <v>8678</v>
      </c>
      <c r="D2322" s="12" t="s">
        <v>76</v>
      </c>
      <c r="E2322" s="12" t="s">
        <v>8679</v>
      </c>
      <c r="F2322" s="12" t="s">
        <v>179</v>
      </c>
      <c r="G2322" s="14"/>
      <c r="H2322" s="12" t="s">
        <v>61</v>
      </c>
      <c r="I2322" s="12" t="s">
        <v>289</v>
      </c>
      <c r="J2322" s="12" t="s">
        <v>706</v>
      </c>
      <c r="K2322" s="12" t="s">
        <v>100</v>
      </c>
      <c r="L2322" s="14"/>
      <c r="M2322" s="12" t="s">
        <v>43</v>
      </c>
      <c r="N2322" s="12" t="s">
        <v>84</v>
      </c>
      <c r="O2322" s="12" t="s">
        <v>8680</v>
      </c>
      <c r="P2322" s="12" t="s">
        <v>66</v>
      </c>
      <c r="Q2322" s="12" t="s">
        <v>67</v>
      </c>
      <c r="R2322" s="12" t="s">
        <v>708</v>
      </c>
      <c r="S2322" s="13">
        <v>197804582761</v>
      </c>
      <c r="T2322" s="12" t="s">
        <v>49</v>
      </c>
      <c r="U2322" s="12" t="s">
        <v>179</v>
      </c>
      <c r="V2322" s="12" t="s">
        <v>8681</v>
      </c>
      <c r="W2322" s="12" t="s">
        <v>51</v>
      </c>
      <c r="X2322" s="14"/>
      <c r="Y2322" s="14"/>
      <c r="Z2322" s="14"/>
      <c r="AA2322" s="14"/>
      <c r="AB2322" s="14"/>
      <c r="AC2322" s="15">
        <v>40.950000000000003</v>
      </c>
      <c r="AD2322" s="15">
        <f>AC2322*AG2322</f>
        <v>81.900000000000006</v>
      </c>
      <c r="AE2322" s="15">
        <v>90</v>
      </c>
      <c r="AF2322" s="15">
        <f>AE2322*AG2322</f>
        <v>180</v>
      </c>
      <c r="AG2322" s="16">
        <v>2</v>
      </c>
    </row>
    <row r="2323" spans="1:33" ht="15" customHeight="1" x14ac:dyDescent="0.2">
      <c r="A2323" s="11" t="str">
        <f t="shared" si="946"/>
        <v>VN000Q49BLK1</v>
      </c>
      <c r="B2323" s="12" t="s">
        <v>8682</v>
      </c>
      <c r="C2323" s="12" t="s">
        <v>8678</v>
      </c>
      <c r="D2323" s="12" t="s">
        <v>76</v>
      </c>
      <c r="E2323" s="12" t="s">
        <v>8683</v>
      </c>
      <c r="F2323" s="12" t="s">
        <v>60</v>
      </c>
      <c r="G2323" s="14"/>
      <c r="H2323" s="12" t="s">
        <v>61</v>
      </c>
      <c r="I2323" s="12" t="s">
        <v>289</v>
      </c>
      <c r="J2323" s="12" t="s">
        <v>706</v>
      </c>
      <c r="K2323" s="12" t="s">
        <v>100</v>
      </c>
      <c r="L2323" s="14"/>
      <c r="M2323" s="12" t="s">
        <v>43</v>
      </c>
      <c r="N2323" s="12" t="s">
        <v>84</v>
      </c>
      <c r="O2323" s="12" t="s">
        <v>8684</v>
      </c>
      <c r="P2323" s="12" t="s">
        <v>66</v>
      </c>
      <c r="Q2323" s="12" t="s">
        <v>67</v>
      </c>
      <c r="R2323" s="12" t="s">
        <v>708</v>
      </c>
      <c r="S2323" s="13">
        <v>197804583003</v>
      </c>
      <c r="T2323" s="12" t="s">
        <v>49</v>
      </c>
      <c r="U2323" s="12" t="s">
        <v>60</v>
      </c>
      <c r="V2323" s="12" t="s">
        <v>8681</v>
      </c>
      <c r="W2323" s="12" t="s">
        <v>51</v>
      </c>
      <c r="X2323" s="14"/>
      <c r="Y2323" s="14"/>
      <c r="Z2323" s="14"/>
      <c r="AA2323" s="14"/>
      <c r="AB2323" s="14"/>
      <c r="AC2323" s="15">
        <v>40.950000000000003</v>
      </c>
      <c r="AD2323" s="15">
        <f>AC2323*AG2323</f>
        <v>81.900000000000006</v>
      </c>
      <c r="AE2323" s="15">
        <v>90</v>
      </c>
      <c r="AF2323" s="15">
        <f>AE2323*AG2323</f>
        <v>180</v>
      </c>
      <c r="AG2323" s="16">
        <v>2</v>
      </c>
    </row>
    <row r="2324" spans="1:33" ht="15" customHeight="1" x14ac:dyDescent="0.2">
      <c r="A2324" s="11" t="str">
        <f t="shared" ref="A2324:A3524" si="947">HYPERLINK("https://assets.vans.eu/images/VN000Q7429B-HERO/1","VN000Q7429B1")</f>
        <v>VN000Q7429B1</v>
      </c>
      <c r="B2324" s="12" t="s">
        <v>8685</v>
      </c>
      <c r="C2324" s="12" t="s">
        <v>3186</v>
      </c>
      <c r="D2324" s="12" t="s">
        <v>5629</v>
      </c>
      <c r="E2324" s="12" t="s">
        <v>8686</v>
      </c>
      <c r="F2324" s="13">
        <v>28</v>
      </c>
      <c r="G2324" s="14"/>
      <c r="H2324" s="12" t="s">
        <v>61</v>
      </c>
      <c r="I2324" s="12" t="s">
        <v>230</v>
      </c>
      <c r="J2324" s="12" t="s">
        <v>231</v>
      </c>
      <c r="K2324" s="12" t="s">
        <v>199</v>
      </c>
      <c r="L2324" s="14"/>
      <c r="M2324" s="12" t="s">
        <v>43</v>
      </c>
      <c r="N2324" s="12" t="s">
        <v>84</v>
      </c>
      <c r="O2324" s="12" t="s">
        <v>8687</v>
      </c>
      <c r="P2324" s="12" t="s">
        <v>66</v>
      </c>
      <c r="Q2324" s="12" t="s">
        <v>233</v>
      </c>
      <c r="R2324" s="12" t="s">
        <v>361</v>
      </c>
      <c r="S2324" s="13">
        <v>197804583416</v>
      </c>
      <c r="T2324" s="12" t="s">
        <v>235</v>
      </c>
      <c r="U2324" s="13">
        <v>28</v>
      </c>
      <c r="V2324" s="12" t="s">
        <v>423</v>
      </c>
      <c r="W2324" s="12" t="s">
        <v>51</v>
      </c>
      <c r="X2324" s="14"/>
      <c r="Y2324" s="14"/>
      <c r="Z2324" s="14"/>
      <c r="AA2324" s="14"/>
      <c r="AB2324" s="14"/>
      <c r="AC2324" s="15">
        <v>36.4</v>
      </c>
      <c r="AD2324" s="15">
        <f>AC2324*AG2324</f>
        <v>72.8</v>
      </c>
      <c r="AE2324" s="15">
        <v>80</v>
      </c>
      <c r="AF2324" s="15">
        <f>AE2324*AG2324</f>
        <v>160</v>
      </c>
      <c r="AG2324" s="16">
        <v>2</v>
      </c>
    </row>
    <row r="2325" spans="1:33" ht="15" customHeight="1" x14ac:dyDescent="0.2">
      <c r="A2325" s="11" t="str">
        <f t="shared" si="745"/>
        <v>VN000Q74EN61</v>
      </c>
      <c r="B2325" s="12" t="s">
        <v>8688</v>
      </c>
      <c r="C2325" s="12" t="s">
        <v>3186</v>
      </c>
      <c r="D2325" s="12" t="s">
        <v>189</v>
      </c>
      <c r="E2325" s="12" t="s">
        <v>8689</v>
      </c>
      <c r="F2325" s="13">
        <v>31</v>
      </c>
      <c r="G2325" s="14"/>
      <c r="H2325" s="12" t="s">
        <v>61</v>
      </c>
      <c r="I2325" s="12" t="s">
        <v>230</v>
      </c>
      <c r="J2325" s="12" t="s">
        <v>231</v>
      </c>
      <c r="K2325" s="12" t="s">
        <v>199</v>
      </c>
      <c r="L2325" s="14"/>
      <c r="M2325" s="12" t="s">
        <v>43</v>
      </c>
      <c r="N2325" s="12" t="s">
        <v>84</v>
      </c>
      <c r="O2325" s="12" t="s">
        <v>8690</v>
      </c>
      <c r="P2325" s="12" t="s">
        <v>66</v>
      </c>
      <c r="Q2325" s="12" t="s">
        <v>233</v>
      </c>
      <c r="R2325" s="12" t="s">
        <v>361</v>
      </c>
      <c r="S2325" s="13">
        <v>197804583621</v>
      </c>
      <c r="T2325" s="12" t="s">
        <v>235</v>
      </c>
      <c r="U2325" s="13">
        <v>31</v>
      </c>
      <c r="V2325" s="12" t="s">
        <v>423</v>
      </c>
      <c r="W2325" s="12" t="s">
        <v>118</v>
      </c>
      <c r="X2325" s="14"/>
      <c r="Y2325" s="14"/>
      <c r="Z2325" s="14"/>
      <c r="AA2325" s="14"/>
      <c r="AB2325" s="14"/>
      <c r="AC2325" s="15">
        <v>36.4</v>
      </c>
      <c r="AD2325" s="15">
        <f>AC2325*AG2325</f>
        <v>72.8</v>
      </c>
      <c r="AE2325" s="15">
        <v>80</v>
      </c>
      <c r="AF2325" s="15">
        <f>AE2325*AG2325</f>
        <v>160</v>
      </c>
      <c r="AG2325" s="16">
        <v>2</v>
      </c>
    </row>
    <row r="2326" spans="1:33" ht="15" customHeight="1" x14ac:dyDescent="0.2">
      <c r="A2326" s="11" t="str">
        <f t="shared" ref="A2326:A3527" si="948">HYPERLINK("https://assets.vans.eu/images/VN000Q74EN6-HERO/1","VN000Q74EN61")</f>
        <v>VN000Q74EN61</v>
      </c>
      <c r="B2326" s="12" t="s">
        <v>8691</v>
      </c>
      <c r="C2326" s="12" t="s">
        <v>3186</v>
      </c>
      <c r="D2326" s="12" t="s">
        <v>189</v>
      </c>
      <c r="E2326" s="12" t="s">
        <v>8692</v>
      </c>
      <c r="F2326" s="13">
        <v>34</v>
      </c>
      <c r="G2326" s="14"/>
      <c r="H2326" s="12" t="s">
        <v>61</v>
      </c>
      <c r="I2326" s="12" t="s">
        <v>230</v>
      </c>
      <c r="J2326" s="12" t="s">
        <v>231</v>
      </c>
      <c r="K2326" s="12" t="s">
        <v>199</v>
      </c>
      <c r="L2326" s="14"/>
      <c r="M2326" s="12" t="s">
        <v>43</v>
      </c>
      <c r="N2326" s="12" t="s">
        <v>84</v>
      </c>
      <c r="O2326" s="12" t="s">
        <v>8693</v>
      </c>
      <c r="P2326" s="12" t="s">
        <v>66</v>
      </c>
      <c r="Q2326" s="12" t="s">
        <v>233</v>
      </c>
      <c r="R2326" s="12" t="s">
        <v>361</v>
      </c>
      <c r="S2326" s="13">
        <v>197804583676</v>
      </c>
      <c r="T2326" s="12" t="s">
        <v>235</v>
      </c>
      <c r="U2326" s="13">
        <v>34</v>
      </c>
      <c r="V2326" s="12" t="s">
        <v>423</v>
      </c>
      <c r="W2326" s="12" t="s">
        <v>118</v>
      </c>
      <c r="X2326" s="14"/>
      <c r="Y2326" s="14"/>
      <c r="Z2326" s="14"/>
      <c r="AA2326" s="14"/>
      <c r="AB2326" s="14"/>
      <c r="AC2326" s="15">
        <v>36.4</v>
      </c>
      <c r="AD2326" s="15">
        <f>AC2326*AG2326</f>
        <v>72.8</v>
      </c>
      <c r="AE2326" s="15">
        <v>80</v>
      </c>
      <c r="AF2326" s="15">
        <f>AE2326*AG2326</f>
        <v>160</v>
      </c>
      <c r="AG2326" s="16">
        <v>2</v>
      </c>
    </row>
    <row r="2327" spans="1:33" ht="15" customHeight="1" x14ac:dyDescent="0.2">
      <c r="A2327" s="11" t="str">
        <f>HYPERLINK("https://assets.vans.eu/images/VN000QDFBLK-HERO/1","VN000QDFBLK1")</f>
        <v>VN000QDFBLK1</v>
      </c>
      <c r="B2327" s="12" t="s">
        <v>8694</v>
      </c>
      <c r="C2327" s="12" t="s">
        <v>2546</v>
      </c>
      <c r="D2327" s="12" t="s">
        <v>76</v>
      </c>
      <c r="E2327" s="12" t="s">
        <v>8695</v>
      </c>
      <c r="F2327" s="12" t="s">
        <v>60</v>
      </c>
      <c r="G2327" s="14"/>
      <c r="H2327" s="12" t="s">
        <v>61</v>
      </c>
      <c r="I2327" s="12" t="s">
        <v>289</v>
      </c>
      <c r="J2327" s="12" t="s">
        <v>706</v>
      </c>
      <c r="K2327" s="12" t="s">
        <v>100</v>
      </c>
      <c r="L2327" s="14"/>
      <c r="M2327" s="12" t="s">
        <v>43</v>
      </c>
      <c r="N2327" s="12" t="s">
        <v>84</v>
      </c>
      <c r="O2327" s="12" t="s">
        <v>8696</v>
      </c>
      <c r="P2327" s="12" t="s">
        <v>66</v>
      </c>
      <c r="Q2327" s="12" t="s">
        <v>67</v>
      </c>
      <c r="R2327" s="12" t="s">
        <v>1146</v>
      </c>
      <c r="S2327" s="13">
        <v>197804395781</v>
      </c>
      <c r="T2327" s="12" t="s">
        <v>709</v>
      </c>
      <c r="U2327" s="12" t="s">
        <v>60</v>
      </c>
      <c r="V2327" s="12" t="s">
        <v>665</v>
      </c>
      <c r="W2327" s="12" t="s">
        <v>51</v>
      </c>
      <c r="X2327" s="14"/>
      <c r="Y2327" s="14"/>
      <c r="Z2327" s="14"/>
      <c r="AA2327" s="14"/>
      <c r="AB2327" s="14"/>
      <c r="AC2327" s="15">
        <v>13.65</v>
      </c>
      <c r="AD2327" s="15">
        <f>AC2327*AG2327</f>
        <v>27.3</v>
      </c>
      <c r="AE2327" s="15">
        <v>30</v>
      </c>
      <c r="AF2327" s="15">
        <f>AE2327*AG2327</f>
        <v>60</v>
      </c>
      <c r="AG2327" s="16">
        <v>2</v>
      </c>
    </row>
    <row r="2328" spans="1:33" ht="15" customHeight="1" x14ac:dyDescent="0.2">
      <c r="A2328" s="11" t="str">
        <f t="shared" ref="A2328:A3543" si="949">HYPERLINK("https://assets.vans.eu/images/VN000R02WHT-HERO/1","VN000R02WHT1")</f>
        <v>VN000R02WHT1</v>
      </c>
      <c r="B2328" s="12" t="s">
        <v>8697</v>
      </c>
      <c r="C2328" s="12" t="s">
        <v>3692</v>
      </c>
      <c r="D2328" s="12" t="s">
        <v>168</v>
      </c>
      <c r="E2328" s="12" t="s">
        <v>8698</v>
      </c>
      <c r="F2328" s="12" t="s">
        <v>403</v>
      </c>
      <c r="G2328" s="14"/>
      <c r="H2328" s="12" t="s">
        <v>61</v>
      </c>
      <c r="I2328" s="12" t="s">
        <v>62</v>
      </c>
      <c r="J2328" s="12" t="s">
        <v>63</v>
      </c>
      <c r="K2328" s="12" t="s">
        <v>64</v>
      </c>
      <c r="L2328" s="14"/>
      <c r="M2328" s="12" t="s">
        <v>43</v>
      </c>
      <c r="N2328" s="12" t="s">
        <v>84</v>
      </c>
      <c r="O2328" s="12" t="s">
        <v>8699</v>
      </c>
      <c r="P2328" s="12" t="s">
        <v>66</v>
      </c>
      <c r="Q2328" s="12" t="s">
        <v>67</v>
      </c>
      <c r="R2328" s="12" t="s">
        <v>68</v>
      </c>
      <c r="S2328" s="13">
        <v>197804585014</v>
      </c>
      <c r="T2328" s="12" t="s">
        <v>915</v>
      </c>
      <c r="U2328" s="12" t="s">
        <v>403</v>
      </c>
      <c r="V2328" s="12" t="s">
        <v>1028</v>
      </c>
      <c r="W2328" s="12" t="s">
        <v>175</v>
      </c>
      <c r="X2328" s="14"/>
      <c r="Y2328" s="14"/>
      <c r="Z2328" s="14"/>
      <c r="AA2328" s="14"/>
      <c r="AB2328" s="14"/>
      <c r="AC2328" s="15">
        <v>15.95</v>
      </c>
      <c r="AD2328" s="15">
        <f>AC2328*AG2328</f>
        <v>31.9</v>
      </c>
      <c r="AE2328" s="15">
        <v>35</v>
      </c>
      <c r="AF2328" s="15">
        <f>AE2328*AG2328</f>
        <v>70</v>
      </c>
      <c r="AG2328" s="16">
        <v>2</v>
      </c>
    </row>
    <row r="2329" spans="1:33" ht="15" customHeight="1" x14ac:dyDescent="0.2">
      <c r="A2329" s="11" t="str">
        <f>HYPERLINK("https://assets.vans.eu/images/VN000R03EN7-HERO/1","VN000R03EN71")</f>
        <v>VN000R03EN71</v>
      </c>
      <c r="B2329" s="12" t="s">
        <v>8700</v>
      </c>
      <c r="C2329" s="12" t="s">
        <v>2741</v>
      </c>
      <c r="D2329" s="12" t="s">
        <v>295</v>
      </c>
      <c r="E2329" s="12" t="s">
        <v>8701</v>
      </c>
      <c r="F2329" s="12" t="s">
        <v>170</v>
      </c>
      <c r="G2329" s="14"/>
      <c r="H2329" s="12" t="s">
        <v>61</v>
      </c>
      <c r="I2329" s="12" t="s">
        <v>62</v>
      </c>
      <c r="J2329" s="12" t="s">
        <v>63</v>
      </c>
      <c r="K2329" s="12" t="s">
        <v>64</v>
      </c>
      <c r="L2329" s="14"/>
      <c r="M2329" s="12" t="s">
        <v>43</v>
      </c>
      <c r="N2329" s="12" t="s">
        <v>84</v>
      </c>
      <c r="O2329" s="12" t="s">
        <v>8702</v>
      </c>
      <c r="P2329" s="12" t="s">
        <v>66</v>
      </c>
      <c r="Q2329" s="12" t="s">
        <v>67</v>
      </c>
      <c r="R2329" s="12" t="s">
        <v>68</v>
      </c>
      <c r="S2329" s="13">
        <v>197804585069</v>
      </c>
      <c r="T2329" s="12" t="s">
        <v>915</v>
      </c>
      <c r="U2329" s="12" t="s">
        <v>170</v>
      </c>
      <c r="V2329" s="12" t="s">
        <v>1028</v>
      </c>
      <c r="W2329" s="12" t="s">
        <v>299</v>
      </c>
      <c r="X2329" s="14"/>
      <c r="Y2329" s="14"/>
      <c r="Z2329" s="14"/>
      <c r="AA2329" s="14"/>
      <c r="AB2329" s="14"/>
      <c r="AC2329" s="15">
        <v>15.95</v>
      </c>
      <c r="AD2329" s="15">
        <f>AC2329*AG2329</f>
        <v>31.9</v>
      </c>
      <c r="AE2329" s="15">
        <v>35</v>
      </c>
      <c r="AF2329" s="15">
        <f>AE2329*AG2329</f>
        <v>70</v>
      </c>
      <c r="AG2329" s="16">
        <v>2</v>
      </c>
    </row>
    <row r="2330" spans="1:33" ht="15" customHeight="1" x14ac:dyDescent="0.2">
      <c r="A2330" s="11" t="str">
        <f t="shared" si="503"/>
        <v>VN000R03WHT1</v>
      </c>
      <c r="B2330" s="12" t="s">
        <v>8703</v>
      </c>
      <c r="C2330" s="12" t="s">
        <v>2741</v>
      </c>
      <c r="D2330" s="12" t="s">
        <v>168</v>
      </c>
      <c r="E2330" s="12" t="s">
        <v>8704</v>
      </c>
      <c r="F2330" s="12" t="s">
        <v>403</v>
      </c>
      <c r="G2330" s="14"/>
      <c r="H2330" s="12" t="s">
        <v>61</v>
      </c>
      <c r="I2330" s="12" t="s">
        <v>62</v>
      </c>
      <c r="J2330" s="12" t="s">
        <v>63</v>
      </c>
      <c r="K2330" s="12" t="s">
        <v>64</v>
      </c>
      <c r="L2330" s="14"/>
      <c r="M2330" s="12" t="s">
        <v>43</v>
      </c>
      <c r="N2330" s="12" t="s">
        <v>84</v>
      </c>
      <c r="O2330" s="12" t="s">
        <v>8705</v>
      </c>
      <c r="P2330" s="12" t="s">
        <v>66</v>
      </c>
      <c r="Q2330" s="12" t="s">
        <v>67</v>
      </c>
      <c r="R2330" s="12" t="s">
        <v>68</v>
      </c>
      <c r="S2330" s="13">
        <v>197804585205</v>
      </c>
      <c r="T2330" s="12" t="s">
        <v>915</v>
      </c>
      <c r="U2330" s="12" t="s">
        <v>403</v>
      </c>
      <c r="V2330" s="12" t="s">
        <v>1028</v>
      </c>
      <c r="W2330" s="12" t="s">
        <v>175</v>
      </c>
      <c r="X2330" s="14"/>
      <c r="Y2330" s="14"/>
      <c r="Z2330" s="14"/>
      <c r="AA2330" s="14"/>
      <c r="AB2330" s="14"/>
      <c r="AC2330" s="15">
        <v>15.95</v>
      </c>
      <c r="AD2330" s="15">
        <f>AC2330*AG2330</f>
        <v>31.9</v>
      </c>
      <c r="AE2330" s="15">
        <v>35</v>
      </c>
      <c r="AF2330" s="15">
        <f>AE2330*AG2330</f>
        <v>70</v>
      </c>
      <c r="AG2330" s="16">
        <v>2</v>
      </c>
    </row>
    <row r="2331" spans="1:33" ht="15" customHeight="1" x14ac:dyDescent="0.2">
      <c r="A2331" s="11" t="str">
        <f t="shared" si="748"/>
        <v>VN000R05ATH1</v>
      </c>
      <c r="B2331" s="12" t="s">
        <v>8706</v>
      </c>
      <c r="C2331" s="12" t="s">
        <v>3182</v>
      </c>
      <c r="D2331" s="12" t="s">
        <v>6859</v>
      </c>
      <c r="E2331" s="12" t="s">
        <v>8707</v>
      </c>
      <c r="F2331" s="12" t="s">
        <v>179</v>
      </c>
      <c r="G2331" s="14"/>
      <c r="H2331" s="12" t="s">
        <v>61</v>
      </c>
      <c r="I2331" s="12" t="s">
        <v>62</v>
      </c>
      <c r="J2331" s="12" t="s">
        <v>63</v>
      </c>
      <c r="K2331" s="12" t="s">
        <v>64</v>
      </c>
      <c r="L2331" s="14"/>
      <c r="M2331" s="12" t="s">
        <v>43</v>
      </c>
      <c r="N2331" s="12" t="s">
        <v>84</v>
      </c>
      <c r="O2331" s="12" t="s">
        <v>8708</v>
      </c>
      <c r="P2331" s="12" t="s">
        <v>66</v>
      </c>
      <c r="Q2331" s="12" t="s">
        <v>67</v>
      </c>
      <c r="R2331" s="12" t="s">
        <v>68</v>
      </c>
      <c r="S2331" s="13">
        <v>197804584970</v>
      </c>
      <c r="T2331" s="12" t="s">
        <v>915</v>
      </c>
      <c r="U2331" s="12" t="s">
        <v>179</v>
      </c>
      <c r="V2331" s="12" t="s">
        <v>6862</v>
      </c>
      <c r="W2331" s="12" t="s">
        <v>455</v>
      </c>
      <c r="X2331" s="14"/>
      <c r="Y2331" s="14"/>
      <c r="Z2331" s="14"/>
      <c r="AA2331" s="14"/>
      <c r="AB2331" s="14"/>
      <c r="AC2331" s="15">
        <v>13.65</v>
      </c>
      <c r="AD2331" s="15">
        <f>AC2331*AG2331</f>
        <v>27.3</v>
      </c>
      <c r="AE2331" s="15">
        <v>30</v>
      </c>
      <c r="AF2331" s="15">
        <f>AE2331*AG2331</f>
        <v>60</v>
      </c>
      <c r="AG2331" s="16">
        <v>2</v>
      </c>
    </row>
    <row r="2332" spans="1:33" ht="15" customHeight="1" x14ac:dyDescent="0.2">
      <c r="A2332" s="11" t="str">
        <f t="shared" ref="A2332:A3544" si="950">HYPERLINK("https://assets.vans.eu/images/VN000R15EML-HERO/1","VN000R15EML1")</f>
        <v>VN000R15EML1</v>
      </c>
      <c r="B2332" s="12" t="s">
        <v>8709</v>
      </c>
      <c r="C2332" s="12" t="s">
        <v>8710</v>
      </c>
      <c r="D2332" s="12" t="s">
        <v>3126</v>
      </c>
      <c r="E2332" s="12" t="s">
        <v>8711</v>
      </c>
      <c r="F2332" s="12" t="s">
        <v>170</v>
      </c>
      <c r="G2332" s="14"/>
      <c r="H2332" s="12" t="s">
        <v>61</v>
      </c>
      <c r="I2332" s="12" t="s">
        <v>230</v>
      </c>
      <c r="J2332" s="12" t="s">
        <v>419</v>
      </c>
      <c r="K2332" s="12" t="s">
        <v>199</v>
      </c>
      <c r="L2332" s="14"/>
      <c r="M2332" s="12" t="s">
        <v>43</v>
      </c>
      <c r="N2332" s="12" t="s">
        <v>84</v>
      </c>
      <c r="O2332" s="12" t="s">
        <v>8712</v>
      </c>
      <c r="P2332" s="12" t="s">
        <v>66</v>
      </c>
      <c r="Q2332" s="12" t="s">
        <v>67</v>
      </c>
      <c r="R2332" s="12" t="s">
        <v>421</v>
      </c>
      <c r="S2332" s="13">
        <v>197804689989</v>
      </c>
      <c r="T2332" s="12" t="s">
        <v>915</v>
      </c>
      <c r="U2332" s="12" t="s">
        <v>170</v>
      </c>
      <c r="V2332" s="12" t="s">
        <v>979</v>
      </c>
      <c r="W2332" s="12" t="s">
        <v>284</v>
      </c>
      <c r="X2332" s="14"/>
      <c r="Y2332" s="14"/>
      <c r="Z2332" s="14"/>
      <c r="AA2332" s="14"/>
      <c r="AB2332" s="14"/>
      <c r="AC2332" s="15">
        <v>18.2</v>
      </c>
      <c r="AD2332" s="15">
        <f>AC2332*AG2332</f>
        <v>36.4</v>
      </c>
      <c r="AE2332" s="15">
        <v>40</v>
      </c>
      <c r="AF2332" s="15">
        <f>AE2332*AG2332</f>
        <v>80</v>
      </c>
      <c r="AG2332" s="16">
        <v>2</v>
      </c>
    </row>
    <row r="2333" spans="1:33" ht="15" customHeight="1" x14ac:dyDescent="0.2">
      <c r="A2333" s="11" t="str">
        <f t="shared" ref="A2333:A3547" si="951">HYPERLINK("https://assets.vans.eu/images/VN000R15FS8-HERO/1","VN000R15FS81")</f>
        <v>VN000R15FS81</v>
      </c>
      <c r="B2333" s="12" t="s">
        <v>8713</v>
      </c>
      <c r="C2333" s="12" t="s">
        <v>8710</v>
      </c>
      <c r="D2333" s="12" t="s">
        <v>239</v>
      </c>
      <c r="E2333" s="12" t="s">
        <v>8714</v>
      </c>
      <c r="F2333" s="12" t="s">
        <v>179</v>
      </c>
      <c r="G2333" s="14"/>
      <c r="H2333" s="12" t="s">
        <v>61</v>
      </c>
      <c r="I2333" s="12" t="s">
        <v>230</v>
      </c>
      <c r="J2333" s="12" t="s">
        <v>419</v>
      </c>
      <c r="K2333" s="12" t="s">
        <v>199</v>
      </c>
      <c r="L2333" s="14"/>
      <c r="M2333" s="12" t="s">
        <v>43</v>
      </c>
      <c r="N2333" s="12" t="s">
        <v>84</v>
      </c>
      <c r="O2333" s="12" t="s">
        <v>8715</v>
      </c>
      <c r="P2333" s="12" t="s">
        <v>66</v>
      </c>
      <c r="Q2333" s="12" t="s">
        <v>67</v>
      </c>
      <c r="R2333" s="12" t="s">
        <v>421</v>
      </c>
      <c r="S2333" s="13">
        <v>197804689934</v>
      </c>
      <c r="T2333" s="12" t="s">
        <v>915</v>
      </c>
      <c r="U2333" s="12" t="s">
        <v>179</v>
      </c>
      <c r="V2333" s="12" t="s">
        <v>979</v>
      </c>
      <c r="W2333" s="12" t="s">
        <v>175</v>
      </c>
      <c r="X2333" s="14"/>
      <c r="Y2333" s="14"/>
      <c r="Z2333" s="14"/>
      <c r="AA2333" s="14"/>
      <c r="AB2333" s="14"/>
      <c r="AC2333" s="15">
        <v>18.2</v>
      </c>
      <c r="AD2333" s="15">
        <f>AC2333*AG2333</f>
        <v>36.4</v>
      </c>
      <c r="AE2333" s="15">
        <v>40</v>
      </c>
      <c r="AF2333" s="15">
        <f>AE2333*AG2333</f>
        <v>80</v>
      </c>
      <c r="AG2333" s="16">
        <v>2</v>
      </c>
    </row>
    <row r="2334" spans="1:33" ht="15" customHeight="1" x14ac:dyDescent="0.2">
      <c r="A2334" s="11" t="str">
        <f t="shared" si="749"/>
        <v>VN000R4ZEMP1</v>
      </c>
      <c r="B2334" s="12" t="s">
        <v>8716</v>
      </c>
      <c r="C2334" s="12" t="s">
        <v>3186</v>
      </c>
      <c r="D2334" s="12" t="s">
        <v>704</v>
      </c>
      <c r="E2334" s="12" t="s">
        <v>8717</v>
      </c>
      <c r="F2334" s="13">
        <v>30</v>
      </c>
      <c r="G2334" s="14"/>
      <c r="H2334" s="12" t="s">
        <v>61</v>
      </c>
      <c r="I2334" s="12" t="s">
        <v>230</v>
      </c>
      <c r="J2334" s="12" t="s">
        <v>231</v>
      </c>
      <c r="K2334" s="12" t="s">
        <v>199</v>
      </c>
      <c r="L2334" s="14"/>
      <c r="M2334" s="12" t="s">
        <v>43</v>
      </c>
      <c r="N2334" s="12" t="s">
        <v>84</v>
      </c>
      <c r="O2334" s="12" t="s">
        <v>8718</v>
      </c>
      <c r="P2334" s="12" t="s">
        <v>66</v>
      </c>
      <c r="Q2334" s="12" t="s">
        <v>233</v>
      </c>
      <c r="R2334" s="12" t="s">
        <v>361</v>
      </c>
      <c r="S2334" s="13">
        <v>197804585823</v>
      </c>
      <c r="T2334" s="12" t="s">
        <v>235</v>
      </c>
      <c r="U2334" s="13">
        <v>30</v>
      </c>
      <c r="V2334" s="12" t="s">
        <v>665</v>
      </c>
      <c r="W2334" s="12" t="s">
        <v>186</v>
      </c>
      <c r="X2334" s="14"/>
      <c r="Y2334" s="14"/>
      <c r="Z2334" s="14"/>
      <c r="AA2334" s="14"/>
      <c r="AB2334" s="14"/>
      <c r="AC2334" s="15">
        <v>34.1</v>
      </c>
      <c r="AD2334" s="15">
        <f>AC2334*AG2334</f>
        <v>68.2</v>
      </c>
      <c r="AE2334" s="15">
        <v>75</v>
      </c>
      <c r="AF2334" s="15">
        <f>AE2334*AG2334</f>
        <v>150</v>
      </c>
      <c r="AG2334" s="16">
        <v>2</v>
      </c>
    </row>
    <row r="2335" spans="1:33" ht="15" customHeight="1" x14ac:dyDescent="0.2">
      <c r="A2335" s="11" t="str">
        <f t="shared" si="504"/>
        <v>VN000R742N11</v>
      </c>
      <c r="B2335" s="12" t="s">
        <v>8719</v>
      </c>
      <c r="C2335" s="12" t="s">
        <v>2553</v>
      </c>
      <c r="D2335" s="12" t="s">
        <v>1082</v>
      </c>
      <c r="E2335" s="12" t="s">
        <v>8720</v>
      </c>
      <c r="F2335" s="12" t="s">
        <v>138</v>
      </c>
      <c r="G2335" s="14"/>
      <c r="H2335" s="12" t="s">
        <v>61</v>
      </c>
      <c r="I2335" s="12" t="s">
        <v>289</v>
      </c>
      <c r="J2335" s="12" t="s">
        <v>706</v>
      </c>
      <c r="K2335" s="12" t="s">
        <v>100</v>
      </c>
      <c r="L2335" s="12" t="s">
        <v>83</v>
      </c>
      <c r="M2335" s="12" t="s">
        <v>43</v>
      </c>
      <c r="N2335" s="12" t="s">
        <v>84</v>
      </c>
      <c r="O2335" s="12" t="s">
        <v>8721</v>
      </c>
      <c r="P2335" s="12" t="s">
        <v>66</v>
      </c>
      <c r="Q2335" s="12" t="s">
        <v>67</v>
      </c>
      <c r="R2335" s="12" t="s">
        <v>1146</v>
      </c>
      <c r="S2335" s="13">
        <v>197804297436</v>
      </c>
      <c r="T2335" s="12" t="s">
        <v>69</v>
      </c>
      <c r="U2335" s="12" t="s">
        <v>138</v>
      </c>
      <c r="V2335" s="12" t="s">
        <v>2556</v>
      </c>
      <c r="W2335" s="12" t="s">
        <v>580</v>
      </c>
      <c r="X2335" s="14"/>
      <c r="Y2335" s="14"/>
      <c r="Z2335" s="14"/>
      <c r="AA2335" s="14"/>
      <c r="AB2335" s="14"/>
      <c r="AC2335" s="15">
        <v>18.2</v>
      </c>
      <c r="AD2335" s="15">
        <f>AC2335*AG2335</f>
        <v>36.4</v>
      </c>
      <c r="AE2335" s="15">
        <v>40</v>
      </c>
      <c r="AF2335" s="15">
        <f>AE2335*AG2335</f>
        <v>80</v>
      </c>
      <c r="AG2335" s="16">
        <v>2</v>
      </c>
    </row>
    <row r="2336" spans="1:33" ht="15" customHeight="1" x14ac:dyDescent="0.2">
      <c r="A2336" s="11" t="str">
        <f t="shared" si="447"/>
        <v>VN000R74EMS1</v>
      </c>
      <c r="B2336" s="12" t="s">
        <v>8722</v>
      </c>
      <c r="C2336" s="12" t="s">
        <v>2553</v>
      </c>
      <c r="D2336" s="12" t="s">
        <v>863</v>
      </c>
      <c r="E2336" s="12" t="s">
        <v>8723</v>
      </c>
      <c r="F2336" s="12" t="s">
        <v>138</v>
      </c>
      <c r="G2336" s="14"/>
      <c r="H2336" s="12" t="s">
        <v>61</v>
      </c>
      <c r="I2336" s="12" t="s">
        <v>289</v>
      </c>
      <c r="J2336" s="12" t="s">
        <v>706</v>
      </c>
      <c r="K2336" s="12" t="s">
        <v>100</v>
      </c>
      <c r="L2336" s="12" t="s">
        <v>83</v>
      </c>
      <c r="M2336" s="12" t="s">
        <v>43</v>
      </c>
      <c r="N2336" s="12" t="s">
        <v>84</v>
      </c>
      <c r="O2336" s="12" t="s">
        <v>8724</v>
      </c>
      <c r="P2336" s="12" t="s">
        <v>66</v>
      </c>
      <c r="Q2336" s="12" t="s">
        <v>67</v>
      </c>
      <c r="R2336" s="12" t="s">
        <v>1146</v>
      </c>
      <c r="S2336" s="13">
        <v>197805956684</v>
      </c>
      <c r="T2336" s="12" t="s">
        <v>69</v>
      </c>
      <c r="U2336" s="12" t="s">
        <v>138</v>
      </c>
      <c r="V2336" s="12" t="s">
        <v>2556</v>
      </c>
      <c r="W2336" s="12" t="s">
        <v>107</v>
      </c>
      <c r="X2336" s="14"/>
      <c r="Y2336" s="14"/>
      <c r="Z2336" s="14"/>
      <c r="AA2336" s="14"/>
      <c r="AB2336" s="14"/>
      <c r="AC2336" s="15">
        <v>18.2</v>
      </c>
      <c r="AD2336" s="15">
        <f>AC2336*AG2336</f>
        <v>36.4</v>
      </c>
      <c r="AE2336" s="15">
        <v>40</v>
      </c>
      <c r="AF2336" s="15">
        <f>AE2336*AG2336</f>
        <v>80</v>
      </c>
      <c r="AG2336" s="16">
        <v>2</v>
      </c>
    </row>
    <row r="2337" spans="1:33" ht="15" customHeight="1" x14ac:dyDescent="0.2">
      <c r="A2337" s="11" t="str">
        <f t="shared" ref="A2337:A3557" si="952">HYPERLINK("https://assets.vans.eu/images/VN000R7AY28-HERO/1","VN000R7AY281")</f>
        <v>VN000R7AY281</v>
      </c>
      <c r="B2337" s="12" t="s">
        <v>8725</v>
      </c>
      <c r="C2337" s="12" t="s">
        <v>2748</v>
      </c>
      <c r="D2337" s="12" t="s">
        <v>58</v>
      </c>
      <c r="E2337" s="12" t="s">
        <v>8726</v>
      </c>
      <c r="F2337" s="12" t="s">
        <v>403</v>
      </c>
      <c r="G2337" s="14"/>
      <c r="H2337" s="12" t="s">
        <v>61</v>
      </c>
      <c r="I2337" s="12" t="s">
        <v>230</v>
      </c>
      <c r="J2337" s="12" t="s">
        <v>419</v>
      </c>
      <c r="K2337" s="12" t="s">
        <v>199</v>
      </c>
      <c r="L2337" s="12" t="s">
        <v>83</v>
      </c>
      <c r="M2337" s="12" t="s">
        <v>43</v>
      </c>
      <c r="N2337" s="12" t="s">
        <v>84</v>
      </c>
      <c r="O2337" s="12" t="s">
        <v>8727</v>
      </c>
      <c r="P2337" s="12" t="s">
        <v>66</v>
      </c>
      <c r="Q2337" s="12" t="s">
        <v>67</v>
      </c>
      <c r="R2337" s="12" t="s">
        <v>421</v>
      </c>
      <c r="S2337" s="13">
        <v>197804324422</v>
      </c>
      <c r="T2337" s="12" t="s">
        <v>422</v>
      </c>
      <c r="U2337" s="12" t="s">
        <v>403</v>
      </c>
      <c r="V2337" s="12" t="s">
        <v>70</v>
      </c>
      <c r="W2337" s="12" t="s">
        <v>51</v>
      </c>
      <c r="X2337" s="14"/>
      <c r="Y2337" s="14"/>
      <c r="Z2337" s="14"/>
      <c r="AA2337" s="14"/>
      <c r="AB2337" s="14"/>
      <c r="AC2337" s="15">
        <v>20.5</v>
      </c>
      <c r="AD2337" s="15">
        <f>AC2337*AG2337</f>
        <v>41</v>
      </c>
      <c r="AE2337" s="15">
        <v>45</v>
      </c>
      <c r="AF2337" s="15">
        <f>AE2337*AG2337</f>
        <v>90</v>
      </c>
      <c r="AG2337" s="16">
        <v>2</v>
      </c>
    </row>
    <row r="2338" spans="1:33" ht="15" customHeight="1" x14ac:dyDescent="0.2">
      <c r="A2338" s="11" t="str">
        <f>HYPERLINK("https://assets.vans.eu/images/VN000R8XBLK-HERO/1","VN000R8XBLK1")</f>
        <v>VN000R8XBLK1</v>
      </c>
      <c r="B2338" s="12" t="s">
        <v>8728</v>
      </c>
      <c r="C2338" s="12" t="s">
        <v>3491</v>
      </c>
      <c r="D2338" s="12" t="s">
        <v>76</v>
      </c>
      <c r="E2338" s="12" t="s">
        <v>8729</v>
      </c>
      <c r="F2338" s="12" t="s">
        <v>621</v>
      </c>
      <c r="G2338" s="14"/>
      <c r="H2338" s="12" t="s">
        <v>61</v>
      </c>
      <c r="I2338" s="12" t="s">
        <v>230</v>
      </c>
      <c r="J2338" s="12" t="s">
        <v>762</v>
      </c>
      <c r="K2338" s="12" t="s">
        <v>199</v>
      </c>
      <c r="L2338" s="12" t="s">
        <v>83</v>
      </c>
      <c r="M2338" s="12" t="s">
        <v>43</v>
      </c>
      <c r="N2338" s="12" t="s">
        <v>84</v>
      </c>
      <c r="O2338" s="12" t="s">
        <v>8730</v>
      </c>
      <c r="P2338" s="12" t="s">
        <v>66</v>
      </c>
      <c r="Q2338" s="12" t="s">
        <v>764</v>
      </c>
      <c r="R2338" s="12" t="s">
        <v>765</v>
      </c>
      <c r="S2338" s="13">
        <v>197804297450</v>
      </c>
      <c r="T2338" s="12" t="s">
        <v>235</v>
      </c>
      <c r="U2338" s="12" t="s">
        <v>621</v>
      </c>
      <c r="V2338" s="12" t="s">
        <v>3494</v>
      </c>
      <c r="W2338" s="12" t="s">
        <v>51</v>
      </c>
      <c r="X2338" s="14"/>
      <c r="Y2338" s="14"/>
      <c r="Z2338" s="14"/>
      <c r="AA2338" s="14"/>
      <c r="AB2338" s="14"/>
      <c r="AC2338" s="15">
        <v>90.95</v>
      </c>
      <c r="AD2338" s="15">
        <f>AC2338*AG2338</f>
        <v>181.9</v>
      </c>
      <c r="AE2338" s="15">
        <v>200</v>
      </c>
      <c r="AF2338" s="15">
        <f>AE2338*AG2338</f>
        <v>400</v>
      </c>
      <c r="AG2338" s="16">
        <v>2</v>
      </c>
    </row>
    <row r="2339" spans="1:33" ht="15" customHeight="1" x14ac:dyDescent="0.2">
      <c r="A2339" s="11" t="str">
        <f t="shared" ref="A2339:A3558" si="953">HYPERLINK("https://assets.vans.eu/images/VN000R8ZBLK-HERO/1","VN000R8ZBLK1")</f>
        <v>VN000R8ZBLK1</v>
      </c>
      <c r="B2339" s="12" t="s">
        <v>8731</v>
      </c>
      <c r="C2339" s="12" t="s">
        <v>8732</v>
      </c>
      <c r="D2339" s="12" t="s">
        <v>76</v>
      </c>
      <c r="E2339" s="12" t="s">
        <v>8733</v>
      </c>
      <c r="F2339" s="12" t="s">
        <v>153</v>
      </c>
      <c r="G2339" s="14"/>
      <c r="H2339" s="12" t="s">
        <v>61</v>
      </c>
      <c r="I2339" s="12" t="s">
        <v>230</v>
      </c>
      <c r="J2339" s="12" t="s">
        <v>762</v>
      </c>
      <c r="K2339" s="12" t="s">
        <v>199</v>
      </c>
      <c r="L2339" s="12" t="s">
        <v>83</v>
      </c>
      <c r="M2339" s="12" t="s">
        <v>43</v>
      </c>
      <c r="N2339" s="12" t="s">
        <v>84</v>
      </c>
      <c r="O2339" s="12" t="s">
        <v>8734</v>
      </c>
      <c r="P2339" s="12" t="s">
        <v>66</v>
      </c>
      <c r="Q2339" s="12" t="s">
        <v>764</v>
      </c>
      <c r="R2339" s="12" t="s">
        <v>765</v>
      </c>
      <c r="S2339" s="13">
        <v>197804297252</v>
      </c>
      <c r="T2339" s="12" t="s">
        <v>235</v>
      </c>
      <c r="U2339" s="12" t="s">
        <v>153</v>
      </c>
      <c r="V2339" s="12" t="s">
        <v>8735</v>
      </c>
      <c r="W2339" s="12" t="s">
        <v>51</v>
      </c>
      <c r="X2339" s="14"/>
      <c r="Y2339" s="14"/>
      <c r="Z2339" s="14"/>
      <c r="AA2339" s="14"/>
      <c r="AB2339" s="14"/>
      <c r="AC2339" s="15">
        <v>63.65</v>
      </c>
      <c r="AD2339" s="15">
        <f>AC2339*AG2339</f>
        <v>127.3</v>
      </c>
      <c r="AE2339" s="15">
        <v>140</v>
      </c>
      <c r="AF2339" s="15">
        <f>AE2339*AG2339</f>
        <v>280</v>
      </c>
      <c r="AG2339" s="16">
        <v>2</v>
      </c>
    </row>
    <row r="2340" spans="1:33" ht="15" customHeight="1" x14ac:dyDescent="0.2">
      <c r="A2340" s="11" t="str">
        <f t="shared" ref="A2340:A3562" si="954">HYPERLINK("https://assets.vans.eu/images/VN000R95EMV-HERO/1","VN000R95EMV1")</f>
        <v>VN000R95EMV1</v>
      </c>
      <c r="B2340" s="12" t="s">
        <v>8736</v>
      </c>
      <c r="C2340" s="12" t="s">
        <v>6900</v>
      </c>
      <c r="D2340" s="12" t="s">
        <v>1908</v>
      </c>
      <c r="E2340" s="12" t="s">
        <v>8737</v>
      </c>
      <c r="F2340" s="12" t="s">
        <v>403</v>
      </c>
      <c r="G2340" s="14"/>
      <c r="H2340" s="12" t="s">
        <v>61</v>
      </c>
      <c r="I2340" s="12" t="s">
        <v>230</v>
      </c>
      <c r="J2340" s="12" t="s">
        <v>419</v>
      </c>
      <c r="K2340" s="12" t="s">
        <v>199</v>
      </c>
      <c r="L2340" s="12" t="s">
        <v>83</v>
      </c>
      <c r="M2340" s="12" t="s">
        <v>43</v>
      </c>
      <c r="N2340" s="12" t="s">
        <v>84</v>
      </c>
      <c r="O2340" s="12" t="s">
        <v>8738</v>
      </c>
      <c r="P2340" s="12" t="s">
        <v>66</v>
      </c>
      <c r="Q2340" s="12" t="s">
        <v>67</v>
      </c>
      <c r="R2340" s="12" t="s">
        <v>421</v>
      </c>
      <c r="S2340" s="13">
        <v>197804297122</v>
      </c>
      <c r="T2340" s="12" t="s">
        <v>69</v>
      </c>
      <c r="U2340" s="12" t="s">
        <v>403</v>
      </c>
      <c r="V2340" s="12" t="s">
        <v>665</v>
      </c>
      <c r="W2340" s="12" t="s">
        <v>51</v>
      </c>
      <c r="X2340" s="14"/>
      <c r="Y2340" s="14"/>
      <c r="Z2340" s="14"/>
      <c r="AA2340" s="14"/>
      <c r="AB2340" s="14"/>
      <c r="AC2340" s="15">
        <v>22.75</v>
      </c>
      <c r="AD2340" s="15">
        <f>AC2340*AG2340</f>
        <v>45.5</v>
      </c>
      <c r="AE2340" s="15">
        <v>50</v>
      </c>
      <c r="AF2340" s="15">
        <f>AE2340*AG2340</f>
        <v>100</v>
      </c>
      <c r="AG2340" s="16">
        <v>2</v>
      </c>
    </row>
    <row r="2341" spans="1:33" ht="15" customHeight="1" x14ac:dyDescent="0.2">
      <c r="A2341" s="11" t="str">
        <f>HYPERLINK("https://assets.vans.eu/images/VN000RAPFS8-HERO/1","VN000RAPFS81")</f>
        <v>VN000RAPFS81</v>
      </c>
      <c r="B2341" s="12" t="s">
        <v>8739</v>
      </c>
      <c r="C2341" s="12" t="s">
        <v>4806</v>
      </c>
      <c r="D2341" s="12" t="s">
        <v>239</v>
      </c>
      <c r="E2341" s="12" t="s">
        <v>8740</v>
      </c>
      <c r="F2341" s="12" t="s">
        <v>153</v>
      </c>
      <c r="G2341" s="14"/>
      <c r="H2341" s="12" t="s">
        <v>61</v>
      </c>
      <c r="I2341" s="12" t="s">
        <v>230</v>
      </c>
      <c r="J2341" s="12" t="s">
        <v>419</v>
      </c>
      <c r="K2341" s="12" t="s">
        <v>199</v>
      </c>
      <c r="L2341" s="12" t="s">
        <v>83</v>
      </c>
      <c r="M2341" s="12" t="s">
        <v>43</v>
      </c>
      <c r="N2341" s="12" t="s">
        <v>84</v>
      </c>
      <c r="O2341" s="12" t="s">
        <v>8741</v>
      </c>
      <c r="P2341" s="12" t="s">
        <v>66</v>
      </c>
      <c r="Q2341" s="12" t="s">
        <v>67</v>
      </c>
      <c r="R2341" s="12" t="s">
        <v>421</v>
      </c>
      <c r="S2341" s="13">
        <v>197804325825</v>
      </c>
      <c r="T2341" s="12" t="s">
        <v>422</v>
      </c>
      <c r="U2341" s="12" t="s">
        <v>153</v>
      </c>
      <c r="V2341" s="12" t="s">
        <v>423</v>
      </c>
      <c r="W2341" s="12" t="s">
        <v>175</v>
      </c>
      <c r="X2341" s="13">
        <v>0</v>
      </c>
      <c r="Y2341" s="12" t="s">
        <v>91</v>
      </c>
      <c r="Z2341" s="12" t="s">
        <v>92</v>
      </c>
      <c r="AA2341" s="12" t="s">
        <v>626</v>
      </c>
      <c r="AB2341" s="12" t="s">
        <v>94</v>
      </c>
      <c r="AC2341" s="15">
        <v>15.95</v>
      </c>
      <c r="AD2341" s="15">
        <f>AC2341*AG2341</f>
        <v>31.9</v>
      </c>
      <c r="AE2341" s="15">
        <v>35</v>
      </c>
      <c r="AF2341" s="15">
        <f>AE2341*AG2341</f>
        <v>70</v>
      </c>
      <c r="AG2341" s="16">
        <v>2</v>
      </c>
    </row>
    <row r="2342" spans="1:33" ht="15" customHeight="1" x14ac:dyDescent="0.2">
      <c r="A2342" s="11" t="str">
        <f t="shared" si="594"/>
        <v>VN000RBYY7U1</v>
      </c>
      <c r="B2342" s="12" t="s">
        <v>8742</v>
      </c>
      <c r="C2342" s="12" t="s">
        <v>5560</v>
      </c>
      <c r="D2342" s="12" t="s">
        <v>740</v>
      </c>
      <c r="E2342" s="12" t="s">
        <v>8743</v>
      </c>
      <c r="F2342" s="12" t="s">
        <v>170</v>
      </c>
      <c r="G2342" s="14"/>
      <c r="H2342" s="12" t="s">
        <v>61</v>
      </c>
      <c r="I2342" s="12" t="s">
        <v>289</v>
      </c>
      <c r="J2342" s="12" t="s">
        <v>984</v>
      </c>
      <c r="K2342" s="12" t="s">
        <v>100</v>
      </c>
      <c r="L2342" s="14"/>
      <c r="M2342" s="12" t="s">
        <v>43</v>
      </c>
      <c r="N2342" s="12" t="s">
        <v>84</v>
      </c>
      <c r="O2342" s="12" t="s">
        <v>8744</v>
      </c>
      <c r="P2342" s="12" t="s">
        <v>66</v>
      </c>
      <c r="Q2342" s="12" t="s">
        <v>764</v>
      </c>
      <c r="R2342" s="12" t="s">
        <v>986</v>
      </c>
      <c r="S2342" s="13">
        <v>197804585700</v>
      </c>
      <c r="T2342" s="12" t="s">
        <v>235</v>
      </c>
      <c r="U2342" s="12" t="s">
        <v>170</v>
      </c>
      <c r="V2342" s="12" t="s">
        <v>423</v>
      </c>
      <c r="W2342" s="12" t="s">
        <v>455</v>
      </c>
      <c r="X2342" s="14"/>
      <c r="Y2342" s="14"/>
      <c r="Z2342" s="14"/>
      <c r="AA2342" s="14"/>
      <c r="AB2342" s="14"/>
      <c r="AC2342" s="15">
        <v>45.5</v>
      </c>
      <c r="AD2342" s="15">
        <f>AC2342*AG2342</f>
        <v>91</v>
      </c>
      <c r="AE2342" s="15">
        <v>100</v>
      </c>
      <c r="AF2342" s="15">
        <f>AE2342*AG2342</f>
        <v>200</v>
      </c>
      <c r="AG2342" s="16">
        <v>2</v>
      </c>
    </row>
    <row r="2343" spans="1:33" ht="15" customHeight="1" x14ac:dyDescent="0.2">
      <c r="A2343" s="11" t="str">
        <f t="shared" ref="A2343:A2344" si="955">HYPERLINK("https://assets.vans.eu/images/VN000RC1O8W-HERO/1","VN000RC1O8W1")</f>
        <v>VN000RC1O8W1</v>
      </c>
      <c r="B2343" s="12" t="s">
        <v>8745</v>
      </c>
      <c r="C2343" s="12" t="s">
        <v>4810</v>
      </c>
      <c r="D2343" s="12" t="s">
        <v>4811</v>
      </c>
      <c r="E2343" s="12" t="s">
        <v>8746</v>
      </c>
      <c r="F2343" s="12" t="s">
        <v>179</v>
      </c>
      <c r="G2343" s="14"/>
      <c r="H2343" s="12" t="s">
        <v>61</v>
      </c>
      <c r="I2343" s="12" t="s">
        <v>289</v>
      </c>
      <c r="J2343" s="12" t="s">
        <v>706</v>
      </c>
      <c r="K2343" s="12" t="s">
        <v>100</v>
      </c>
      <c r="L2343" s="14"/>
      <c r="M2343" s="12" t="s">
        <v>43</v>
      </c>
      <c r="N2343" s="12" t="s">
        <v>84</v>
      </c>
      <c r="O2343" s="12" t="s">
        <v>8747</v>
      </c>
      <c r="P2343" s="12" t="s">
        <v>66</v>
      </c>
      <c r="Q2343" s="12" t="s">
        <v>67</v>
      </c>
      <c r="R2343" s="12" t="s">
        <v>1146</v>
      </c>
      <c r="S2343" s="13">
        <v>197804396221</v>
      </c>
      <c r="T2343" s="12" t="s">
        <v>709</v>
      </c>
      <c r="U2343" s="12" t="s">
        <v>179</v>
      </c>
      <c r="V2343" s="12" t="s">
        <v>665</v>
      </c>
      <c r="W2343" s="12" t="s">
        <v>455</v>
      </c>
      <c r="X2343" s="14"/>
      <c r="Y2343" s="14"/>
      <c r="Z2343" s="14"/>
      <c r="AA2343" s="14"/>
      <c r="AB2343" s="14"/>
      <c r="AC2343" s="15">
        <v>18.2</v>
      </c>
      <c r="AD2343" s="15">
        <f>AC2343*AG2343</f>
        <v>36.4</v>
      </c>
      <c r="AE2343" s="15">
        <v>40</v>
      </c>
      <c r="AF2343" s="15">
        <f>AE2343*AG2343</f>
        <v>80</v>
      </c>
      <c r="AG2343" s="16">
        <v>2</v>
      </c>
    </row>
    <row r="2344" spans="1:33" ht="15" customHeight="1" x14ac:dyDescent="0.2">
      <c r="A2344" s="11" t="str">
        <f t="shared" si="955"/>
        <v>VN000RC1O8W1</v>
      </c>
      <c r="B2344" s="12" t="s">
        <v>8748</v>
      </c>
      <c r="C2344" s="12" t="s">
        <v>4810</v>
      </c>
      <c r="D2344" s="12" t="s">
        <v>4811</v>
      </c>
      <c r="E2344" s="12" t="s">
        <v>8749</v>
      </c>
      <c r="F2344" s="12" t="s">
        <v>153</v>
      </c>
      <c r="G2344" s="14"/>
      <c r="H2344" s="12" t="s">
        <v>61</v>
      </c>
      <c r="I2344" s="12" t="s">
        <v>289</v>
      </c>
      <c r="J2344" s="12" t="s">
        <v>706</v>
      </c>
      <c r="K2344" s="12" t="s">
        <v>100</v>
      </c>
      <c r="L2344" s="14"/>
      <c r="M2344" s="12" t="s">
        <v>43</v>
      </c>
      <c r="N2344" s="12" t="s">
        <v>84</v>
      </c>
      <c r="O2344" s="12" t="s">
        <v>8750</v>
      </c>
      <c r="P2344" s="12" t="s">
        <v>66</v>
      </c>
      <c r="Q2344" s="12" t="s">
        <v>67</v>
      </c>
      <c r="R2344" s="12" t="s">
        <v>1146</v>
      </c>
      <c r="S2344" s="13">
        <v>197804396344</v>
      </c>
      <c r="T2344" s="12" t="s">
        <v>709</v>
      </c>
      <c r="U2344" s="12" t="s">
        <v>153</v>
      </c>
      <c r="V2344" s="12" t="s">
        <v>665</v>
      </c>
      <c r="W2344" s="12" t="s">
        <v>455</v>
      </c>
      <c r="X2344" s="14"/>
      <c r="Y2344" s="14"/>
      <c r="Z2344" s="14"/>
      <c r="AA2344" s="14"/>
      <c r="AB2344" s="14"/>
      <c r="AC2344" s="15">
        <v>18.2</v>
      </c>
      <c r="AD2344" s="15">
        <f>AC2344*AG2344</f>
        <v>36.4</v>
      </c>
      <c r="AE2344" s="15">
        <v>40</v>
      </c>
      <c r="AF2344" s="15">
        <f>AE2344*AG2344</f>
        <v>80</v>
      </c>
      <c r="AG2344" s="16">
        <v>2</v>
      </c>
    </row>
    <row r="2345" spans="1:33" ht="15" customHeight="1" x14ac:dyDescent="0.2">
      <c r="A2345" s="11" t="str">
        <f t="shared" si="595"/>
        <v>VN000RCHWHT1</v>
      </c>
      <c r="B2345" s="12" t="s">
        <v>8751</v>
      </c>
      <c r="C2345" s="12" t="s">
        <v>2949</v>
      </c>
      <c r="D2345" s="12" t="s">
        <v>168</v>
      </c>
      <c r="E2345" s="12" t="s">
        <v>8752</v>
      </c>
      <c r="F2345" s="12" t="s">
        <v>60</v>
      </c>
      <c r="G2345" s="14"/>
      <c r="H2345" s="12" t="s">
        <v>61</v>
      </c>
      <c r="I2345" s="12" t="s">
        <v>289</v>
      </c>
      <c r="J2345" s="12" t="s">
        <v>706</v>
      </c>
      <c r="K2345" s="12" t="s">
        <v>100</v>
      </c>
      <c r="L2345" s="14"/>
      <c r="M2345" s="12" t="s">
        <v>43</v>
      </c>
      <c r="N2345" s="12" t="s">
        <v>84</v>
      </c>
      <c r="O2345" s="12" t="s">
        <v>8753</v>
      </c>
      <c r="P2345" s="12" t="s">
        <v>66</v>
      </c>
      <c r="Q2345" s="12" t="s">
        <v>67</v>
      </c>
      <c r="R2345" s="12" t="s">
        <v>1146</v>
      </c>
      <c r="S2345" s="13">
        <v>197804667369</v>
      </c>
      <c r="T2345" s="12" t="s">
        <v>709</v>
      </c>
      <c r="U2345" s="12" t="s">
        <v>60</v>
      </c>
      <c r="V2345" s="12" t="s">
        <v>665</v>
      </c>
      <c r="W2345" s="12" t="s">
        <v>175</v>
      </c>
      <c r="X2345" s="14"/>
      <c r="Y2345" s="14"/>
      <c r="Z2345" s="14"/>
      <c r="AA2345" s="14"/>
      <c r="AB2345" s="14"/>
      <c r="AC2345" s="15">
        <v>20.5</v>
      </c>
      <c r="AD2345" s="15">
        <f>AC2345*AG2345</f>
        <v>41</v>
      </c>
      <c r="AE2345" s="15">
        <v>45</v>
      </c>
      <c r="AF2345" s="15">
        <f>AE2345*AG2345</f>
        <v>90</v>
      </c>
      <c r="AG2345" s="16">
        <v>2</v>
      </c>
    </row>
    <row r="2346" spans="1:33" ht="15" customHeight="1" x14ac:dyDescent="0.2">
      <c r="A2346" s="11" t="str">
        <f t="shared" si="448"/>
        <v>VN000RD1EMW1</v>
      </c>
      <c r="B2346" s="12" t="s">
        <v>8754</v>
      </c>
      <c r="C2346" s="12" t="s">
        <v>4260</v>
      </c>
      <c r="D2346" s="12" t="s">
        <v>147</v>
      </c>
      <c r="E2346" s="12" t="s">
        <v>8755</v>
      </c>
      <c r="F2346" s="12" t="s">
        <v>179</v>
      </c>
      <c r="G2346" s="14"/>
      <c r="H2346" s="12" t="s">
        <v>61</v>
      </c>
      <c r="I2346" s="12" t="s">
        <v>289</v>
      </c>
      <c r="J2346" s="12" t="s">
        <v>706</v>
      </c>
      <c r="K2346" s="12" t="s">
        <v>100</v>
      </c>
      <c r="L2346" s="12" t="s">
        <v>83</v>
      </c>
      <c r="M2346" s="12" t="s">
        <v>43</v>
      </c>
      <c r="N2346" s="12" t="s">
        <v>84</v>
      </c>
      <c r="O2346" s="12" t="s">
        <v>8756</v>
      </c>
      <c r="P2346" s="12" t="s">
        <v>66</v>
      </c>
      <c r="Q2346" s="12" t="s">
        <v>67</v>
      </c>
      <c r="R2346" s="12" t="s">
        <v>1146</v>
      </c>
      <c r="S2346" s="13">
        <v>197805956554</v>
      </c>
      <c r="T2346" s="12" t="s">
        <v>422</v>
      </c>
      <c r="U2346" s="12" t="s">
        <v>179</v>
      </c>
      <c r="V2346" s="12" t="s">
        <v>2556</v>
      </c>
      <c r="W2346" s="12" t="s">
        <v>118</v>
      </c>
      <c r="X2346" s="14"/>
      <c r="Y2346" s="14"/>
      <c r="Z2346" s="14"/>
      <c r="AA2346" s="14"/>
      <c r="AB2346" s="14"/>
      <c r="AC2346" s="15">
        <v>15.95</v>
      </c>
      <c r="AD2346" s="15">
        <f>AC2346*AG2346</f>
        <v>31.9</v>
      </c>
      <c r="AE2346" s="15">
        <v>35</v>
      </c>
      <c r="AF2346" s="15">
        <f>AE2346*AG2346</f>
        <v>70</v>
      </c>
      <c r="AG2346" s="16">
        <v>2</v>
      </c>
    </row>
    <row r="2347" spans="1:33" ht="15" customHeight="1" x14ac:dyDescent="0.2">
      <c r="A2347" s="11" t="str">
        <f t="shared" si="506"/>
        <v>VN000RD1O321</v>
      </c>
      <c r="B2347" s="12" t="s">
        <v>8757</v>
      </c>
      <c r="C2347" s="12" t="s">
        <v>4260</v>
      </c>
      <c r="D2347" s="12" t="s">
        <v>4815</v>
      </c>
      <c r="E2347" s="12" t="s">
        <v>8758</v>
      </c>
      <c r="F2347" s="12" t="s">
        <v>60</v>
      </c>
      <c r="G2347" s="14"/>
      <c r="H2347" s="12" t="s">
        <v>61</v>
      </c>
      <c r="I2347" s="12" t="s">
        <v>289</v>
      </c>
      <c r="J2347" s="12" t="s">
        <v>706</v>
      </c>
      <c r="K2347" s="12" t="s">
        <v>100</v>
      </c>
      <c r="L2347" s="12" t="s">
        <v>83</v>
      </c>
      <c r="M2347" s="12" t="s">
        <v>43</v>
      </c>
      <c r="N2347" s="12" t="s">
        <v>84</v>
      </c>
      <c r="O2347" s="12" t="s">
        <v>8759</v>
      </c>
      <c r="P2347" s="12" t="s">
        <v>66</v>
      </c>
      <c r="Q2347" s="12" t="s">
        <v>67</v>
      </c>
      <c r="R2347" s="12" t="s">
        <v>1146</v>
      </c>
      <c r="S2347" s="13">
        <v>197804298457</v>
      </c>
      <c r="T2347" s="12" t="s">
        <v>422</v>
      </c>
      <c r="U2347" s="12" t="s">
        <v>60</v>
      </c>
      <c r="V2347" s="12" t="s">
        <v>2556</v>
      </c>
      <c r="W2347" s="12" t="s">
        <v>299</v>
      </c>
      <c r="X2347" s="14"/>
      <c r="Y2347" s="14"/>
      <c r="Z2347" s="14"/>
      <c r="AA2347" s="14"/>
      <c r="AB2347" s="14"/>
      <c r="AC2347" s="15">
        <v>15.95</v>
      </c>
      <c r="AD2347" s="15">
        <f>AC2347*AG2347</f>
        <v>31.9</v>
      </c>
      <c r="AE2347" s="15">
        <v>35</v>
      </c>
      <c r="AF2347" s="15">
        <f>AE2347*AG2347</f>
        <v>70</v>
      </c>
      <c r="AG2347" s="16">
        <v>2</v>
      </c>
    </row>
    <row r="2348" spans="1:33" ht="15" customHeight="1" x14ac:dyDescent="0.2">
      <c r="A2348" s="11" t="str">
        <f t="shared" ref="A2348:A3583" si="956">HYPERLINK("https://assets.vans.eu/images/VN000RD1O32-HERO/1","VN000RD1O321")</f>
        <v>VN000RD1O321</v>
      </c>
      <c r="B2348" s="12" t="s">
        <v>8760</v>
      </c>
      <c r="C2348" s="12" t="s">
        <v>4260</v>
      </c>
      <c r="D2348" s="12" t="s">
        <v>4815</v>
      </c>
      <c r="E2348" s="12" t="s">
        <v>8761</v>
      </c>
      <c r="F2348" s="12" t="s">
        <v>153</v>
      </c>
      <c r="G2348" s="14"/>
      <c r="H2348" s="12" t="s">
        <v>61</v>
      </c>
      <c r="I2348" s="12" t="s">
        <v>289</v>
      </c>
      <c r="J2348" s="12" t="s">
        <v>706</v>
      </c>
      <c r="K2348" s="12" t="s">
        <v>100</v>
      </c>
      <c r="L2348" s="12" t="s">
        <v>83</v>
      </c>
      <c r="M2348" s="12" t="s">
        <v>43</v>
      </c>
      <c r="N2348" s="12" t="s">
        <v>84</v>
      </c>
      <c r="O2348" s="12" t="s">
        <v>8762</v>
      </c>
      <c r="P2348" s="12" t="s">
        <v>66</v>
      </c>
      <c r="Q2348" s="12" t="s">
        <v>67</v>
      </c>
      <c r="R2348" s="12" t="s">
        <v>1146</v>
      </c>
      <c r="S2348" s="13">
        <v>197804298624</v>
      </c>
      <c r="T2348" s="12" t="s">
        <v>422</v>
      </c>
      <c r="U2348" s="12" t="s">
        <v>153</v>
      </c>
      <c r="V2348" s="12" t="s">
        <v>2556</v>
      </c>
      <c r="W2348" s="12" t="s">
        <v>299</v>
      </c>
      <c r="X2348" s="14"/>
      <c r="Y2348" s="14"/>
      <c r="Z2348" s="14"/>
      <c r="AA2348" s="14"/>
      <c r="AB2348" s="14"/>
      <c r="AC2348" s="15">
        <v>15.95</v>
      </c>
      <c r="AD2348" s="15">
        <f>AC2348*AG2348</f>
        <v>31.9</v>
      </c>
      <c r="AE2348" s="15">
        <v>35</v>
      </c>
      <c r="AF2348" s="15">
        <f>AE2348*AG2348</f>
        <v>70</v>
      </c>
      <c r="AG2348" s="16">
        <v>2</v>
      </c>
    </row>
    <row r="2349" spans="1:33" ht="15" customHeight="1" x14ac:dyDescent="0.2">
      <c r="A2349" s="11" t="str">
        <f t="shared" ref="A2349:A3584" si="957">HYPERLINK("https://assets.vans.eu/images/VN000RD4EMP-HERO/1","VN000RD4EMP1")</f>
        <v>VN000RD4EMP1</v>
      </c>
      <c r="B2349" s="12" t="s">
        <v>8763</v>
      </c>
      <c r="C2349" s="12" t="s">
        <v>431</v>
      </c>
      <c r="D2349" s="12" t="s">
        <v>704</v>
      </c>
      <c r="E2349" s="12" t="s">
        <v>8764</v>
      </c>
      <c r="F2349" s="12" t="s">
        <v>170</v>
      </c>
      <c r="G2349" s="14"/>
      <c r="H2349" s="12" t="s">
        <v>61</v>
      </c>
      <c r="I2349" s="12" t="s">
        <v>230</v>
      </c>
      <c r="J2349" s="12" t="s">
        <v>419</v>
      </c>
      <c r="K2349" s="12" t="s">
        <v>199</v>
      </c>
      <c r="L2349" s="12" t="s">
        <v>83</v>
      </c>
      <c r="M2349" s="12" t="s">
        <v>43</v>
      </c>
      <c r="N2349" s="12" t="s">
        <v>84</v>
      </c>
      <c r="O2349" s="12" t="s">
        <v>8765</v>
      </c>
      <c r="P2349" s="12" t="s">
        <v>66</v>
      </c>
      <c r="Q2349" s="12" t="s">
        <v>67</v>
      </c>
      <c r="R2349" s="12" t="s">
        <v>421</v>
      </c>
      <c r="S2349" s="13">
        <v>197804326327</v>
      </c>
      <c r="T2349" s="12" t="s">
        <v>422</v>
      </c>
      <c r="U2349" s="12" t="s">
        <v>170</v>
      </c>
      <c r="V2349" s="12" t="s">
        <v>423</v>
      </c>
      <c r="W2349" s="12" t="s">
        <v>186</v>
      </c>
      <c r="X2349" s="14"/>
      <c r="Y2349" s="14"/>
      <c r="Z2349" s="14"/>
      <c r="AA2349" s="14"/>
      <c r="AB2349" s="14"/>
      <c r="AC2349" s="15">
        <v>18.2</v>
      </c>
      <c r="AD2349" s="15">
        <f>AC2349*AG2349</f>
        <v>36.4</v>
      </c>
      <c r="AE2349" s="15">
        <v>40</v>
      </c>
      <c r="AF2349" s="15">
        <f>AE2349*AG2349</f>
        <v>80</v>
      </c>
      <c r="AG2349" s="16">
        <v>2</v>
      </c>
    </row>
    <row r="2350" spans="1:33" ht="15" customHeight="1" x14ac:dyDescent="0.2">
      <c r="A2350" s="11" t="str">
        <f t="shared" ref="A2350:A2351" si="958">HYPERLINK("https://assets.vans.eu/images/VN000RD4EN9-HERO/1","VN000RD4EN91")</f>
        <v>VN000RD4EN91</v>
      </c>
      <c r="B2350" s="12" t="s">
        <v>8766</v>
      </c>
      <c r="C2350" s="12" t="s">
        <v>431</v>
      </c>
      <c r="D2350" s="12" t="s">
        <v>982</v>
      </c>
      <c r="E2350" s="12" t="s">
        <v>8767</v>
      </c>
      <c r="F2350" s="12" t="s">
        <v>179</v>
      </c>
      <c r="G2350" s="14"/>
      <c r="H2350" s="12" t="s">
        <v>61</v>
      </c>
      <c r="I2350" s="12" t="s">
        <v>230</v>
      </c>
      <c r="J2350" s="12" t="s">
        <v>419</v>
      </c>
      <c r="K2350" s="12" t="s">
        <v>199</v>
      </c>
      <c r="L2350" s="12" t="s">
        <v>83</v>
      </c>
      <c r="M2350" s="12" t="s">
        <v>43</v>
      </c>
      <c r="N2350" s="12" t="s">
        <v>84</v>
      </c>
      <c r="O2350" s="12" t="s">
        <v>8768</v>
      </c>
      <c r="P2350" s="12" t="s">
        <v>66</v>
      </c>
      <c r="Q2350" s="12" t="s">
        <v>67</v>
      </c>
      <c r="R2350" s="12" t="s">
        <v>421</v>
      </c>
      <c r="S2350" s="13">
        <v>197804326303</v>
      </c>
      <c r="T2350" s="12" t="s">
        <v>422</v>
      </c>
      <c r="U2350" s="12" t="s">
        <v>179</v>
      </c>
      <c r="V2350" s="12" t="s">
        <v>423</v>
      </c>
      <c r="W2350" s="12" t="s">
        <v>455</v>
      </c>
      <c r="X2350" s="14"/>
      <c r="Y2350" s="14"/>
      <c r="Z2350" s="14"/>
      <c r="AA2350" s="14"/>
      <c r="AB2350" s="14"/>
      <c r="AC2350" s="15">
        <v>18.2</v>
      </c>
      <c r="AD2350" s="15">
        <f>AC2350*AG2350</f>
        <v>36.4</v>
      </c>
      <c r="AE2350" s="15">
        <v>40</v>
      </c>
      <c r="AF2350" s="15">
        <f>AE2350*AG2350</f>
        <v>80</v>
      </c>
      <c r="AG2350" s="16">
        <v>2</v>
      </c>
    </row>
    <row r="2351" spans="1:33" ht="15" customHeight="1" x14ac:dyDescent="0.2">
      <c r="A2351" s="11" t="str">
        <f t="shared" si="958"/>
        <v>VN000RD4EN91</v>
      </c>
      <c r="B2351" s="12" t="s">
        <v>8769</v>
      </c>
      <c r="C2351" s="12" t="s">
        <v>431</v>
      </c>
      <c r="D2351" s="12" t="s">
        <v>982</v>
      </c>
      <c r="E2351" s="12" t="s">
        <v>8770</v>
      </c>
      <c r="F2351" s="12" t="s">
        <v>170</v>
      </c>
      <c r="G2351" s="14"/>
      <c r="H2351" s="12" t="s">
        <v>61</v>
      </c>
      <c r="I2351" s="12" t="s">
        <v>230</v>
      </c>
      <c r="J2351" s="12" t="s">
        <v>419</v>
      </c>
      <c r="K2351" s="12" t="s">
        <v>199</v>
      </c>
      <c r="L2351" s="12" t="s">
        <v>83</v>
      </c>
      <c r="M2351" s="12" t="s">
        <v>43</v>
      </c>
      <c r="N2351" s="12" t="s">
        <v>84</v>
      </c>
      <c r="O2351" s="12" t="s">
        <v>8771</v>
      </c>
      <c r="P2351" s="12" t="s">
        <v>66</v>
      </c>
      <c r="Q2351" s="12" t="s">
        <v>67</v>
      </c>
      <c r="R2351" s="12" t="s">
        <v>421</v>
      </c>
      <c r="S2351" s="13">
        <v>197804326372</v>
      </c>
      <c r="T2351" s="12" t="s">
        <v>422</v>
      </c>
      <c r="U2351" s="12" t="s">
        <v>170</v>
      </c>
      <c r="V2351" s="12" t="s">
        <v>423</v>
      </c>
      <c r="W2351" s="12" t="s">
        <v>455</v>
      </c>
      <c r="X2351" s="14"/>
      <c r="Y2351" s="14"/>
      <c r="Z2351" s="14"/>
      <c r="AA2351" s="14"/>
      <c r="AB2351" s="14"/>
      <c r="AC2351" s="15">
        <v>18.2</v>
      </c>
      <c r="AD2351" s="15">
        <f>AC2351*AG2351</f>
        <v>36.4</v>
      </c>
      <c r="AE2351" s="15">
        <v>40</v>
      </c>
      <c r="AF2351" s="15">
        <f>AE2351*AG2351</f>
        <v>80</v>
      </c>
      <c r="AG2351" s="16">
        <v>2</v>
      </c>
    </row>
    <row r="2352" spans="1:33" ht="15" customHeight="1" x14ac:dyDescent="0.2">
      <c r="A2352" s="11" t="str">
        <f t="shared" si="596"/>
        <v>VN000REFWHT1</v>
      </c>
      <c r="B2352" s="12" t="s">
        <v>8772</v>
      </c>
      <c r="C2352" s="12" t="s">
        <v>2392</v>
      </c>
      <c r="D2352" s="12" t="s">
        <v>168</v>
      </c>
      <c r="E2352" s="12" t="s">
        <v>8773</v>
      </c>
      <c r="F2352" s="12" t="s">
        <v>60</v>
      </c>
      <c r="G2352" s="14"/>
      <c r="H2352" s="12" t="s">
        <v>61</v>
      </c>
      <c r="I2352" s="12" t="s">
        <v>289</v>
      </c>
      <c r="J2352" s="12" t="s">
        <v>706</v>
      </c>
      <c r="K2352" s="12" t="s">
        <v>100</v>
      </c>
      <c r="L2352" s="12" t="s">
        <v>83</v>
      </c>
      <c r="M2352" s="12" t="s">
        <v>43</v>
      </c>
      <c r="N2352" s="12" t="s">
        <v>84</v>
      </c>
      <c r="O2352" s="12" t="s">
        <v>8774</v>
      </c>
      <c r="P2352" s="12" t="s">
        <v>66</v>
      </c>
      <c r="Q2352" s="12" t="s">
        <v>67</v>
      </c>
      <c r="R2352" s="12" t="s">
        <v>1146</v>
      </c>
      <c r="S2352" s="13">
        <v>197804299157</v>
      </c>
      <c r="T2352" s="12" t="s">
        <v>422</v>
      </c>
      <c r="U2352" s="12" t="s">
        <v>60</v>
      </c>
      <c r="V2352" s="12" t="s">
        <v>423</v>
      </c>
      <c r="W2352" s="12" t="s">
        <v>175</v>
      </c>
      <c r="X2352" s="14"/>
      <c r="Y2352" s="14"/>
      <c r="Z2352" s="14"/>
      <c r="AA2352" s="14"/>
      <c r="AB2352" s="14"/>
      <c r="AC2352" s="15">
        <v>18.2</v>
      </c>
      <c r="AD2352" s="15">
        <f>AC2352*AG2352</f>
        <v>36.4</v>
      </c>
      <c r="AE2352" s="15">
        <v>40</v>
      </c>
      <c r="AF2352" s="15">
        <f>AE2352*AG2352</f>
        <v>80</v>
      </c>
      <c r="AG2352" s="16">
        <v>2</v>
      </c>
    </row>
    <row r="2353" spans="1:33" ht="15" customHeight="1" x14ac:dyDescent="0.2">
      <c r="A2353" s="11" t="str">
        <f>HYPERLINK("https://assets.vans.eu/images/VN000REFWHT-HERO/1","VN000REFWHT1")</f>
        <v>VN000REFWHT1</v>
      </c>
      <c r="B2353" s="12" t="s">
        <v>8775</v>
      </c>
      <c r="C2353" s="12" t="s">
        <v>2392</v>
      </c>
      <c r="D2353" s="12" t="s">
        <v>168</v>
      </c>
      <c r="E2353" s="12" t="s">
        <v>8776</v>
      </c>
      <c r="F2353" s="12" t="s">
        <v>153</v>
      </c>
      <c r="G2353" s="14"/>
      <c r="H2353" s="12" t="s">
        <v>61</v>
      </c>
      <c r="I2353" s="12" t="s">
        <v>289</v>
      </c>
      <c r="J2353" s="12" t="s">
        <v>706</v>
      </c>
      <c r="K2353" s="12" t="s">
        <v>100</v>
      </c>
      <c r="L2353" s="12" t="s">
        <v>83</v>
      </c>
      <c r="M2353" s="12" t="s">
        <v>43</v>
      </c>
      <c r="N2353" s="12" t="s">
        <v>84</v>
      </c>
      <c r="O2353" s="12" t="s">
        <v>8777</v>
      </c>
      <c r="P2353" s="12" t="s">
        <v>66</v>
      </c>
      <c r="Q2353" s="12" t="s">
        <v>67</v>
      </c>
      <c r="R2353" s="12" t="s">
        <v>1146</v>
      </c>
      <c r="S2353" s="13">
        <v>197804299195</v>
      </c>
      <c r="T2353" s="12" t="s">
        <v>422</v>
      </c>
      <c r="U2353" s="12" t="s">
        <v>153</v>
      </c>
      <c r="V2353" s="12" t="s">
        <v>423</v>
      </c>
      <c r="W2353" s="12" t="s">
        <v>175</v>
      </c>
      <c r="X2353" s="14"/>
      <c r="Y2353" s="14"/>
      <c r="Z2353" s="14"/>
      <c r="AA2353" s="14"/>
      <c r="AB2353" s="14"/>
      <c r="AC2353" s="15">
        <v>18.2</v>
      </c>
      <c r="AD2353" s="15">
        <f>AC2353*AG2353</f>
        <v>36.4</v>
      </c>
      <c r="AE2353" s="15">
        <v>40</v>
      </c>
      <c r="AF2353" s="15">
        <f>AE2353*AG2353</f>
        <v>80</v>
      </c>
      <c r="AG2353" s="16">
        <v>2</v>
      </c>
    </row>
    <row r="2354" spans="1:33" ht="15" customHeight="1" x14ac:dyDescent="0.2">
      <c r="A2354" s="11" t="str">
        <f t="shared" ref="A2354:A3593" si="959">HYPERLINK("https://assets.vans.eu/images/VN000REMBLK-HERO/1","VN000REMBLK1")</f>
        <v>VN000REMBLK1</v>
      </c>
      <c r="B2354" s="12" t="s">
        <v>8778</v>
      </c>
      <c r="C2354" s="12" t="s">
        <v>3207</v>
      </c>
      <c r="D2354" s="12" t="s">
        <v>76</v>
      </c>
      <c r="E2354" s="12" t="s">
        <v>8779</v>
      </c>
      <c r="F2354" s="12" t="s">
        <v>179</v>
      </c>
      <c r="G2354" s="14"/>
      <c r="H2354" s="12" t="s">
        <v>61</v>
      </c>
      <c r="I2354" s="12" t="s">
        <v>289</v>
      </c>
      <c r="J2354" s="12" t="s">
        <v>706</v>
      </c>
      <c r="K2354" s="12" t="s">
        <v>100</v>
      </c>
      <c r="L2354" s="12" t="s">
        <v>83</v>
      </c>
      <c r="M2354" s="12" t="s">
        <v>43</v>
      </c>
      <c r="N2354" s="12" t="s">
        <v>84</v>
      </c>
      <c r="O2354" s="12" t="s">
        <v>8780</v>
      </c>
      <c r="P2354" s="12" t="s">
        <v>66</v>
      </c>
      <c r="Q2354" s="12" t="s">
        <v>67</v>
      </c>
      <c r="R2354" s="12" t="s">
        <v>708</v>
      </c>
      <c r="S2354" s="13">
        <v>197804299102</v>
      </c>
      <c r="T2354" s="12" t="s">
        <v>69</v>
      </c>
      <c r="U2354" s="12" t="s">
        <v>179</v>
      </c>
      <c r="V2354" s="12" t="s">
        <v>1386</v>
      </c>
      <c r="W2354" s="12" t="s">
        <v>51</v>
      </c>
      <c r="X2354" s="14"/>
      <c r="Y2354" s="14"/>
      <c r="Z2354" s="14"/>
      <c r="AA2354" s="14"/>
      <c r="AB2354" s="14"/>
      <c r="AC2354" s="15">
        <v>38.65</v>
      </c>
      <c r="AD2354" s="15">
        <f>AC2354*AG2354</f>
        <v>77.3</v>
      </c>
      <c r="AE2354" s="15">
        <v>85</v>
      </c>
      <c r="AF2354" s="15">
        <f>AE2354*AG2354</f>
        <v>170</v>
      </c>
      <c r="AG2354" s="16">
        <v>2</v>
      </c>
    </row>
    <row r="2355" spans="1:33" ht="15" customHeight="1" x14ac:dyDescent="0.2">
      <c r="A2355" s="11" t="str">
        <f t="shared" ref="A2355:A2356" si="960">HYPERLINK("https://assets.vans.eu/images/VN000RFR1QI-HERO/1","VN000RFR1QI1")</f>
        <v>VN000RFR1QI1</v>
      </c>
      <c r="B2355" s="12" t="s">
        <v>8781</v>
      </c>
      <c r="C2355" s="12" t="s">
        <v>4825</v>
      </c>
      <c r="D2355" s="12" t="s">
        <v>1592</v>
      </c>
      <c r="E2355" s="12" t="s">
        <v>8782</v>
      </c>
      <c r="F2355" s="12" t="s">
        <v>179</v>
      </c>
      <c r="G2355" s="14"/>
      <c r="H2355" s="12" t="s">
        <v>61</v>
      </c>
      <c r="I2355" s="12" t="s">
        <v>230</v>
      </c>
      <c r="J2355" s="12" t="s">
        <v>419</v>
      </c>
      <c r="K2355" s="12" t="s">
        <v>199</v>
      </c>
      <c r="L2355" s="12" t="s">
        <v>83</v>
      </c>
      <c r="M2355" s="12" t="s">
        <v>43</v>
      </c>
      <c r="N2355" s="12" t="s">
        <v>84</v>
      </c>
      <c r="O2355" s="12" t="s">
        <v>8783</v>
      </c>
      <c r="P2355" s="12" t="s">
        <v>66</v>
      </c>
      <c r="Q2355" s="12" t="s">
        <v>67</v>
      </c>
      <c r="R2355" s="12" t="s">
        <v>623</v>
      </c>
      <c r="S2355" s="13">
        <v>197804327454</v>
      </c>
      <c r="T2355" s="12" t="s">
        <v>69</v>
      </c>
      <c r="U2355" s="12" t="s">
        <v>179</v>
      </c>
      <c r="V2355" s="12" t="s">
        <v>1386</v>
      </c>
      <c r="W2355" s="12" t="s">
        <v>455</v>
      </c>
      <c r="X2355" s="14"/>
      <c r="Y2355" s="14"/>
      <c r="Z2355" s="14"/>
      <c r="AA2355" s="14"/>
      <c r="AB2355" s="14"/>
      <c r="AC2355" s="15">
        <v>50</v>
      </c>
      <c r="AD2355" s="15">
        <f>AC2355*AG2355</f>
        <v>100</v>
      </c>
      <c r="AE2355" s="15">
        <v>110</v>
      </c>
      <c r="AF2355" s="15">
        <f>AE2355*AG2355</f>
        <v>220</v>
      </c>
      <c r="AG2355" s="16">
        <v>2</v>
      </c>
    </row>
    <row r="2356" spans="1:33" ht="15" customHeight="1" x14ac:dyDescent="0.2">
      <c r="A2356" s="11" t="str">
        <f t="shared" si="960"/>
        <v>VN000RFR1QI1</v>
      </c>
      <c r="B2356" s="12" t="s">
        <v>8784</v>
      </c>
      <c r="C2356" s="12" t="s">
        <v>4825</v>
      </c>
      <c r="D2356" s="12" t="s">
        <v>1592</v>
      </c>
      <c r="E2356" s="12" t="s">
        <v>8785</v>
      </c>
      <c r="F2356" s="12" t="s">
        <v>60</v>
      </c>
      <c r="G2356" s="14"/>
      <c r="H2356" s="12" t="s">
        <v>61</v>
      </c>
      <c r="I2356" s="12" t="s">
        <v>230</v>
      </c>
      <c r="J2356" s="12" t="s">
        <v>419</v>
      </c>
      <c r="K2356" s="12" t="s">
        <v>199</v>
      </c>
      <c r="L2356" s="12" t="s">
        <v>83</v>
      </c>
      <c r="M2356" s="12" t="s">
        <v>43</v>
      </c>
      <c r="N2356" s="12" t="s">
        <v>84</v>
      </c>
      <c r="O2356" s="12" t="s">
        <v>8786</v>
      </c>
      <c r="P2356" s="12" t="s">
        <v>66</v>
      </c>
      <c r="Q2356" s="12" t="s">
        <v>67</v>
      </c>
      <c r="R2356" s="12" t="s">
        <v>623</v>
      </c>
      <c r="S2356" s="13">
        <v>197804327928</v>
      </c>
      <c r="T2356" s="12" t="s">
        <v>69</v>
      </c>
      <c r="U2356" s="12" t="s">
        <v>60</v>
      </c>
      <c r="V2356" s="12" t="s">
        <v>1386</v>
      </c>
      <c r="W2356" s="12" t="s">
        <v>455</v>
      </c>
      <c r="X2356" s="14"/>
      <c r="Y2356" s="14"/>
      <c r="Z2356" s="14"/>
      <c r="AA2356" s="14"/>
      <c r="AB2356" s="14"/>
      <c r="AC2356" s="15">
        <v>50</v>
      </c>
      <c r="AD2356" s="15">
        <f>AC2356*AG2356</f>
        <v>100</v>
      </c>
      <c r="AE2356" s="15">
        <v>110</v>
      </c>
      <c r="AF2356" s="15">
        <f>AE2356*AG2356</f>
        <v>220</v>
      </c>
      <c r="AG2356" s="16">
        <v>2</v>
      </c>
    </row>
    <row r="2357" spans="1:33" ht="15" customHeight="1" x14ac:dyDescent="0.2">
      <c r="A2357" s="11" t="str">
        <f t="shared" ref="A2357:A3595" si="961">HYPERLINK("https://assets.vans.eu/images/VN000RFRBLK-HERO/1","VN000RFRBLK1")</f>
        <v>VN000RFRBLK1</v>
      </c>
      <c r="B2357" s="12" t="s">
        <v>8787</v>
      </c>
      <c r="C2357" s="12" t="s">
        <v>4825</v>
      </c>
      <c r="D2357" s="12" t="s">
        <v>76</v>
      </c>
      <c r="E2357" s="12" t="s">
        <v>8788</v>
      </c>
      <c r="F2357" s="12" t="s">
        <v>60</v>
      </c>
      <c r="G2357" s="14"/>
      <c r="H2357" s="12" t="s">
        <v>61</v>
      </c>
      <c r="I2357" s="12" t="s">
        <v>230</v>
      </c>
      <c r="J2357" s="12" t="s">
        <v>419</v>
      </c>
      <c r="K2357" s="12" t="s">
        <v>199</v>
      </c>
      <c r="L2357" s="12" t="s">
        <v>83</v>
      </c>
      <c r="M2357" s="12" t="s">
        <v>43</v>
      </c>
      <c r="N2357" s="12" t="s">
        <v>84</v>
      </c>
      <c r="O2357" s="12" t="s">
        <v>8789</v>
      </c>
      <c r="P2357" s="12" t="s">
        <v>66</v>
      </c>
      <c r="Q2357" s="12" t="s">
        <v>67</v>
      </c>
      <c r="R2357" s="12" t="s">
        <v>623</v>
      </c>
      <c r="S2357" s="13">
        <v>197804327966</v>
      </c>
      <c r="T2357" s="12" t="s">
        <v>69</v>
      </c>
      <c r="U2357" s="12" t="s">
        <v>60</v>
      </c>
      <c r="V2357" s="12" t="s">
        <v>70</v>
      </c>
      <c r="W2357" s="12" t="s">
        <v>51</v>
      </c>
      <c r="X2357" s="14"/>
      <c r="Y2357" s="14"/>
      <c r="Z2357" s="14"/>
      <c r="AA2357" s="14"/>
      <c r="AB2357" s="14"/>
      <c r="AC2357" s="15">
        <v>50</v>
      </c>
      <c r="AD2357" s="15">
        <f>AC2357*AG2357</f>
        <v>100</v>
      </c>
      <c r="AE2357" s="15">
        <v>110</v>
      </c>
      <c r="AF2357" s="15">
        <f>AE2357*AG2357</f>
        <v>220</v>
      </c>
      <c r="AG2357" s="16">
        <v>2</v>
      </c>
    </row>
    <row r="2358" spans="1:33" ht="15" customHeight="1" x14ac:dyDescent="0.2">
      <c r="A2358" s="11" t="str">
        <f t="shared" ref="A2358:A2359" si="962">HYPERLINK("https://assets.vans.eu/images/VN000RFUBLK-HERO/1","VN000RFUBLK1")</f>
        <v>VN000RFUBLK1</v>
      </c>
      <c r="B2358" s="12" t="s">
        <v>8790</v>
      </c>
      <c r="C2358" s="12" t="s">
        <v>3509</v>
      </c>
      <c r="D2358" s="12" t="s">
        <v>76</v>
      </c>
      <c r="E2358" s="12" t="s">
        <v>8791</v>
      </c>
      <c r="F2358" s="12" t="s">
        <v>179</v>
      </c>
      <c r="G2358" s="14"/>
      <c r="H2358" s="12" t="s">
        <v>61</v>
      </c>
      <c r="I2358" s="12" t="s">
        <v>230</v>
      </c>
      <c r="J2358" s="12" t="s">
        <v>419</v>
      </c>
      <c r="K2358" s="12" t="s">
        <v>199</v>
      </c>
      <c r="L2358" s="12" t="s">
        <v>83</v>
      </c>
      <c r="M2358" s="12" t="s">
        <v>43</v>
      </c>
      <c r="N2358" s="12" t="s">
        <v>84</v>
      </c>
      <c r="O2358" s="12" t="s">
        <v>8792</v>
      </c>
      <c r="P2358" s="12" t="s">
        <v>66</v>
      </c>
      <c r="Q2358" s="12" t="s">
        <v>67</v>
      </c>
      <c r="R2358" s="12" t="s">
        <v>421</v>
      </c>
      <c r="S2358" s="13">
        <v>197804327294</v>
      </c>
      <c r="T2358" s="12" t="s">
        <v>422</v>
      </c>
      <c r="U2358" s="12" t="s">
        <v>179</v>
      </c>
      <c r="V2358" s="12" t="s">
        <v>423</v>
      </c>
      <c r="W2358" s="12" t="s">
        <v>51</v>
      </c>
      <c r="X2358" s="14"/>
      <c r="Y2358" s="14"/>
      <c r="Z2358" s="14"/>
      <c r="AA2358" s="14"/>
      <c r="AB2358" s="14"/>
      <c r="AC2358" s="15">
        <v>20.5</v>
      </c>
      <c r="AD2358" s="15">
        <f>AC2358*AG2358</f>
        <v>41</v>
      </c>
      <c r="AE2358" s="15">
        <v>45</v>
      </c>
      <c r="AF2358" s="15">
        <f>AE2358*AG2358</f>
        <v>90</v>
      </c>
      <c r="AG2358" s="16">
        <v>2</v>
      </c>
    </row>
    <row r="2359" spans="1:33" ht="15" customHeight="1" x14ac:dyDescent="0.2">
      <c r="A2359" s="11" t="str">
        <f t="shared" si="962"/>
        <v>VN000RFUBLK1</v>
      </c>
      <c r="B2359" s="12" t="s">
        <v>8793</v>
      </c>
      <c r="C2359" s="12" t="s">
        <v>3509</v>
      </c>
      <c r="D2359" s="12" t="s">
        <v>76</v>
      </c>
      <c r="E2359" s="12" t="s">
        <v>8794</v>
      </c>
      <c r="F2359" s="12" t="s">
        <v>153</v>
      </c>
      <c r="G2359" s="14"/>
      <c r="H2359" s="12" t="s">
        <v>61</v>
      </c>
      <c r="I2359" s="12" t="s">
        <v>230</v>
      </c>
      <c r="J2359" s="12" t="s">
        <v>419</v>
      </c>
      <c r="K2359" s="12" t="s">
        <v>199</v>
      </c>
      <c r="L2359" s="12" t="s">
        <v>83</v>
      </c>
      <c r="M2359" s="12" t="s">
        <v>43</v>
      </c>
      <c r="N2359" s="12" t="s">
        <v>84</v>
      </c>
      <c r="O2359" s="12" t="s">
        <v>8795</v>
      </c>
      <c r="P2359" s="12" t="s">
        <v>66</v>
      </c>
      <c r="Q2359" s="12" t="s">
        <v>67</v>
      </c>
      <c r="R2359" s="12" t="s">
        <v>421</v>
      </c>
      <c r="S2359" s="13">
        <v>197804328062</v>
      </c>
      <c r="T2359" s="12" t="s">
        <v>422</v>
      </c>
      <c r="U2359" s="12" t="s">
        <v>153</v>
      </c>
      <c r="V2359" s="12" t="s">
        <v>423</v>
      </c>
      <c r="W2359" s="12" t="s">
        <v>51</v>
      </c>
      <c r="X2359" s="14"/>
      <c r="Y2359" s="14"/>
      <c r="Z2359" s="14"/>
      <c r="AA2359" s="14"/>
      <c r="AB2359" s="14"/>
      <c r="AC2359" s="15">
        <v>20.5</v>
      </c>
      <c r="AD2359" s="15">
        <f>AC2359*AG2359</f>
        <v>41</v>
      </c>
      <c r="AE2359" s="15">
        <v>45</v>
      </c>
      <c r="AF2359" s="15">
        <f>AE2359*AG2359</f>
        <v>90</v>
      </c>
      <c r="AG2359" s="16">
        <v>2</v>
      </c>
    </row>
    <row r="2360" spans="1:33" ht="15" customHeight="1" x14ac:dyDescent="0.2">
      <c r="A2360" s="11" t="str">
        <f t="shared" si="105"/>
        <v>VN000RG2BLK1</v>
      </c>
      <c r="B2360" s="12" t="s">
        <v>8796</v>
      </c>
      <c r="C2360" s="12" t="s">
        <v>1383</v>
      </c>
      <c r="D2360" s="12" t="s">
        <v>76</v>
      </c>
      <c r="E2360" s="12" t="s">
        <v>8797</v>
      </c>
      <c r="F2360" s="12" t="s">
        <v>179</v>
      </c>
      <c r="G2360" s="14"/>
      <c r="H2360" s="12" t="s">
        <v>61</v>
      </c>
      <c r="I2360" s="12" t="s">
        <v>230</v>
      </c>
      <c r="J2360" s="12" t="s">
        <v>419</v>
      </c>
      <c r="K2360" s="12" t="s">
        <v>199</v>
      </c>
      <c r="L2360" s="12" t="s">
        <v>83</v>
      </c>
      <c r="M2360" s="12" t="s">
        <v>43</v>
      </c>
      <c r="N2360" s="12" t="s">
        <v>84</v>
      </c>
      <c r="O2360" s="12" t="s">
        <v>8798</v>
      </c>
      <c r="P2360" s="12" t="s">
        <v>66</v>
      </c>
      <c r="Q2360" s="12" t="s">
        <v>67</v>
      </c>
      <c r="R2360" s="12" t="s">
        <v>623</v>
      </c>
      <c r="S2360" s="13">
        <v>197804327560</v>
      </c>
      <c r="T2360" s="12" t="s">
        <v>69</v>
      </c>
      <c r="U2360" s="12" t="s">
        <v>179</v>
      </c>
      <c r="V2360" s="12" t="s">
        <v>1386</v>
      </c>
      <c r="W2360" s="12" t="s">
        <v>51</v>
      </c>
      <c r="X2360" s="14"/>
      <c r="Y2360" s="14"/>
      <c r="Z2360" s="14"/>
      <c r="AA2360" s="14"/>
      <c r="AB2360" s="14"/>
      <c r="AC2360" s="15">
        <v>45.5</v>
      </c>
      <c r="AD2360" s="15">
        <f>AC2360*AG2360</f>
        <v>91</v>
      </c>
      <c r="AE2360" s="15">
        <v>100</v>
      </c>
      <c r="AF2360" s="15">
        <f>AE2360*AG2360</f>
        <v>200</v>
      </c>
      <c r="AG2360" s="16">
        <v>2</v>
      </c>
    </row>
    <row r="2361" spans="1:33" ht="15" customHeight="1" x14ac:dyDescent="0.2">
      <c r="A2361" s="11" t="str">
        <f t="shared" si="72"/>
        <v>VN000RG44QU1</v>
      </c>
      <c r="B2361" s="12" t="s">
        <v>8799</v>
      </c>
      <c r="C2361" s="12" t="s">
        <v>417</v>
      </c>
      <c r="D2361" s="12" t="s">
        <v>1057</v>
      </c>
      <c r="E2361" s="12" t="s">
        <v>8800</v>
      </c>
      <c r="F2361" s="12" t="s">
        <v>621</v>
      </c>
      <c r="G2361" s="14"/>
      <c r="H2361" s="12" t="s">
        <v>61</v>
      </c>
      <c r="I2361" s="12" t="s">
        <v>230</v>
      </c>
      <c r="J2361" s="12" t="s">
        <v>419</v>
      </c>
      <c r="K2361" s="12" t="s">
        <v>199</v>
      </c>
      <c r="L2361" s="12" t="s">
        <v>83</v>
      </c>
      <c r="M2361" s="12" t="s">
        <v>43</v>
      </c>
      <c r="N2361" s="12" t="s">
        <v>84</v>
      </c>
      <c r="O2361" s="12" t="s">
        <v>8801</v>
      </c>
      <c r="P2361" s="12" t="s">
        <v>66</v>
      </c>
      <c r="Q2361" s="12" t="s">
        <v>67</v>
      </c>
      <c r="R2361" s="12" t="s">
        <v>421</v>
      </c>
      <c r="S2361" s="13">
        <v>197804328383</v>
      </c>
      <c r="T2361" s="12" t="s">
        <v>422</v>
      </c>
      <c r="U2361" s="12" t="s">
        <v>621</v>
      </c>
      <c r="V2361" s="12" t="s">
        <v>423</v>
      </c>
      <c r="W2361" s="12" t="s">
        <v>262</v>
      </c>
      <c r="X2361" s="14"/>
      <c r="Y2361" s="14"/>
      <c r="Z2361" s="14"/>
      <c r="AA2361" s="14"/>
      <c r="AB2361" s="14"/>
      <c r="AC2361" s="15">
        <v>20.5</v>
      </c>
      <c r="AD2361" s="15">
        <f>AC2361*AG2361</f>
        <v>41</v>
      </c>
      <c r="AE2361" s="15">
        <v>45</v>
      </c>
      <c r="AF2361" s="15">
        <f>AE2361*AG2361</f>
        <v>90</v>
      </c>
      <c r="AG2361" s="16">
        <v>2</v>
      </c>
    </row>
    <row r="2362" spans="1:33" ht="15" customHeight="1" x14ac:dyDescent="0.2">
      <c r="A2362" s="11" t="str">
        <f t="shared" ref="A2362:A2363" si="963">HYPERLINK("https://assets.vans.eu/images/VN000RJYPWT-HERO/1","VN000RJYPWT1")</f>
        <v>VN000RJYPWT1</v>
      </c>
      <c r="B2362" s="12" t="s">
        <v>8802</v>
      </c>
      <c r="C2362" s="12" t="s">
        <v>8803</v>
      </c>
      <c r="D2362" s="12" t="s">
        <v>2289</v>
      </c>
      <c r="E2362" s="12" t="s">
        <v>8804</v>
      </c>
      <c r="F2362" s="12" t="s">
        <v>179</v>
      </c>
      <c r="G2362" s="14"/>
      <c r="H2362" s="12" t="s">
        <v>61</v>
      </c>
      <c r="I2362" s="12" t="s">
        <v>230</v>
      </c>
      <c r="J2362" s="12" t="s">
        <v>419</v>
      </c>
      <c r="K2362" s="12" t="s">
        <v>199</v>
      </c>
      <c r="L2362" s="14"/>
      <c r="M2362" s="12" t="s">
        <v>43</v>
      </c>
      <c r="N2362" s="12" t="s">
        <v>84</v>
      </c>
      <c r="O2362" s="12" t="s">
        <v>8805</v>
      </c>
      <c r="P2362" s="12" t="s">
        <v>66</v>
      </c>
      <c r="Q2362" s="12" t="s">
        <v>67</v>
      </c>
      <c r="R2362" s="12" t="s">
        <v>623</v>
      </c>
      <c r="S2362" s="13">
        <v>197804790890</v>
      </c>
      <c r="T2362" s="12" t="s">
        <v>49</v>
      </c>
      <c r="U2362" s="12" t="s">
        <v>179</v>
      </c>
      <c r="V2362" s="12" t="s">
        <v>6664</v>
      </c>
      <c r="W2362" s="12" t="s">
        <v>455</v>
      </c>
      <c r="X2362" s="14"/>
      <c r="Y2362" s="14"/>
      <c r="Z2362" s="14"/>
      <c r="AA2362" s="14"/>
      <c r="AB2362" s="14"/>
      <c r="AC2362" s="15">
        <v>38.65</v>
      </c>
      <c r="AD2362" s="15">
        <f>AC2362*AG2362</f>
        <v>77.3</v>
      </c>
      <c r="AE2362" s="15">
        <v>85</v>
      </c>
      <c r="AF2362" s="15">
        <f>AE2362*AG2362</f>
        <v>170</v>
      </c>
      <c r="AG2362" s="16">
        <v>2</v>
      </c>
    </row>
    <row r="2363" spans="1:33" ht="15" customHeight="1" x14ac:dyDescent="0.2">
      <c r="A2363" s="11" t="str">
        <f t="shared" si="963"/>
        <v>VN000RJYPWT1</v>
      </c>
      <c r="B2363" s="12" t="s">
        <v>8806</v>
      </c>
      <c r="C2363" s="12" t="s">
        <v>8803</v>
      </c>
      <c r="D2363" s="12" t="s">
        <v>2289</v>
      </c>
      <c r="E2363" s="12" t="s">
        <v>8807</v>
      </c>
      <c r="F2363" s="12" t="s">
        <v>170</v>
      </c>
      <c r="G2363" s="14"/>
      <c r="H2363" s="12" t="s">
        <v>61</v>
      </c>
      <c r="I2363" s="12" t="s">
        <v>230</v>
      </c>
      <c r="J2363" s="12" t="s">
        <v>419</v>
      </c>
      <c r="K2363" s="12" t="s">
        <v>199</v>
      </c>
      <c r="L2363" s="14"/>
      <c r="M2363" s="12" t="s">
        <v>43</v>
      </c>
      <c r="N2363" s="12" t="s">
        <v>84</v>
      </c>
      <c r="O2363" s="12" t="s">
        <v>8808</v>
      </c>
      <c r="P2363" s="12" t="s">
        <v>66</v>
      </c>
      <c r="Q2363" s="12" t="s">
        <v>67</v>
      </c>
      <c r="R2363" s="12" t="s">
        <v>623</v>
      </c>
      <c r="S2363" s="13">
        <v>197804791033</v>
      </c>
      <c r="T2363" s="12" t="s">
        <v>49</v>
      </c>
      <c r="U2363" s="12" t="s">
        <v>170</v>
      </c>
      <c r="V2363" s="12" t="s">
        <v>6664</v>
      </c>
      <c r="W2363" s="12" t="s">
        <v>455</v>
      </c>
      <c r="X2363" s="14"/>
      <c r="Y2363" s="14"/>
      <c r="Z2363" s="14"/>
      <c r="AA2363" s="14"/>
      <c r="AB2363" s="14"/>
      <c r="AC2363" s="15">
        <v>38.65</v>
      </c>
      <c r="AD2363" s="15">
        <f>AC2363*AG2363</f>
        <v>77.3</v>
      </c>
      <c r="AE2363" s="15">
        <v>85</v>
      </c>
      <c r="AF2363" s="15">
        <f>AE2363*AG2363</f>
        <v>170</v>
      </c>
      <c r="AG2363" s="16">
        <v>2</v>
      </c>
    </row>
    <row r="2364" spans="1:33" ht="15" customHeight="1" x14ac:dyDescent="0.2">
      <c r="A2364" s="11" t="str">
        <f>HYPERLINK("https://assets.vans.eu/images/VN000WBBBLK-HERO/1","VN000WBBBLK1")</f>
        <v>VN000WBBBLK1</v>
      </c>
      <c r="B2364" s="12" t="s">
        <v>8809</v>
      </c>
      <c r="C2364" s="12" t="s">
        <v>8810</v>
      </c>
      <c r="D2364" s="12" t="s">
        <v>76</v>
      </c>
      <c r="E2364" s="12" t="s">
        <v>8811</v>
      </c>
      <c r="F2364" s="12" t="s">
        <v>403</v>
      </c>
      <c r="G2364" s="14"/>
      <c r="H2364" s="12" t="s">
        <v>61</v>
      </c>
      <c r="I2364" s="12" t="s">
        <v>289</v>
      </c>
      <c r="J2364" s="12" t="s">
        <v>706</v>
      </c>
      <c r="K2364" s="12" t="s">
        <v>100</v>
      </c>
      <c r="L2364" s="12" t="s">
        <v>115</v>
      </c>
      <c r="M2364" s="12" t="s">
        <v>43</v>
      </c>
      <c r="N2364" s="12" t="s">
        <v>84</v>
      </c>
      <c r="O2364" s="12" t="s">
        <v>8812</v>
      </c>
      <c r="P2364" s="12" t="s">
        <v>66</v>
      </c>
      <c r="Q2364" s="12" t="s">
        <v>67</v>
      </c>
      <c r="R2364" s="12" t="s">
        <v>708</v>
      </c>
      <c r="S2364" s="13">
        <v>198268239994</v>
      </c>
      <c r="T2364" s="12" t="s">
        <v>69</v>
      </c>
      <c r="U2364" s="12" t="s">
        <v>403</v>
      </c>
      <c r="V2364" s="12" t="s">
        <v>70</v>
      </c>
      <c r="W2364" s="12" t="s">
        <v>51</v>
      </c>
      <c r="X2364" s="14"/>
      <c r="Y2364" s="14"/>
      <c r="Z2364" s="14"/>
      <c r="AA2364" s="14"/>
      <c r="AB2364" s="14"/>
      <c r="AC2364" s="15">
        <v>38.65</v>
      </c>
      <c r="AD2364" s="15">
        <f>AC2364*AG2364</f>
        <v>77.3</v>
      </c>
      <c r="AE2364" s="15">
        <v>85</v>
      </c>
      <c r="AF2364" s="15">
        <f>AE2364*AG2364</f>
        <v>170</v>
      </c>
      <c r="AG2364" s="16">
        <v>2</v>
      </c>
    </row>
    <row r="2365" spans="1:33" ht="15" customHeight="1" x14ac:dyDescent="0.2">
      <c r="A2365" s="11" t="str">
        <f t="shared" si="754"/>
        <v>VN000XBZIZQ1</v>
      </c>
      <c r="B2365" s="12" t="s">
        <v>8813</v>
      </c>
      <c r="C2365" s="12" t="s">
        <v>4289</v>
      </c>
      <c r="D2365" s="12" t="s">
        <v>4290</v>
      </c>
      <c r="E2365" s="12" t="s">
        <v>8814</v>
      </c>
      <c r="F2365" s="12" t="s">
        <v>179</v>
      </c>
      <c r="G2365" s="14"/>
      <c r="H2365" s="12" t="s">
        <v>61</v>
      </c>
      <c r="I2365" s="12" t="s">
        <v>289</v>
      </c>
      <c r="J2365" s="12" t="s">
        <v>706</v>
      </c>
      <c r="K2365" s="12" t="s">
        <v>100</v>
      </c>
      <c r="L2365" s="12" t="s">
        <v>115</v>
      </c>
      <c r="M2365" s="12" t="s">
        <v>43</v>
      </c>
      <c r="N2365" s="12" t="s">
        <v>84</v>
      </c>
      <c r="O2365" s="12" t="s">
        <v>8815</v>
      </c>
      <c r="P2365" s="12" t="s">
        <v>66</v>
      </c>
      <c r="Q2365" s="12" t="s">
        <v>67</v>
      </c>
      <c r="R2365" s="12" t="s">
        <v>1146</v>
      </c>
      <c r="S2365" s="13">
        <v>198268198147</v>
      </c>
      <c r="T2365" s="12" t="s">
        <v>422</v>
      </c>
      <c r="U2365" s="12" t="s">
        <v>179</v>
      </c>
      <c r="V2365" s="12" t="s">
        <v>70</v>
      </c>
      <c r="W2365" s="12" t="s">
        <v>262</v>
      </c>
      <c r="X2365" s="14"/>
      <c r="Y2365" s="14"/>
      <c r="Z2365" s="14"/>
      <c r="AA2365" s="14"/>
      <c r="AB2365" s="14"/>
      <c r="AC2365" s="15">
        <v>15.95</v>
      </c>
      <c r="AD2365" s="15">
        <f>AC2365*AG2365</f>
        <v>31.9</v>
      </c>
      <c r="AE2365" s="15">
        <v>35</v>
      </c>
      <c r="AF2365" s="15">
        <f>AE2365*AG2365</f>
        <v>70</v>
      </c>
      <c r="AG2365" s="16">
        <v>2</v>
      </c>
    </row>
    <row r="2366" spans="1:33" ht="15" customHeight="1" x14ac:dyDescent="0.2">
      <c r="A2366" s="11" t="str">
        <f t="shared" ref="A2366:A3612" si="964">HYPERLINK("https://assets.vans.eu/images/VN000XOIY28-HERO/1","VN000XOIY281")</f>
        <v>VN000XOIY281</v>
      </c>
      <c r="B2366" s="12" t="s">
        <v>8816</v>
      </c>
      <c r="C2366" s="12" t="s">
        <v>8817</v>
      </c>
      <c r="D2366" s="12" t="s">
        <v>58</v>
      </c>
      <c r="E2366" s="12" t="s">
        <v>8818</v>
      </c>
      <c r="F2366" s="12" t="s">
        <v>403</v>
      </c>
      <c r="G2366" s="14"/>
      <c r="H2366" s="12" t="s">
        <v>61</v>
      </c>
      <c r="I2366" s="12" t="s">
        <v>62</v>
      </c>
      <c r="J2366" s="12" t="s">
        <v>63</v>
      </c>
      <c r="K2366" s="12" t="s">
        <v>64</v>
      </c>
      <c r="L2366" s="12" t="s">
        <v>83</v>
      </c>
      <c r="M2366" s="12" t="s">
        <v>43</v>
      </c>
      <c r="N2366" s="12" t="s">
        <v>84</v>
      </c>
      <c r="O2366" s="12" t="s">
        <v>8819</v>
      </c>
      <c r="P2366" s="12" t="s">
        <v>66</v>
      </c>
      <c r="Q2366" s="12" t="s">
        <v>67</v>
      </c>
      <c r="R2366" s="12" t="s">
        <v>68</v>
      </c>
      <c r="S2366" s="13">
        <v>191165024199</v>
      </c>
      <c r="T2366" s="12" t="s">
        <v>69</v>
      </c>
      <c r="U2366" s="12" t="s">
        <v>403</v>
      </c>
      <c r="V2366" s="12" t="s">
        <v>70</v>
      </c>
      <c r="W2366" s="12" t="s">
        <v>51</v>
      </c>
      <c r="X2366" s="13">
        <v>0</v>
      </c>
      <c r="Y2366" s="12" t="s">
        <v>91</v>
      </c>
      <c r="Z2366" s="12" t="s">
        <v>108</v>
      </c>
      <c r="AA2366" s="13">
        <v>0</v>
      </c>
      <c r="AB2366" s="13">
        <v>0</v>
      </c>
      <c r="AC2366" s="15">
        <v>15.95</v>
      </c>
      <c r="AD2366" s="15">
        <f>AC2366*AG2366</f>
        <v>31.9</v>
      </c>
      <c r="AE2366" s="15">
        <v>35</v>
      </c>
      <c r="AF2366" s="15">
        <f>AE2366*AG2366</f>
        <v>70</v>
      </c>
      <c r="AG2366" s="16">
        <v>2</v>
      </c>
    </row>
    <row r="2367" spans="1:33" ht="15" customHeight="1" x14ac:dyDescent="0.2">
      <c r="A2367" s="11" t="str">
        <f t="shared" ref="A2367:A3613" si="965">HYPERLINK("https://assets.vans.eu/images/VN000XR4FS8-HERO/1","VN000XR4FS81")</f>
        <v>VN000XR4FS81</v>
      </c>
      <c r="B2367" s="12" t="s">
        <v>8820</v>
      </c>
      <c r="C2367" s="12" t="s">
        <v>8821</v>
      </c>
      <c r="D2367" s="12" t="s">
        <v>239</v>
      </c>
      <c r="E2367" s="12" t="s">
        <v>8822</v>
      </c>
      <c r="F2367" s="12" t="s">
        <v>138</v>
      </c>
      <c r="G2367" s="14"/>
      <c r="H2367" s="12" t="s">
        <v>61</v>
      </c>
      <c r="I2367" s="12" t="s">
        <v>289</v>
      </c>
      <c r="J2367" s="12" t="s">
        <v>706</v>
      </c>
      <c r="K2367" s="12" t="s">
        <v>100</v>
      </c>
      <c r="L2367" s="12" t="s">
        <v>115</v>
      </c>
      <c r="M2367" s="12" t="s">
        <v>43</v>
      </c>
      <c r="N2367" s="12" t="s">
        <v>84</v>
      </c>
      <c r="O2367" s="12" t="s">
        <v>8823</v>
      </c>
      <c r="P2367" s="12" t="s">
        <v>66</v>
      </c>
      <c r="Q2367" s="12" t="s">
        <v>67</v>
      </c>
      <c r="R2367" s="12" t="s">
        <v>1146</v>
      </c>
      <c r="S2367" s="13">
        <v>198268240297</v>
      </c>
      <c r="T2367" s="12" t="s">
        <v>69</v>
      </c>
      <c r="U2367" s="12" t="s">
        <v>138</v>
      </c>
      <c r="V2367" s="12" t="s">
        <v>423</v>
      </c>
      <c r="W2367" s="12" t="s">
        <v>175</v>
      </c>
      <c r="X2367" s="14"/>
      <c r="Y2367" s="14"/>
      <c r="Z2367" s="14"/>
      <c r="AA2367" s="14"/>
      <c r="AB2367" s="14"/>
      <c r="AC2367" s="15">
        <v>15.95</v>
      </c>
      <c r="AD2367" s="15">
        <f>AC2367*AG2367</f>
        <v>31.9</v>
      </c>
      <c r="AE2367" s="15">
        <v>35</v>
      </c>
      <c r="AF2367" s="15">
        <f>AE2367*AG2367</f>
        <v>70</v>
      </c>
      <c r="AG2367" s="16">
        <v>2</v>
      </c>
    </row>
    <row r="2368" spans="1:33" ht="15" customHeight="1" x14ac:dyDescent="0.2">
      <c r="A2368" s="11" t="str">
        <f t="shared" ref="A2368:A2369" si="966">HYPERLINK("https://assets.vans.eu/images/VN000XR62N1-HERO/1","VN000XR62N11")</f>
        <v>VN000XR62N11</v>
      </c>
      <c r="B2368" s="12" t="s">
        <v>8824</v>
      </c>
      <c r="C2368" s="12" t="s">
        <v>8825</v>
      </c>
      <c r="D2368" s="12" t="s">
        <v>1082</v>
      </c>
      <c r="E2368" s="12" t="s">
        <v>8826</v>
      </c>
      <c r="F2368" s="12" t="s">
        <v>153</v>
      </c>
      <c r="G2368" s="14"/>
      <c r="H2368" s="12" t="s">
        <v>61</v>
      </c>
      <c r="I2368" s="12" t="s">
        <v>289</v>
      </c>
      <c r="J2368" s="12" t="s">
        <v>706</v>
      </c>
      <c r="K2368" s="12" t="s">
        <v>100</v>
      </c>
      <c r="L2368" s="12" t="s">
        <v>115</v>
      </c>
      <c r="M2368" s="12" t="s">
        <v>43</v>
      </c>
      <c r="N2368" s="12" t="s">
        <v>84</v>
      </c>
      <c r="O2368" s="12" t="s">
        <v>8827</v>
      </c>
      <c r="P2368" s="12" t="s">
        <v>66</v>
      </c>
      <c r="Q2368" s="12" t="s">
        <v>67</v>
      </c>
      <c r="R2368" s="12" t="s">
        <v>708</v>
      </c>
      <c r="S2368" s="13">
        <v>198268240181</v>
      </c>
      <c r="T2368" s="12" t="s">
        <v>69</v>
      </c>
      <c r="U2368" s="12" t="s">
        <v>153</v>
      </c>
      <c r="V2368" s="12" t="s">
        <v>423</v>
      </c>
      <c r="W2368" s="12" t="s">
        <v>580</v>
      </c>
      <c r="X2368" s="14"/>
      <c r="Y2368" s="14"/>
      <c r="Z2368" s="14"/>
      <c r="AA2368" s="14"/>
      <c r="AB2368" s="14"/>
      <c r="AC2368" s="15">
        <v>38.65</v>
      </c>
      <c r="AD2368" s="15">
        <f>AC2368*AG2368</f>
        <v>77.3</v>
      </c>
      <c r="AE2368" s="15">
        <v>85</v>
      </c>
      <c r="AF2368" s="15">
        <f>AE2368*AG2368</f>
        <v>170</v>
      </c>
      <c r="AG2368" s="16">
        <v>2</v>
      </c>
    </row>
    <row r="2369" spans="1:33" ht="15" customHeight="1" x14ac:dyDescent="0.2">
      <c r="A2369" s="11" t="str">
        <f t="shared" si="966"/>
        <v>VN000XR62N11</v>
      </c>
      <c r="B2369" s="12" t="s">
        <v>8828</v>
      </c>
      <c r="C2369" s="12" t="s">
        <v>8825</v>
      </c>
      <c r="D2369" s="12" t="s">
        <v>1082</v>
      </c>
      <c r="E2369" s="12" t="s">
        <v>8829</v>
      </c>
      <c r="F2369" s="12" t="s">
        <v>138</v>
      </c>
      <c r="G2369" s="14"/>
      <c r="H2369" s="12" t="s">
        <v>61</v>
      </c>
      <c r="I2369" s="12" t="s">
        <v>289</v>
      </c>
      <c r="J2369" s="12" t="s">
        <v>706</v>
      </c>
      <c r="K2369" s="12" t="s">
        <v>100</v>
      </c>
      <c r="L2369" s="12" t="s">
        <v>115</v>
      </c>
      <c r="M2369" s="12" t="s">
        <v>43</v>
      </c>
      <c r="N2369" s="12" t="s">
        <v>84</v>
      </c>
      <c r="O2369" s="12" t="s">
        <v>8830</v>
      </c>
      <c r="P2369" s="12" t="s">
        <v>66</v>
      </c>
      <c r="Q2369" s="12" t="s">
        <v>67</v>
      </c>
      <c r="R2369" s="12" t="s">
        <v>708</v>
      </c>
      <c r="S2369" s="13">
        <v>198268240280</v>
      </c>
      <c r="T2369" s="12" t="s">
        <v>69</v>
      </c>
      <c r="U2369" s="12" t="s">
        <v>138</v>
      </c>
      <c r="V2369" s="12" t="s">
        <v>423</v>
      </c>
      <c r="W2369" s="12" t="s">
        <v>580</v>
      </c>
      <c r="X2369" s="14"/>
      <c r="Y2369" s="14"/>
      <c r="Z2369" s="14"/>
      <c r="AA2369" s="14"/>
      <c r="AB2369" s="14"/>
      <c r="AC2369" s="15">
        <v>38.65</v>
      </c>
      <c r="AD2369" s="15">
        <f>AC2369*AG2369</f>
        <v>77.3</v>
      </c>
      <c r="AE2369" s="15">
        <v>85</v>
      </c>
      <c r="AF2369" s="15">
        <f>AE2369*AG2369</f>
        <v>170</v>
      </c>
      <c r="AG2369" s="16">
        <v>2</v>
      </c>
    </row>
    <row r="2370" spans="1:33" ht="15" customHeight="1" x14ac:dyDescent="0.2">
      <c r="A2370" s="11" t="str">
        <f t="shared" si="755"/>
        <v>VN000Y8VY281</v>
      </c>
      <c r="B2370" s="12" t="s">
        <v>8831</v>
      </c>
      <c r="C2370" s="12" t="s">
        <v>6926</v>
      </c>
      <c r="D2370" s="12" t="s">
        <v>58</v>
      </c>
      <c r="E2370" s="12" t="s">
        <v>8832</v>
      </c>
      <c r="F2370" s="12" t="s">
        <v>403</v>
      </c>
      <c r="G2370" s="14"/>
      <c r="H2370" s="12" t="s">
        <v>61</v>
      </c>
      <c r="I2370" s="12" t="s">
        <v>230</v>
      </c>
      <c r="J2370" s="12" t="s">
        <v>419</v>
      </c>
      <c r="K2370" s="12" t="s">
        <v>199</v>
      </c>
      <c r="L2370" s="14"/>
      <c r="M2370" s="12" t="s">
        <v>43</v>
      </c>
      <c r="N2370" s="12" t="s">
        <v>84</v>
      </c>
      <c r="O2370" s="12" t="s">
        <v>8833</v>
      </c>
      <c r="P2370" s="12" t="s">
        <v>66</v>
      </c>
      <c r="Q2370" s="12" t="s">
        <v>67</v>
      </c>
      <c r="R2370" s="12" t="s">
        <v>421</v>
      </c>
      <c r="S2370" s="13">
        <v>888366682531</v>
      </c>
      <c r="T2370" s="12" t="s">
        <v>69</v>
      </c>
      <c r="U2370" s="12" t="s">
        <v>403</v>
      </c>
      <c r="V2370" s="12" t="s">
        <v>70</v>
      </c>
      <c r="W2370" s="12" t="s">
        <v>51</v>
      </c>
      <c r="X2370" s="13">
        <v>0</v>
      </c>
      <c r="Y2370" s="12" t="s">
        <v>91</v>
      </c>
      <c r="Z2370" s="12" t="s">
        <v>108</v>
      </c>
      <c r="AA2370" s="13">
        <v>0</v>
      </c>
      <c r="AB2370" s="13">
        <v>0</v>
      </c>
      <c r="AC2370" s="15">
        <v>13.65</v>
      </c>
      <c r="AD2370" s="15">
        <f>AC2370*AG2370</f>
        <v>27.3</v>
      </c>
      <c r="AE2370" s="15">
        <v>30</v>
      </c>
      <c r="AF2370" s="15">
        <f>AE2370*AG2370</f>
        <v>60</v>
      </c>
      <c r="AG2370" s="16">
        <v>2</v>
      </c>
    </row>
    <row r="2371" spans="1:33" ht="15" customHeight="1" x14ac:dyDescent="0.2">
      <c r="A2371" s="11" t="str">
        <f t="shared" ref="A2371:A3615" si="967">HYPERLINK("https://assets.vans.eu/images/VN000Y8VYB2-HERO/1","VN000Y8VYB21")</f>
        <v>VN000Y8VYB21</v>
      </c>
      <c r="B2371" s="12" t="s">
        <v>8834</v>
      </c>
      <c r="C2371" s="12" t="s">
        <v>6926</v>
      </c>
      <c r="D2371" s="12" t="s">
        <v>1138</v>
      </c>
      <c r="E2371" s="12" t="s">
        <v>8835</v>
      </c>
      <c r="F2371" s="12" t="s">
        <v>170</v>
      </c>
      <c r="G2371" s="14"/>
      <c r="H2371" s="12" t="s">
        <v>61</v>
      </c>
      <c r="I2371" s="12" t="s">
        <v>230</v>
      </c>
      <c r="J2371" s="12" t="s">
        <v>419</v>
      </c>
      <c r="K2371" s="12" t="s">
        <v>199</v>
      </c>
      <c r="L2371" s="14"/>
      <c r="M2371" s="12" t="s">
        <v>43</v>
      </c>
      <c r="N2371" s="12" t="s">
        <v>84</v>
      </c>
      <c r="O2371" s="12" t="s">
        <v>8836</v>
      </c>
      <c r="P2371" s="12" t="s">
        <v>66</v>
      </c>
      <c r="Q2371" s="12" t="s">
        <v>67</v>
      </c>
      <c r="R2371" s="12" t="s">
        <v>421</v>
      </c>
      <c r="S2371" s="13">
        <v>888366924556</v>
      </c>
      <c r="T2371" s="12" t="s">
        <v>422</v>
      </c>
      <c r="U2371" s="12" t="s">
        <v>170</v>
      </c>
      <c r="V2371" s="12" t="s">
        <v>70</v>
      </c>
      <c r="W2371" s="12" t="s">
        <v>175</v>
      </c>
      <c r="X2371" s="13">
        <v>0</v>
      </c>
      <c r="Y2371" s="12" t="s">
        <v>91</v>
      </c>
      <c r="Z2371" s="12" t="s">
        <v>108</v>
      </c>
      <c r="AA2371" s="13">
        <v>0</v>
      </c>
      <c r="AB2371" s="13">
        <v>0</v>
      </c>
      <c r="AC2371" s="15">
        <v>13.65</v>
      </c>
      <c r="AD2371" s="15">
        <f>AC2371*AG2371</f>
        <v>27.3</v>
      </c>
      <c r="AE2371" s="15">
        <v>30</v>
      </c>
      <c r="AF2371" s="15">
        <f>AE2371*AG2371</f>
        <v>60</v>
      </c>
      <c r="AG2371" s="16">
        <v>2</v>
      </c>
    </row>
    <row r="2372" spans="1:33" ht="15" customHeight="1" x14ac:dyDescent="0.2">
      <c r="A2372" s="11" t="str">
        <f>HYPERLINK("https://assets.vans.eu/images/VN001096WHT-HERO/1","VN001096WHT1")</f>
        <v>VN001096WHT1</v>
      </c>
      <c r="B2372" s="12" t="s">
        <v>8837</v>
      </c>
      <c r="C2372" s="12" t="s">
        <v>8838</v>
      </c>
      <c r="D2372" s="12" t="s">
        <v>168</v>
      </c>
      <c r="E2372" s="12" t="s">
        <v>8839</v>
      </c>
      <c r="F2372" s="12" t="s">
        <v>621</v>
      </c>
      <c r="G2372" s="14"/>
      <c r="H2372" s="12" t="s">
        <v>61</v>
      </c>
      <c r="I2372" s="12" t="s">
        <v>230</v>
      </c>
      <c r="J2372" s="12" t="s">
        <v>419</v>
      </c>
      <c r="K2372" s="12" t="s">
        <v>199</v>
      </c>
      <c r="L2372" s="14"/>
      <c r="M2372" s="12" t="s">
        <v>43</v>
      </c>
      <c r="N2372" s="12" t="s">
        <v>84</v>
      </c>
      <c r="O2372" s="12" t="s">
        <v>8840</v>
      </c>
      <c r="P2372" s="12" t="s">
        <v>66</v>
      </c>
      <c r="Q2372" s="12" t="s">
        <v>67</v>
      </c>
      <c r="R2372" s="12" t="s">
        <v>421</v>
      </c>
      <c r="S2372" s="13">
        <v>198268843016</v>
      </c>
      <c r="T2372" s="12" t="s">
        <v>1065</v>
      </c>
      <c r="U2372" s="12" t="s">
        <v>621</v>
      </c>
      <c r="V2372" s="12" t="s">
        <v>70</v>
      </c>
      <c r="W2372" s="12" t="s">
        <v>175</v>
      </c>
      <c r="X2372" s="14"/>
      <c r="Y2372" s="14"/>
      <c r="Z2372" s="14"/>
      <c r="AA2372" s="14"/>
      <c r="AB2372" s="14"/>
      <c r="AC2372" s="15">
        <v>18.2</v>
      </c>
      <c r="AD2372" s="15">
        <f>AC2372*AG2372</f>
        <v>36.4</v>
      </c>
      <c r="AE2372" s="15">
        <v>40</v>
      </c>
      <c r="AF2372" s="15">
        <f>AE2372*AG2372</f>
        <v>80</v>
      </c>
      <c r="AG2372" s="16">
        <v>2</v>
      </c>
    </row>
    <row r="2373" spans="1:33" ht="15" customHeight="1" x14ac:dyDescent="0.2">
      <c r="A2373" s="11" t="str">
        <f t="shared" si="129"/>
        <v>VN0010J9BLK1</v>
      </c>
      <c r="B2373" s="12" t="s">
        <v>8841</v>
      </c>
      <c r="C2373" s="12" t="s">
        <v>988</v>
      </c>
      <c r="D2373" s="12" t="s">
        <v>76</v>
      </c>
      <c r="E2373" s="12" t="s">
        <v>8842</v>
      </c>
      <c r="F2373" s="12" t="s">
        <v>403</v>
      </c>
      <c r="G2373" s="14"/>
      <c r="H2373" s="12" t="s">
        <v>61</v>
      </c>
      <c r="I2373" s="12" t="s">
        <v>230</v>
      </c>
      <c r="J2373" s="12" t="s">
        <v>419</v>
      </c>
      <c r="K2373" s="12" t="s">
        <v>199</v>
      </c>
      <c r="L2373" s="12" t="s">
        <v>115</v>
      </c>
      <c r="M2373" s="12" t="s">
        <v>43</v>
      </c>
      <c r="N2373" s="12" t="s">
        <v>84</v>
      </c>
      <c r="O2373" s="12" t="s">
        <v>8843</v>
      </c>
      <c r="P2373" s="12" t="s">
        <v>66</v>
      </c>
      <c r="Q2373" s="12" t="s">
        <v>67</v>
      </c>
      <c r="R2373" s="12" t="s">
        <v>421</v>
      </c>
      <c r="S2373" s="13">
        <v>198269183869</v>
      </c>
      <c r="T2373" s="12" t="s">
        <v>69</v>
      </c>
      <c r="U2373" s="12" t="s">
        <v>403</v>
      </c>
      <c r="V2373" s="12" t="s">
        <v>665</v>
      </c>
      <c r="W2373" s="12" t="s">
        <v>51</v>
      </c>
      <c r="X2373" s="14"/>
      <c r="Y2373" s="14"/>
      <c r="Z2373" s="14"/>
      <c r="AA2373" s="14"/>
      <c r="AB2373" s="14"/>
      <c r="AC2373" s="15">
        <v>18.2</v>
      </c>
      <c r="AD2373" s="15">
        <f>AC2373*AG2373</f>
        <v>36.4</v>
      </c>
      <c r="AE2373" s="15">
        <v>40</v>
      </c>
      <c r="AF2373" s="15">
        <f>AE2373*AG2373</f>
        <v>80</v>
      </c>
      <c r="AG2373" s="16">
        <v>2</v>
      </c>
    </row>
    <row r="2374" spans="1:33" ht="15" customHeight="1" x14ac:dyDescent="0.2">
      <c r="A2374" s="11" t="str">
        <f>HYPERLINK("https://assets.vans.eu/images/VN0A3CZEY28-HERO/1","VN0A3CZEY281")</f>
        <v>VN0A3CZEY281</v>
      </c>
      <c r="B2374" s="12" t="s">
        <v>8844</v>
      </c>
      <c r="C2374" s="12" t="s">
        <v>3849</v>
      </c>
      <c r="D2374" s="12" t="s">
        <v>58</v>
      </c>
      <c r="E2374" s="12" t="s">
        <v>8845</v>
      </c>
      <c r="F2374" s="12" t="s">
        <v>179</v>
      </c>
      <c r="G2374" s="14"/>
      <c r="H2374" s="12" t="s">
        <v>61</v>
      </c>
      <c r="I2374" s="12" t="s">
        <v>230</v>
      </c>
      <c r="J2374" s="12" t="s">
        <v>419</v>
      </c>
      <c r="K2374" s="12" t="s">
        <v>199</v>
      </c>
      <c r="L2374" s="14"/>
      <c r="M2374" s="12" t="s">
        <v>43</v>
      </c>
      <c r="N2374" s="12" t="s">
        <v>44</v>
      </c>
      <c r="O2374" s="12" t="s">
        <v>8846</v>
      </c>
      <c r="P2374" s="12" t="s">
        <v>66</v>
      </c>
      <c r="Q2374" s="12" t="s">
        <v>67</v>
      </c>
      <c r="R2374" s="12" t="s">
        <v>421</v>
      </c>
      <c r="S2374" s="13">
        <v>192825009150</v>
      </c>
      <c r="T2374" s="12" t="s">
        <v>422</v>
      </c>
      <c r="U2374" s="12" t="s">
        <v>179</v>
      </c>
      <c r="V2374" s="12" t="s">
        <v>70</v>
      </c>
      <c r="W2374" s="12" t="s">
        <v>51</v>
      </c>
      <c r="X2374" s="13">
        <v>0</v>
      </c>
      <c r="Y2374" s="12" t="s">
        <v>91</v>
      </c>
      <c r="Z2374" s="12" t="s">
        <v>108</v>
      </c>
      <c r="AA2374" s="13">
        <v>0</v>
      </c>
      <c r="AB2374" s="13">
        <v>0</v>
      </c>
      <c r="AC2374" s="15">
        <v>10.95</v>
      </c>
      <c r="AD2374" s="15">
        <f>AC2374*AG2374</f>
        <v>21.9</v>
      </c>
      <c r="AE2374" s="15">
        <v>24</v>
      </c>
      <c r="AF2374" s="15">
        <f>AE2374*AG2374</f>
        <v>48</v>
      </c>
      <c r="AG2374" s="16">
        <v>2</v>
      </c>
    </row>
    <row r="2375" spans="1:33" ht="15" customHeight="1" x14ac:dyDescent="0.2">
      <c r="A2375" s="11" t="str">
        <f>HYPERLINK("https://assets.vans.eu/images/VN0A3UDDWHT-HERO/1","VN0A3UDDWHT1")</f>
        <v>VN0A3UDDWHT1</v>
      </c>
      <c r="B2375" s="12" t="s">
        <v>8847</v>
      </c>
      <c r="C2375" s="12" t="s">
        <v>8848</v>
      </c>
      <c r="D2375" s="12" t="s">
        <v>168</v>
      </c>
      <c r="E2375" s="12" t="s">
        <v>8849</v>
      </c>
      <c r="F2375" s="12" t="s">
        <v>170</v>
      </c>
      <c r="G2375" s="14"/>
      <c r="H2375" s="12" t="s">
        <v>61</v>
      </c>
      <c r="I2375" s="12" t="s">
        <v>230</v>
      </c>
      <c r="J2375" s="12" t="s">
        <v>419</v>
      </c>
      <c r="K2375" s="12" t="s">
        <v>199</v>
      </c>
      <c r="L2375" s="12" t="s">
        <v>115</v>
      </c>
      <c r="M2375" s="12" t="s">
        <v>43</v>
      </c>
      <c r="N2375" s="12" t="s">
        <v>161</v>
      </c>
      <c r="O2375" s="12" t="s">
        <v>8850</v>
      </c>
      <c r="P2375" s="12" t="s">
        <v>66</v>
      </c>
      <c r="Q2375" s="12" t="s">
        <v>67</v>
      </c>
      <c r="R2375" s="12" t="s">
        <v>421</v>
      </c>
      <c r="S2375" s="13">
        <v>192362276367</v>
      </c>
      <c r="T2375" s="12" t="s">
        <v>422</v>
      </c>
      <c r="U2375" s="12" t="s">
        <v>170</v>
      </c>
      <c r="V2375" s="12" t="s">
        <v>423</v>
      </c>
      <c r="W2375" s="12" t="s">
        <v>175</v>
      </c>
      <c r="X2375" s="13">
        <v>0</v>
      </c>
      <c r="Y2375" s="12" t="s">
        <v>91</v>
      </c>
      <c r="Z2375" s="12" t="s">
        <v>92</v>
      </c>
      <c r="AA2375" s="12" t="s">
        <v>4300</v>
      </c>
      <c r="AB2375" s="12" t="s">
        <v>94</v>
      </c>
      <c r="AC2375" s="15">
        <v>17.3</v>
      </c>
      <c r="AD2375" s="15">
        <f>AC2375*AG2375</f>
        <v>34.6</v>
      </c>
      <c r="AE2375" s="15">
        <v>38</v>
      </c>
      <c r="AF2375" s="15">
        <f>AE2375*AG2375</f>
        <v>76</v>
      </c>
      <c r="AG2375" s="16">
        <v>2</v>
      </c>
    </row>
    <row r="2376" spans="1:33" ht="15" customHeight="1" x14ac:dyDescent="0.2">
      <c r="A2376" s="11" t="str">
        <f>HYPERLINK("https://assets.vans.eu/images/VN0A3W76BLK-HERO/1","VN0A3W76BLK1")</f>
        <v>VN0A3W76BLK1</v>
      </c>
      <c r="B2376" s="12" t="s">
        <v>8851</v>
      </c>
      <c r="C2376" s="12" t="s">
        <v>2396</v>
      </c>
      <c r="D2376" s="12" t="s">
        <v>76</v>
      </c>
      <c r="E2376" s="12" t="s">
        <v>8852</v>
      </c>
      <c r="F2376" s="13">
        <v>7</v>
      </c>
      <c r="G2376" s="14"/>
      <c r="H2376" s="12" t="s">
        <v>61</v>
      </c>
      <c r="I2376" s="12" t="s">
        <v>1340</v>
      </c>
      <c r="J2376" s="12" t="s">
        <v>1341</v>
      </c>
      <c r="K2376" s="12" t="s">
        <v>64</v>
      </c>
      <c r="L2376" s="12" t="s">
        <v>83</v>
      </c>
      <c r="M2376" s="12" t="s">
        <v>43</v>
      </c>
      <c r="N2376" s="12" t="s">
        <v>44</v>
      </c>
      <c r="O2376" s="12" t="s">
        <v>8853</v>
      </c>
      <c r="P2376" s="12" t="s">
        <v>66</v>
      </c>
      <c r="Q2376" s="12" t="s">
        <v>67</v>
      </c>
      <c r="R2376" s="12" t="s">
        <v>68</v>
      </c>
      <c r="S2376" s="13">
        <v>197803499060</v>
      </c>
      <c r="T2376" s="12" t="s">
        <v>422</v>
      </c>
      <c r="U2376" s="13">
        <v>7</v>
      </c>
      <c r="V2376" s="12" t="s">
        <v>423</v>
      </c>
      <c r="W2376" s="12" t="s">
        <v>51</v>
      </c>
      <c r="X2376" s="12" t="s">
        <v>500</v>
      </c>
      <c r="Y2376" s="12" t="s">
        <v>91</v>
      </c>
      <c r="Z2376" s="12" t="s">
        <v>108</v>
      </c>
      <c r="AA2376" s="13">
        <v>0</v>
      </c>
      <c r="AB2376" s="12" t="s">
        <v>616</v>
      </c>
      <c r="AC2376" s="15">
        <v>9.1</v>
      </c>
      <c r="AD2376" s="15">
        <f>AC2376*AG2376</f>
        <v>18.2</v>
      </c>
      <c r="AE2376" s="15">
        <v>20</v>
      </c>
      <c r="AF2376" s="15">
        <f>AE2376*AG2376</f>
        <v>40</v>
      </c>
      <c r="AG2376" s="16">
        <v>2</v>
      </c>
    </row>
    <row r="2377" spans="1:33" ht="15" customHeight="1" x14ac:dyDescent="0.2">
      <c r="A2377" s="11" t="str">
        <f>HYPERLINK("https://assets.vans.eu/images/VN0A3W76EMY-HERO/1","VN0A3W76EMY1")</f>
        <v>VN0A3W76EMY1</v>
      </c>
      <c r="B2377" s="12" t="s">
        <v>8854</v>
      </c>
      <c r="C2377" s="12" t="s">
        <v>2396</v>
      </c>
      <c r="D2377" s="12" t="s">
        <v>1155</v>
      </c>
      <c r="E2377" s="12" t="s">
        <v>8855</v>
      </c>
      <c r="F2377" s="13">
        <v>3</v>
      </c>
      <c r="G2377" s="14"/>
      <c r="H2377" s="12" t="s">
        <v>61</v>
      </c>
      <c r="I2377" s="12" t="s">
        <v>1340</v>
      </c>
      <c r="J2377" s="12" t="s">
        <v>1341</v>
      </c>
      <c r="K2377" s="12" t="s">
        <v>64</v>
      </c>
      <c r="L2377" s="14"/>
      <c r="M2377" s="12" t="s">
        <v>43</v>
      </c>
      <c r="N2377" s="12" t="s">
        <v>84</v>
      </c>
      <c r="O2377" s="12" t="s">
        <v>8856</v>
      </c>
      <c r="P2377" s="12" t="s">
        <v>66</v>
      </c>
      <c r="Q2377" s="12" t="s">
        <v>67</v>
      </c>
      <c r="R2377" s="12" t="s">
        <v>68</v>
      </c>
      <c r="S2377" s="13">
        <v>197804613588</v>
      </c>
      <c r="T2377" s="12" t="s">
        <v>422</v>
      </c>
      <c r="U2377" s="13">
        <v>3</v>
      </c>
      <c r="V2377" s="12" t="s">
        <v>70</v>
      </c>
      <c r="W2377" s="12" t="s">
        <v>107</v>
      </c>
      <c r="X2377" s="14"/>
      <c r="Y2377" s="14"/>
      <c r="Z2377" s="14"/>
      <c r="AA2377" s="14"/>
      <c r="AB2377" s="14"/>
      <c r="AC2377" s="15">
        <v>9.1</v>
      </c>
      <c r="AD2377" s="15">
        <f>AC2377*AG2377</f>
        <v>18.2</v>
      </c>
      <c r="AE2377" s="15">
        <v>20</v>
      </c>
      <c r="AF2377" s="15">
        <f>AE2377*AG2377</f>
        <v>40</v>
      </c>
      <c r="AG2377" s="16">
        <v>2</v>
      </c>
    </row>
    <row r="2378" spans="1:33" ht="15" customHeight="1" x14ac:dyDescent="0.2">
      <c r="A2378" s="11" t="str">
        <f t="shared" ref="A2378:A3644" si="968">HYPERLINK("https://assets.vans.eu/images/VN0A49MUY28-HERO/1","VN0A49MUY281")</f>
        <v>VN0A49MUY281</v>
      </c>
      <c r="B2378" s="12" t="s">
        <v>8857</v>
      </c>
      <c r="C2378" s="12" t="s">
        <v>8858</v>
      </c>
      <c r="D2378" s="12" t="s">
        <v>58</v>
      </c>
      <c r="E2378" s="12" t="s">
        <v>8859</v>
      </c>
      <c r="F2378" s="13">
        <v>4</v>
      </c>
      <c r="G2378" s="14"/>
      <c r="H2378" s="12" t="s">
        <v>61</v>
      </c>
      <c r="I2378" s="12" t="s">
        <v>1340</v>
      </c>
      <c r="J2378" s="12" t="s">
        <v>1341</v>
      </c>
      <c r="K2378" s="12" t="s">
        <v>64</v>
      </c>
      <c r="L2378" s="14"/>
      <c r="M2378" s="12" t="s">
        <v>43</v>
      </c>
      <c r="N2378" s="12" t="s">
        <v>274</v>
      </c>
      <c r="O2378" s="12" t="s">
        <v>8860</v>
      </c>
      <c r="P2378" s="12" t="s">
        <v>66</v>
      </c>
      <c r="Q2378" s="12" t="s">
        <v>67</v>
      </c>
      <c r="R2378" s="12" t="s">
        <v>730</v>
      </c>
      <c r="S2378" s="13">
        <v>847223029520</v>
      </c>
      <c r="T2378" s="12" t="s">
        <v>69</v>
      </c>
      <c r="U2378" s="13">
        <v>4</v>
      </c>
      <c r="V2378" s="12" t="s">
        <v>1378</v>
      </c>
      <c r="W2378" s="12" t="s">
        <v>51</v>
      </c>
      <c r="X2378" s="13">
        <v>0</v>
      </c>
      <c r="Y2378" s="12" t="s">
        <v>91</v>
      </c>
      <c r="Z2378" s="12" t="s">
        <v>108</v>
      </c>
      <c r="AA2378" s="13">
        <v>0</v>
      </c>
      <c r="AB2378" s="13">
        <v>0</v>
      </c>
      <c r="AC2378" s="15">
        <v>23.65</v>
      </c>
      <c r="AD2378" s="15">
        <f>AC2378*AG2378</f>
        <v>47.3</v>
      </c>
      <c r="AE2378" s="15">
        <v>52</v>
      </c>
      <c r="AF2378" s="15">
        <f>AE2378*AG2378</f>
        <v>104</v>
      </c>
      <c r="AG2378" s="16">
        <v>2</v>
      </c>
    </row>
    <row r="2379" spans="1:33" ht="15" customHeight="1" x14ac:dyDescent="0.2">
      <c r="A2379" s="11" t="str">
        <f t="shared" ref="A2379:A2380" si="969">HYPERLINK("https://assets.vans.eu/images/VN0A49OYBLK-HERO/1","VN0A49OYBLK1")</f>
        <v>VN0A49OYBLK1</v>
      </c>
      <c r="B2379" s="12" t="s">
        <v>8861</v>
      </c>
      <c r="C2379" s="12" t="s">
        <v>8862</v>
      </c>
      <c r="D2379" s="12" t="s">
        <v>76</v>
      </c>
      <c r="E2379" s="12" t="s">
        <v>8863</v>
      </c>
      <c r="F2379" s="12" t="s">
        <v>179</v>
      </c>
      <c r="G2379" s="14"/>
      <c r="H2379" s="12" t="s">
        <v>61</v>
      </c>
      <c r="I2379" s="12" t="s">
        <v>62</v>
      </c>
      <c r="J2379" s="12" t="s">
        <v>63</v>
      </c>
      <c r="K2379" s="12" t="s">
        <v>64</v>
      </c>
      <c r="L2379" s="12" t="s">
        <v>83</v>
      </c>
      <c r="M2379" s="12" t="s">
        <v>43</v>
      </c>
      <c r="N2379" s="12" t="s">
        <v>84</v>
      </c>
      <c r="O2379" s="12" t="s">
        <v>8864</v>
      </c>
      <c r="P2379" s="12" t="s">
        <v>66</v>
      </c>
      <c r="Q2379" s="12" t="s">
        <v>67</v>
      </c>
      <c r="R2379" s="12" t="s">
        <v>68</v>
      </c>
      <c r="S2379" s="13">
        <v>197065814182</v>
      </c>
      <c r="T2379" s="12" t="s">
        <v>69</v>
      </c>
      <c r="U2379" s="12" t="s">
        <v>179</v>
      </c>
      <c r="V2379" s="12" t="s">
        <v>70</v>
      </c>
      <c r="W2379" s="12" t="s">
        <v>51</v>
      </c>
      <c r="X2379" s="13">
        <v>0</v>
      </c>
      <c r="Y2379" s="12" t="s">
        <v>91</v>
      </c>
      <c r="Z2379" s="12" t="s">
        <v>108</v>
      </c>
      <c r="AA2379" s="13">
        <v>0</v>
      </c>
      <c r="AB2379" s="12" t="s">
        <v>616</v>
      </c>
      <c r="AC2379" s="15">
        <v>18.2</v>
      </c>
      <c r="AD2379" s="15">
        <f>AC2379*AG2379</f>
        <v>36.4</v>
      </c>
      <c r="AE2379" s="15">
        <v>40</v>
      </c>
      <c r="AF2379" s="15">
        <f>AE2379*AG2379</f>
        <v>80</v>
      </c>
      <c r="AG2379" s="16">
        <v>2</v>
      </c>
    </row>
    <row r="2380" spans="1:33" ht="15" customHeight="1" x14ac:dyDescent="0.2">
      <c r="A2380" s="11" t="str">
        <f t="shared" si="969"/>
        <v>VN0A49OYBLK1</v>
      </c>
      <c r="B2380" s="12" t="s">
        <v>8865</v>
      </c>
      <c r="C2380" s="12" t="s">
        <v>8862</v>
      </c>
      <c r="D2380" s="12" t="s">
        <v>76</v>
      </c>
      <c r="E2380" s="12" t="s">
        <v>8866</v>
      </c>
      <c r="F2380" s="12" t="s">
        <v>403</v>
      </c>
      <c r="G2380" s="14"/>
      <c r="H2380" s="12" t="s">
        <v>61</v>
      </c>
      <c r="I2380" s="12" t="s">
        <v>62</v>
      </c>
      <c r="J2380" s="12" t="s">
        <v>63</v>
      </c>
      <c r="K2380" s="12" t="s">
        <v>64</v>
      </c>
      <c r="L2380" s="12" t="s">
        <v>83</v>
      </c>
      <c r="M2380" s="12" t="s">
        <v>43</v>
      </c>
      <c r="N2380" s="12" t="s">
        <v>84</v>
      </c>
      <c r="O2380" s="12" t="s">
        <v>8867</v>
      </c>
      <c r="P2380" s="12" t="s">
        <v>66</v>
      </c>
      <c r="Q2380" s="12" t="s">
        <v>67</v>
      </c>
      <c r="R2380" s="12" t="s">
        <v>68</v>
      </c>
      <c r="S2380" s="13">
        <v>197065814465</v>
      </c>
      <c r="T2380" s="12" t="s">
        <v>69</v>
      </c>
      <c r="U2380" s="12" t="s">
        <v>403</v>
      </c>
      <c r="V2380" s="12" t="s">
        <v>70</v>
      </c>
      <c r="W2380" s="12" t="s">
        <v>51</v>
      </c>
      <c r="X2380" s="13">
        <v>0</v>
      </c>
      <c r="Y2380" s="12" t="s">
        <v>91</v>
      </c>
      <c r="Z2380" s="12" t="s">
        <v>108</v>
      </c>
      <c r="AA2380" s="13">
        <v>0</v>
      </c>
      <c r="AB2380" s="12" t="s">
        <v>616</v>
      </c>
      <c r="AC2380" s="15">
        <v>18.2</v>
      </c>
      <c r="AD2380" s="15">
        <f>AC2380*AG2380</f>
        <v>36.4</v>
      </c>
      <c r="AE2380" s="15">
        <v>40</v>
      </c>
      <c r="AF2380" s="15">
        <f>AE2380*AG2380</f>
        <v>80</v>
      </c>
      <c r="AG2380" s="16">
        <v>2</v>
      </c>
    </row>
    <row r="2381" spans="1:33" ht="15" customHeight="1" x14ac:dyDescent="0.2">
      <c r="A2381" s="11" t="str">
        <f t="shared" ref="A2381:A3650" si="970">HYPERLINK("https://assets.vans.eu/images/VN0A4CYYWHT-HERO/1","VN0A4CYYWHT1")</f>
        <v>VN0A4CYYWHT1</v>
      </c>
      <c r="B2381" s="12" t="s">
        <v>8868</v>
      </c>
      <c r="C2381" s="12" t="s">
        <v>8869</v>
      </c>
      <c r="D2381" s="12" t="s">
        <v>168</v>
      </c>
      <c r="E2381" s="12" t="s">
        <v>8870</v>
      </c>
      <c r="F2381" s="12" t="s">
        <v>403</v>
      </c>
      <c r="G2381" s="14"/>
      <c r="H2381" s="12" t="s">
        <v>61</v>
      </c>
      <c r="I2381" s="12" t="s">
        <v>230</v>
      </c>
      <c r="J2381" s="12" t="s">
        <v>419</v>
      </c>
      <c r="K2381" s="12" t="s">
        <v>199</v>
      </c>
      <c r="L2381" s="12" t="s">
        <v>115</v>
      </c>
      <c r="M2381" s="12" t="s">
        <v>43</v>
      </c>
      <c r="N2381" s="12" t="s">
        <v>161</v>
      </c>
      <c r="O2381" s="12" t="s">
        <v>8871</v>
      </c>
      <c r="P2381" s="12" t="s">
        <v>66</v>
      </c>
      <c r="Q2381" s="12" t="s">
        <v>67</v>
      </c>
      <c r="R2381" s="12" t="s">
        <v>421</v>
      </c>
      <c r="S2381" s="13">
        <v>680975130379</v>
      </c>
      <c r="T2381" s="12" t="s">
        <v>69</v>
      </c>
      <c r="U2381" s="12" t="s">
        <v>403</v>
      </c>
      <c r="V2381" s="12" t="s">
        <v>423</v>
      </c>
      <c r="W2381" s="12" t="s">
        <v>175</v>
      </c>
      <c r="X2381" s="13">
        <v>0</v>
      </c>
      <c r="Y2381" s="12" t="s">
        <v>91</v>
      </c>
      <c r="Z2381" s="12" t="s">
        <v>92</v>
      </c>
      <c r="AA2381" s="12" t="s">
        <v>4300</v>
      </c>
      <c r="AB2381" s="12" t="s">
        <v>94</v>
      </c>
      <c r="AC2381" s="15">
        <v>17.3</v>
      </c>
      <c r="AD2381" s="15">
        <f>AC2381*AG2381</f>
        <v>34.6</v>
      </c>
      <c r="AE2381" s="15">
        <v>38</v>
      </c>
      <c r="AF2381" s="15">
        <f>AE2381*AG2381</f>
        <v>76</v>
      </c>
      <c r="AG2381" s="16">
        <v>2</v>
      </c>
    </row>
    <row r="2382" spans="1:33" ht="15" customHeight="1" x14ac:dyDescent="0.2">
      <c r="A2382" s="11" t="str">
        <f t="shared" ref="A2382:A3658" si="971">HYPERLINK("https://assets.vans.eu/images/VN0A54YJBLK-HERO/1","VN0A54YJBLK1")</f>
        <v>VN0A54YJBLK1</v>
      </c>
      <c r="B2382" s="12" t="s">
        <v>8872</v>
      </c>
      <c r="C2382" s="12" t="s">
        <v>8873</v>
      </c>
      <c r="D2382" s="12" t="s">
        <v>76</v>
      </c>
      <c r="E2382" s="12" t="s">
        <v>8874</v>
      </c>
      <c r="F2382" s="12" t="s">
        <v>60</v>
      </c>
      <c r="G2382" s="14"/>
      <c r="H2382" s="12" t="s">
        <v>61</v>
      </c>
      <c r="I2382" s="12" t="s">
        <v>289</v>
      </c>
      <c r="J2382" s="12" t="s">
        <v>984</v>
      </c>
      <c r="K2382" s="12" t="s">
        <v>100</v>
      </c>
      <c r="L2382" s="12" t="s">
        <v>350</v>
      </c>
      <c r="M2382" s="12" t="s">
        <v>43</v>
      </c>
      <c r="N2382" s="12" t="s">
        <v>274</v>
      </c>
      <c r="O2382" s="12" t="s">
        <v>8875</v>
      </c>
      <c r="P2382" s="12" t="s">
        <v>66</v>
      </c>
      <c r="Q2382" s="12" t="s">
        <v>764</v>
      </c>
      <c r="R2382" s="12" t="s">
        <v>986</v>
      </c>
      <c r="S2382" s="13">
        <v>194904156373</v>
      </c>
      <c r="T2382" s="12" t="s">
        <v>49</v>
      </c>
      <c r="U2382" s="12" t="s">
        <v>60</v>
      </c>
      <c r="V2382" s="12" t="s">
        <v>8876</v>
      </c>
      <c r="W2382" s="12" t="s">
        <v>51</v>
      </c>
      <c r="X2382" s="13">
        <v>0</v>
      </c>
      <c r="Y2382" s="12" t="s">
        <v>71</v>
      </c>
      <c r="Z2382" s="12" t="s">
        <v>92</v>
      </c>
      <c r="AA2382" s="12" t="s">
        <v>354</v>
      </c>
      <c r="AB2382" s="12" t="s">
        <v>355</v>
      </c>
      <c r="AC2382" s="15">
        <v>45.5</v>
      </c>
      <c r="AD2382" s="15">
        <f>AC2382*AG2382</f>
        <v>91</v>
      </c>
      <c r="AE2382" s="15">
        <v>100</v>
      </c>
      <c r="AF2382" s="15">
        <f>AE2382*AG2382</f>
        <v>200</v>
      </c>
      <c r="AG2382" s="16">
        <v>2</v>
      </c>
    </row>
    <row r="2383" spans="1:33" ht="15" customHeight="1" x14ac:dyDescent="0.2">
      <c r="A2383" s="11" t="str">
        <f t="shared" ref="A2383:A3659" si="972">HYPERLINK("https://assets.vans.eu/images/VN0A5AUBDSB-HERO/1","VN0A5AUBDSB1")</f>
        <v>VN0A5AUBDSB1</v>
      </c>
      <c r="B2383" s="12" t="s">
        <v>8877</v>
      </c>
      <c r="C2383" s="12" t="s">
        <v>8878</v>
      </c>
      <c r="D2383" s="12" t="s">
        <v>6254</v>
      </c>
      <c r="E2383" s="12" t="s">
        <v>8879</v>
      </c>
      <c r="F2383" s="12" t="s">
        <v>170</v>
      </c>
      <c r="G2383" s="14"/>
      <c r="H2383" s="12" t="s">
        <v>61</v>
      </c>
      <c r="I2383" s="12" t="s">
        <v>62</v>
      </c>
      <c r="J2383" s="12" t="s">
        <v>972</v>
      </c>
      <c r="K2383" s="12" t="s">
        <v>1022</v>
      </c>
      <c r="L2383" s="14"/>
      <c r="M2383" s="12" t="s">
        <v>43</v>
      </c>
      <c r="N2383" s="12" t="s">
        <v>274</v>
      </c>
      <c r="O2383" s="12" t="s">
        <v>8880</v>
      </c>
      <c r="P2383" s="12" t="s">
        <v>66</v>
      </c>
      <c r="Q2383" s="12" t="s">
        <v>233</v>
      </c>
      <c r="R2383" s="12" t="s">
        <v>1024</v>
      </c>
      <c r="S2383" s="13">
        <v>197063500544</v>
      </c>
      <c r="T2383" s="12" t="s">
        <v>49</v>
      </c>
      <c r="U2383" s="12" t="s">
        <v>170</v>
      </c>
      <c r="V2383" s="12" t="s">
        <v>1726</v>
      </c>
      <c r="W2383" s="12" t="s">
        <v>284</v>
      </c>
      <c r="X2383" s="13">
        <v>0</v>
      </c>
      <c r="Y2383" s="12" t="s">
        <v>91</v>
      </c>
      <c r="Z2383" s="12" t="s">
        <v>108</v>
      </c>
      <c r="AA2383" s="13">
        <v>0</v>
      </c>
      <c r="AB2383" s="13">
        <v>0</v>
      </c>
      <c r="AC2383" s="15">
        <v>13.65</v>
      </c>
      <c r="AD2383" s="15">
        <f>AC2383*AG2383</f>
        <v>27.3</v>
      </c>
      <c r="AE2383" s="15">
        <v>30</v>
      </c>
      <c r="AF2383" s="15">
        <f>AE2383*AG2383</f>
        <v>60</v>
      </c>
      <c r="AG2383" s="16">
        <v>2</v>
      </c>
    </row>
    <row r="2384" spans="1:33" ht="15" customHeight="1" x14ac:dyDescent="0.2">
      <c r="A2384" s="11" t="str">
        <f t="shared" ref="A2384:A3660" si="973">HYPERLINK("https://assets.vans.eu/images/VN0A5FJ7DZ9-HERO/1","VN0A5FJ7DZ91")</f>
        <v>VN0A5FJ7DZ91</v>
      </c>
      <c r="B2384" s="12" t="s">
        <v>8881</v>
      </c>
      <c r="C2384" s="12" t="s">
        <v>8882</v>
      </c>
      <c r="D2384" s="12" t="s">
        <v>510</v>
      </c>
      <c r="E2384" s="12" t="s">
        <v>8883</v>
      </c>
      <c r="F2384" s="13">
        <v>28</v>
      </c>
      <c r="G2384" s="14"/>
      <c r="H2384" s="12" t="s">
        <v>61</v>
      </c>
      <c r="I2384" s="12" t="s">
        <v>230</v>
      </c>
      <c r="J2384" s="12" t="s">
        <v>231</v>
      </c>
      <c r="K2384" s="12" t="s">
        <v>199</v>
      </c>
      <c r="L2384" s="14"/>
      <c r="M2384" s="12" t="s">
        <v>43</v>
      </c>
      <c r="N2384" s="12" t="s">
        <v>274</v>
      </c>
      <c r="O2384" s="12" t="s">
        <v>8884</v>
      </c>
      <c r="P2384" s="12" t="s">
        <v>66</v>
      </c>
      <c r="Q2384" s="12" t="s">
        <v>233</v>
      </c>
      <c r="R2384" s="12" t="s">
        <v>361</v>
      </c>
      <c r="S2384" s="13">
        <v>195437420009</v>
      </c>
      <c r="T2384" s="12" t="s">
        <v>8885</v>
      </c>
      <c r="U2384" s="13">
        <v>28</v>
      </c>
      <c r="V2384" s="12" t="s">
        <v>236</v>
      </c>
      <c r="W2384" s="12" t="s">
        <v>186</v>
      </c>
      <c r="X2384" s="13">
        <v>0</v>
      </c>
      <c r="Y2384" s="12" t="s">
        <v>91</v>
      </c>
      <c r="Z2384" s="12" t="s">
        <v>108</v>
      </c>
      <c r="AA2384" s="13">
        <v>0</v>
      </c>
      <c r="AB2384" s="13">
        <v>0</v>
      </c>
      <c r="AC2384" s="15">
        <v>32.75</v>
      </c>
      <c r="AD2384" s="15">
        <f>AC2384*AG2384</f>
        <v>65.5</v>
      </c>
      <c r="AE2384" s="15">
        <v>72</v>
      </c>
      <c r="AF2384" s="15">
        <f>AE2384*AG2384</f>
        <v>144</v>
      </c>
      <c r="AG2384" s="16">
        <v>2</v>
      </c>
    </row>
    <row r="2385" spans="1:33" ht="15" customHeight="1" x14ac:dyDescent="0.2">
      <c r="A2385" s="11" t="str">
        <f t="shared" si="64"/>
        <v>VN0A5FJX1O71</v>
      </c>
      <c r="B2385" s="12" t="s">
        <v>8886</v>
      </c>
      <c r="C2385" s="12" t="s">
        <v>228</v>
      </c>
      <c r="D2385" s="12" t="s">
        <v>637</v>
      </c>
      <c r="E2385" s="12" t="s">
        <v>8887</v>
      </c>
      <c r="F2385" s="13">
        <v>30</v>
      </c>
      <c r="G2385" s="14"/>
      <c r="H2385" s="12" t="s">
        <v>61</v>
      </c>
      <c r="I2385" s="12" t="s">
        <v>230</v>
      </c>
      <c r="J2385" s="12" t="s">
        <v>231</v>
      </c>
      <c r="K2385" s="12" t="s">
        <v>199</v>
      </c>
      <c r="L2385" s="14"/>
      <c r="M2385" s="12" t="s">
        <v>43</v>
      </c>
      <c r="N2385" s="12" t="s">
        <v>44</v>
      </c>
      <c r="O2385" s="12" t="s">
        <v>8888</v>
      </c>
      <c r="P2385" s="12" t="s">
        <v>66</v>
      </c>
      <c r="Q2385" s="12" t="s">
        <v>233</v>
      </c>
      <c r="R2385" s="12" t="s">
        <v>234</v>
      </c>
      <c r="S2385" s="13">
        <v>196014150197</v>
      </c>
      <c r="T2385" s="12" t="s">
        <v>235</v>
      </c>
      <c r="U2385" s="13">
        <v>30</v>
      </c>
      <c r="V2385" s="12" t="s">
        <v>994</v>
      </c>
      <c r="W2385" s="12" t="s">
        <v>455</v>
      </c>
      <c r="X2385" s="13">
        <v>0</v>
      </c>
      <c r="Y2385" s="12" t="s">
        <v>91</v>
      </c>
      <c r="Z2385" s="12" t="s">
        <v>108</v>
      </c>
      <c r="AA2385" s="13">
        <v>0</v>
      </c>
      <c r="AB2385" s="13">
        <v>0</v>
      </c>
      <c r="AC2385" s="15">
        <v>27.3</v>
      </c>
      <c r="AD2385" s="15">
        <f>AC2385*AG2385</f>
        <v>54.6</v>
      </c>
      <c r="AE2385" s="15">
        <v>60</v>
      </c>
      <c r="AF2385" s="15">
        <f>AE2385*AG2385</f>
        <v>120</v>
      </c>
      <c r="AG2385" s="16">
        <v>2</v>
      </c>
    </row>
    <row r="2386" spans="1:33" ht="15" customHeight="1" x14ac:dyDescent="0.2">
      <c r="A2386" s="11" t="str">
        <f t="shared" ref="A2386:A3664" si="974">HYPERLINK("https://assets.vans.eu/images/VN0A5FLPBLK-HERO/1","VN0A5FLPBLK1")</f>
        <v>VN0A5FLPBLK1</v>
      </c>
      <c r="B2386" s="12" t="s">
        <v>8889</v>
      </c>
      <c r="C2386" s="12" t="s">
        <v>2256</v>
      </c>
      <c r="D2386" s="12" t="s">
        <v>76</v>
      </c>
      <c r="E2386" s="12" t="s">
        <v>8890</v>
      </c>
      <c r="F2386" s="13">
        <v>25</v>
      </c>
      <c r="G2386" s="14"/>
      <c r="H2386" s="12" t="s">
        <v>61</v>
      </c>
      <c r="I2386" s="12" t="s">
        <v>62</v>
      </c>
      <c r="J2386" s="12" t="s">
        <v>972</v>
      </c>
      <c r="K2386" s="12" t="s">
        <v>64</v>
      </c>
      <c r="L2386" s="14"/>
      <c r="M2386" s="12" t="s">
        <v>43</v>
      </c>
      <c r="N2386" s="12" t="s">
        <v>44</v>
      </c>
      <c r="O2386" s="12" t="s">
        <v>8891</v>
      </c>
      <c r="P2386" s="12" t="s">
        <v>66</v>
      </c>
      <c r="Q2386" s="12" t="s">
        <v>233</v>
      </c>
      <c r="R2386" s="12" t="s">
        <v>974</v>
      </c>
      <c r="S2386" s="13">
        <v>195437424724</v>
      </c>
      <c r="T2386" s="12" t="s">
        <v>235</v>
      </c>
      <c r="U2386" s="13">
        <v>25</v>
      </c>
      <c r="V2386" s="12" t="s">
        <v>236</v>
      </c>
      <c r="W2386" s="12" t="s">
        <v>51</v>
      </c>
      <c r="X2386" s="13">
        <v>0</v>
      </c>
      <c r="Y2386" s="12" t="s">
        <v>91</v>
      </c>
      <c r="Z2386" s="12" t="s">
        <v>108</v>
      </c>
      <c r="AA2386" s="13">
        <v>0</v>
      </c>
      <c r="AB2386" s="13">
        <v>0</v>
      </c>
      <c r="AC2386" s="15">
        <v>25</v>
      </c>
      <c r="AD2386" s="15">
        <f>AC2386*AG2386</f>
        <v>50</v>
      </c>
      <c r="AE2386" s="15">
        <v>55</v>
      </c>
      <c r="AF2386" s="15">
        <f>AE2386*AG2386</f>
        <v>110</v>
      </c>
      <c r="AG2386" s="16">
        <v>2</v>
      </c>
    </row>
    <row r="2387" spans="1:33" ht="15" customHeight="1" x14ac:dyDescent="0.2">
      <c r="A2387" s="11" t="str">
        <f>HYPERLINK("https://assets.vans.eu/images/VN0A5JHIBLK-HERO/1","VN0A5JHIBLK1")</f>
        <v>VN0A5JHIBLK1</v>
      </c>
      <c r="B2387" s="12" t="s">
        <v>8892</v>
      </c>
      <c r="C2387" s="12" t="s">
        <v>4302</v>
      </c>
      <c r="D2387" s="12" t="s">
        <v>76</v>
      </c>
      <c r="E2387" s="12" t="s">
        <v>8893</v>
      </c>
      <c r="F2387" s="12" t="s">
        <v>621</v>
      </c>
      <c r="G2387" s="14"/>
      <c r="H2387" s="12" t="s">
        <v>61</v>
      </c>
      <c r="I2387" s="12" t="s">
        <v>289</v>
      </c>
      <c r="J2387" s="12" t="s">
        <v>900</v>
      </c>
      <c r="K2387" s="12" t="s">
        <v>100</v>
      </c>
      <c r="L2387" s="14"/>
      <c r="M2387" s="12" t="s">
        <v>43</v>
      </c>
      <c r="N2387" s="12" t="s">
        <v>84</v>
      </c>
      <c r="O2387" s="12" t="s">
        <v>8894</v>
      </c>
      <c r="P2387" s="12" t="s">
        <v>66</v>
      </c>
      <c r="Q2387" s="12" t="s">
        <v>233</v>
      </c>
      <c r="R2387" s="12" t="s">
        <v>902</v>
      </c>
      <c r="S2387" s="13">
        <v>192825953439</v>
      </c>
      <c r="T2387" s="12" t="s">
        <v>235</v>
      </c>
      <c r="U2387" s="12" t="s">
        <v>621</v>
      </c>
      <c r="V2387" s="12" t="s">
        <v>665</v>
      </c>
      <c r="W2387" s="12" t="s">
        <v>51</v>
      </c>
      <c r="X2387" s="13">
        <v>0</v>
      </c>
      <c r="Y2387" s="12" t="s">
        <v>91</v>
      </c>
      <c r="Z2387" s="12" t="s">
        <v>108</v>
      </c>
      <c r="AA2387" s="13">
        <v>0</v>
      </c>
      <c r="AB2387" s="12" t="s">
        <v>616</v>
      </c>
      <c r="AC2387" s="15">
        <v>40.950000000000003</v>
      </c>
      <c r="AD2387" s="15">
        <f>AC2387*AG2387</f>
        <v>81.900000000000006</v>
      </c>
      <c r="AE2387" s="15">
        <v>90</v>
      </c>
      <c r="AF2387" s="15">
        <f>AE2387*AG2387</f>
        <v>180</v>
      </c>
      <c r="AG2387" s="16">
        <v>2</v>
      </c>
    </row>
    <row r="2388" spans="1:33" ht="15" customHeight="1" x14ac:dyDescent="0.2">
      <c r="A2388" s="11" t="str">
        <f t="shared" ref="A2388:A3671" si="975">HYPERLINK("https://assets.vans.eu/images/VN0A5KEZBLK-HERO/1","VN0A5KEZBLK1")</f>
        <v>VN0A5KEZBLK1</v>
      </c>
      <c r="B2388" s="12" t="s">
        <v>8895</v>
      </c>
      <c r="C2388" s="12" t="s">
        <v>8896</v>
      </c>
      <c r="D2388" s="12" t="s">
        <v>76</v>
      </c>
      <c r="E2388" s="12" t="s">
        <v>8897</v>
      </c>
      <c r="F2388" s="13">
        <v>4</v>
      </c>
      <c r="G2388" s="14"/>
      <c r="H2388" s="12" t="s">
        <v>61</v>
      </c>
      <c r="I2388" s="12" t="s">
        <v>1340</v>
      </c>
      <c r="J2388" s="12" t="s">
        <v>1376</v>
      </c>
      <c r="K2388" s="12" t="s">
        <v>64</v>
      </c>
      <c r="L2388" s="14"/>
      <c r="M2388" s="12" t="s">
        <v>43</v>
      </c>
      <c r="N2388" s="12" t="s">
        <v>161</v>
      </c>
      <c r="O2388" s="12" t="s">
        <v>8898</v>
      </c>
      <c r="P2388" s="12" t="s">
        <v>66</v>
      </c>
      <c r="Q2388" s="12" t="s">
        <v>233</v>
      </c>
      <c r="R2388" s="12" t="s">
        <v>974</v>
      </c>
      <c r="S2388" s="13">
        <v>195436445874</v>
      </c>
      <c r="T2388" s="12" t="s">
        <v>235</v>
      </c>
      <c r="U2388" s="13">
        <v>4</v>
      </c>
      <c r="V2388" s="12" t="s">
        <v>2964</v>
      </c>
      <c r="W2388" s="12" t="s">
        <v>51</v>
      </c>
      <c r="X2388" s="13">
        <v>0</v>
      </c>
      <c r="Y2388" s="12" t="s">
        <v>91</v>
      </c>
      <c r="Z2388" s="12" t="s">
        <v>108</v>
      </c>
      <c r="AA2388" s="13">
        <v>0</v>
      </c>
      <c r="AB2388" s="13">
        <v>0</v>
      </c>
      <c r="AC2388" s="15">
        <v>20.5</v>
      </c>
      <c r="AD2388" s="15">
        <f>AC2388*AG2388</f>
        <v>41</v>
      </c>
      <c r="AE2388" s="15">
        <v>45</v>
      </c>
      <c r="AF2388" s="15">
        <f>AE2388*AG2388</f>
        <v>90</v>
      </c>
      <c r="AG2388" s="16">
        <v>2</v>
      </c>
    </row>
    <row r="2389" spans="1:33" ht="15" customHeight="1" x14ac:dyDescent="0.2">
      <c r="A2389" s="11" t="str">
        <f t="shared" ref="A2389:A3673" si="976">HYPERLINK("https://assets.vans.eu/images/VN0A7RMDDJR-HERO/1","VN0A7RMDDJR1")</f>
        <v>VN0A7RMDDJR1</v>
      </c>
      <c r="B2389" s="12" t="s">
        <v>8899</v>
      </c>
      <c r="C2389" s="12" t="s">
        <v>8900</v>
      </c>
      <c r="D2389" s="12" t="s">
        <v>2829</v>
      </c>
      <c r="E2389" s="12" t="s">
        <v>8901</v>
      </c>
      <c r="F2389" s="12" t="s">
        <v>170</v>
      </c>
      <c r="G2389" s="12" t="s">
        <v>1521</v>
      </c>
      <c r="H2389" s="12" t="s">
        <v>61</v>
      </c>
      <c r="I2389" s="12" t="s">
        <v>289</v>
      </c>
      <c r="J2389" s="12" t="s">
        <v>706</v>
      </c>
      <c r="K2389" s="12" t="s">
        <v>100</v>
      </c>
      <c r="L2389" s="12" t="s">
        <v>83</v>
      </c>
      <c r="M2389" s="12" t="s">
        <v>43</v>
      </c>
      <c r="N2389" s="12" t="s">
        <v>84</v>
      </c>
      <c r="O2389" s="12" t="s">
        <v>8902</v>
      </c>
      <c r="P2389" s="12" t="s">
        <v>66</v>
      </c>
      <c r="Q2389" s="12" t="s">
        <v>67</v>
      </c>
      <c r="R2389" s="12" t="s">
        <v>708</v>
      </c>
      <c r="S2389" s="13">
        <v>197065830151</v>
      </c>
      <c r="T2389" s="12" t="s">
        <v>69</v>
      </c>
      <c r="U2389" s="12" t="s">
        <v>170</v>
      </c>
      <c r="V2389" s="12" t="s">
        <v>70</v>
      </c>
      <c r="W2389" s="12" t="s">
        <v>175</v>
      </c>
      <c r="X2389" s="13">
        <v>0</v>
      </c>
      <c r="Y2389" s="12" t="s">
        <v>91</v>
      </c>
      <c r="Z2389" s="12" t="s">
        <v>108</v>
      </c>
      <c r="AA2389" s="13">
        <v>0</v>
      </c>
      <c r="AB2389" s="12" t="s">
        <v>616</v>
      </c>
      <c r="AC2389" s="15">
        <v>36.4</v>
      </c>
      <c r="AD2389" s="15">
        <f>AC2389*AG2389</f>
        <v>72.8</v>
      </c>
      <c r="AE2389" s="15">
        <v>80</v>
      </c>
      <c r="AF2389" s="15">
        <f>AE2389*AG2389</f>
        <v>160</v>
      </c>
      <c r="AG2389" s="16">
        <v>2</v>
      </c>
    </row>
    <row r="2390" spans="1:33" ht="15" customHeight="1" x14ac:dyDescent="0.2">
      <c r="A2390" s="11" t="str">
        <f t="shared" ref="A2390:A2392" si="977">HYPERLINK("https://assets.vans.eu/images/VN0A7U7KCHN-HERO/1","VN0A7U7KCHN1")</f>
        <v>VN0A7U7KCHN1</v>
      </c>
      <c r="B2390" s="12" t="s">
        <v>8903</v>
      </c>
      <c r="C2390" s="12" t="s">
        <v>8904</v>
      </c>
      <c r="D2390" s="12" t="s">
        <v>6113</v>
      </c>
      <c r="E2390" s="12" t="s">
        <v>8905</v>
      </c>
      <c r="F2390" s="13">
        <v>5</v>
      </c>
      <c r="G2390" s="12" t="s">
        <v>1521</v>
      </c>
      <c r="H2390" s="12" t="s">
        <v>61</v>
      </c>
      <c r="I2390" s="12" t="s">
        <v>1340</v>
      </c>
      <c r="J2390" s="12" t="s">
        <v>1341</v>
      </c>
      <c r="K2390" s="12" t="s">
        <v>1022</v>
      </c>
      <c r="L2390" s="14"/>
      <c r="M2390" s="12" t="s">
        <v>43</v>
      </c>
      <c r="N2390" s="12" t="s">
        <v>274</v>
      </c>
      <c r="O2390" s="12" t="s">
        <v>8906</v>
      </c>
      <c r="P2390" s="12" t="s">
        <v>66</v>
      </c>
      <c r="Q2390" s="12" t="s">
        <v>67</v>
      </c>
      <c r="R2390" s="12" t="s">
        <v>68</v>
      </c>
      <c r="S2390" s="13">
        <v>197063410454</v>
      </c>
      <c r="T2390" s="12" t="s">
        <v>709</v>
      </c>
      <c r="U2390" s="13">
        <v>5</v>
      </c>
      <c r="V2390" s="12" t="s">
        <v>1028</v>
      </c>
      <c r="W2390" s="12" t="s">
        <v>299</v>
      </c>
      <c r="X2390" s="13">
        <v>0</v>
      </c>
      <c r="Y2390" s="12" t="s">
        <v>91</v>
      </c>
      <c r="Z2390" s="12" t="s">
        <v>108</v>
      </c>
      <c r="AA2390" s="13">
        <v>0</v>
      </c>
      <c r="AB2390" s="13">
        <v>0</v>
      </c>
      <c r="AC2390" s="15">
        <v>9.1</v>
      </c>
      <c r="AD2390" s="15">
        <f>AC2390*AG2390</f>
        <v>18.2</v>
      </c>
      <c r="AE2390" s="15">
        <v>20</v>
      </c>
      <c r="AF2390" s="15">
        <f>AE2390*AG2390</f>
        <v>40</v>
      </c>
      <c r="AG2390" s="16">
        <v>2</v>
      </c>
    </row>
    <row r="2391" spans="1:33" ht="15" customHeight="1" x14ac:dyDescent="0.2">
      <c r="A2391" s="11" t="str">
        <f t="shared" si="977"/>
        <v>VN0A7U7KCHN1</v>
      </c>
      <c r="B2391" s="12" t="s">
        <v>8907</v>
      </c>
      <c r="C2391" s="12" t="s">
        <v>8904</v>
      </c>
      <c r="D2391" s="12" t="s">
        <v>6113</v>
      </c>
      <c r="E2391" s="12" t="s">
        <v>8908</v>
      </c>
      <c r="F2391" s="13">
        <v>6</v>
      </c>
      <c r="G2391" s="12" t="s">
        <v>1521</v>
      </c>
      <c r="H2391" s="12" t="s">
        <v>61</v>
      </c>
      <c r="I2391" s="12" t="s">
        <v>1340</v>
      </c>
      <c r="J2391" s="12" t="s">
        <v>1341</v>
      </c>
      <c r="K2391" s="12" t="s">
        <v>1022</v>
      </c>
      <c r="L2391" s="14"/>
      <c r="M2391" s="12" t="s">
        <v>43</v>
      </c>
      <c r="N2391" s="12" t="s">
        <v>274</v>
      </c>
      <c r="O2391" s="12" t="s">
        <v>8909</v>
      </c>
      <c r="P2391" s="12" t="s">
        <v>66</v>
      </c>
      <c r="Q2391" s="12" t="s">
        <v>67</v>
      </c>
      <c r="R2391" s="12" t="s">
        <v>68</v>
      </c>
      <c r="S2391" s="13">
        <v>197063410607</v>
      </c>
      <c r="T2391" s="12" t="s">
        <v>709</v>
      </c>
      <c r="U2391" s="13">
        <v>6</v>
      </c>
      <c r="V2391" s="12" t="s">
        <v>1028</v>
      </c>
      <c r="W2391" s="12" t="s">
        <v>299</v>
      </c>
      <c r="X2391" s="13">
        <v>0</v>
      </c>
      <c r="Y2391" s="12" t="s">
        <v>91</v>
      </c>
      <c r="Z2391" s="12" t="s">
        <v>108</v>
      </c>
      <c r="AA2391" s="13">
        <v>0</v>
      </c>
      <c r="AB2391" s="13">
        <v>0</v>
      </c>
      <c r="AC2391" s="15">
        <v>9.1</v>
      </c>
      <c r="AD2391" s="15">
        <f>AC2391*AG2391</f>
        <v>18.2</v>
      </c>
      <c r="AE2391" s="15">
        <v>20</v>
      </c>
      <c r="AF2391" s="15">
        <f>AE2391*AG2391</f>
        <v>40</v>
      </c>
      <c r="AG2391" s="16">
        <v>2</v>
      </c>
    </row>
    <row r="2392" spans="1:33" ht="15" customHeight="1" x14ac:dyDescent="0.2">
      <c r="A2392" s="11" t="str">
        <f t="shared" si="977"/>
        <v>VN0A7U7KCHN1</v>
      </c>
      <c r="B2392" s="12" t="s">
        <v>8910</v>
      </c>
      <c r="C2392" s="12" t="s">
        <v>8904</v>
      </c>
      <c r="D2392" s="12" t="s">
        <v>6113</v>
      </c>
      <c r="E2392" s="12" t="s">
        <v>8911</v>
      </c>
      <c r="F2392" s="12" t="s">
        <v>2382</v>
      </c>
      <c r="G2392" s="12" t="s">
        <v>1521</v>
      </c>
      <c r="H2392" s="12" t="s">
        <v>61</v>
      </c>
      <c r="I2392" s="12" t="s">
        <v>1340</v>
      </c>
      <c r="J2392" s="12" t="s">
        <v>1341</v>
      </c>
      <c r="K2392" s="12" t="s">
        <v>1022</v>
      </c>
      <c r="L2392" s="14"/>
      <c r="M2392" s="12" t="s">
        <v>43</v>
      </c>
      <c r="N2392" s="12" t="s">
        <v>274</v>
      </c>
      <c r="O2392" s="12" t="s">
        <v>8912</v>
      </c>
      <c r="P2392" s="12" t="s">
        <v>66</v>
      </c>
      <c r="Q2392" s="12" t="s">
        <v>67</v>
      </c>
      <c r="R2392" s="12" t="s">
        <v>68</v>
      </c>
      <c r="S2392" s="13">
        <v>197063410614</v>
      </c>
      <c r="T2392" s="12" t="s">
        <v>709</v>
      </c>
      <c r="U2392" s="12" t="s">
        <v>2382</v>
      </c>
      <c r="V2392" s="12" t="s">
        <v>1028</v>
      </c>
      <c r="W2392" s="12" t="s">
        <v>299</v>
      </c>
      <c r="X2392" s="13">
        <v>0</v>
      </c>
      <c r="Y2392" s="12" t="s">
        <v>91</v>
      </c>
      <c r="Z2392" s="12" t="s">
        <v>108</v>
      </c>
      <c r="AA2392" s="13">
        <v>0</v>
      </c>
      <c r="AB2392" s="13">
        <v>0</v>
      </c>
      <c r="AC2392" s="15">
        <v>9.1</v>
      </c>
      <c r="AD2392" s="15">
        <f>AC2392*AG2392</f>
        <v>18.2</v>
      </c>
      <c r="AE2392" s="15">
        <v>20</v>
      </c>
      <c r="AF2392" s="15">
        <f>AE2392*AG2392</f>
        <v>40</v>
      </c>
      <c r="AG2392" s="16">
        <v>2</v>
      </c>
    </row>
    <row r="2393" spans="1:33" ht="15" customHeight="1" x14ac:dyDescent="0.2">
      <c r="A2393" s="11" t="str">
        <f>HYPERLINK("https://assets.vans.eu/images/VN0A7Y4RLKZ-HERO/1","VN0A7Y4RLKZ1")</f>
        <v>VN0A7Y4RLKZ1</v>
      </c>
      <c r="B2393" s="12" t="s">
        <v>8913</v>
      </c>
      <c r="C2393" s="12" t="s">
        <v>8914</v>
      </c>
      <c r="D2393" s="12" t="s">
        <v>1213</v>
      </c>
      <c r="E2393" s="12" t="s">
        <v>8915</v>
      </c>
      <c r="F2393" s="12" t="s">
        <v>60</v>
      </c>
      <c r="G2393" s="14"/>
      <c r="H2393" s="12" t="s">
        <v>61</v>
      </c>
      <c r="I2393" s="12" t="s">
        <v>62</v>
      </c>
      <c r="J2393" s="12" t="s">
        <v>63</v>
      </c>
      <c r="K2393" s="12" t="s">
        <v>64</v>
      </c>
      <c r="L2393" s="12" t="s">
        <v>350</v>
      </c>
      <c r="M2393" s="12" t="s">
        <v>43</v>
      </c>
      <c r="N2393" s="12" t="s">
        <v>161</v>
      </c>
      <c r="O2393" s="12" t="s">
        <v>8916</v>
      </c>
      <c r="P2393" s="12" t="s">
        <v>66</v>
      </c>
      <c r="Q2393" s="12" t="s">
        <v>67</v>
      </c>
      <c r="R2393" s="12" t="s">
        <v>730</v>
      </c>
      <c r="S2393" s="13">
        <v>196244265975</v>
      </c>
      <c r="T2393" s="12" t="s">
        <v>7784</v>
      </c>
      <c r="U2393" s="12" t="s">
        <v>60</v>
      </c>
      <c r="V2393" s="12" t="s">
        <v>70</v>
      </c>
      <c r="W2393" s="12" t="s">
        <v>284</v>
      </c>
      <c r="X2393" s="13">
        <v>0</v>
      </c>
      <c r="Y2393" s="12" t="s">
        <v>71</v>
      </c>
      <c r="Z2393" s="12" t="s">
        <v>92</v>
      </c>
      <c r="AA2393" s="12" t="s">
        <v>354</v>
      </c>
      <c r="AB2393" s="12" t="s">
        <v>355</v>
      </c>
      <c r="AC2393" s="15">
        <v>27.3</v>
      </c>
      <c r="AD2393" s="15">
        <f>AC2393*AG2393</f>
        <v>54.6</v>
      </c>
      <c r="AE2393" s="15">
        <v>60</v>
      </c>
      <c r="AF2393" s="15">
        <f>AE2393*AG2393</f>
        <v>120</v>
      </c>
      <c r="AG2393" s="16">
        <v>2</v>
      </c>
    </row>
    <row r="2394" spans="1:33" ht="15" customHeight="1" x14ac:dyDescent="0.2">
      <c r="A2394" s="11" t="str">
        <f>HYPERLINK("https://assets.vans.eu/images/VN0A7YUTBLK-HERO/1","VN0A7YUTBLK1")</f>
        <v>VN0A7YUTBLK1</v>
      </c>
      <c r="B2394" s="12" t="s">
        <v>8917</v>
      </c>
      <c r="C2394" s="12" t="s">
        <v>1519</v>
      </c>
      <c r="D2394" s="12" t="s">
        <v>76</v>
      </c>
      <c r="E2394" s="12" t="s">
        <v>8918</v>
      </c>
      <c r="F2394" s="12" t="s">
        <v>60</v>
      </c>
      <c r="G2394" s="12" t="s">
        <v>1521</v>
      </c>
      <c r="H2394" s="12" t="s">
        <v>61</v>
      </c>
      <c r="I2394" s="12" t="s">
        <v>289</v>
      </c>
      <c r="J2394" s="12" t="s">
        <v>706</v>
      </c>
      <c r="K2394" s="12" t="s">
        <v>100</v>
      </c>
      <c r="L2394" s="12" t="s">
        <v>83</v>
      </c>
      <c r="M2394" s="12" t="s">
        <v>43</v>
      </c>
      <c r="N2394" s="12" t="s">
        <v>84</v>
      </c>
      <c r="O2394" s="12" t="s">
        <v>8919</v>
      </c>
      <c r="P2394" s="12" t="s">
        <v>66</v>
      </c>
      <c r="Q2394" s="12" t="s">
        <v>67</v>
      </c>
      <c r="R2394" s="12" t="s">
        <v>1146</v>
      </c>
      <c r="S2394" s="13">
        <v>196244355225</v>
      </c>
      <c r="T2394" s="12" t="s">
        <v>422</v>
      </c>
      <c r="U2394" s="12" t="s">
        <v>60</v>
      </c>
      <c r="V2394" s="12" t="s">
        <v>70</v>
      </c>
      <c r="W2394" s="12" t="s">
        <v>51</v>
      </c>
      <c r="X2394" s="13">
        <v>0</v>
      </c>
      <c r="Y2394" s="12" t="s">
        <v>91</v>
      </c>
      <c r="Z2394" s="12" t="s">
        <v>108</v>
      </c>
      <c r="AA2394" s="13">
        <v>0</v>
      </c>
      <c r="AB2394" s="13">
        <v>0</v>
      </c>
      <c r="AC2394" s="15">
        <v>15.95</v>
      </c>
      <c r="AD2394" s="15">
        <f>AC2394*AG2394</f>
        <v>31.9</v>
      </c>
      <c r="AE2394" s="15">
        <v>35</v>
      </c>
      <c r="AF2394" s="15">
        <f>AE2394*AG2394</f>
        <v>70</v>
      </c>
      <c r="AG2394" s="16">
        <v>2</v>
      </c>
    </row>
    <row r="2395" spans="1:33" ht="15" customHeight="1" x14ac:dyDescent="0.2">
      <c r="A2395" s="11" t="str">
        <f>HYPERLINK("https://assets.vans.eu/images/VN0A7YUTWHT-HERO/1","VN0A7YUTWHT1")</f>
        <v>VN0A7YUTWHT1</v>
      </c>
      <c r="B2395" s="12" t="s">
        <v>8920</v>
      </c>
      <c r="C2395" s="12" t="s">
        <v>1519</v>
      </c>
      <c r="D2395" s="12" t="s">
        <v>168</v>
      </c>
      <c r="E2395" s="12" t="s">
        <v>8921</v>
      </c>
      <c r="F2395" s="12" t="s">
        <v>153</v>
      </c>
      <c r="G2395" s="12" t="s">
        <v>1521</v>
      </c>
      <c r="H2395" s="12" t="s">
        <v>61</v>
      </c>
      <c r="I2395" s="12" t="s">
        <v>289</v>
      </c>
      <c r="J2395" s="12" t="s">
        <v>706</v>
      </c>
      <c r="K2395" s="12" t="s">
        <v>100</v>
      </c>
      <c r="L2395" s="12" t="s">
        <v>83</v>
      </c>
      <c r="M2395" s="12" t="s">
        <v>43</v>
      </c>
      <c r="N2395" s="12" t="s">
        <v>84</v>
      </c>
      <c r="O2395" s="12" t="s">
        <v>8922</v>
      </c>
      <c r="P2395" s="12" t="s">
        <v>66</v>
      </c>
      <c r="Q2395" s="12" t="s">
        <v>67</v>
      </c>
      <c r="R2395" s="12" t="s">
        <v>1146</v>
      </c>
      <c r="S2395" s="13">
        <v>196244355447</v>
      </c>
      <c r="T2395" s="12" t="s">
        <v>422</v>
      </c>
      <c r="U2395" s="12" t="s">
        <v>153</v>
      </c>
      <c r="V2395" s="12" t="s">
        <v>423</v>
      </c>
      <c r="W2395" s="12" t="s">
        <v>175</v>
      </c>
      <c r="X2395" s="13">
        <v>0</v>
      </c>
      <c r="Y2395" s="12" t="s">
        <v>91</v>
      </c>
      <c r="Z2395" s="12" t="s">
        <v>108</v>
      </c>
      <c r="AA2395" s="13">
        <v>0</v>
      </c>
      <c r="AB2395" s="13">
        <v>0</v>
      </c>
      <c r="AC2395" s="15">
        <v>15.95</v>
      </c>
      <c r="AD2395" s="15">
        <f>AC2395*AG2395</f>
        <v>31.9</v>
      </c>
      <c r="AE2395" s="15">
        <v>35</v>
      </c>
      <c r="AF2395" s="15">
        <f>AE2395*AG2395</f>
        <v>70</v>
      </c>
      <c r="AG2395" s="16">
        <v>2</v>
      </c>
    </row>
    <row r="2396" spans="1:33" ht="15" customHeight="1" x14ac:dyDescent="0.2">
      <c r="A2396" s="11" t="str">
        <f>HYPERLINK("https://assets.vans.eu/images/VN000H58ENA-HERO/1","VN000H58ENA1")</f>
        <v>VN000H58ENA1</v>
      </c>
      <c r="B2396" s="12" t="s">
        <v>8923</v>
      </c>
      <c r="C2396" s="12" t="s">
        <v>8924</v>
      </c>
      <c r="D2396" s="12" t="s">
        <v>280</v>
      </c>
      <c r="E2396" s="12" t="s">
        <v>8925</v>
      </c>
      <c r="F2396" s="12" t="s">
        <v>78</v>
      </c>
      <c r="G2396" s="14"/>
      <c r="H2396" s="12" t="s">
        <v>441</v>
      </c>
      <c r="I2396" s="12" t="s">
        <v>3864</v>
      </c>
      <c r="J2396" s="12" t="s">
        <v>8926</v>
      </c>
      <c r="K2396" s="12" t="s">
        <v>41</v>
      </c>
      <c r="L2396" s="14"/>
      <c r="M2396" s="12" t="s">
        <v>43</v>
      </c>
      <c r="N2396" s="12" t="s">
        <v>84</v>
      </c>
      <c r="O2396" s="12" t="s">
        <v>8927</v>
      </c>
      <c r="P2396" s="12" t="s">
        <v>445</v>
      </c>
      <c r="Q2396" s="12" t="s">
        <v>3867</v>
      </c>
      <c r="R2396" s="12" t="s">
        <v>8928</v>
      </c>
      <c r="S2396" s="13">
        <v>197804384853</v>
      </c>
      <c r="T2396" s="12" t="s">
        <v>130</v>
      </c>
      <c r="U2396" s="12" t="s">
        <v>78</v>
      </c>
      <c r="V2396" s="12" t="s">
        <v>8929</v>
      </c>
      <c r="W2396" s="12" t="s">
        <v>284</v>
      </c>
      <c r="X2396" s="14"/>
      <c r="Y2396" s="14"/>
      <c r="Z2396" s="14"/>
      <c r="AA2396" s="14"/>
      <c r="AB2396" s="14"/>
      <c r="AC2396" s="15">
        <v>6.4</v>
      </c>
      <c r="AD2396" s="15">
        <f>AC2396*AG2396</f>
        <v>12.8</v>
      </c>
      <c r="AE2396" s="15">
        <v>14</v>
      </c>
      <c r="AF2396" s="15">
        <f>AE2396*AG2396</f>
        <v>28</v>
      </c>
      <c r="AG2396" s="16">
        <v>2</v>
      </c>
    </row>
    <row r="2397" spans="1:33" ht="15" customHeight="1" x14ac:dyDescent="0.2">
      <c r="A2397" s="11" t="str">
        <f>HYPERLINK("https://assets.vans.eu/images/VN000HDDE2W-HERO/1","VN000HDDE2W1")</f>
        <v>VN000HDDE2W1</v>
      </c>
      <c r="B2397" s="12" t="s">
        <v>8930</v>
      </c>
      <c r="C2397" s="12" t="s">
        <v>8931</v>
      </c>
      <c r="D2397" s="12" t="s">
        <v>1476</v>
      </c>
      <c r="E2397" s="12" t="s">
        <v>8932</v>
      </c>
      <c r="F2397" s="12" t="s">
        <v>78</v>
      </c>
      <c r="G2397" s="14"/>
      <c r="H2397" s="12" t="s">
        <v>441</v>
      </c>
      <c r="I2397" s="12" t="s">
        <v>442</v>
      </c>
      <c r="J2397" s="12" t="s">
        <v>443</v>
      </c>
      <c r="K2397" s="12" t="s">
        <v>82</v>
      </c>
      <c r="L2397" s="14"/>
      <c r="M2397" s="12" t="s">
        <v>43</v>
      </c>
      <c r="N2397" s="12" t="s">
        <v>44</v>
      </c>
      <c r="O2397" s="12" t="s">
        <v>8933</v>
      </c>
      <c r="P2397" s="12" t="s">
        <v>445</v>
      </c>
      <c r="Q2397" s="12" t="s">
        <v>446</v>
      </c>
      <c r="R2397" s="12" t="s">
        <v>447</v>
      </c>
      <c r="S2397" s="13">
        <v>197643554745</v>
      </c>
      <c r="T2397" s="12" t="s">
        <v>130</v>
      </c>
      <c r="U2397" s="12" t="s">
        <v>78</v>
      </c>
      <c r="V2397" s="12" t="s">
        <v>8934</v>
      </c>
      <c r="W2397" s="12" t="s">
        <v>284</v>
      </c>
      <c r="X2397" s="13">
        <v>0</v>
      </c>
      <c r="Y2397" s="12" t="s">
        <v>91</v>
      </c>
      <c r="Z2397" s="12" t="s">
        <v>108</v>
      </c>
      <c r="AA2397" s="13">
        <v>0</v>
      </c>
      <c r="AB2397" s="13">
        <v>0</v>
      </c>
      <c r="AC2397" s="15">
        <v>30.95</v>
      </c>
      <c r="AD2397" s="15">
        <f>AC2397*AG2397</f>
        <v>61.9</v>
      </c>
      <c r="AE2397" s="15">
        <v>68</v>
      </c>
      <c r="AF2397" s="15">
        <f>AE2397*AG2397</f>
        <v>136</v>
      </c>
      <c r="AG2397" s="16">
        <v>2</v>
      </c>
    </row>
    <row r="2398" spans="1:33" ht="15" customHeight="1" x14ac:dyDescent="0.2">
      <c r="A2398" s="11" t="str">
        <f>HYPERLINK("https://assets.vans.eu/images/VN000HRFEN6-HERO/1","VN000HRFEN61")</f>
        <v>VN000HRFEN61</v>
      </c>
      <c r="B2398" s="12" t="s">
        <v>8935</v>
      </c>
      <c r="C2398" s="12" t="s">
        <v>3531</v>
      </c>
      <c r="D2398" s="12" t="s">
        <v>189</v>
      </c>
      <c r="E2398" s="12" t="s">
        <v>8936</v>
      </c>
      <c r="F2398" s="12" t="s">
        <v>78</v>
      </c>
      <c r="G2398" s="14"/>
      <c r="H2398" s="12" t="s">
        <v>441</v>
      </c>
      <c r="I2398" s="12" t="s">
        <v>442</v>
      </c>
      <c r="J2398" s="12" t="s">
        <v>443</v>
      </c>
      <c r="K2398" s="12" t="s">
        <v>82</v>
      </c>
      <c r="L2398" s="14"/>
      <c r="M2398" s="12" t="s">
        <v>43</v>
      </c>
      <c r="N2398" s="12" t="s">
        <v>84</v>
      </c>
      <c r="O2398" s="12" t="s">
        <v>8937</v>
      </c>
      <c r="P2398" s="12" t="s">
        <v>445</v>
      </c>
      <c r="Q2398" s="12" t="s">
        <v>446</v>
      </c>
      <c r="R2398" s="12" t="s">
        <v>447</v>
      </c>
      <c r="S2398" s="13">
        <v>197804385027</v>
      </c>
      <c r="T2398" s="12" t="s">
        <v>130</v>
      </c>
      <c r="U2398" s="12" t="s">
        <v>78</v>
      </c>
      <c r="V2398" s="12" t="s">
        <v>3534</v>
      </c>
      <c r="W2398" s="12" t="s">
        <v>118</v>
      </c>
      <c r="X2398" s="14"/>
      <c r="Y2398" s="14"/>
      <c r="Z2398" s="14"/>
      <c r="AA2398" s="14"/>
      <c r="AB2398" s="14"/>
      <c r="AC2398" s="15">
        <v>40.950000000000003</v>
      </c>
      <c r="AD2398" s="15">
        <f>AC2398*AG2398</f>
        <v>81.900000000000006</v>
      </c>
      <c r="AE2398" s="15">
        <v>90</v>
      </c>
      <c r="AF2398" s="15">
        <f>AE2398*AG2398</f>
        <v>180</v>
      </c>
      <c r="AG2398" s="16">
        <v>2</v>
      </c>
    </row>
    <row r="2399" spans="1:33" ht="15" customHeight="1" x14ac:dyDescent="0.2">
      <c r="A2399" s="11" t="str">
        <f>HYPERLINK("https://assets.vans.eu/images/VN000HRJ6PH-HERO/1","VN000HRJ6PH1")</f>
        <v>VN000HRJ6PH1</v>
      </c>
      <c r="B2399" s="12" t="s">
        <v>8938</v>
      </c>
      <c r="C2399" s="12" t="s">
        <v>2263</v>
      </c>
      <c r="D2399" s="12" t="s">
        <v>1878</v>
      </c>
      <c r="E2399" s="12" t="s">
        <v>8939</v>
      </c>
      <c r="F2399" s="12" t="s">
        <v>78</v>
      </c>
      <c r="G2399" s="14"/>
      <c r="H2399" s="12" t="s">
        <v>441</v>
      </c>
      <c r="I2399" s="12" t="s">
        <v>442</v>
      </c>
      <c r="J2399" s="12" t="s">
        <v>443</v>
      </c>
      <c r="K2399" s="12" t="s">
        <v>82</v>
      </c>
      <c r="L2399" s="14"/>
      <c r="M2399" s="12" t="s">
        <v>43</v>
      </c>
      <c r="N2399" s="12" t="s">
        <v>44</v>
      </c>
      <c r="O2399" s="12" t="s">
        <v>8940</v>
      </c>
      <c r="P2399" s="12" t="s">
        <v>445</v>
      </c>
      <c r="Q2399" s="12" t="s">
        <v>446</v>
      </c>
      <c r="R2399" s="12" t="s">
        <v>447</v>
      </c>
      <c r="S2399" s="13">
        <v>197643554943</v>
      </c>
      <c r="T2399" s="12" t="s">
        <v>130</v>
      </c>
      <c r="U2399" s="12" t="s">
        <v>78</v>
      </c>
      <c r="V2399" s="12" t="s">
        <v>8941</v>
      </c>
      <c r="W2399" s="12" t="s">
        <v>107</v>
      </c>
      <c r="X2399" s="13">
        <v>0</v>
      </c>
      <c r="Y2399" s="12" t="s">
        <v>91</v>
      </c>
      <c r="Z2399" s="12" t="s">
        <v>108</v>
      </c>
      <c r="AA2399" s="13">
        <v>0</v>
      </c>
      <c r="AB2399" s="13">
        <v>0</v>
      </c>
      <c r="AC2399" s="15">
        <v>25</v>
      </c>
      <c r="AD2399" s="15">
        <f>AC2399*AG2399</f>
        <v>50</v>
      </c>
      <c r="AE2399" s="15">
        <v>55</v>
      </c>
      <c r="AF2399" s="15">
        <f>AE2399*AG2399</f>
        <v>110</v>
      </c>
      <c r="AG2399" s="16">
        <v>2</v>
      </c>
    </row>
    <row r="2400" spans="1:33" ht="15" customHeight="1" x14ac:dyDescent="0.2">
      <c r="A2400" s="11" t="str">
        <f>HYPERLINK("https://assets.vans.eu/images/VN000KYJBLK-HERO/1","VN000KYJBLK1")</f>
        <v>VN000KYJBLK1</v>
      </c>
      <c r="B2400" s="12" t="s">
        <v>8942</v>
      </c>
      <c r="C2400" s="12" t="s">
        <v>8943</v>
      </c>
      <c r="D2400" s="12" t="s">
        <v>76</v>
      </c>
      <c r="E2400" s="12" t="s">
        <v>8944</v>
      </c>
      <c r="F2400" s="12" t="s">
        <v>78</v>
      </c>
      <c r="G2400" s="14"/>
      <c r="H2400" s="12" t="s">
        <v>441</v>
      </c>
      <c r="I2400" s="12" t="s">
        <v>442</v>
      </c>
      <c r="J2400" s="12" t="s">
        <v>443</v>
      </c>
      <c r="K2400" s="12" t="s">
        <v>82</v>
      </c>
      <c r="L2400" s="14"/>
      <c r="M2400" s="12" t="s">
        <v>43</v>
      </c>
      <c r="N2400" s="12" t="s">
        <v>84</v>
      </c>
      <c r="O2400" s="12" t="s">
        <v>8945</v>
      </c>
      <c r="P2400" s="12" t="s">
        <v>445</v>
      </c>
      <c r="Q2400" s="12" t="s">
        <v>446</v>
      </c>
      <c r="R2400" s="12" t="s">
        <v>447</v>
      </c>
      <c r="S2400" s="13">
        <v>197643536710</v>
      </c>
      <c r="T2400" s="12" t="s">
        <v>130</v>
      </c>
      <c r="U2400" s="12" t="s">
        <v>78</v>
      </c>
      <c r="V2400" s="12" t="s">
        <v>8946</v>
      </c>
      <c r="W2400" s="12" t="s">
        <v>51</v>
      </c>
      <c r="X2400" s="13">
        <v>0</v>
      </c>
      <c r="Y2400" s="12" t="s">
        <v>91</v>
      </c>
      <c r="Z2400" s="12" t="s">
        <v>108</v>
      </c>
      <c r="AA2400" s="13">
        <v>0</v>
      </c>
      <c r="AB2400" s="13">
        <v>0</v>
      </c>
      <c r="AC2400" s="15">
        <v>63.65</v>
      </c>
      <c r="AD2400" s="15">
        <f>AC2400*AG2400</f>
        <v>127.3</v>
      </c>
      <c r="AE2400" s="15">
        <v>140</v>
      </c>
      <c r="AF2400" s="15">
        <f>AE2400*AG2400</f>
        <v>280</v>
      </c>
      <c r="AG2400" s="16">
        <v>2</v>
      </c>
    </row>
    <row r="2401" spans="1:33" ht="15" customHeight="1" x14ac:dyDescent="0.2">
      <c r="A2401" s="11" t="str">
        <f>HYPERLINK("https://assets.vans.eu/images/VN000M7MZBF-HERO/1","VN000M7MZBF1")</f>
        <v>VN000M7MZBF1</v>
      </c>
      <c r="B2401" s="12" t="s">
        <v>8947</v>
      </c>
      <c r="C2401" s="12" t="s">
        <v>3871</v>
      </c>
      <c r="D2401" s="12" t="s">
        <v>680</v>
      </c>
      <c r="E2401" s="12" t="s">
        <v>8948</v>
      </c>
      <c r="F2401" s="12" t="s">
        <v>78</v>
      </c>
      <c r="G2401" s="14"/>
      <c r="H2401" s="12" t="s">
        <v>441</v>
      </c>
      <c r="I2401" s="12" t="s">
        <v>442</v>
      </c>
      <c r="J2401" s="12" t="s">
        <v>1291</v>
      </c>
      <c r="K2401" s="12" t="s">
        <v>82</v>
      </c>
      <c r="L2401" s="14"/>
      <c r="M2401" s="12" t="s">
        <v>43</v>
      </c>
      <c r="N2401" s="12" t="s">
        <v>44</v>
      </c>
      <c r="O2401" s="12" t="s">
        <v>8949</v>
      </c>
      <c r="P2401" s="12" t="s">
        <v>445</v>
      </c>
      <c r="Q2401" s="12" t="s">
        <v>446</v>
      </c>
      <c r="R2401" s="12" t="s">
        <v>1293</v>
      </c>
      <c r="S2401" s="13">
        <v>197643467236</v>
      </c>
      <c r="T2401" s="12" t="s">
        <v>105</v>
      </c>
      <c r="U2401" s="12" t="s">
        <v>78</v>
      </c>
      <c r="V2401" s="12" t="s">
        <v>3874</v>
      </c>
      <c r="W2401" s="12" t="s">
        <v>118</v>
      </c>
      <c r="X2401" s="13">
        <v>0</v>
      </c>
      <c r="Y2401" s="12" t="s">
        <v>91</v>
      </c>
      <c r="Z2401" s="12" t="s">
        <v>108</v>
      </c>
      <c r="AA2401" s="13">
        <v>0</v>
      </c>
      <c r="AB2401" s="13">
        <v>0</v>
      </c>
      <c r="AC2401" s="15">
        <v>29.55</v>
      </c>
      <c r="AD2401" s="15">
        <f>AC2401*AG2401</f>
        <v>59.1</v>
      </c>
      <c r="AE2401" s="15">
        <v>65</v>
      </c>
      <c r="AF2401" s="15">
        <f>AE2401*AG2401</f>
        <v>130</v>
      </c>
      <c r="AG2401" s="16">
        <v>2</v>
      </c>
    </row>
    <row r="2402" spans="1:33" ht="15" customHeight="1" x14ac:dyDescent="0.2">
      <c r="A2402" s="11" t="str">
        <f>HYPERLINK("https://assets.vans.eu/images/VN000Q99Y7X-HERO/1","VN000Q99Y7X1")</f>
        <v>VN000Q99Y7X1</v>
      </c>
      <c r="B2402" s="12" t="s">
        <v>8950</v>
      </c>
      <c r="C2402" s="12" t="s">
        <v>8951</v>
      </c>
      <c r="D2402" s="12" t="s">
        <v>2658</v>
      </c>
      <c r="E2402" s="12" t="s">
        <v>8952</v>
      </c>
      <c r="F2402" s="12" t="s">
        <v>78</v>
      </c>
      <c r="G2402" s="14"/>
      <c r="H2402" s="12" t="s">
        <v>441</v>
      </c>
      <c r="I2402" s="12" t="s">
        <v>442</v>
      </c>
      <c r="J2402" s="12" t="s">
        <v>443</v>
      </c>
      <c r="K2402" s="12" t="s">
        <v>82</v>
      </c>
      <c r="L2402" s="14"/>
      <c r="M2402" s="12" t="s">
        <v>43</v>
      </c>
      <c r="N2402" s="12" t="s">
        <v>84</v>
      </c>
      <c r="O2402" s="12" t="s">
        <v>8953</v>
      </c>
      <c r="P2402" s="12" t="s">
        <v>445</v>
      </c>
      <c r="Q2402" s="12" t="s">
        <v>446</v>
      </c>
      <c r="R2402" s="12" t="s">
        <v>447</v>
      </c>
      <c r="S2402" s="13">
        <v>197804374229</v>
      </c>
      <c r="T2402" s="12" t="s">
        <v>130</v>
      </c>
      <c r="U2402" s="12" t="s">
        <v>78</v>
      </c>
      <c r="V2402" s="12" t="s">
        <v>8929</v>
      </c>
      <c r="W2402" s="12" t="s">
        <v>933</v>
      </c>
      <c r="X2402" s="14"/>
      <c r="Y2402" s="14"/>
      <c r="Z2402" s="14"/>
      <c r="AA2402" s="14"/>
      <c r="AB2402" s="14"/>
      <c r="AC2402" s="15">
        <v>25</v>
      </c>
      <c r="AD2402" s="15">
        <f>AC2402*AG2402</f>
        <v>50</v>
      </c>
      <c r="AE2402" s="15">
        <v>55</v>
      </c>
      <c r="AF2402" s="15">
        <f>AE2402*AG2402</f>
        <v>110</v>
      </c>
      <c r="AG2402" s="16">
        <v>2</v>
      </c>
    </row>
    <row r="2403" spans="1:33" ht="15" customHeight="1" x14ac:dyDescent="0.2">
      <c r="A2403" s="11" t="str">
        <f t="shared" ref="A2403:A2406" si="978">HYPERLINK("https://assets.vans.eu/images/VN0005UFBLL-HERO/1","VN0005UFBLL1")</f>
        <v>VN0005UFBLL1</v>
      </c>
      <c r="B2403" s="12" t="s">
        <v>8954</v>
      </c>
      <c r="C2403" s="12" t="s">
        <v>34</v>
      </c>
      <c r="D2403" s="12" t="s">
        <v>8955</v>
      </c>
      <c r="E2403" s="12" t="s">
        <v>8956</v>
      </c>
      <c r="F2403" s="13">
        <v>50</v>
      </c>
      <c r="G2403" s="14"/>
      <c r="H2403" s="12" t="s">
        <v>38</v>
      </c>
      <c r="I2403" s="12" t="s">
        <v>159</v>
      </c>
      <c r="J2403" s="12" t="s">
        <v>160</v>
      </c>
      <c r="K2403" s="12" t="s">
        <v>82</v>
      </c>
      <c r="L2403" s="14"/>
      <c r="M2403" s="12" t="s">
        <v>43</v>
      </c>
      <c r="N2403" s="12" t="s">
        <v>84</v>
      </c>
      <c r="O2403" s="12" t="s">
        <v>8957</v>
      </c>
      <c r="P2403" s="12" t="s">
        <v>46</v>
      </c>
      <c r="Q2403" s="12" t="s">
        <v>47</v>
      </c>
      <c r="R2403" s="12" t="s">
        <v>163</v>
      </c>
      <c r="S2403" s="13">
        <v>196571270840</v>
      </c>
      <c r="T2403" s="12" t="s">
        <v>105</v>
      </c>
      <c r="U2403" s="13">
        <v>36.5</v>
      </c>
      <c r="V2403" s="12" t="s">
        <v>50</v>
      </c>
      <c r="W2403" s="12" t="s">
        <v>186</v>
      </c>
      <c r="X2403" s="14"/>
      <c r="Y2403" s="12" t="s">
        <v>91</v>
      </c>
      <c r="Z2403" s="12" t="s">
        <v>165</v>
      </c>
      <c r="AA2403" s="14"/>
      <c r="AB2403" s="14"/>
      <c r="AC2403" s="15">
        <v>38.65</v>
      </c>
      <c r="AD2403" s="15">
        <f>AC2403*AG2403</f>
        <v>77.3</v>
      </c>
      <c r="AE2403" s="15">
        <v>85</v>
      </c>
      <c r="AF2403" s="15">
        <f>AE2403*AG2403</f>
        <v>170</v>
      </c>
      <c r="AG2403" s="16">
        <v>2</v>
      </c>
    </row>
    <row r="2404" spans="1:33" ht="15" customHeight="1" x14ac:dyDescent="0.2">
      <c r="A2404" s="11" t="str">
        <f t="shared" si="978"/>
        <v>VN0005UFBLL1</v>
      </c>
      <c r="B2404" s="12" t="s">
        <v>8958</v>
      </c>
      <c r="C2404" s="12" t="s">
        <v>34</v>
      </c>
      <c r="D2404" s="12" t="s">
        <v>8955</v>
      </c>
      <c r="E2404" s="12" t="s">
        <v>8959</v>
      </c>
      <c r="F2404" s="13">
        <v>60</v>
      </c>
      <c r="G2404" s="14"/>
      <c r="H2404" s="12" t="s">
        <v>38</v>
      </c>
      <c r="I2404" s="12" t="s">
        <v>159</v>
      </c>
      <c r="J2404" s="12" t="s">
        <v>160</v>
      </c>
      <c r="K2404" s="12" t="s">
        <v>82</v>
      </c>
      <c r="L2404" s="14"/>
      <c r="M2404" s="12" t="s">
        <v>43</v>
      </c>
      <c r="N2404" s="12" t="s">
        <v>84</v>
      </c>
      <c r="O2404" s="12" t="s">
        <v>8960</v>
      </c>
      <c r="P2404" s="12" t="s">
        <v>46</v>
      </c>
      <c r="Q2404" s="12" t="s">
        <v>47</v>
      </c>
      <c r="R2404" s="12" t="s">
        <v>163</v>
      </c>
      <c r="S2404" s="13">
        <v>196571271243</v>
      </c>
      <c r="T2404" s="12" t="s">
        <v>105</v>
      </c>
      <c r="U2404" s="13">
        <v>38</v>
      </c>
      <c r="V2404" s="12" t="s">
        <v>50</v>
      </c>
      <c r="W2404" s="12" t="s">
        <v>186</v>
      </c>
      <c r="X2404" s="14"/>
      <c r="Y2404" s="12" t="s">
        <v>91</v>
      </c>
      <c r="Z2404" s="12" t="s">
        <v>165</v>
      </c>
      <c r="AA2404" s="14"/>
      <c r="AB2404" s="14"/>
      <c r="AC2404" s="15">
        <v>38.65</v>
      </c>
      <c r="AD2404" s="15">
        <f>AC2404*AG2404</f>
        <v>77.3</v>
      </c>
      <c r="AE2404" s="15">
        <v>85</v>
      </c>
      <c r="AF2404" s="15">
        <f>AE2404*AG2404</f>
        <v>170</v>
      </c>
      <c r="AG2404" s="16">
        <v>2</v>
      </c>
    </row>
    <row r="2405" spans="1:33" ht="15" customHeight="1" x14ac:dyDescent="0.2">
      <c r="A2405" s="11" t="str">
        <f t="shared" si="978"/>
        <v>VN0005UFBLL1</v>
      </c>
      <c r="B2405" s="12" t="s">
        <v>8961</v>
      </c>
      <c r="C2405" s="12" t="s">
        <v>34</v>
      </c>
      <c r="D2405" s="12" t="s">
        <v>8955</v>
      </c>
      <c r="E2405" s="12" t="s">
        <v>8962</v>
      </c>
      <c r="F2405" s="13">
        <v>70</v>
      </c>
      <c r="G2405" s="14"/>
      <c r="H2405" s="12" t="s">
        <v>38</v>
      </c>
      <c r="I2405" s="12" t="s">
        <v>159</v>
      </c>
      <c r="J2405" s="12" t="s">
        <v>160</v>
      </c>
      <c r="K2405" s="12" t="s">
        <v>82</v>
      </c>
      <c r="L2405" s="14"/>
      <c r="M2405" s="12" t="s">
        <v>43</v>
      </c>
      <c r="N2405" s="12" t="s">
        <v>84</v>
      </c>
      <c r="O2405" s="12" t="s">
        <v>8963</v>
      </c>
      <c r="P2405" s="12" t="s">
        <v>46</v>
      </c>
      <c r="Q2405" s="12" t="s">
        <v>47</v>
      </c>
      <c r="R2405" s="12" t="s">
        <v>163</v>
      </c>
      <c r="S2405" s="13">
        <v>196571271670</v>
      </c>
      <c r="T2405" s="12" t="s">
        <v>105</v>
      </c>
      <c r="U2405" s="13">
        <v>39</v>
      </c>
      <c r="V2405" s="12" t="s">
        <v>50</v>
      </c>
      <c r="W2405" s="12" t="s">
        <v>186</v>
      </c>
      <c r="X2405" s="14"/>
      <c r="Y2405" s="12" t="s">
        <v>91</v>
      </c>
      <c r="Z2405" s="12" t="s">
        <v>165</v>
      </c>
      <c r="AA2405" s="14"/>
      <c r="AB2405" s="14"/>
      <c r="AC2405" s="15">
        <v>38.65</v>
      </c>
      <c r="AD2405" s="15">
        <f>AC2405*AG2405</f>
        <v>77.3</v>
      </c>
      <c r="AE2405" s="15">
        <v>85</v>
      </c>
      <c r="AF2405" s="15">
        <f>AE2405*AG2405</f>
        <v>170</v>
      </c>
      <c r="AG2405" s="16">
        <v>2</v>
      </c>
    </row>
    <row r="2406" spans="1:33" ht="15" customHeight="1" x14ac:dyDescent="0.2">
      <c r="A2406" s="11" t="str">
        <f t="shared" si="978"/>
        <v>VN0005UFBLL1</v>
      </c>
      <c r="B2406" s="12" t="s">
        <v>8964</v>
      </c>
      <c r="C2406" s="12" t="s">
        <v>34</v>
      </c>
      <c r="D2406" s="12" t="s">
        <v>8955</v>
      </c>
      <c r="E2406" s="12" t="s">
        <v>8965</v>
      </c>
      <c r="F2406" s="13">
        <v>75</v>
      </c>
      <c r="G2406" s="14"/>
      <c r="H2406" s="12" t="s">
        <v>38</v>
      </c>
      <c r="I2406" s="12" t="s">
        <v>159</v>
      </c>
      <c r="J2406" s="12" t="s">
        <v>160</v>
      </c>
      <c r="K2406" s="12" t="s">
        <v>82</v>
      </c>
      <c r="L2406" s="14"/>
      <c r="M2406" s="12" t="s">
        <v>43</v>
      </c>
      <c r="N2406" s="12" t="s">
        <v>84</v>
      </c>
      <c r="O2406" s="12" t="s">
        <v>8966</v>
      </c>
      <c r="P2406" s="12" t="s">
        <v>46</v>
      </c>
      <c r="Q2406" s="12" t="s">
        <v>47</v>
      </c>
      <c r="R2406" s="12" t="s">
        <v>163</v>
      </c>
      <c r="S2406" s="13">
        <v>196571271878</v>
      </c>
      <c r="T2406" s="12" t="s">
        <v>105</v>
      </c>
      <c r="U2406" s="13">
        <v>40</v>
      </c>
      <c r="V2406" s="12" t="s">
        <v>50</v>
      </c>
      <c r="W2406" s="12" t="s">
        <v>186</v>
      </c>
      <c r="X2406" s="14"/>
      <c r="Y2406" s="12" t="s">
        <v>91</v>
      </c>
      <c r="Z2406" s="12" t="s">
        <v>165</v>
      </c>
      <c r="AA2406" s="14"/>
      <c r="AB2406" s="14"/>
      <c r="AC2406" s="15">
        <v>38.65</v>
      </c>
      <c r="AD2406" s="15">
        <f>AC2406*AG2406</f>
        <v>77.3</v>
      </c>
      <c r="AE2406" s="15">
        <v>85</v>
      </c>
      <c r="AF2406" s="15">
        <f>AE2406*AG2406</f>
        <v>170</v>
      </c>
      <c r="AG2406" s="16">
        <v>2</v>
      </c>
    </row>
    <row r="2407" spans="1:33" ht="15" customHeight="1" x14ac:dyDescent="0.2">
      <c r="A2407" s="11" t="str">
        <f>HYPERLINK("https://assets.vans.eu/images/VN0005W8BLU-HERO/1","VN0005W8BLU1")</f>
        <v>VN0005W8BLU1</v>
      </c>
      <c r="B2407" s="12" t="s">
        <v>8967</v>
      </c>
      <c r="C2407" s="12" t="s">
        <v>8968</v>
      </c>
      <c r="D2407" s="12" t="s">
        <v>4910</v>
      </c>
      <c r="E2407" s="12" t="s">
        <v>8969</v>
      </c>
      <c r="F2407" s="13">
        <v>105</v>
      </c>
      <c r="G2407" s="12" t="s">
        <v>8970</v>
      </c>
      <c r="H2407" s="12" t="s">
        <v>38</v>
      </c>
      <c r="I2407" s="12" t="s">
        <v>39</v>
      </c>
      <c r="J2407" s="12" t="s">
        <v>2430</v>
      </c>
      <c r="K2407" s="12" t="s">
        <v>373</v>
      </c>
      <c r="L2407" s="12" t="s">
        <v>350</v>
      </c>
      <c r="M2407" s="12" t="s">
        <v>43</v>
      </c>
      <c r="N2407" s="12" t="s">
        <v>84</v>
      </c>
      <c r="O2407" s="12" t="s">
        <v>8971</v>
      </c>
      <c r="P2407" s="12" t="s">
        <v>46</v>
      </c>
      <c r="Q2407" s="12" t="s">
        <v>47</v>
      </c>
      <c r="R2407" s="12" t="s">
        <v>48</v>
      </c>
      <c r="S2407" s="13">
        <v>197063355687</v>
      </c>
      <c r="T2407" s="12" t="s">
        <v>49</v>
      </c>
      <c r="U2407" s="13">
        <v>27</v>
      </c>
      <c r="V2407" s="12" t="s">
        <v>209</v>
      </c>
      <c r="W2407" s="12" t="s">
        <v>284</v>
      </c>
      <c r="X2407" s="14"/>
      <c r="Y2407" s="12" t="s">
        <v>71</v>
      </c>
      <c r="Z2407" s="12" t="s">
        <v>376</v>
      </c>
      <c r="AA2407" s="14"/>
      <c r="AB2407" s="14"/>
      <c r="AC2407" s="15">
        <v>21.45</v>
      </c>
      <c r="AD2407" s="15">
        <f>AC2407*AG2407</f>
        <v>42.9</v>
      </c>
      <c r="AE2407" s="15">
        <v>45</v>
      </c>
      <c r="AF2407" s="15">
        <f>AE2407*AG2407</f>
        <v>90</v>
      </c>
      <c r="AG2407" s="16">
        <v>2</v>
      </c>
    </row>
    <row r="2408" spans="1:33" ht="15" customHeight="1" x14ac:dyDescent="0.2">
      <c r="A2408" s="11" t="str">
        <f>HYPERLINK("https://assets.vans.eu/images/VN0007NK3N1-HERO/1","VN0007NK3N11")</f>
        <v>VN0007NK3N11</v>
      </c>
      <c r="B2408" s="12" t="s">
        <v>8972</v>
      </c>
      <c r="C2408" s="12" t="s">
        <v>8973</v>
      </c>
      <c r="D2408" s="12" t="s">
        <v>2961</v>
      </c>
      <c r="E2408" s="12" t="s">
        <v>8974</v>
      </c>
      <c r="F2408" s="13">
        <v>75</v>
      </c>
      <c r="G2408" s="12" t="s">
        <v>8975</v>
      </c>
      <c r="H2408" s="12" t="s">
        <v>38</v>
      </c>
      <c r="I2408" s="12" t="s">
        <v>159</v>
      </c>
      <c r="J2408" s="12" t="s">
        <v>160</v>
      </c>
      <c r="K2408" s="12" t="s">
        <v>82</v>
      </c>
      <c r="L2408" s="14"/>
      <c r="M2408" s="12" t="s">
        <v>43</v>
      </c>
      <c r="N2408" s="12" t="s">
        <v>2457</v>
      </c>
      <c r="O2408" s="12" t="s">
        <v>8976</v>
      </c>
      <c r="P2408" s="12" t="s">
        <v>46</v>
      </c>
      <c r="Q2408" s="12" t="s">
        <v>47</v>
      </c>
      <c r="R2408" s="12" t="s">
        <v>1660</v>
      </c>
      <c r="S2408" s="13">
        <v>196573421523</v>
      </c>
      <c r="T2408" s="12" t="s">
        <v>49</v>
      </c>
      <c r="U2408" s="13">
        <v>40</v>
      </c>
      <c r="V2408" s="12" t="s">
        <v>50</v>
      </c>
      <c r="W2408" s="12" t="s">
        <v>186</v>
      </c>
      <c r="X2408" s="14"/>
      <c r="Y2408" s="12" t="s">
        <v>91</v>
      </c>
      <c r="Z2408" s="12" t="s">
        <v>165</v>
      </c>
      <c r="AA2408" s="14"/>
      <c r="AB2408" s="14"/>
      <c r="AC2408" s="15">
        <v>65.95</v>
      </c>
      <c r="AD2408" s="15">
        <f>AC2408*AG2408</f>
        <v>131.9</v>
      </c>
      <c r="AE2408" s="15">
        <v>145</v>
      </c>
      <c r="AF2408" s="15">
        <f>AE2408*AG2408</f>
        <v>290</v>
      </c>
      <c r="AG2408" s="16">
        <v>2</v>
      </c>
    </row>
    <row r="2409" spans="1:33" ht="15" customHeight="1" x14ac:dyDescent="0.2">
      <c r="A2409" s="11" t="str">
        <f>HYPERLINK("https://assets.vans.eu/images/VN0007NK458-HERO/1","VN0007NK4581")</f>
        <v>VN0007NK4581</v>
      </c>
      <c r="B2409" s="12" t="s">
        <v>8977</v>
      </c>
      <c r="C2409" s="12" t="s">
        <v>8973</v>
      </c>
      <c r="D2409" s="12" t="s">
        <v>7042</v>
      </c>
      <c r="E2409" s="12" t="s">
        <v>8978</v>
      </c>
      <c r="F2409" s="13">
        <v>40</v>
      </c>
      <c r="G2409" s="12" t="s">
        <v>8979</v>
      </c>
      <c r="H2409" s="12" t="s">
        <v>38</v>
      </c>
      <c r="I2409" s="12" t="s">
        <v>159</v>
      </c>
      <c r="J2409" s="12" t="s">
        <v>160</v>
      </c>
      <c r="K2409" s="12" t="s">
        <v>82</v>
      </c>
      <c r="L2409" s="14"/>
      <c r="M2409" s="12" t="s">
        <v>43</v>
      </c>
      <c r="N2409" s="12" t="s">
        <v>101</v>
      </c>
      <c r="O2409" s="12" t="s">
        <v>8980</v>
      </c>
      <c r="P2409" s="12" t="s">
        <v>46</v>
      </c>
      <c r="Q2409" s="12" t="s">
        <v>47</v>
      </c>
      <c r="R2409" s="12" t="s">
        <v>1660</v>
      </c>
      <c r="S2409" s="13">
        <v>196573420724</v>
      </c>
      <c r="T2409" s="12" t="s">
        <v>49</v>
      </c>
      <c r="U2409" s="13">
        <v>35</v>
      </c>
      <c r="V2409" s="12" t="s">
        <v>50</v>
      </c>
      <c r="W2409" s="12" t="s">
        <v>51</v>
      </c>
      <c r="X2409" s="14"/>
      <c r="Y2409" s="12" t="s">
        <v>91</v>
      </c>
      <c r="Z2409" s="12" t="s">
        <v>165</v>
      </c>
      <c r="AA2409" s="14"/>
      <c r="AB2409" s="14"/>
      <c r="AC2409" s="15">
        <v>65.95</v>
      </c>
      <c r="AD2409" s="15">
        <f>AC2409*AG2409</f>
        <v>131.9</v>
      </c>
      <c r="AE2409" s="15">
        <v>145</v>
      </c>
      <c r="AF2409" s="15">
        <f>AE2409*AG2409</f>
        <v>290</v>
      </c>
      <c r="AG2409" s="16">
        <v>2</v>
      </c>
    </row>
    <row r="2410" spans="1:33" ht="15" customHeight="1" x14ac:dyDescent="0.2">
      <c r="A2410" s="11" t="str">
        <f>HYPERLINK("https://assets.vans.eu/images/VN0007NKBKA-HERO/1","VN0007NKBKA1")</f>
        <v>VN0007NKBKA1</v>
      </c>
      <c r="B2410" s="12" t="s">
        <v>8981</v>
      </c>
      <c r="C2410" s="12" t="s">
        <v>8973</v>
      </c>
      <c r="D2410" s="12" t="s">
        <v>252</v>
      </c>
      <c r="E2410" s="12" t="s">
        <v>8982</v>
      </c>
      <c r="F2410" s="13">
        <v>115</v>
      </c>
      <c r="G2410" s="14"/>
      <c r="H2410" s="12" t="s">
        <v>38</v>
      </c>
      <c r="I2410" s="12" t="s">
        <v>159</v>
      </c>
      <c r="J2410" s="12" t="s">
        <v>160</v>
      </c>
      <c r="K2410" s="12" t="s">
        <v>82</v>
      </c>
      <c r="L2410" s="14"/>
      <c r="M2410" s="12" t="s">
        <v>43</v>
      </c>
      <c r="N2410" s="12" t="s">
        <v>101</v>
      </c>
      <c r="O2410" s="12" t="s">
        <v>8983</v>
      </c>
      <c r="P2410" s="12" t="s">
        <v>46</v>
      </c>
      <c r="Q2410" s="12" t="s">
        <v>47</v>
      </c>
      <c r="R2410" s="12" t="s">
        <v>1660</v>
      </c>
      <c r="S2410" s="13">
        <v>196570222949</v>
      </c>
      <c r="T2410" s="12" t="s">
        <v>49</v>
      </c>
      <c r="U2410" s="13">
        <v>45</v>
      </c>
      <c r="V2410" s="12" t="s">
        <v>50</v>
      </c>
      <c r="W2410" s="12" t="s">
        <v>51</v>
      </c>
      <c r="X2410" s="14"/>
      <c r="Y2410" s="12" t="s">
        <v>91</v>
      </c>
      <c r="Z2410" s="12" t="s">
        <v>165</v>
      </c>
      <c r="AA2410" s="14"/>
      <c r="AB2410" s="14"/>
      <c r="AC2410" s="15">
        <v>65.95</v>
      </c>
      <c r="AD2410" s="15">
        <f>AC2410*AG2410</f>
        <v>131.9</v>
      </c>
      <c r="AE2410" s="15">
        <v>145</v>
      </c>
      <c r="AF2410" s="15">
        <f>AE2410*AG2410</f>
        <v>290</v>
      </c>
      <c r="AG2410" s="16">
        <v>2</v>
      </c>
    </row>
    <row r="2411" spans="1:33" ht="15" customHeight="1" x14ac:dyDescent="0.2">
      <c r="A2411" s="11" t="str">
        <f t="shared" ref="A2411:A3704" si="979">HYPERLINK("https://assets.vans.eu/images/VN0007NSBY1-HERO/1","VN0007NSBY11")</f>
        <v>VN0007NSBY11</v>
      </c>
      <c r="B2411" s="12" t="s">
        <v>8984</v>
      </c>
      <c r="C2411" s="12" t="s">
        <v>309</v>
      </c>
      <c r="D2411" s="12" t="s">
        <v>8985</v>
      </c>
      <c r="E2411" s="12" t="s">
        <v>8986</v>
      </c>
      <c r="F2411" s="13">
        <v>130</v>
      </c>
      <c r="G2411" s="14"/>
      <c r="H2411" s="12" t="s">
        <v>38</v>
      </c>
      <c r="I2411" s="12" t="s">
        <v>159</v>
      </c>
      <c r="J2411" s="12" t="s">
        <v>160</v>
      </c>
      <c r="K2411" s="12" t="s">
        <v>82</v>
      </c>
      <c r="L2411" s="14"/>
      <c r="M2411" s="12" t="s">
        <v>43</v>
      </c>
      <c r="N2411" s="12" t="s">
        <v>101</v>
      </c>
      <c r="O2411" s="12" t="s">
        <v>8987</v>
      </c>
      <c r="P2411" s="12" t="s">
        <v>46</v>
      </c>
      <c r="Q2411" s="12" t="s">
        <v>47</v>
      </c>
      <c r="R2411" s="12" t="s">
        <v>1660</v>
      </c>
      <c r="S2411" s="13">
        <v>196573426139</v>
      </c>
      <c r="T2411" s="12" t="s">
        <v>164</v>
      </c>
      <c r="U2411" s="13">
        <v>47</v>
      </c>
      <c r="V2411" s="12" t="s">
        <v>50</v>
      </c>
      <c r="W2411" s="12" t="s">
        <v>455</v>
      </c>
      <c r="X2411" s="14"/>
      <c r="Y2411" s="12" t="s">
        <v>91</v>
      </c>
      <c r="Z2411" s="12" t="s">
        <v>165</v>
      </c>
      <c r="AA2411" s="14"/>
      <c r="AB2411" s="14"/>
      <c r="AC2411" s="15">
        <v>47.75</v>
      </c>
      <c r="AD2411" s="15">
        <f>AC2411*AG2411</f>
        <v>95.5</v>
      </c>
      <c r="AE2411" s="15">
        <v>105</v>
      </c>
      <c r="AF2411" s="15">
        <f>AE2411*AG2411</f>
        <v>210</v>
      </c>
      <c r="AG2411" s="16">
        <v>2</v>
      </c>
    </row>
    <row r="2412" spans="1:33" ht="15" customHeight="1" x14ac:dyDescent="0.2">
      <c r="A2412" s="11" t="str">
        <f>HYPERLINK("https://assets.vans.eu/images/VN0007NSRED-HERO/1","VN0007NSRED1")</f>
        <v>VN0007NSRED1</v>
      </c>
      <c r="B2412" s="12" t="s">
        <v>8988</v>
      </c>
      <c r="C2412" s="12" t="s">
        <v>309</v>
      </c>
      <c r="D2412" s="12" t="s">
        <v>8989</v>
      </c>
      <c r="E2412" s="12" t="s">
        <v>8990</v>
      </c>
      <c r="F2412" s="13">
        <v>40</v>
      </c>
      <c r="G2412" s="12" t="s">
        <v>8991</v>
      </c>
      <c r="H2412" s="12" t="s">
        <v>38</v>
      </c>
      <c r="I2412" s="12" t="s">
        <v>113</v>
      </c>
      <c r="J2412" s="12" t="s">
        <v>114</v>
      </c>
      <c r="K2412" s="12" t="s">
        <v>82</v>
      </c>
      <c r="L2412" s="14"/>
      <c r="M2412" s="12" t="s">
        <v>43</v>
      </c>
      <c r="N2412" s="12" t="s">
        <v>101</v>
      </c>
      <c r="O2412" s="12" t="s">
        <v>8992</v>
      </c>
      <c r="P2412" s="12" t="s">
        <v>46</v>
      </c>
      <c r="Q2412" s="12" t="s">
        <v>47</v>
      </c>
      <c r="R2412" s="12" t="s">
        <v>948</v>
      </c>
      <c r="S2412" s="13">
        <v>196573424838</v>
      </c>
      <c r="T2412" s="12" t="s">
        <v>49</v>
      </c>
      <c r="U2412" s="13">
        <v>35</v>
      </c>
      <c r="V2412" s="12" t="s">
        <v>50</v>
      </c>
      <c r="W2412" s="12" t="s">
        <v>262</v>
      </c>
      <c r="X2412" s="14"/>
      <c r="Y2412" s="12" t="s">
        <v>53</v>
      </c>
      <c r="Z2412" s="12" t="s">
        <v>263</v>
      </c>
      <c r="AA2412" s="14"/>
      <c r="AB2412" s="14"/>
      <c r="AC2412" s="15">
        <v>47.75</v>
      </c>
      <c r="AD2412" s="15">
        <f>AC2412*AG2412</f>
        <v>95.5</v>
      </c>
      <c r="AE2412" s="15">
        <v>105</v>
      </c>
      <c r="AF2412" s="15">
        <f>AE2412*AG2412</f>
        <v>210</v>
      </c>
      <c r="AG2412" s="16">
        <v>2</v>
      </c>
    </row>
    <row r="2413" spans="1:33" ht="15" customHeight="1" x14ac:dyDescent="0.2">
      <c r="A2413" s="11" t="str">
        <f t="shared" si="299"/>
        <v>VN0007P9EN91</v>
      </c>
      <c r="B2413" s="12" t="s">
        <v>8993</v>
      </c>
      <c r="C2413" s="12" t="s">
        <v>883</v>
      </c>
      <c r="D2413" s="12" t="s">
        <v>982</v>
      </c>
      <c r="E2413" s="12" t="s">
        <v>8994</v>
      </c>
      <c r="F2413" s="13">
        <v>55</v>
      </c>
      <c r="G2413" s="12" t="s">
        <v>2978</v>
      </c>
      <c r="H2413" s="12" t="s">
        <v>38</v>
      </c>
      <c r="I2413" s="12" t="s">
        <v>113</v>
      </c>
      <c r="J2413" s="12" t="s">
        <v>529</v>
      </c>
      <c r="K2413" s="12" t="s">
        <v>100</v>
      </c>
      <c r="L2413" s="14"/>
      <c r="M2413" s="12" t="s">
        <v>43</v>
      </c>
      <c r="N2413" s="12" t="s">
        <v>84</v>
      </c>
      <c r="O2413" s="12" t="s">
        <v>8995</v>
      </c>
      <c r="P2413" s="12" t="s">
        <v>46</v>
      </c>
      <c r="Q2413" s="12" t="s">
        <v>47</v>
      </c>
      <c r="R2413" s="12" t="s">
        <v>117</v>
      </c>
      <c r="S2413" s="13">
        <v>197804423163</v>
      </c>
      <c r="T2413" s="12" t="s">
        <v>49</v>
      </c>
      <c r="U2413" s="13">
        <v>35</v>
      </c>
      <c r="V2413" s="12" t="s">
        <v>50</v>
      </c>
      <c r="W2413" s="12" t="s">
        <v>455</v>
      </c>
      <c r="X2413" s="14"/>
      <c r="Y2413" s="14"/>
      <c r="Z2413" s="14"/>
      <c r="AA2413" s="14"/>
      <c r="AB2413" s="14"/>
      <c r="AC2413" s="15">
        <v>42.9</v>
      </c>
      <c r="AD2413" s="15">
        <f>AC2413*AG2413</f>
        <v>85.8</v>
      </c>
      <c r="AE2413" s="15">
        <v>90</v>
      </c>
      <c r="AF2413" s="15">
        <f>AE2413*AG2413</f>
        <v>180</v>
      </c>
      <c r="AG2413" s="16">
        <v>2</v>
      </c>
    </row>
    <row r="2414" spans="1:33" ht="15" customHeight="1" x14ac:dyDescent="0.2">
      <c r="A2414" s="11" t="str">
        <f>HYPERLINK("https://assets.vans.eu/images/VN0007Q3DJR-HERO/1","VN0007Q3DJR1")</f>
        <v>VN0007Q3DJR1</v>
      </c>
      <c r="B2414" s="12" t="s">
        <v>8996</v>
      </c>
      <c r="C2414" s="12" t="s">
        <v>4849</v>
      </c>
      <c r="D2414" s="12" t="s">
        <v>2829</v>
      </c>
      <c r="E2414" s="12" t="s">
        <v>8997</v>
      </c>
      <c r="F2414" s="13">
        <v>40</v>
      </c>
      <c r="G2414" s="12" t="s">
        <v>643</v>
      </c>
      <c r="H2414" s="12" t="s">
        <v>38</v>
      </c>
      <c r="I2414" s="12" t="s">
        <v>242</v>
      </c>
      <c r="J2414" s="12" t="s">
        <v>243</v>
      </c>
      <c r="K2414" s="12" t="s">
        <v>244</v>
      </c>
      <c r="L2414" s="14"/>
      <c r="M2414" s="12" t="s">
        <v>43</v>
      </c>
      <c r="N2414" s="12" t="s">
        <v>84</v>
      </c>
      <c r="O2414" s="12" t="s">
        <v>8998</v>
      </c>
      <c r="P2414" s="12" t="s">
        <v>46</v>
      </c>
      <c r="Q2414" s="12" t="s">
        <v>47</v>
      </c>
      <c r="R2414" s="12" t="s">
        <v>780</v>
      </c>
      <c r="S2414" s="13">
        <v>197804503049</v>
      </c>
      <c r="T2414" s="12" t="s">
        <v>164</v>
      </c>
      <c r="U2414" s="13">
        <v>19</v>
      </c>
      <c r="V2414" s="12" t="s">
        <v>278</v>
      </c>
      <c r="W2414" s="12" t="s">
        <v>175</v>
      </c>
      <c r="X2414" s="14"/>
      <c r="Y2414" s="14"/>
      <c r="Z2414" s="14"/>
      <c r="AA2414" s="14"/>
      <c r="AB2414" s="14"/>
      <c r="AC2414" s="15">
        <v>27.3</v>
      </c>
      <c r="AD2414" s="15">
        <f>AC2414*AG2414</f>
        <v>54.6</v>
      </c>
      <c r="AE2414" s="15">
        <v>60</v>
      </c>
      <c r="AF2414" s="15">
        <f>AE2414*AG2414</f>
        <v>120</v>
      </c>
      <c r="AG2414" s="16">
        <v>2</v>
      </c>
    </row>
    <row r="2415" spans="1:33" ht="15" customHeight="1" x14ac:dyDescent="0.2">
      <c r="A2415" s="11" t="str">
        <f t="shared" ref="A2415:A3712" si="980">HYPERLINK("https://assets.vans.eu/images/VN0009PZDRV-HERO/1","VN0009PZDRV1")</f>
        <v>VN0009PZDRV1</v>
      </c>
      <c r="B2415" s="12" t="s">
        <v>8999</v>
      </c>
      <c r="C2415" s="12" t="s">
        <v>9000</v>
      </c>
      <c r="D2415" s="12" t="s">
        <v>9001</v>
      </c>
      <c r="E2415" s="12" t="s">
        <v>9002</v>
      </c>
      <c r="F2415" s="13">
        <v>70</v>
      </c>
      <c r="G2415" s="12" t="s">
        <v>9003</v>
      </c>
      <c r="H2415" s="12" t="s">
        <v>38</v>
      </c>
      <c r="I2415" s="12" t="s">
        <v>113</v>
      </c>
      <c r="J2415" s="12" t="s">
        <v>114</v>
      </c>
      <c r="K2415" s="12" t="s">
        <v>82</v>
      </c>
      <c r="L2415" s="14"/>
      <c r="M2415" s="12" t="s">
        <v>43</v>
      </c>
      <c r="N2415" s="12" t="s">
        <v>101</v>
      </c>
      <c r="O2415" s="12" t="s">
        <v>9004</v>
      </c>
      <c r="P2415" s="12" t="s">
        <v>46</v>
      </c>
      <c r="Q2415" s="12" t="s">
        <v>47</v>
      </c>
      <c r="R2415" s="12" t="s">
        <v>117</v>
      </c>
      <c r="S2415" s="13">
        <v>196573339637</v>
      </c>
      <c r="T2415" s="12" t="s">
        <v>49</v>
      </c>
      <c r="U2415" s="13">
        <v>39</v>
      </c>
      <c r="V2415" s="12" t="s">
        <v>50</v>
      </c>
      <c r="W2415" s="12" t="s">
        <v>107</v>
      </c>
      <c r="X2415" s="14"/>
      <c r="Y2415" s="12" t="s">
        <v>53</v>
      </c>
      <c r="Z2415" s="12" t="s">
        <v>263</v>
      </c>
      <c r="AA2415" s="14"/>
      <c r="AB2415" s="14"/>
      <c r="AC2415" s="15">
        <v>47.75</v>
      </c>
      <c r="AD2415" s="15">
        <f>AC2415*AG2415</f>
        <v>95.5</v>
      </c>
      <c r="AE2415" s="15">
        <v>105</v>
      </c>
      <c r="AF2415" s="15">
        <f>AE2415*AG2415</f>
        <v>210</v>
      </c>
      <c r="AG2415" s="16">
        <v>2</v>
      </c>
    </row>
    <row r="2416" spans="1:33" ht="15" customHeight="1" x14ac:dyDescent="0.2">
      <c r="A2416" s="11" t="str">
        <f>HYPERLINK("https://assets.vans.eu/images/VN0009Q0BGF-HERO/1","VN0009Q0BGF1")</f>
        <v>VN0009Q0BGF1</v>
      </c>
      <c r="B2416" s="12" t="s">
        <v>9005</v>
      </c>
      <c r="C2416" s="12" t="s">
        <v>9006</v>
      </c>
      <c r="D2416" s="12" t="s">
        <v>4900</v>
      </c>
      <c r="E2416" s="12" t="s">
        <v>9007</v>
      </c>
      <c r="F2416" s="13">
        <v>40</v>
      </c>
      <c r="G2416" s="12" t="s">
        <v>7018</v>
      </c>
      <c r="H2416" s="12" t="s">
        <v>38</v>
      </c>
      <c r="I2416" s="12" t="s">
        <v>113</v>
      </c>
      <c r="J2416" s="12" t="s">
        <v>114</v>
      </c>
      <c r="K2416" s="12" t="s">
        <v>82</v>
      </c>
      <c r="L2416" s="14"/>
      <c r="M2416" s="12" t="s">
        <v>43</v>
      </c>
      <c r="N2416" s="12" t="s">
        <v>467</v>
      </c>
      <c r="O2416" s="12" t="s">
        <v>9008</v>
      </c>
      <c r="P2416" s="12" t="s">
        <v>46</v>
      </c>
      <c r="Q2416" s="12" t="s">
        <v>47</v>
      </c>
      <c r="R2416" s="12" t="s">
        <v>117</v>
      </c>
      <c r="S2416" s="13">
        <v>196571205910</v>
      </c>
      <c r="T2416" s="12" t="s">
        <v>49</v>
      </c>
      <c r="U2416" s="13">
        <v>35</v>
      </c>
      <c r="V2416" s="12" t="s">
        <v>50</v>
      </c>
      <c r="W2416" s="12" t="s">
        <v>455</v>
      </c>
      <c r="X2416" s="14"/>
      <c r="Y2416" s="12" t="s">
        <v>53</v>
      </c>
      <c r="Z2416" s="12" t="s">
        <v>263</v>
      </c>
      <c r="AA2416" s="14"/>
      <c r="AB2416" s="14"/>
      <c r="AC2416" s="15">
        <v>52.3</v>
      </c>
      <c r="AD2416" s="15">
        <f>AC2416*AG2416</f>
        <v>104.6</v>
      </c>
      <c r="AE2416" s="15">
        <v>115</v>
      </c>
      <c r="AF2416" s="15">
        <f>AE2416*AG2416</f>
        <v>230</v>
      </c>
      <c r="AG2416" s="16">
        <v>2</v>
      </c>
    </row>
    <row r="2417" spans="1:33" ht="15" customHeight="1" x14ac:dyDescent="0.2">
      <c r="A2417" s="11" t="str">
        <f t="shared" ref="A2417:A3718" si="981">HYPERLINK("https://assets.vans.eu/images/VN0009QCCJI-HERO/1","VN0009QCCJI1")</f>
        <v>VN0009QCCJI1</v>
      </c>
      <c r="B2417" s="12" t="s">
        <v>9009</v>
      </c>
      <c r="C2417" s="12" t="s">
        <v>110</v>
      </c>
      <c r="D2417" s="12" t="s">
        <v>919</v>
      </c>
      <c r="E2417" s="12" t="s">
        <v>9010</v>
      </c>
      <c r="F2417" s="13">
        <v>45</v>
      </c>
      <c r="G2417" s="12" t="s">
        <v>9011</v>
      </c>
      <c r="H2417" s="12" t="s">
        <v>38</v>
      </c>
      <c r="I2417" s="12" t="s">
        <v>159</v>
      </c>
      <c r="J2417" s="12" t="s">
        <v>160</v>
      </c>
      <c r="K2417" s="12" t="s">
        <v>82</v>
      </c>
      <c r="L2417" s="14"/>
      <c r="M2417" s="12" t="s">
        <v>43</v>
      </c>
      <c r="N2417" s="12" t="s">
        <v>161</v>
      </c>
      <c r="O2417" s="12" t="s">
        <v>9012</v>
      </c>
      <c r="P2417" s="12" t="s">
        <v>46</v>
      </c>
      <c r="Q2417" s="12" t="s">
        <v>47</v>
      </c>
      <c r="R2417" s="12" t="s">
        <v>163</v>
      </c>
      <c r="S2417" s="13">
        <v>197065526832</v>
      </c>
      <c r="T2417" s="12" t="s">
        <v>49</v>
      </c>
      <c r="U2417" s="13">
        <v>36</v>
      </c>
      <c r="V2417" s="12" t="s">
        <v>50</v>
      </c>
      <c r="W2417" s="12" t="s">
        <v>51</v>
      </c>
      <c r="X2417" s="14"/>
      <c r="Y2417" s="12" t="s">
        <v>91</v>
      </c>
      <c r="Z2417" s="12" t="s">
        <v>165</v>
      </c>
      <c r="AA2417" s="14"/>
      <c r="AB2417" s="14"/>
      <c r="AC2417" s="15">
        <v>43.2</v>
      </c>
      <c r="AD2417" s="15">
        <f>AC2417*AG2417</f>
        <v>86.4</v>
      </c>
      <c r="AE2417" s="15">
        <v>95</v>
      </c>
      <c r="AF2417" s="15">
        <f>AE2417*AG2417</f>
        <v>190</v>
      </c>
      <c r="AG2417" s="16">
        <v>2</v>
      </c>
    </row>
    <row r="2418" spans="1:33" ht="15" customHeight="1" x14ac:dyDescent="0.2">
      <c r="A2418" s="11" t="str">
        <f t="shared" ref="A2418:A3724" si="982">HYPERLINK("https://assets.vans.eu/images/VN0009QMBLA-HERO/1","VN0009QMBLA1")</f>
        <v>VN0009QMBLA1</v>
      </c>
      <c r="B2418" s="12" t="s">
        <v>9013</v>
      </c>
      <c r="C2418" s="12" t="s">
        <v>9014</v>
      </c>
      <c r="D2418" s="12" t="s">
        <v>919</v>
      </c>
      <c r="E2418" s="12" t="s">
        <v>9015</v>
      </c>
      <c r="F2418" s="13">
        <v>130</v>
      </c>
      <c r="G2418" s="14"/>
      <c r="H2418" s="12" t="s">
        <v>38</v>
      </c>
      <c r="I2418" s="12" t="s">
        <v>159</v>
      </c>
      <c r="J2418" s="12" t="s">
        <v>160</v>
      </c>
      <c r="K2418" s="12" t="s">
        <v>82</v>
      </c>
      <c r="L2418" s="14"/>
      <c r="M2418" s="12" t="s">
        <v>43</v>
      </c>
      <c r="N2418" s="12" t="s">
        <v>101</v>
      </c>
      <c r="O2418" s="12" t="s">
        <v>9016</v>
      </c>
      <c r="P2418" s="12" t="s">
        <v>46</v>
      </c>
      <c r="Q2418" s="12" t="s">
        <v>47</v>
      </c>
      <c r="R2418" s="12" t="s">
        <v>1660</v>
      </c>
      <c r="S2418" s="13">
        <v>196573352087</v>
      </c>
      <c r="T2418" s="12" t="s">
        <v>49</v>
      </c>
      <c r="U2418" s="13">
        <v>47</v>
      </c>
      <c r="V2418" s="12" t="s">
        <v>50</v>
      </c>
      <c r="W2418" s="12" t="s">
        <v>51</v>
      </c>
      <c r="X2418" s="14"/>
      <c r="Y2418" s="12" t="s">
        <v>53</v>
      </c>
      <c r="Z2418" s="12" t="s">
        <v>165</v>
      </c>
      <c r="AA2418" s="14"/>
      <c r="AB2418" s="14"/>
      <c r="AC2418" s="15">
        <v>72.75</v>
      </c>
      <c r="AD2418" s="15">
        <f>AC2418*AG2418</f>
        <v>145.5</v>
      </c>
      <c r="AE2418" s="15">
        <v>160</v>
      </c>
      <c r="AF2418" s="15">
        <f>AE2418*AG2418</f>
        <v>320</v>
      </c>
      <c r="AG2418" s="16">
        <v>2</v>
      </c>
    </row>
    <row r="2419" spans="1:33" ht="15" customHeight="1" x14ac:dyDescent="0.2">
      <c r="A2419" s="11" t="str">
        <f t="shared" ref="A2419:A3741" si="983">HYPERLINK("https://assets.vans.eu/images/VN000BCEBMV-HERO/1","VN000BCEBMV1")</f>
        <v>VN000BCEBMV1</v>
      </c>
      <c r="B2419" s="12" t="s">
        <v>9017</v>
      </c>
      <c r="C2419" s="12" t="s">
        <v>1103</v>
      </c>
      <c r="D2419" s="12" t="s">
        <v>2276</v>
      </c>
      <c r="E2419" s="12" t="s">
        <v>9018</v>
      </c>
      <c r="F2419" s="13">
        <v>55</v>
      </c>
      <c r="G2419" s="14"/>
      <c r="H2419" s="12" t="s">
        <v>38</v>
      </c>
      <c r="I2419" s="12" t="s">
        <v>159</v>
      </c>
      <c r="J2419" s="12" t="s">
        <v>255</v>
      </c>
      <c r="K2419" s="12" t="s">
        <v>82</v>
      </c>
      <c r="L2419" s="14"/>
      <c r="M2419" s="12" t="s">
        <v>43</v>
      </c>
      <c r="N2419" s="12" t="s">
        <v>101</v>
      </c>
      <c r="O2419" s="12" t="s">
        <v>9019</v>
      </c>
      <c r="P2419" s="12" t="s">
        <v>46</v>
      </c>
      <c r="Q2419" s="12" t="s">
        <v>47</v>
      </c>
      <c r="R2419" s="12" t="s">
        <v>163</v>
      </c>
      <c r="S2419" s="13">
        <v>196573433403</v>
      </c>
      <c r="T2419" s="12" t="s">
        <v>49</v>
      </c>
      <c r="U2419" s="13">
        <v>37</v>
      </c>
      <c r="V2419" s="12" t="s">
        <v>209</v>
      </c>
      <c r="W2419" s="12" t="s">
        <v>51</v>
      </c>
      <c r="X2419" s="14"/>
      <c r="Y2419" s="12" t="s">
        <v>91</v>
      </c>
      <c r="Z2419" s="12" t="s">
        <v>165</v>
      </c>
      <c r="AA2419" s="14"/>
      <c r="AB2419" s="14"/>
      <c r="AC2419" s="15">
        <v>59.1</v>
      </c>
      <c r="AD2419" s="15">
        <f>AC2419*AG2419</f>
        <v>118.2</v>
      </c>
      <c r="AE2419" s="15">
        <v>130</v>
      </c>
      <c r="AF2419" s="15">
        <f>AE2419*AG2419</f>
        <v>260</v>
      </c>
      <c r="AG2419" s="16">
        <v>2</v>
      </c>
    </row>
    <row r="2420" spans="1:33" ht="15" customHeight="1" x14ac:dyDescent="0.2">
      <c r="A2420" s="11" t="str">
        <f t="shared" si="366"/>
        <v>VN000BCECCZ1</v>
      </c>
      <c r="B2420" s="12" t="s">
        <v>9020</v>
      </c>
      <c r="C2420" s="12" t="s">
        <v>1103</v>
      </c>
      <c r="D2420" s="12" t="s">
        <v>1104</v>
      </c>
      <c r="E2420" s="12" t="s">
        <v>9021</v>
      </c>
      <c r="F2420" s="13">
        <v>60</v>
      </c>
      <c r="G2420" s="14"/>
      <c r="H2420" s="12" t="s">
        <v>38</v>
      </c>
      <c r="I2420" s="12" t="s">
        <v>159</v>
      </c>
      <c r="J2420" s="12" t="s">
        <v>255</v>
      </c>
      <c r="K2420" s="12" t="s">
        <v>82</v>
      </c>
      <c r="L2420" s="14"/>
      <c r="M2420" s="12" t="s">
        <v>43</v>
      </c>
      <c r="N2420" s="12" t="s">
        <v>84</v>
      </c>
      <c r="O2420" s="12" t="s">
        <v>9022</v>
      </c>
      <c r="P2420" s="12" t="s">
        <v>46</v>
      </c>
      <c r="Q2420" s="12" t="s">
        <v>47</v>
      </c>
      <c r="R2420" s="12" t="s">
        <v>163</v>
      </c>
      <c r="S2420" s="13">
        <v>197804620456</v>
      </c>
      <c r="T2420" s="12" t="s">
        <v>49</v>
      </c>
      <c r="U2420" s="13">
        <v>38</v>
      </c>
      <c r="V2420" s="12" t="s">
        <v>50</v>
      </c>
      <c r="W2420" s="12" t="s">
        <v>175</v>
      </c>
      <c r="X2420" s="14"/>
      <c r="Y2420" s="14"/>
      <c r="Z2420" s="14"/>
      <c r="AA2420" s="14"/>
      <c r="AB2420" s="14"/>
      <c r="AC2420" s="15">
        <v>59.1</v>
      </c>
      <c r="AD2420" s="15">
        <f>AC2420*AG2420</f>
        <v>118.2</v>
      </c>
      <c r="AE2420" s="15">
        <v>130</v>
      </c>
      <c r="AF2420" s="15">
        <f>AE2420*AG2420</f>
        <v>260</v>
      </c>
      <c r="AG2420" s="16">
        <v>2</v>
      </c>
    </row>
    <row r="2421" spans="1:33" ht="15" customHeight="1" x14ac:dyDescent="0.2">
      <c r="A2421" s="11" t="str">
        <f t="shared" ref="A2421:A3742" si="984">HYPERLINK("https://assets.vans.eu/images/VN000BCECCZ-HERO/1","VN000BCECCZ1")</f>
        <v>VN000BCECCZ1</v>
      </c>
      <c r="B2421" s="12" t="s">
        <v>9023</v>
      </c>
      <c r="C2421" s="12" t="s">
        <v>1103</v>
      </c>
      <c r="D2421" s="12" t="s">
        <v>1104</v>
      </c>
      <c r="E2421" s="12" t="s">
        <v>9024</v>
      </c>
      <c r="F2421" s="13">
        <v>95</v>
      </c>
      <c r="G2421" s="14"/>
      <c r="H2421" s="12" t="s">
        <v>38</v>
      </c>
      <c r="I2421" s="12" t="s">
        <v>159</v>
      </c>
      <c r="J2421" s="12" t="s">
        <v>255</v>
      </c>
      <c r="K2421" s="12" t="s">
        <v>82</v>
      </c>
      <c r="L2421" s="14"/>
      <c r="M2421" s="12" t="s">
        <v>43</v>
      </c>
      <c r="N2421" s="12" t="s">
        <v>84</v>
      </c>
      <c r="O2421" s="12" t="s">
        <v>9025</v>
      </c>
      <c r="P2421" s="12" t="s">
        <v>46</v>
      </c>
      <c r="Q2421" s="12" t="s">
        <v>47</v>
      </c>
      <c r="R2421" s="12" t="s">
        <v>163</v>
      </c>
      <c r="S2421" s="13">
        <v>197804620654</v>
      </c>
      <c r="T2421" s="12" t="s">
        <v>49</v>
      </c>
      <c r="U2421" s="13">
        <v>42.5</v>
      </c>
      <c r="V2421" s="12" t="s">
        <v>50</v>
      </c>
      <c r="W2421" s="12" t="s">
        <v>175</v>
      </c>
      <c r="X2421" s="14"/>
      <c r="Y2421" s="14"/>
      <c r="Z2421" s="14"/>
      <c r="AA2421" s="14"/>
      <c r="AB2421" s="14"/>
      <c r="AC2421" s="15">
        <v>59.1</v>
      </c>
      <c r="AD2421" s="15">
        <f>AC2421*AG2421</f>
        <v>118.2</v>
      </c>
      <c r="AE2421" s="15">
        <v>130</v>
      </c>
      <c r="AF2421" s="15">
        <f>AE2421*AG2421</f>
        <v>260</v>
      </c>
      <c r="AG2421" s="16">
        <v>2</v>
      </c>
    </row>
    <row r="2422" spans="1:33" ht="15" customHeight="1" x14ac:dyDescent="0.2">
      <c r="A2422" s="11" t="str">
        <f t="shared" si="759"/>
        <v>VN000BCELLC1</v>
      </c>
      <c r="B2422" s="12" t="s">
        <v>9026</v>
      </c>
      <c r="C2422" s="12" t="s">
        <v>1103</v>
      </c>
      <c r="D2422" s="12" t="s">
        <v>1671</v>
      </c>
      <c r="E2422" s="12" t="s">
        <v>9027</v>
      </c>
      <c r="F2422" s="13">
        <v>105</v>
      </c>
      <c r="G2422" s="14"/>
      <c r="H2422" s="12" t="s">
        <v>38</v>
      </c>
      <c r="I2422" s="12" t="s">
        <v>113</v>
      </c>
      <c r="J2422" s="12" t="s">
        <v>529</v>
      </c>
      <c r="K2422" s="12" t="s">
        <v>82</v>
      </c>
      <c r="L2422" s="14"/>
      <c r="M2422" s="12" t="s">
        <v>43</v>
      </c>
      <c r="N2422" s="12" t="s">
        <v>84</v>
      </c>
      <c r="O2422" s="12" t="s">
        <v>9028</v>
      </c>
      <c r="P2422" s="12" t="s">
        <v>46</v>
      </c>
      <c r="Q2422" s="12" t="s">
        <v>47</v>
      </c>
      <c r="R2422" s="12" t="s">
        <v>117</v>
      </c>
      <c r="S2422" s="13">
        <v>197804505302</v>
      </c>
      <c r="T2422" s="12" t="s">
        <v>49</v>
      </c>
      <c r="U2422" s="13">
        <v>44</v>
      </c>
      <c r="V2422" s="12" t="s">
        <v>50</v>
      </c>
      <c r="W2422" s="12" t="s">
        <v>107</v>
      </c>
      <c r="X2422" s="14"/>
      <c r="Y2422" s="14"/>
      <c r="Z2422" s="14"/>
      <c r="AA2422" s="14"/>
      <c r="AB2422" s="14"/>
      <c r="AC2422" s="15">
        <v>59.1</v>
      </c>
      <c r="AD2422" s="15">
        <f>AC2422*AG2422</f>
        <v>118.2</v>
      </c>
      <c r="AE2422" s="15">
        <v>130</v>
      </c>
      <c r="AF2422" s="15">
        <f>AE2422*AG2422</f>
        <v>260</v>
      </c>
      <c r="AG2422" s="16">
        <v>2</v>
      </c>
    </row>
    <row r="2423" spans="1:33" ht="15" customHeight="1" x14ac:dyDescent="0.2">
      <c r="A2423" s="11" t="str">
        <f>HYPERLINK("https://assets.vans.eu/images/VN000BCELZZ-HERO/1","VN000BCELZZ1")</f>
        <v>VN000BCELZZ1</v>
      </c>
      <c r="B2423" s="12" t="s">
        <v>9029</v>
      </c>
      <c r="C2423" s="12" t="s">
        <v>1103</v>
      </c>
      <c r="D2423" s="12" t="s">
        <v>2788</v>
      </c>
      <c r="E2423" s="12" t="s">
        <v>9030</v>
      </c>
      <c r="F2423" s="13">
        <v>40</v>
      </c>
      <c r="G2423" s="14"/>
      <c r="H2423" s="12" t="s">
        <v>38</v>
      </c>
      <c r="I2423" s="12" t="s">
        <v>159</v>
      </c>
      <c r="J2423" s="12" t="s">
        <v>255</v>
      </c>
      <c r="K2423" s="12" t="s">
        <v>82</v>
      </c>
      <c r="L2423" s="12" t="s">
        <v>115</v>
      </c>
      <c r="M2423" s="12" t="s">
        <v>43</v>
      </c>
      <c r="N2423" s="12" t="s">
        <v>44</v>
      </c>
      <c r="O2423" s="12" t="s">
        <v>9031</v>
      </c>
      <c r="P2423" s="12" t="s">
        <v>46</v>
      </c>
      <c r="Q2423" s="12" t="s">
        <v>47</v>
      </c>
      <c r="R2423" s="12" t="s">
        <v>163</v>
      </c>
      <c r="S2423" s="13">
        <v>197804586677</v>
      </c>
      <c r="T2423" s="12" t="s">
        <v>49</v>
      </c>
      <c r="U2423" s="13">
        <v>35</v>
      </c>
      <c r="V2423" s="12" t="s">
        <v>50</v>
      </c>
      <c r="W2423" s="12" t="s">
        <v>284</v>
      </c>
      <c r="X2423" s="14"/>
      <c r="Y2423" s="12" t="s">
        <v>53</v>
      </c>
      <c r="Z2423" s="12" t="s">
        <v>92</v>
      </c>
      <c r="AA2423" s="12" t="s">
        <v>2287</v>
      </c>
      <c r="AB2423" s="12" t="s">
        <v>94</v>
      </c>
      <c r="AC2423" s="15">
        <v>59.1</v>
      </c>
      <c r="AD2423" s="15">
        <f>AC2423*AG2423</f>
        <v>118.2</v>
      </c>
      <c r="AE2423" s="15">
        <v>130</v>
      </c>
      <c r="AF2423" s="15">
        <f>AE2423*AG2423</f>
        <v>260</v>
      </c>
      <c r="AG2423" s="16">
        <v>2</v>
      </c>
    </row>
    <row r="2424" spans="1:33" ht="15" customHeight="1" x14ac:dyDescent="0.2">
      <c r="A2424" s="11" t="str">
        <f>HYPERLINK("https://assets.vans.eu/images/VN000BCERV2-HERO/1","VN000BCERV21")</f>
        <v>VN000BCERV21</v>
      </c>
      <c r="B2424" s="12" t="s">
        <v>9032</v>
      </c>
      <c r="C2424" s="12" t="s">
        <v>1103</v>
      </c>
      <c r="D2424" s="12" t="s">
        <v>1428</v>
      </c>
      <c r="E2424" s="12" t="s">
        <v>9033</v>
      </c>
      <c r="F2424" s="13">
        <v>40</v>
      </c>
      <c r="G2424" s="14"/>
      <c r="H2424" s="12" t="s">
        <v>38</v>
      </c>
      <c r="I2424" s="12" t="s">
        <v>159</v>
      </c>
      <c r="J2424" s="12" t="s">
        <v>255</v>
      </c>
      <c r="K2424" s="12" t="s">
        <v>82</v>
      </c>
      <c r="L2424" s="14"/>
      <c r="M2424" s="12" t="s">
        <v>43</v>
      </c>
      <c r="N2424" s="12" t="s">
        <v>84</v>
      </c>
      <c r="O2424" s="12" t="s">
        <v>9034</v>
      </c>
      <c r="P2424" s="12" t="s">
        <v>46</v>
      </c>
      <c r="Q2424" s="12" t="s">
        <v>47</v>
      </c>
      <c r="R2424" s="12" t="s">
        <v>163</v>
      </c>
      <c r="S2424" s="13">
        <v>197804502950</v>
      </c>
      <c r="T2424" s="12" t="s">
        <v>49</v>
      </c>
      <c r="U2424" s="13">
        <v>35</v>
      </c>
      <c r="V2424" s="12" t="s">
        <v>50</v>
      </c>
      <c r="W2424" s="12" t="s">
        <v>51</v>
      </c>
      <c r="X2424" s="14"/>
      <c r="Y2424" s="14"/>
      <c r="Z2424" s="14"/>
      <c r="AA2424" s="14"/>
      <c r="AB2424" s="14"/>
      <c r="AC2424" s="15">
        <v>59.1</v>
      </c>
      <c r="AD2424" s="15">
        <f>AC2424*AG2424</f>
        <v>118.2</v>
      </c>
      <c r="AE2424" s="15">
        <v>130</v>
      </c>
      <c r="AF2424" s="15">
        <f>AE2424*AG2424</f>
        <v>260</v>
      </c>
      <c r="AG2424" s="16">
        <v>2</v>
      </c>
    </row>
    <row r="2425" spans="1:33" ht="15" customHeight="1" x14ac:dyDescent="0.2">
      <c r="A2425" s="11" t="str">
        <f t="shared" ref="A2425:A2426" si="985">HYPERLINK("https://assets.vans.eu/images/VN000BVZ1NU-HERO/1","VN000BVZ1NU1")</f>
        <v>VN000BVZ1NU1</v>
      </c>
      <c r="B2425" s="12" t="s">
        <v>9035</v>
      </c>
      <c r="C2425" s="12" t="s">
        <v>3586</v>
      </c>
      <c r="D2425" s="12" t="s">
        <v>783</v>
      </c>
      <c r="E2425" s="12" t="s">
        <v>9036</v>
      </c>
      <c r="F2425" s="13">
        <v>60</v>
      </c>
      <c r="G2425" s="12" t="s">
        <v>2273</v>
      </c>
      <c r="H2425" s="12" t="s">
        <v>38</v>
      </c>
      <c r="I2425" s="12" t="s">
        <v>159</v>
      </c>
      <c r="J2425" s="12" t="s">
        <v>160</v>
      </c>
      <c r="K2425" s="12" t="s">
        <v>82</v>
      </c>
      <c r="L2425" s="14"/>
      <c r="M2425" s="12" t="s">
        <v>43</v>
      </c>
      <c r="N2425" s="12" t="s">
        <v>84</v>
      </c>
      <c r="O2425" s="12" t="s">
        <v>9037</v>
      </c>
      <c r="P2425" s="12" t="s">
        <v>46</v>
      </c>
      <c r="Q2425" s="12" t="s">
        <v>47</v>
      </c>
      <c r="R2425" s="12" t="s">
        <v>163</v>
      </c>
      <c r="S2425" s="13">
        <v>197804423286</v>
      </c>
      <c r="T2425" s="12" t="s">
        <v>105</v>
      </c>
      <c r="U2425" s="13">
        <v>38</v>
      </c>
      <c r="V2425" s="12" t="s">
        <v>375</v>
      </c>
      <c r="W2425" s="12" t="s">
        <v>186</v>
      </c>
      <c r="X2425" s="14"/>
      <c r="Y2425" s="14"/>
      <c r="Z2425" s="14"/>
      <c r="AA2425" s="14"/>
      <c r="AB2425" s="14"/>
      <c r="AC2425" s="15">
        <v>36.4</v>
      </c>
      <c r="AD2425" s="15">
        <f>AC2425*AG2425</f>
        <v>72.8</v>
      </c>
      <c r="AE2425" s="15">
        <v>80</v>
      </c>
      <c r="AF2425" s="15">
        <f>AE2425*AG2425</f>
        <v>160</v>
      </c>
      <c r="AG2425" s="16">
        <v>2</v>
      </c>
    </row>
    <row r="2426" spans="1:33" ht="15" customHeight="1" x14ac:dyDescent="0.2">
      <c r="A2426" s="11" t="str">
        <f t="shared" si="985"/>
        <v>VN000BVZ1NU1</v>
      </c>
      <c r="B2426" s="12" t="s">
        <v>9038</v>
      </c>
      <c r="C2426" s="12" t="s">
        <v>3586</v>
      </c>
      <c r="D2426" s="12" t="s">
        <v>783</v>
      </c>
      <c r="E2426" s="12" t="s">
        <v>9039</v>
      </c>
      <c r="F2426" s="13">
        <v>90</v>
      </c>
      <c r="G2426" s="12" t="s">
        <v>2273</v>
      </c>
      <c r="H2426" s="12" t="s">
        <v>38</v>
      </c>
      <c r="I2426" s="12" t="s">
        <v>159</v>
      </c>
      <c r="J2426" s="12" t="s">
        <v>160</v>
      </c>
      <c r="K2426" s="12" t="s">
        <v>82</v>
      </c>
      <c r="L2426" s="14"/>
      <c r="M2426" s="12" t="s">
        <v>43</v>
      </c>
      <c r="N2426" s="12" t="s">
        <v>84</v>
      </c>
      <c r="O2426" s="12" t="s">
        <v>9040</v>
      </c>
      <c r="P2426" s="12" t="s">
        <v>46</v>
      </c>
      <c r="Q2426" s="12" t="s">
        <v>47</v>
      </c>
      <c r="R2426" s="12" t="s">
        <v>163</v>
      </c>
      <c r="S2426" s="13">
        <v>197804424429</v>
      </c>
      <c r="T2426" s="12" t="s">
        <v>105</v>
      </c>
      <c r="U2426" s="13">
        <v>42</v>
      </c>
      <c r="V2426" s="12" t="s">
        <v>375</v>
      </c>
      <c r="W2426" s="12" t="s">
        <v>186</v>
      </c>
      <c r="X2426" s="14"/>
      <c r="Y2426" s="14"/>
      <c r="Z2426" s="14"/>
      <c r="AA2426" s="14"/>
      <c r="AB2426" s="14"/>
      <c r="AC2426" s="15">
        <v>36.4</v>
      </c>
      <c r="AD2426" s="15">
        <f>AC2426*AG2426</f>
        <v>72.8</v>
      </c>
      <c r="AE2426" s="15">
        <v>80</v>
      </c>
      <c r="AF2426" s="15">
        <f>AE2426*AG2426</f>
        <v>160</v>
      </c>
      <c r="AG2426" s="16">
        <v>2</v>
      </c>
    </row>
    <row r="2427" spans="1:33" ht="15" customHeight="1" x14ac:dyDescent="0.2">
      <c r="A2427" s="11" t="str">
        <f t="shared" ref="A2427:A2429" si="986">HYPERLINK("https://assets.vans.eu/images/VN000BVZ239-HERO/1","VN000BVZ2391")</f>
        <v>VN000BVZ2391</v>
      </c>
      <c r="B2427" s="12" t="s">
        <v>9041</v>
      </c>
      <c r="C2427" s="12" t="s">
        <v>3586</v>
      </c>
      <c r="D2427" s="12" t="s">
        <v>1609</v>
      </c>
      <c r="E2427" s="12" t="s">
        <v>9042</v>
      </c>
      <c r="F2427" s="13">
        <v>95</v>
      </c>
      <c r="G2427" s="12" t="s">
        <v>5647</v>
      </c>
      <c r="H2427" s="12" t="s">
        <v>38</v>
      </c>
      <c r="I2427" s="12" t="s">
        <v>159</v>
      </c>
      <c r="J2427" s="12" t="s">
        <v>160</v>
      </c>
      <c r="K2427" s="12" t="s">
        <v>82</v>
      </c>
      <c r="L2427" s="14"/>
      <c r="M2427" s="12" t="s">
        <v>43</v>
      </c>
      <c r="N2427" s="12" t="s">
        <v>84</v>
      </c>
      <c r="O2427" s="12" t="s">
        <v>9043</v>
      </c>
      <c r="P2427" s="12" t="s">
        <v>46</v>
      </c>
      <c r="Q2427" s="12" t="s">
        <v>47</v>
      </c>
      <c r="R2427" s="12" t="s">
        <v>163</v>
      </c>
      <c r="S2427" s="13">
        <v>197804425006</v>
      </c>
      <c r="T2427" s="12" t="s">
        <v>49</v>
      </c>
      <c r="U2427" s="13">
        <v>42.5</v>
      </c>
      <c r="V2427" s="12" t="s">
        <v>209</v>
      </c>
      <c r="W2427" s="12" t="s">
        <v>455</v>
      </c>
      <c r="X2427" s="14"/>
      <c r="Y2427" s="14"/>
      <c r="Z2427" s="14"/>
      <c r="AA2427" s="14"/>
      <c r="AB2427" s="14"/>
      <c r="AC2427" s="15">
        <v>36.4</v>
      </c>
      <c r="AD2427" s="15">
        <f>AC2427*AG2427</f>
        <v>72.8</v>
      </c>
      <c r="AE2427" s="15">
        <v>80</v>
      </c>
      <c r="AF2427" s="15">
        <f>AE2427*AG2427</f>
        <v>160</v>
      </c>
      <c r="AG2427" s="16">
        <v>2</v>
      </c>
    </row>
    <row r="2428" spans="1:33" ht="15" customHeight="1" x14ac:dyDescent="0.2">
      <c r="A2428" s="11" t="str">
        <f t="shared" si="986"/>
        <v>VN000BVZ2391</v>
      </c>
      <c r="B2428" s="12" t="s">
        <v>9044</v>
      </c>
      <c r="C2428" s="12" t="s">
        <v>3586</v>
      </c>
      <c r="D2428" s="12" t="s">
        <v>1609</v>
      </c>
      <c r="E2428" s="12" t="s">
        <v>9045</v>
      </c>
      <c r="F2428" s="13">
        <v>110</v>
      </c>
      <c r="G2428" s="12" t="s">
        <v>5647</v>
      </c>
      <c r="H2428" s="12" t="s">
        <v>38</v>
      </c>
      <c r="I2428" s="12" t="s">
        <v>159</v>
      </c>
      <c r="J2428" s="12" t="s">
        <v>160</v>
      </c>
      <c r="K2428" s="12" t="s">
        <v>82</v>
      </c>
      <c r="L2428" s="14"/>
      <c r="M2428" s="12" t="s">
        <v>43</v>
      </c>
      <c r="N2428" s="12" t="s">
        <v>84</v>
      </c>
      <c r="O2428" s="12" t="s">
        <v>9046</v>
      </c>
      <c r="P2428" s="12" t="s">
        <v>46</v>
      </c>
      <c r="Q2428" s="12" t="s">
        <v>47</v>
      </c>
      <c r="R2428" s="12" t="s">
        <v>163</v>
      </c>
      <c r="S2428" s="13">
        <v>197804425341</v>
      </c>
      <c r="T2428" s="12" t="s">
        <v>49</v>
      </c>
      <c r="U2428" s="13">
        <v>44.5</v>
      </c>
      <c r="V2428" s="12" t="s">
        <v>209</v>
      </c>
      <c r="W2428" s="12" t="s">
        <v>455</v>
      </c>
      <c r="X2428" s="14"/>
      <c r="Y2428" s="14"/>
      <c r="Z2428" s="14"/>
      <c r="AA2428" s="14"/>
      <c r="AB2428" s="14"/>
      <c r="AC2428" s="15">
        <v>36.4</v>
      </c>
      <c r="AD2428" s="15">
        <f>AC2428*AG2428</f>
        <v>72.8</v>
      </c>
      <c r="AE2428" s="15">
        <v>80</v>
      </c>
      <c r="AF2428" s="15">
        <f>AE2428*AG2428</f>
        <v>160</v>
      </c>
      <c r="AG2428" s="16">
        <v>2</v>
      </c>
    </row>
    <row r="2429" spans="1:33" ht="15" customHeight="1" x14ac:dyDescent="0.2">
      <c r="A2429" s="11" t="str">
        <f t="shared" si="986"/>
        <v>VN000BVZ2391</v>
      </c>
      <c r="B2429" s="12" t="s">
        <v>9047</v>
      </c>
      <c r="C2429" s="12" t="s">
        <v>3586</v>
      </c>
      <c r="D2429" s="12" t="s">
        <v>1609</v>
      </c>
      <c r="E2429" s="12" t="s">
        <v>9048</v>
      </c>
      <c r="F2429" s="13">
        <v>120</v>
      </c>
      <c r="G2429" s="12" t="s">
        <v>5647</v>
      </c>
      <c r="H2429" s="12" t="s">
        <v>38</v>
      </c>
      <c r="I2429" s="12" t="s">
        <v>159</v>
      </c>
      <c r="J2429" s="12" t="s">
        <v>160</v>
      </c>
      <c r="K2429" s="12" t="s">
        <v>82</v>
      </c>
      <c r="L2429" s="14"/>
      <c r="M2429" s="12" t="s">
        <v>43</v>
      </c>
      <c r="N2429" s="12" t="s">
        <v>84</v>
      </c>
      <c r="O2429" s="12" t="s">
        <v>9049</v>
      </c>
      <c r="P2429" s="12" t="s">
        <v>46</v>
      </c>
      <c r="Q2429" s="12" t="s">
        <v>47</v>
      </c>
      <c r="R2429" s="12" t="s">
        <v>163</v>
      </c>
      <c r="S2429" s="13">
        <v>197804425396</v>
      </c>
      <c r="T2429" s="12" t="s">
        <v>49</v>
      </c>
      <c r="U2429" s="13">
        <v>46</v>
      </c>
      <c r="V2429" s="12" t="s">
        <v>209</v>
      </c>
      <c r="W2429" s="12" t="s">
        <v>455</v>
      </c>
      <c r="X2429" s="14"/>
      <c r="Y2429" s="14"/>
      <c r="Z2429" s="14"/>
      <c r="AA2429" s="14"/>
      <c r="AB2429" s="14"/>
      <c r="AC2429" s="15">
        <v>36.4</v>
      </c>
      <c r="AD2429" s="15">
        <f>AC2429*AG2429</f>
        <v>72.8</v>
      </c>
      <c r="AE2429" s="15">
        <v>80</v>
      </c>
      <c r="AF2429" s="15">
        <f>AE2429*AG2429</f>
        <v>160</v>
      </c>
      <c r="AG2429" s="16">
        <v>2</v>
      </c>
    </row>
    <row r="2430" spans="1:33" ht="15" customHeight="1" x14ac:dyDescent="0.2">
      <c r="A2430" s="11" t="str">
        <f>HYPERLINK("https://assets.vans.eu/images/VN000BVZCJL-HERO/1","VN000BVZCJL1")</f>
        <v>VN000BVZCJL1</v>
      </c>
      <c r="B2430" s="12" t="s">
        <v>9050</v>
      </c>
      <c r="C2430" s="12" t="s">
        <v>3586</v>
      </c>
      <c r="D2430" s="12" t="s">
        <v>6270</v>
      </c>
      <c r="E2430" s="12" t="s">
        <v>9051</v>
      </c>
      <c r="F2430" s="13">
        <v>35</v>
      </c>
      <c r="G2430" s="12" t="s">
        <v>2273</v>
      </c>
      <c r="H2430" s="12" t="s">
        <v>38</v>
      </c>
      <c r="I2430" s="12" t="s">
        <v>159</v>
      </c>
      <c r="J2430" s="12" t="s">
        <v>160</v>
      </c>
      <c r="K2430" s="12" t="s">
        <v>82</v>
      </c>
      <c r="L2430" s="12" t="s">
        <v>42</v>
      </c>
      <c r="M2430" s="12" t="s">
        <v>43</v>
      </c>
      <c r="N2430" s="12" t="s">
        <v>84</v>
      </c>
      <c r="O2430" s="12" t="s">
        <v>9052</v>
      </c>
      <c r="P2430" s="12" t="s">
        <v>46</v>
      </c>
      <c r="Q2430" s="12" t="s">
        <v>47</v>
      </c>
      <c r="R2430" s="12" t="s">
        <v>163</v>
      </c>
      <c r="S2430" s="13">
        <v>197063265009</v>
      </c>
      <c r="T2430" s="12" t="s">
        <v>49</v>
      </c>
      <c r="U2430" s="13">
        <v>34.5</v>
      </c>
      <c r="V2430" s="12" t="s">
        <v>209</v>
      </c>
      <c r="W2430" s="12" t="s">
        <v>118</v>
      </c>
      <c r="X2430" s="14"/>
      <c r="Y2430" s="12" t="s">
        <v>91</v>
      </c>
      <c r="Z2430" s="12" t="s">
        <v>165</v>
      </c>
      <c r="AA2430" s="14"/>
      <c r="AB2430" s="14"/>
      <c r="AC2430" s="15">
        <v>36.4</v>
      </c>
      <c r="AD2430" s="15">
        <f>AC2430*AG2430</f>
        <v>72.8</v>
      </c>
      <c r="AE2430" s="15">
        <v>80</v>
      </c>
      <c r="AF2430" s="15">
        <f>AE2430*AG2430</f>
        <v>160</v>
      </c>
      <c r="AG2430" s="16">
        <v>2</v>
      </c>
    </row>
    <row r="2431" spans="1:33" ht="15" customHeight="1" x14ac:dyDescent="0.2">
      <c r="A2431" s="11" t="str">
        <f>HYPERLINK("https://assets.vans.eu/images/VN000BW7B7G-HERO/1","VN000BW7B7G1")</f>
        <v>VN000BW7B7G1</v>
      </c>
      <c r="B2431" s="12" t="s">
        <v>9053</v>
      </c>
      <c r="C2431" s="12" t="s">
        <v>309</v>
      </c>
      <c r="D2431" s="12" t="s">
        <v>9054</v>
      </c>
      <c r="E2431" s="12" t="s">
        <v>9055</v>
      </c>
      <c r="F2431" s="13">
        <v>65</v>
      </c>
      <c r="G2431" s="12" t="s">
        <v>953</v>
      </c>
      <c r="H2431" s="12" t="s">
        <v>38</v>
      </c>
      <c r="I2431" s="12" t="s">
        <v>159</v>
      </c>
      <c r="J2431" s="12" t="s">
        <v>160</v>
      </c>
      <c r="K2431" s="12" t="s">
        <v>82</v>
      </c>
      <c r="L2431" s="14"/>
      <c r="M2431" s="12" t="s">
        <v>43</v>
      </c>
      <c r="N2431" s="12" t="s">
        <v>84</v>
      </c>
      <c r="O2431" s="12" t="s">
        <v>9056</v>
      </c>
      <c r="P2431" s="12" t="s">
        <v>46</v>
      </c>
      <c r="Q2431" s="12" t="s">
        <v>47</v>
      </c>
      <c r="R2431" s="12" t="s">
        <v>1660</v>
      </c>
      <c r="S2431" s="13">
        <v>197804503919</v>
      </c>
      <c r="T2431" s="12" t="s">
        <v>49</v>
      </c>
      <c r="U2431" s="13">
        <v>38.5</v>
      </c>
      <c r="V2431" s="12" t="s">
        <v>50</v>
      </c>
      <c r="W2431" s="12" t="s">
        <v>186</v>
      </c>
      <c r="X2431" s="14"/>
      <c r="Y2431" s="14"/>
      <c r="Z2431" s="14"/>
      <c r="AA2431" s="14"/>
      <c r="AB2431" s="14"/>
      <c r="AC2431" s="15">
        <v>47.75</v>
      </c>
      <c r="AD2431" s="15">
        <f>AC2431*AG2431</f>
        <v>95.5</v>
      </c>
      <c r="AE2431" s="15">
        <v>105</v>
      </c>
      <c r="AF2431" s="15">
        <f>AE2431*AG2431</f>
        <v>210</v>
      </c>
      <c r="AG2431" s="16">
        <v>2</v>
      </c>
    </row>
    <row r="2432" spans="1:33" ht="15" customHeight="1" x14ac:dyDescent="0.2">
      <c r="A2432" s="11" t="str">
        <f>HYPERLINK("https://assets.vans.eu/images/VN000BW7RV2-HERO/1","VN000BW7RV21")</f>
        <v>VN000BW7RV21</v>
      </c>
      <c r="B2432" s="12" t="s">
        <v>9057</v>
      </c>
      <c r="C2432" s="12" t="s">
        <v>309</v>
      </c>
      <c r="D2432" s="12" t="s">
        <v>1428</v>
      </c>
      <c r="E2432" s="12" t="s">
        <v>9058</v>
      </c>
      <c r="F2432" s="13">
        <v>50</v>
      </c>
      <c r="G2432" s="14"/>
      <c r="H2432" s="12" t="s">
        <v>38</v>
      </c>
      <c r="I2432" s="12" t="s">
        <v>159</v>
      </c>
      <c r="J2432" s="12" t="s">
        <v>160</v>
      </c>
      <c r="K2432" s="12" t="s">
        <v>82</v>
      </c>
      <c r="L2432" s="14"/>
      <c r="M2432" s="12" t="s">
        <v>43</v>
      </c>
      <c r="N2432" s="12" t="s">
        <v>84</v>
      </c>
      <c r="O2432" s="12" t="s">
        <v>9059</v>
      </c>
      <c r="P2432" s="12" t="s">
        <v>46</v>
      </c>
      <c r="Q2432" s="12" t="s">
        <v>47</v>
      </c>
      <c r="R2432" s="12" t="s">
        <v>1660</v>
      </c>
      <c r="S2432" s="13">
        <v>197804506293</v>
      </c>
      <c r="T2432" s="12" t="s">
        <v>164</v>
      </c>
      <c r="U2432" s="13">
        <v>36.5</v>
      </c>
      <c r="V2432" s="12" t="s">
        <v>50</v>
      </c>
      <c r="W2432" s="12" t="s">
        <v>51</v>
      </c>
      <c r="X2432" s="14"/>
      <c r="Y2432" s="14"/>
      <c r="Z2432" s="14"/>
      <c r="AA2432" s="14"/>
      <c r="AB2432" s="14"/>
      <c r="AC2432" s="15">
        <v>43.2</v>
      </c>
      <c r="AD2432" s="15">
        <f>AC2432*AG2432</f>
        <v>86.4</v>
      </c>
      <c r="AE2432" s="15">
        <v>95</v>
      </c>
      <c r="AF2432" s="15">
        <f>AE2432*AG2432</f>
        <v>190</v>
      </c>
      <c r="AG2432" s="16">
        <v>2</v>
      </c>
    </row>
    <row r="2433" spans="1:33" ht="15" customHeight="1" x14ac:dyDescent="0.2">
      <c r="A2433" s="11" t="str">
        <f t="shared" ref="A2433:A3765" si="987">HYPERLINK("https://assets.vans.eu/images/VN000BWB0VW-HERO/1","VN000BWB0VW1")</f>
        <v>VN000BWB0VW1</v>
      </c>
      <c r="B2433" s="12" t="s">
        <v>9060</v>
      </c>
      <c r="C2433" s="12" t="s">
        <v>9061</v>
      </c>
      <c r="D2433" s="12" t="s">
        <v>628</v>
      </c>
      <c r="E2433" s="12" t="s">
        <v>9062</v>
      </c>
      <c r="F2433" s="13">
        <v>100</v>
      </c>
      <c r="G2433" s="12" t="s">
        <v>9063</v>
      </c>
      <c r="H2433" s="12" t="s">
        <v>38</v>
      </c>
      <c r="I2433" s="12" t="s">
        <v>159</v>
      </c>
      <c r="J2433" s="12" t="s">
        <v>255</v>
      </c>
      <c r="K2433" s="12" t="s">
        <v>82</v>
      </c>
      <c r="L2433" s="14"/>
      <c r="M2433" s="12" t="s">
        <v>43</v>
      </c>
      <c r="N2433" s="12" t="s">
        <v>161</v>
      </c>
      <c r="O2433" s="12" t="s">
        <v>9064</v>
      </c>
      <c r="P2433" s="12" t="s">
        <v>46</v>
      </c>
      <c r="Q2433" s="12" t="s">
        <v>47</v>
      </c>
      <c r="R2433" s="12" t="s">
        <v>163</v>
      </c>
      <c r="S2433" s="13">
        <v>197065529383</v>
      </c>
      <c r="T2433" s="12" t="s">
        <v>105</v>
      </c>
      <c r="U2433" s="13">
        <v>43</v>
      </c>
      <c r="V2433" s="12" t="s">
        <v>50</v>
      </c>
      <c r="W2433" s="12" t="s">
        <v>175</v>
      </c>
      <c r="X2433" s="14"/>
      <c r="Y2433" s="12" t="s">
        <v>91</v>
      </c>
      <c r="Z2433" s="12" t="s">
        <v>165</v>
      </c>
      <c r="AA2433" s="14"/>
      <c r="AB2433" s="14"/>
      <c r="AC2433" s="15">
        <v>47.75</v>
      </c>
      <c r="AD2433" s="15">
        <f>AC2433*AG2433</f>
        <v>95.5</v>
      </c>
      <c r="AE2433" s="15">
        <v>105</v>
      </c>
      <c r="AF2433" s="15">
        <f>AE2433*AG2433</f>
        <v>210</v>
      </c>
      <c r="AG2433" s="16">
        <v>2</v>
      </c>
    </row>
    <row r="2434" spans="1:33" ht="15" customHeight="1" x14ac:dyDescent="0.2">
      <c r="A2434" s="11" t="str">
        <f>HYPERLINK("https://assets.vans.eu/images/VN000CN1E30-HERO/1","VN000CN1E301")</f>
        <v>VN000CN1E301</v>
      </c>
      <c r="B2434" s="12" t="s">
        <v>9065</v>
      </c>
      <c r="C2434" s="12" t="s">
        <v>2309</v>
      </c>
      <c r="D2434" s="12" t="s">
        <v>619</v>
      </c>
      <c r="E2434" s="12" t="s">
        <v>9066</v>
      </c>
      <c r="F2434" s="13">
        <v>80</v>
      </c>
      <c r="G2434" s="12" t="s">
        <v>9067</v>
      </c>
      <c r="H2434" s="12" t="s">
        <v>38</v>
      </c>
      <c r="I2434" s="12" t="s">
        <v>113</v>
      </c>
      <c r="J2434" s="12" t="s">
        <v>114</v>
      </c>
      <c r="K2434" s="12" t="s">
        <v>82</v>
      </c>
      <c r="L2434" s="12" t="s">
        <v>42</v>
      </c>
      <c r="M2434" s="12" t="s">
        <v>43</v>
      </c>
      <c r="N2434" s="12" t="s">
        <v>44</v>
      </c>
      <c r="O2434" s="12" t="s">
        <v>9068</v>
      </c>
      <c r="P2434" s="12" t="s">
        <v>46</v>
      </c>
      <c r="Q2434" s="12" t="s">
        <v>47</v>
      </c>
      <c r="R2434" s="12" t="s">
        <v>117</v>
      </c>
      <c r="S2434" s="13">
        <v>197804002092</v>
      </c>
      <c r="T2434" s="12" t="s">
        <v>49</v>
      </c>
      <c r="U2434" s="13">
        <v>40.5</v>
      </c>
      <c r="V2434" s="12" t="s">
        <v>50</v>
      </c>
      <c r="W2434" s="12" t="s">
        <v>625</v>
      </c>
      <c r="X2434" s="14"/>
      <c r="Y2434" s="12" t="s">
        <v>91</v>
      </c>
      <c r="Z2434" s="12" t="s">
        <v>92</v>
      </c>
      <c r="AA2434" s="12" t="s">
        <v>3224</v>
      </c>
      <c r="AB2434" s="12" t="s">
        <v>55</v>
      </c>
      <c r="AC2434" s="15">
        <v>40.950000000000003</v>
      </c>
      <c r="AD2434" s="15">
        <f>AC2434*AG2434</f>
        <v>81.900000000000006</v>
      </c>
      <c r="AE2434" s="15">
        <v>90</v>
      </c>
      <c r="AF2434" s="15">
        <f>AE2434*AG2434</f>
        <v>180</v>
      </c>
      <c r="AG2434" s="16">
        <v>2</v>
      </c>
    </row>
    <row r="2435" spans="1:33" ht="15" customHeight="1" x14ac:dyDescent="0.2">
      <c r="A2435" s="11" t="str">
        <f t="shared" ref="A2435:A2436" si="988">HYPERLINK("https://assets.vans.eu/images/VN000CP5BMC-HERO/1","VN000CP5BMC1")</f>
        <v>VN000CP5BMC1</v>
      </c>
      <c r="B2435" s="12" t="s">
        <v>9069</v>
      </c>
      <c r="C2435" s="12" t="s">
        <v>34</v>
      </c>
      <c r="D2435" s="12" t="s">
        <v>4915</v>
      </c>
      <c r="E2435" s="12" t="s">
        <v>9070</v>
      </c>
      <c r="F2435" s="13">
        <v>60</v>
      </c>
      <c r="G2435" s="12" t="s">
        <v>9071</v>
      </c>
      <c r="H2435" s="12" t="s">
        <v>38</v>
      </c>
      <c r="I2435" s="12" t="s">
        <v>113</v>
      </c>
      <c r="J2435" s="12" t="s">
        <v>114</v>
      </c>
      <c r="K2435" s="12" t="s">
        <v>82</v>
      </c>
      <c r="L2435" s="14"/>
      <c r="M2435" s="12" t="s">
        <v>43</v>
      </c>
      <c r="N2435" s="12" t="s">
        <v>2457</v>
      </c>
      <c r="O2435" s="12" t="s">
        <v>9072</v>
      </c>
      <c r="P2435" s="12" t="s">
        <v>46</v>
      </c>
      <c r="Q2435" s="12" t="s">
        <v>47</v>
      </c>
      <c r="R2435" s="12" t="s">
        <v>117</v>
      </c>
      <c r="S2435" s="13">
        <v>196575273564</v>
      </c>
      <c r="T2435" s="12" t="s">
        <v>164</v>
      </c>
      <c r="U2435" s="13">
        <v>38</v>
      </c>
      <c r="V2435" s="12" t="s">
        <v>50</v>
      </c>
      <c r="W2435" s="12" t="s">
        <v>598</v>
      </c>
      <c r="X2435" s="14"/>
      <c r="Y2435" s="12" t="s">
        <v>91</v>
      </c>
      <c r="Z2435" s="12" t="s">
        <v>165</v>
      </c>
      <c r="AA2435" s="14"/>
      <c r="AB2435" s="14"/>
      <c r="AC2435" s="15">
        <v>40.950000000000003</v>
      </c>
      <c r="AD2435" s="15">
        <f>AC2435*AG2435</f>
        <v>81.900000000000006</v>
      </c>
      <c r="AE2435" s="15">
        <v>90</v>
      </c>
      <c r="AF2435" s="15">
        <f>AE2435*AG2435</f>
        <v>180</v>
      </c>
      <c r="AG2435" s="16">
        <v>2</v>
      </c>
    </row>
    <row r="2436" spans="1:33" ht="15" customHeight="1" x14ac:dyDescent="0.2">
      <c r="A2436" s="11" t="str">
        <f t="shared" si="988"/>
        <v>VN000CP5BMC1</v>
      </c>
      <c r="B2436" s="12" t="s">
        <v>9073</v>
      </c>
      <c r="C2436" s="12" t="s">
        <v>34</v>
      </c>
      <c r="D2436" s="12" t="s">
        <v>4915</v>
      </c>
      <c r="E2436" s="12" t="s">
        <v>9074</v>
      </c>
      <c r="F2436" s="13">
        <v>70</v>
      </c>
      <c r="G2436" s="12" t="s">
        <v>9071</v>
      </c>
      <c r="H2436" s="12" t="s">
        <v>38</v>
      </c>
      <c r="I2436" s="12" t="s">
        <v>113</v>
      </c>
      <c r="J2436" s="12" t="s">
        <v>114</v>
      </c>
      <c r="K2436" s="12" t="s">
        <v>82</v>
      </c>
      <c r="L2436" s="14"/>
      <c r="M2436" s="12" t="s">
        <v>43</v>
      </c>
      <c r="N2436" s="12" t="s">
        <v>2457</v>
      </c>
      <c r="O2436" s="12" t="s">
        <v>9075</v>
      </c>
      <c r="P2436" s="12" t="s">
        <v>46</v>
      </c>
      <c r="Q2436" s="12" t="s">
        <v>47</v>
      </c>
      <c r="R2436" s="12" t="s">
        <v>117</v>
      </c>
      <c r="S2436" s="13">
        <v>196575273588</v>
      </c>
      <c r="T2436" s="12" t="s">
        <v>164</v>
      </c>
      <c r="U2436" s="13">
        <v>39</v>
      </c>
      <c r="V2436" s="12" t="s">
        <v>50</v>
      </c>
      <c r="W2436" s="12" t="s">
        <v>598</v>
      </c>
      <c r="X2436" s="14"/>
      <c r="Y2436" s="12" t="s">
        <v>91</v>
      </c>
      <c r="Z2436" s="12" t="s">
        <v>165</v>
      </c>
      <c r="AA2436" s="14"/>
      <c r="AB2436" s="14"/>
      <c r="AC2436" s="15">
        <v>40.950000000000003</v>
      </c>
      <c r="AD2436" s="15">
        <f>AC2436*AG2436</f>
        <v>81.900000000000006</v>
      </c>
      <c r="AE2436" s="15">
        <v>90</v>
      </c>
      <c r="AF2436" s="15">
        <f>AE2436*AG2436</f>
        <v>180</v>
      </c>
      <c r="AG2436" s="16">
        <v>2</v>
      </c>
    </row>
    <row r="2437" spans="1:33" ht="15" customHeight="1" x14ac:dyDescent="0.2">
      <c r="A2437" s="11" t="str">
        <f>HYPERLINK("https://assets.vans.eu/images/VN000CPZC2R-HERO/1","VN000CPZC2R1")</f>
        <v>VN000CPZC2R1</v>
      </c>
      <c r="B2437" s="12" t="s">
        <v>9076</v>
      </c>
      <c r="C2437" s="12" t="s">
        <v>238</v>
      </c>
      <c r="D2437" s="12" t="s">
        <v>9077</v>
      </c>
      <c r="E2437" s="12" t="s">
        <v>9078</v>
      </c>
      <c r="F2437" s="13">
        <v>40</v>
      </c>
      <c r="G2437" s="12" t="s">
        <v>775</v>
      </c>
      <c r="H2437" s="12" t="s">
        <v>38</v>
      </c>
      <c r="I2437" s="12" t="s">
        <v>242</v>
      </c>
      <c r="J2437" s="12" t="s">
        <v>243</v>
      </c>
      <c r="K2437" s="12" t="s">
        <v>244</v>
      </c>
      <c r="L2437" s="14"/>
      <c r="M2437" s="12" t="s">
        <v>43</v>
      </c>
      <c r="N2437" s="12" t="s">
        <v>161</v>
      </c>
      <c r="O2437" s="12" t="s">
        <v>9079</v>
      </c>
      <c r="P2437" s="12" t="s">
        <v>46</v>
      </c>
      <c r="Q2437" s="12" t="s">
        <v>47</v>
      </c>
      <c r="R2437" s="12" t="s">
        <v>48</v>
      </c>
      <c r="S2437" s="13">
        <v>197065636258</v>
      </c>
      <c r="T2437" s="12" t="s">
        <v>105</v>
      </c>
      <c r="U2437" s="13">
        <v>19</v>
      </c>
      <c r="V2437" s="12" t="s">
        <v>278</v>
      </c>
      <c r="W2437" s="12" t="s">
        <v>625</v>
      </c>
      <c r="X2437" s="14"/>
      <c r="Y2437" s="12" t="s">
        <v>91</v>
      </c>
      <c r="Z2437" s="12" t="s">
        <v>165</v>
      </c>
      <c r="AA2437" s="14"/>
      <c r="AB2437" s="14"/>
      <c r="AC2437" s="15">
        <v>25</v>
      </c>
      <c r="AD2437" s="15">
        <f>AC2437*AG2437</f>
        <v>50</v>
      </c>
      <c r="AE2437" s="15">
        <v>55</v>
      </c>
      <c r="AF2437" s="15">
        <f>AE2437*AG2437</f>
        <v>110</v>
      </c>
      <c r="AG2437" s="16">
        <v>2</v>
      </c>
    </row>
    <row r="2438" spans="1:33" ht="15" customHeight="1" x14ac:dyDescent="0.2">
      <c r="A2438" s="11" t="str">
        <f t="shared" ref="A2438:A2442" si="989">HYPERLINK("https://assets.vans.eu/images/VN000CQ04C3-HERO/1","VN000CQ04C31")</f>
        <v>VN000CQ04C31</v>
      </c>
      <c r="B2438" s="12" t="s">
        <v>9080</v>
      </c>
      <c r="C2438" s="12" t="s">
        <v>1422</v>
      </c>
      <c r="D2438" s="12" t="s">
        <v>5650</v>
      </c>
      <c r="E2438" s="12" t="s">
        <v>9081</v>
      </c>
      <c r="F2438" s="13">
        <v>45</v>
      </c>
      <c r="G2438" s="12" t="s">
        <v>5652</v>
      </c>
      <c r="H2438" s="12" t="s">
        <v>38</v>
      </c>
      <c r="I2438" s="12" t="s">
        <v>242</v>
      </c>
      <c r="J2438" s="12" t="s">
        <v>243</v>
      </c>
      <c r="K2438" s="12" t="s">
        <v>244</v>
      </c>
      <c r="L2438" s="14"/>
      <c r="M2438" s="12" t="s">
        <v>43</v>
      </c>
      <c r="N2438" s="12" t="s">
        <v>84</v>
      </c>
      <c r="O2438" s="12" t="s">
        <v>9082</v>
      </c>
      <c r="P2438" s="12" t="s">
        <v>46</v>
      </c>
      <c r="Q2438" s="12" t="s">
        <v>47</v>
      </c>
      <c r="R2438" s="12" t="s">
        <v>313</v>
      </c>
      <c r="S2438" s="13">
        <v>197804506965</v>
      </c>
      <c r="T2438" s="12" t="s">
        <v>164</v>
      </c>
      <c r="U2438" s="13">
        <v>20</v>
      </c>
      <c r="V2438" s="12" t="s">
        <v>50</v>
      </c>
      <c r="W2438" s="12" t="s">
        <v>107</v>
      </c>
      <c r="X2438" s="14"/>
      <c r="Y2438" s="14"/>
      <c r="Z2438" s="14"/>
      <c r="AA2438" s="14"/>
      <c r="AB2438" s="14"/>
      <c r="AC2438" s="15">
        <v>22.75</v>
      </c>
      <c r="AD2438" s="15">
        <f>AC2438*AG2438</f>
        <v>45.5</v>
      </c>
      <c r="AE2438" s="15">
        <v>50</v>
      </c>
      <c r="AF2438" s="15">
        <f>AE2438*AG2438</f>
        <v>100</v>
      </c>
      <c r="AG2438" s="16">
        <v>2</v>
      </c>
    </row>
    <row r="2439" spans="1:33" ht="15" customHeight="1" x14ac:dyDescent="0.2">
      <c r="A2439" s="11" t="str">
        <f t="shared" si="989"/>
        <v>VN000CQ04C31</v>
      </c>
      <c r="B2439" s="12" t="s">
        <v>9083</v>
      </c>
      <c r="C2439" s="12" t="s">
        <v>1422</v>
      </c>
      <c r="D2439" s="12" t="s">
        <v>5650</v>
      </c>
      <c r="E2439" s="12" t="s">
        <v>9084</v>
      </c>
      <c r="F2439" s="13">
        <v>50</v>
      </c>
      <c r="G2439" s="12" t="s">
        <v>5652</v>
      </c>
      <c r="H2439" s="12" t="s">
        <v>38</v>
      </c>
      <c r="I2439" s="12" t="s">
        <v>242</v>
      </c>
      <c r="J2439" s="12" t="s">
        <v>243</v>
      </c>
      <c r="K2439" s="12" t="s">
        <v>244</v>
      </c>
      <c r="L2439" s="14"/>
      <c r="M2439" s="12" t="s">
        <v>43</v>
      </c>
      <c r="N2439" s="12" t="s">
        <v>84</v>
      </c>
      <c r="O2439" s="12" t="s">
        <v>9085</v>
      </c>
      <c r="P2439" s="12" t="s">
        <v>46</v>
      </c>
      <c r="Q2439" s="12" t="s">
        <v>47</v>
      </c>
      <c r="R2439" s="12" t="s">
        <v>313</v>
      </c>
      <c r="S2439" s="13">
        <v>197804507184</v>
      </c>
      <c r="T2439" s="12" t="s">
        <v>164</v>
      </c>
      <c r="U2439" s="13">
        <v>21</v>
      </c>
      <c r="V2439" s="12" t="s">
        <v>50</v>
      </c>
      <c r="W2439" s="12" t="s">
        <v>107</v>
      </c>
      <c r="X2439" s="14"/>
      <c r="Y2439" s="14"/>
      <c r="Z2439" s="14"/>
      <c r="AA2439" s="14"/>
      <c r="AB2439" s="14"/>
      <c r="AC2439" s="15">
        <v>22.75</v>
      </c>
      <c r="AD2439" s="15">
        <f>AC2439*AG2439</f>
        <v>45.5</v>
      </c>
      <c r="AE2439" s="15">
        <v>50</v>
      </c>
      <c r="AF2439" s="15">
        <f>AE2439*AG2439</f>
        <v>100</v>
      </c>
      <c r="AG2439" s="16">
        <v>2</v>
      </c>
    </row>
    <row r="2440" spans="1:33" ht="15" customHeight="1" x14ac:dyDescent="0.2">
      <c r="A2440" s="11" t="str">
        <f t="shared" si="989"/>
        <v>VN000CQ04C31</v>
      </c>
      <c r="B2440" s="12" t="s">
        <v>9086</v>
      </c>
      <c r="C2440" s="12" t="s">
        <v>1422</v>
      </c>
      <c r="D2440" s="12" t="s">
        <v>5650</v>
      </c>
      <c r="E2440" s="12" t="s">
        <v>9087</v>
      </c>
      <c r="F2440" s="13">
        <v>60</v>
      </c>
      <c r="G2440" s="12" t="s">
        <v>5652</v>
      </c>
      <c r="H2440" s="12" t="s">
        <v>38</v>
      </c>
      <c r="I2440" s="12" t="s">
        <v>242</v>
      </c>
      <c r="J2440" s="12" t="s">
        <v>243</v>
      </c>
      <c r="K2440" s="12" t="s">
        <v>244</v>
      </c>
      <c r="L2440" s="14"/>
      <c r="M2440" s="12" t="s">
        <v>43</v>
      </c>
      <c r="N2440" s="12" t="s">
        <v>84</v>
      </c>
      <c r="O2440" s="12" t="s">
        <v>9088</v>
      </c>
      <c r="P2440" s="12" t="s">
        <v>46</v>
      </c>
      <c r="Q2440" s="12" t="s">
        <v>47</v>
      </c>
      <c r="R2440" s="12" t="s">
        <v>313</v>
      </c>
      <c r="S2440" s="13">
        <v>197804507474</v>
      </c>
      <c r="T2440" s="12" t="s">
        <v>164</v>
      </c>
      <c r="U2440" s="13">
        <v>22</v>
      </c>
      <c r="V2440" s="12" t="s">
        <v>50</v>
      </c>
      <c r="W2440" s="12" t="s">
        <v>107</v>
      </c>
      <c r="X2440" s="14"/>
      <c r="Y2440" s="14"/>
      <c r="Z2440" s="14"/>
      <c r="AA2440" s="14"/>
      <c r="AB2440" s="14"/>
      <c r="AC2440" s="15">
        <v>22.75</v>
      </c>
      <c r="AD2440" s="15">
        <f>AC2440*AG2440</f>
        <v>45.5</v>
      </c>
      <c r="AE2440" s="15">
        <v>50</v>
      </c>
      <c r="AF2440" s="15">
        <f>AE2440*AG2440</f>
        <v>100</v>
      </c>
      <c r="AG2440" s="16">
        <v>2</v>
      </c>
    </row>
    <row r="2441" spans="1:33" ht="15" customHeight="1" x14ac:dyDescent="0.2">
      <c r="A2441" s="11" t="str">
        <f t="shared" si="989"/>
        <v>VN000CQ04C31</v>
      </c>
      <c r="B2441" s="12" t="s">
        <v>9089</v>
      </c>
      <c r="C2441" s="12" t="s">
        <v>1422</v>
      </c>
      <c r="D2441" s="12" t="s">
        <v>5650</v>
      </c>
      <c r="E2441" s="12" t="s">
        <v>9090</v>
      </c>
      <c r="F2441" s="13">
        <v>85</v>
      </c>
      <c r="G2441" s="12" t="s">
        <v>5652</v>
      </c>
      <c r="H2441" s="12" t="s">
        <v>38</v>
      </c>
      <c r="I2441" s="12" t="s">
        <v>242</v>
      </c>
      <c r="J2441" s="12" t="s">
        <v>243</v>
      </c>
      <c r="K2441" s="12" t="s">
        <v>244</v>
      </c>
      <c r="L2441" s="14"/>
      <c r="M2441" s="12" t="s">
        <v>43</v>
      </c>
      <c r="N2441" s="12" t="s">
        <v>84</v>
      </c>
      <c r="O2441" s="12" t="s">
        <v>9091</v>
      </c>
      <c r="P2441" s="12" t="s">
        <v>46</v>
      </c>
      <c r="Q2441" s="12" t="s">
        <v>47</v>
      </c>
      <c r="R2441" s="12" t="s">
        <v>313</v>
      </c>
      <c r="S2441" s="13">
        <v>197804508532</v>
      </c>
      <c r="T2441" s="12" t="s">
        <v>164</v>
      </c>
      <c r="U2441" s="13">
        <v>25</v>
      </c>
      <c r="V2441" s="12" t="s">
        <v>50</v>
      </c>
      <c r="W2441" s="12" t="s">
        <v>107</v>
      </c>
      <c r="X2441" s="14"/>
      <c r="Y2441" s="14"/>
      <c r="Z2441" s="14"/>
      <c r="AA2441" s="14"/>
      <c r="AB2441" s="14"/>
      <c r="AC2441" s="15">
        <v>22.75</v>
      </c>
      <c r="AD2441" s="15">
        <f>AC2441*AG2441</f>
        <v>45.5</v>
      </c>
      <c r="AE2441" s="15">
        <v>50</v>
      </c>
      <c r="AF2441" s="15">
        <f>AE2441*AG2441</f>
        <v>100</v>
      </c>
      <c r="AG2441" s="16">
        <v>2</v>
      </c>
    </row>
    <row r="2442" spans="1:33" ht="15" customHeight="1" x14ac:dyDescent="0.2">
      <c r="A2442" s="11" t="str">
        <f t="shared" si="989"/>
        <v>VN000CQ04C31</v>
      </c>
      <c r="B2442" s="12" t="s">
        <v>9092</v>
      </c>
      <c r="C2442" s="12" t="s">
        <v>1422</v>
      </c>
      <c r="D2442" s="12" t="s">
        <v>5650</v>
      </c>
      <c r="E2442" s="12" t="s">
        <v>9093</v>
      </c>
      <c r="F2442" s="13">
        <v>95</v>
      </c>
      <c r="G2442" s="12" t="s">
        <v>5652</v>
      </c>
      <c r="H2442" s="12" t="s">
        <v>38</v>
      </c>
      <c r="I2442" s="12" t="s">
        <v>242</v>
      </c>
      <c r="J2442" s="12" t="s">
        <v>243</v>
      </c>
      <c r="K2442" s="12" t="s">
        <v>244</v>
      </c>
      <c r="L2442" s="14"/>
      <c r="M2442" s="12" t="s">
        <v>43</v>
      </c>
      <c r="N2442" s="12" t="s">
        <v>84</v>
      </c>
      <c r="O2442" s="12" t="s">
        <v>9094</v>
      </c>
      <c r="P2442" s="12" t="s">
        <v>46</v>
      </c>
      <c r="Q2442" s="12" t="s">
        <v>47</v>
      </c>
      <c r="R2442" s="12" t="s">
        <v>313</v>
      </c>
      <c r="S2442" s="13">
        <v>197804508839</v>
      </c>
      <c r="T2442" s="12" t="s">
        <v>164</v>
      </c>
      <c r="U2442" s="13">
        <v>26</v>
      </c>
      <c r="V2442" s="12" t="s">
        <v>50</v>
      </c>
      <c r="W2442" s="12" t="s">
        <v>107</v>
      </c>
      <c r="X2442" s="14"/>
      <c r="Y2442" s="14"/>
      <c r="Z2442" s="14"/>
      <c r="AA2442" s="14"/>
      <c r="AB2442" s="14"/>
      <c r="AC2442" s="15">
        <v>22.75</v>
      </c>
      <c r="AD2442" s="15">
        <f>AC2442*AG2442</f>
        <v>45.5</v>
      </c>
      <c r="AE2442" s="15">
        <v>50</v>
      </c>
      <c r="AF2442" s="15">
        <f>AE2442*AG2442</f>
        <v>100</v>
      </c>
      <c r="AG2442" s="16">
        <v>2</v>
      </c>
    </row>
    <row r="2443" spans="1:33" ht="15" customHeight="1" x14ac:dyDescent="0.2">
      <c r="A2443" s="11" t="str">
        <f t="shared" ref="A2443:A2445" si="990">HYPERLINK("https://assets.vans.eu/images/VN000CQ0BLK-HERO/1","VN000CQ0BLK1")</f>
        <v>VN000CQ0BLK1</v>
      </c>
      <c r="B2443" s="12" t="s">
        <v>9095</v>
      </c>
      <c r="C2443" s="12" t="s">
        <v>1422</v>
      </c>
      <c r="D2443" s="12" t="s">
        <v>76</v>
      </c>
      <c r="E2443" s="12" t="s">
        <v>9096</v>
      </c>
      <c r="F2443" s="13">
        <v>40</v>
      </c>
      <c r="G2443" s="12" t="s">
        <v>4948</v>
      </c>
      <c r="H2443" s="12" t="s">
        <v>38</v>
      </c>
      <c r="I2443" s="12" t="s">
        <v>242</v>
      </c>
      <c r="J2443" s="12" t="s">
        <v>243</v>
      </c>
      <c r="K2443" s="12" t="s">
        <v>244</v>
      </c>
      <c r="L2443" s="14"/>
      <c r="M2443" s="12" t="s">
        <v>43</v>
      </c>
      <c r="N2443" s="12" t="s">
        <v>84</v>
      </c>
      <c r="O2443" s="12" t="s">
        <v>9097</v>
      </c>
      <c r="P2443" s="12" t="s">
        <v>46</v>
      </c>
      <c r="Q2443" s="12" t="s">
        <v>47</v>
      </c>
      <c r="R2443" s="12" t="s">
        <v>313</v>
      </c>
      <c r="S2443" s="13">
        <v>197804506774</v>
      </c>
      <c r="T2443" s="12" t="s">
        <v>105</v>
      </c>
      <c r="U2443" s="13">
        <v>19</v>
      </c>
      <c r="V2443" s="12" t="s">
        <v>50</v>
      </c>
      <c r="W2443" s="12" t="s">
        <v>51</v>
      </c>
      <c r="X2443" s="14"/>
      <c r="Y2443" s="14"/>
      <c r="Z2443" s="14"/>
      <c r="AA2443" s="14"/>
      <c r="AB2443" s="14"/>
      <c r="AC2443" s="15">
        <v>25</v>
      </c>
      <c r="AD2443" s="15">
        <f>AC2443*AG2443</f>
        <v>50</v>
      </c>
      <c r="AE2443" s="15">
        <v>55</v>
      </c>
      <c r="AF2443" s="15">
        <f>AE2443*AG2443</f>
        <v>110</v>
      </c>
      <c r="AG2443" s="16">
        <v>2</v>
      </c>
    </row>
    <row r="2444" spans="1:33" ht="15" customHeight="1" x14ac:dyDescent="0.2">
      <c r="A2444" s="11" t="str">
        <f t="shared" si="990"/>
        <v>VN000CQ0BLK1</v>
      </c>
      <c r="B2444" s="12" t="s">
        <v>9098</v>
      </c>
      <c r="C2444" s="12" t="s">
        <v>1422</v>
      </c>
      <c r="D2444" s="12" t="s">
        <v>76</v>
      </c>
      <c r="E2444" s="12" t="s">
        <v>9099</v>
      </c>
      <c r="F2444" s="13">
        <v>60</v>
      </c>
      <c r="G2444" s="12" t="s">
        <v>4948</v>
      </c>
      <c r="H2444" s="12" t="s">
        <v>38</v>
      </c>
      <c r="I2444" s="12" t="s">
        <v>242</v>
      </c>
      <c r="J2444" s="12" t="s">
        <v>243</v>
      </c>
      <c r="K2444" s="12" t="s">
        <v>244</v>
      </c>
      <c r="L2444" s="14"/>
      <c r="M2444" s="12" t="s">
        <v>43</v>
      </c>
      <c r="N2444" s="12" t="s">
        <v>84</v>
      </c>
      <c r="O2444" s="12" t="s">
        <v>9100</v>
      </c>
      <c r="P2444" s="12" t="s">
        <v>46</v>
      </c>
      <c r="Q2444" s="12" t="s">
        <v>47</v>
      </c>
      <c r="R2444" s="12" t="s">
        <v>313</v>
      </c>
      <c r="S2444" s="13">
        <v>197804507542</v>
      </c>
      <c r="T2444" s="12" t="s">
        <v>105</v>
      </c>
      <c r="U2444" s="13">
        <v>22</v>
      </c>
      <c r="V2444" s="12" t="s">
        <v>50</v>
      </c>
      <c r="W2444" s="12" t="s">
        <v>51</v>
      </c>
      <c r="X2444" s="14"/>
      <c r="Y2444" s="14"/>
      <c r="Z2444" s="14"/>
      <c r="AA2444" s="14"/>
      <c r="AB2444" s="14"/>
      <c r="AC2444" s="15">
        <v>25</v>
      </c>
      <c r="AD2444" s="15">
        <f>AC2444*AG2444</f>
        <v>50</v>
      </c>
      <c r="AE2444" s="15">
        <v>55</v>
      </c>
      <c r="AF2444" s="15">
        <f>AE2444*AG2444</f>
        <v>110</v>
      </c>
      <c r="AG2444" s="16">
        <v>2</v>
      </c>
    </row>
    <row r="2445" spans="1:33" ht="15" customHeight="1" x14ac:dyDescent="0.2">
      <c r="A2445" s="11" t="str">
        <f t="shared" si="990"/>
        <v>VN000CQ0BLK1</v>
      </c>
      <c r="B2445" s="12" t="s">
        <v>9101</v>
      </c>
      <c r="C2445" s="12" t="s">
        <v>1422</v>
      </c>
      <c r="D2445" s="12" t="s">
        <v>76</v>
      </c>
      <c r="E2445" s="12" t="s">
        <v>9102</v>
      </c>
      <c r="F2445" s="13">
        <v>95</v>
      </c>
      <c r="G2445" s="12" t="s">
        <v>4948</v>
      </c>
      <c r="H2445" s="12" t="s">
        <v>38</v>
      </c>
      <c r="I2445" s="12" t="s">
        <v>242</v>
      </c>
      <c r="J2445" s="12" t="s">
        <v>243</v>
      </c>
      <c r="K2445" s="12" t="s">
        <v>244</v>
      </c>
      <c r="L2445" s="14"/>
      <c r="M2445" s="12" t="s">
        <v>43</v>
      </c>
      <c r="N2445" s="12" t="s">
        <v>84</v>
      </c>
      <c r="O2445" s="12" t="s">
        <v>9103</v>
      </c>
      <c r="P2445" s="12" t="s">
        <v>46</v>
      </c>
      <c r="Q2445" s="12" t="s">
        <v>47</v>
      </c>
      <c r="R2445" s="12" t="s">
        <v>313</v>
      </c>
      <c r="S2445" s="13">
        <v>197804508785</v>
      </c>
      <c r="T2445" s="12" t="s">
        <v>105</v>
      </c>
      <c r="U2445" s="13">
        <v>26</v>
      </c>
      <c r="V2445" s="12" t="s">
        <v>50</v>
      </c>
      <c r="W2445" s="12" t="s">
        <v>51</v>
      </c>
      <c r="X2445" s="14"/>
      <c r="Y2445" s="14"/>
      <c r="Z2445" s="14"/>
      <c r="AA2445" s="14"/>
      <c r="AB2445" s="14"/>
      <c r="AC2445" s="15">
        <v>25</v>
      </c>
      <c r="AD2445" s="15">
        <f>AC2445*AG2445</f>
        <v>50</v>
      </c>
      <c r="AE2445" s="15">
        <v>55</v>
      </c>
      <c r="AF2445" s="15">
        <f>AE2445*AG2445</f>
        <v>110</v>
      </c>
      <c r="AG2445" s="16">
        <v>2</v>
      </c>
    </row>
    <row r="2446" spans="1:33" ht="15" customHeight="1" x14ac:dyDescent="0.2">
      <c r="A2446" s="11" t="str">
        <f t="shared" ref="A2446:A3777" si="991">HYPERLINK("https://assets.vans.eu/images/VN000CQ0BMW-HERO/1","VN000CQ0BMW1")</f>
        <v>VN000CQ0BMW1</v>
      </c>
      <c r="B2446" s="12" t="s">
        <v>9104</v>
      </c>
      <c r="C2446" s="12" t="s">
        <v>1422</v>
      </c>
      <c r="D2446" s="12" t="s">
        <v>1465</v>
      </c>
      <c r="E2446" s="12" t="s">
        <v>9105</v>
      </c>
      <c r="F2446" s="13">
        <v>50</v>
      </c>
      <c r="G2446" s="12" t="s">
        <v>9106</v>
      </c>
      <c r="H2446" s="12" t="s">
        <v>38</v>
      </c>
      <c r="I2446" s="12" t="s">
        <v>242</v>
      </c>
      <c r="J2446" s="12" t="s">
        <v>243</v>
      </c>
      <c r="K2446" s="12" t="s">
        <v>244</v>
      </c>
      <c r="L2446" s="12" t="s">
        <v>42</v>
      </c>
      <c r="M2446" s="12" t="s">
        <v>43</v>
      </c>
      <c r="N2446" s="12" t="s">
        <v>44</v>
      </c>
      <c r="O2446" s="12" t="s">
        <v>9107</v>
      </c>
      <c r="P2446" s="12" t="s">
        <v>46</v>
      </c>
      <c r="Q2446" s="12" t="s">
        <v>47</v>
      </c>
      <c r="R2446" s="12" t="s">
        <v>313</v>
      </c>
      <c r="S2446" s="13">
        <v>197643235477</v>
      </c>
      <c r="T2446" s="12" t="s">
        <v>49</v>
      </c>
      <c r="U2446" s="13">
        <v>21</v>
      </c>
      <c r="V2446" s="12" t="s">
        <v>50</v>
      </c>
      <c r="W2446" s="12" t="s">
        <v>51</v>
      </c>
      <c r="X2446" s="14"/>
      <c r="Y2446" s="12" t="s">
        <v>91</v>
      </c>
      <c r="Z2446" s="12" t="s">
        <v>92</v>
      </c>
      <c r="AA2446" s="12" t="s">
        <v>3224</v>
      </c>
      <c r="AB2446" s="12" t="s">
        <v>55</v>
      </c>
      <c r="AC2446" s="15">
        <v>25</v>
      </c>
      <c r="AD2446" s="15">
        <f>AC2446*AG2446</f>
        <v>50</v>
      </c>
      <c r="AE2446" s="15">
        <v>55</v>
      </c>
      <c r="AF2446" s="15">
        <f>AE2446*AG2446</f>
        <v>110</v>
      </c>
      <c r="AG2446" s="16">
        <v>2</v>
      </c>
    </row>
    <row r="2447" spans="1:33" ht="15" customHeight="1" x14ac:dyDescent="0.2">
      <c r="A2447" s="11" t="str">
        <f t="shared" ref="A2447:A3781" si="992">HYPERLINK("https://assets.vans.eu/images/VN000CQ0BRO-HERO/1","VN000CQ0BRO1")</f>
        <v>VN000CQ0BRO1</v>
      </c>
      <c r="B2447" s="12" t="s">
        <v>9108</v>
      </c>
      <c r="C2447" s="12" t="s">
        <v>1422</v>
      </c>
      <c r="D2447" s="12" t="s">
        <v>1471</v>
      </c>
      <c r="E2447" s="12" t="s">
        <v>9109</v>
      </c>
      <c r="F2447" s="13">
        <v>45</v>
      </c>
      <c r="G2447" s="12" t="s">
        <v>2417</v>
      </c>
      <c r="H2447" s="12" t="s">
        <v>38</v>
      </c>
      <c r="I2447" s="12" t="s">
        <v>242</v>
      </c>
      <c r="J2447" s="12" t="s">
        <v>243</v>
      </c>
      <c r="K2447" s="12" t="s">
        <v>244</v>
      </c>
      <c r="L2447" s="14"/>
      <c r="M2447" s="12" t="s">
        <v>43</v>
      </c>
      <c r="N2447" s="12" t="s">
        <v>84</v>
      </c>
      <c r="O2447" s="12" t="s">
        <v>9110</v>
      </c>
      <c r="P2447" s="12" t="s">
        <v>46</v>
      </c>
      <c r="Q2447" s="12" t="s">
        <v>47</v>
      </c>
      <c r="R2447" s="12" t="s">
        <v>313</v>
      </c>
      <c r="S2447" s="13">
        <v>197804507610</v>
      </c>
      <c r="T2447" s="12" t="s">
        <v>49</v>
      </c>
      <c r="U2447" s="13">
        <v>20</v>
      </c>
      <c r="V2447" s="12" t="s">
        <v>50</v>
      </c>
      <c r="W2447" s="12" t="s">
        <v>186</v>
      </c>
      <c r="X2447" s="14"/>
      <c r="Y2447" s="14"/>
      <c r="Z2447" s="14"/>
      <c r="AA2447" s="14"/>
      <c r="AB2447" s="14"/>
      <c r="AC2447" s="15">
        <v>25</v>
      </c>
      <c r="AD2447" s="15">
        <f>AC2447*AG2447</f>
        <v>50</v>
      </c>
      <c r="AE2447" s="15">
        <v>55</v>
      </c>
      <c r="AF2447" s="15">
        <f>AE2447*AG2447</f>
        <v>110</v>
      </c>
      <c r="AG2447" s="16">
        <v>2</v>
      </c>
    </row>
    <row r="2448" spans="1:33" ht="15" customHeight="1" x14ac:dyDescent="0.2">
      <c r="A2448" s="11" t="str">
        <f t="shared" ref="A2448:A2450" si="993">HYPERLINK("https://assets.vans.eu/images/VN000CQ0EMY-HERO/1","VN000CQ0EMY1")</f>
        <v>VN000CQ0EMY1</v>
      </c>
      <c r="B2448" s="12" t="s">
        <v>9111</v>
      </c>
      <c r="C2448" s="12" t="s">
        <v>1422</v>
      </c>
      <c r="D2448" s="12" t="s">
        <v>1155</v>
      </c>
      <c r="E2448" s="12" t="s">
        <v>9112</v>
      </c>
      <c r="F2448" s="13">
        <v>70</v>
      </c>
      <c r="G2448" s="14"/>
      <c r="H2448" s="12" t="s">
        <v>38</v>
      </c>
      <c r="I2448" s="12" t="s">
        <v>242</v>
      </c>
      <c r="J2448" s="12" t="s">
        <v>243</v>
      </c>
      <c r="K2448" s="12" t="s">
        <v>244</v>
      </c>
      <c r="L2448" s="14"/>
      <c r="M2448" s="12" t="s">
        <v>43</v>
      </c>
      <c r="N2448" s="12" t="s">
        <v>84</v>
      </c>
      <c r="O2448" s="12" t="s">
        <v>9113</v>
      </c>
      <c r="P2448" s="12" t="s">
        <v>46</v>
      </c>
      <c r="Q2448" s="12" t="s">
        <v>47</v>
      </c>
      <c r="R2448" s="12" t="s">
        <v>313</v>
      </c>
      <c r="S2448" s="13">
        <v>197804508617</v>
      </c>
      <c r="T2448" s="12" t="s">
        <v>164</v>
      </c>
      <c r="U2448" s="13">
        <v>23.5</v>
      </c>
      <c r="V2448" s="12" t="s">
        <v>50</v>
      </c>
      <c r="W2448" s="12" t="s">
        <v>107</v>
      </c>
      <c r="X2448" s="14"/>
      <c r="Y2448" s="14"/>
      <c r="Z2448" s="14"/>
      <c r="AA2448" s="14"/>
      <c r="AB2448" s="14"/>
      <c r="AC2448" s="15">
        <v>22.75</v>
      </c>
      <c r="AD2448" s="15">
        <f>AC2448*AG2448</f>
        <v>45.5</v>
      </c>
      <c r="AE2448" s="15">
        <v>50</v>
      </c>
      <c r="AF2448" s="15">
        <f>AE2448*AG2448</f>
        <v>100</v>
      </c>
      <c r="AG2448" s="16">
        <v>2</v>
      </c>
    </row>
    <row r="2449" spans="1:33" ht="15" customHeight="1" x14ac:dyDescent="0.2">
      <c r="A2449" s="11" t="str">
        <f t="shared" si="993"/>
        <v>VN000CQ0EMY1</v>
      </c>
      <c r="B2449" s="12" t="s">
        <v>9114</v>
      </c>
      <c r="C2449" s="12" t="s">
        <v>1422</v>
      </c>
      <c r="D2449" s="12" t="s">
        <v>1155</v>
      </c>
      <c r="E2449" s="12" t="s">
        <v>9115</v>
      </c>
      <c r="F2449" s="13">
        <v>80</v>
      </c>
      <c r="G2449" s="14"/>
      <c r="H2449" s="12" t="s">
        <v>38</v>
      </c>
      <c r="I2449" s="12" t="s">
        <v>242</v>
      </c>
      <c r="J2449" s="12" t="s">
        <v>243</v>
      </c>
      <c r="K2449" s="12" t="s">
        <v>244</v>
      </c>
      <c r="L2449" s="14"/>
      <c r="M2449" s="12" t="s">
        <v>43</v>
      </c>
      <c r="N2449" s="12" t="s">
        <v>84</v>
      </c>
      <c r="O2449" s="12" t="s">
        <v>9116</v>
      </c>
      <c r="P2449" s="12" t="s">
        <v>46</v>
      </c>
      <c r="Q2449" s="12" t="s">
        <v>47</v>
      </c>
      <c r="R2449" s="12" t="s">
        <v>313</v>
      </c>
      <c r="S2449" s="13">
        <v>197804509027</v>
      </c>
      <c r="T2449" s="12" t="s">
        <v>164</v>
      </c>
      <c r="U2449" s="13">
        <v>24.5</v>
      </c>
      <c r="V2449" s="12" t="s">
        <v>50</v>
      </c>
      <c r="W2449" s="12" t="s">
        <v>107</v>
      </c>
      <c r="X2449" s="14"/>
      <c r="Y2449" s="14"/>
      <c r="Z2449" s="14"/>
      <c r="AA2449" s="14"/>
      <c r="AB2449" s="14"/>
      <c r="AC2449" s="15">
        <v>22.75</v>
      </c>
      <c r="AD2449" s="15">
        <f>AC2449*AG2449</f>
        <v>45.5</v>
      </c>
      <c r="AE2449" s="15">
        <v>50</v>
      </c>
      <c r="AF2449" s="15">
        <f>AE2449*AG2449</f>
        <v>100</v>
      </c>
      <c r="AG2449" s="16">
        <v>2</v>
      </c>
    </row>
    <row r="2450" spans="1:33" ht="15" customHeight="1" x14ac:dyDescent="0.2">
      <c r="A2450" s="11" t="str">
        <f t="shared" si="993"/>
        <v>VN000CQ0EMY1</v>
      </c>
      <c r="B2450" s="12" t="s">
        <v>9117</v>
      </c>
      <c r="C2450" s="12" t="s">
        <v>1422</v>
      </c>
      <c r="D2450" s="12" t="s">
        <v>1155</v>
      </c>
      <c r="E2450" s="12" t="s">
        <v>9118</v>
      </c>
      <c r="F2450" s="13">
        <v>90</v>
      </c>
      <c r="G2450" s="14"/>
      <c r="H2450" s="12" t="s">
        <v>38</v>
      </c>
      <c r="I2450" s="12" t="s">
        <v>242</v>
      </c>
      <c r="J2450" s="12" t="s">
        <v>243</v>
      </c>
      <c r="K2450" s="12" t="s">
        <v>244</v>
      </c>
      <c r="L2450" s="14"/>
      <c r="M2450" s="12" t="s">
        <v>43</v>
      </c>
      <c r="N2450" s="12" t="s">
        <v>84</v>
      </c>
      <c r="O2450" s="12" t="s">
        <v>9119</v>
      </c>
      <c r="P2450" s="12" t="s">
        <v>46</v>
      </c>
      <c r="Q2450" s="12" t="s">
        <v>47</v>
      </c>
      <c r="R2450" s="12" t="s">
        <v>313</v>
      </c>
      <c r="S2450" s="13">
        <v>197804509317</v>
      </c>
      <c r="T2450" s="12" t="s">
        <v>164</v>
      </c>
      <c r="U2450" s="13">
        <v>25.5</v>
      </c>
      <c r="V2450" s="12" t="s">
        <v>50</v>
      </c>
      <c r="W2450" s="12" t="s">
        <v>107</v>
      </c>
      <c r="X2450" s="14"/>
      <c r="Y2450" s="14"/>
      <c r="Z2450" s="14"/>
      <c r="AA2450" s="14"/>
      <c r="AB2450" s="14"/>
      <c r="AC2450" s="15">
        <v>22.75</v>
      </c>
      <c r="AD2450" s="15">
        <f>AC2450*AG2450</f>
        <v>45.5</v>
      </c>
      <c r="AE2450" s="15">
        <v>50</v>
      </c>
      <c r="AF2450" s="15">
        <f>AE2450*AG2450</f>
        <v>100</v>
      </c>
      <c r="AG2450" s="16">
        <v>2</v>
      </c>
    </row>
    <row r="2451" spans="1:33" ht="15" customHeight="1" x14ac:dyDescent="0.2">
      <c r="A2451" s="11" t="str">
        <f t="shared" ref="A2451:A2456" si="994">HYPERLINK("https://assets.vans.eu/images/VN000CQ0Y09-HERO/1","VN000CQ0Y091")</f>
        <v>VN000CQ0Y091</v>
      </c>
      <c r="B2451" s="12" t="s">
        <v>9120</v>
      </c>
      <c r="C2451" s="12" t="s">
        <v>1422</v>
      </c>
      <c r="D2451" s="12" t="s">
        <v>7042</v>
      </c>
      <c r="E2451" s="12" t="s">
        <v>9121</v>
      </c>
      <c r="F2451" s="13">
        <v>40</v>
      </c>
      <c r="G2451" s="12" t="s">
        <v>7044</v>
      </c>
      <c r="H2451" s="12" t="s">
        <v>38</v>
      </c>
      <c r="I2451" s="12" t="s">
        <v>242</v>
      </c>
      <c r="J2451" s="12" t="s">
        <v>243</v>
      </c>
      <c r="K2451" s="12" t="s">
        <v>244</v>
      </c>
      <c r="L2451" s="14"/>
      <c r="M2451" s="12" t="s">
        <v>43</v>
      </c>
      <c r="N2451" s="12" t="s">
        <v>84</v>
      </c>
      <c r="O2451" s="12" t="s">
        <v>9122</v>
      </c>
      <c r="P2451" s="12" t="s">
        <v>46</v>
      </c>
      <c r="Q2451" s="12" t="s">
        <v>47</v>
      </c>
      <c r="R2451" s="12" t="s">
        <v>313</v>
      </c>
      <c r="S2451" s="13">
        <v>197804507382</v>
      </c>
      <c r="T2451" s="12" t="s">
        <v>164</v>
      </c>
      <c r="U2451" s="13">
        <v>19</v>
      </c>
      <c r="V2451" s="12" t="s">
        <v>50</v>
      </c>
      <c r="W2451" s="12" t="s">
        <v>51</v>
      </c>
      <c r="X2451" s="14"/>
      <c r="Y2451" s="14"/>
      <c r="Z2451" s="14"/>
      <c r="AA2451" s="14"/>
      <c r="AB2451" s="14"/>
      <c r="AC2451" s="15">
        <v>22.75</v>
      </c>
      <c r="AD2451" s="15">
        <f>AC2451*AG2451</f>
        <v>45.5</v>
      </c>
      <c r="AE2451" s="15">
        <v>50</v>
      </c>
      <c r="AF2451" s="15">
        <f>AE2451*AG2451</f>
        <v>100</v>
      </c>
      <c r="AG2451" s="16">
        <v>2</v>
      </c>
    </row>
    <row r="2452" spans="1:33" ht="15" customHeight="1" x14ac:dyDescent="0.2">
      <c r="A2452" s="11" t="str">
        <f t="shared" si="994"/>
        <v>VN000CQ0Y091</v>
      </c>
      <c r="B2452" s="12" t="s">
        <v>9123</v>
      </c>
      <c r="C2452" s="12" t="s">
        <v>1422</v>
      </c>
      <c r="D2452" s="12" t="s">
        <v>7042</v>
      </c>
      <c r="E2452" s="12" t="s">
        <v>9124</v>
      </c>
      <c r="F2452" s="13">
        <v>50</v>
      </c>
      <c r="G2452" s="12" t="s">
        <v>7044</v>
      </c>
      <c r="H2452" s="12" t="s">
        <v>38</v>
      </c>
      <c r="I2452" s="12" t="s">
        <v>242</v>
      </c>
      <c r="J2452" s="12" t="s">
        <v>243</v>
      </c>
      <c r="K2452" s="12" t="s">
        <v>244</v>
      </c>
      <c r="L2452" s="14"/>
      <c r="M2452" s="12" t="s">
        <v>43</v>
      </c>
      <c r="N2452" s="12" t="s">
        <v>84</v>
      </c>
      <c r="O2452" s="12" t="s">
        <v>9125</v>
      </c>
      <c r="P2452" s="12" t="s">
        <v>46</v>
      </c>
      <c r="Q2452" s="12" t="s">
        <v>47</v>
      </c>
      <c r="R2452" s="12" t="s">
        <v>313</v>
      </c>
      <c r="S2452" s="13">
        <v>197804507825</v>
      </c>
      <c r="T2452" s="12" t="s">
        <v>164</v>
      </c>
      <c r="U2452" s="13">
        <v>21</v>
      </c>
      <c r="V2452" s="12" t="s">
        <v>50</v>
      </c>
      <c r="W2452" s="12" t="s">
        <v>51</v>
      </c>
      <c r="X2452" s="14"/>
      <c r="Y2452" s="14"/>
      <c r="Z2452" s="14"/>
      <c r="AA2452" s="14"/>
      <c r="AB2452" s="14"/>
      <c r="AC2452" s="15">
        <v>22.75</v>
      </c>
      <c r="AD2452" s="15">
        <f>AC2452*AG2452</f>
        <v>45.5</v>
      </c>
      <c r="AE2452" s="15">
        <v>50</v>
      </c>
      <c r="AF2452" s="15">
        <f>AE2452*AG2452</f>
        <v>100</v>
      </c>
      <c r="AG2452" s="16">
        <v>2</v>
      </c>
    </row>
    <row r="2453" spans="1:33" ht="15" customHeight="1" x14ac:dyDescent="0.2">
      <c r="A2453" s="11" t="str">
        <f t="shared" si="994"/>
        <v>VN000CQ0Y091</v>
      </c>
      <c r="B2453" s="12" t="s">
        <v>9126</v>
      </c>
      <c r="C2453" s="12" t="s">
        <v>1422</v>
      </c>
      <c r="D2453" s="12" t="s">
        <v>7042</v>
      </c>
      <c r="E2453" s="12" t="s">
        <v>9127</v>
      </c>
      <c r="F2453" s="13">
        <v>60</v>
      </c>
      <c r="G2453" s="12" t="s">
        <v>7044</v>
      </c>
      <c r="H2453" s="12" t="s">
        <v>38</v>
      </c>
      <c r="I2453" s="12" t="s">
        <v>242</v>
      </c>
      <c r="J2453" s="12" t="s">
        <v>243</v>
      </c>
      <c r="K2453" s="12" t="s">
        <v>244</v>
      </c>
      <c r="L2453" s="14"/>
      <c r="M2453" s="12" t="s">
        <v>43</v>
      </c>
      <c r="N2453" s="12" t="s">
        <v>84</v>
      </c>
      <c r="O2453" s="12" t="s">
        <v>9128</v>
      </c>
      <c r="P2453" s="12" t="s">
        <v>46</v>
      </c>
      <c r="Q2453" s="12" t="s">
        <v>47</v>
      </c>
      <c r="R2453" s="12" t="s">
        <v>313</v>
      </c>
      <c r="S2453" s="13">
        <v>197804508167</v>
      </c>
      <c r="T2453" s="12" t="s">
        <v>164</v>
      </c>
      <c r="U2453" s="13">
        <v>22</v>
      </c>
      <c r="V2453" s="12" t="s">
        <v>50</v>
      </c>
      <c r="W2453" s="12" t="s">
        <v>51</v>
      </c>
      <c r="X2453" s="14"/>
      <c r="Y2453" s="14"/>
      <c r="Z2453" s="14"/>
      <c r="AA2453" s="14"/>
      <c r="AB2453" s="14"/>
      <c r="AC2453" s="15">
        <v>22.75</v>
      </c>
      <c r="AD2453" s="15">
        <f>AC2453*AG2453</f>
        <v>45.5</v>
      </c>
      <c r="AE2453" s="15">
        <v>50</v>
      </c>
      <c r="AF2453" s="15">
        <f>AE2453*AG2453</f>
        <v>100</v>
      </c>
      <c r="AG2453" s="16">
        <v>2</v>
      </c>
    </row>
    <row r="2454" spans="1:33" ht="15" customHeight="1" x14ac:dyDescent="0.2">
      <c r="A2454" s="11" t="str">
        <f t="shared" si="994"/>
        <v>VN000CQ0Y091</v>
      </c>
      <c r="B2454" s="12" t="s">
        <v>9129</v>
      </c>
      <c r="C2454" s="12" t="s">
        <v>1422</v>
      </c>
      <c r="D2454" s="12" t="s">
        <v>7042</v>
      </c>
      <c r="E2454" s="12" t="s">
        <v>9130</v>
      </c>
      <c r="F2454" s="13">
        <v>75</v>
      </c>
      <c r="G2454" s="12" t="s">
        <v>7044</v>
      </c>
      <c r="H2454" s="12" t="s">
        <v>38</v>
      </c>
      <c r="I2454" s="12" t="s">
        <v>242</v>
      </c>
      <c r="J2454" s="12" t="s">
        <v>243</v>
      </c>
      <c r="K2454" s="12" t="s">
        <v>244</v>
      </c>
      <c r="L2454" s="14"/>
      <c r="M2454" s="12" t="s">
        <v>43</v>
      </c>
      <c r="N2454" s="12" t="s">
        <v>84</v>
      </c>
      <c r="O2454" s="12" t="s">
        <v>9131</v>
      </c>
      <c r="P2454" s="12" t="s">
        <v>46</v>
      </c>
      <c r="Q2454" s="12" t="s">
        <v>47</v>
      </c>
      <c r="R2454" s="12" t="s">
        <v>313</v>
      </c>
      <c r="S2454" s="13">
        <v>197804508815</v>
      </c>
      <c r="T2454" s="12" t="s">
        <v>164</v>
      </c>
      <c r="U2454" s="13">
        <v>24</v>
      </c>
      <c r="V2454" s="12" t="s">
        <v>50</v>
      </c>
      <c r="W2454" s="12" t="s">
        <v>51</v>
      </c>
      <c r="X2454" s="14"/>
      <c r="Y2454" s="14"/>
      <c r="Z2454" s="14"/>
      <c r="AA2454" s="14"/>
      <c r="AB2454" s="14"/>
      <c r="AC2454" s="15">
        <v>22.75</v>
      </c>
      <c r="AD2454" s="15">
        <f>AC2454*AG2454</f>
        <v>45.5</v>
      </c>
      <c r="AE2454" s="15">
        <v>50</v>
      </c>
      <c r="AF2454" s="15">
        <f>AE2454*AG2454</f>
        <v>100</v>
      </c>
      <c r="AG2454" s="16">
        <v>2</v>
      </c>
    </row>
    <row r="2455" spans="1:33" ht="15" customHeight="1" x14ac:dyDescent="0.2">
      <c r="A2455" s="11" t="str">
        <f t="shared" si="994"/>
        <v>VN000CQ0Y091</v>
      </c>
      <c r="B2455" s="12" t="s">
        <v>9132</v>
      </c>
      <c r="C2455" s="12" t="s">
        <v>1422</v>
      </c>
      <c r="D2455" s="12" t="s">
        <v>7042</v>
      </c>
      <c r="E2455" s="12" t="s">
        <v>9133</v>
      </c>
      <c r="F2455" s="13">
        <v>85</v>
      </c>
      <c r="G2455" s="12" t="s">
        <v>7044</v>
      </c>
      <c r="H2455" s="12" t="s">
        <v>38</v>
      </c>
      <c r="I2455" s="12" t="s">
        <v>242</v>
      </c>
      <c r="J2455" s="12" t="s">
        <v>243</v>
      </c>
      <c r="K2455" s="12" t="s">
        <v>244</v>
      </c>
      <c r="L2455" s="14"/>
      <c r="M2455" s="12" t="s">
        <v>43</v>
      </c>
      <c r="N2455" s="12" t="s">
        <v>84</v>
      </c>
      <c r="O2455" s="12" t="s">
        <v>9134</v>
      </c>
      <c r="P2455" s="12" t="s">
        <v>46</v>
      </c>
      <c r="Q2455" s="12" t="s">
        <v>47</v>
      </c>
      <c r="R2455" s="12" t="s">
        <v>313</v>
      </c>
      <c r="S2455" s="13">
        <v>197804509119</v>
      </c>
      <c r="T2455" s="12" t="s">
        <v>164</v>
      </c>
      <c r="U2455" s="13">
        <v>25</v>
      </c>
      <c r="V2455" s="12" t="s">
        <v>50</v>
      </c>
      <c r="W2455" s="12" t="s">
        <v>51</v>
      </c>
      <c r="X2455" s="14"/>
      <c r="Y2455" s="14"/>
      <c r="Z2455" s="14"/>
      <c r="AA2455" s="14"/>
      <c r="AB2455" s="14"/>
      <c r="AC2455" s="15">
        <v>22.75</v>
      </c>
      <c r="AD2455" s="15">
        <f>AC2455*AG2455</f>
        <v>45.5</v>
      </c>
      <c r="AE2455" s="15">
        <v>50</v>
      </c>
      <c r="AF2455" s="15">
        <f>AE2455*AG2455</f>
        <v>100</v>
      </c>
      <c r="AG2455" s="16">
        <v>2</v>
      </c>
    </row>
    <row r="2456" spans="1:33" ht="15" customHeight="1" x14ac:dyDescent="0.2">
      <c r="A2456" s="11" t="str">
        <f t="shared" si="994"/>
        <v>VN000CQ0Y091</v>
      </c>
      <c r="B2456" s="12" t="s">
        <v>9135</v>
      </c>
      <c r="C2456" s="12" t="s">
        <v>1422</v>
      </c>
      <c r="D2456" s="12" t="s">
        <v>7042</v>
      </c>
      <c r="E2456" s="12" t="s">
        <v>9136</v>
      </c>
      <c r="F2456" s="13">
        <v>95</v>
      </c>
      <c r="G2456" s="12" t="s">
        <v>7044</v>
      </c>
      <c r="H2456" s="12" t="s">
        <v>38</v>
      </c>
      <c r="I2456" s="12" t="s">
        <v>242</v>
      </c>
      <c r="J2456" s="12" t="s">
        <v>243</v>
      </c>
      <c r="K2456" s="12" t="s">
        <v>244</v>
      </c>
      <c r="L2456" s="14"/>
      <c r="M2456" s="12" t="s">
        <v>43</v>
      </c>
      <c r="N2456" s="12" t="s">
        <v>84</v>
      </c>
      <c r="O2456" s="12" t="s">
        <v>9137</v>
      </c>
      <c r="P2456" s="12" t="s">
        <v>46</v>
      </c>
      <c r="Q2456" s="12" t="s">
        <v>47</v>
      </c>
      <c r="R2456" s="12" t="s">
        <v>313</v>
      </c>
      <c r="S2456" s="13">
        <v>197804509393</v>
      </c>
      <c r="T2456" s="12" t="s">
        <v>164</v>
      </c>
      <c r="U2456" s="13">
        <v>26</v>
      </c>
      <c r="V2456" s="12" t="s">
        <v>50</v>
      </c>
      <c r="W2456" s="12" t="s">
        <v>51</v>
      </c>
      <c r="X2456" s="14"/>
      <c r="Y2456" s="14"/>
      <c r="Z2456" s="14"/>
      <c r="AA2456" s="14"/>
      <c r="AB2456" s="14"/>
      <c r="AC2456" s="15">
        <v>22.75</v>
      </c>
      <c r="AD2456" s="15">
        <f>AC2456*AG2456</f>
        <v>45.5</v>
      </c>
      <c r="AE2456" s="15">
        <v>50</v>
      </c>
      <c r="AF2456" s="15">
        <f>AE2456*AG2456</f>
        <v>100</v>
      </c>
      <c r="AG2456" s="16">
        <v>2</v>
      </c>
    </row>
    <row r="2457" spans="1:33" ht="15" customHeight="1" x14ac:dyDescent="0.2">
      <c r="A2457" s="11" t="str">
        <f>HYPERLINK("https://assets.vans.eu/images/VN000CQF2VM-HERO/1","VN000CQF2VM1")</f>
        <v>VN000CQF2VM1</v>
      </c>
      <c r="B2457" s="12" t="s">
        <v>9138</v>
      </c>
      <c r="C2457" s="12" t="s">
        <v>9139</v>
      </c>
      <c r="D2457" s="12" t="s">
        <v>9140</v>
      </c>
      <c r="E2457" s="12" t="s">
        <v>9141</v>
      </c>
      <c r="F2457" s="13">
        <v>65</v>
      </c>
      <c r="G2457" s="12" t="s">
        <v>9142</v>
      </c>
      <c r="H2457" s="12" t="s">
        <v>38</v>
      </c>
      <c r="I2457" s="12" t="s">
        <v>159</v>
      </c>
      <c r="J2457" s="12" t="s">
        <v>341</v>
      </c>
      <c r="K2457" s="12" t="s">
        <v>82</v>
      </c>
      <c r="L2457" s="14"/>
      <c r="M2457" s="12" t="s">
        <v>43</v>
      </c>
      <c r="N2457" s="12" t="s">
        <v>161</v>
      </c>
      <c r="O2457" s="12" t="s">
        <v>9143</v>
      </c>
      <c r="P2457" s="12" t="s">
        <v>46</v>
      </c>
      <c r="Q2457" s="12" t="s">
        <v>47</v>
      </c>
      <c r="R2457" s="12" t="s">
        <v>163</v>
      </c>
      <c r="S2457" s="13">
        <v>197065724474</v>
      </c>
      <c r="T2457" s="12" t="s">
        <v>105</v>
      </c>
      <c r="U2457" s="13">
        <v>38.5</v>
      </c>
      <c r="V2457" s="12" t="s">
        <v>9144</v>
      </c>
      <c r="W2457" s="12" t="s">
        <v>455</v>
      </c>
      <c r="X2457" s="14"/>
      <c r="Y2457" s="12" t="s">
        <v>1011</v>
      </c>
      <c r="Z2457" s="12" t="s">
        <v>263</v>
      </c>
      <c r="AA2457" s="14"/>
      <c r="AB2457" s="14"/>
      <c r="AC2457" s="15">
        <v>62.5</v>
      </c>
      <c r="AD2457" s="15">
        <f>AC2457*AG2457</f>
        <v>125</v>
      </c>
      <c r="AE2457" s="15">
        <v>150</v>
      </c>
      <c r="AF2457" s="15">
        <f>AE2457*AG2457</f>
        <v>300</v>
      </c>
      <c r="AG2457" s="16">
        <v>2</v>
      </c>
    </row>
    <row r="2458" spans="1:33" ht="15" customHeight="1" x14ac:dyDescent="0.2">
      <c r="A2458" s="11" t="str">
        <f t="shared" ref="A2458:A3806" si="995">HYPERLINK("https://assets.vans.eu/images/VN000CQFBL2-HERO/1","VN000CQFBL21")</f>
        <v>VN000CQFBL21</v>
      </c>
      <c r="B2458" s="12" t="s">
        <v>9145</v>
      </c>
      <c r="C2458" s="12" t="s">
        <v>9139</v>
      </c>
      <c r="D2458" s="12" t="s">
        <v>686</v>
      </c>
      <c r="E2458" s="12" t="s">
        <v>9146</v>
      </c>
      <c r="F2458" s="13">
        <v>65</v>
      </c>
      <c r="G2458" s="12" t="s">
        <v>9142</v>
      </c>
      <c r="H2458" s="12" t="s">
        <v>38</v>
      </c>
      <c r="I2458" s="12" t="s">
        <v>159</v>
      </c>
      <c r="J2458" s="12" t="s">
        <v>341</v>
      </c>
      <c r="K2458" s="12" t="s">
        <v>82</v>
      </c>
      <c r="L2458" s="14"/>
      <c r="M2458" s="12" t="s">
        <v>43</v>
      </c>
      <c r="N2458" s="12" t="s">
        <v>161</v>
      </c>
      <c r="O2458" s="12" t="s">
        <v>9147</v>
      </c>
      <c r="P2458" s="12" t="s">
        <v>46</v>
      </c>
      <c r="Q2458" s="12" t="s">
        <v>47</v>
      </c>
      <c r="R2458" s="12" t="s">
        <v>163</v>
      </c>
      <c r="S2458" s="13">
        <v>197065724818</v>
      </c>
      <c r="T2458" s="12" t="s">
        <v>105</v>
      </c>
      <c r="U2458" s="13">
        <v>38.5</v>
      </c>
      <c r="V2458" s="12" t="s">
        <v>9144</v>
      </c>
      <c r="W2458" s="12" t="s">
        <v>186</v>
      </c>
      <c r="X2458" s="14"/>
      <c r="Y2458" s="12" t="s">
        <v>1011</v>
      </c>
      <c r="Z2458" s="12" t="s">
        <v>263</v>
      </c>
      <c r="AA2458" s="14"/>
      <c r="AB2458" s="14"/>
      <c r="AC2458" s="15">
        <v>62.5</v>
      </c>
      <c r="AD2458" s="15">
        <f>AC2458*AG2458</f>
        <v>125</v>
      </c>
      <c r="AE2458" s="15">
        <v>150</v>
      </c>
      <c r="AF2458" s="15">
        <f>AE2458*AG2458</f>
        <v>300</v>
      </c>
      <c r="AG2458" s="16">
        <v>2</v>
      </c>
    </row>
    <row r="2459" spans="1:33" ht="15" customHeight="1" x14ac:dyDescent="0.2">
      <c r="A2459" s="11" t="str">
        <f>HYPERLINK("https://assets.vans.eu/images/VN000CQRCFL-HERO/1","VN000CQRCFL1")</f>
        <v>VN000CQRCFL1</v>
      </c>
      <c r="B2459" s="12" t="s">
        <v>9148</v>
      </c>
      <c r="C2459" s="12" t="s">
        <v>1458</v>
      </c>
      <c r="D2459" s="12" t="s">
        <v>1258</v>
      </c>
      <c r="E2459" s="12" t="s">
        <v>9149</v>
      </c>
      <c r="F2459" s="13">
        <v>50</v>
      </c>
      <c r="G2459" s="12" t="s">
        <v>1852</v>
      </c>
      <c r="H2459" s="12" t="s">
        <v>38</v>
      </c>
      <c r="I2459" s="12" t="s">
        <v>113</v>
      </c>
      <c r="J2459" s="12" t="s">
        <v>529</v>
      </c>
      <c r="K2459" s="12" t="s">
        <v>82</v>
      </c>
      <c r="L2459" s="14"/>
      <c r="M2459" s="12" t="s">
        <v>43</v>
      </c>
      <c r="N2459" s="12" t="s">
        <v>44</v>
      </c>
      <c r="O2459" s="12" t="s">
        <v>9150</v>
      </c>
      <c r="P2459" s="12" t="s">
        <v>46</v>
      </c>
      <c r="Q2459" s="12" t="s">
        <v>47</v>
      </c>
      <c r="R2459" s="12" t="s">
        <v>117</v>
      </c>
      <c r="S2459" s="13">
        <v>197643237440</v>
      </c>
      <c r="T2459" s="12" t="s">
        <v>49</v>
      </c>
      <c r="U2459" s="13">
        <v>36.5</v>
      </c>
      <c r="V2459" s="12" t="s">
        <v>50</v>
      </c>
      <c r="W2459" s="12" t="s">
        <v>284</v>
      </c>
      <c r="X2459" s="14"/>
      <c r="Y2459" s="12" t="s">
        <v>53</v>
      </c>
      <c r="Z2459" s="12" t="s">
        <v>1462</v>
      </c>
      <c r="AA2459" s="14"/>
      <c r="AB2459" s="14"/>
      <c r="AC2459" s="15">
        <v>43.2</v>
      </c>
      <c r="AD2459" s="15">
        <f>AC2459*AG2459</f>
        <v>86.4</v>
      </c>
      <c r="AE2459" s="15">
        <v>95</v>
      </c>
      <c r="AF2459" s="15">
        <f>AE2459*AG2459</f>
        <v>190</v>
      </c>
      <c r="AG2459" s="16">
        <v>2</v>
      </c>
    </row>
    <row r="2460" spans="1:33" ht="15" customHeight="1" x14ac:dyDescent="0.2">
      <c r="A2460" s="11" t="str">
        <f t="shared" si="512"/>
        <v>VN000CQRYLZ1</v>
      </c>
      <c r="B2460" s="12" t="s">
        <v>9151</v>
      </c>
      <c r="C2460" s="12" t="s">
        <v>1458</v>
      </c>
      <c r="D2460" s="12" t="s">
        <v>458</v>
      </c>
      <c r="E2460" s="12" t="s">
        <v>9152</v>
      </c>
      <c r="F2460" s="13">
        <v>110</v>
      </c>
      <c r="G2460" s="12" t="s">
        <v>1852</v>
      </c>
      <c r="H2460" s="12" t="s">
        <v>38</v>
      </c>
      <c r="I2460" s="12" t="s">
        <v>113</v>
      </c>
      <c r="J2460" s="12" t="s">
        <v>529</v>
      </c>
      <c r="K2460" s="12" t="s">
        <v>82</v>
      </c>
      <c r="L2460" s="14"/>
      <c r="M2460" s="12" t="s">
        <v>43</v>
      </c>
      <c r="N2460" s="12" t="s">
        <v>44</v>
      </c>
      <c r="O2460" s="12" t="s">
        <v>9153</v>
      </c>
      <c r="P2460" s="12" t="s">
        <v>46</v>
      </c>
      <c r="Q2460" s="12" t="s">
        <v>47</v>
      </c>
      <c r="R2460" s="12" t="s">
        <v>117</v>
      </c>
      <c r="S2460" s="13">
        <v>197643239635</v>
      </c>
      <c r="T2460" s="12" t="s">
        <v>49</v>
      </c>
      <c r="U2460" s="13">
        <v>44.5</v>
      </c>
      <c r="V2460" s="12" t="s">
        <v>50</v>
      </c>
      <c r="W2460" s="12" t="s">
        <v>299</v>
      </c>
      <c r="X2460" s="14"/>
      <c r="Y2460" s="12" t="s">
        <v>53</v>
      </c>
      <c r="Z2460" s="12" t="s">
        <v>1462</v>
      </c>
      <c r="AA2460" s="14"/>
      <c r="AB2460" s="14"/>
      <c r="AC2460" s="15">
        <v>43.2</v>
      </c>
      <c r="AD2460" s="15">
        <f>AC2460*AG2460</f>
        <v>86.4</v>
      </c>
      <c r="AE2460" s="15">
        <v>95</v>
      </c>
      <c r="AF2460" s="15">
        <f>AE2460*AG2460</f>
        <v>190</v>
      </c>
      <c r="AG2460" s="16">
        <v>2</v>
      </c>
    </row>
    <row r="2461" spans="1:33" ht="15" customHeight="1" x14ac:dyDescent="0.2">
      <c r="A2461" s="11" t="str">
        <f t="shared" ref="A2461:A3820" si="996">HYPERLINK("https://assets.vans.eu/images/VN000CR5EPO-HERO/1","VN000CR5EPO1")</f>
        <v>VN000CR5EPO1</v>
      </c>
      <c r="B2461" s="12" t="s">
        <v>9154</v>
      </c>
      <c r="C2461" s="12" t="s">
        <v>34</v>
      </c>
      <c r="D2461" s="12" t="s">
        <v>9155</v>
      </c>
      <c r="E2461" s="12" t="s">
        <v>9156</v>
      </c>
      <c r="F2461" s="13">
        <v>70</v>
      </c>
      <c r="G2461" s="14"/>
      <c r="H2461" s="12" t="s">
        <v>38</v>
      </c>
      <c r="I2461" s="12" t="s">
        <v>159</v>
      </c>
      <c r="J2461" s="12" t="s">
        <v>160</v>
      </c>
      <c r="K2461" s="12" t="s">
        <v>82</v>
      </c>
      <c r="L2461" s="14"/>
      <c r="M2461" s="12" t="s">
        <v>43</v>
      </c>
      <c r="N2461" s="12" t="s">
        <v>44</v>
      </c>
      <c r="O2461" s="12" t="s">
        <v>9157</v>
      </c>
      <c r="P2461" s="12" t="s">
        <v>46</v>
      </c>
      <c r="Q2461" s="12" t="s">
        <v>47</v>
      </c>
      <c r="R2461" s="12" t="s">
        <v>163</v>
      </c>
      <c r="S2461" s="13">
        <v>197643238577</v>
      </c>
      <c r="T2461" s="12" t="s">
        <v>49</v>
      </c>
      <c r="U2461" s="13">
        <v>39</v>
      </c>
      <c r="V2461" s="12" t="s">
        <v>50</v>
      </c>
      <c r="W2461" s="12" t="s">
        <v>455</v>
      </c>
      <c r="X2461" s="14"/>
      <c r="Y2461" s="12" t="s">
        <v>91</v>
      </c>
      <c r="Z2461" s="12" t="s">
        <v>2600</v>
      </c>
      <c r="AA2461" s="14"/>
      <c r="AB2461" s="14"/>
      <c r="AC2461" s="15">
        <v>38.65</v>
      </c>
      <c r="AD2461" s="15">
        <f>AC2461*AG2461</f>
        <v>77.3</v>
      </c>
      <c r="AE2461" s="15">
        <v>85</v>
      </c>
      <c r="AF2461" s="15">
        <f>AE2461*AG2461</f>
        <v>170</v>
      </c>
      <c r="AG2461" s="16">
        <v>2</v>
      </c>
    </row>
    <row r="2462" spans="1:33" ht="15" customHeight="1" x14ac:dyDescent="0.2">
      <c r="A2462" s="11" t="str">
        <f>HYPERLINK("https://assets.vans.eu/images/VN000CRRBJ4-HERO/1","VN000CRRBJ41")</f>
        <v>VN000CRRBJ41</v>
      </c>
      <c r="B2462" s="12" t="s">
        <v>9158</v>
      </c>
      <c r="C2462" s="12" t="s">
        <v>2125</v>
      </c>
      <c r="D2462" s="12" t="s">
        <v>3886</v>
      </c>
      <c r="E2462" s="12" t="s">
        <v>9159</v>
      </c>
      <c r="F2462" s="13">
        <v>45</v>
      </c>
      <c r="G2462" s="14"/>
      <c r="H2462" s="12" t="s">
        <v>38</v>
      </c>
      <c r="I2462" s="12" t="s">
        <v>113</v>
      </c>
      <c r="J2462" s="12" t="s">
        <v>529</v>
      </c>
      <c r="K2462" s="12" t="s">
        <v>82</v>
      </c>
      <c r="L2462" s="14"/>
      <c r="M2462" s="12" t="s">
        <v>43</v>
      </c>
      <c r="N2462" s="12" t="s">
        <v>84</v>
      </c>
      <c r="O2462" s="12" t="s">
        <v>9160</v>
      </c>
      <c r="P2462" s="12" t="s">
        <v>46</v>
      </c>
      <c r="Q2462" s="12" t="s">
        <v>47</v>
      </c>
      <c r="R2462" s="12" t="s">
        <v>117</v>
      </c>
      <c r="S2462" s="13">
        <v>197064652464</v>
      </c>
      <c r="T2462" s="12" t="s">
        <v>49</v>
      </c>
      <c r="U2462" s="13">
        <v>36</v>
      </c>
      <c r="V2462" s="12" t="s">
        <v>209</v>
      </c>
      <c r="W2462" s="12" t="s">
        <v>51</v>
      </c>
      <c r="X2462" s="14"/>
      <c r="Y2462" s="12" t="s">
        <v>91</v>
      </c>
      <c r="Z2462" s="12" t="s">
        <v>165</v>
      </c>
      <c r="AA2462" s="14"/>
      <c r="AB2462" s="14"/>
      <c r="AC2462" s="15">
        <v>34.1</v>
      </c>
      <c r="AD2462" s="15">
        <f>AC2462*AG2462</f>
        <v>68.2</v>
      </c>
      <c r="AE2462" s="15">
        <v>75</v>
      </c>
      <c r="AF2462" s="15">
        <f>AE2462*AG2462</f>
        <v>150</v>
      </c>
      <c r="AG2462" s="16">
        <v>2</v>
      </c>
    </row>
    <row r="2463" spans="1:33" ht="15" customHeight="1" x14ac:dyDescent="0.2">
      <c r="A2463" s="11" t="str">
        <f>HYPERLINK("https://assets.vans.eu/images/VN000CRRBJ4-HERO/1","VN000CRRBJ41")</f>
        <v>VN000CRRBJ41</v>
      </c>
      <c r="B2463" s="12" t="s">
        <v>9161</v>
      </c>
      <c r="C2463" s="12" t="s">
        <v>2125</v>
      </c>
      <c r="D2463" s="12" t="s">
        <v>3886</v>
      </c>
      <c r="E2463" s="12" t="s">
        <v>9162</v>
      </c>
      <c r="F2463" s="13">
        <v>130</v>
      </c>
      <c r="G2463" s="14"/>
      <c r="H2463" s="12" t="s">
        <v>38</v>
      </c>
      <c r="I2463" s="12" t="s">
        <v>113</v>
      </c>
      <c r="J2463" s="12" t="s">
        <v>529</v>
      </c>
      <c r="K2463" s="12" t="s">
        <v>82</v>
      </c>
      <c r="L2463" s="14"/>
      <c r="M2463" s="12" t="s">
        <v>43</v>
      </c>
      <c r="N2463" s="12" t="s">
        <v>84</v>
      </c>
      <c r="O2463" s="12" t="s">
        <v>9163</v>
      </c>
      <c r="P2463" s="12" t="s">
        <v>46</v>
      </c>
      <c r="Q2463" s="12" t="s">
        <v>47</v>
      </c>
      <c r="R2463" s="12" t="s">
        <v>117</v>
      </c>
      <c r="S2463" s="13">
        <v>197064655519</v>
      </c>
      <c r="T2463" s="12" t="s">
        <v>49</v>
      </c>
      <c r="U2463" s="13">
        <v>47</v>
      </c>
      <c r="V2463" s="12" t="s">
        <v>209</v>
      </c>
      <c r="W2463" s="12" t="s">
        <v>51</v>
      </c>
      <c r="X2463" s="14"/>
      <c r="Y2463" s="12" t="s">
        <v>91</v>
      </c>
      <c r="Z2463" s="12" t="s">
        <v>165</v>
      </c>
      <c r="AA2463" s="14"/>
      <c r="AB2463" s="14"/>
      <c r="AC2463" s="15">
        <v>34.1</v>
      </c>
      <c r="AD2463" s="15">
        <f>AC2463*AG2463</f>
        <v>68.2</v>
      </c>
      <c r="AE2463" s="15">
        <v>75</v>
      </c>
      <c r="AF2463" s="15">
        <f>AE2463*AG2463</f>
        <v>150</v>
      </c>
      <c r="AG2463" s="16">
        <v>2</v>
      </c>
    </row>
    <row r="2464" spans="1:33" ht="15" customHeight="1" x14ac:dyDescent="0.2">
      <c r="A2464" s="11" t="str">
        <f t="shared" ref="A2464:A3831" si="997">HYPERLINK("https://assets.vans.eu/images/VN000CS0BRO-HERO/1","VN000CS0BRO1")</f>
        <v>VN000CS0BRO1</v>
      </c>
      <c r="B2464" s="12" t="s">
        <v>9164</v>
      </c>
      <c r="C2464" s="12" t="s">
        <v>110</v>
      </c>
      <c r="D2464" s="12" t="s">
        <v>1471</v>
      </c>
      <c r="E2464" s="12" t="s">
        <v>9165</v>
      </c>
      <c r="F2464" s="13">
        <v>100</v>
      </c>
      <c r="G2464" s="14"/>
      <c r="H2464" s="12" t="s">
        <v>38</v>
      </c>
      <c r="I2464" s="12" t="s">
        <v>159</v>
      </c>
      <c r="J2464" s="12" t="s">
        <v>160</v>
      </c>
      <c r="K2464" s="12" t="s">
        <v>82</v>
      </c>
      <c r="L2464" s="14"/>
      <c r="M2464" s="12" t="s">
        <v>43</v>
      </c>
      <c r="N2464" s="12" t="s">
        <v>84</v>
      </c>
      <c r="O2464" s="12" t="s">
        <v>9166</v>
      </c>
      <c r="P2464" s="12" t="s">
        <v>46</v>
      </c>
      <c r="Q2464" s="12" t="s">
        <v>47</v>
      </c>
      <c r="R2464" s="12" t="s">
        <v>163</v>
      </c>
      <c r="S2464" s="13">
        <v>197065547455</v>
      </c>
      <c r="T2464" s="12" t="s">
        <v>49</v>
      </c>
      <c r="U2464" s="13">
        <v>43</v>
      </c>
      <c r="V2464" s="12" t="s">
        <v>50</v>
      </c>
      <c r="W2464" s="12" t="s">
        <v>186</v>
      </c>
      <c r="X2464" s="14"/>
      <c r="Y2464" s="12" t="s">
        <v>53</v>
      </c>
      <c r="Z2464" s="12" t="s">
        <v>165</v>
      </c>
      <c r="AA2464" s="14"/>
      <c r="AB2464" s="14"/>
      <c r="AC2464" s="15">
        <v>45.5</v>
      </c>
      <c r="AD2464" s="15">
        <f>AC2464*AG2464</f>
        <v>91</v>
      </c>
      <c r="AE2464" s="15">
        <v>100</v>
      </c>
      <c r="AF2464" s="15">
        <f>AE2464*AG2464</f>
        <v>200</v>
      </c>
      <c r="AG2464" s="16">
        <v>2</v>
      </c>
    </row>
    <row r="2465" spans="1:33" ht="15" customHeight="1" x14ac:dyDescent="0.2">
      <c r="A2465" s="11" t="str">
        <f t="shared" si="606"/>
        <v>VN000CS0D4C1</v>
      </c>
      <c r="B2465" s="12" t="s">
        <v>9167</v>
      </c>
      <c r="C2465" s="12" t="s">
        <v>110</v>
      </c>
      <c r="D2465" s="12" t="s">
        <v>1454</v>
      </c>
      <c r="E2465" s="12" t="s">
        <v>9168</v>
      </c>
      <c r="F2465" s="13">
        <v>80</v>
      </c>
      <c r="G2465" s="12" t="s">
        <v>5695</v>
      </c>
      <c r="H2465" s="12" t="s">
        <v>38</v>
      </c>
      <c r="I2465" s="12" t="s">
        <v>113</v>
      </c>
      <c r="J2465" s="12" t="s">
        <v>114</v>
      </c>
      <c r="K2465" s="12" t="s">
        <v>82</v>
      </c>
      <c r="L2465" s="14"/>
      <c r="M2465" s="12" t="s">
        <v>43</v>
      </c>
      <c r="N2465" s="12" t="s">
        <v>44</v>
      </c>
      <c r="O2465" s="12" t="s">
        <v>9169</v>
      </c>
      <c r="P2465" s="12" t="s">
        <v>46</v>
      </c>
      <c r="Q2465" s="12" t="s">
        <v>47</v>
      </c>
      <c r="R2465" s="12" t="s">
        <v>117</v>
      </c>
      <c r="S2465" s="13">
        <v>197065546915</v>
      </c>
      <c r="T2465" s="12" t="s">
        <v>164</v>
      </c>
      <c r="U2465" s="13">
        <v>40.5</v>
      </c>
      <c r="V2465" s="12" t="s">
        <v>50</v>
      </c>
      <c r="W2465" s="12" t="s">
        <v>186</v>
      </c>
      <c r="X2465" s="14"/>
      <c r="Y2465" s="12" t="s">
        <v>53</v>
      </c>
      <c r="Z2465" s="12" t="s">
        <v>263</v>
      </c>
      <c r="AA2465" s="14"/>
      <c r="AB2465" s="14"/>
      <c r="AC2465" s="15">
        <v>43.2</v>
      </c>
      <c r="AD2465" s="15">
        <f>AC2465*AG2465</f>
        <v>86.4</v>
      </c>
      <c r="AE2465" s="15">
        <v>95</v>
      </c>
      <c r="AF2465" s="15">
        <f>AE2465*AG2465</f>
        <v>190</v>
      </c>
      <c r="AG2465" s="16">
        <v>2</v>
      </c>
    </row>
    <row r="2466" spans="1:33" ht="15" customHeight="1" x14ac:dyDescent="0.2">
      <c r="A2466" s="11" t="str">
        <f t="shared" si="764"/>
        <v>VN000CS3ULE1</v>
      </c>
      <c r="B2466" s="12" t="s">
        <v>9170</v>
      </c>
      <c r="C2466" s="12" t="s">
        <v>695</v>
      </c>
      <c r="D2466" s="12" t="s">
        <v>7016</v>
      </c>
      <c r="E2466" s="12" t="s">
        <v>9171</v>
      </c>
      <c r="F2466" s="13">
        <v>85</v>
      </c>
      <c r="G2466" s="12" t="s">
        <v>7018</v>
      </c>
      <c r="H2466" s="12" t="s">
        <v>38</v>
      </c>
      <c r="I2466" s="12" t="s">
        <v>159</v>
      </c>
      <c r="J2466" s="12" t="s">
        <v>160</v>
      </c>
      <c r="K2466" s="12" t="s">
        <v>199</v>
      </c>
      <c r="L2466" s="12" t="s">
        <v>350</v>
      </c>
      <c r="M2466" s="12" t="s">
        <v>43</v>
      </c>
      <c r="N2466" s="12" t="s">
        <v>84</v>
      </c>
      <c r="O2466" s="12" t="s">
        <v>9172</v>
      </c>
      <c r="P2466" s="12" t="s">
        <v>46</v>
      </c>
      <c r="Q2466" s="12" t="s">
        <v>47</v>
      </c>
      <c r="R2466" s="12" t="s">
        <v>343</v>
      </c>
      <c r="S2466" s="13">
        <v>196575334852</v>
      </c>
      <c r="T2466" s="12" t="s">
        <v>49</v>
      </c>
      <c r="U2466" s="13">
        <v>41</v>
      </c>
      <c r="V2466" s="12" t="s">
        <v>50</v>
      </c>
      <c r="W2466" s="12" t="s">
        <v>186</v>
      </c>
      <c r="X2466" s="14"/>
      <c r="Y2466" s="12" t="s">
        <v>71</v>
      </c>
      <c r="Z2466" s="12" t="s">
        <v>92</v>
      </c>
      <c r="AA2466" s="12" t="s">
        <v>354</v>
      </c>
      <c r="AB2466" s="12" t="s">
        <v>888</v>
      </c>
      <c r="AC2466" s="15">
        <v>47.65</v>
      </c>
      <c r="AD2466" s="15">
        <f>AC2466*AG2466</f>
        <v>95.3</v>
      </c>
      <c r="AE2466" s="15">
        <v>100</v>
      </c>
      <c r="AF2466" s="15">
        <f>AE2466*AG2466</f>
        <v>200</v>
      </c>
      <c r="AG2466" s="16">
        <v>2</v>
      </c>
    </row>
    <row r="2467" spans="1:33" ht="15" customHeight="1" x14ac:dyDescent="0.2">
      <c r="A2467" s="11" t="str">
        <f t="shared" si="514"/>
        <v>VN000CT8HCZ1</v>
      </c>
      <c r="B2467" s="12" t="s">
        <v>9173</v>
      </c>
      <c r="C2467" s="12" t="s">
        <v>34</v>
      </c>
      <c r="D2467" s="12" t="s">
        <v>4885</v>
      </c>
      <c r="E2467" s="12" t="s">
        <v>9174</v>
      </c>
      <c r="F2467" s="13">
        <v>65</v>
      </c>
      <c r="G2467" s="14"/>
      <c r="H2467" s="12" t="s">
        <v>38</v>
      </c>
      <c r="I2467" s="12" t="s">
        <v>113</v>
      </c>
      <c r="J2467" s="12" t="s">
        <v>114</v>
      </c>
      <c r="K2467" s="12" t="s">
        <v>82</v>
      </c>
      <c r="L2467" s="14"/>
      <c r="M2467" s="12" t="s">
        <v>43</v>
      </c>
      <c r="N2467" s="12" t="s">
        <v>84</v>
      </c>
      <c r="O2467" s="12" t="s">
        <v>9175</v>
      </c>
      <c r="P2467" s="12" t="s">
        <v>46</v>
      </c>
      <c r="Q2467" s="12" t="s">
        <v>47</v>
      </c>
      <c r="R2467" s="12" t="s">
        <v>117</v>
      </c>
      <c r="S2467" s="13">
        <v>197065647094</v>
      </c>
      <c r="T2467" s="12" t="s">
        <v>49</v>
      </c>
      <c r="U2467" s="13">
        <v>38.5</v>
      </c>
      <c r="V2467" s="12" t="s">
        <v>50</v>
      </c>
      <c r="W2467" s="12" t="s">
        <v>455</v>
      </c>
      <c r="X2467" s="14"/>
      <c r="Y2467" s="12" t="s">
        <v>91</v>
      </c>
      <c r="Z2467" s="12" t="s">
        <v>165</v>
      </c>
      <c r="AA2467" s="14"/>
      <c r="AB2467" s="14"/>
      <c r="AC2467" s="15">
        <v>36.4</v>
      </c>
      <c r="AD2467" s="15">
        <f>AC2467*AG2467</f>
        <v>72.8</v>
      </c>
      <c r="AE2467" s="15">
        <v>80</v>
      </c>
      <c r="AF2467" s="15">
        <f>AE2467*AG2467</f>
        <v>160</v>
      </c>
      <c r="AG2467" s="16">
        <v>2</v>
      </c>
    </row>
    <row r="2468" spans="1:33" ht="15" customHeight="1" x14ac:dyDescent="0.2">
      <c r="A2468" s="11" t="str">
        <f>HYPERLINK("https://assets.vans.eu/images/VN000CT8HCZ-HERO/1","VN000CT8HCZ1")</f>
        <v>VN000CT8HCZ1</v>
      </c>
      <c r="B2468" s="12" t="s">
        <v>9176</v>
      </c>
      <c r="C2468" s="12" t="s">
        <v>34</v>
      </c>
      <c r="D2468" s="12" t="s">
        <v>4885</v>
      </c>
      <c r="E2468" s="12" t="s">
        <v>9177</v>
      </c>
      <c r="F2468" s="13">
        <v>130</v>
      </c>
      <c r="G2468" s="14"/>
      <c r="H2468" s="12" t="s">
        <v>38</v>
      </c>
      <c r="I2468" s="12" t="s">
        <v>113</v>
      </c>
      <c r="J2468" s="12" t="s">
        <v>114</v>
      </c>
      <c r="K2468" s="12" t="s">
        <v>82</v>
      </c>
      <c r="L2468" s="14"/>
      <c r="M2468" s="12" t="s">
        <v>43</v>
      </c>
      <c r="N2468" s="12" t="s">
        <v>84</v>
      </c>
      <c r="O2468" s="12" t="s">
        <v>9178</v>
      </c>
      <c r="P2468" s="12" t="s">
        <v>46</v>
      </c>
      <c r="Q2468" s="12" t="s">
        <v>47</v>
      </c>
      <c r="R2468" s="12" t="s">
        <v>117</v>
      </c>
      <c r="S2468" s="13">
        <v>197065647742</v>
      </c>
      <c r="T2468" s="12" t="s">
        <v>49</v>
      </c>
      <c r="U2468" s="13">
        <v>47</v>
      </c>
      <c r="V2468" s="12" t="s">
        <v>50</v>
      </c>
      <c r="W2468" s="12" t="s">
        <v>455</v>
      </c>
      <c r="X2468" s="14"/>
      <c r="Y2468" s="12" t="s">
        <v>91</v>
      </c>
      <c r="Z2468" s="12" t="s">
        <v>165</v>
      </c>
      <c r="AA2468" s="14"/>
      <c r="AB2468" s="14"/>
      <c r="AC2468" s="15">
        <v>36.4</v>
      </c>
      <c r="AD2468" s="15">
        <f>AC2468*AG2468</f>
        <v>72.8</v>
      </c>
      <c r="AE2468" s="15">
        <v>80</v>
      </c>
      <c r="AF2468" s="15">
        <f>AE2468*AG2468</f>
        <v>160</v>
      </c>
      <c r="AG2468" s="16">
        <v>2</v>
      </c>
    </row>
    <row r="2469" spans="1:33" ht="15" customHeight="1" x14ac:dyDescent="0.2">
      <c r="A2469" s="11" t="str">
        <f t="shared" si="765"/>
        <v>VN000CTG1NU1</v>
      </c>
      <c r="B2469" s="12" t="s">
        <v>9179</v>
      </c>
      <c r="C2469" s="12" t="s">
        <v>238</v>
      </c>
      <c r="D2469" s="12" t="s">
        <v>783</v>
      </c>
      <c r="E2469" s="12" t="s">
        <v>9180</v>
      </c>
      <c r="F2469" s="13">
        <v>50</v>
      </c>
      <c r="G2469" s="12" t="s">
        <v>2273</v>
      </c>
      <c r="H2469" s="12" t="s">
        <v>38</v>
      </c>
      <c r="I2469" s="12" t="s">
        <v>242</v>
      </c>
      <c r="J2469" s="12" t="s">
        <v>243</v>
      </c>
      <c r="K2469" s="12" t="s">
        <v>244</v>
      </c>
      <c r="L2469" s="14"/>
      <c r="M2469" s="12" t="s">
        <v>43</v>
      </c>
      <c r="N2469" s="12" t="s">
        <v>84</v>
      </c>
      <c r="O2469" s="12" t="s">
        <v>9181</v>
      </c>
      <c r="P2469" s="12" t="s">
        <v>46</v>
      </c>
      <c r="Q2469" s="12" t="s">
        <v>47</v>
      </c>
      <c r="R2469" s="12" t="s">
        <v>48</v>
      </c>
      <c r="S2469" s="13">
        <v>197804511402</v>
      </c>
      <c r="T2469" s="12" t="s">
        <v>105</v>
      </c>
      <c r="U2469" s="13">
        <v>21</v>
      </c>
      <c r="V2469" s="12" t="s">
        <v>50</v>
      </c>
      <c r="W2469" s="12" t="s">
        <v>186</v>
      </c>
      <c r="X2469" s="14"/>
      <c r="Y2469" s="14"/>
      <c r="Z2469" s="14"/>
      <c r="AA2469" s="14"/>
      <c r="AB2469" s="14"/>
      <c r="AC2469" s="15">
        <v>22.75</v>
      </c>
      <c r="AD2469" s="15">
        <f>AC2469*AG2469</f>
        <v>45.5</v>
      </c>
      <c r="AE2469" s="15">
        <v>50</v>
      </c>
      <c r="AF2469" s="15">
        <f>AE2469*AG2469</f>
        <v>100</v>
      </c>
      <c r="AG2469" s="16">
        <v>2</v>
      </c>
    </row>
    <row r="2470" spans="1:33" ht="15" customHeight="1" x14ac:dyDescent="0.2">
      <c r="A2470" s="11" t="str">
        <f t="shared" ref="A2470:A3841" si="998">HYPERLINK("https://assets.vans.eu/images/VN000CTG1NU-HERO/1","VN000CTG1NU1")</f>
        <v>VN000CTG1NU1</v>
      </c>
      <c r="B2470" s="12" t="s">
        <v>9182</v>
      </c>
      <c r="C2470" s="12" t="s">
        <v>238</v>
      </c>
      <c r="D2470" s="12" t="s">
        <v>783</v>
      </c>
      <c r="E2470" s="12" t="s">
        <v>9183</v>
      </c>
      <c r="F2470" s="13">
        <v>70</v>
      </c>
      <c r="G2470" s="12" t="s">
        <v>2273</v>
      </c>
      <c r="H2470" s="12" t="s">
        <v>38</v>
      </c>
      <c r="I2470" s="12" t="s">
        <v>242</v>
      </c>
      <c r="J2470" s="12" t="s">
        <v>243</v>
      </c>
      <c r="K2470" s="12" t="s">
        <v>244</v>
      </c>
      <c r="L2470" s="14"/>
      <c r="M2470" s="12" t="s">
        <v>43</v>
      </c>
      <c r="N2470" s="12" t="s">
        <v>84</v>
      </c>
      <c r="O2470" s="12" t="s">
        <v>9184</v>
      </c>
      <c r="P2470" s="12" t="s">
        <v>46</v>
      </c>
      <c r="Q2470" s="12" t="s">
        <v>47</v>
      </c>
      <c r="R2470" s="12" t="s">
        <v>48</v>
      </c>
      <c r="S2470" s="13">
        <v>197804512034</v>
      </c>
      <c r="T2470" s="12" t="s">
        <v>105</v>
      </c>
      <c r="U2470" s="13">
        <v>23.5</v>
      </c>
      <c r="V2470" s="12" t="s">
        <v>50</v>
      </c>
      <c r="W2470" s="12" t="s">
        <v>186</v>
      </c>
      <c r="X2470" s="14"/>
      <c r="Y2470" s="14"/>
      <c r="Z2470" s="14"/>
      <c r="AA2470" s="14"/>
      <c r="AB2470" s="14"/>
      <c r="AC2470" s="15">
        <v>22.75</v>
      </c>
      <c r="AD2470" s="15">
        <f>AC2470*AG2470</f>
        <v>45.5</v>
      </c>
      <c r="AE2470" s="15">
        <v>50</v>
      </c>
      <c r="AF2470" s="15">
        <f>AE2470*AG2470</f>
        <v>100</v>
      </c>
      <c r="AG2470" s="16">
        <v>2</v>
      </c>
    </row>
    <row r="2471" spans="1:33" ht="15" customHeight="1" x14ac:dyDescent="0.2">
      <c r="A2471" s="11" t="str">
        <f>HYPERLINK("https://assets.vans.eu/images/VN000CTG448-HERO/1","VN000CTG4481")</f>
        <v>VN000CTG4481</v>
      </c>
      <c r="B2471" s="12" t="s">
        <v>9185</v>
      </c>
      <c r="C2471" s="12" t="s">
        <v>238</v>
      </c>
      <c r="D2471" s="12" t="s">
        <v>3898</v>
      </c>
      <c r="E2471" s="12" t="s">
        <v>9186</v>
      </c>
      <c r="F2471" s="13">
        <v>60</v>
      </c>
      <c r="G2471" s="12" t="s">
        <v>3900</v>
      </c>
      <c r="H2471" s="12" t="s">
        <v>38</v>
      </c>
      <c r="I2471" s="12" t="s">
        <v>242</v>
      </c>
      <c r="J2471" s="12" t="s">
        <v>243</v>
      </c>
      <c r="K2471" s="12" t="s">
        <v>244</v>
      </c>
      <c r="L2471" s="14"/>
      <c r="M2471" s="12" t="s">
        <v>43</v>
      </c>
      <c r="N2471" s="12" t="s">
        <v>84</v>
      </c>
      <c r="O2471" s="12" t="s">
        <v>9187</v>
      </c>
      <c r="P2471" s="12" t="s">
        <v>46</v>
      </c>
      <c r="Q2471" s="12" t="s">
        <v>47</v>
      </c>
      <c r="R2471" s="12" t="s">
        <v>48</v>
      </c>
      <c r="S2471" s="13">
        <v>197804670277</v>
      </c>
      <c r="T2471" s="12" t="s">
        <v>49</v>
      </c>
      <c r="U2471" s="13">
        <v>22</v>
      </c>
      <c r="V2471" s="12" t="s">
        <v>50</v>
      </c>
      <c r="W2471" s="12" t="s">
        <v>175</v>
      </c>
      <c r="X2471" s="14"/>
      <c r="Y2471" s="14"/>
      <c r="Z2471" s="14"/>
      <c r="AA2471" s="14"/>
      <c r="AB2471" s="14"/>
      <c r="AC2471" s="15">
        <v>20.5</v>
      </c>
      <c r="AD2471" s="15">
        <f>AC2471*AG2471</f>
        <v>41</v>
      </c>
      <c r="AE2471" s="15">
        <v>45</v>
      </c>
      <c r="AF2471" s="15">
        <f>AE2471*AG2471</f>
        <v>90</v>
      </c>
      <c r="AG2471" s="16">
        <v>2</v>
      </c>
    </row>
    <row r="2472" spans="1:33" ht="15" customHeight="1" x14ac:dyDescent="0.2">
      <c r="A2472" s="11" t="str">
        <f>HYPERLINK("https://assets.vans.eu/images/VN000CTG7VF-HERO/1","VN000CTG7VF1")</f>
        <v>VN000CTG7VF1</v>
      </c>
      <c r="B2472" s="12" t="s">
        <v>9188</v>
      </c>
      <c r="C2472" s="12" t="s">
        <v>238</v>
      </c>
      <c r="D2472" s="12" t="s">
        <v>641</v>
      </c>
      <c r="E2472" s="12" t="s">
        <v>9189</v>
      </c>
      <c r="F2472" s="13">
        <v>20</v>
      </c>
      <c r="G2472" s="12" t="s">
        <v>643</v>
      </c>
      <c r="H2472" s="12" t="s">
        <v>38</v>
      </c>
      <c r="I2472" s="12" t="s">
        <v>242</v>
      </c>
      <c r="J2472" s="12" t="s">
        <v>243</v>
      </c>
      <c r="K2472" s="12" t="s">
        <v>244</v>
      </c>
      <c r="L2472" s="14"/>
      <c r="M2472" s="12" t="s">
        <v>43</v>
      </c>
      <c r="N2472" s="12" t="s">
        <v>84</v>
      </c>
      <c r="O2472" s="12" t="s">
        <v>9190</v>
      </c>
      <c r="P2472" s="12" t="s">
        <v>46</v>
      </c>
      <c r="Q2472" s="12" t="s">
        <v>47</v>
      </c>
      <c r="R2472" s="12" t="s">
        <v>48</v>
      </c>
      <c r="S2472" s="13">
        <v>197804510412</v>
      </c>
      <c r="T2472" s="12" t="s">
        <v>49</v>
      </c>
      <c r="U2472" s="13">
        <v>17</v>
      </c>
      <c r="V2472" s="12" t="s">
        <v>278</v>
      </c>
      <c r="W2472" s="12" t="s">
        <v>455</v>
      </c>
      <c r="X2472" s="14"/>
      <c r="Y2472" s="14"/>
      <c r="Z2472" s="14"/>
      <c r="AA2472" s="14"/>
      <c r="AB2472" s="14"/>
      <c r="AC2472" s="15">
        <v>25</v>
      </c>
      <c r="AD2472" s="15">
        <f>AC2472*AG2472</f>
        <v>50</v>
      </c>
      <c r="AE2472" s="15">
        <v>55</v>
      </c>
      <c r="AF2472" s="15">
        <f>AE2472*AG2472</f>
        <v>110</v>
      </c>
      <c r="AG2472" s="16">
        <v>2</v>
      </c>
    </row>
    <row r="2473" spans="1:33" ht="15" customHeight="1" x14ac:dyDescent="0.2">
      <c r="A2473" s="11" t="str">
        <f>HYPERLINK("https://assets.vans.eu/images/VN000CTG7VF-HERO/1","VN000CTG7VF1")</f>
        <v>VN000CTG7VF1</v>
      </c>
      <c r="B2473" s="12" t="s">
        <v>9191</v>
      </c>
      <c r="C2473" s="12" t="s">
        <v>238</v>
      </c>
      <c r="D2473" s="12" t="s">
        <v>641</v>
      </c>
      <c r="E2473" s="12" t="s">
        <v>9192</v>
      </c>
      <c r="F2473" s="13">
        <v>45</v>
      </c>
      <c r="G2473" s="12" t="s">
        <v>643</v>
      </c>
      <c r="H2473" s="12" t="s">
        <v>38</v>
      </c>
      <c r="I2473" s="12" t="s">
        <v>242</v>
      </c>
      <c r="J2473" s="12" t="s">
        <v>243</v>
      </c>
      <c r="K2473" s="12" t="s">
        <v>244</v>
      </c>
      <c r="L2473" s="14"/>
      <c r="M2473" s="12" t="s">
        <v>43</v>
      </c>
      <c r="N2473" s="12" t="s">
        <v>84</v>
      </c>
      <c r="O2473" s="12" t="s">
        <v>9193</v>
      </c>
      <c r="P2473" s="12" t="s">
        <v>46</v>
      </c>
      <c r="Q2473" s="12" t="s">
        <v>47</v>
      </c>
      <c r="R2473" s="12" t="s">
        <v>48</v>
      </c>
      <c r="S2473" s="13">
        <v>197804511365</v>
      </c>
      <c r="T2473" s="12" t="s">
        <v>49</v>
      </c>
      <c r="U2473" s="13">
        <v>20</v>
      </c>
      <c r="V2473" s="12" t="s">
        <v>278</v>
      </c>
      <c r="W2473" s="12" t="s">
        <v>455</v>
      </c>
      <c r="X2473" s="14"/>
      <c r="Y2473" s="14"/>
      <c r="Z2473" s="14"/>
      <c r="AA2473" s="14"/>
      <c r="AB2473" s="14"/>
      <c r="AC2473" s="15">
        <v>25</v>
      </c>
      <c r="AD2473" s="15">
        <f>AC2473*AG2473</f>
        <v>50</v>
      </c>
      <c r="AE2473" s="15">
        <v>55</v>
      </c>
      <c r="AF2473" s="15">
        <f>AE2473*AG2473</f>
        <v>110</v>
      </c>
      <c r="AG2473" s="16">
        <v>2</v>
      </c>
    </row>
    <row r="2474" spans="1:33" ht="15" customHeight="1" x14ac:dyDescent="0.2">
      <c r="A2474" s="11" t="str">
        <f t="shared" si="767"/>
        <v>VN000CTGPIB1</v>
      </c>
      <c r="B2474" s="12" t="s">
        <v>9194</v>
      </c>
      <c r="C2474" s="12" t="s">
        <v>238</v>
      </c>
      <c r="D2474" s="12" t="s">
        <v>829</v>
      </c>
      <c r="E2474" s="12" t="s">
        <v>9195</v>
      </c>
      <c r="F2474" s="13">
        <v>45</v>
      </c>
      <c r="G2474" s="12" t="s">
        <v>831</v>
      </c>
      <c r="H2474" s="12" t="s">
        <v>38</v>
      </c>
      <c r="I2474" s="12" t="s">
        <v>242</v>
      </c>
      <c r="J2474" s="12" t="s">
        <v>243</v>
      </c>
      <c r="K2474" s="12" t="s">
        <v>244</v>
      </c>
      <c r="L2474" s="14"/>
      <c r="M2474" s="12" t="s">
        <v>43</v>
      </c>
      <c r="N2474" s="12" t="s">
        <v>84</v>
      </c>
      <c r="O2474" s="12" t="s">
        <v>9196</v>
      </c>
      <c r="P2474" s="12" t="s">
        <v>46</v>
      </c>
      <c r="Q2474" s="12" t="s">
        <v>47</v>
      </c>
      <c r="R2474" s="12" t="s">
        <v>48</v>
      </c>
      <c r="S2474" s="13">
        <v>197804512942</v>
      </c>
      <c r="T2474" s="12" t="s">
        <v>49</v>
      </c>
      <c r="U2474" s="13">
        <v>20</v>
      </c>
      <c r="V2474" s="12" t="s">
        <v>50</v>
      </c>
      <c r="W2474" s="12" t="s">
        <v>299</v>
      </c>
      <c r="X2474" s="14"/>
      <c r="Y2474" s="14"/>
      <c r="Z2474" s="14"/>
      <c r="AA2474" s="14"/>
      <c r="AB2474" s="14"/>
      <c r="AC2474" s="15">
        <v>22.75</v>
      </c>
      <c r="AD2474" s="15">
        <f>AC2474*AG2474</f>
        <v>45.5</v>
      </c>
      <c r="AE2474" s="15">
        <v>50</v>
      </c>
      <c r="AF2474" s="15">
        <f>AE2474*AG2474</f>
        <v>100</v>
      </c>
      <c r="AG2474" s="16">
        <v>2</v>
      </c>
    </row>
    <row r="2475" spans="1:33" ht="15" customHeight="1" x14ac:dyDescent="0.2">
      <c r="A2475" s="11" t="str">
        <f t="shared" ref="A2475:A2476" si="999">HYPERLINK("https://assets.vans.eu/images/VN000CTGPIB-HERO/1","VN000CTGPIB1")</f>
        <v>VN000CTGPIB1</v>
      </c>
      <c r="B2475" s="12" t="s">
        <v>9197</v>
      </c>
      <c r="C2475" s="12" t="s">
        <v>238</v>
      </c>
      <c r="D2475" s="12" t="s">
        <v>829</v>
      </c>
      <c r="E2475" s="12" t="s">
        <v>9198</v>
      </c>
      <c r="F2475" s="13">
        <v>60</v>
      </c>
      <c r="G2475" s="12" t="s">
        <v>831</v>
      </c>
      <c r="H2475" s="12" t="s">
        <v>38</v>
      </c>
      <c r="I2475" s="12" t="s">
        <v>242</v>
      </c>
      <c r="J2475" s="12" t="s">
        <v>243</v>
      </c>
      <c r="K2475" s="12" t="s">
        <v>244</v>
      </c>
      <c r="L2475" s="14"/>
      <c r="M2475" s="12" t="s">
        <v>43</v>
      </c>
      <c r="N2475" s="12" t="s">
        <v>84</v>
      </c>
      <c r="O2475" s="12" t="s">
        <v>9199</v>
      </c>
      <c r="P2475" s="12" t="s">
        <v>46</v>
      </c>
      <c r="Q2475" s="12" t="s">
        <v>47</v>
      </c>
      <c r="R2475" s="12" t="s">
        <v>48</v>
      </c>
      <c r="S2475" s="13">
        <v>197804513185</v>
      </c>
      <c r="T2475" s="12" t="s">
        <v>49</v>
      </c>
      <c r="U2475" s="13">
        <v>22</v>
      </c>
      <c r="V2475" s="12" t="s">
        <v>50</v>
      </c>
      <c r="W2475" s="12" t="s">
        <v>299</v>
      </c>
      <c r="X2475" s="14"/>
      <c r="Y2475" s="14"/>
      <c r="Z2475" s="14"/>
      <c r="AA2475" s="14"/>
      <c r="AB2475" s="14"/>
      <c r="AC2475" s="15">
        <v>22.75</v>
      </c>
      <c r="AD2475" s="15">
        <f>AC2475*AG2475</f>
        <v>45.5</v>
      </c>
      <c r="AE2475" s="15">
        <v>50</v>
      </c>
      <c r="AF2475" s="15">
        <f>AE2475*AG2475</f>
        <v>100</v>
      </c>
      <c r="AG2475" s="16">
        <v>2</v>
      </c>
    </row>
    <row r="2476" spans="1:33" ht="15" customHeight="1" x14ac:dyDescent="0.2">
      <c r="A2476" s="11" t="str">
        <f t="shared" si="999"/>
        <v>VN000CTGPIB1</v>
      </c>
      <c r="B2476" s="12" t="s">
        <v>9200</v>
      </c>
      <c r="C2476" s="12" t="s">
        <v>238</v>
      </c>
      <c r="D2476" s="12" t="s">
        <v>829</v>
      </c>
      <c r="E2476" s="12" t="s">
        <v>9201</v>
      </c>
      <c r="F2476" s="13">
        <v>85</v>
      </c>
      <c r="G2476" s="12" t="s">
        <v>831</v>
      </c>
      <c r="H2476" s="12" t="s">
        <v>38</v>
      </c>
      <c r="I2476" s="12" t="s">
        <v>242</v>
      </c>
      <c r="J2476" s="12" t="s">
        <v>243</v>
      </c>
      <c r="K2476" s="12" t="s">
        <v>244</v>
      </c>
      <c r="L2476" s="14"/>
      <c r="M2476" s="12" t="s">
        <v>43</v>
      </c>
      <c r="N2476" s="12" t="s">
        <v>84</v>
      </c>
      <c r="O2476" s="12" t="s">
        <v>9202</v>
      </c>
      <c r="P2476" s="12" t="s">
        <v>46</v>
      </c>
      <c r="Q2476" s="12" t="s">
        <v>47</v>
      </c>
      <c r="R2476" s="12" t="s">
        <v>48</v>
      </c>
      <c r="S2476" s="13">
        <v>197804513567</v>
      </c>
      <c r="T2476" s="12" t="s">
        <v>49</v>
      </c>
      <c r="U2476" s="13">
        <v>25</v>
      </c>
      <c r="V2476" s="12" t="s">
        <v>50</v>
      </c>
      <c r="W2476" s="12" t="s">
        <v>299</v>
      </c>
      <c r="X2476" s="14"/>
      <c r="Y2476" s="14"/>
      <c r="Z2476" s="14"/>
      <c r="AA2476" s="14"/>
      <c r="AB2476" s="14"/>
      <c r="AC2476" s="15">
        <v>22.75</v>
      </c>
      <c r="AD2476" s="15">
        <f>AC2476*AG2476</f>
        <v>45.5</v>
      </c>
      <c r="AE2476" s="15">
        <v>50</v>
      </c>
      <c r="AF2476" s="15">
        <f>AE2476*AG2476</f>
        <v>100</v>
      </c>
      <c r="AG2476" s="16">
        <v>2</v>
      </c>
    </row>
    <row r="2477" spans="1:33" ht="15" customHeight="1" x14ac:dyDescent="0.2">
      <c r="A2477" s="11" t="str">
        <f t="shared" si="516"/>
        <v>VN000CTGREB1</v>
      </c>
      <c r="B2477" s="12" t="s">
        <v>9203</v>
      </c>
      <c r="C2477" s="12" t="s">
        <v>238</v>
      </c>
      <c r="D2477" s="12" t="s">
        <v>4892</v>
      </c>
      <c r="E2477" s="12" t="s">
        <v>9204</v>
      </c>
      <c r="F2477" s="13">
        <v>55</v>
      </c>
      <c r="G2477" s="12" t="s">
        <v>4894</v>
      </c>
      <c r="H2477" s="12" t="s">
        <v>38</v>
      </c>
      <c r="I2477" s="12" t="s">
        <v>242</v>
      </c>
      <c r="J2477" s="12" t="s">
        <v>243</v>
      </c>
      <c r="K2477" s="12" t="s">
        <v>244</v>
      </c>
      <c r="L2477" s="14"/>
      <c r="M2477" s="12" t="s">
        <v>43</v>
      </c>
      <c r="N2477" s="12" t="s">
        <v>84</v>
      </c>
      <c r="O2477" s="12" t="s">
        <v>9205</v>
      </c>
      <c r="P2477" s="12" t="s">
        <v>46</v>
      </c>
      <c r="Q2477" s="12" t="s">
        <v>47</v>
      </c>
      <c r="R2477" s="12" t="s">
        <v>48</v>
      </c>
      <c r="S2477" s="13">
        <v>197804513208</v>
      </c>
      <c r="T2477" s="12" t="s">
        <v>105</v>
      </c>
      <c r="U2477" s="13">
        <v>21.5</v>
      </c>
      <c r="V2477" s="12" t="s">
        <v>278</v>
      </c>
      <c r="W2477" s="12" t="s">
        <v>262</v>
      </c>
      <c r="X2477" s="14"/>
      <c r="Y2477" s="14"/>
      <c r="Z2477" s="14"/>
      <c r="AA2477" s="14"/>
      <c r="AB2477" s="14"/>
      <c r="AC2477" s="15">
        <v>25</v>
      </c>
      <c r="AD2477" s="15">
        <f>AC2477*AG2477</f>
        <v>50</v>
      </c>
      <c r="AE2477" s="15">
        <v>55</v>
      </c>
      <c r="AF2477" s="15">
        <f>AE2477*AG2477</f>
        <v>110</v>
      </c>
      <c r="AG2477" s="16">
        <v>2</v>
      </c>
    </row>
    <row r="2478" spans="1:33" ht="15" customHeight="1" x14ac:dyDescent="0.2">
      <c r="A2478" s="11" t="str">
        <f t="shared" si="768"/>
        <v>VN000CTGRV21</v>
      </c>
      <c r="B2478" s="12" t="s">
        <v>9206</v>
      </c>
      <c r="C2478" s="12" t="s">
        <v>238</v>
      </c>
      <c r="D2478" s="12" t="s">
        <v>1428</v>
      </c>
      <c r="E2478" s="12" t="s">
        <v>9207</v>
      </c>
      <c r="F2478" s="13">
        <v>40</v>
      </c>
      <c r="G2478" s="14"/>
      <c r="H2478" s="12" t="s">
        <v>38</v>
      </c>
      <c r="I2478" s="12" t="s">
        <v>242</v>
      </c>
      <c r="J2478" s="12" t="s">
        <v>243</v>
      </c>
      <c r="K2478" s="12" t="s">
        <v>244</v>
      </c>
      <c r="L2478" s="14"/>
      <c r="M2478" s="12" t="s">
        <v>43</v>
      </c>
      <c r="N2478" s="12" t="s">
        <v>84</v>
      </c>
      <c r="O2478" s="12" t="s">
        <v>9208</v>
      </c>
      <c r="P2478" s="12" t="s">
        <v>46</v>
      </c>
      <c r="Q2478" s="12" t="s">
        <v>47</v>
      </c>
      <c r="R2478" s="12" t="s">
        <v>48</v>
      </c>
      <c r="S2478" s="13">
        <v>197804513253</v>
      </c>
      <c r="T2478" s="12" t="s">
        <v>164</v>
      </c>
      <c r="U2478" s="13">
        <v>19</v>
      </c>
      <c r="V2478" s="12" t="s">
        <v>50</v>
      </c>
      <c r="W2478" s="12" t="s">
        <v>51</v>
      </c>
      <c r="X2478" s="14"/>
      <c r="Y2478" s="14"/>
      <c r="Z2478" s="14"/>
      <c r="AA2478" s="14"/>
      <c r="AB2478" s="14"/>
      <c r="AC2478" s="15">
        <v>20.5</v>
      </c>
      <c r="AD2478" s="15">
        <f>AC2478*AG2478</f>
        <v>41</v>
      </c>
      <c r="AE2478" s="15">
        <v>45</v>
      </c>
      <c r="AF2478" s="15">
        <f>AE2478*AG2478</f>
        <v>90</v>
      </c>
      <c r="AG2478" s="16">
        <v>2</v>
      </c>
    </row>
    <row r="2479" spans="1:33" ht="15" customHeight="1" x14ac:dyDescent="0.2">
      <c r="A2479" s="11" t="str">
        <f t="shared" ref="A2479:A3861" si="1000">HYPERLINK("https://assets.vans.eu/images/VN000CTMYY2-HERO/1","VN000CTMYY21")</f>
        <v>VN000CTMYY21</v>
      </c>
      <c r="B2479" s="12" t="s">
        <v>9209</v>
      </c>
      <c r="C2479" s="12" t="s">
        <v>9139</v>
      </c>
      <c r="D2479" s="12" t="s">
        <v>9210</v>
      </c>
      <c r="E2479" s="12" t="s">
        <v>9211</v>
      </c>
      <c r="F2479" s="13">
        <v>100</v>
      </c>
      <c r="G2479" s="12" t="s">
        <v>9212</v>
      </c>
      <c r="H2479" s="12" t="s">
        <v>38</v>
      </c>
      <c r="I2479" s="12" t="s">
        <v>159</v>
      </c>
      <c r="J2479" s="12" t="s">
        <v>341</v>
      </c>
      <c r="K2479" s="12" t="s">
        <v>82</v>
      </c>
      <c r="L2479" s="14"/>
      <c r="M2479" s="12" t="s">
        <v>43</v>
      </c>
      <c r="N2479" s="12" t="s">
        <v>161</v>
      </c>
      <c r="O2479" s="12" t="s">
        <v>9213</v>
      </c>
      <c r="P2479" s="12" t="s">
        <v>46</v>
      </c>
      <c r="Q2479" s="12" t="s">
        <v>47</v>
      </c>
      <c r="R2479" s="12" t="s">
        <v>163</v>
      </c>
      <c r="S2479" s="13">
        <v>197065651411</v>
      </c>
      <c r="T2479" s="12" t="s">
        <v>105</v>
      </c>
      <c r="U2479" s="13">
        <v>43</v>
      </c>
      <c r="V2479" s="12" t="s">
        <v>50</v>
      </c>
      <c r="W2479" s="12" t="s">
        <v>175</v>
      </c>
      <c r="X2479" s="14"/>
      <c r="Y2479" s="12" t="s">
        <v>53</v>
      </c>
      <c r="Z2479" s="12" t="s">
        <v>165</v>
      </c>
      <c r="AA2479" s="14"/>
      <c r="AB2479" s="14"/>
      <c r="AC2479" s="15">
        <v>61.4</v>
      </c>
      <c r="AD2479" s="15">
        <f>AC2479*AG2479</f>
        <v>122.8</v>
      </c>
      <c r="AE2479" s="15">
        <v>135</v>
      </c>
      <c r="AF2479" s="15">
        <f>AE2479*AG2479</f>
        <v>270</v>
      </c>
      <c r="AG2479" s="16">
        <v>2</v>
      </c>
    </row>
    <row r="2480" spans="1:33" ht="15" customHeight="1" x14ac:dyDescent="0.2">
      <c r="A2480" s="11" t="str">
        <f>HYPERLINK("https://assets.vans.eu/images/VN000CVR2PR-HERO/1","VN000CVR2PR1")</f>
        <v>VN000CVR2PR1</v>
      </c>
      <c r="B2480" s="12" t="s">
        <v>9214</v>
      </c>
      <c r="C2480" s="12" t="s">
        <v>9215</v>
      </c>
      <c r="D2480" s="12" t="s">
        <v>9216</v>
      </c>
      <c r="E2480" s="12" t="s">
        <v>9217</v>
      </c>
      <c r="F2480" s="13">
        <v>40</v>
      </c>
      <c r="G2480" s="14"/>
      <c r="H2480" s="12" t="s">
        <v>38</v>
      </c>
      <c r="I2480" s="12" t="s">
        <v>113</v>
      </c>
      <c r="J2480" s="12" t="s">
        <v>114</v>
      </c>
      <c r="K2480" s="12" t="s">
        <v>82</v>
      </c>
      <c r="L2480" s="14"/>
      <c r="M2480" s="12" t="s">
        <v>43</v>
      </c>
      <c r="N2480" s="12" t="s">
        <v>161</v>
      </c>
      <c r="O2480" s="12" t="s">
        <v>9218</v>
      </c>
      <c r="P2480" s="12" t="s">
        <v>46</v>
      </c>
      <c r="Q2480" s="12" t="s">
        <v>47</v>
      </c>
      <c r="R2480" s="12" t="s">
        <v>948</v>
      </c>
      <c r="S2480" s="13">
        <v>197065562601</v>
      </c>
      <c r="T2480" s="12" t="s">
        <v>49</v>
      </c>
      <c r="U2480" s="13">
        <v>35</v>
      </c>
      <c r="V2480" s="12" t="s">
        <v>50</v>
      </c>
      <c r="W2480" s="12" t="s">
        <v>186</v>
      </c>
      <c r="X2480" s="14"/>
      <c r="Y2480" s="12" t="s">
        <v>91</v>
      </c>
      <c r="Z2480" s="12" t="s">
        <v>165</v>
      </c>
      <c r="AA2480" s="14"/>
      <c r="AB2480" s="14"/>
      <c r="AC2480" s="15">
        <v>72.75</v>
      </c>
      <c r="AD2480" s="15">
        <f>AC2480*AG2480</f>
        <v>145.5</v>
      </c>
      <c r="AE2480" s="15">
        <v>160</v>
      </c>
      <c r="AF2480" s="15">
        <f>AE2480*AG2480</f>
        <v>320</v>
      </c>
      <c r="AG2480" s="16">
        <v>2</v>
      </c>
    </row>
    <row r="2481" spans="1:33" ht="15" customHeight="1" x14ac:dyDescent="0.2">
      <c r="A2481" s="11" t="str">
        <f t="shared" ref="A2481:A3883" si="1001">HYPERLINK("https://assets.vans.eu/images/VN000CVRN1Z-HERO/1","VN000CVRN1Z1")</f>
        <v>VN000CVRN1Z1</v>
      </c>
      <c r="B2481" s="12" t="s">
        <v>9219</v>
      </c>
      <c r="C2481" s="12" t="s">
        <v>9215</v>
      </c>
      <c r="D2481" s="12" t="s">
        <v>1656</v>
      </c>
      <c r="E2481" s="12" t="s">
        <v>9220</v>
      </c>
      <c r="F2481" s="13">
        <v>120</v>
      </c>
      <c r="G2481" s="14"/>
      <c r="H2481" s="12" t="s">
        <v>38</v>
      </c>
      <c r="I2481" s="12" t="s">
        <v>159</v>
      </c>
      <c r="J2481" s="12" t="s">
        <v>160</v>
      </c>
      <c r="K2481" s="12" t="s">
        <v>82</v>
      </c>
      <c r="L2481" s="14"/>
      <c r="M2481" s="12" t="s">
        <v>43</v>
      </c>
      <c r="N2481" s="12" t="s">
        <v>161</v>
      </c>
      <c r="O2481" s="12" t="s">
        <v>9221</v>
      </c>
      <c r="P2481" s="12" t="s">
        <v>46</v>
      </c>
      <c r="Q2481" s="12" t="s">
        <v>47</v>
      </c>
      <c r="R2481" s="12" t="s">
        <v>1660</v>
      </c>
      <c r="S2481" s="13">
        <v>197065565084</v>
      </c>
      <c r="T2481" s="12" t="s">
        <v>49</v>
      </c>
      <c r="U2481" s="13">
        <v>46</v>
      </c>
      <c r="V2481" s="12" t="s">
        <v>50</v>
      </c>
      <c r="W2481" s="12" t="s">
        <v>186</v>
      </c>
      <c r="X2481" s="14"/>
      <c r="Y2481" s="12" t="s">
        <v>91</v>
      </c>
      <c r="Z2481" s="12" t="s">
        <v>165</v>
      </c>
      <c r="AA2481" s="14"/>
      <c r="AB2481" s="14"/>
      <c r="AC2481" s="15">
        <v>72.75</v>
      </c>
      <c r="AD2481" s="15">
        <f>AC2481*AG2481</f>
        <v>145.5</v>
      </c>
      <c r="AE2481" s="15">
        <v>160</v>
      </c>
      <c r="AF2481" s="15">
        <f>AE2481*AG2481</f>
        <v>320</v>
      </c>
      <c r="AG2481" s="16">
        <v>2</v>
      </c>
    </row>
    <row r="2482" spans="1:33" ht="15" customHeight="1" x14ac:dyDescent="0.2">
      <c r="A2482" s="11" t="str">
        <f t="shared" ref="A2482:A3884" si="1002">HYPERLINK("https://assets.vans.eu/images/VN000CVS1OJ-HERO/1","VN000CVS1OJ1")</f>
        <v>VN000CVS1OJ1</v>
      </c>
      <c r="B2482" s="12" t="s">
        <v>9222</v>
      </c>
      <c r="C2482" s="12" t="s">
        <v>7050</v>
      </c>
      <c r="D2482" s="12" t="s">
        <v>9223</v>
      </c>
      <c r="E2482" s="12" t="s">
        <v>9224</v>
      </c>
      <c r="F2482" s="13">
        <v>70</v>
      </c>
      <c r="G2482" s="14"/>
      <c r="H2482" s="12" t="s">
        <v>38</v>
      </c>
      <c r="I2482" s="12" t="s">
        <v>159</v>
      </c>
      <c r="J2482" s="12" t="s">
        <v>160</v>
      </c>
      <c r="K2482" s="12" t="s">
        <v>82</v>
      </c>
      <c r="L2482" s="14"/>
      <c r="M2482" s="12" t="s">
        <v>43</v>
      </c>
      <c r="N2482" s="12" t="s">
        <v>161</v>
      </c>
      <c r="O2482" s="12" t="s">
        <v>9225</v>
      </c>
      <c r="P2482" s="12" t="s">
        <v>46</v>
      </c>
      <c r="Q2482" s="12" t="s">
        <v>47</v>
      </c>
      <c r="R2482" s="12" t="s">
        <v>1660</v>
      </c>
      <c r="S2482" s="13">
        <v>197065564155</v>
      </c>
      <c r="T2482" s="12" t="s">
        <v>49</v>
      </c>
      <c r="U2482" s="13">
        <v>39</v>
      </c>
      <c r="V2482" s="12" t="s">
        <v>50</v>
      </c>
      <c r="W2482" s="12" t="s">
        <v>51</v>
      </c>
      <c r="X2482" s="14"/>
      <c r="Y2482" s="12" t="s">
        <v>91</v>
      </c>
      <c r="Z2482" s="12" t="s">
        <v>165</v>
      </c>
      <c r="AA2482" s="14"/>
      <c r="AB2482" s="14"/>
      <c r="AC2482" s="15">
        <v>84.1</v>
      </c>
      <c r="AD2482" s="15">
        <f>AC2482*AG2482</f>
        <v>168.2</v>
      </c>
      <c r="AE2482" s="15">
        <v>185</v>
      </c>
      <c r="AF2482" s="15">
        <f>AE2482*AG2482</f>
        <v>370</v>
      </c>
      <c r="AG2482" s="16">
        <v>2</v>
      </c>
    </row>
    <row r="2483" spans="1:33" ht="15" customHeight="1" x14ac:dyDescent="0.2">
      <c r="A2483" s="11" t="str">
        <f t="shared" ref="A2483:A2484" si="1003">HYPERLINK("https://assets.vans.eu/images/VN000CVT7YO-HERO/1","VN000CVT7YO1")</f>
        <v>VN000CVT7YO1</v>
      </c>
      <c r="B2483" s="12" t="s">
        <v>9226</v>
      </c>
      <c r="C2483" s="12" t="s">
        <v>944</v>
      </c>
      <c r="D2483" s="12" t="s">
        <v>2353</v>
      </c>
      <c r="E2483" s="12" t="s">
        <v>9227</v>
      </c>
      <c r="F2483" s="13">
        <v>40</v>
      </c>
      <c r="G2483" s="14"/>
      <c r="H2483" s="12" t="s">
        <v>38</v>
      </c>
      <c r="I2483" s="12" t="s">
        <v>159</v>
      </c>
      <c r="J2483" s="12" t="s">
        <v>160</v>
      </c>
      <c r="K2483" s="12" t="s">
        <v>82</v>
      </c>
      <c r="L2483" s="14"/>
      <c r="M2483" s="12" t="s">
        <v>43</v>
      </c>
      <c r="N2483" s="12" t="s">
        <v>161</v>
      </c>
      <c r="O2483" s="12" t="s">
        <v>9228</v>
      </c>
      <c r="P2483" s="12" t="s">
        <v>46</v>
      </c>
      <c r="Q2483" s="12" t="s">
        <v>47</v>
      </c>
      <c r="R2483" s="12" t="s">
        <v>1660</v>
      </c>
      <c r="S2483" s="13">
        <v>197065565350</v>
      </c>
      <c r="T2483" s="12" t="s">
        <v>49</v>
      </c>
      <c r="U2483" s="13">
        <v>35</v>
      </c>
      <c r="V2483" s="12" t="s">
        <v>50</v>
      </c>
      <c r="W2483" s="12" t="s">
        <v>186</v>
      </c>
      <c r="X2483" s="14"/>
      <c r="Y2483" s="12" t="s">
        <v>91</v>
      </c>
      <c r="Z2483" s="12" t="s">
        <v>165</v>
      </c>
      <c r="AA2483" s="14"/>
      <c r="AB2483" s="14"/>
      <c r="AC2483" s="15">
        <v>65.95</v>
      </c>
      <c r="AD2483" s="15">
        <f>AC2483*AG2483</f>
        <v>131.9</v>
      </c>
      <c r="AE2483" s="15">
        <v>145</v>
      </c>
      <c r="AF2483" s="15">
        <f>AE2483*AG2483</f>
        <v>290</v>
      </c>
      <c r="AG2483" s="16">
        <v>2</v>
      </c>
    </row>
    <row r="2484" spans="1:33" ht="15" customHeight="1" x14ac:dyDescent="0.2">
      <c r="A2484" s="11" t="str">
        <f t="shared" si="1003"/>
        <v>VN000CVT7YO1</v>
      </c>
      <c r="B2484" s="12" t="s">
        <v>9229</v>
      </c>
      <c r="C2484" s="12" t="s">
        <v>944</v>
      </c>
      <c r="D2484" s="12" t="s">
        <v>2353</v>
      </c>
      <c r="E2484" s="12" t="s">
        <v>9230</v>
      </c>
      <c r="F2484" s="13">
        <v>50</v>
      </c>
      <c r="G2484" s="14"/>
      <c r="H2484" s="12" t="s">
        <v>38</v>
      </c>
      <c r="I2484" s="12" t="s">
        <v>159</v>
      </c>
      <c r="J2484" s="12" t="s">
        <v>160</v>
      </c>
      <c r="K2484" s="12" t="s">
        <v>82</v>
      </c>
      <c r="L2484" s="14"/>
      <c r="M2484" s="12" t="s">
        <v>43</v>
      </c>
      <c r="N2484" s="12" t="s">
        <v>161</v>
      </c>
      <c r="O2484" s="12" t="s">
        <v>9231</v>
      </c>
      <c r="P2484" s="12" t="s">
        <v>46</v>
      </c>
      <c r="Q2484" s="12" t="s">
        <v>47</v>
      </c>
      <c r="R2484" s="12" t="s">
        <v>1660</v>
      </c>
      <c r="S2484" s="13">
        <v>197065565572</v>
      </c>
      <c r="T2484" s="12" t="s">
        <v>49</v>
      </c>
      <c r="U2484" s="13">
        <v>36.5</v>
      </c>
      <c r="V2484" s="12" t="s">
        <v>50</v>
      </c>
      <c r="W2484" s="12" t="s">
        <v>186</v>
      </c>
      <c r="X2484" s="14"/>
      <c r="Y2484" s="12" t="s">
        <v>91</v>
      </c>
      <c r="Z2484" s="12" t="s">
        <v>165</v>
      </c>
      <c r="AA2484" s="14"/>
      <c r="AB2484" s="14"/>
      <c r="AC2484" s="15">
        <v>65.95</v>
      </c>
      <c r="AD2484" s="15">
        <f>AC2484*AG2484</f>
        <v>131.9</v>
      </c>
      <c r="AE2484" s="15">
        <v>145</v>
      </c>
      <c r="AF2484" s="15">
        <f>AE2484*AG2484</f>
        <v>290</v>
      </c>
      <c r="AG2484" s="16">
        <v>2</v>
      </c>
    </row>
    <row r="2485" spans="1:33" ht="15" customHeight="1" x14ac:dyDescent="0.2">
      <c r="A2485" s="11" t="str">
        <f t="shared" ref="A2485:A3902" si="1004">HYPERLINK("https://assets.vans.eu/images/VN000CVU1LO-HERO/1","VN000CVU1LO1")</f>
        <v>VN000CVU1LO1</v>
      </c>
      <c r="B2485" s="12" t="s">
        <v>9232</v>
      </c>
      <c r="C2485" s="12" t="s">
        <v>2993</v>
      </c>
      <c r="D2485" s="12" t="s">
        <v>9233</v>
      </c>
      <c r="E2485" s="12" t="s">
        <v>9234</v>
      </c>
      <c r="F2485" s="13">
        <v>70</v>
      </c>
      <c r="G2485" s="12" t="s">
        <v>5734</v>
      </c>
      <c r="H2485" s="12" t="s">
        <v>38</v>
      </c>
      <c r="I2485" s="12" t="s">
        <v>159</v>
      </c>
      <c r="J2485" s="12" t="s">
        <v>255</v>
      </c>
      <c r="K2485" s="12" t="s">
        <v>82</v>
      </c>
      <c r="L2485" s="14"/>
      <c r="M2485" s="12" t="s">
        <v>43</v>
      </c>
      <c r="N2485" s="12" t="s">
        <v>84</v>
      </c>
      <c r="O2485" s="12" t="s">
        <v>9235</v>
      </c>
      <c r="P2485" s="12" t="s">
        <v>46</v>
      </c>
      <c r="Q2485" s="12" t="s">
        <v>47</v>
      </c>
      <c r="R2485" s="12" t="s">
        <v>343</v>
      </c>
      <c r="S2485" s="13">
        <v>197804431380</v>
      </c>
      <c r="T2485" s="12" t="s">
        <v>49</v>
      </c>
      <c r="U2485" s="13">
        <v>39</v>
      </c>
      <c r="V2485" s="12" t="s">
        <v>278</v>
      </c>
      <c r="W2485" s="12" t="s">
        <v>186</v>
      </c>
      <c r="X2485" s="14"/>
      <c r="Y2485" s="14"/>
      <c r="Z2485" s="14"/>
      <c r="AA2485" s="14"/>
      <c r="AB2485" s="14"/>
      <c r="AC2485" s="15">
        <v>63.65</v>
      </c>
      <c r="AD2485" s="15">
        <f>AC2485*AG2485</f>
        <v>127.3</v>
      </c>
      <c r="AE2485" s="15">
        <v>140</v>
      </c>
      <c r="AF2485" s="15">
        <f>AE2485*AG2485</f>
        <v>280</v>
      </c>
      <c r="AG2485" s="16">
        <v>2</v>
      </c>
    </row>
    <row r="2486" spans="1:33" ht="15" customHeight="1" x14ac:dyDescent="0.2">
      <c r="A2486" s="11" t="str">
        <f t="shared" si="770"/>
        <v>VN000CVU85T1</v>
      </c>
      <c r="B2486" s="12" t="s">
        <v>9236</v>
      </c>
      <c r="C2486" s="12" t="s">
        <v>2993</v>
      </c>
      <c r="D2486" s="12" t="s">
        <v>4774</v>
      </c>
      <c r="E2486" s="12" t="s">
        <v>9237</v>
      </c>
      <c r="F2486" s="13">
        <v>50</v>
      </c>
      <c r="G2486" s="14"/>
      <c r="H2486" s="12" t="s">
        <v>38</v>
      </c>
      <c r="I2486" s="12" t="s">
        <v>159</v>
      </c>
      <c r="J2486" s="12" t="s">
        <v>255</v>
      </c>
      <c r="K2486" s="12" t="s">
        <v>82</v>
      </c>
      <c r="L2486" s="14"/>
      <c r="M2486" s="12" t="s">
        <v>43</v>
      </c>
      <c r="N2486" s="12" t="s">
        <v>161</v>
      </c>
      <c r="O2486" s="12" t="s">
        <v>9238</v>
      </c>
      <c r="P2486" s="12" t="s">
        <v>46</v>
      </c>
      <c r="Q2486" s="12" t="s">
        <v>47</v>
      </c>
      <c r="R2486" s="12" t="s">
        <v>343</v>
      </c>
      <c r="S2486" s="13">
        <v>197065566975</v>
      </c>
      <c r="T2486" s="12" t="s">
        <v>49</v>
      </c>
      <c r="U2486" s="13">
        <v>36.5</v>
      </c>
      <c r="V2486" s="12" t="s">
        <v>278</v>
      </c>
      <c r="W2486" s="12" t="s">
        <v>455</v>
      </c>
      <c r="X2486" s="14"/>
      <c r="Y2486" s="12" t="s">
        <v>91</v>
      </c>
      <c r="Z2486" s="12" t="s">
        <v>165</v>
      </c>
      <c r="AA2486" s="14"/>
      <c r="AB2486" s="14"/>
      <c r="AC2486" s="15">
        <v>63.65</v>
      </c>
      <c r="AD2486" s="15">
        <f>AC2486*AG2486</f>
        <v>127.3</v>
      </c>
      <c r="AE2486" s="15">
        <v>140</v>
      </c>
      <c r="AF2486" s="15">
        <f>AE2486*AG2486</f>
        <v>280</v>
      </c>
      <c r="AG2486" s="16">
        <v>2</v>
      </c>
    </row>
    <row r="2487" spans="1:33" ht="15" customHeight="1" x14ac:dyDescent="0.2">
      <c r="A2487" s="11" t="str">
        <f t="shared" si="608"/>
        <v>VN000CVUBLK1</v>
      </c>
      <c r="B2487" s="12" t="s">
        <v>9239</v>
      </c>
      <c r="C2487" s="12" t="s">
        <v>2993</v>
      </c>
      <c r="D2487" s="12" t="s">
        <v>76</v>
      </c>
      <c r="E2487" s="12" t="s">
        <v>9240</v>
      </c>
      <c r="F2487" s="13">
        <v>50</v>
      </c>
      <c r="G2487" s="12" t="s">
        <v>5734</v>
      </c>
      <c r="H2487" s="12" t="s">
        <v>38</v>
      </c>
      <c r="I2487" s="12" t="s">
        <v>159</v>
      </c>
      <c r="J2487" s="12" t="s">
        <v>255</v>
      </c>
      <c r="K2487" s="12" t="s">
        <v>82</v>
      </c>
      <c r="L2487" s="14"/>
      <c r="M2487" s="12" t="s">
        <v>43</v>
      </c>
      <c r="N2487" s="12" t="s">
        <v>84</v>
      </c>
      <c r="O2487" s="12" t="s">
        <v>9241</v>
      </c>
      <c r="P2487" s="12" t="s">
        <v>46</v>
      </c>
      <c r="Q2487" s="12" t="s">
        <v>47</v>
      </c>
      <c r="R2487" s="12" t="s">
        <v>343</v>
      </c>
      <c r="S2487" s="13">
        <v>197804431946</v>
      </c>
      <c r="T2487" s="12" t="s">
        <v>49</v>
      </c>
      <c r="U2487" s="13">
        <v>36.5</v>
      </c>
      <c r="V2487" s="12" t="s">
        <v>278</v>
      </c>
      <c r="W2487" s="12" t="s">
        <v>51</v>
      </c>
      <c r="X2487" s="14"/>
      <c r="Y2487" s="14"/>
      <c r="Z2487" s="14"/>
      <c r="AA2487" s="14"/>
      <c r="AB2487" s="14"/>
      <c r="AC2487" s="15">
        <v>63.65</v>
      </c>
      <c r="AD2487" s="15">
        <f>AC2487*AG2487</f>
        <v>127.3</v>
      </c>
      <c r="AE2487" s="15">
        <v>140</v>
      </c>
      <c r="AF2487" s="15">
        <f>AE2487*AG2487</f>
        <v>280</v>
      </c>
      <c r="AG2487" s="16">
        <v>2</v>
      </c>
    </row>
    <row r="2488" spans="1:33" ht="15" customHeight="1" x14ac:dyDescent="0.2">
      <c r="A2488" s="11" t="str">
        <f>HYPERLINK("https://assets.vans.eu/images/VN000CVUBLK-HERO/1","VN000CVUBLK1")</f>
        <v>VN000CVUBLK1</v>
      </c>
      <c r="B2488" s="12" t="s">
        <v>9242</v>
      </c>
      <c r="C2488" s="12" t="s">
        <v>2993</v>
      </c>
      <c r="D2488" s="12" t="s">
        <v>76</v>
      </c>
      <c r="E2488" s="12" t="s">
        <v>9243</v>
      </c>
      <c r="F2488" s="13">
        <v>65</v>
      </c>
      <c r="G2488" s="12" t="s">
        <v>5734</v>
      </c>
      <c r="H2488" s="12" t="s">
        <v>38</v>
      </c>
      <c r="I2488" s="12" t="s">
        <v>159</v>
      </c>
      <c r="J2488" s="12" t="s">
        <v>255</v>
      </c>
      <c r="K2488" s="12" t="s">
        <v>82</v>
      </c>
      <c r="L2488" s="14"/>
      <c r="M2488" s="12" t="s">
        <v>43</v>
      </c>
      <c r="N2488" s="12" t="s">
        <v>84</v>
      </c>
      <c r="O2488" s="12" t="s">
        <v>9244</v>
      </c>
      <c r="P2488" s="12" t="s">
        <v>46</v>
      </c>
      <c r="Q2488" s="12" t="s">
        <v>47</v>
      </c>
      <c r="R2488" s="12" t="s">
        <v>343</v>
      </c>
      <c r="S2488" s="13">
        <v>197804432318</v>
      </c>
      <c r="T2488" s="12" t="s">
        <v>49</v>
      </c>
      <c r="U2488" s="13">
        <v>38.5</v>
      </c>
      <c r="V2488" s="12" t="s">
        <v>278</v>
      </c>
      <c r="W2488" s="12" t="s">
        <v>51</v>
      </c>
      <c r="X2488" s="14"/>
      <c r="Y2488" s="14"/>
      <c r="Z2488" s="14"/>
      <c r="AA2488" s="14"/>
      <c r="AB2488" s="14"/>
      <c r="AC2488" s="15">
        <v>63.65</v>
      </c>
      <c r="AD2488" s="15">
        <f>AC2488*AG2488</f>
        <v>127.3</v>
      </c>
      <c r="AE2488" s="15">
        <v>140</v>
      </c>
      <c r="AF2488" s="15">
        <f>AE2488*AG2488</f>
        <v>280</v>
      </c>
      <c r="AG2488" s="16">
        <v>2</v>
      </c>
    </row>
    <row r="2489" spans="1:33" ht="15" customHeight="1" x14ac:dyDescent="0.2">
      <c r="A2489" s="11" t="str">
        <f>HYPERLINK("https://assets.vans.eu/images/VN000CVUBLK-HERO/1","VN000CVUBLK1")</f>
        <v>VN000CVUBLK1</v>
      </c>
      <c r="B2489" s="12" t="s">
        <v>9245</v>
      </c>
      <c r="C2489" s="12" t="s">
        <v>2993</v>
      </c>
      <c r="D2489" s="12" t="s">
        <v>76</v>
      </c>
      <c r="E2489" s="12" t="s">
        <v>9246</v>
      </c>
      <c r="F2489" s="13">
        <v>80</v>
      </c>
      <c r="G2489" s="12" t="s">
        <v>5734</v>
      </c>
      <c r="H2489" s="12" t="s">
        <v>38</v>
      </c>
      <c r="I2489" s="12" t="s">
        <v>159</v>
      </c>
      <c r="J2489" s="12" t="s">
        <v>255</v>
      </c>
      <c r="K2489" s="12" t="s">
        <v>82</v>
      </c>
      <c r="L2489" s="14"/>
      <c r="M2489" s="12" t="s">
        <v>43</v>
      </c>
      <c r="N2489" s="12" t="s">
        <v>84</v>
      </c>
      <c r="O2489" s="12" t="s">
        <v>9247</v>
      </c>
      <c r="P2489" s="12" t="s">
        <v>46</v>
      </c>
      <c r="Q2489" s="12" t="s">
        <v>47</v>
      </c>
      <c r="R2489" s="12" t="s">
        <v>343</v>
      </c>
      <c r="S2489" s="13">
        <v>197804432769</v>
      </c>
      <c r="T2489" s="12" t="s">
        <v>49</v>
      </c>
      <c r="U2489" s="13">
        <v>40.5</v>
      </c>
      <c r="V2489" s="12" t="s">
        <v>278</v>
      </c>
      <c r="W2489" s="12" t="s">
        <v>51</v>
      </c>
      <c r="X2489" s="14"/>
      <c r="Y2489" s="14"/>
      <c r="Z2489" s="14"/>
      <c r="AA2489" s="14"/>
      <c r="AB2489" s="14"/>
      <c r="AC2489" s="15">
        <v>63.65</v>
      </c>
      <c r="AD2489" s="15">
        <f>AC2489*AG2489</f>
        <v>127.3</v>
      </c>
      <c r="AE2489" s="15">
        <v>140</v>
      </c>
      <c r="AF2489" s="15">
        <f>AE2489*AG2489</f>
        <v>280</v>
      </c>
      <c r="AG2489" s="16">
        <v>2</v>
      </c>
    </row>
    <row r="2490" spans="1:33" ht="15" customHeight="1" x14ac:dyDescent="0.2">
      <c r="A2490" s="11" t="str">
        <f>HYPERLINK("https://assets.vans.eu/images/VN000CVUBLK-HERO/1","VN000CVUBLK1")</f>
        <v>VN000CVUBLK1</v>
      </c>
      <c r="B2490" s="12" t="s">
        <v>9248</v>
      </c>
      <c r="C2490" s="12" t="s">
        <v>2993</v>
      </c>
      <c r="D2490" s="12" t="s">
        <v>76</v>
      </c>
      <c r="E2490" s="12" t="s">
        <v>9249</v>
      </c>
      <c r="F2490" s="13">
        <v>85</v>
      </c>
      <c r="G2490" s="12" t="s">
        <v>5734</v>
      </c>
      <c r="H2490" s="12" t="s">
        <v>38</v>
      </c>
      <c r="I2490" s="12" t="s">
        <v>159</v>
      </c>
      <c r="J2490" s="12" t="s">
        <v>255</v>
      </c>
      <c r="K2490" s="12" t="s">
        <v>82</v>
      </c>
      <c r="L2490" s="14"/>
      <c r="M2490" s="12" t="s">
        <v>43</v>
      </c>
      <c r="N2490" s="12" t="s">
        <v>84</v>
      </c>
      <c r="O2490" s="12" t="s">
        <v>9250</v>
      </c>
      <c r="P2490" s="12" t="s">
        <v>46</v>
      </c>
      <c r="Q2490" s="12" t="s">
        <v>47</v>
      </c>
      <c r="R2490" s="12" t="s">
        <v>343</v>
      </c>
      <c r="S2490" s="13">
        <v>197804432837</v>
      </c>
      <c r="T2490" s="12" t="s">
        <v>49</v>
      </c>
      <c r="U2490" s="13">
        <v>41</v>
      </c>
      <c r="V2490" s="12" t="s">
        <v>278</v>
      </c>
      <c r="W2490" s="12" t="s">
        <v>51</v>
      </c>
      <c r="X2490" s="14"/>
      <c r="Y2490" s="14"/>
      <c r="Z2490" s="14"/>
      <c r="AA2490" s="14"/>
      <c r="AB2490" s="14"/>
      <c r="AC2490" s="15">
        <v>63.65</v>
      </c>
      <c r="AD2490" s="15">
        <f>AC2490*AG2490</f>
        <v>127.3</v>
      </c>
      <c r="AE2490" s="15">
        <v>140</v>
      </c>
      <c r="AF2490" s="15">
        <f>AE2490*AG2490</f>
        <v>280</v>
      </c>
      <c r="AG2490" s="16">
        <v>2</v>
      </c>
    </row>
    <row r="2491" spans="1:33" ht="15" customHeight="1" x14ac:dyDescent="0.2">
      <c r="A2491" s="11" t="str">
        <f>HYPERLINK("https://assets.vans.eu/images/VN000CVUBLK-HERO/1","VN000CVUBLK1")</f>
        <v>VN000CVUBLK1</v>
      </c>
      <c r="B2491" s="12" t="s">
        <v>9251</v>
      </c>
      <c r="C2491" s="12" t="s">
        <v>2993</v>
      </c>
      <c r="D2491" s="12" t="s">
        <v>76</v>
      </c>
      <c r="E2491" s="12" t="s">
        <v>9252</v>
      </c>
      <c r="F2491" s="13">
        <v>95</v>
      </c>
      <c r="G2491" s="12" t="s">
        <v>5734</v>
      </c>
      <c r="H2491" s="12" t="s">
        <v>38</v>
      </c>
      <c r="I2491" s="12" t="s">
        <v>159</v>
      </c>
      <c r="J2491" s="12" t="s">
        <v>255</v>
      </c>
      <c r="K2491" s="12" t="s">
        <v>82</v>
      </c>
      <c r="L2491" s="14"/>
      <c r="M2491" s="12" t="s">
        <v>43</v>
      </c>
      <c r="N2491" s="12" t="s">
        <v>84</v>
      </c>
      <c r="O2491" s="12" t="s">
        <v>9253</v>
      </c>
      <c r="P2491" s="12" t="s">
        <v>46</v>
      </c>
      <c r="Q2491" s="12" t="s">
        <v>47</v>
      </c>
      <c r="R2491" s="12" t="s">
        <v>343</v>
      </c>
      <c r="S2491" s="13">
        <v>197804433117</v>
      </c>
      <c r="T2491" s="12" t="s">
        <v>49</v>
      </c>
      <c r="U2491" s="13">
        <v>42.5</v>
      </c>
      <c r="V2491" s="12" t="s">
        <v>278</v>
      </c>
      <c r="W2491" s="12" t="s">
        <v>51</v>
      </c>
      <c r="X2491" s="14"/>
      <c r="Y2491" s="14"/>
      <c r="Z2491" s="14"/>
      <c r="AA2491" s="14"/>
      <c r="AB2491" s="14"/>
      <c r="AC2491" s="15">
        <v>63.65</v>
      </c>
      <c r="AD2491" s="15">
        <f>AC2491*AG2491</f>
        <v>127.3</v>
      </c>
      <c r="AE2491" s="15">
        <v>140</v>
      </c>
      <c r="AF2491" s="15">
        <f>AE2491*AG2491</f>
        <v>280</v>
      </c>
      <c r="AG2491" s="16">
        <v>2</v>
      </c>
    </row>
    <row r="2492" spans="1:33" ht="15" customHeight="1" x14ac:dyDescent="0.2">
      <c r="A2492" s="11" t="str">
        <f>HYPERLINK("https://assets.vans.eu/images/VN000CVUBLK-HERO/1","VN000CVUBLK1")</f>
        <v>VN000CVUBLK1</v>
      </c>
      <c r="B2492" s="12" t="s">
        <v>9254</v>
      </c>
      <c r="C2492" s="12" t="s">
        <v>2993</v>
      </c>
      <c r="D2492" s="12" t="s">
        <v>76</v>
      </c>
      <c r="E2492" s="12" t="s">
        <v>9255</v>
      </c>
      <c r="F2492" s="13">
        <v>120</v>
      </c>
      <c r="G2492" s="12" t="s">
        <v>5734</v>
      </c>
      <c r="H2492" s="12" t="s">
        <v>38</v>
      </c>
      <c r="I2492" s="12" t="s">
        <v>159</v>
      </c>
      <c r="J2492" s="12" t="s">
        <v>255</v>
      </c>
      <c r="K2492" s="12" t="s">
        <v>82</v>
      </c>
      <c r="L2492" s="14"/>
      <c r="M2492" s="12" t="s">
        <v>43</v>
      </c>
      <c r="N2492" s="12" t="s">
        <v>84</v>
      </c>
      <c r="O2492" s="12" t="s">
        <v>9256</v>
      </c>
      <c r="P2492" s="12" t="s">
        <v>46</v>
      </c>
      <c r="Q2492" s="12" t="s">
        <v>47</v>
      </c>
      <c r="R2492" s="12" t="s">
        <v>343</v>
      </c>
      <c r="S2492" s="13">
        <v>197804433896</v>
      </c>
      <c r="T2492" s="12" t="s">
        <v>49</v>
      </c>
      <c r="U2492" s="13">
        <v>46</v>
      </c>
      <c r="V2492" s="12" t="s">
        <v>278</v>
      </c>
      <c r="W2492" s="12" t="s">
        <v>51</v>
      </c>
      <c r="X2492" s="14"/>
      <c r="Y2492" s="14"/>
      <c r="Z2492" s="14"/>
      <c r="AA2492" s="14"/>
      <c r="AB2492" s="14"/>
      <c r="AC2492" s="15">
        <v>63.65</v>
      </c>
      <c r="AD2492" s="15">
        <f>AC2492*AG2492</f>
        <v>127.3</v>
      </c>
      <c r="AE2492" s="15">
        <v>140</v>
      </c>
      <c r="AF2492" s="15">
        <f>AE2492*AG2492</f>
        <v>280</v>
      </c>
      <c r="AG2492" s="16">
        <v>2</v>
      </c>
    </row>
    <row r="2493" spans="1:33" ht="15" customHeight="1" x14ac:dyDescent="0.2">
      <c r="A2493" s="11" t="str">
        <f>HYPERLINK("https://assets.vans.eu/images/VN000CVUBLU-HERO/1","VN000CVUBLU1")</f>
        <v>VN000CVUBLU1</v>
      </c>
      <c r="B2493" s="12" t="s">
        <v>9257</v>
      </c>
      <c r="C2493" s="12" t="s">
        <v>2993</v>
      </c>
      <c r="D2493" s="12" t="s">
        <v>4910</v>
      </c>
      <c r="E2493" s="12" t="s">
        <v>9258</v>
      </c>
      <c r="F2493" s="13">
        <v>40</v>
      </c>
      <c r="G2493" s="14"/>
      <c r="H2493" s="12" t="s">
        <v>38</v>
      </c>
      <c r="I2493" s="12" t="s">
        <v>159</v>
      </c>
      <c r="J2493" s="12" t="s">
        <v>255</v>
      </c>
      <c r="K2493" s="12" t="s">
        <v>82</v>
      </c>
      <c r="L2493" s="14"/>
      <c r="M2493" s="12" t="s">
        <v>43</v>
      </c>
      <c r="N2493" s="12" t="s">
        <v>161</v>
      </c>
      <c r="O2493" s="12" t="s">
        <v>9259</v>
      </c>
      <c r="P2493" s="12" t="s">
        <v>46</v>
      </c>
      <c r="Q2493" s="12" t="s">
        <v>47</v>
      </c>
      <c r="R2493" s="12" t="s">
        <v>343</v>
      </c>
      <c r="S2493" s="13">
        <v>197065566814</v>
      </c>
      <c r="T2493" s="12" t="s">
        <v>49</v>
      </c>
      <c r="U2493" s="13">
        <v>35</v>
      </c>
      <c r="V2493" s="12" t="s">
        <v>278</v>
      </c>
      <c r="W2493" s="12" t="s">
        <v>284</v>
      </c>
      <c r="X2493" s="14"/>
      <c r="Y2493" s="12" t="s">
        <v>91</v>
      </c>
      <c r="Z2493" s="12" t="s">
        <v>165</v>
      </c>
      <c r="AA2493" s="14"/>
      <c r="AB2493" s="14"/>
      <c r="AC2493" s="15">
        <v>63.65</v>
      </c>
      <c r="AD2493" s="15">
        <f>AC2493*AG2493</f>
        <v>127.3</v>
      </c>
      <c r="AE2493" s="15">
        <v>140</v>
      </c>
      <c r="AF2493" s="15">
        <f>AE2493*AG2493</f>
        <v>280</v>
      </c>
      <c r="AG2493" s="16">
        <v>2</v>
      </c>
    </row>
    <row r="2494" spans="1:33" ht="15" customHeight="1" x14ac:dyDescent="0.2">
      <c r="A2494" s="11" t="str">
        <f>HYPERLINK("https://assets.vans.eu/images/VN000CVUBLU-HERO/1","VN000CVUBLU1")</f>
        <v>VN000CVUBLU1</v>
      </c>
      <c r="B2494" s="12" t="s">
        <v>9260</v>
      </c>
      <c r="C2494" s="12" t="s">
        <v>2993</v>
      </c>
      <c r="D2494" s="12" t="s">
        <v>4910</v>
      </c>
      <c r="E2494" s="12" t="s">
        <v>9261</v>
      </c>
      <c r="F2494" s="13">
        <v>80</v>
      </c>
      <c r="G2494" s="14"/>
      <c r="H2494" s="12" t="s">
        <v>38</v>
      </c>
      <c r="I2494" s="12" t="s">
        <v>159</v>
      </c>
      <c r="J2494" s="12" t="s">
        <v>255</v>
      </c>
      <c r="K2494" s="12" t="s">
        <v>82</v>
      </c>
      <c r="L2494" s="14"/>
      <c r="M2494" s="12" t="s">
        <v>43</v>
      </c>
      <c r="N2494" s="12" t="s">
        <v>161</v>
      </c>
      <c r="O2494" s="12" t="s">
        <v>9262</v>
      </c>
      <c r="P2494" s="12" t="s">
        <v>46</v>
      </c>
      <c r="Q2494" s="12" t="s">
        <v>47</v>
      </c>
      <c r="R2494" s="12" t="s">
        <v>343</v>
      </c>
      <c r="S2494" s="13">
        <v>197065567903</v>
      </c>
      <c r="T2494" s="12" t="s">
        <v>49</v>
      </c>
      <c r="U2494" s="13">
        <v>40.5</v>
      </c>
      <c r="V2494" s="12" t="s">
        <v>278</v>
      </c>
      <c r="W2494" s="12" t="s">
        <v>284</v>
      </c>
      <c r="X2494" s="14"/>
      <c r="Y2494" s="12" t="s">
        <v>91</v>
      </c>
      <c r="Z2494" s="12" t="s">
        <v>165</v>
      </c>
      <c r="AA2494" s="14"/>
      <c r="AB2494" s="14"/>
      <c r="AC2494" s="15">
        <v>63.65</v>
      </c>
      <c r="AD2494" s="15">
        <f>AC2494*AG2494</f>
        <v>127.3</v>
      </c>
      <c r="AE2494" s="15">
        <v>140</v>
      </c>
      <c r="AF2494" s="15">
        <f>AE2494*AG2494</f>
        <v>280</v>
      </c>
      <c r="AG2494" s="16">
        <v>2</v>
      </c>
    </row>
    <row r="2495" spans="1:33" ht="15" customHeight="1" x14ac:dyDescent="0.2">
      <c r="A2495" s="11" t="str">
        <f>HYPERLINK("https://assets.vans.eu/images/VN000CVUCRM-HERO/1","VN000CVUCRM1")</f>
        <v>VN000CVUCRM1</v>
      </c>
      <c r="B2495" s="12" t="s">
        <v>9263</v>
      </c>
      <c r="C2495" s="12" t="s">
        <v>2993</v>
      </c>
      <c r="D2495" s="12" t="s">
        <v>2783</v>
      </c>
      <c r="E2495" s="12" t="s">
        <v>9264</v>
      </c>
      <c r="F2495" s="13">
        <v>50</v>
      </c>
      <c r="G2495" s="14"/>
      <c r="H2495" s="12" t="s">
        <v>38</v>
      </c>
      <c r="I2495" s="12" t="s">
        <v>113</v>
      </c>
      <c r="J2495" s="12" t="s">
        <v>529</v>
      </c>
      <c r="K2495" s="12" t="s">
        <v>82</v>
      </c>
      <c r="L2495" s="14"/>
      <c r="M2495" s="12" t="s">
        <v>43</v>
      </c>
      <c r="N2495" s="12" t="s">
        <v>161</v>
      </c>
      <c r="O2495" s="12" t="s">
        <v>9265</v>
      </c>
      <c r="P2495" s="12" t="s">
        <v>46</v>
      </c>
      <c r="Q2495" s="12" t="s">
        <v>47</v>
      </c>
      <c r="R2495" s="12" t="s">
        <v>2179</v>
      </c>
      <c r="S2495" s="13">
        <v>197065567880</v>
      </c>
      <c r="T2495" s="12" t="s">
        <v>49</v>
      </c>
      <c r="U2495" s="13">
        <v>36.5</v>
      </c>
      <c r="V2495" s="12" t="s">
        <v>278</v>
      </c>
      <c r="W2495" s="12" t="s">
        <v>580</v>
      </c>
      <c r="X2495" s="14"/>
      <c r="Y2495" s="12" t="s">
        <v>91</v>
      </c>
      <c r="Z2495" s="12" t="s">
        <v>165</v>
      </c>
      <c r="AA2495" s="14"/>
      <c r="AB2495" s="14"/>
      <c r="AC2495" s="15">
        <v>63.65</v>
      </c>
      <c r="AD2495" s="15">
        <f>AC2495*AG2495</f>
        <v>127.3</v>
      </c>
      <c r="AE2495" s="15">
        <v>140</v>
      </c>
      <c r="AF2495" s="15">
        <f>AE2495*AG2495</f>
        <v>280</v>
      </c>
      <c r="AG2495" s="16">
        <v>2</v>
      </c>
    </row>
    <row r="2496" spans="1:33" ht="15" customHeight="1" x14ac:dyDescent="0.2">
      <c r="A2496" s="11" t="str">
        <f t="shared" ref="A2496:A2498" si="1005">HYPERLINK("https://assets.vans.eu/images/VN000CVUDRB-HERO/1","VN000CVUDRB1")</f>
        <v>VN000CVUDRB1</v>
      </c>
      <c r="B2496" s="12" t="s">
        <v>9266</v>
      </c>
      <c r="C2496" s="12" t="s">
        <v>2993</v>
      </c>
      <c r="D2496" s="12" t="s">
        <v>2663</v>
      </c>
      <c r="E2496" s="12" t="s">
        <v>9267</v>
      </c>
      <c r="F2496" s="13">
        <v>65</v>
      </c>
      <c r="G2496" s="14"/>
      <c r="H2496" s="12" t="s">
        <v>38</v>
      </c>
      <c r="I2496" s="12" t="s">
        <v>159</v>
      </c>
      <c r="J2496" s="12" t="s">
        <v>255</v>
      </c>
      <c r="K2496" s="12" t="s">
        <v>82</v>
      </c>
      <c r="L2496" s="14"/>
      <c r="M2496" s="12" t="s">
        <v>43</v>
      </c>
      <c r="N2496" s="12" t="s">
        <v>84</v>
      </c>
      <c r="O2496" s="12" t="s">
        <v>9268</v>
      </c>
      <c r="P2496" s="12" t="s">
        <v>46</v>
      </c>
      <c r="Q2496" s="12" t="s">
        <v>47</v>
      </c>
      <c r="R2496" s="12" t="s">
        <v>343</v>
      </c>
      <c r="S2496" s="13">
        <v>197804432424</v>
      </c>
      <c r="T2496" s="12" t="s">
        <v>49</v>
      </c>
      <c r="U2496" s="13">
        <v>38.5</v>
      </c>
      <c r="V2496" s="12" t="s">
        <v>278</v>
      </c>
      <c r="W2496" s="12" t="s">
        <v>186</v>
      </c>
      <c r="X2496" s="14"/>
      <c r="Y2496" s="14"/>
      <c r="Z2496" s="14"/>
      <c r="AA2496" s="14"/>
      <c r="AB2496" s="14"/>
      <c r="AC2496" s="15">
        <v>63.65</v>
      </c>
      <c r="AD2496" s="15">
        <f>AC2496*AG2496</f>
        <v>127.3</v>
      </c>
      <c r="AE2496" s="15">
        <v>140</v>
      </c>
      <c r="AF2496" s="15">
        <f>AE2496*AG2496</f>
        <v>280</v>
      </c>
      <c r="AG2496" s="16">
        <v>2</v>
      </c>
    </row>
    <row r="2497" spans="1:33" ht="15" customHeight="1" x14ac:dyDescent="0.2">
      <c r="A2497" s="11" t="str">
        <f t="shared" si="1005"/>
        <v>VN000CVUDRB1</v>
      </c>
      <c r="B2497" s="12" t="s">
        <v>9269</v>
      </c>
      <c r="C2497" s="12" t="s">
        <v>2993</v>
      </c>
      <c r="D2497" s="12" t="s">
        <v>2663</v>
      </c>
      <c r="E2497" s="12" t="s">
        <v>9270</v>
      </c>
      <c r="F2497" s="13">
        <v>85</v>
      </c>
      <c r="G2497" s="14"/>
      <c r="H2497" s="12" t="s">
        <v>38</v>
      </c>
      <c r="I2497" s="12" t="s">
        <v>159</v>
      </c>
      <c r="J2497" s="12" t="s">
        <v>255</v>
      </c>
      <c r="K2497" s="12" t="s">
        <v>82</v>
      </c>
      <c r="L2497" s="14"/>
      <c r="M2497" s="12" t="s">
        <v>43</v>
      </c>
      <c r="N2497" s="12" t="s">
        <v>84</v>
      </c>
      <c r="O2497" s="12" t="s">
        <v>9271</v>
      </c>
      <c r="P2497" s="12" t="s">
        <v>46</v>
      </c>
      <c r="Q2497" s="12" t="s">
        <v>47</v>
      </c>
      <c r="R2497" s="12" t="s">
        <v>343</v>
      </c>
      <c r="S2497" s="13">
        <v>197804432950</v>
      </c>
      <c r="T2497" s="12" t="s">
        <v>49</v>
      </c>
      <c r="U2497" s="13">
        <v>41</v>
      </c>
      <c r="V2497" s="12" t="s">
        <v>278</v>
      </c>
      <c r="W2497" s="12" t="s">
        <v>186</v>
      </c>
      <c r="X2497" s="14"/>
      <c r="Y2497" s="14"/>
      <c r="Z2497" s="14"/>
      <c r="AA2497" s="14"/>
      <c r="AB2497" s="14"/>
      <c r="AC2497" s="15">
        <v>63.65</v>
      </c>
      <c r="AD2497" s="15">
        <f>AC2497*AG2497</f>
        <v>127.3</v>
      </c>
      <c r="AE2497" s="15">
        <v>140</v>
      </c>
      <c r="AF2497" s="15">
        <f>AE2497*AG2497</f>
        <v>280</v>
      </c>
      <c r="AG2497" s="16">
        <v>2</v>
      </c>
    </row>
    <row r="2498" spans="1:33" ht="15" customHeight="1" x14ac:dyDescent="0.2">
      <c r="A2498" s="11" t="str">
        <f t="shared" si="1005"/>
        <v>VN000CVUDRB1</v>
      </c>
      <c r="B2498" s="12" t="s">
        <v>9272</v>
      </c>
      <c r="C2498" s="12" t="s">
        <v>2993</v>
      </c>
      <c r="D2498" s="12" t="s">
        <v>2663</v>
      </c>
      <c r="E2498" s="12" t="s">
        <v>9273</v>
      </c>
      <c r="F2498" s="13">
        <v>105</v>
      </c>
      <c r="G2498" s="14"/>
      <c r="H2498" s="12" t="s">
        <v>38</v>
      </c>
      <c r="I2498" s="12" t="s">
        <v>159</v>
      </c>
      <c r="J2498" s="12" t="s">
        <v>255</v>
      </c>
      <c r="K2498" s="12" t="s">
        <v>82</v>
      </c>
      <c r="L2498" s="14"/>
      <c r="M2498" s="12" t="s">
        <v>43</v>
      </c>
      <c r="N2498" s="12" t="s">
        <v>84</v>
      </c>
      <c r="O2498" s="12" t="s">
        <v>9274</v>
      </c>
      <c r="P2498" s="12" t="s">
        <v>46</v>
      </c>
      <c r="Q2498" s="12" t="s">
        <v>47</v>
      </c>
      <c r="R2498" s="12" t="s">
        <v>343</v>
      </c>
      <c r="S2498" s="13">
        <v>197804433636</v>
      </c>
      <c r="T2498" s="12" t="s">
        <v>49</v>
      </c>
      <c r="U2498" s="13">
        <v>44</v>
      </c>
      <c r="V2498" s="12" t="s">
        <v>278</v>
      </c>
      <c r="W2498" s="12" t="s">
        <v>186</v>
      </c>
      <c r="X2498" s="14"/>
      <c r="Y2498" s="14"/>
      <c r="Z2498" s="14"/>
      <c r="AA2498" s="14"/>
      <c r="AB2498" s="14"/>
      <c r="AC2498" s="15">
        <v>63.65</v>
      </c>
      <c r="AD2498" s="15">
        <f>AC2498*AG2498</f>
        <v>127.3</v>
      </c>
      <c r="AE2498" s="15">
        <v>140</v>
      </c>
      <c r="AF2498" s="15">
        <f>AE2498*AG2498</f>
        <v>280</v>
      </c>
      <c r="AG2498" s="16">
        <v>2</v>
      </c>
    </row>
    <row r="2499" spans="1:33" ht="15" customHeight="1" x14ac:dyDescent="0.2">
      <c r="A2499" s="11" t="str">
        <f t="shared" ref="A2499:A3915" si="1006">HYPERLINK("https://assets.vans.eu/images/VN000CVUE2V-HERO/1","VN000CVUE2V1")</f>
        <v>VN000CVUE2V1</v>
      </c>
      <c r="B2499" s="12" t="s">
        <v>9275</v>
      </c>
      <c r="C2499" s="12" t="s">
        <v>2993</v>
      </c>
      <c r="D2499" s="12" t="s">
        <v>9276</v>
      </c>
      <c r="E2499" s="12" t="s">
        <v>9277</v>
      </c>
      <c r="F2499" s="13">
        <v>70</v>
      </c>
      <c r="G2499" s="14"/>
      <c r="H2499" s="12" t="s">
        <v>38</v>
      </c>
      <c r="I2499" s="12" t="s">
        <v>113</v>
      </c>
      <c r="J2499" s="12" t="s">
        <v>529</v>
      </c>
      <c r="K2499" s="12" t="s">
        <v>82</v>
      </c>
      <c r="L2499" s="14"/>
      <c r="M2499" s="12" t="s">
        <v>43</v>
      </c>
      <c r="N2499" s="12" t="s">
        <v>84</v>
      </c>
      <c r="O2499" s="12" t="s">
        <v>9278</v>
      </c>
      <c r="P2499" s="12" t="s">
        <v>46</v>
      </c>
      <c r="Q2499" s="12" t="s">
        <v>47</v>
      </c>
      <c r="R2499" s="12" t="s">
        <v>117</v>
      </c>
      <c r="S2499" s="13">
        <v>197804432523</v>
      </c>
      <c r="T2499" s="12" t="s">
        <v>49</v>
      </c>
      <c r="U2499" s="13">
        <v>39</v>
      </c>
      <c r="V2499" s="12" t="s">
        <v>278</v>
      </c>
      <c r="W2499" s="12" t="s">
        <v>580</v>
      </c>
      <c r="X2499" s="14"/>
      <c r="Y2499" s="14"/>
      <c r="Z2499" s="14"/>
      <c r="AA2499" s="14"/>
      <c r="AB2499" s="14"/>
      <c r="AC2499" s="15">
        <v>63.65</v>
      </c>
      <c r="AD2499" s="15">
        <f>AC2499*AG2499</f>
        <v>127.3</v>
      </c>
      <c r="AE2499" s="15">
        <v>140</v>
      </c>
      <c r="AF2499" s="15">
        <f>AE2499*AG2499</f>
        <v>280</v>
      </c>
      <c r="AG2499" s="16">
        <v>2</v>
      </c>
    </row>
    <row r="2500" spans="1:33" ht="15" customHeight="1" x14ac:dyDescent="0.2">
      <c r="A2500" s="11" t="str">
        <f t="shared" ref="A2500:A3921" si="1007">HYPERLINK("https://assets.vans.eu/images/VN000CVULKZ-HERO/1","VN000CVULKZ1")</f>
        <v>VN000CVULKZ1</v>
      </c>
      <c r="B2500" s="12" t="s">
        <v>9279</v>
      </c>
      <c r="C2500" s="12" t="s">
        <v>2993</v>
      </c>
      <c r="D2500" s="12" t="s">
        <v>1213</v>
      </c>
      <c r="E2500" s="12" t="s">
        <v>9280</v>
      </c>
      <c r="F2500" s="13">
        <v>65</v>
      </c>
      <c r="G2500" s="14"/>
      <c r="H2500" s="12" t="s">
        <v>38</v>
      </c>
      <c r="I2500" s="12" t="s">
        <v>159</v>
      </c>
      <c r="J2500" s="12" t="s">
        <v>255</v>
      </c>
      <c r="K2500" s="12" t="s">
        <v>82</v>
      </c>
      <c r="L2500" s="14"/>
      <c r="M2500" s="12" t="s">
        <v>43</v>
      </c>
      <c r="N2500" s="12" t="s">
        <v>44</v>
      </c>
      <c r="O2500" s="12" t="s">
        <v>9281</v>
      </c>
      <c r="P2500" s="12" t="s">
        <v>46</v>
      </c>
      <c r="Q2500" s="12" t="s">
        <v>47</v>
      </c>
      <c r="R2500" s="12" t="s">
        <v>343</v>
      </c>
      <c r="S2500" s="13">
        <v>197643165873</v>
      </c>
      <c r="T2500" s="12" t="s">
        <v>49</v>
      </c>
      <c r="U2500" s="13">
        <v>38.5</v>
      </c>
      <c r="V2500" s="12" t="s">
        <v>278</v>
      </c>
      <c r="W2500" s="12" t="s">
        <v>284</v>
      </c>
      <c r="X2500" s="14"/>
      <c r="Y2500" s="12" t="s">
        <v>91</v>
      </c>
      <c r="Z2500" s="12" t="s">
        <v>165</v>
      </c>
      <c r="AA2500" s="14"/>
      <c r="AB2500" s="14"/>
      <c r="AC2500" s="15">
        <v>63.65</v>
      </c>
      <c r="AD2500" s="15">
        <f>AC2500*AG2500</f>
        <v>127.3</v>
      </c>
      <c r="AE2500" s="15">
        <v>140</v>
      </c>
      <c r="AF2500" s="15">
        <f>AE2500*AG2500</f>
        <v>280</v>
      </c>
      <c r="AG2500" s="16">
        <v>2</v>
      </c>
    </row>
    <row r="2501" spans="1:33" ht="15" customHeight="1" x14ac:dyDescent="0.2">
      <c r="A2501" s="11" t="str">
        <f t="shared" si="302"/>
        <v>VN000CVUOLV1</v>
      </c>
      <c r="B2501" s="12" t="s">
        <v>9282</v>
      </c>
      <c r="C2501" s="12" t="s">
        <v>2993</v>
      </c>
      <c r="D2501" s="12" t="s">
        <v>2994</v>
      </c>
      <c r="E2501" s="12" t="s">
        <v>9283</v>
      </c>
      <c r="F2501" s="13">
        <v>40</v>
      </c>
      <c r="G2501" s="14"/>
      <c r="H2501" s="12" t="s">
        <v>38</v>
      </c>
      <c r="I2501" s="12" t="s">
        <v>159</v>
      </c>
      <c r="J2501" s="12" t="s">
        <v>255</v>
      </c>
      <c r="K2501" s="12" t="s">
        <v>82</v>
      </c>
      <c r="L2501" s="14"/>
      <c r="M2501" s="12" t="s">
        <v>43</v>
      </c>
      <c r="N2501" s="12" t="s">
        <v>161</v>
      </c>
      <c r="O2501" s="12" t="s">
        <v>9284</v>
      </c>
      <c r="P2501" s="12" t="s">
        <v>46</v>
      </c>
      <c r="Q2501" s="12" t="s">
        <v>47</v>
      </c>
      <c r="R2501" s="12" t="s">
        <v>343</v>
      </c>
      <c r="S2501" s="13">
        <v>197065569631</v>
      </c>
      <c r="T2501" s="12" t="s">
        <v>49</v>
      </c>
      <c r="U2501" s="13">
        <v>35</v>
      </c>
      <c r="V2501" s="12" t="s">
        <v>278</v>
      </c>
      <c r="W2501" s="12" t="s">
        <v>118</v>
      </c>
      <c r="X2501" s="14"/>
      <c r="Y2501" s="12" t="s">
        <v>91</v>
      </c>
      <c r="Z2501" s="12" t="s">
        <v>165</v>
      </c>
      <c r="AA2501" s="14"/>
      <c r="AB2501" s="14"/>
      <c r="AC2501" s="15">
        <v>63.65</v>
      </c>
      <c r="AD2501" s="15">
        <f>AC2501*AG2501</f>
        <v>127.3</v>
      </c>
      <c r="AE2501" s="15">
        <v>140</v>
      </c>
      <c r="AF2501" s="15">
        <f>AE2501*AG2501</f>
        <v>280</v>
      </c>
      <c r="AG2501" s="16">
        <v>2</v>
      </c>
    </row>
    <row r="2502" spans="1:33" ht="15" customHeight="1" x14ac:dyDescent="0.2">
      <c r="A2502" s="11" t="str">
        <f>HYPERLINK("https://assets.vans.eu/images/VN000CVUOLV-HERO/1","VN000CVUOLV1")</f>
        <v>VN000CVUOLV1</v>
      </c>
      <c r="B2502" s="12" t="s">
        <v>9285</v>
      </c>
      <c r="C2502" s="12" t="s">
        <v>2993</v>
      </c>
      <c r="D2502" s="12" t="s">
        <v>2994</v>
      </c>
      <c r="E2502" s="12" t="s">
        <v>9286</v>
      </c>
      <c r="F2502" s="13">
        <v>65</v>
      </c>
      <c r="G2502" s="14"/>
      <c r="H2502" s="12" t="s">
        <v>38</v>
      </c>
      <c r="I2502" s="12" t="s">
        <v>159</v>
      </c>
      <c r="J2502" s="12" t="s">
        <v>255</v>
      </c>
      <c r="K2502" s="12" t="s">
        <v>82</v>
      </c>
      <c r="L2502" s="14"/>
      <c r="M2502" s="12" t="s">
        <v>43</v>
      </c>
      <c r="N2502" s="12" t="s">
        <v>161</v>
      </c>
      <c r="O2502" s="12" t="s">
        <v>9287</v>
      </c>
      <c r="P2502" s="12" t="s">
        <v>46</v>
      </c>
      <c r="Q2502" s="12" t="s">
        <v>47</v>
      </c>
      <c r="R2502" s="12" t="s">
        <v>343</v>
      </c>
      <c r="S2502" s="13">
        <v>197065570262</v>
      </c>
      <c r="T2502" s="12" t="s">
        <v>49</v>
      </c>
      <c r="U2502" s="13">
        <v>38.5</v>
      </c>
      <c r="V2502" s="12" t="s">
        <v>278</v>
      </c>
      <c r="W2502" s="12" t="s">
        <v>118</v>
      </c>
      <c r="X2502" s="14"/>
      <c r="Y2502" s="12" t="s">
        <v>91</v>
      </c>
      <c r="Z2502" s="12" t="s">
        <v>165</v>
      </c>
      <c r="AA2502" s="14"/>
      <c r="AB2502" s="14"/>
      <c r="AC2502" s="15">
        <v>63.65</v>
      </c>
      <c r="AD2502" s="15">
        <f>AC2502*AG2502</f>
        <v>127.3</v>
      </c>
      <c r="AE2502" s="15">
        <v>140</v>
      </c>
      <c r="AF2502" s="15">
        <f>AE2502*AG2502</f>
        <v>280</v>
      </c>
      <c r="AG2502" s="16">
        <v>2</v>
      </c>
    </row>
    <row r="2503" spans="1:33" ht="15" customHeight="1" x14ac:dyDescent="0.2">
      <c r="A2503" s="11" t="str">
        <f>HYPERLINK("https://assets.vans.eu/images/VN000CVURPK-HERO/1","VN000CVURPK1")</f>
        <v>VN000CVURPK1</v>
      </c>
      <c r="B2503" s="12" t="s">
        <v>9288</v>
      </c>
      <c r="C2503" s="12" t="s">
        <v>2993</v>
      </c>
      <c r="D2503" s="12" t="s">
        <v>5878</v>
      </c>
      <c r="E2503" s="12" t="s">
        <v>9289</v>
      </c>
      <c r="F2503" s="13">
        <v>80</v>
      </c>
      <c r="G2503" s="14"/>
      <c r="H2503" s="12" t="s">
        <v>38</v>
      </c>
      <c r="I2503" s="12" t="s">
        <v>113</v>
      </c>
      <c r="J2503" s="12" t="s">
        <v>529</v>
      </c>
      <c r="K2503" s="12" t="s">
        <v>82</v>
      </c>
      <c r="L2503" s="14"/>
      <c r="M2503" s="12" t="s">
        <v>43</v>
      </c>
      <c r="N2503" s="12" t="s">
        <v>84</v>
      </c>
      <c r="O2503" s="12" t="s">
        <v>9290</v>
      </c>
      <c r="P2503" s="12" t="s">
        <v>46</v>
      </c>
      <c r="Q2503" s="12" t="s">
        <v>47</v>
      </c>
      <c r="R2503" s="12" t="s">
        <v>117</v>
      </c>
      <c r="S2503" s="13">
        <v>197804432929</v>
      </c>
      <c r="T2503" s="12" t="s">
        <v>49</v>
      </c>
      <c r="U2503" s="13">
        <v>40.5</v>
      </c>
      <c r="V2503" s="12" t="s">
        <v>278</v>
      </c>
      <c r="W2503" s="12" t="s">
        <v>186</v>
      </c>
      <c r="X2503" s="14"/>
      <c r="Y2503" s="14"/>
      <c r="Z2503" s="14"/>
      <c r="AA2503" s="14"/>
      <c r="AB2503" s="14"/>
      <c r="AC2503" s="15">
        <v>63.65</v>
      </c>
      <c r="AD2503" s="15">
        <f>AC2503*AG2503</f>
        <v>127.3</v>
      </c>
      <c r="AE2503" s="15">
        <v>140</v>
      </c>
      <c r="AF2503" s="15">
        <f>AE2503*AG2503</f>
        <v>280</v>
      </c>
      <c r="AG2503" s="16">
        <v>2</v>
      </c>
    </row>
    <row r="2504" spans="1:33" ht="15" customHeight="1" x14ac:dyDescent="0.2">
      <c r="A2504" s="11" t="str">
        <f t="shared" ref="A2504:A3923" si="1008">HYPERLINK("https://assets.vans.eu/images/VN000CVV7YO-HERO/1","VN000CVV7YO1")</f>
        <v>VN000CVV7YO1</v>
      </c>
      <c r="B2504" s="12" t="s">
        <v>9291</v>
      </c>
      <c r="C2504" s="12" t="s">
        <v>2407</v>
      </c>
      <c r="D2504" s="12" t="s">
        <v>2353</v>
      </c>
      <c r="E2504" s="12" t="s">
        <v>9292</v>
      </c>
      <c r="F2504" s="13">
        <v>80</v>
      </c>
      <c r="G2504" s="14"/>
      <c r="H2504" s="12" t="s">
        <v>38</v>
      </c>
      <c r="I2504" s="12" t="s">
        <v>159</v>
      </c>
      <c r="J2504" s="12" t="s">
        <v>255</v>
      </c>
      <c r="K2504" s="12" t="s">
        <v>82</v>
      </c>
      <c r="L2504" s="14"/>
      <c r="M2504" s="12" t="s">
        <v>43</v>
      </c>
      <c r="N2504" s="12" t="s">
        <v>161</v>
      </c>
      <c r="O2504" s="12" t="s">
        <v>9293</v>
      </c>
      <c r="P2504" s="12" t="s">
        <v>46</v>
      </c>
      <c r="Q2504" s="12" t="s">
        <v>47</v>
      </c>
      <c r="R2504" s="12" t="s">
        <v>163</v>
      </c>
      <c r="S2504" s="13">
        <v>197065571214</v>
      </c>
      <c r="T2504" s="12" t="s">
        <v>49</v>
      </c>
      <c r="U2504" s="13">
        <v>40.5</v>
      </c>
      <c r="V2504" s="12" t="s">
        <v>278</v>
      </c>
      <c r="W2504" s="12" t="s">
        <v>186</v>
      </c>
      <c r="X2504" s="14"/>
      <c r="Y2504" s="12" t="s">
        <v>91</v>
      </c>
      <c r="Z2504" s="12" t="s">
        <v>165</v>
      </c>
      <c r="AA2504" s="14"/>
      <c r="AB2504" s="14"/>
      <c r="AC2504" s="15">
        <v>68.2</v>
      </c>
      <c r="AD2504" s="15">
        <f>AC2504*AG2504</f>
        <v>136.4</v>
      </c>
      <c r="AE2504" s="15">
        <v>150</v>
      </c>
      <c r="AF2504" s="15">
        <f>AE2504*AG2504</f>
        <v>300</v>
      </c>
      <c r="AG2504" s="16">
        <v>2</v>
      </c>
    </row>
    <row r="2505" spans="1:33" ht="15" customHeight="1" x14ac:dyDescent="0.2">
      <c r="A2505" s="11" t="str">
        <f t="shared" si="452"/>
        <v>VN000CVVBA21</v>
      </c>
      <c r="B2505" s="12" t="s">
        <v>9294</v>
      </c>
      <c r="C2505" s="12" t="s">
        <v>2407</v>
      </c>
      <c r="D2505" s="12" t="s">
        <v>1844</v>
      </c>
      <c r="E2505" s="12" t="s">
        <v>9295</v>
      </c>
      <c r="F2505" s="13">
        <v>50</v>
      </c>
      <c r="G2505" s="14"/>
      <c r="H2505" s="12" t="s">
        <v>38</v>
      </c>
      <c r="I2505" s="12" t="s">
        <v>159</v>
      </c>
      <c r="J2505" s="12" t="s">
        <v>255</v>
      </c>
      <c r="K2505" s="12" t="s">
        <v>82</v>
      </c>
      <c r="L2505" s="14"/>
      <c r="M2505" s="12" t="s">
        <v>43</v>
      </c>
      <c r="N2505" s="12" t="s">
        <v>84</v>
      </c>
      <c r="O2505" s="12" t="s">
        <v>9296</v>
      </c>
      <c r="P2505" s="12" t="s">
        <v>46</v>
      </c>
      <c r="Q2505" s="12" t="s">
        <v>47</v>
      </c>
      <c r="R2505" s="12" t="s">
        <v>163</v>
      </c>
      <c r="S2505" s="13">
        <v>197065570989</v>
      </c>
      <c r="T2505" s="12" t="s">
        <v>49</v>
      </c>
      <c r="U2505" s="13">
        <v>36.5</v>
      </c>
      <c r="V2505" s="12" t="s">
        <v>278</v>
      </c>
      <c r="W2505" s="12" t="s">
        <v>51</v>
      </c>
      <c r="X2505" s="14"/>
      <c r="Y2505" s="12" t="s">
        <v>91</v>
      </c>
      <c r="Z2505" s="12" t="s">
        <v>165</v>
      </c>
      <c r="AA2505" s="14"/>
      <c r="AB2505" s="14"/>
      <c r="AC2505" s="15">
        <v>68.2</v>
      </c>
      <c r="AD2505" s="15">
        <f>AC2505*AG2505</f>
        <v>136.4</v>
      </c>
      <c r="AE2505" s="15">
        <v>150</v>
      </c>
      <c r="AF2505" s="15">
        <f>AE2505*AG2505</f>
        <v>300</v>
      </c>
      <c r="AG2505" s="16">
        <v>2</v>
      </c>
    </row>
    <row r="2506" spans="1:33" ht="15" customHeight="1" x14ac:dyDescent="0.2">
      <c r="A2506" s="11" t="str">
        <f t="shared" ref="A2506:A3929" si="1009">HYPERLINK("https://assets.vans.eu/images/VN000CVVCRM-HERO/1","VN000CVVCRM1")</f>
        <v>VN000CVVCRM1</v>
      </c>
      <c r="B2506" s="12" t="s">
        <v>9297</v>
      </c>
      <c r="C2506" s="12" t="s">
        <v>2407</v>
      </c>
      <c r="D2506" s="12" t="s">
        <v>2783</v>
      </c>
      <c r="E2506" s="12" t="s">
        <v>9298</v>
      </c>
      <c r="F2506" s="13">
        <v>50</v>
      </c>
      <c r="G2506" s="14"/>
      <c r="H2506" s="12" t="s">
        <v>38</v>
      </c>
      <c r="I2506" s="12" t="s">
        <v>113</v>
      </c>
      <c r="J2506" s="12" t="s">
        <v>529</v>
      </c>
      <c r="K2506" s="12" t="s">
        <v>82</v>
      </c>
      <c r="L2506" s="14"/>
      <c r="M2506" s="12" t="s">
        <v>43</v>
      </c>
      <c r="N2506" s="12" t="s">
        <v>161</v>
      </c>
      <c r="O2506" s="12" t="s">
        <v>9299</v>
      </c>
      <c r="P2506" s="12" t="s">
        <v>46</v>
      </c>
      <c r="Q2506" s="12" t="s">
        <v>47</v>
      </c>
      <c r="R2506" s="12" t="s">
        <v>117</v>
      </c>
      <c r="S2506" s="13">
        <v>197065571887</v>
      </c>
      <c r="T2506" s="12" t="s">
        <v>49</v>
      </c>
      <c r="U2506" s="13">
        <v>36.5</v>
      </c>
      <c r="V2506" s="12" t="s">
        <v>278</v>
      </c>
      <c r="W2506" s="12" t="s">
        <v>580</v>
      </c>
      <c r="X2506" s="14"/>
      <c r="Y2506" s="12" t="s">
        <v>91</v>
      </c>
      <c r="Z2506" s="12" t="s">
        <v>165</v>
      </c>
      <c r="AA2506" s="14"/>
      <c r="AB2506" s="14"/>
      <c r="AC2506" s="15">
        <v>68.2</v>
      </c>
      <c r="AD2506" s="15">
        <f>AC2506*AG2506</f>
        <v>136.4</v>
      </c>
      <c r="AE2506" s="15">
        <v>150</v>
      </c>
      <c r="AF2506" s="15">
        <f>AE2506*AG2506</f>
        <v>300</v>
      </c>
      <c r="AG2506" s="16">
        <v>2</v>
      </c>
    </row>
    <row r="2507" spans="1:33" ht="15" customHeight="1" x14ac:dyDescent="0.2">
      <c r="A2507" s="11" t="str">
        <f t="shared" ref="A2507:A3952" si="1010">HYPERLINK("https://assets.vans.eu/images/VN000CVVN1Z-HERO/1","VN000CVVN1Z1")</f>
        <v>VN000CVVN1Z1</v>
      </c>
      <c r="B2507" s="12" t="s">
        <v>9300</v>
      </c>
      <c r="C2507" s="12" t="s">
        <v>2407</v>
      </c>
      <c r="D2507" s="12" t="s">
        <v>1656</v>
      </c>
      <c r="E2507" s="12" t="s">
        <v>9301</v>
      </c>
      <c r="F2507" s="13">
        <v>60</v>
      </c>
      <c r="G2507" s="14"/>
      <c r="H2507" s="12" t="s">
        <v>38</v>
      </c>
      <c r="I2507" s="12" t="s">
        <v>159</v>
      </c>
      <c r="J2507" s="12" t="s">
        <v>255</v>
      </c>
      <c r="K2507" s="12" t="s">
        <v>82</v>
      </c>
      <c r="L2507" s="14"/>
      <c r="M2507" s="12" t="s">
        <v>43</v>
      </c>
      <c r="N2507" s="12" t="s">
        <v>161</v>
      </c>
      <c r="O2507" s="12" t="s">
        <v>9302</v>
      </c>
      <c r="P2507" s="12" t="s">
        <v>46</v>
      </c>
      <c r="Q2507" s="12" t="s">
        <v>47</v>
      </c>
      <c r="R2507" s="12" t="s">
        <v>163</v>
      </c>
      <c r="S2507" s="13">
        <v>197065572709</v>
      </c>
      <c r="T2507" s="12" t="s">
        <v>49</v>
      </c>
      <c r="U2507" s="13">
        <v>38</v>
      </c>
      <c r="V2507" s="12" t="s">
        <v>278</v>
      </c>
      <c r="W2507" s="12" t="s">
        <v>186</v>
      </c>
      <c r="X2507" s="14"/>
      <c r="Y2507" s="12" t="s">
        <v>91</v>
      </c>
      <c r="Z2507" s="12" t="s">
        <v>165</v>
      </c>
      <c r="AA2507" s="14"/>
      <c r="AB2507" s="14"/>
      <c r="AC2507" s="15">
        <v>68.2</v>
      </c>
      <c r="AD2507" s="15">
        <f>AC2507*AG2507</f>
        <v>136.4</v>
      </c>
      <c r="AE2507" s="15">
        <v>150</v>
      </c>
      <c r="AF2507" s="15">
        <f>AE2507*AG2507</f>
        <v>300</v>
      </c>
      <c r="AG2507" s="16">
        <v>2</v>
      </c>
    </row>
    <row r="2508" spans="1:33" ht="15" customHeight="1" x14ac:dyDescent="0.2">
      <c r="A2508" s="11" t="str">
        <f t="shared" ref="A2508:A3953" si="1011">HYPERLINK("https://assets.vans.eu/images/VN000CVVOLV-HERO/1","VN000CVVOLV1")</f>
        <v>VN000CVVOLV1</v>
      </c>
      <c r="B2508" s="12" t="s">
        <v>9303</v>
      </c>
      <c r="C2508" s="12" t="s">
        <v>2407</v>
      </c>
      <c r="D2508" s="12" t="s">
        <v>2994</v>
      </c>
      <c r="E2508" s="12" t="s">
        <v>9304</v>
      </c>
      <c r="F2508" s="13">
        <v>50</v>
      </c>
      <c r="G2508" s="14"/>
      <c r="H2508" s="12" t="s">
        <v>38</v>
      </c>
      <c r="I2508" s="12" t="s">
        <v>159</v>
      </c>
      <c r="J2508" s="12" t="s">
        <v>255</v>
      </c>
      <c r="K2508" s="12" t="s">
        <v>82</v>
      </c>
      <c r="L2508" s="14"/>
      <c r="M2508" s="12" t="s">
        <v>43</v>
      </c>
      <c r="N2508" s="12" t="s">
        <v>161</v>
      </c>
      <c r="O2508" s="12" t="s">
        <v>9305</v>
      </c>
      <c r="P2508" s="12" t="s">
        <v>46</v>
      </c>
      <c r="Q2508" s="12" t="s">
        <v>47</v>
      </c>
      <c r="R2508" s="12" t="s">
        <v>163</v>
      </c>
      <c r="S2508" s="13">
        <v>197065572563</v>
      </c>
      <c r="T2508" s="12" t="s">
        <v>49</v>
      </c>
      <c r="U2508" s="13">
        <v>36.5</v>
      </c>
      <c r="V2508" s="12" t="s">
        <v>278</v>
      </c>
      <c r="W2508" s="12" t="s">
        <v>118</v>
      </c>
      <c r="X2508" s="14"/>
      <c r="Y2508" s="12" t="s">
        <v>91</v>
      </c>
      <c r="Z2508" s="12" t="s">
        <v>165</v>
      </c>
      <c r="AA2508" s="14"/>
      <c r="AB2508" s="14"/>
      <c r="AC2508" s="15">
        <v>68.2</v>
      </c>
      <c r="AD2508" s="15">
        <f>AC2508*AG2508</f>
        <v>136.4</v>
      </c>
      <c r="AE2508" s="15">
        <v>150</v>
      </c>
      <c r="AF2508" s="15">
        <f>AE2508*AG2508</f>
        <v>300</v>
      </c>
      <c r="AG2508" s="16">
        <v>2</v>
      </c>
    </row>
    <row r="2509" spans="1:33" ht="15" customHeight="1" x14ac:dyDescent="0.2">
      <c r="A2509" s="11" t="str">
        <f t="shared" si="609"/>
        <v>VN000CWDCRM1</v>
      </c>
      <c r="B2509" s="12" t="s">
        <v>9306</v>
      </c>
      <c r="C2509" s="12" t="s">
        <v>2782</v>
      </c>
      <c r="D2509" s="12" t="s">
        <v>2783</v>
      </c>
      <c r="E2509" s="12" t="s">
        <v>9307</v>
      </c>
      <c r="F2509" s="13">
        <v>70</v>
      </c>
      <c r="G2509" s="12" t="s">
        <v>2785</v>
      </c>
      <c r="H2509" s="12" t="s">
        <v>38</v>
      </c>
      <c r="I2509" s="12" t="s">
        <v>113</v>
      </c>
      <c r="J2509" s="12" t="s">
        <v>529</v>
      </c>
      <c r="K2509" s="12" t="s">
        <v>82</v>
      </c>
      <c r="L2509" s="14"/>
      <c r="M2509" s="12" t="s">
        <v>43</v>
      </c>
      <c r="N2509" s="12" t="s">
        <v>161</v>
      </c>
      <c r="O2509" s="12" t="s">
        <v>9308</v>
      </c>
      <c r="P2509" s="12" t="s">
        <v>46</v>
      </c>
      <c r="Q2509" s="12" t="s">
        <v>47</v>
      </c>
      <c r="R2509" s="12" t="s">
        <v>117</v>
      </c>
      <c r="S2509" s="13">
        <v>197065664558</v>
      </c>
      <c r="T2509" s="12" t="s">
        <v>49</v>
      </c>
      <c r="U2509" s="13">
        <v>39</v>
      </c>
      <c r="V2509" s="12" t="s">
        <v>50</v>
      </c>
      <c r="W2509" s="12" t="s">
        <v>580</v>
      </c>
      <c r="X2509" s="14"/>
      <c r="Y2509" s="12" t="s">
        <v>91</v>
      </c>
      <c r="Z2509" s="12" t="s">
        <v>165</v>
      </c>
      <c r="AA2509" s="14"/>
      <c r="AB2509" s="14"/>
      <c r="AC2509" s="15">
        <v>54.55</v>
      </c>
      <c r="AD2509" s="15">
        <f>AC2509*AG2509</f>
        <v>109.1</v>
      </c>
      <c r="AE2509" s="15">
        <v>120</v>
      </c>
      <c r="AF2509" s="15">
        <f>AE2509*AG2509</f>
        <v>240</v>
      </c>
      <c r="AG2509" s="16">
        <v>2</v>
      </c>
    </row>
    <row r="2510" spans="1:33" ht="15" customHeight="1" x14ac:dyDescent="0.2">
      <c r="A2510" s="11" t="str">
        <f t="shared" si="771"/>
        <v>VN000CWEBLU1</v>
      </c>
      <c r="B2510" s="12" t="s">
        <v>9309</v>
      </c>
      <c r="C2510" s="12" t="s">
        <v>1248</v>
      </c>
      <c r="D2510" s="12" t="s">
        <v>4910</v>
      </c>
      <c r="E2510" s="12" t="s">
        <v>9310</v>
      </c>
      <c r="F2510" s="13">
        <v>110</v>
      </c>
      <c r="G2510" s="12" t="s">
        <v>4912</v>
      </c>
      <c r="H2510" s="12" t="s">
        <v>38</v>
      </c>
      <c r="I2510" s="12" t="s">
        <v>113</v>
      </c>
      <c r="J2510" s="12" t="s">
        <v>529</v>
      </c>
      <c r="K2510" s="12" t="s">
        <v>82</v>
      </c>
      <c r="L2510" s="14"/>
      <c r="M2510" s="12" t="s">
        <v>43</v>
      </c>
      <c r="N2510" s="12" t="s">
        <v>161</v>
      </c>
      <c r="O2510" s="12" t="s">
        <v>9311</v>
      </c>
      <c r="P2510" s="12" t="s">
        <v>46</v>
      </c>
      <c r="Q2510" s="12" t="s">
        <v>47</v>
      </c>
      <c r="R2510" s="12" t="s">
        <v>117</v>
      </c>
      <c r="S2510" s="13">
        <v>197065667290</v>
      </c>
      <c r="T2510" s="12" t="s">
        <v>49</v>
      </c>
      <c r="U2510" s="13">
        <v>44.5</v>
      </c>
      <c r="V2510" s="12" t="s">
        <v>50</v>
      </c>
      <c r="W2510" s="12" t="s">
        <v>284</v>
      </c>
      <c r="X2510" s="14"/>
      <c r="Y2510" s="12" t="s">
        <v>91</v>
      </c>
      <c r="Z2510" s="12" t="s">
        <v>165</v>
      </c>
      <c r="AA2510" s="14"/>
      <c r="AB2510" s="14"/>
      <c r="AC2510" s="15">
        <v>59.1</v>
      </c>
      <c r="AD2510" s="15">
        <f>AC2510*AG2510</f>
        <v>118.2</v>
      </c>
      <c r="AE2510" s="15">
        <v>130</v>
      </c>
      <c r="AF2510" s="15">
        <f>AE2510*AG2510</f>
        <v>260</v>
      </c>
      <c r="AG2510" s="16">
        <v>2</v>
      </c>
    </row>
    <row r="2511" spans="1:33" ht="15" customHeight="1" x14ac:dyDescent="0.2">
      <c r="A2511" s="11" t="str">
        <f>HYPERLINK("https://assets.vans.eu/images/VN000CWEKKK-HERO/1","VN000CWEKKK1")</f>
        <v>VN000CWEKKK1</v>
      </c>
      <c r="B2511" s="12" t="s">
        <v>9312</v>
      </c>
      <c r="C2511" s="12" t="s">
        <v>1248</v>
      </c>
      <c r="D2511" s="12" t="s">
        <v>9313</v>
      </c>
      <c r="E2511" s="12" t="s">
        <v>9314</v>
      </c>
      <c r="F2511" s="13">
        <v>35</v>
      </c>
      <c r="G2511" s="14"/>
      <c r="H2511" s="12" t="s">
        <v>38</v>
      </c>
      <c r="I2511" s="12" t="s">
        <v>113</v>
      </c>
      <c r="J2511" s="12" t="s">
        <v>529</v>
      </c>
      <c r="K2511" s="12" t="s">
        <v>82</v>
      </c>
      <c r="L2511" s="14"/>
      <c r="M2511" s="12" t="s">
        <v>43</v>
      </c>
      <c r="N2511" s="12" t="s">
        <v>44</v>
      </c>
      <c r="O2511" s="12" t="s">
        <v>9315</v>
      </c>
      <c r="P2511" s="12" t="s">
        <v>46</v>
      </c>
      <c r="Q2511" s="12" t="s">
        <v>47</v>
      </c>
      <c r="R2511" s="12" t="s">
        <v>117</v>
      </c>
      <c r="S2511" s="13">
        <v>197643250050</v>
      </c>
      <c r="T2511" s="12" t="s">
        <v>105</v>
      </c>
      <c r="U2511" s="13">
        <v>34.5</v>
      </c>
      <c r="V2511" s="12" t="s">
        <v>50</v>
      </c>
      <c r="W2511" s="12" t="s">
        <v>175</v>
      </c>
      <c r="X2511" s="14"/>
      <c r="Y2511" s="12" t="s">
        <v>91</v>
      </c>
      <c r="Z2511" s="12" t="s">
        <v>165</v>
      </c>
      <c r="AA2511" s="14"/>
      <c r="AB2511" s="14"/>
      <c r="AC2511" s="15">
        <v>59.1</v>
      </c>
      <c r="AD2511" s="15">
        <f>AC2511*AG2511</f>
        <v>118.2</v>
      </c>
      <c r="AE2511" s="15">
        <v>130</v>
      </c>
      <c r="AF2511" s="15">
        <f>AE2511*AG2511</f>
        <v>260</v>
      </c>
      <c r="AG2511" s="16">
        <v>2</v>
      </c>
    </row>
    <row r="2512" spans="1:33" ht="15" customHeight="1" x14ac:dyDescent="0.2">
      <c r="A2512" s="11" t="str">
        <f t="shared" ref="A2512:A3967" si="1012">HYPERLINK("https://assets.vans.eu/images/VN000CWESQ7-HERO/1","VN000CWESQ71")</f>
        <v>VN000CWESQ71</v>
      </c>
      <c r="B2512" s="12" t="s">
        <v>9316</v>
      </c>
      <c r="C2512" s="12" t="s">
        <v>1248</v>
      </c>
      <c r="D2512" s="12" t="s">
        <v>5915</v>
      </c>
      <c r="E2512" s="12" t="s">
        <v>9317</v>
      </c>
      <c r="F2512" s="13">
        <v>65</v>
      </c>
      <c r="G2512" s="12" t="s">
        <v>2814</v>
      </c>
      <c r="H2512" s="12" t="s">
        <v>38</v>
      </c>
      <c r="I2512" s="12" t="s">
        <v>159</v>
      </c>
      <c r="J2512" s="12" t="s">
        <v>255</v>
      </c>
      <c r="K2512" s="12" t="s">
        <v>82</v>
      </c>
      <c r="L2512" s="14"/>
      <c r="M2512" s="12" t="s">
        <v>43</v>
      </c>
      <c r="N2512" s="12" t="s">
        <v>44</v>
      </c>
      <c r="O2512" s="12" t="s">
        <v>9318</v>
      </c>
      <c r="P2512" s="12" t="s">
        <v>46</v>
      </c>
      <c r="Q2512" s="12" t="s">
        <v>47</v>
      </c>
      <c r="R2512" s="12" t="s">
        <v>163</v>
      </c>
      <c r="S2512" s="13">
        <v>197643252214</v>
      </c>
      <c r="T2512" s="12" t="s">
        <v>105</v>
      </c>
      <c r="U2512" s="13">
        <v>38.5</v>
      </c>
      <c r="V2512" s="12" t="s">
        <v>50</v>
      </c>
      <c r="W2512" s="12" t="s">
        <v>580</v>
      </c>
      <c r="X2512" s="14"/>
      <c r="Y2512" s="12" t="s">
        <v>91</v>
      </c>
      <c r="Z2512" s="12" t="s">
        <v>165</v>
      </c>
      <c r="AA2512" s="14"/>
      <c r="AB2512" s="14"/>
      <c r="AC2512" s="15">
        <v>59.1</v>
      </c>
      <c r="AD2512" s="15">
        <f>AC2512*AG2512</f>
        <v>118.2</v>
      </c>
      <c r="AE2512" s="15">
        <v>130</v>
      </c>
      <c r="AF2512" s="15">
        <f>AE2512*AG2512</f>
        <v>260</v>
      </c>
      <c r="AG2512" s="16">
        <v>2</v>
      </c>
    </row>
    <row r="2513" spans="1:33" ht="15" customHeight="1" x14ac:dyDescent="0.2">
      <c r="A2513" s="11" t="str">
        <f>HYPERLINK("https://assets.vans.eu/images/VN000CWF11H-HERO/1","VN000CWF11H1")</f>
        <v>VN000CWF11H1</v>
      </c>
      <c r="B2513" s="12" t="s">
        <v>9319</v>
      </c>
      <c r="C2513" s="12" t="s">
        <v>9320</v>
      </c>
      <c r="D2513" s="12" t="s">
        <v>9321</v>
      </c>
      <c r="E2513" s="12" t="s">
        <v>9322</v>
      </c>
      <c r="F2513" s="13">
        <v>40</v>
      </c>
      <c r="G2513" s="12" t="s">
        <v>9323</v>
      </c>
      <c r="H2513" s="12" t="s">
        <v>38</v>
      </c>
      <c r="I2513" s="12" t="s">
        <v>159</v>
      </c>
      <c r="J2513" s="12" t="s">
        <v>255</v>
      </c>
      <c r="K2513" s="12" t="s">
        <v>82</v>
      </c>
      <c r="L2513" s="12" t="s">
        <v>42</v>
      </c>
      <c r="M2513" s="12" t="s">
        <v>43</v>
      </c>
      <c r="N2513" s="12" t="s">
        <v>161</v>
      </c>
      <c r="O2513" s="12" t="s">
        <v>9324</v>
      </c>
      <c r="P2513" s="12" t="s">
        <v>46</v>
      </c>
      <c r="Q2513" s="12" t="s">
        <v>47</v>
      </c>
      <c r="R2513" s="12" t="s">
        <v>163</v>
      </c>
      <c r="S2513" s="13">
        <v>197065666415</v>
      </c>
      <c r="T2513" s="12" t="s">
        <v>49</v>
      </c>
      <c r="U2513" s="13">
        <v>35</v>
      </c>
      <c r="V2513" s="12" t="s">
        <v>209</v>
      </c>
      <c r="W2513" s="12" t="s">
        <v>455</v>
      </c>
      <c r="X2513" s="14"/>
      <c r="Y2513" s="12" t="s">
        <v>91</v>
      </c>
      <c r="Z2513" s="12" t="s">
        <v>92</v>
      </c>
      <c r="AA2513" s="12" t="s">
        <v>3224</v>
      </c>
      <c r="AB2513" s="12" t="s">
        <v>55</v>
      </c>
      <c r="AC2513" s="15">
        <v>56.85</v>
      </c>
      <c r="AD2513" s="15">
        <f>AC2513*AG2513</f>
        <v>113.7</v>
      </c>
      <c r="AE2513" s="15">
        <v>125</v>
      </c>
      <c r="AF2513" s="15">
        <f>AE2513*AG2513</f>
        <v>250</v>
      </c>
      <c r="AG2513" s="16">
        <v>2</v>
      </c>
    </row>
    <row r="2514" spans="1:33" ht="15" customHeight="1" x14ac:dyDescent="0.2">
      <c r="A2514" s="11" t="str">
        <f>HYPERLINK("https://assets.vans.eu/images/VN000CWF9JC-HERO/1","VN000CWF9JC1")</f>
        <v>VN000CWF9JC1</v>
      </c>
      <c r="B2514" s="12" t="s">
        <v>9325</v>
      </c>
      <c r="C2514" s="12" t="s">
        <v>9320</v>
      </c>
      <c r="D2514" s="12" t="s">
        <v>4481</v>
      </c>
      <c r="E2514" s="12" t="s">
        <v>9326</v>
      </c>
      <c r="F2514" s="13">
        <v>50</v>
      </c>
      <c r="G2514" s="14"/>
      <c r="H2514" s="12" t="s">
        <v>38</v>
      </c>
      <c r="I2514" s="12" t="s">
        <v>159</v>
      </c>
      <c r="J2514" s="12" t="s">
        <v>255</v>
      </c>
      <c r="K2514" s="12" t="s">
        <v>82</v>
      </c>
      <c r="L2514" s="12" t="s">
        <v>42</v>
      </c>
      <c r="M2514" s="12" t="s">
        <v>43</v>
      </c>
      <c r="N2514" s="12" t="s">
        <v>161</v>
      </c>
      <c r="O2514" s="12" t="s">
        <v>9327</v>
      </c>
      <c r="P2514" s="12" t="s">
        <v>46</v>
      </c>
      <c r="Q2514" s="12" t="s">
        <v>47</v>
      </c>
      <c r="R2514" s="12" t="s">
        <v>163</v>
      </c>
      <c r="S2514" s="13">
        <v>197065667412</v>
      </c>
      <c r="T2514" s="12" t="s">
        <v>49</v>
      </c>
      <c r="U2514" s="13">
        <v>36.5</v>
      </c>
      <c r="V2514" s="12" t="s">
        <v>209</v>
      </c>
      <c r="W2514" s="12" t="s">
        <v>186</v>
      </c>
      <c r="X2514" s="14"/>
      <c r="Y2514" s="12" t="s">
        <v>91</v>
      </c>
      <c r="Z2514" s="12" t="s">
        <v>92</v>
      </c>
      <c r="AA2514" s="12" t="s">
        <v>3224</v>
      </c>
      <c r="AB2514" s="12" t="s">
        <v>55</v>
      </c>
      <c r="AC2514" s="15">
        <v>56.85</v>
      </c>
      <c r="AD2514" s="15">
        <f>AC2514*AG2514</f>
        <v>113.7</v>
      </c>
      <c r="AE2514" s="15">
        <v>125</v>
      </c>
      <c r="AF2514" s="15">
        <f>AE2514*AG2514</f>
        <v>250</v>
      </c>
      <c r="AG2514" s="16">
        <v>2</v>
      </c>
    </row>
    <row r="2515" spans="1:33" ht="15" customHeight="1" x14ac:dyDescent="0.2">
      <c r="A2515" s="11" t="str">
        <f>HYPERLINK("https://assets.vans.eu/images/VN000CXVOVI-HERO/1","VN000CXVOVI1")</f>
        <v>VN000CXVOVI1</v>
      </c>
      <c r="B2515" s="12" t="s">
        <v>9328</v>
      </c>
      <c r="C2515" s="12" t="s">
        <v>9329</v>
      </c>
      <c r="D2515" s="12" t="s">
        <v>9330</v>
      </c>
      <c r="E2515" s="12" t="s">
        <v>9331</v>
      </c>
      <c r="F2515" s="13">
        <v>140</v>
      </c>
      <c r="G2515" s="12" t="s">
        <v>953</v>
      </c>
      <c r="H2515" s="12" t="s">
        <v>38</v>
      </c>
      <c r="I2515" s="12" t="s">
        <v>159</v>
      </c>
      <c r="J2515" s="12" t="s">
        <v>160</v>
      </c>
      <c r="K2515" s="12" t="s">
        <v>199</v>
      </c>
      <c r="L2515" s="12" t="s">
        <v>350</v>
      </c>
      <c r="M2515" s="12" t="s">
        <v>43</v>
      </c>
      <c r="N2515" s="12" t="s">
        <v>84</v>
      </c>
      <c r="O2515" s="12" t="s">
        <v>9332</v>
      </c>
      <c r="P2515" s="12" t="s">
        <v>46</v>
      </c>
      <c r="Q2515" s="12" t="s">
        <v>47</v>
      </c>
      <c r="R2515" s="12" t="s">
        <v>1660</v>
      </c>
      <c r="S2515" s="13">
        <v>197065587079</v>
      </c>
      <c r="T2515" s="12" t="s">
        <v>49</v>
      </c>
      <c r="U2515" s="13">
        <v>48</v>
      </c>
      <c r="V2515" s="12" t="s">
        <v>50</v>
      </c>
      <c r="W2515" s="12" t="s">
        <v>580</v>
      </c>
      <c r="X2515" s="14"/>
      <c r="Y2515" s="12" t="s">
        <v>71</v>
      </c>
      <c r="Z2515" s="12" t="s">
        <v>376</v>
      </c>
      <c r="AA2515" s="14"/>
      <c r="AB2515" s="14"/>
      <c r="AC2515" s="15">
        <v>42.9</v>
      </c>
      <c r="AD2515" s="15">
        <f>AC2515*AG2515</f>
        <v>85.8</v>
      </c>
      <c r="AE2515" s="15">
        <v>90</v>
      </c>
      <c r="AF2515" s="15">
        <f>AE2515*AG2515</f>
        <v>180</v>
      </c>
      <c r="AG2515" s="16">
        <v>2</v>
      </c>
    </row>
    <row r="2516" spans="1:33" ht="15" customHeight="1" x14ac:dyDescent="0.2">
      <c r="A2516" s="11" t="str">
        <f t="shared" ref="A2516:A2517" si="1013">HYPERLINK("https://assets.vans.eu/images/VN000CYAEMY-HERO/1","VN000CYAEMY1")</f>
        <v>VN000CYAEMY1</v>
      </c>
      <c r="B2516" s="12" t="s">
        <v>9333</v>
      </c>
      <c r="C2516" s="12" t="s">
        <v>238</v>
      </c>
      <c r="D2516" s="12" t="s">
        <v>1155</v>
      </c>
      <c r="E2516" s="12" t="s">
        <v>9334</v>
      </c>
      <c r="F2516" s="13">
        <v>30</v>
      </c>
      <c r="G2516" s="12" t="s">
        <v>2273</v>
      </c>
      <c r="H2516" s="12" t="s">
        <v>38</v>
      </c>
      <c r="I2516" s="12" t="s">
        <v>39</v>
      </c>
      <c r="J2516" s="12" t="s">
        <v>40</v>
      </c>
      <c r="K2516" s="12" t="s">
        <v>41</v>
      </c>
      <c r="L2516" s="14"/>
      <c r="M2516" s="12" t="s">
        <v>43</v>
      </c>
      <c r="N2516" s="12" t="s">
        <v>84</v>
      </c>
      <c r="O2516" s="12" t="s">
        <v>9335</v>
      </c>
      <c r="P2516" s="12" t="s">
        <v>46</v>
      </c>
      <c r="Q2516" s="12" t="s">
        <v>47</v>
      </c>
      <c r="R2516" s="12" t="s">
        <v>48</v>
      </c>
      <c r="S2516" s="13">
        <v>197804514854</v>
      </c>
      <c r="T2516" s="12" t="s">
        <v>164</v>
      </c>
      <c r="U2516" s="13">
        <v>34</v>
      </c>
      <c r="V2516" s="12" t="s">
        <v>50</v>
      </c>
      <c r="W2516" s="12" t="s">
        <v>107</v>
      </c>
      <c r="X2516" s="14"/>
      <c r="Y2516" s="14"/>
      <c r="Z2516" s="14"/>
      <c r="AA2516" s="14"/>
      <c r="AB2516" s="14"/>
      <c r="AC2516" s="15">
        <v>27.3</v>
      </c>
      <c r="AD2516" s="15">
        <f>AC2516*AG2516</f>
        <v>54.6</v>
      </c>
      <c r="AE2516" s="15">
        <v>60</v>
      </c>
      <c r="AF2516" s="15">
        <f>AE2516*AG2516</f>
        <v>120</v>
      </c>
      <c r="AG2516" s="16">
        <v>2</v>
      </c>
    </row>
    <row r="2517" spans="1:33" ht="15" customHeight="1" x14ac:dyDescent="0.2">
      <c r="A2517" s="11" t="str">
        <f t="shared" si="1013"/>
        <v>VN000CYAEMY1</v>
      </c>
      <c r="B2517" s="12" t="s">
        <v>9336</v>
      </c>
      <c r="C2517" s="12" t="s">
        <v>238</v>
      </c>
      <c r="D2517" s="12" t="s">
        <v>1155</v>
      </c>
      <c r="E2517" s="12" t="s">
        <v>9337</v>
      </c>
      <c r="F2517" s="13">
        <v>115</v>
      </c>
      <c r="G2517" s="12" t="s">
        <v>2273</v>
      </c>
      <c r="H2517" s="12" t="s">
        <v>38</v>
      </c>
      <c r="I2517" s="12" t="s">
        <v>39</v>
      </c>
      <c r="J2517" s="12" t="s">
        <v>40</v>
      </c>
      <c r="K2517" s="12" t="s">
        <v>41</v>
      </c>
      <c r="L2517" s="14"/>
      <c r="M2517" s="12" t="s">
        <v>43</v>
      </c>
      <c r="N2517" s="12" t="s">
        <v>84</v>
      </c>
      <c r="O2517" s="12" t="s">
        <v>9338</v>
      </c>
      <c r="P2517" s="12" t="s">
        <v>46</v>
      </c>
      <c r="Q2517" s="12" t="s">
        <v>47</v>
      </c>
      <c r="R2517" s="12" t="s">
        <v>48</v>
      </c>
      <c r="S2517" s="13">
        <v>197804515325</v>
      </c>
      <c r="T2517" s="12" t="s">
        <v>164</v>
      </c>
      <c r="U2517" s="13">
        <v>28</v>
      </c>
      <c r="V2517" s="12" t="s">
        <v>50</v>
      </c>
      <c r="W2517" s="12" t="s">
        <v>107</v>
      </c>
      <c r="X2517" s="14"/>
      <c r="Y2517" s="14"/>
      <c r="Z2517" s="14"/>
      <c r="AA2517" s="14"/>
      <c r="AB2517" s="14"/>
      <c r="AC2517" s="15">
        <v>27.3</v>
      </c>
      <c r="AD2517" s="15">
        <f>AC2517*AG2517</f>
        <v>54.6</v>
      </c>
      <c r="AE2517" s="15">
        <v>60</v>
      </c>
      <c r="AF2517" s="15">
        <f>AE2517*AG2517</f>
        <v>120</v>
      </c>
      <c r="AG2517" s="16">
        <v>2</v>
      </c>
    </row>
    <row r="2518" spans="1:33" ht="15" customHeight="1" x14ac:dyDescent="0.2">
      <c r="A2518" s="11" t="str">
        <f t="shared" si="610"/>
        <v>VN000CYARV21</v>
      </c>
      <c r="B2518" s="12" t="s">
        <v>9339</v>
      </c>
      <c r="C2518" s="12" t="s">
        <v>238</v>
      </c>
      <c r="D2518" s="12" t="s">
        <v>1428</v>
      </c>
      <c r="E2518" s="12" t="s">
        <v>9340</v>
      </c>
      <c r="F2518" s="13">
        <v>30</v>
      </c>
      <c r="G2518" s="12" t="s">
        <v>2273</v>
      </c>
      <c r="H2518" s="12" t="s">
        <v>38</v>
      </c>
      <c r="I2518" s="12" t="s">
        <v>39</v>
      </c>
      <c r="J2518" s="12" t="s">
        <v>40</v>
      </c>
      <c r="K2518" s="12" t="s">
        <v>41</v>
      </c>
      <c r="L2518" s="14"/>
      <c r="M2518" s="12" t="s">
        <v>43</v>
      </c>
      <c r="N2518" s="12" t="s">
        <v>84</v>
      </c>
      <c r="O2518" s="12" t="s">
        <v>9341</v>
      </c>
      <c r="P2518" s="12" t="s">
        <v>46</v>
      </c>
      <c r="Q2518" s="12" t="s">
        <v>47</v>
      </c>
      <c r="R2518" s="12" t="s">
        <v>48</v>
      </c>
      <c r="S2518" s="13">
        <v>197804515950</v>
      </c>
      <c r="T2518" s="12" t="s">
        <v>164</v>
      </c>
      <c r="U2518" s="13">
        <v>34</v>
      </c>
      <c r="V2518" s="12" t="s">
        <v>50</v>
      </c>
      <c r="W2518" s="12" t="s">
        <v>51</v>
      </c>
      <c r="X2518" s="14"/>
      <c r="Y2518" s="14"/>
      <c r="Z2518" s="14"/>
      <c r="AA2518" s="14"/>
      <c r="AB2518" s="14"/>
      <c r="AC2518" s="15">
        <v>27.3</v>
      </c>
      <c r="AD2518" s="15">
        <f>AC2518*AG2518</f>
        <v>54.6</v>
      </c>
      <c r="AE2518" s="15">
        <v>60</v>
      </c>
      <c r="AF2518" s="15">
        <f>AE2518*AG2518</f>
        <v>120</v>
      </c>
      <c r="AG2518" s="16">
        <v>2</v>
      </c>
    </row>
    <row r="2519" spans="1:33" ht="15" customHeight="1" x14ac:dyDescent="0.2">
      <c r="A2519" s="11" t="str">
        <f>HYPERLINK("https://assets.vans.eu/images/VN000CYEEMY-HERO/1","VN000CYEEMY1")</f>
        <v>VN000CYEEMY1</v>
      </c>
      <c r="B2519" s="12" t="s">
        <v>9342</v>
      </c>
      <c r="C2519" s="12" t="s">
        <v>9343</v>
      </c>
      <c r="D2519" s="12" t="s">
        <v>1155</v>
      </c>
      <c r="E2519" s="12" t="s">
        <v>9344</v>
      </c>
      <c r="F2519" s="13">
        <v>25</v>
      </c>
      <c r="G2519" s="12" t="s">
        <v>775</v>
      </c>
      <c r="H2519" s="12" t="s">
        <v>38</v>
      </c>
      <c r="I2519" s="12" t="s">
        <v>39</v>
      </c>
      <c r="J2519" s="12" t="s">
        <v>40</v>
      </c>
      <c r="K2519" s="12" t="s">
        <v>41</v>
      </c>
      <c r="L2519" s="14"/>
      <c r="M2519" s="12" t="s">
        <v>43</v>
      </c>
      <c r="N2519" s="12" t="s">
        <v>84</v>
      </c>
      <c r="O2519" s="12" t="s">
        <v>9345</v>
      </c>
      <c r="P2519" s="12" t="s">
        <v>46</v>
      </c>
      <c r="Q2519" s="12" t="s">
        <v>47</v>
      </c>
      <c r="R2519" s="12" t="s">
        <v>780</v>
      </c>
      <c r="S2519" s="13">
        <v>197804516421</v>
      </c>
      <c r="T2519" s="12" t="s">
        <v>164</v>
      </c>
      <c r="U2519" s="13">
        <v>33</v>
      </c>
      <c r="V2519" s="12" t="s">
        <v>278</v>
      </c>
      <c r="W2519" s="12" t="s">
        <v>107</v>
      </c>
      <c r="X2519" s="14"/>
      <c r="Y2519" s="14"/>
      <c r="Z2519" s="14"/>
      <c r="AA2519" s="14"/>
      <c r="AB2519" s="14"/>
      <c r="AC2519" s="15">
        <v>31.85</v>
      </c>
      <c r="AD2519" s="15">
        <f>AC2519*AG2519</f>
        <v>63.7</v>
      </c>
      <c r="AE2519" s="15">
        <v>70</v>
      </c>
      <c r="AF2519" s="15">
        <f>AE2519*AG2519</f>
        <v>140</v>
      </c>
      <c r="AG2519" s="16">
        <v>2</v>
      </c>
    </row>
    <row r="2520" spans="1:33" ht="15" customHeight="1" x14ac:dyDescent="0.2">
      <c r="A2520" s="11" t="str">
        <f t="shared" ref="A2520:A3987" si="1014">HYPERLINK("https://assets.vans.eu/images/VN000CYPBML-HERO/1","VN000CYPBML1")</f>
        <v>VN000CYPBML1</v>
      </c>
      <c r="B2520" s="12" t="s">
        <v>9346</v>
      </c>
      <c r="C2520" s="12" t="s">
        <v>9343</v>
      </c>
      <c r="D2520" s="12" t="s">
        <v>555</v>
      </c>
      <c r="E2520" s="12" t="s">
        <v>9347</v>
      </c>
      <c r="F2520" s="13">
        <v>110</v>
      </c>
      <c r="G2520" s="12" t="s">
        <v>9348</v>
      </c>
      <c r="H2520" s="12" t="s">
        <v>38</v>
      </c>
      <c r="I2520" s="12" t="s">
        <v>39</v>
      </c>
      <c r="J2520" s="12" t="s">
        <v>40</v>
      </c>
      <c r="K2520" s="12" t="s">
        <v>41</v>
      </c>
      <c r="L2520" s="14"/>
      <c r="M2520" s="12" t="s">
        <v>43</v>
      </c>
      <c r="N2520" s="12" t="s">
        <v>44</v>
      </c>
      <c r="O2520" s="12" t="s">
        <v>9349</v>
      </c>
      <c r="P2520" s="12" t="s">
        <v>46</v>
      </c>
      <c r="Q2520" s="12" t="s">
        <v>47</v>
      </c>
      <c r="R2520" s="12" t="s">
        <v>780</v>
      </c>
      <c r="S2520" s="13">
        <v>197643259824</v>
      </c>
      <c r="T2520" s="12" t="s">
        <v>164</v>
      </c>
      <c r="U2520" s="13">
        <v>27.5</v>
      </c>
      <c r="V2520" s="12" t="s">
        <v>50</v>
      </c>
      <c r="W2520" s="12" t="s">
        <v>51</v>
      </c>
      <c r="X2520" s="14"/>
      <c r="Y2520" s="12" t="s">
        <v>91</v>
      </c>
      <c r="Z2520" s="12" t="s">
        <v>165</v>
      </c>
      <c r="AA2520" s="14"/>
      <c r="AB2520" s="14"/>
      <c r="AC2520" s="15">
        <v>29.55</v>
      </c>
      <c r="AD2520" s="15">
        <f>AC2520*AG2520</f>
        <v>59.1</v>
      </c>
      <c r="AE2520" s="15">
        <v>65</v>
      </c>
      <c r="AF2520" s="15">
        <f>AE2520*AG2520</f>
        <v>130</v>
      </c>
      <c r="AG2520" s="16">
        <v>2</v>
      </c>
    </row>
    <row r="2521" spans="1:33" ht="15" customHeight="1" x14ac:dyDescent="0.2">
      <c r="A2521" s="11" t="str">
        <f>HYPERLINK("https://assets.vans.eu/images/VN000CYU4QU-HERO/1","VN000CYU4QU1")</f>
        <v>VN000CYU4QU1</v>
      </c>
      <c r="B2521" s="12" t="s">
        <v>9350</v>
      </c>
      <c r="C2521" s="12" t="s">
        <v>110</v>
      </c>
      <c r="D2521" s="12" t="s">
        <v>1057</v>
      </c>
      <c r="E2521" s="12" t="s">
        <v>9351</v>
      </c>
      <c r="F2521" s="13">
        <v>15</v>
      </c>
      <c r="G2521" s="14"/>
      <c r="H2521" s="12" t="s">
        <v>38</v>
      </c>
      <c r="I2521" s="12" t="s">
        <v>39</v>
      </c>
      <c r="J2521" s="12" t="s">
        <v>40</v>
      </c>
      <c r="K2521" s="12" t="s">
        <v>41</v>
      </c>
      <c r="L2521" s="14"/>
      <c r="M2521" s="12" t="s">
        <v>43</v>
      </c>
      <c r="N2521" s="12" t="s">
        <v>44</v>
      </c>
      <c r="O2521" s="12" t="s">
        <v>9352</v>
      </c>
      <c r="P2521" s="12" t="s">
        <v>46</v>
      </c>
      <c r="Q2521" s="12" t="s">
        <v>47</v>
      </c>
      <c r="R2521" s="12" t="s">
        <v>48</v>
      </c>
      <c r="S2521" s="13">
        <v>197643171720</v>
      </c>
      <c r="T2521" s="12" t="s">
        <v>105</v>
      </c>
      <c r="U2521" s="13">
        <v>32</v>
      </c>
      <c r="V2521" s="12" t="s">
        <v>50</v>
      </c>
      <c r="W2521" s="12" t="s">
        <v>262</v>
      </c>
      <c r="X2521" s="14"/>
      <c r="Y2521" s="12" t="s">
        <v>91</v>
      </c>
      <c r="Z2521" s="12" t="s">
        <v>165</v>
      </c>
      <c r="AA2521" s="14"/>
      <c r="AB2521" s="14"/>
      <c r="AC2521" s="15">
        <v>29.55</v>
      </c>
      <c r="AD2521" s="15">
        <f>AC2521*AG2521</f>
        <v>59.1</v>
      </c>
      <c r="AE2521" s="15">
        <v>65</v>
      </c>
      <c r="AF2521" s="15">
        <f>AE2521*AG2521</f>
        <v>130</v>
      </c>
      <c r="AG2521" s="16">
        <v>2</v>
      </c>
    </row>
    <row r="2522" spans="1:33" ht="15" customHeight="1" x14ac:dyDescent="0.2">
      <c r="A2522" s="11" t="str">
        <f>HYPERLINK("https://assets.vans.eu/images/VN000CYU4QU-HERO/1","VN000CYU4QU1")</f>
        <v>VN000CYU4QU1</v>
      </c>
      <c r="B2522" s="12" t="s">
        <v>9353</v>
      </c>
      <c r="C2522" s="12" t="s">
        <v>110</v>
      </c>
      <c r="D2522" s="12" t="s">
        <v>1057</v>
      </c>
      <c r="E2522" s="12" t="s">
        <v>9354</v>
      </c>
      <c r="F2522" s="13">
        <v>115</v>
      </c>
      <c r="G2522" s="14"/>
      <c r="H2522" s="12" t="s">
        <v>38</v>
      </c>
      <c r="I2522" s="12" t="s">
        <v>39</v>
      </c>
      <c r="J2522" s="12" t="s">
        <v>40</v>
      </c>
      <c r="K2522" s="12" t="s">
        <v>41</v>
      </c>
      <c r="L2522" s="14"/>
      <c r="M2522" s="12" t="s">
        <v>43</v>
      </c>
      <c r="N2522" s="12" t="s">
        <v>44</v>
      </c>
      <c r="O2522" s="12" t="s">
        <v>9355</v>
      </c>
      <c r="P2522" s="12" t="s">
        <v>46</v>
      </c>
      <c r="Q2522" s="12" t="s">
        <v>47</v>
      </c>
      <c r="R2522" s="12" t="s">
        <v>48</v>
      </c>
      <c r="S2522" s="13">
        <v>197643171966</v>
      </c>
      <c r="T2522" s="12" t="s">
        <v>105</v>
      </c>
      <c r="U2522" s="13">
        <v>28</v>
      </c>
      <c r="V2522" s="12" t="s">
        <v>50</v>
      </c>
      <c r="W2522" s="12" t="s">
        <v>262</v>
      </c>
      <c r="X2522" s="14"/>
      <c r="Y2522" s="12" t="s">
        <v>91</v>
      </c>
      <c r="Z2522" s="12" t="s">
        <v>165</v>
      </c>
      <c r="AA2522" s="14"/>
      <c r="AB2522" s="14"/>
      <c r="AC2522" s="15">
        <v>29.55</v>
      </c>
      <c r="AD2522" s="15">
        <f>AC2522*AG2522</f>
        <v>59.1</v>
      </c>
      <c r="AE2522" s="15">
        <v>65</v>
      </c>
      <c r="AF2522" s="15">
        <f>AE2522*AG2522</f>
        <v>130</v>
      </c>
      <c r="AG2522" s="16">
        <v>2</v>
      </c>
    </row>
    <row r="2523" spans="1:33" ht="15" customHeight="1" x14ac:dyDescent="0.2">
      <c r="A2523" s="11" t="str">
        <f>HYPERLINK("https://assets.vans.eu/images/VN000CYU4QU-HERO/1","VN000CYU4QU1")</f>
        <v>VN000CYU4QU1</v>
      </c>
      <c r="B2523" s="12" t="s">
        <v>9356</v>
      </c>
      <c r="C2523" s="12" t="s">
        <v>110</v>
      </c>
      <c r="D2523" s="12" t="s">
        <v>1057</v>
      </c>
      <c r="E2523" s="12" t="s">
        <v>9357</v>
      </c>
      <c r="F2523" s="13">
        <v>120</v>
      </c>
      <c r="G2523" s="14"/>
      <c r="H2523" s="12" t="s">
        <v>38</v>
      </c>
      <c r="I2523" s="12" t="s">
        <v>39</v>
      </c>
      <c r="J2523" s="12" t="s">
        <v>40</v>
      </c>
      <c r="K2523" s="12" t="s">
        <v>41</v>
      </c>
      <c r="L2523" s="14"/>
      <c r="M2523" s="12" t="s">
        <v>43</v>
      </c>
      <c r="N2523" s="12" t="s">
        <v>44</v>
      </c>
      <c r="O2523" s="12" t="s">
        <v>9358</v>
      </c>
      <c r="P2523" s="12" t="s">
        <v>46</v>
      </c>
      <c r="Q2523" s="12" t="s">
        <v>47</v>
      </c>
      <c r="R2523" s="12" t="s">
        <v>48</v>
      </c>
      <c r="S2523" s="13">
        <v>197643172116</v>
      </c>
      <c r="T2523" s="12" t="s">
        <v>105</v>
      </c>
      <c r="U2523" s="13">
        <v>29</v>
      </c>
      <c r="V2523" s="12" t="s">
        <v>50</v>
      </c>
      <c r="W2523" s="12" t="s">
        <v>262</v>
      </c>
      <c r="X2523" s="14"/>
      <c r="Y2523" s="12" t="s">
        <v>91</v>
      </c>
      <c r="Z2523" s="12" t="s">
        <v>165</v>
      </c>
      <c r="AA2523" s="14"/>
      <c r="AB2523" s="14"/>
      <c r="AC2523" s="15">
        <v>29.55</v>
      </c>
      <c r="AD2523" s="15">
        <f>AC2523*AG2523</f>
        <v>59.1</v>
      </c>
      <c r="AE2523" s="15">
        <v>65</v>
      </c>
      <c r="AF2523" s="15">
        <f>AE2523*AG2523</f>
        <v>130</v>
      </c>
      <c r="AG2523" s="16">
        <v>2</v>
      </c>
    </row>
    <row r="2524" spans="1:33" ht="15" customHeight="1" x14ac:dyDescent="0.2">
      <c r="A2524" s="11" t="str">
        <f t="shared" si="773"/>
        <v>VN000CYUE2T1</v>
      </c>
      <c r="B2524" s="12" t="s">
        <v>9359</v>
      </c>
      <c r="C2524" s="12" t="s">
        <v>110</v>
      </c>
      <c r="D2524" s="12" t="s">
        <v>7091</v>
      </c>
      <c r="E2524" s="12" t="s">
        <v>9360</v>
      </c>
      <c r="F2524" s="13">
        <v>30</v>
      </c>
      <c r="G2524" s="12" t="s">
        <v>7093</v>
      </c>
      <c r="H2524" s="12" t="s">
        <v>38</v>
      </c>
      <c r="I2524" s="12" t="s">
        <v>39</v>
      </c>
      <c r="J2524" s="12" t="s">
        <v>40</v>
      </c>
      <c r="K2524" s="12" t="s">
        <v>41</v>
      </c>
      <c r="L2524" s="14"/>
      <c r="M2524" s="12" t="s">
        <v>43</v>
      </c>
      <c r="N2524" s="12" t="s">
        <v>44</v>
      </c>
      <c r="O2524" s="12" t="s">
        <v>9361</v>
      </c>
      <c r="P2524" s="12" t="s">
        <v>46</v>
      </c>
      <c r="Q2524" s="12" t="s">
        <v>47</v>
      </c>
      <c r="R2524" s="12" t="s">
        <v>48</v>
      </c>
      <c r="S2524" s="13">
        <v>197643172093</v>
      </c>
      <c r="T2524" s="12" t="s">
        <v>105</v>
      </c>
      <c r="U2524" s="13">
        <v>34</v>
      </c>
      <c r="V2524" s="12" t="s">
        <v>50</v>
      </c>
      <c r="W2524" s="12" t="s">
        <v>107</v>
      </c>
      <c r="X2524" s="14"/>
      <c r="Y2524" s="12" t="s">
        <v>91</v>
      </c>
      <c r="Z2524" s="12" t="s">
        <v>165</v>
      </c>
      <c r="AA2524" s="14"/>
      <c r="AB2524" s="14"/>
      <c r="AC2524" s="15">
        <v>29.55</v>
      </c>
      <c r="AD2524" s="15">
        <f>AC2524*AG2524</f>
        <v>59.1</v>
      </c>
      <c r="AE2524" s="15">
        <v>65</v>
      </c>
      <c r="AF2524" s="15">
        <f>AE2524*AG2524</f>
        <v>130</v>
      </c>
      <c r="AG2524" s="16">
        <v>2</v>
      </c>
    </row>
    <row r="2525" spans="1:33" ht="15" customHeight="1" x14ac:dyDescent="0.2">
      <c r="A2525" s="11" t="str">
        <f t="shared" ref="A2525:A3997" si="1015">HYPERLINK("https://assets.vans.eu/images/VN000CYUEN6-HERO/1","VN000CYUEN61")</f>
        <v>VN000CYUEN61</v>
      </c>
      <c r="B2525" s="12" t="s">
        <v>9362</v>
      </c>
      <c r="C2525" s="12" t="s">
        <v>110</v>
      </c>
      <c r="D2525" s="12" t="s">
        <v>189</v>
      </c>
      <c r="E2525" s="12" t="s">
        <v>9363</v>
      </c>
      <c r="F2525" s="13">
        <v>135</v>
      </c>
      <c r="G2525" s="14"/>
      <c r="H2525" s="12" t="s">
        <v>38</v>
      </c>
      <c r="I2525" s="12" t="s">
        <v>39</v>
      </c>
      <c r="J2525" s="12" t="s">
        <v>40</v>
      </c>
      <c r="K2525" s="12" t="s">
        <v>41</v>
      </c>
      <c r="L2525" s="14"/>
      <c r="M2525" s="12" t="s">
        <v>43</v>
      </c>
      <c r="N2525" s="12" t="s">
        <v>84</v>
      </c>
      <c r="O2525" s="12" t="s">
        <v>9364</v>
      </c>
      <c r="P2525" s="12" t="s">
        <v>46</v>
      </c>
      <c r="Q2525" s="12" t="s">
        <v>47</v>
      </c>
      <c r="R2525" s="12" t="s">
        <v>48</v>
      </c>
      <c r="S2525" s="13">
        <v>197804434848</v>
      </c>
      <c r="T2525" s="12" t="s">
        <v>105</v>
      </c>
      <c r="U2525" s="13">
        <v>31</v>
      </c>
      <c r="V2525" s="12" t="s">
        <v>50</v>
      </c>
      <c r="W2525" s="12" t="s">
        <v>118</v>
      </c>
      <c r="X2525" s="14"/>
      <c r="Y2525" s="14"/>
      <c r="Z2525" s="14"/>
      <c r="AA2525" s="14"/>
      <c r="AB2525" s="14"/>
      <c r="AC2525" s="15">
        <v>29.55</v>
      </c>
      <c r="AD2525" s="15">
        <f>AC2525*AG2525</f>
        <v>59.1</v>
      </c>
      <c r="AE2525" s="15">
        <v>65</v>
      </c>
      <c r="AF2525" s="15">
        <f>AE2525*AG2525</f>
        <v>130</v>
      </c>
      <c r="AG2525" s="16">
        <v>2</v>
      </c>
    </row>
    <row r="2526" spans="1:33" ht="15" customHeight="1" x14ac:dyDescent="0.2">
      <c r="A2526" s="11" t="str">
        <f>HYPERLINK("https://assets.vans.eu/images/VN000CYVENA-HERO/1","VN000CYVENA1")</f>
        <v>VN000CYVENA1</v>
      </c>
      <c r="B2526" s="12" t="s">
        <v>9365</v>
      </c>
      <c r="C2526" s="12" t="s">
        <v>34</v>
      </c>
      <c r="D2526" s="12" t="s">
        <v>280</v>
      </c>
      <c r="E2526" s="12" t="s">
        <v>9366</v>
      </c>
      <c r="F2526" s="13">
        <v>20</v>
      </c>
      <c r="G2526" s="12" t="s">
        <v>3002</v>
      </c>
      <c r="H2526" s="12" t="s">
        <v>38</v>
      </c>
      <c r="I2526" s="12" t="s">
        <v>39</v>
      </c>
      <c r="J2526" s="12" t="s">
        <v>40</v>
      </c>
      <c r="K2526" s="12" t="s">
        <v>41</v>
      </c>
      <c r="L2526" s="14"/>
      <c r="M2526" s="12" t="s">
        <v>43</v>
      </c>
      <c r="N2526" s="12" t="s">
        <v>84</v>
      </c>
      <c r="O2526" s="12" t="s">
        <v>9367</v>
      </c>
      <c r="P2526" s="12" t="s">
        <v>46</v>
      </c>
      <c r="Q2526" s="12" t="s">
        <v>47</v>
      </c>
      <c r="R2526" s="12" t="s">
        <v>48</v>
      </c>
      <c r="S2526" s="13">
        <v>197804517923</v>
      </c>
      <c r="T2526" s="12" t="s">
        <v>105</v>
      </c>
      <c r="U2526" s="13">
        <v>32.5</v>
      </c>
      <c r="V2526" s="12" t="s">
        <v>50</v>
      </c>
      <c r="W2526" s="12" t="s">
        <v>284</v>
      </c>
      <c r="X2526" s="14"/>
      <c r="Y2526" s="14"/>
      <c r="Z2526" s="14"/>
      <c r="AA2526" s="14"/>
      <c r="AB2526" s="14"/>
      <c r="AC2526" s="15">
        <v>25</v>
      </c>
      <c r="AD2526" s="15">
        <f>AC2526*AG2526</f>
        <v>50</v>
      </c>
      <c r="AE2526" s="15">
        <v>55</v>
      </c>
      <c r="AF2526" s="15">
        <f>AE2526*AG2526</f>
        <v>110</v>
      </c>
      <c r="AG2526" s="16">
        <v>2</v>
      </c>
    </row>
    <row r="2527" spans="1:33" ht="15" customHeight="1" x14ac:dyDescent="0.2">
      <c r="A2527" s="11" t="str">
        <f t="shared" ref="A2527:A4001" si="1016">HYPERLINK("https://assets.vans.eu/images/VN000CZ7BLA-HERO/1","VN000CZ7BLA1")</f>
        <v>VN000CZ7BLA1</v>
      </c>
      <c r="B2527" s="12" t="s">
        <v>9368</v>
      </c>
      <c r="C2527" s="12" t="s">
        <v>2412</v>
      </c>
      <c r="D2527" s="12" t="s">
        <v>919</v>
      </c>
      <c r="E2527" s="12" t="s">
        <v>9369</v>
      </c>
      <c r="F2527" s="13">
        <v>30</v>
      </c>
      <c r="G2527" s="12" t="s">
        <v>4948</v>
      </c>
      <c r="H2527" s="12" t="s">
        <v>38</v>
      </c>
      <c r="I2527" s="12" t="s">
        <v>39</v>
      </c>
      <c r="J2527" s="12" t="s">
        <v>40</v>
      </c>
      <c r="K2527" s="12" t="s">
        <v>41</v>
      </c>
      <c r="L2527" s="14"/>
      <c r="M2527" s="12" t="s">
        <v>43</v>
      </c>
      <c r="N2527" s="12" t="s">
        <v>84</v>
      </c>
      <c r="O2527" s="12" t="s">
        <v>9370</v>
      </c>
      <c r="P2527" s="12" t="s">
        <v>46</v>
      </c>
      <c r="Q2527" s="12" t="s">
        <v>47</v>
      </c>
      <c r="R2527" s="12" t="s">
        <v>313</v>
      </c>
      <c r="S2527" s="13">
        <v>197804519118</v>
      </c>
      <c r="T2527" s="12" t="s">
        <v>105</v>
      </c>
      <c r="U2527" s="13">
        <v>34</v>
      </c>
      <c r="V2527" s="12" t="s">
        <v>50</v>
      </c>
      <c r="W2527" s="12" t="s">
        <v>51</v>
      </c>
      <c r="X2527" s="14"/>
      <c r="Y2527" s="14"/>
      <c r="Z2527" s="14"/>
      <c r="AA2527" s="14"/>
      <c r="AB2527" s="14"/>
      <c r="AC2527" s="15">
        <v>31.85</v>
      </c>
      <c r="AD2527" s="15">
        <f>AC2527*AG2527</f>
        <v>63.7</v>
      </c>
      <c r="AE2527" s="15">
        <v>70</v>
      </c>
      <c r="AF2527" s="15">
        <f>AE2527*AG2527</f>
        <v>140</v>
      </c>
      <c r="AG2527" s="16">
        <v>2</v>
      </c>
    </row>
    <row r="2528" spans="1:33" ht="15" customHeight="1" x14ac:dyDescent="0.2">
      <c r="A2528" s="11" t="str">
        <f t="shared" ref="A2528:A2532" si="1017">HYPERLINK("https://assets.vans.eu/images/VN000CZ7EMW-HERO/1","VN000CZ7EMW1")</f>
        <v>VN000CZ7EMW1</v>
      </c>
      <c r="B2528" s="12" t="s">
        <v>9371</v>
      </c>
      <c r="C2528" s="12" t="s">
        <v>2412</v>
      </c>
      <c r="D2528" s="12" t="s">
        <v>147</v>
      </c>
      <c r="E2528" s="12" t="s">
        <v>9372</v>
      </c>
      <c r="F2528" s="13">
        <v>10</v>
      </c>
      <c r="G2528" s="12" t="s">
        <v>2452</v>
      </c>
      <c r="H2528" s="12" t="s">
        <v>38</v>
      </c>
      <c r="I2528" s="12" t="s">
        <v>39</v>
      </c>
      <c r="J2528" s="12" t="s">
        <v>40</v>
      </c>
      <c r="K2528" s="12" t="s">
        <v>41</v>
      </c>
      <c r="L2528" s="14"/>
      <c r="M2528" s="12" t="s">
        <v>43</v>
      </c>
      <c r="N2528" s="12" t="s">
        <v>84</v>
      </c>
      <c r="O2528" s="12" t="s">
        <v>9373</v>
      </c>
      <c r="P2528" s="12" t="s">
        <v>46</v>
      </c>
      <c r="Q2528" s="12" t="s">
        <v>47</v>
      </c>
      <c r="R2528" s="12" t="s">
        <v>313</v>
      </c>
      <c r="S2528" s="13">
        <v>197804518593</v>
      </c>
      <c r="T2528" s="12" t="s">
        <v>49</v>
      </c>
      <c r="U2528" s="13">
        <v>31.5</v>
      </c>
      <c r="V2528" s="12" t="s">
        <v>50</v>
      </c>
      <c r="W2528" s="12" t="s">
        <v>118</v>
      </c>
      <c r="X2528" s="14"/>
      <c r="Y2528" s="14"/>
      <c r="Z2528" s="14"/>
      <c r="AA2528" s="14"/>
      <c r="AB2528" s="14"/>
      <c r="AC2528" s="15">
        <v>29.55</v>
      </c>
      <c r="AD2528" s="15">
        <f>AC2528*AG2528</f>
        <v>59.1</v>
      </c>
      <c r="AE2528" s="15">
        <v>65</v>
      </c>
      <c r="AF2528" s="15">
        <f>AE2528*AG2528</f>
        <v>130</v>
      </c>
      <c r="AG2528" s="16">
        <v>2</v>
      </c>
    </row>
    <row r="2529" spans="1:33" ht="15" customHeight="1" x14ac:dyDescent="0.2">
      <c r="A2529" s="11" t="str">
        <f t="shared" si="1017"/>
        <v>VN000CZ7EMW1</v>
      </c>
      <c r="B2529" s="12" t="s">
        <v>9374</v>
      </c>
      <c r="C2529" s="12" t="s">
        <v>2412</v>
      </c>
      <c r="D2529" s="12" t="s">
        <v>147</v>
      </c>
      <c r="E2529" s="12" t="s">
        <v>9375</v>
      </c>
      <c r="F2529" s="13">
        <v>105</v>
      </c>
      <c r="G2529" s="12" t="s">
        <v>2452</v>
      </c>
      <c r="H2529" s="12" t="s">
        <v>38</v>
      </c>
      <c r="I2529" s="12" t="s">
        <v>39</v>
      </c>
      <c r="J2529" s="12" t="s">
        <v>40</v>
      </c>
      <c r="K2529" s="12" t="s">
        <v>41</v>
      </c>
      <c r="L2529" s="14"/>
      <c r="M2529" s="12" t="s">
        <v>43</v>
      </c>
      <c r="N2529" s="12" t="s">
        <v>84</v>
      </c>
      <c r="O2529" s="12" t="s">
        <v>9376</v>
      </c>
      <c r="P2529" s="12" t="s">
        <v>46</v>
      </c>
      <c r="Q2529" s="12" t="s">
        <v>47</v>
      </c>
      <c r="R2529" s="12" t="s">
        <v>313</v>
      </c>
      <c r="S2529" s="13">
        <v>197804519170</v>
      </c>
      <c r="T2529" s="12" t="s">
        <v>49</v>
      </c>
      <c r="U2529" s="13">
        <v>27</v>
      </c>
      <c r="V2529" s="12" t="s">
        <v>50</v>
      </c>
      <c r="W2529" s="12" t="s">
        <v>118</v>
      </c>
      <c r="X2529" s="14"/>
      <c r="Y2529" s="14"/>
      <c r="Z2529" s="14"/>
      <c r="AA2529" s="14"/>
      <c r="AB2529" s="14"/>
      <c r="AC2529" s="15">
        <v>29.55</v>
      </c>
      <c r="AD2529" s="15">
        <f>AC2529*AG2529</f>
        <v>59.1</v>
      </c>
      <c r="AE2529" s="15">
        <v>65</v>
      </c>
      <c r="AF2529" s="15">
        <f>AE2529*AG2529</f>
        <v>130</v>
      </c>
      <c r="AG2529" s="16">
        <v>2</v>
      </c>
    </row>
    <row r="2530" spans="1:33" ht="15" customHeight="1" x14ac:dyDescent="0.2">
      <c r="A2530" s="11" t="str">
        <f t="shared" si="1017"/>
        <v>VN000CZ7EMW1</v>
      </c>
      <c r="B2530" s="12" t="s">
        <v>9377</v>
      </c>
      <c r="C2530" s="12" t="s">
        <v>2412</v>
      </c>
      <c r="D2530" s="12" t="s">
        <v>147</v>
      </c>
      <c r="E2530" s="12" t="s">
        <v>9378</v>
      </c>
      <c r="F2530" s="13">
        <v>115</v>
      </c>
      <c r="G2530" s="12" t="s">
        <v>2452</v>
      </c>
      <c r="H2530" s="12" t="s">
        <v>38</v>
      </c>
      <c r="I2530" s="12" t="s">
        <v>39</v>
      </c>
      <c r="J2530" s="12" t="s">
        <v>40</v>
      </c>
      <c r="K2530" s="12" t="s">
        <v>41</v>
      </c>
      <c r="L2530" s="14"/>
      <c r="M2530" s="12" t="s">
        <v>43</v>
      </c>
      <c r="N2530" s="12" t="s">
        <v>84</v>
      </c>
      <c r="O2530" s="12" t="s">
        <v>9379</v>
      </c>
      <c r="P2530" s="12" t="s">
        <v>46</v>
      </c>
      <c r="Q2530" s="12" t="s">
        <v>47</v>
      </c>
      <c r="R2530" s="12" t="s">
        <v>313</v>
      </c>
      <c r="S2530" s="13">
        <v>197804519408</v>
      </c>
      <c r="T2530" s="12" t="s">
        <v>49</v>
      </c>
      <c r="U2530" s="13">
        <v>28</v>
      </c>
      <c r="V2530" s="12" t="s">
        <v>50</v>
      </c>
      <c r="W2530" s="12" t="s">
        <v>118</v>
      </c>
      <c r="X2530" s="14"/>
      <c r="Y2530" s="14"/>
      <c r="Z2530" s="14"/>
      <c r="AA2530" s="14"/>
      <c r="AB2530" s="14"/>
      <c r="AC2530" s="15">
        <v>29.55</v>
      </c>
      <c r="AD2530" s="15">
        <f>AC2530*AG2530</f>
        <v>59.1</v>
      </c>
      <c r="AE2530" s="15">
        <v>65</v>
      </c>
      <c r="AF2530" s="15">
        <f>AE2530*AG2530</f>
        <v>130</v>
      </c>
      <c r="AG2530" s="16">
        <v>2</v>
      </c>
    </row>
    <row r="2531" spans="1:33" ht="15" customHeight="1" x14ac:dyDescent="0.2">
      <c r="A2531" s="11" t="str">
        <f t="shared" si="1017"/>
        <v>VN000CZ7EMW1</v>
      </c>
      <c r="B2531" s="12" t="s">
        <v>9380</v>
      </c>
      <c r="C2531" s="12" t="s">
        <v>2412</v>
      </c>
      <c r="D2531" s="12" t="s">
        <v>147</v>
      </c>
      <c r="E2531" s="12" t="s">
        <v>9381</v>
      </c>
      <c r="F2531" s="13">
        <v>120</v>
      </c>
      <c r="G2531" s="12" t="s">
        <v>2452</v>
      </c>
      <c r="H2531" s="12" t="s">
        <v>38</v>
      </c>
      <c r="I2531" s="12" t="s">
        <v>39</v>
      </c>
      <c r="J2531" s="12" t="s">
        <v>40</v>
      </c>
      <c r="K2531" s="12" t="s">
        <v>41</v>
      </c>
      <c r="L2531" s="14"/>
      <c r="M2531" s="12" t="s">
        <v>43</v>
      </c>
      <c r="N2531" s="12" t="s">
        <v>84</v>
      </c>
      <c r="O2531" s="12" t="s">
        <v>9382</v>
      </c>
      <c r="P2531" s="12" t="s">
        <v>46</v>
      </c>
      <c r="Q2531" s="12" t="s">
        <v>47</v>
      </c>
      <c r="R2531" s="12" t="s">
        <v>313</v>
      </c>
      <c r="S2531" s="13">
        <v>197804519484</v>
      </c>
      <c r="T2531" s="12" t="s">
        <v>49</v>
      </c>
      <c r="U2531" s="13">
        <v>29</v>
      </c>
      <c r="V2531" s="12" t="s">
        <v>50</v>
      </c>
      <c r="W2531" s="12" t="s">
        <v>118</v>
      </c>
      <c r="X2531" s="14"/>
      <c r="Y2531" s="14"/>
      <c r="Z2531" s="14"/>
      <c r="AA2531" s="14"/>
      <c r="AB2531" s="14"/>
      <c r="AC2531" s="15">
        <v>29.55</v>
      </c>
      <c r="AD2531" s="15">
        <f>AC2531*AG2531</f>
        <v>59.1</v>
      </c>
      <c r="AE2531" s="15">
        <v>65</v>
      </c>
      <c r="AF2531" s="15">
        <f>AE2531*AG2531</f>
        <v>130</v>
      </c>
      <c r="AG2531" s="16">
        <v>2</v>
      </c>
    </row>
    <row r="2532" spans="1:33" ht="15" customHeight="1" x14ac:dyDescent="0.2">
      <c r="A2532" s="11" t="str">
        <f t="shared" si="1017"/>
        <v>VN000CZ7EMW1</v>
      </c>
      <c r="B2532" s="12" t="s">
        <v>9383</v>
      </c>
      <c r="C2532" s="12" t="s">
        <v>2412</v>
      </c>
      <c r="D2532" s="12" t="s">
        <v>147</v>
      </c>
      <c r="E2532" s="12" t="s">
        <v>9384</v>
      </c>
      <c r="F2532" s="13">
        <v>125</v>
      </c>
      <c r="G2532" s="12" t="s">
        <v>2452</v>
      </c>
      <c r="H2532" s="12" t="s">
        <v>38</v>
      </c>
      <c r="I2532" s="12" t="s">
        <v>39</v>
      </c>
      <c r="J2532" s="12" t="s">
        <v>40</v>
      </c>
      <c r="K2532" s="12" t="s">
        <v>41</v>
      </c>
      <c r="L2532" s="14"/>
      <c r="M2532" s="12" t="s">
        <v>43</v>
      </c>
      <c r="N2532" s="12" t="s">
        <v>84</v>
      </c>
      <c r="O2532" s="12" t="s">
        <v>9385</v>
      </c>
      <c r="P2532" s="12" t="s">
        <v>46</v>
      </c>
      <c r="Q2532" s="12" t="s">
        <v>47</v>
      </c>
      <c r="R2532" s="12" t="s">
        <v>313</v>
      </c>
      <c r="S2532" s="13">
        <v>197804519569</v>
      </c>
      <c r="T2532" s="12" t="s">
        <v>49</v>
      </c>
      <c r="U2532" s="13">
        <v>30</v>
      </c>
      <c r="V2532" s="12" t="s">
        <v>50</v>
      </c>
      <c r="W2532" s="12" t="s">
        <v>118</v>
      </c>
      <c r="X2532" s="14"/>
      <c r="Y2532" s="14"/>
      <c r="Z2532" s="14"/>
      <c r="AA2532" s="14"/>
      <c r="AB2532" s="14"/>
      <c r="AC2532" s="15">
        <v>29.55</v>
      </c>
      <c r="AD2532" s="15">
        <f>AC2532*AG2532</f>
        <v>59.1</v>
      </c>
      <c r="AE2532" s="15">
        <v>65</v>
      </c>
      <c r="AF2532" s="15">
        <f>AE2532*AG2532</f>
        <v>130</v>
      </c>
      <c r="AG2532" s="16">
        <v>2</v>
      </c>
    </row>
    <row r="2533" spans="1:33" ht="15" customHeight="1" x14ac:dyDescent="0.2">
      <c r="A2533" s="11" t="str">
        <f t="shared" ref="A2533:A4007" si="1018">HYPERLINK("https://assets.vans.eu/images/VN000CZ7RV2-HERO/1","VN000CZ7RV21")</f>
        <v>VN000CZ7RV21</v>
      </c>
      <c r="B2533" s="12" t="s">
        <v>9386</v>
      </c>
      <c r="C2533" s="12" t="s">
        <v>2412</v>
      </c>
      <c r="D2533" s="12" t="s">
        <v>1428</v>
      </c>
      <c r="E2533" s="12" t="s">
        <v>9387</v>
      </c>
      <c r="F2533" s="13">
        <v>125</v>
      </c>
      <c r="G2533" s="14"/>
      <c r="H2533" s="12" t="s">
        <v>38</v>
      </c>
      <c r="I2533" s="12" t="s">
        <v>39</v>
      </c>
      <c r="J2533" s="12" t="s">
        <v>40</v>
      </c>
      <c r="K2533" s="12" t="s">
        <v>41</v>
      </c>
      <c r="L2533" s="14"/>
      <c r="M2533" s="12" t="s">
        <v>43</v>
      </c>
      <c r="N2533" s="12" t="s">
        <v>84</v>
      </c>
      <c r="O2533" s="12" t="s">
        <v>9388</v>
      </c>
      <c r="P2533" s="12" t="s">
        <v>46</v>
      </c>
      <c r="Q2533" s="12" t="s">
        <v>47</v>
      </c>
      <c r="R2533" s="12" t="s">
        <v>313</v>
      </c>
      <c r="S2533" s="13">
        <v>197804520053</v>
      </c>
      <c r="T2533" s="12" t="s">
        <v>164</v>
      </c>
      <c r="U2533" s="13">
        <v>30</v>
      </c>
      <c r="V2533" s="12" t="s">
        <v>50</v>
      </c>
      <c r="W2533" s="12" t="s">
        <v>51</v>
      </c>
      <c r="X2533" s="14"/>
      <c r="Y2533" s="14"/>
      <c r="Z2533" s="14"/>
      <c r="AA2533" s="14"/>
      <c r="AB2533" s="14"/>
      <c r="AC2533" s="15">
        <v>27.3</v>
      </c>
      <c r="AD2533" s="15">
        <f>AC2533*AG2533</f>
        <v>54.6</v>
      </c>
      <c r="AE2533" s="15">
        <v>60</v>
      </c>
      <c r="AF2533" s="15">
        <f>AE2533*AG2533</f>
        <v>120</v>
      </c>
      <c r="AG2533" s="16">
        <v>2</v>
      </c>
    </row>
    <row r="2534" spans="1:33" ht="15" customHeight="1" x14ac:dyDescent="0.2">
      <c r="A2534" s="11" t="str">
        <f t="shared" ref="A2534:A4020" si="1019">HYPERLINK("https://assets.vans.eu/images/VN000D07L37-HERO/1","VN000D07L371")</f>
        <v>VN000D07L371</v>
      </c>
      <c r="B2534" s="12" t="s">
        <v>9389</v>
      </c>
      <c r="C2534" s="12" t="s">
        <v>6036</v>
      </c>
      <c r="D2534" s="12" t="s">
        <v>9390</v>
      </c>
      <c r="E2534" s="12" t="s">
        <v>9391</v>
      </c>
      <c r="F2534" s="13">
        <v>45</v>
      </c>
      <c r="G2534" s="12" t="s">
        <v>9392</v>
      </c>
      <c r="H2534" s="12" t="s">
        <v>38</v>
      </c>
      <c r="I2534" s="12" t="s">
        <v>113</v>
      </c>
      <c r="J2534" s="12" t="s">
        <v>529</v>
      </c>
      <c r="K2534" s="12" t="s">
        <v>82</v>
      </c>
      <c r="L2534" s="14"/>
      <c r="M2534" s="12" t="s">
        <v>43</v>
      </c>
      <c r="N2534" s="12" t="s">
        <v>161</v>
      </c>
      <c r="O2534" s="12" t="s">
        <v>9393</v>
      </c>
      <c r="P2534" s="12" t="s">
        <v>46</v>
      </c>
      <c r="Q2534" s="12" t="s">
        <v>47</v>
      </c>
      <c r="R2534" s="12" t="s">
        <v>117</v>
      </c>
      <c r="S2534" s="13">
        <v>197065754679</v>
      </c>
      <c r="T2534" s="12" t="s">
        <v>49</v>
      </c>
      <c r="U2534" s="13">
        <v>36</v>
      </c>
      <c r="V2534" s="12" t="s">
        <v>50</v>
      </c>
      <c r="W2534" s="12" t="s">
        <v>51</v>
      </c>
      <c r="X2534" s="14"/>
      <c r="Y2534" s="12" t="s">
        <v>53</v>
      </c>
      <c r="Z2534" s="12" t="s">
        <v>263</v>
      </c>
      <c r="AA2534" s="14"/>
      <c r="AB2534" s="14"/>
      <c r="AC2534" s="15">
        <v>38.65</v>
      </c>
      <c r="AD2534" s="15">
        <f>AC2534*AG2534</f>
        <v>77.3</v>
      </c>
      <c r="AE2534" s="15">
        <v>85</v>
      </c>
      <c r="AF2534" s="15">
        <f>AE2534*AG2534</f>
        <v>170</v>
      </c>
      <c r="AG2534" s="16">
        <v>2</v>
      </c>
    </row>
    <row r="2535" spans="1:33" ht="15" customHeight="1" x14ac:dyDescent="0.2">
      <c r="A2535" s="11" t="str">
        <f>HYPERLINK("https://assets.vans.eu/images/VN000D07YB2-HERO/1","VN000D07YB21")</f>
        <v>VN000D07YB21</v>
      </c>
      <c r="B2535" s="12" t="s">
        <v>9394</v>
      </c>
      <c r="C2535" s="12" t="s">
        <v>6036</v>
      </c>
      <c r="D2535" s="12" t="s">
        <v>1138</v>
      </c>
      <c r="E2535" s="12" t="s">
        <v>9395</v>
      </c>
      <c r="F2535" s="13">
        <v>75</v>
      </c>
      <c r="G2535" s="12" t="s">
        <v>9396</v>
      </c>
      <c r="H2535" s="12" t="s">
        <v>38</v>
      </c>
      <c r="I2535" s="12" t="s">
        <v>113</v>
      </c>
      <c r="J2535" s="12" t="s">
        <v>529</v>
      </c>
      <c r="K2535" s="12" t="s">
        <v>82</v>
      </c>
      <c r="L2535" s="14"/>
      <c r="M2535" s="12" t="s">
        <v>43</v>
      </c>
      <c r="N2535" s="12" t="s">
        <v>161</v>
      </c>
      <c r="O2535" s="12" t="s">
        <v>9397</v>
      </c>
      <c r="P2535" s="12" t="s">
        <v>46</v>
      </c>
      <c r="Q2535" s="12" t="s">
        <v>47</v>
      </c>
      <c r="R2535" s="12" t="s">
        <v>117</v>
      </c>
      <c r="S2535" s="13">
        <v>197065755751</v>
      </c>
      <c r="T2535" s="12" t="s">
        <v>49</v>
      </c>
      <c r="U2535" s="13">
        <v>40</v>
      </c>
      <c r="V2535" s="12" t="s">
        <v>278</v>
      </c>
      <c r="W2535" s="12" t="s">
        <v>175</v>
      </c>
      <c r="X2535" s="14"/>
      <c r="Y2535" s="12" t="s">
        <v>53</v>
      </c>
      <c r="Z2535" s="12" t="s">
        <v>263</v>
      </c>
      <c r="AA2535" s="14"/>
      <c r="AB2535" s="14"/>
      <c r="AC2535" s="15">
        <v>38.65</v>
      </c>
      <c r="AD2535" s="15">
        <f>AC2535*AG2535</f>
        <v>77.3</v>
      </c>
      <c r="AE2535" s="15">
        <v>85</v>
      </c>
      <c r="AF2535" s="15">
        <f>AE2535*AG2535</f>
        <v>170</v>
      </c>
      <c r="AG2535" s="16">
        <v>2</v>
      </c>
    </row>
    <row r="2536" spans="1:33" ht="15" customHeight="1" x14ac:dyDescent="0.2">
      <c r="A2536" s="11" t="str">
        <f t="shared" ref="A2536:A4025" si="1020">HYPERLINK("https://assets.vans.eu/images/VN000D0ENGM-HERO/1","VN000D0ENGM1")</f>
        <v>VN000D0ENGM1</v>
      </c>
      <c r="B2536" s="12" t="s">
        <v>9398</v>
      </c>
      <c r="C2536" s="12" t="s">
        <v>9399</v>
      </c>
      <c r="D2536" s="12" t="s">
        <v>9400</v>
      </c>
      <c r="E2536" s="12" t="s">
        <v>9401</v>
      </c>
      <c r="F2536" s="13">
        <v>45</v>
      </c>
      <c r="G2536" s="14"/>
      <c r="H2536" s="12" t="s">
        <v>38</v>
      </c>
      <c r="I2536" s="12" t="s">
        <v>113</v>
      </c>
      <c r="J2536" s="12" t="s">
        <v>114</v>
      </c>
      <c r="K2536" s="12" t="s">
        <v>82</v>
      </c>
      <c r="L2536" s="14"/>
      <c r="M2536" s="12" t="s">
        <v>43</v>
      </c>
      <c r="N2536" s="12" t="s">
        <v>161</v>
      </c>
      <c r="O2536" s="12" t="s">
        <v>9402</v>
      </c>
      <c r="P2536" s="12" t="s">
        <v>46</v>
      </c>
      <c r="Q2536" s="12" t="s">
        <v>47</v>
      </c>
      <c r="R2536" s="12" t="s">
        <v>117</v>
      </c>
      <c r="S2536" s="13">
        <v>197065683498</v>
      </c>
      <c r="T2536" s="12" t="s">
        <v>49</v>
      </c>
      <c r="U2536" s="13">
        <v>36</v>
      </c>
      <c r="V2536" s="12" t="s">
        <v>50</v>
      </c>
      <c r="W2536" s="12" t="s">
        <v>284</v>
      </c>
      <c r="X2536" s="14"/>
      <c r="Y2536" s="12" t="s">
        <v>53</v>
      </c>
      <c r="Z2536" s="12" t="s">
        <v>263</v>
      </c>
      <c r="AA2536" s="14"/>
      <c r="AB2536" s="14"/>
      <c r="AC2536" s="15">
        <v>40.950000000000003</v>
      </c>
      <c r="AD2536" s="15">
        <f>AC2536*AG2536</f>
        <v>81.900000000000006</v>
      </c>
      <c r="AE2536" s="15">
        <v>90</v>
      </c>
      <c r="AF2536" s="15">
        <f>AE2536*AG2536</f>
        <v>180</v>
      </c>
      <c r="AG2536" s="16">
        <v>2</v>
      </c>
    </row>
    <row r="2537" spans="1:33" ht="15" customHeight="1" x14ac:dyDescent="0.2">
      <c r="A2537" s="11" t="str">
        <f t="shared" si="612"/>
        <v>VN000D0HBMV1</v>
      </c>
      <c r="B2537" s="12" t="s">
        <v>9403</v>
      </c>
      <c r="C2537" s="12" t="s">
        <v>1108</v>
      </c>
      <c r="D2537" s="12" t="s">
        <v>2276</v>
      </c>
      <c r="E2537" s="12" t="s">
        <v>9404</v>
      </c>
      <c r="F2537" s="13">
        <v>30</v>
      </c>
      <c r="G2537" s="12" t="s">
        <v>528</v>
      </c>
      <c r="H2537" s="12" t="s">
        <v>38</v>
      </c>
      <c r="I2537" s="12" t="s">
        <v>39</v>
      </c>
      <c r="J2537" s="12" t="s">
        <v>40</v>
      </c>
      <c r="K2537" s="12" t="s">
        <v>41</v>
      </c>
      <c r="L2537" s="14"/>
      <c r="M2537" s="12" t="s">
        <v>43</v>
      </c>
      <c r="N2537" s="12" t="s">
        <v>84</v>
      </c>
      <c r="O2537" s="12" t="s">
        <v>9405</v>
      </c>
      <c r="P2537" s="12" t="s">
        <v>46</v>
      </c>
      <c r="Q2537" s="12" t="s">
        <v>47</v>
      </c>
      <c r="R2537" s="12" t="s">
        <v>780</v>
      </c>
      <c r="S2537" s="13">
        <v>197804435746</v>
      </c>
      <c r="T2537" s="12" t="s">
        <v>105</v>
      </c>
      <c r="U2537" s="13">
        <v>34</v>
      </c>
      <c r="V2537" s="12" t="s">
        <v>50</v>
      </c>
      <c r="W2537" s="12" t="s">
        <v>51</v>
      </c>
      <c r="X2537" s="14"/>
      <c r="Y2537" s="14"/>
      <c r="Z2537" s="14"/>
      <c r="AA2537" s="14"/>
      <c r="AB2537" s="14"/>
      <c r="AC2537" s="15">
        <v>34.1</v>
      </c>
      <c r="AD2537" s="15">
        <f>AC2537*AG2537</f>
        <v>68.2</v>
      </c>
      <c r="AE2537" s="15">
        <v>75</v>
      </c>
      <c r="AF2537" s="15">
        <f>AE2537*AG2537</f>
        <v>150</v>
      </c>
      <c r="AG2537" s="16">
        <v>2</v>
      </c>
    </row>
    <row r="2538" spans="1:33" ht="15" customHeight="1" x14ac:dyDescent="0.2">
      <c r="A2538" s="11" t="str">
        <f t="shared" si="776"/>
        <v>VN000D0HBZW1</v>
      </c>
      <c r="B2538" s="12" t="s">
        <v>9406</v>
      </c>
      <c r="C2538" s="12" t="s">
        <v>1108</v>
      </c>
      <c r="D2538" s="12" t="s">
        <v>58</v>
      </c>
      <c r="E2538" s="12" t="s">
        <v>9407</v>
      </c>
      <c r="F2538" s="13">
        <v>30</v>
      </c>
      <c r="G2538" s="14"/>
      <c r="H2538" s="12" t="s">
        <v>38</v>
      </c>
      <c r="I2538" s="12" t="s">
        <v>39</v>
      </c>
      <c r="J2538" s="12" t="s">
        <v>40</v>
      </c>
      <c r="K2538" s="12" t="s">
        <v>41</v>
      </c>
      <c r="L2538" s="14"/>
      <c r="M2538" s="12" t="s">
        <v>43</v>
      </c>
      <c r="N2538" s="12" t="s">
        <v>84</v>
      </c>
      <c r="O2538" s="12" t="s">
        <v>9408</v>
      </c>
      <c r="P2538" s="12" t="s">
        <v>46</v>
      </c>
      <c r="Q2538" s="12" t="s">
        <v>47</v>
      </c>
      <c r="R2538" s="12" t="s">
        <v>780</v>
      </c>
      <c r="S2538" s="13">
        <v>197804435777</v>
      </c>
      <c r="T2538" s="12" t="s">
        <v>49</v>
      </c>
      <c r="U2538" s="13">
        <v>34</v>
      </c>
      <c r="V2538" s="12" t="s">
        <v>50</v>
      </c>
      <c r="W2538" s="12" t="s">
        <v>51</v>
      </c>
      <c r="X2538" s="14"/>
      <c r="Y2538" s="14"/>
      <c r="Z2538" s="14"/>
      <c r="AA2538" s="14"/>
      <c r="AB2538" s="14"/>
      <c r="AC2538" s="15">
        <v>34.1</v>
      </c>
      <c r="AD2538" s="15">
        <f>AC2538*AG2538</f>
        <v>68.2</v>
      </c>
      <c r="AE2538" s="15">
        <v>75</v>
      </c>
      <c r="AF2538" s="15">
        <f>AE2538*AG2538</f>
        <v>150</v>
      </c>
      <c r="AG2538" s="16">
        <v>2</v>
      </c>
    </row>
    <row r="2539" spans="1:33" ht="15" customHeight="1" x14ac:dyDescent="0.2">
      <c r="A2539" s="11" t="str">
        <f t="shared" ref="A2539:A4028" si="1021">HYPERLINK("https://assets.vans.eu/images/VN000D0HBZW-HERO/1","VN000D0HBZW1")</f>
        <v>VN000D0HBZW1</v>
      </c>
      <c r="B2539" s="12" t="s">
        <v>9409</v>
      </c>
      <c r="C2539" s="12" t="s">
        <v>1108</v>
      </c>
      <c r="D2539" s="12" t="s">
        <v>58</v>
      </c>
      <c r="E2539" s="12" t="s">
        <v>9410</v>
      </c>
      <c r="F2539" s="13">
        <v>135</v>
      </c>
      <c r="G2539" s="14"/>
      <c r="H2539" s="12" t="s">
        <v>38</v>
      </c>
      <c r="I2539" s="12" t="s">
        <v>39</v>
      </c>
      <c r="J2539" s="12" t="s">
        <v>40</v>
      </c>
      <c r="K2539" s="12" t="s">
        <v>41</v>
      </c>
      <c r="L2539" s="14"/>
      <c r="M2539" s="12" t="s">
        <v>43</v>
      </c>
      <c r="N2539" s="12" t="s">
        <v>84</v>
      </c>
      <c r="O2539" s="12" t="s">
        <v>9411</v>
      </c>
      <c r="P2539" s="12" t="s">
        <v>46</v>
      </c>
      <c r="Q2539" s="12" t="s">
        <v>47</v>
      </c>
      <c r="R2539" s="12" t="s">
        <v>780</v>
      </c>
      <c r="S2539" s="13">
        <v>197804436835</v>
      </c>
      <c r="T2539" s="12" t="s">
        <v>49</v>
      </c>
      <c r="U2539" s="13">
        <v>31</v>
      </c>
      <c r="V2539" s="12" t="s">
        <v>50</v>
      </c>
      <c r="W2539" s="12" t="s">
        <v>51</v>
      </c>
      <c r="X2539" s="14"/>
      <c r="Y2539" s="14"/>
      <c r="Z2539" s="14"/>
      <c r="AA2539" s="14"/>
      <c r="AB2539" s="14"/>
      <c r="AC2539" s="15">
        <v>34.1</v>
      </c>
      <c r="AD2539" s="15">
        <f>AC2539*AG2539</f>
        <v>68.2</v>
      </c>
      <c r="AE2539" s="15">
        <v>75</v>
      </c>
      <c r="AF2539" s="15">
        <f>AE2539*AG2539</f>
        <v>150</v>
      </c>
      <c r="AG2539" s="16">
        <v>2</v>
      </c>
    </row>
    <row r="2540" spans="1:33" ht="15" customHeight="1" x14ac:dyDescent="0.2">
      <c r="A2540" s="11" t="str">
        <f t="shared" ref="A2540:A2542" si="1022">HYPERLINK("https://assets.vans.eu/images/VN000D0HEMY-HERO/1","VN000D0HEMY1")</f>
        <v>VN000D0HEMY1</v>
      </c>
      <c r="B2540" s="12" t="s">
        <v>9412</v>
      </c>
      <c r="C2540" s="12" t="s">
        <v>1108</v>
      </c>
      <c r="D2540" s="12" t="s">
        <v>1155</v>
      </c>
      <c r="E2540" s="12" t="s">
        <v>9413</v>
      </c>
      <c r="F2540" s="13">
        <v>25</v>
      </c>
      <c r="G2540" s="12" t="s">
        <v>2417</v>
      </c>
      <c r="H2540" s="12" t="s">
        <v>38</v>
      </c>
      <c r="I2540" s="12" t="s">
        <v>39</v>
      </c>
      <c r="J2540" s="12" t="s">
        <v>40</v>
      </c>
      <c r="K2540" s="12" t="s">
        <v>41</v>
      </c>
      <c r="L2540" s="14"/>
      <c r="M2540" s="12" t="s">
        <v>43</v>
      </c>
      <c r="N2540" s="12" t="s">
        <v>84</v>
      </c>
      <c r="O2540" s="12" t="s">
        <v>9414</v>
      </c>
      <c r="P2540" s="12" t="s">
        <v>46</v>
      </c>
      <c r="Q2540" s="12" t="s">
        <v>47</v>
      </c>
      <c r="R2540" s="12" t="s">
        <v>780</v>
      </c>
      <c r="S2540" s="13">
        <v>197804435814</v>
      </c>
      <c r="T2540" s="12" t="s">
        <v>105</v>
      </c>
      <c r="U2540" s="13">
        <v>33</v>
      </c>
      <c r="V2540" s="12" t="s">
        <v>50</v>
      </c>
      <c r="W2540" s="12" t="s">
        <v>107</v>
      </c>
      <c r="X2540" s="14"/>
      <c r="Y2540" s="14"/>
      <c r="Z2540" s="14"/>
      <c r="AA2540" s="14"/>
      <c r="AB2540" s="14"/>
      <c r="AC2540" s="15">
        <v>34.1</v>
      </c>
      <c r="AD2540" s="15">
        <f>AC2540*AG2540</f>
        <v>68.2</v>
      </c>
      <c r="AE2540" s="15">
        <v>75</v>
      </c>
      <c r="AF2540" s="15">
        <f>AE2540*AG2540</f>
        <v>150</v>
      </c>
      <c r="AG2540" s="16">
        <v>2</v>
      </c>
    </row>
    <row r="2541" spans="1:33" ht="15" customHeight="1" x14ac:dyDescent="0.2">
      <c r="A2541" s="11" t="str">
        <f t="shared" si="1022"/>
        <v>VN000D0HEMY1</v>
      </c>
      <c r="B2541" s="12" t="s">
        <v>9415</v>
      </c>
      <c r="C2541" s="12" t="s">
        <v>1108</v>
      </c>
      <c r="D2541" s="12" t="s">
        <v>1155</v>
      </c>
      <c r="E2541" s="12" t="s">
        <v>9416</v>
      </c>
      <c r="F2541" s="13">
        <v>110</v>
      </c>
      <c r="G2541" s="12" t="s">
        <v>2417</v>
      </c>
      <c r="H2541" s="12" t="s">
        <v>38</v>
      </c>
      <c r="I2541" s="12" t="s">
        <v>39</v>
      </c>
      <c r="J2541" s="12" t="s">
        <v>40</v>
      </c>
      <c r="K2541" s="12" t="s">
        <v>41</v>
      </c>
      <c r="L2541" s="14"/>
      <c r="M2541" s="12" t="s">
        <v>43</v>
      </c>
      <c r="N2541" s="12" t="s">
        <v>84</v>
      </c>
      <c r="O2541" s="12" t="s">
        <v>9417</v>
      </c>
      <c r="P2541" s="12" t="s">
        <v>46</v>
      </c>
      <c r="Q2541" s="12" t="s">
        <v>47</v>
      </c>
      <c r="R2541" s="12" t="s">
        <v>780</v>
      </c>
      <c r="S2541" s="13">
        <v>197804436262</v>
      </c>
      <c r="T2541" s="12" t="s">
        <v>105</v>
      </c>
      <c r="U2541" s="13">
        <v>27.5</v>
      </c>
      <c r="V2541" s="12" t="s">
        <v>50</v>
      </c>
      <c r="W2541" s="12" t="s">
        <v>107</v>
      </c>
      <c r="X2541" s="14"/>
      <c r="Y2541" s="14"/>
      <c r="Z2541" s="14"/>
      <c r="AA2541" s="14"/>
      <c r="AB2541" s="14"/>
      <c r="AC2541" s="15">
        <v>34.1</v>
      </c>
      <c r="AD2541" s="15">
        <f>AC2541*AG2541</f>
        <v>68.2</v>
      </c>
      <c r="AE2541" s="15">
        <v>75</v>
      </c>
      <c r="AF2541" s="15">
        <f>AE2541*AG2541</f>
        <v>150</v>
      </c>
      <c r="AG2541" s="16">
        <v>2</v>
      </c>
    </row>
    <row r="2542" spans="1:33" ht="15" customHeight="1" x14ac:dyDescent="0.2">
      <c r="A2542" s="11" t="str">
        <f t="shared" si="1022"/>
        <v>VN000D0HEMY1</v>
      </c>
      <c r="B2542" s="12" t="s">
        <v>9418</v>
      </c>
      <c r="C2542" s="12" t="s">
        <v>1108</v>
      </c>
      <c r="D2542" s="12" t="s">
        <v>1155</v>
      </c>
      <c r="E2542" s="12" t="s">
        <v>9419</v>
      </c>
      <c r="F2542" s="13">
        <v>120</v>
      </c>
      <c r="G2542" s="12" t="s">
        <v>2417</v>
      </c>
      <c r="H2542" s="12" t="s">
        <v>38</v>
      </c>
      <c r="I2542" s="12" t="s">
        <v>39</v>
      </c>
      <c r="J2542" s="12" t="s">
        <v>40</v>
      </c>
      <c r="K2542" s="12" t="s">
        <v>41</v>
      </c>
      <c r="L2542" s="14"/>
      <c r="M2542" s="12" t="s">
        <v>43</v>
      </c>
      <c r="N2542" s="12" t="s">
        <v>84</v>
      </c>
      <c r="O2542" s="12" t="s">
        <v>9420</v>
      </c>
      <c r="P2542" s="12" t="s">
        <v>46</v>
      </c>
      <c r="Q2542" s="12" t="s">
        <v>47</v>
      </c>
      <c r="R2542" s="12" t="s">
        <v>780</v>
      </c>
      <c r="S2542" s="13">
        <v>197804436521</v>
      </c>
      <c r="T2542" s="12" t="s">
        <v>105</v>
      </c>
      <c r="U2542" s="13">
        <v>29</v>
      </c>
      <c r="V2542" s="12" t="s">
        <v>50</v>
      </c>
      <c r="W2542" s="12" t="s">
        <v>107</v>
      </c>
      <c r="X2542" s="14"/>
      <c r="Y2542" s="14"/>
      <c r="Z2542" s="14"/>
      <c r="AA2542" s="14"/>
      <c r="AB2542" s="14"/>
      <c r="AC2542" s="15">
        <v>34.1</v>
      </c>
      <c r="AD2542" s="15">
        <f>AC2542*AG2542</f>
        <v>68.2</v>
      </c>
      <c r="AE2542" s="15">
        <v>75</v>
      </c>
      <c r="AF2542" s="15">
        <f>AE2542*AG2542</f>
        <v>150</v>
      </c>
      <c r="AG2542" s="16">
        <v>2</v>
      </c>
    </row>
    <row r="2543" spans="1:33" ht="15" customHeight="1" x14ac:dyDescent="0.2">
      <c r="A2543" s="11" t="str">
        <f t="shared" ref="A2543:A2544" si="1023">HYPERLINK("https://assets.vans.eu/images/VN000D0HKCZ-HERO/1","VN000D0HKCZ1")</f>
        <v>VN000D0HKCZ1</v>
      </c>
      <c r="B2543" s="12" t="s">
        <v>9421</v>
      </c>
      <c r="C2543" s="12" t="s">
        <v>1108</v>
      </c>
      <c r="D2543" s="12" t="s">
        <v>1109</v>
      </c>
      <c r="E2543" s="12" t="s">
        <v>9422</v>
      </c>
      <c r="F2543" s="13">
        <v>10</v>
      </c>
      <c r="G2543" s="12" t="s">
        <v>1111</v>
      </c>
      <c r="H2543" s="12" t="s">
        <v>38</v>
      </c>
      <c r="I2543" s="12" t="s">
        <v>39</v>
      </c>
      <c r="J2543" s="12" t="s">
        <v>40</v>
      </c>
      <c r="K2543" s="12" t="s">
        <v>41</v>
      </c>
      <c r="L2543" s="14"/>
      <c r="M2543" s="12" t="s">
        <v>43</v>
      </c>
      <c r="N2543" s="12" t="s">
        <v>84</v>
      </c>
      <c r="O2543" s="12" t="s">
        <v>9423</v>
      </c>
      <c r="P2543" s="12" t="s">
        <v>46</v>
      </c>
      <c r="Q2543" s="12" t="s">
        <v>47</v>
      </c>
      <c r="R2543" s="12" t="s">
        <v>780</v>
      </c>
      <c r="S2543" s="13">
        <v>197804435289</v>
      </c>
      <c r="T2543" s="12" t="s">
        <v>105</v>
      </c>
      <c r="U2543" s="13">
        <v>31.5</v>
      </c>
      <c r="V2543" s="12" t="s">
        <v>50</v>
      </c>
      <c r="W2543" s="12" t="s">
        <v>118</v>
      </c>
      <c r="X2543" s="14"/>
      <c r="Y2543" s="14"/>
      <c r="Z2543" s="14"/>
      <c r="AA2543" s="14"/>
      <c r="AB2543" s="14"/>
      <c r="AC2543" s="15">
        <v>34.1</v>
      </c>
      <c r="AD2543" s="15">
        <f>AC2543*AG2543</f>
        <v>68.2</v>
      </c>
      <c r="AE2543" s="15">
        <v>75</v>
      </c>
      <c r="AF2543" s="15">
        <f>AE2543*AG2543</f>
        <v>150</v>
      </c>
      <c r="AG2543" s="16">
        <v>2</v>
      </c>
    </row>
    <row r="2544" spans="1:33" ht="15" customHeight="1" x14ac:dyDescent="0.2">
      <c r="A2544" s="11" t="str">
        <f t="shared" si="1023"/>
        <v>VN000D0HKCZ1</v>
      </c>
      <c r="B2544" s="12" t="s">
        <v>9424</v>
      </c>
      <c r="C2544" s="12" t="s">
        <v>1108</v>
      </c>
      <c r="D2544" s="12" t="s">
        <v>1109</v>
      </c>
      <c r="E2544" s="12" t="s">
        <v>9425</v>
      </c>
      <c r="F2544" s="13">
        <v>130</v>
      </c>
      <c r="G2544" s="12" t="s">
        <v>1111</v>
      </c>
      <c r="H2544" s="12" t="s">
        <v>38</v>
      </c>
      <c r="I2544" s="12" t="s">
        <v>39</v>
      </c>
      <c r="J2544" s="12" t="s">
        <v>40</v>
      </c>
      <c r="K2544" s="12" t="s">
        <v>41</v>
      </c>
      <c r="L2544" s="14"/>
      <c r="M2544" s="12" t="s">
        <v>43</v>
      </c>
      <c r="N2544" s="12" t="s">
        <v>84</v>
      </c>
      <c r="O2544" s="12" t="s">
        <v>9426</v>
      </c>
      <c r="P2544" s="12" t="s">
        <v>46</v>
      </c>
      <c r="Q2544" s="12" t="s">
        <v>47</v>
      </c>
      <c r="R2544" s="12" t="s">
        <v>780</v>
      </c>
      <c r="S2544" s="13">
        <v>197804436859</v>
      </c>
      <c r="T2544" s="12" t="s">
        <v>105</v>
      </c>
      <c r="U2544" s="13">
        <v>30.5</v>
      </c>
      <c r="V2544" s="12" t="s">
        <v>50</v>
      </c>
      <c r="W2544" s="12" t="s">
        <v>118</v>
      </c>
      <c r="X2544" s="14"/>
      <c r="Y2544" s="14"/>
      <c r="Z2544" s="14"/>
      <c r="AA2544" s="14"/>
      <c r="AB2544" s="14"/>
      <c r="AC2544" s="15">
        <v>34.1</v>
      </c>
      <c r="AD2544" s="15">
        <f>AC2544*AG2544</f>
        <v>68.2</v>
      </c>
      <c r="AE2544" s="15">
        <v>75</v>
      </c>
      <c r="AF2544" s="15">
        <f>AE2544*AG2544</f>
        <v>150</v>
      </c>
      <c r="AG2544" s="16">
        <v>2</v>
      </c>
    </row>
    <row r="2545" spans="1:33" ht="15" customHeight="1" x14ac:dyDescent="0.2">
      <c r="A2545" s="11" t="str">
        <f>HYPERLINK("https://assets.vans.eu/images/VN000D0JYJ7-HERO/1","VN000D0JYJ71")</f>
        <v>VN000D0JYJ71</v>
      </c>
      <c r="B2545" s="12" t="s">
        <v>9427</v>
      </c>
      <c r="C2545" s="12" t="s">
        <v>3586</v>
      </c>
      <c r="D2545" s="12" t="s">
        <v>1300</v>
      </c>
      <c r="E2545" s="12" t="s">
        <v>9428</v>
      </c>
      <c r="F2545" s="13">
        <v>110</v>
      </c>
      <c r="G2545" s="12" t="s">
        <v>1302</v>
      </c>
      <c r="H2545" s="12" t="s">
        <v>38</v>
      </c>
      <c r="I2545" s="12" t="s">
        <v>39</v>
      </c>
      <c r="J2545" s="12" t="s">
        <v>40</v>
      </c>
      <c r="K2545" s="12" t="s">
        <v>41</v>
      </c>
      <c r="L2545" s="14"/>
      <c r="M2545" s="12" t="s">
        <v>43</v>
      </c>
      <c r="N2545" s="12" t="s">
        <v>84</v>
      </c>
      <c r="O2545" s="12" t="s">
        <v>9429</v>
      </c>
      <c r="P2545" s="12" t="s">
        <v>46</v>
      </c>
      <c r="Q2545" s="12" t="s">
        <v>47</v>
      </c>
      <c r="R2545" s="12" t="s">
        <v>48</v>
      </c>
      <c r="S2545" s="13">
        <v>197804577071</v>
      </c>
      <c r="T2545" s="12" t="s">
        <v>164</v>
      </c>
      <c r="U2545" s="13">
        <v>27.5</v>
      </c>
      <c r="V2545" s="12" t="s">
        <v>375</v>
      </c>
      <c r="W2545" s="12" t="s">
        <v>51</v>
      </c>
      <c r="X2545" s="14"/>
      <c r="Y2545" s="14"/>
      <c r="Z2545" s="14"/>
      <c r="AA2545" s="14"/>
      <c r="AB2545" s="14"/>
      <c r="AC2545" s="15">
        <v>25</v>
      </c>
      <c r="AD2545" s="15">
        <f>AC2545*AG2545</f>
        <v>50</v>
      </c>
      <c r="AE2545" s="15">
        <v>55</v>
      </c>
      <c r="AF2545" s="15">
        <f>AE2545*AG2545</f>
        <v>110</v>
      </c>
      <c r="AG2545" s="16">
        <v>2</v>
      </c>
    </row>
    <row r="2546" spans="1:33" ht="15" customHeight="1" x14ac:dyDescent="0.2">
      <c r="A2546" s="11" t="str">
        <f t="shared" si="779"/>
        <v>VN000D0KEN61</v>
      </c>
      <c r="B2546" s="12" t="s">
        <v>9430</v>
      </c>
      <c r="C2546" s="12" t="s">
        <v>1207</v>
      </c>
      <c r="D2546" s="12" t="s">
        <v>189</v>
      </c>
      <c r="E2546" s="12" t="s">
        <v>9431</v>
      </c>
      <c r="F2546" s="13">
        <v>40</v>
      </c>
      <c r="G2546" s="14"/>
      <c r="H2546" s="12" t="s">
        <v>38</v>
      </c>
      <c r="I2546" s="12" t="s">
        <v>242</v>
      </c>
      <c r="J2546" s="12" t="s">
        <v>243</v>
      </c>
      <c r="K2546" s="12" t="s">
        <v>244</v>
      </c>
      <c r="L2546" s="14"/>
      <c r="M2546" s="12" t="s">
        <v>43</v>
      </c>
      <c r="N2546" s="12" t="s">
        <v>84</v>
      </c>
      <c r="O2546" s="12" t="s">
        <v>9432</v>
      </c>
      <c r="P2546" s="12" t="s">
        <v>46</v>
      </c>
      <c r="Q2546" s="12" t="s">
        <v>47</v>
      </c>
      <c r="R2546" s="12" t="s">
        <v>48</v>
      </c>
      <c r="S2546" s="13">
        <v>197804438143</v>
      </c>
      <c r="T2546" s="12" t="s">
        <v>105</v>
      </c>
      <c r="U2546" s="13">
        <v>19</v>
      </c>
      <c r="V2546" s="12" t="s">
        <v>50</v>
      </c>
      <c r="W2546" s="12" t="s">
        <v>118</v>
      </c>
      <c r="X2546" s="14"/>
      <c r="Y2546" s="14"/>
      <c r="Z2546" s="14"/>
      <c r="AA2546" s="14"/>
      <c r="AB2546" s="14"/>
      <c r="AC2546" s="15">
        <v>25</v>
      </c>
      <c r="AD2546" s="15">
        <f>AC2546*AG2546</f>
        <v>50</v>
      </c>
      <c r="AE2546" s="15">
        <v>55</v>
      </c>
      <c r="AF2546" s="15">
        <f>AE2546*AG2546</f>
        <v>110</v>
      </c>
      <c r="AG2546" s="16">
        <v>2</v>
      </c>
    </row>
    <row r="2547" spans="1:33" ht="15" customHeight="1" x14ac:dyDescent="0.2">
      <c r="A2547" s="11" t="str">
        <f t="shared" ref="A2547:A2549" si="1024">HYPERLINK("https://assets.vans.eu/images/VN000D0KEN6-HERO/1","VN000D0KEN61")</f>
        <v>VN000D0KEN61</v>
      </c>
      <c r="B2547" s="12" t="s">
        <v>9433</v>
      </c>
      <c r="C2547" s="12" t="s">
        <v>1207</v>
      </c>
      <c r="D2547" s="12" t="s">
        <v>189</v>
      </c>
      <c r="E2547" s="12" t="s">
        <v>9434</v>
      </c>
      <c r="F2547" s="13">
        <v>60</v>
      </c>
      <c r="G2547" s="14"/>
      <c r="H2547" s="12" t="s">
        <v>38</v>
      </c>
      <c r="I2547" s="12" t="s">
        <v>242</v>
      </c>
      <c r="J2547" s="12" t="s">
        <v>243</v>
      </c>
      <c r="K2547" s="12" t="s">
        <v>244</v>
      </c>
      <c r="L2547" s="14"/>
      <c r="M2547" s="12" t="s">
        <v>43</v>
      </c>
      <c r="N2547" s="12" t="s">
        <v>84</v>
      </c>
      <c r="O2547" s="12" t="s">
        <v>9435</v>
      </c>
      <c r="P2547" s="12" t="s">
        <v>46</v>
      </c>
      <c r="Q2547" s="12" t="s">
        <v>47</v>
      </c>
      <c r="R2547" s="12" t="s">
        <v>48</v>
      </c>
      <c r="S2547" s="13">
        <v>197804438709</v>
      </c>
      <c r="T2547" s="12" t="s">
        <v>105</v>
      </c>
      <c r="U2547" s="13">
        <v>22</v>
      </c>
      <c r="V2547" s="12" t="s">
        <v>50</v>
      </c>
      <c r="W2547" s="12" t="s">
        <v>118</v>
      </c>
      <c r="X2547" s="14"/>
      <c r="Y2547" s="14"/>
      <c r="Z2547" s="14"/>
      <c r="AA2547" s="14"/>
      <c r="AB2547" s="14"/>
      <c r="AC2547" s="15">
        <v>25</v>
      </c>
      <c r="AD2547" s="15">
        <f>AC2547*AG2547</f>
        <v>50</v>
      </c>
      <c r="AE2547" s="15">
        <v>55</v>
      </c>
      <c r="AF2547" s="15">
        <f>AE2547*AG2547</f>
        <v>110</v>
      </c>
      <c r="AG2547" s="16">
        <v>2</v>
      </c>
    </row>
    <row r="2548" spans="1:33" ht="15" customHeight="1" x14ac:dyDescent="0.2">
      <c r="A2548" s="11" t="str">
        <f t="shared" si="1024"/>
        <v>VN000D0KEN61</v>
      </c>
      <c r="B2548" s="12" t="s">
        <v>9436</v>
      </c>
      <c r="C2548" s="12" t="s">
        <v>1207</v>
      </c>
      <c r="D2548" s="12" t="s">
        <v>189</v>
      </c>
      <c r="E2548" s="12" t="s">
        <v>9437</v>
      </c>
      <c r="F2548" s="13">
        <v>75</v>
      </c>
      <c r="G2548" s="14"/>
      <c r="H2548" s="12" t="s">
        <v>38</v>
      </c>
      <c r="I2548" s="12" t="s">
        <v>242</v>
      </c>
      <c r="J2548" s="12" t="s">
        <v>243</v>
      </c>
      <c r="K2548" s="12" t="s">
        <v>244</v>
      </c>
      <c r="L2548" s="14"/>
      <c r="M2548" s="12" t="s">
        <v>43</v>
      </c>
      <c r="N2548" s="12" t="s">
        <v>84</v>
      </c>
      <c r="O2548" s="12" t="s">
        <v>9438</v>
      </c>
      <c r="P2548" s="12" t="s">
        <v>46</v>
      </c>
      <c r="Q2548" s="12" t="s">
        <v>47</v>
      </c>
      <c r="R2548" s="12" t="s">
        <v>48</v>
      </c>
      <c r="S2548" s="13">
        <v>197804439218</v>
      </c>
      <c r="T2548" s="12" t="s">
        <v>105</v>
      </c>
      <c r="U2548" s="13">
        <v>24</v>
      </c>
      <c r="V2548" s="12" t="s">
        <v>50</v>
      </c>
      <c r="W2548" s="12" t="s">
        <v>118</v>
      </c>
      <c r="X2548" s="14"/>
      <c r="Y2548" s="14"/>
      <c r="Z2548" s="14"/>
      <c r="AA2548" s="14"/>
      <c r="AB2548" s="14"/>
      <c r="AC2548" s="15">
        <v>25</v>
      </c>
      <c r="AD2548" s="15">
        <f>AC2548*AG2548</f>
        <v>50</v>
      </c>
      <c r="AE2548" s="15">
        <v>55</v>
      </c>
      <c r="AF2548" s="15">
        <f>AE2548*AG2548</f>
        <v>110</v>
      </c>
      <c r="AG2548" s="16">
        <v>2</v>
      </c>
    </row>
    <row r="2549" spans="1:33" ht="15" customHeight="1" x14ac:dyDescent="0.2">
      <c r="A2549" s="11" t="str">
        <f t="shared" si="1024"/>
        <v>VN000D0KEN61</v>
      </c>
      <c r="B2549" s="12" t="s">
        <v>9439</v>
      </c>
      <c r="C2549" s="12" t="s">
        <v>1207</v>
      </c>
      <c r="D2549" s="12" t="s">
        <v>189</v>
      </c>
      <c r="E2549" s="12" t="s">
        <v>9440</v>
      </c>
      <c r="F2549" s="13">
        <v>85</v>
      </c>
      <c r="G2549" s="14"/>
      <c r="H2549" s="12" t="s">
        <v>38</v>
      </c>
      <c r="I2549" s="12" t="s">
        <v>242</v>
      </c>
      <c r="J2549" s="12" t="s">
        <v>243</v>
      </c>
      <c r="K2549" s="12" t="s">
        <v>244</v>
      </c>
      <c r="L2549" s="14"/>
      <c r="M2549" s="12" t="s">
        <v>43</v>
      </c>
      <c r="N2549" s="12" t="s">
        <v>84</v>
      </c>
      <c r="O2549" s="12" t="s">
        <v>9441</v>
      </c>
      <c r="P2549" s="12" t="s">
        <v>46</v>
      </c>
      <c r="Q2549" s="12" t="s">
        <v>47</v>
      </c>
      <c r="R2549" s="12" t="s">
        <v>48</v>
      </c>
      <c r="S2549" s="13">
        <v>197804439409</v>
      </c>
      <c r="T2549" s="12" t="s">
        <v>105</v>
      </c>
      <c r="U2549" s="13">
        <v>25</v>
      </c>
      <c r="V2549" s="12" t="s">
        <v>50</v>
      </c>
      <c r="W2549" s="12" t="s">
        <v>118</v>
      </c>
      <c r="X2549" s="14"/>
      <c r="Y2549" s="14"/>
      <c r="Z2549" s="14"/>
      <c r="AA2549" s="14"/>
      <c r="AB2549" s="14"/>
      <c r="AC2549" s="15">
        <v>25</v>
      </c>
      <c r="AD2549" s="15">
        <f>AC2549*AG2549</f>
        <v>50</v>
      </c>
      <c r="AE2549" s="15">
        <v>55</v>
      </c>
      <c r="AF2549" s="15">
        <f>AE2549*AG2549</f>
        <v>110</v>
      </c>
      <c r="AG2549" s="16">
        <v>2</v>
      </c>
    </row>
    <row r="2550" spans="1:33" ht="15" customHeight="1" x14ac:dyDescent="0.2">
      <c r="A2550" s="11" t="str">
        <f t="shared" si="338"/>
        <v>VN000D0M11E1</v>
      </c>
      <c r="B2550" s="12" t="s">
        <v>9442</v>
      </c>
      <c r="C2550" s="12" t="s">
        <v>1763</v>
      </c>
      <c r="D2550" s="12" t="s">
        <v>1148</v>
      </c>
      <c r="E2550" s="12" t="s">
        <v>9443</v>
      </c>
      <c r="F2550" s="13">
        <v>25</v>
      </c>
      <c r="G2550" s="12" t="s">
        <v>1111</v>
      </c>
      <c r="H2550" s="12" t="s">
        <v>38</v>
      </c>
      <c r="I2550" s="12" t="s">
        <v>242</v>
      </c>
      <c r="J2550" s="12" t="s">
        <v>243</v>
      </c>
      <c r="K2550" s="12" t="s">
        <v>244</v>
      </c>
      <c r="L2550" s="14"/>
      <c r="M2550" s="12" t="s">
        <v>43</v>
      </c>
      <c r="N2550" s="12" t="s">
        <v>84</v>
      </c>
      <c r="O2550" s="12" t="s">
        <v>9444</v>
      </c>
      <c r="P2550" s="12" t="s">
        <v>46</v>
      </c>
      <c r="Q2550" s="12" t="s">
        <v>47</v>
      </c>
      <c r="R2550" s="12" t="s">
        <v>780</v>
      </c>
      <c r="S2550" s="13">
        <v>197804437344</v>
      </c>
      <c r="T2550" s="12" t="s">
        <v>105</v>
      </c>
      <c r="U2550" s="13">
        <v>17.5</v>
      </c>
      <c r="V2550" s="12" t="s">
        <v>50</v>
      </c>
      <c r="W2550" s="12" t="s">
        <v>107</v>
      </c>
      <c r="X2550" s="14"/>
      <c r="Y2550" s="14"/>
      <c r="Z2550" s="14"/>
      <c r="AA2550" s="14"/>
      <c r="AB2550" s="14"/>
      <c r="AC2550" s="15">
        <v>29.55</v>
      </c>
      <c r="AD2550" s="15">
        <f>AC2550*AG2550</f>
        <v>59.1</v>
      </c>
      <c r="AE2550" s="15">
        <v>65</v>
      </c>
      <c r="AF2550" s="15">
        <f>AE2550*AG2550</f>
        <v>130</v>
      </c>
      <c r="AG2550" s="16">
        <v>2</v>
      </c>
    </row>
    <row r="2551" spans="1:33" ht="15" customHeight="1" x14ac:dyDescent="0.2">
      <c r="A2551" s="11" t="str">
        <f t="shared" ref="A2551:A4036" si="1025">HYPERLINK("https://assets.vans.eu/images/VN000D0M11E-HERO/1","VN000D0M11E1")</f>
        <v>VN000D0M11E1</v>
      </c>
      <c r="B2551" s="12" t="s">
        <v>9445</v>
      </c>
      <c r="C2551" s="12" t="s">
        <v>1763</v>
      </c>
      <c r="D2551" s="12" t="s">
        <v>1148</v>
      </c>
      <c r="E2551" s="12" t="s">
        <v>9446</v>
      </c>
      <c r="F2551" s="13">
        <v>35</v>
      </c>
      <c r="G2551" s="12" t="s">
        <v>1111</v>
      </c>
      <c r="H2551" s="12" t="s">
        <v>38</v>
      </c>
      <c r="I2551" s="12" t="s">
        <v>242</v>
      </c>
      <c r="J2551" s="12" t="s">
        <v>243</v>
      </c>
      <c r="K2551" s="12" t="s">
        <v>244</v>
      </c>
      <c r="L2551" s="14"/>
      <c r="M2551" s="12" t="s">
        <v>43</v>
      </c>
      <c r="N2551" s="12" t="s">
        <v>84</v>
      </c>
      <c r="O2551" s="12" t="s">
        <v>9447</v>
      </c>
      <c r="P2551" s="12" t="s">
        <v>46</v>
      </c>
      <c r="Q2551" s="12" t="s">
        <v>47</v>
      </c>
      <c r="R2551" s="12" t="s">
        <v>780</v>
      </c>
      <c r="S2551" s="13">
        <v>197804437665</v>
      </c>
      <c r="T2551" s="12" t="s">
        <v>105</v>
      </c>
      <c r="U2551" s="13">
        <v>18.5</v>
      </c>
      <c r="V2551" s="12" t="s">
        <v>50</v>
      </c>
      <c r="W2551" s="12" t="s">
        <v>107</v>
      </c>
      <c r="X2551" s="14"/>
      <c r="Y2551" s="14"/>
      <c r="Z2551" s="14"/>
      <c r="AA2551" s="14"/>
      <c r="AB2551" s="14"/>
      <c r="AC2551" s="15">
        <v>29.55</v>
      </c>
      <c r="AD2551" s="15">
        <f>AC2551*AG2551</f>
        <v>59.1</v>
      </c>
      <c r="AE2551" s="15">
        <v>65</v>
      </c>
      <c r="AF2551" s="15">
        <f>AE2551*AG2551</f>
        <v>130</v>
      </c>
      <c r="AG2551" s="16">
        <v>2</v>
      </c>
    </row>
    <row r="2552" spans="1:33" ht="15" customHeight="1" x14ac:dyDescent="0.2">
      <c r="A2552" s="11" t="str">
        <f t="shared" si="780"/>
        <v>VN000D0MBZW1</v>
      </c>
      <c r="B2552" s="12" t="s">
        <v>9448</v>
      </c>
      <c r="C2552" s="12" t="s">
        <v>1763</v>
      </c>
      <c r="D2552" s="12" t="s">
        <v>58</v>
      </c>
      <c r="E2552" s="12" t="s">
        <v>9449</v>
      </c>
      <c r="F2552" s="13">
        <v>60</v>
      </c>
      <c r="G2552" s="14"/>
      <c r="H2552" s="12" t="s">
        <v>38</v>
      </c>
      <c r="I2552" s="12" t="s">
        <v>242</v>
      </c>
      <c r="J2552" s="12" t="s">
        <v>243</v>
      </c>
      <c r="K2552" s="12" t="s">
        <v>244</v>
      </c>
      <c r="L2552" s="14"/>
      <c r="M2552" s="12" t="s">
        <v>43</v>
      </c>
      <c r="N2552" s="12" t="s">
        <v>84</v>
      </c>
      <c r="O2552" s="12" t="s">
        <v>9450</v>
      </c>
      <c r="P2552" s="12" t="s">
        <v>46</v>
      </c>
      <c r="Q2552" s="12" t="s">
        <v>47</v>
      </c>
      <c r="R2552" s="12" t="s">
        <v>780</v>
      </c>
      <c r="S2552" s="13">
        <v>197804438723</v>
      </c>
      <c r="T2552" s="12" t="s">
        <v>49</v>
      </c>
      <c r="U2552" s="13">
        <v>22</v>
      </c>
      <c r="V2552" s="12" t="s">
        <v>50</v>
      </c>
      <c r="W2552" s="12" t="s">
        <v>51</v>
      </c>
      <c r="X2552" s="14"/>
      <c r="Y2552" s="14"/>
      <c r="Z2552" s="14"/>
      <c r="AA2552" s="14"/>
      <c r="AB2552" s="14"/>
      <c r="AC2552" s="15">
        <v>29.55</v>
      </c>
      <c r="AD2552" s="15">
        <f>AC2552*AG2552</f>
        <v>59.1</v>
      </c>
      <c r="AE2552" s="15">
        <v>65</v>
      </c>
      <c r="AF2552" s="15">
        <f>AE2552*AG2552</f>
        <v>130</v>
      </c>
      <c r="AG2552" s="16">
        <v>2</v>
      </c>
    </row>
    <row r="2553" spans="1:33" ht="15" customHeight="1" x14ac:dyDescent="0.2">
      <c r="A2553" s="11" t="str">
        <f t="shared" ref="A2553:A2554" si="1026">HYPERLINK("https://assets.vans.eu/images/VN000D0MBZW-HERO/1","VN000D0MBZW1")</f>
        <v>VN000D0MBZW1</v>
      </c>
      <c r="B2553" s="12" t="s">
        <v>9451</v>
      </c>
      <c r="C2553" s="12" t="s">
        <v>1763</v>
      </c>
      <c r="D2553" s="12" t="s">
        <v>58</v>
      </c>
      <c r="E2553" s="12" t="s">
        <v>9452</v>
      </c>
      <c r="F2553" s="13">
        <v>80</v>
      </c>
      <c r="G2553" s="14"/>
      <c r="H2553" s="12" t="s">
        <v>38</v>
      </c>
      <c r="I2553" s="12" t="s">
        <v>242</v>
      </c>
      <c r="J2553" s="12" t="s">
        <v>243</v>
      </c>
      <c r="K2553" s="12" t="s">
        <v>244</v>
      </c>
      <c r="L2553" s="14"/>
      <c r="M2553" s="12" t="s">
        <v>43</v>
      </c>
      <c r="N2553" s="12" t="s">
        <v>84</v>
      </c>
      <c r="O2553" s="12" t="s">
        <v>9453</v>
      </c>
      <c r="P2553" s="12" t="s">
        <v>46</v>
      </c>
      <c r="Q2553" s="12" t="s">
        <v>47</v>
      </c>
      <c r="R2553" s="12" t="s">
        <v>780</v>
      </c>
      <c r="S2553" s="13">
        <v>197804439317</v>
      </c>
      <c r="T2553" s="12" t="s">
        <v>49</v>
      </c>
      <c r="U2553" s="13">
        <v>24.5</v>
      </c>
      <c r="V2553" s="12" t="s">
        <v>50</v>
      </c>
      <c r="W2553" s="12" t="s">
        <v>51</v>
      </c>
      <c r="X2553" s="14"/>
      <c r="Y2553" s="14"/>
      <c r="Z2553" s="14"/>
      <c r="AA2553" s="14"/>
      <c r="AB2553" s="14"/>
      <c r="AC2553" s="15">
        <v>29.55</v>
      </c>
      <c r="AD2553" s="15">
        <f>AC2553*AG2553</f>
        <v>59.1</v>
      </c>
      <c r="AE2553" s="15">
        <v>65</v>
      </c>
      <c r="AF2553" s="15">
        <f>AE2553*AG2553</f>
        <v>130</v>
      </c>
      <c r="AG2553" s="16">
        <v>2</v>
      </c>
    </row>
    <row r="2554" spans="1:33" ht="15" customHeight="1" x14ac:dyDescent="0.2">
      <c r="A2554" s="11" t="str">
        <f t="shared" si="1026"/>
        <v>VN000D0MBZW1</v>
      </c>
      <c r="B2554" s="12" t="s">
        <v>9454</v>
      </c>
      <c r="C2554" s="12" t="s">
        <v>1763</v>
      </c>
      <c r="D2554" s="12" t="s">
        <v>58</v>
      </c>
      <c r="E2554" s="12" t="s">
        <v>9455</v>
      </c>
      <c r="F2554" s="13">
        <v>85</v>
      </c>
      <c r="G2554" s="14"/>
      <c r="H2554" s="12" t="s">
        <v>38</v>
      </c>
      <c r="I2554" s="12" t="s">
        <v>242</v>
      </c>
      <c r="J2554" s="12" t="s">
        <v>243</v>
      </c>
      <c r="K2554" s="12" t="s">
        <v>244</v>
      </c>
      <c r="L2554" s="14"/>
      <c r="M2554" s="12" t="s">
        <v>43</v>
      </c>
      <c r="N2554" s="12" t="s">
        <v>84</v>
      </c>
      <c r="O2554" s="12" t="s">
        <v>9456</v>
      </c>
      <c r="P2554" s="12" t="s">
        <v>46</v>
      </c>
      <c r="Q2554" s="12" t="s">
        <v>47</v>
      </c>
      <c r="R2554" s="12" t="s">
        <v>780</v>
      </c>
      <c r="S2554" s="13">
        <v>197804439423</v>
      </c>
      <c r="T2554" s="12" t="s">
        <v>49</v>
      </c>
      <c r="U2554" s="13">
        <v>25</v>
      </c>
      <c r="V2554" s="12" t="s">
        <v>50</v>
      </c>
      <c r="W2554" s="12" t="s">
        <v>51</v>
      </c>
      <c r="X2554" s="14"/>
      <c r="Y2554" s="14"/>
      <c r="Z2554" s="14"/>
      <c r="AA2554" s="14"/>
      <c r="AB2554" s="14"/>
      <c r="AC2554" s="15">
        <v>29.55</v>
      </c>
      <c r="AD2554" s="15">
        <f>AC2554*AG2554</f>
        <v>59.1</v>
      </c>
      <c r="AE2554" s="15">
        <v>65</v>
      </c>
      <c r="AF2554" s="15">
        <f>AE2554*AG2554</f>
        <v>130</v>
      </c>
      <c r="AG2554" s="16">
        <v>2</v>
      </c>
    </row>
    <row r="2555" spans="1:33" ht="15" customHeight="1" x14ac:dyDescent="0.2">
      <c r="A2555" s="11" t="str">
        <f>HYPERLINK("https://assets.vans.eu/images/VN000D0MKCZ-HERO/1","VN000D0MKCZ1")</f>
        <v>VN000D0MKCZ1</v>
      </c>
      <c r="B2555" s="12" t="s">
        <v>9457</v>
      </c>
      <c r="C2555" s="12" t="s">
        <v>1763</v>
      </c>
      <c r="D2555" s="12" t="s">
        <v>1109</v>
      </c>
      <c r="E2555" s="12" t="s">
        <v>9458</v>
      </c>
      <c r="F2555" s="13">
        <v>20</v>
      </c>
      <c r="G2555" s="12" t="s">
        <v>1111</v>
      </c>
      <c r="H2555" s="12" t="s">
        <v>38</v>
      </c>
      <c r="I2555" s="12" t="s">
        <v>242</v>
      </c>
      <c r="J2555" s="12" t="s">
        <v>243</v>
      </c>
      <c r="K2555" s="12" t="s">
        <v>244</v>
      </c>
      <c r="L2555" s="14"/>
      <c r="M2555" s="12" t="s">
        <v>43</v>
      </c>
      <c r="N2555" s="12" t="s">
        <v>84</v>
      </c>
      <c r="O2555" s="12" t="s">
        <v>9459</v>
      </c>
      <c r="P2555" s="12" t="s">
        <v>46</v>
      </c>
      <c r="Q2555" s="12" t="s">
        <v>47</v>
      </c>
      <c r="R2555" s="12" t="s">
        <v>780</v>
      </c>
      <c r="S2555" s="13">
        <v>197804437337</v>
      </c>
      <c r="T2555" s="12" t="s">
        <v>105</v>
      </c>
      <c r="U2555" s="13">
        <v>17</v>
      </c>
      <c r="V2555" s="12" t="s">
        <v>50</v>
      </c>
      <c r="W2555" s="12" t="s">
        <v>118</v>
      </c>
      <c r="X2555" s="14"/>
      <c r="Y2555" s="14"/>
      <c r="Z2555" s="14"/>
      <c r="AA2555" s="14"/>
      <c r="AB2555" s="14"/>
      <c r="AC2555" s="15">
        <v>29.55</v>
      </c>
      <c r="AD2555" s="15">
        <f>AC2555*AG2555</f>
        <v>59.1</v>
      </c>
      <c r="AE2555" s="15">
        <v>65</v>
      </c>
      <c r="AF2555" s="15">
        <f>AE2555*AG2555</f>
        <v>130</v>
      </c>
      <c r="AG2555" s="16">
        <v>2</v>
      </c>
    </row>
    <row r="2556" spans="1:33" ht="15" customHeight="1" x14ac:dyDescent="0.2">
      <c r="A2556" s="11" t="str">
        <f>HYPERLINK("https://assets.vans.eu/images/VN000D0MKCZ-HERO/1","VN000D0MKCZ1")</f>
        <v>VN000D0MKCZ1</v>
      </c>
      <c r="B2556" s="12" t="s">
        <v>9460</v>
      </c>
      <c r="C2556" s="12" t="s">
        <v>1763</v>
      </c>
      <c r="D2556" s="12" t="s">
        <v>1109</v>
      </c>
      <c r="E2556" s="12" t="s">
        <v>9461</v>
      </c>
      <c r="F2556" s="13">
        <v>30</v>
      </c>
      <c r="G2556" s="12" t="s">
        <v>1111</v>
      </c>
      <c r="H2556" s="12" t="s">
        <v>38</v>
      </c>
      <c r="I2556" s="12" t="s">
        <v>242</v>
      </c>
      <c r="J2556" s="12" t="s">
        <v>243</v>
      </c>
      <c r="K2556" s="12" t="s">
        <v>244</v>
      </c>
      <c r="L2556" s="14"/>
      <c r="M2556" s="12" t="s">
        <v>43</v>
      </c>
      <c r="N2556" s="12" t="s">
        <v>84</v>
      </c>
      <c r="O2556" s="12" t="s">
        <v>9462</v>
      </c>
      <c r="P2556" s="12" t="s">
        <v>46</v>
      </c>
      <c r="Q2556" s="12" t="s">
        <v>47</v>
      </c>
      <c r="R2556" s="12" t="s">
        <v>780</v>
      </c>
      <c r="S2556" s="13">
        <v>197804437641</v>
      </c>
      <c r="T2556" s="12" t="s">
        <v>105</v>
      </c>
      <c r="U2556" s="13">
        <v>18</v>
      </c>
      <c r="V2556" s="12" t="s">
        <v>50</v>
      </c>
      <c r="W2556" s="12" t="s">
        <v>118</v>
      </c>
      <c r="X2556" s="14"/>
      <c r="Y2556" s="14"/>
      <c r="Z2556" s="14"/>
      <c r="AA2556" s="14"/>
      <c r="AB2556" s="14"/>
      <c r="AC2556" s="15">
        <v>29.55</v>
      </c>
      <c r="AD2556" s="15">
        <f>AC2556*AG2556</f>
        <v>59.1</v>
      </c>
      <c r="AE2556" s="15">
        <v>65</v>
      </c>
      <c r="AF2556" s="15">
        <f>AE2556*AG2556</f>
        <v>130</v>
      </c>
      <c r="AG2556" s="16">
        <v>2</v>
      </c>
    </row>
    <row r="2557" spans="1:33" ht="15" customHeight="1" x14ac:dyDescent="0.2">
      <c r="A2557" s="11" t="str">
        <f>HYPERLINK("https://assets.vans.eu/images/VN000D0MKCZ-HERO/1","VN000D0MKCZ1")</f>
        <v>VN000D0MKCZ1</v>
      </c>
      <c r="B2557" s="12" t="s">
        <v>9463</v>
      </c>
      <c r="C2557" s="12" t="s">
        <v>1763</v>
      </c>
      <c r="D2557" s="12" t="s">
        <v>1109</v>
      </c>
      <c r="E2557" s="12" t="s">
        <v>9464</v>
      </c>
      <c r="F2557" s="13">
        <v>75</v>
      </c>
      <c r="G2557" s="12" t="s">
        <v>1111</v>
      </c>
      <c r="H2557" s="12" t="s">
        <v>38</v>
      </c>
      <c r="I2557" s="12" t="s">
        <v>242</v>
      </c>
      <c r="J2557" s="12" t="s">
        <v>243</v>
      </c>
      <c r="K2557" s="12" t="s">
        <v>244</v>
      </c>
      <c r="L2557" s="14"/>
      <c r="M2557" s="12" t="s">
        <v>43</v>
      </c>
      <c r="N2557" s="12" t="s">
        <v>84</v>
      </c>
      <c r="O2557" s="12" t="s">
        <v>9465</v>
      </c>
      <c r="P2557" s="12" t="s">
        <v>46</v>
      </c>
      <c r="Q2557" s="12" t="s">
        <v>47</v>
      </c>
      <c r="R2557" s="12" t="s">
        <v>780</v>
      </c>
      <c r="S2557" s="13">
        <v>197804438938</v>
      </c>
      <c r="T2557" s="12" t="s">
        <v>105</v>
      </c>
      <c r="U2557" s="13">
        <v>24</v>
      </c>
      <c r="V2557" s="12" t="s">
        <v>50</v>
      </c>
      <c r="W2557" s="12" t="s">
        <v>118</v>
      </c>
      <c r="X2557" s="14"/>
      <c r="Y2557" s="14"/>
      <c r="Z2557" s="14"/>
      <c r="AA2557" s="14"/>
      <c r="AB2557" s="14"/>
      <c r="AC2557" s="15">
        <v>29.55</v>
      </c>
      <c r="AD2557" s="15">
        <f>AC2557*AG2557</f>
        <v>59.1</v>
      </c>
      <c r="AE2557" s="15">
        <v>65</v>
      </c>
      <c r="AF2557" s="15">
        <f>AE2557*AG2557</f>
        <v>130</v>
      </c>
      <c r="AG2557" s="16">
        <v>2</v>
      </c>
    </row>
    <row r="2558" spans="1:33" ht="15" customHeight="1" x14ac:dyDescent="0.2">
      <c r="A2558" s="11" t="str">
        <f>HYPERLINK("https://assets.vans.eu/images/VN000D0MKCZ-HERO/1","VN000D0MKCZ1")</f>
        <v>VN000D0MKCZ1</v>
      </c>
      <c r="B2558" s="12" t="s">
        <v>9466</v>
      </c>
      <c r="C2558" s="12" t="s">
        <v>1763</v>
      </c>
      <c r="D2558" s="12" t="s">
        <v>1109</v>
      </c>
      <c r="E2558" s="12" t="s">
        <v>9467</v>
      </c>
      <c r="F2558" s="13">
        <v>80</v>
      </c>
      <c r="G2558" s="12" t="s">
        <v>1111</v>
      </c>
      <c r="H2558" s="12" t="s">
        <v>38</v>
      </c>
      <c r="I2558" s="12" t="s">
        <v>242</v>
      </c>
      <c r="J2558" s="12" t="s">
        <v>243</v>
      </c>
      <c r="K2558" s="12" t="s">
        <v>244</v>
      </c>
      <c r="L2558" s="14"/>
      <c r="M2558" s="12" t="s">
        <v>43</v>
      </c>
      <c r="N2558" s="12" t="s">
        <v>84</v>
      </c>
      <c r="O2558" s="12" t="s">
        <v>9468</v>
      </c>
      <c r="P2558" s="12" t="s">
        <v>46</v>
      </c>
      <c r="Q2558" s="12" t="s">
        <v>47</v>
      </c>
      <c r="R2558" s="12" t="s">
        <v>780</v>
      </c>
      <c r="S2558" s="13">
        <v>197804438990</v>
      </c>
      <c r="T2558" s="12" t="s">
        <v>105</v>
      </c>
      <c r="U2558" s="13">
        <v>24.5</v>
      </c>
      <c r="V2558" s="12" t="s">
        <v>50</v>
      </c>
      <c r="W2558" s="12" t="s">
        <v>118</v>
      </c>
      <c r="X2558" s="14"/>
      <c r="Y2558" s="14"/>
      <c r="Z2558" s="14"/>
      <c r="AA2558" s="14"/>
      <c r="AB2558" s="14"/>
      <c r="AC2558" s="15">
        <v>29.55</v>
      </c>
      <c r="AD2558" s="15">
        <f>AC2558*AG2558</f>
        <v>59.1</v>
      </c>
      <c r="AE2558" s="15">
        <v>65</v>
      </c>
      <c r="AF2558" s="15">
        <f>AE2558*AG2558</f>
        <v>130</v>
      </c>
      <c r="AG2558" s="16">
        <v>2</v>
      </c>
    </row>
    <row r="2559" spans="1:33" ht="15" customHeight="1" x14ac:dyDescent="0.2">
      <c r="A2559" s="11" t="str">
        <f>HYPERLINK("https://assets.vans.eu/images/VN000D0MKCZ-HERO/1","VN000D0MKCZ1")</f>
        <v>VN000D0MKCZ1</v>
      </c>
      <c r="B2559" s="12" t="s">
        <v>9469</v>
      </c>
      <c r="C2559" s="12" t="s">
        <v>1763</v>
      </c>
      <c r="D2559" s="12" t="s">
        <v>1109</v>
      </c>
      <c r="E2559" s="12" t="s">
        <v>9470</v>
      </c>
      <c r="F2559" s="13">
        <v>95</v>
      </c>
      <c r="G2559" s="12" t="s">
        <v>1111</v>
      </c>
      <c r="H2559" s="12" t="s">
        <v>38</v>
      </c>
      <c r="I2559" s="12" t="s">
        <v>242</v>
      </c>
      <c r="J2559" s="12" t="s">
        <v>243</v>
      </c>
      <c r="K2559" s="12" t="s">
        <v>244</v>
      </c>
      <c r="L2559" s="14"/>
      <c r="M2559" s="12" t="s">
        <v>43</v>
      </c>
      <c r="N2559" s="12" t="s">
        <v>84</v>
      </c>
      <c r="O2559" s="12" t="s">
        <v>9471</v>
      </c>
      <c r="P2559" s="12" t="s">
        <v>46</v>
      </c>
      <c r="Q2559" s="12" t="s">
        <v>47</v>
      </c>
      <c r="R2559" s="12" t="s">
        <v>780</v>
      </c>
      <c r="S2559" s="13">
        <v>197804439362</v>
      </c>
      <c r="T2559" s="12" t="s">
        <v>105</v>
      </c>
      <c r="U2559" s="13">
        <v>26</v>
      </c>
      <c r="V2559" s="12" t="s">
        <v>50</v>
      </c>
      <c r="W2559" s="12" t="s">
        <v>118</v>
      </c>
      <c r="X2559" s="14"/>
      <c r="Y2559" s="14"/>
      <c r="Z2559" s="14"/>
      <c r="AA2559" s="14"/>
      <c r="AB2559" s="14"/>
      <c r="AC2559" s="15">
        <v>29.55</v>
      </c>
      <c r="AD2559" s="15">
        <f>AC2559*AG2559</f>
        <v>59.1</v>
      </c>
      <c r="AE2559" s="15">
        <v>65</v>
      </c>
      <c r="AF2559" s="15">
        <f>AE2559*AG2559</f>
        <v>130</v>
      </c>
      <c r="AG2559" s="16">
        <v>2</v>
      </c>
    </row>
    <row r="2560" spans="1:33" ht="15" customHeight="1" x14ac:dyDescent="0.2">
      <c r="A2560" s="11" t="str">
        <f t="shared" ref="A2560:A4040" si="1027">HYPERLINK("https://assets.vans.eu/images/VN000D0PEMW-HERO/1","VN000D0PEMW1")</f>
        <v>VN000D0PEMW1</v>
      </c>
      <c r="B2560" s="12" t="s">
        <v>9472</v>
      </c>
      <c r="C2560" s="12" t="s">
        <v>1422</v>
      </c>
      <c r="D2560" s="12" t="s">
        <v>147</v>
      </c>
      <c r="E2560" s="12" t="s">
        <v>9473</v>
      </c>
      <c r="F2560" s="13">
        <v>65</v>
      </c>
      <c r="G2560" s="12" t="s">
        <v>2452</v>
      </c>
      <c r="H2560" s="12" t="s">
        <v>38</v>
      </c>
      <c r="I2560" s="12" t="s">
        <v>242</v>
      </c>
      <c r="J2560" s="12" t="s">
        <v>243</v>
      </c>
      <c r="K2560" s="12" t="s">
        <v>244</v>
      </c>
      <c r="L2560" s="14"/>
      <c r="M2560" s="12" t="s">
        <v>43</v>
      </c>
      <c r="N2560" s="12" t="s">
        <v>84</v>
      </c>
      <c r="O2560" s="12" t="s">
        <v>9474</v>
      </c>
      <c r="P2560" s="12" t="s">
        <v>46</v>
      </c>
      <c r="Q2560" s="12" t="s">
        <v>47</v>
      </c>
      <c r="R2560" s="12" t="s">
        <v>313</v>
      </c>
      <c r="S2560" s="13">
        <v>197804520763</v>
      </c>
      <c r="T2560" s="12" t="s">
        <v>49</v>
      </c>
      <c r="U2560" s="13">
        <v>22.5</v>
      </c>
      <c r="V2560" s="12" t="s">
        <v>50</v>
      </c>
      <c r="W2560" s="12" t="s">
        <v>118</v>
      </c>
      <c r="X2560" s="14"/>
      <c r="Y2560" s="14"/>
      <c r="Z2560" s="14"/>
      <c r="AA2560" s="14"/>
      <c r="AB2560" s="14"/>
      <c r="AC2560" s="15">
        <v>25</v>
      </c>
      <c r="AD2560" s="15">
        <f>AC2560*AG2560</f>
        <v>50</v>
      </c>
      <c r="AE2560" s="15">
        <v>55</v>
      </c>
      <c r="AF2560" s="15">
        <f>AE2560*AG2560</f>
        <v>110</v>
      </c>
      <c r="AG2560" s="16">
        <v>2</v>
      </c>
    </row>
    <row r="2561" spans="1:33" ht="15" customHeight="1" x14ac:dyDescent="0.2">
      <c r="A2561" s="11" t="str">
        <f t="shared" ref="A2561:A4043" si="1028">HYPERLINK("https://assets.vans.eu/images/VN000D0S1NU-HERO/1","VN000D0S1NU1")</f>
        <v>VN000D0S1NU1</v>
      </c>
      <c r="B2561" s="12" t="s">
        <v>9475</v>
      </c>
      <c r="C2561" s="12" t="s">
        <v>2280</v>
      </c>
      <c r="D2561" s="12" t="s">
        <v>783</v>
      </c>
      <c r="E2561" s="12" t="s">
        <v>9476</v>
      </c>
      <c r="F2561" s="13">
        <v>85</v>
      </c>
      <c r="G2561" s="12" t="s">
        <v>2273</v>
      </c>
      <c r="H2561" s="12" t="s">
        <v>38</v>
      </c>
      <c r="I2561" s="12" t="s">
        <v>242</v>
      </c>
      <c r="J2561" s="12" t="s">
        <v>243</v>
      </c>
      <c r="K2561" s="12" t="s">
        <v>244</v>
      </c>
      <c r="L2561" s="14"/>
      <c r="M2561" s="12" t="s">
        <v>43</v>
      </c>
      <c r="N2561" s="12" t="s">
        <v>84</v>
      </c>
      <c r="O2561" s="12" t="s">
        <v>9477</v>
      </c>
      <c r="P2561" s="12" t="s">
        <v>46</v>
      </c>
      <c r="Q2561" s="12" t="s">
        <v>47</v>
      </c>
      <c r="R2561" s="12" t="s">
        <v>48</v>
      </c>
      <c r="S2561" s="13">
        <v>197804521432</v>
      </c>
      <c r="T2561" s="12" t="s">
        <v>105</v>
      </c>
      <c r="U2561" s="13">
        <v>25</v>
      </c>
      <c r="V2561" s="12" t="s">
        <v>375</v>
      </c>
      <c r="W2561" s="12" t="s">
        <v>186</v>
      </c>
      <c r="X2561" s="14"/>
      <c r="Y2561" s="14"/>
      <c r="Z2561" s="14"/>
      <c r="AA2561" s="14"/>
      <c r="AB2561" s="14"/>
      <c r="AC2561" s="15">
        <v>20.5</v>
      </c>
      <c r="AD2561" s="15">
        <f>AC2561*AG2561</f>
        <v>41</v>
      </c>
      <c r="AE2561" s="15">
        <v>45</v>
      </c>
      <c r="AF2561" s="15">
        <f>AE2561*AG2561</f>
        <v>90</v>
      </c>
      <c r="AG2561" s="16">
        <v>2</v>
      </c>
    </row>
    <row r="2562" spans="1:33" ht="15" customHeight="1" x14ac:dyDescent="0.2">
      <c r="A2562" s="11" t="str">
        <f t="shared" ref="A2562:A4046" si="1029">HYPERLINK("https://assets.vans.eu/images/VN000D0S705-HERO/1","VN000D0S7051")</f>
        <v>VN000D0S7051</v>
      </c>
      <c r="B2562" s="12" t="s">
        <v>9478</v>
      </c>
      <c r="C2562" s="12" t="s">
        <v>2280</v>
      </c>
      <c r="D2562" s="12" t="s">
        <v>2273</v>
      </c>
      <c r="E2562" s="12" t="s">
        <v>9479</v>
      </c>
      <c r="F2562" s="13">
        <v>60</v>
      </c>
      <c r="G2562" s="12" t="s">
        <v>3900</v>
      </c>
      <c r="H2562" s="12" t="s">
        <v>38</v>
      </c>
      <c r="I2562" s="12" t="s">
        <v>242</v>
      </c>
      <c r="J2562" s="12" t="s">
        <v>243</v>
      </c>
      <c r="K2562" s="12" t="s">
        <v>244</v>
      </c>
      <c r="L2562" s="14"/>
      <c r="M2562" s="12" t="s">
        <v>43</v>
      </c>
      <c r="N2562" s="12" t="s">
        <v>84</v>
      </c>
      <c r="O2562" s="12" t="s">
        <v>9480</v>
      </c>
      <c r="P2562" s="12" t="s">
        <v>46</v>
      </c>
      <c r="Q2562" s="12" t="s">
        <v>47</v>
      </c>
      <c r="R2562" s="12" t="s">
        <v>48</v>
      </c>
      <c r="S2562" s="13">
        <v>197804521203</v>
      </c>
      <c r="T2562" s="12" t="s">
        <v>49</v>
      </c>
      <c r="U2562" s="13">
        <v>22</v>
      </c>
      <c r="V2562" s="12" t="s">
        <v>375</v>
      </c>
      <c r="W2562" s="12" t="s">
        <v>51</v>
      </c>
      <c r="X2562" s="14"/>
      <c r="Y2562" s="14"/>
      <c r="Z2562" s="14"/>
      <c r="AA2562" s="14"/>
      <c r="AB2562" s="14"/>
      <c r="AC2562" s="15">
        <v>20.5</v>
      </c>
      <c r="AD2562" s="15">
        <f>AC2562*AG2562</f>
        <v>41</v>
      </c>
      <c r="AE2562" s="15">
        <v>45</v>
      </c>
      <c r="AF2562" s="15">
        <f>AE2562*AG2562</f>
        <v>90</v>
      </c>
      <c r="AG2562" s="16">
        <v>2</v>
      </c>
    </row>
    <row r="2563" spans="1:33" ht="15" customHeight="1" x14ac:dyDescent="0.2">
      <c r="A2563" s="11" t="str">
        <f t="shared" si="614"/>
        <v>VN000D0SYJ71</v>
      </c>
      <c r="B2563" s="12" t="s">
        <v>9481</v>
      </c>
      <c r="C2563" s="12" t="s">
        <v>2280</v>
      </c>
      <c r="D2563" s="12" t="s">
        <v>1300</v>
      </c>
      <c r="E2563" s="12" t="s">
        <v>9482</v>
      </c>
      <c r="F2563" s="13">
        <v>20</v>
      </c>
      <c r="G2563" s="12" t="s">
        <v>1302</v>
      </c>
      <c r="H2563" s="12" t="s">
        <v>38</v>
      </c>
      <c r="I2563" s="12" t="s">
        <v>242</v>
      </c>
      <c r="J2563" s="12" t="s">
        <v>243</v>
      </c>
      <c r="K2563" s="12" t="s">
        <v>244</v>
      </c>
      <c r="L2563" s="14"/>
      <c r="M2563" s="12" t="s">
        <v>43</v>
      </c>
      <c r="N2563" s="12" t="s">
        <v>84</v>
      </c>
      <c r="O2563" s="12" t="s">
        <v>9483</v>
      </c>
      <c r="P2563" s="12" t="s">
        <v>46</v>
      </c>
      <c r="Q2563" s="12" t="s">
        <v>47</v>
      </c>
      <c r="R2563" s="12" t="s">
        <v>48</v>
      </c>
      <c r="S2563" s="13">
        <v>197804520879</v>
      </c>
      <c r="T2563" s="12" t="s">
        <v>164</v>
      </c>
      <c r="U2563" s="13">
        <v>17</v>
      </c>
      <c r="V2563" s="12" t="s">
        <v>375</v>
      </c>
      <c r="W2563" s="12" t="s">
        <v>51</v>
      </c>
      <c r="X2563" s="14"/>
      <c r="Y2563" s="14"/>
      <c r="Z2563" s="14"/>
      <c r="AA2563" s="14"/>
      <c r="AB2563" s="14"/>
      <c r="AC2563" s="15">
        <v>22.75</v>
      </c>
      <c r="AD2563" s="15">
        <f>AC2563*AG2563</f>
        <v>45.5</v>
      </c>
      <c r="AE2563" s="15">
        <v>50</v>
      </c>
      <c r="AF2563" s="15">
        <f>AE2563*AG2563</f>
        <v>100</v>
      </c>
      <c r="AG2563" s="16">
        <v>2</v>
      </c>
    </row>
    <row r="2564" spans="1:33" ht="15" customHeight="1" x14ac:dyDescent="0.2">
      <c r="A2564" s="11" t="str">
        <f t="shared" ref="A2564:A2565" si="1030">HYPERLINK("https://assets.vans.eu/images/VN000D0SYJ7-HERO/1","VN000D0SYJ71")</f>
        <v>VN000D0SYJ71</v>
      </c>
      <c r="B2564" s="12" t="s">
        <v>9484</v>
      </c>
      <c r="C2564" s="12" t="s">
        <v>2280</v>
      </c>
      <c r="D2564" s="12" t="s">
        <v>1300</v>
      </c>
      <c r="E2564" s="12" t="s">
        <v>9485</v>
      </c>
      <c r="F2564" s="13">
        <v>30</v>
      </c>
      <c r="G2564" s="12" t="s">
        <v>1302</v>
      </c>
      <c r="H2564" s="12" t="s">
        <v>38</v>
      </c>
      <c r="I2564" s="12" t="s">
        <v>242</v>
      </c>
      <c r="J2564" s="12" t="s">
        <v>243</v>
      </c>
      <c r="K2564" s="12" t="s">
        <v>244</v>
      </c>
      <c r="L2564" s="14"/>
      <c r="M2564" s="12" t="s">
        <v>43</v>
      </c>
      <c r="N2564" s="12" t="s">
        <v>84</v>
      </c>
      <c r="O2564" s="12" t="s">
        <v>9486</v>
      </c>
      <c r="P2564" s="12" t="s">
        <v>46</v>
      </c>
      <c r="Q2564" s="12" t="s">
        <v>47</v>
      </c>
      <c r="R2564" s="12" t="s">
        <v>48</v>
      </c>
      <c r="S2564" s="13">
        <v>197804521371</v>
      </c>
      <c r="T2564" s="12" t="s">
        <v>164</v>
      </c>
      <c r="U2564" s="13">
        <v>18</v>
      </c>
      <c r="V2564" s="12" t="s">
        <v>375</v>
      </c>
      <c r="W2564" s="12" t="s">
        <v>51</v>
      </c>
      <c r="X2564" s="14"/>
      <c r="Y2564" s="14"/>
      <c r="Z2564" s="14"/>
      <c r="AA2564" s="14"/>
      <c r="AB2564" s="14"/>
      <c r="AC2564" s="15">
        <v>22.75</v>
      </c>
      <c r="AD2564" s="15">
        <f>AC2564*AG2564</f>
        <v>45.5</v>
      </c>
      <c r="AE2564" s="15">
        <v>50</v>
      </c>
      <c r="AF2564" s="15">
        <f>AE2564*AG2564</f>
        <v>100</v>
      </c>
      <c r="AG2564" s="16">
        <v>2</v>
      </c>
    </row>
    <row r="2565" spans="1:33" ht="15" customHeight="1" x14ac:dyDescent="0.2">
      <c r="A2565" s="11" t="str">
        <f t="shared" si="1030"/>
        <v>VN000D0SYJ71</v>
      </c>
      <c r="B2565" s="12" t="s">
        <v>9487</v>
      </c>
      <c r="C2565" s="12" t="s">
        <v>2280</v>
      </c>
      <c r="D2565" s="12" t="s">
        <v>1300</v>
      </c>
      <c r="E2565" s="12" t="s">
        <v>9488</v>
      </c>
      <c r="F2565" s="13">
        <v>40</v>
      </c>
      <c r="G2565" s="12" t="s">
        <v>1302</v>
      </c>
      <c r="H2565" s="12" t="s">
        <v>38</v>
      </c>
      <c r="I2565" s="12" t="s">
        <v>242</v>
      </c>
      <c r="J2565" s="12" t="s">
        <v>243</v>
      </c>
      <c r="K2565" s="12" t="s">
        <v>244</v>
      </c>
      <c r="L2565" s="14"/>
      <c r="M2565" s="12" t="s">
        <v>43</v>
      </c>
      <c r="N2565" s="12" t="s">
        <v>84</v>
      </c>
      <c r="O2565" s="12" t="s">
        <v>9489</v>
      </c>
      <c r="P2565" s="12" t="s">
        <v>46</v>
      </c>
      <c r="Q2565" s="12" t="s">
        <v>47</v>
      </c>
      <c r="R2565" s="12" t="s">
        <v>48</v>
      </c>
      <c r="S2565" s="13">
        <v>197804521593</v>
      </c>
      <c r="T2565" s="12" t="s">
        <v>164</v>
      </c>
      <c r="U2565" s="13">
        <v>19</v>
      </c>
      <c r="V2565" s="12" t="s">
        <v>375</v>
      </c>
      <c r="W2565" s="12" t="s">
        <v>51</v>
      </c>
      <c r="X2565" s="14"/>
      <c r="Y2565" s="14"/>
      <c r="Z2565" s="14"/>
      <c r="AA2565" s="14"/>
      <c r="AB2565" s="14"/>
      <c r="AC2565" s="15">
        <v>22.75</v>
      </c>
      <c r="AD2565" s="15">
        <f>AC2565*AG2565</f>
        <v>45.5</v>
      </c>
      <c r="AE2565" s="15">
        <v>50</v>
      </c>
      <c r="AF2565" s="15">
        <f>AE2565*AG2565</f>
        <v>100</v>
      </c>
      <c r="AG2565" s="16">
        <v>2</v>
      </c>
    </row>
    <row r="2566" spans="1:33" ht="15" customHeight="1" x14ac:dyDescent="0.2">
      <c r="A2566" s="11" t="str">
        <f t="shared" ref="A2566:A2568" si="1031">HYPERLINK("https://assets.vans.eu/images/VN000D1011E-HERO/1","VN000D1011E1")</f>
        <v>VN000D1011E1</v>
      </c>
      <c r="B2566" s="12" t="s">
        <v>9490</v>
      </c>
      <c r="C2566" s="12" t="s">
        <v>2136</v>
      </c>
      <c r="D2566" s="12" t="s">
        <v>1148</v>
      </c>
      <c r="E2566" s="12" t="s">
        <v>9491</v>
      </c>
      <c r="F2566" s="13">
        <v>30</v>
      </c>
      <c r="G2566" s="12" t="s">
        <v>528</v>
      </c>
      <c r="H2566" s="12" t="s">
        <v>38</v>
      </c>
      <c r="I2566" s="12" t="s">
        <v>39</v>
      </c>
      <c r="J2566" s="12" t="s">
        <v>40</v>
      </c>
      <c r="K2566" s="12" t="s">
        <v>41</v>
      </c>
      <c r="L2566" s="14"/>
      <c r="M2566" s="12" t="s">
        <v>43</v>
      </c>
      <c r="N2566" s="12" t="s">
        <v>84</v>
      </c>
      <c r="O2566" s="12" t="s">
        <v>9492</v>
      </c>
      <c r="P2566" s="12" t="s">
        <v>46</v>
      </c>
      <c r="Q2566" s="12" t="s">
        <v>47</v>
      </c>
      <c r="R2566" s="12" t="s">
        <v>313</v>
      </c>
      <c r="S2566" s="13">
        <v>197804438310</v>
      </c>
      <c r="T2566" s="12" t="s">
        <v>49</v>
      </c>
      <c r="U2566" s="13">
        <v>34</v>
      </c>
      <c r="V2566" s="12" t="s">
        <v>50</v>
      </c>
      <c r="W2566" s="12" t="s">
        <v>107</v>
      </c>
      <c r="X2566" s="14"/>
      <c r="Y2566" s="14"/>
      <c r="Z2566" s="14"/>
      <c r="AA2566" s="14"/>
      <c r="AB2566" s="14"/>
      <c r="AC2566" s="15">
        <v>31.85</v>
      </c>
      <c r="AD2566" s="15">
        <f>AC2566*AG2566</f>
        <v>63.7</v>
      </c>
      <c r="AE2566" s="15">
        <v>70</v>
      </c>
      <c r="AF2566" s="15">
        <f>AE2566*AG2566</f>
        <v>140</v>
      </c>
      <c r="AG2566" s="16">
        <v>2</v>
      </c>
    </row>
    <row r="2567" spans="1:33" ht="15" customHeight="1" x14ac:dyDescent="0.2">
      <c r="A2567" s="11" t="str">
        <f t="shared" si="1031"/>
        <v>VN000D1011E1</v>
      </c>
      <c r="B2567" s="12" t="s">
        <v>9493</v>
      </c>
      <c r="C2567" s="12" t="s">
        <v>2136</v>
      </c>
      <c r="D2567" s="12" t="s">
        <v>1148</v>
      </c>
      <c r="E2567" s="12" t="s">
        <v>9494</v>
      </c>
      <c r="F2567" s="13">
        <v>105</v>
      </c>
      <c r="G2567" s="12" t="s">
        <v>528</v>
      </c>
      <c r="H2567" s="12" t="s">
        <v>38</v>
      </c>
      <c r="I2567" s="12" t="s">
        <v>39</v>
      </c>
      <c r="J2567" s="12" t="s">
        <v>40</v>
      </c>
      <c r="K2567" s="12" t="s">
        <v>41</v>
      </c>
      <c r="L2567" s="14"/>
      <c r="M2567" s="12" t="s">
        <v>43</v>
      </c>
      <c r="N2567" s="12" t="s">
        <v>84</v>
      </c>
      <c r="O2567" s="12" t="s">
        <v>9495</v>
      </c>
      <c r="P2567" s="12" t="s">
        <v>46</v>
      </c>
      <c r="Q2567" s="12" t="s">
        <v>47</v>
      </c>
      <c r="R2567" s="12" t="s">
        <v>313</v>
      </c>
      <c r="S2567" s="13">
        <v>197804438426</v>
      </c>
      <c r="T2567" s="12" t="s">
        <v>49</v>
      </c>
      <c r="U2567" s="13">
        <v>27</v>
      </c>
      <c r="V2567" s="12" t="s">
        <v>50</v>
      </c>
      <c r="W2567" s="12" t="s">
        <v>107</v>
      </c>
      <c r="X2567" s="14"/>
      <c r="Y2567" s="14"/>
      <c r="Z2567" s="14"/>
      <c r="AA2567" s="14"/>
      <c r="AB2567" s="14"/>
      <c r="AC2567" s="15">
        <v>31.85</v>
      </c>
      <c r="AD2567" s="15">
        <f>AC2567*AG2567</f>
        <v>63.7</v>
      </c>
      <c r="AE2567" s="15">
        <v>70</v>
      </c>
      <c r="AF2567" s="15">
        <f>AE2567*AG2567</f>
        <v>140</v>
      </c>
      <c r="AG2567" s="16">
        <v>2</v>
      </c>
    </row>
    <row r="2568" spans="1:33" ht="15" customHeight="1" x14ac:dyDescent="0.2">
      <c r="A2568" s="11" t="str">
        <f t="shared" si="1031"/>
        <v>VN000D1011E1</v>
      </c>
      <c r="B2568" s="12" t="s">
        <v>9496</v>
      </c>
      <c r="C2568" s="12" t="s">
        <v>2136</v>
      </c>
      <c r="D2568" s="12" t="s">
        <v>1148</v>
      </c>
      <c r="E2568" s="12" t="s">
        <v>9497</v>
      </c>
      <c r="F2568" s="13">
        <v>110</v>
      </c>
      <c r="G2568" s="12" t="s">
        <v>528</v>
      </c>
      <c r="H2568" s="12" t="s">
        <v>38</v>
      </c>
      <c r="I2568" s="12" t="s">
        <v>39</v>
      </c>
      <c r="J2568" s="12" t="s">
        <v>40</v>
      </c>
      <c r="K2568" s="12" t="s">
        <v>41</v>
      </c>
      <c r="L2568" s="14"/>
      <c r="M2568" s="12" t="s">
        <v>43</v>
      </c>
      <c r="N2568" s="12" t="s">
        <v>84</v>
      </c>
      <c r="O2568" s="12" t="s">
        <v>9498</v>
      </c>
      <c r="P2568" s="12" t="s">
        <v>46</v>
      </c>
      <c r="Q2568" s="12" t="s">
        <v>47</v>
      </c>
      <c r="R2568" s="12" t="s">
        <v>313</v>
      </c>
      <c r="S2568" s="13">
        <v>197804438655</v>
      </c>
      <c r="T2568" s="12" t="s">
        <v>49</v>
      </c>
      <c r="U2568" s="13">
        <v>27.5</v>
      </c>
      <c r="V2568" s="12" t="s">
        <v>50</v>
      </c>
      <c r="W2568" s="12" t="s">
        <v>107</v>
      </c>
      <c r="X2568" s="14"/>
      <c r="Y2568" s="14"/>
      <c r="Z2568" s="14"/>
      <c r="AA2568" s="14"/>
      <c r="AB2568" s="14"/>
      <c r="AC2568" s="15">
        <v>31.85</v>
      </c>
      <c r="AD2568" s="15">
        <f>AC2568*AG2568</f>
        <v>63.7</v>
      </c>
      <c r="AE2568" s="15">
        <v>70</v>
      </c>
      <c r="AF2568" s="15">
        <f>AE2568*AG2568</f>
        <v>140</v>
      </c>
      <c r="AG2568" s="16">
        <v>2</v>
      </c>
    </row>
    <row r="2569" spans="1:33" ht="15" customHeight="1" x14ac:dyDescent="0.2">
      <c r="A2569" s="11" t="str">
        <f t="shared" si="370"/>
        <v>VN000D10N1Z1</v>
      </c>
      <c r="B2569" s="12" t="s">
        <v>9499</v>
      </c>
      <c r="C2569" s="12" t="s">
        <v>2136</v>
      </c>
      <c r="D2569" s="12" t="s">
        <v>1656</v>
      </c>
      <c r="E2569" s="12" t="s">
        <v>9500</v>
      </c>
      <c r="F2569" s="13">
        <v>25</v>
      </c>
      <c r="G2569" s="12" t="s">
        <v>528</v>
      </c>
      <c r="H2569" s="12" t="s">
        <v>38</v>
      </c>
      <c r="I2569" s="12" t="s">
        <v>39</v>
      </c>
      <c r="J2569" s="12" t="s">
        <v>40</v>
      </c>
      <c r="K2569" s="12" t="s">
        <v>41</v>
      </c>
      <c r="L2569" s="14"/>
      <c r="M2569" s="12" t="s">
        <v>43</v>
      </c>
      <c r="N2569" s="12" t="s">
        <v>84</v>
      </c>
      <c r="O2569" s="12" t="s">
        <v>9501</v>
      </c>
      <c r="P2569" s="12" t="s">
        <v>46</v>
      </c>
      <c r="Q2569" s="12" t="s">
        <v>47</v>
      </c>
      <c r="R2569" s="12" t="s">
        <v>313</v>
      </c>
      <c r="S2569" s="13">
        <v>197804522217</v>
      </c>
      <c r="T2569" s="12" t="s">
        <v>49</v>
      </c>
      <c r="U2569" s="13">
        <v>33</v>
      </c>
      <c r="V2569" s="12" t="s">
        <v>50</v>
      </c>
      <c r="W2569" s="12" t="s">
        <v>186</v>
      </c>
      <c r="X2569" s="14"/>
      <c r="Y2569" s="14"/>
      <c r="Z2569" s="14"/>
      <c r="AA2569" s="14"/>
      <c r="AB2569" s="14"/>
      <c r="AC2569" s="15">
        <v>31.85</v>
      </c>
      <c r="AD2569" s="15">
        <f>AC2569*AG2569</f>
        <v>63.7</v>
      </c>
      <c r="AE2569" s="15">
        <v>70</v>
      </c>
      <c r="AF2569" s="15">
        <f>AE2569*AG2569</f>
        <v>140</v>
      </c>
      <c r="AG2569" s="16">
        <v>2</v>
      </c>
    </row>
    <row r="2570" spans="1:33" ht="15" customHeight="1" x14ac:dyDescent="0.2">
      <c r="A2570" s="11" t="str">
        <f t="shared" ref="A2570:A4057" si="1032">HYPERLINK("https://assets.vans.eu/images/VN000D10N1Z-HERO/1","VN000D10N1Z1")</f>
        <v>VN000D10N1Z1</v>
      </c>
      <c r="B2570" s="12" t="s">
        <v>9502</v>
      </c>
      <c r="C2570" s="12" t="s">
        <v>2136</v>
      </c>
      <c r="D2570" s="12" t="s">
        <v>1656</v>
      </c>
      <c r="E2570" s="12" t="s">
        <v>9503</v>
      </c>
      <c r="F2570" s="13">
        <v>105</v>
      </c>
      <c r="G2570" s="12" t="s">
        <v>528</v>
      </c>
      <c r="H2570" s="12" t="s">
        <v>38</v>
      </c>
      <c r="I2570" s="12" t="s">
        <v>39</v>
      </c>
      <c r="J2570" s="12" t="s">
        <v>40</v>
      </c>
      <c r="K2570" s="12" t="s">
        <v>41</v>
      </c>
      <c r="L2570" s="14"/>
      <c r="M2570" s="12" t="s">
        <v>43</v>
      </c>
      <c r="N2570" s="12" t="s">
        <v>84</v>
      </c>
      <c r="O2570" s="12" t="s">
        <v>9504</v>
      </c>
      <c r="P2570" s="12" t="s">
        <v>46</v>
      </c>
      <c r="Q2570" s="12" t="s">
        <v>47</v>
      </c>
      <c r="R2570" s="12" t="s">
        <v>313</v>
      </c>
      <c r="S2570" s="13">
        <v>197804522446</v>
      </c>
      <c r="T2570" s="12" t="s">
        <v>49</v>
      </c>
      <c r="U2570" s="13">
        <v>27</v>
      </c>
      <c r="V2570" s="12" t="s">
        <v>50</v>
      </c>
      <c r="W2570" s="12" t="s">
        <v>186</v>
      </c>
      <c r="X2570" s="14"/>
      <c r="Y2570" s="14"/>
      <c r="Z2570" s="14"/>
      <c r="AA2570" s="14"/>
      <c r="AB2570" s="14"/>
      <c r="AC2570" s="15">
        <v>31.85</v>
      </c>
      <c r="AD2570" s="15">
        <f>AC2570*AG2570</f>
        <v>63.7</v>
      </c>
      <c r="AE2570" s="15">
        <v>70</v>
      </c>
      <c r="AF2570" s="15">
        <f>AE2570*AG2570</f>
        <v>140</v>
      </c>
      <c r="AG2570" s="16">
        <v>2</v>
      </c>
    </row>
    <row r="2571" spans="1:33" ht="15" customHeight="1" x14ac:dyDescent="0.2">
      <c r="A2571" s="11" t="str">
        <f t="shared" si="781"/>
        <v>VN000D1111E1</v>
      </c>
      <c r="B2571" s="12" t="s">
        <v>9505</v>
      </c>
      <c r="C2571" s="12" t="s">
        <v>2136</v>
      </c>
      <c r="D2571" s="12" t="s">
        <v>1148</v>
      </c>
      <c r="E2571" s="12" t="s">
        <v>9506</v>
      </c>
      <c r="F2571" s="13">
        <v>75</v>
      </c>
      <c r="G2571" s="12" t="s">
        <v>528</v>
      </c>
      <c r="H2571" s="12" t="s">
        <v>38</v>
      </c>
      <c r="I2571" s="12" t="s">
        <v>242</v>
      </c>
      <c r="J2571" s="12" t="s">
        <v>243</v>
      </c>
      <c r="K2571" s="12" t="s">
        <v>244</v>
      </c>
      <c r="L2571" s="14"/>
      <c r="M2571" s="12" t="s">
        <v>43</v>
      </c>
      <c r="N2571" s="12" t="s">
        <v>84</v>
      </c>
      <c r="O2571" s="12" t="s">
        <v>9507</v>
      </c>
      <c r="P2571" s="12" t="s">
        <v>46</v>
      </c>
      <c r="Q2571" s="12" t="s">
        <v>47</v>
      </c>
      <c r="R2571" s="12" t="s">
        <v>313</v>
      </c>
      <c r="S2571" s="13">
        <v>197804439294</v>
      </c>
      <c r="T2571" s="12" t="s">
        <v>49</v>
      </c>
      <c r="U2571" s="13">
        <v>24</v>
      </c>
      <c r="V2571" s="12" t="s">
        <v>50</v>
      </c>
      <c r="W2571" s="12" t="s">
        <v>107</v>
      </c>
      <c r="X2571" s="14"/>
      <c r="Y2571" s="14"/>
      <c r="Z2571" s="14"/>
      <c r="AA2571" s="14"/>
      <c r="AB2571" s="14"/>
      <c r="AC2571" s="15">
        <v>27.3</v>
      </c>
      <c r="AD2571" s="15">
        <f>AC2571*AG2571</f>
        <v>54.6</v>
      </c>
      <c r="AE2571" s="15">
        <v>60</v>
      </c>
      <c r="AF2571" s="15">
        <f>AE2571*AG2571</f>
        <v>120</v>
      </c>
      <c r="AG2571" s="16">
        <v>2</v>
      </c>
    </row>
    <row r="2572" spans="1:33" ht="15" customHeight="1" x14ac:dyDescent="0.2">
      <c r="A2572" s="11" t="str">
        <f t="shared" si="782"/>
        <v>VN000D111KP1</v>
      </c>
      <c r="B2572" s="12" t="s">
        <v>9508</v>
      </c>
      <c r="C2572" s="12" t="s">
        <v>2136</v>
      </c>
      <c r="D2572" s="12" t="s">
        <v>3943</v>
      </c>
      <c r="E2572" s="12" t="s">
        <v>9509</v>
      </c>
      <c r="F2572" s="13">
        <v>60</v>
      </c>
      <c r="G2572" s="12" t="s">
        <v>2273</v>
      </c>
      <c r="H2572" s="12" t="s">
        <v>38</v>
      </c>
      <c r="I2572" s="12" t="s">
        <v>242</v>
      </c>
      <c r="J2572" s="12" t="s">
        <v>243</v>
      </c>
      <c r="K2572" s="12" t="s">
        <v>244</v>
      </c>
      <c r="L2572" s="14"/>
      <c r="M2572" s="12" t="s">
        <v>43</v>
      </c>
      <c r="N2572" s="12" t="s">
        <v>84</v>
      </c>
      <c r="O2572" s="12" t="s">
        <v>9510</v>
      </c>
      <c r="P2572" s="12" t="s">
        <v>46</v>
      </c>
      <c r="Q2572" s="12" t="s">
        <v>47</v>
      </c>
      <c r="R2572" s="12" t="s">
        <v>313</v>
      </c>
      <c r="S2572" s="13">
        <v>197804522781</v>
      </c>
      <c r="T2572" s="12" t="s">
        <v>49</v>
      </c>
      <c r="U2572" s="13">
        <v>22</v>
      </c>
      <c r="V2572" s="12" t="s">
        <v>50</v>
      </c>
      <c r="W2572" s="12" t="s">
        <v>51</v>
      </c>
      <c r="X2572" s="14"/>
      <c r="Y2572" s="14"/>
      <c r="Z2572" s="14"/>
      <c r="AA2572" s="14"/>
      <c r="AB2572" s="14"/>
      <c r="AC2572" s="15">
        <v>27.3</v>
      </c>
      <c r="AD2572" s="15">
        <f>AC2572*AG2572</f>
        <v>54.6</v>
      </c>
      <c r="AE2572" s="15">
        <v>60</v>
      </c>
      <c r="AF2572" s="15">
        <f>AE2572*AG2572</f>
        <v>120</v>
      </c>
      <c r="AG2572" s="16">
        <v>2</v>
      </c>
    </row>
    <row r="2573" spans="1:33" ht="15" customHeight="1" x14ac:dyDescent="0.2">
      <c r="A2573" s="11" t="str">
        <f t="shared" ref="A2573:A2574" si="1033">HYPERLINK("https://assets.vans.eu/images/VN000D111KP-HERO/1","VN000D111KP1")</f>
        <v>VN000D111KP1</v>
      </c>
      <c r="B2573" s="12" t="s">
        <v>9511</v>
      </c>
      <c r="C2573" s="12" t="s">
        <v>2136</v>
      </c>
      <c r="D2573" s="12" t="s">
        <v>3943</v>
      </c>
      <c r="E2573" s="12" t="s">
        <v>9512</v>
      </c>
      <c r="F2573" s="13">
        <v>65</v>
      </c>
      <c r="G2573" s="12" t="s">
        <v>2273</v>
      </c>
      <c r="H2573" s="12" t="s">
        <v>38</v>
      </c>
      <c r="I2573" s="12" t="s">
        <v>242</v>
      </c>
      <c r="J2573" s="12" t="s">
        <v>243</v>
      </c>
      <c r="K2573" s="12" t="s">
        <v>244</v>
      </c>
      <c r="L2573" s="14"/>
      <c r="M2573" s="12" t="s">
        <v>43</v>
      </c>
      <c r="N2573" s="12" t="s">
        <v>84</v>
      </c>
      <c r="O2573" s="12" t="s">
        <v>9513</v>
      </c>
      <c r="P2573" s="12" t="s">
        <v>46</v>
      </c>
      <c r="Q2573" s="12" t="s">
        <v>47</v>
      </c>
      <c r="R2573" s="12" t="s">
        <v>313</v>
      </c>
      <c r="S2573" s="13">
        <v>197804522941</v>
      </c>
      <c r="T2573" s="12" t="s">
        <v>49</v>
      </c>
      <c r="U2573" s="13">
        <v>22.5</v>
      </c>
      <c r="V2573" s="12" t="s">
        <v>50</v>
      </c>
      <c r="W2573" s="12" t="s">
        <v>51</v>
      </c>
      <c r="X2573" s="14"/>
      <c r="Y2573" s="14"/>
      <c r="Z2573" s="14"/>
      <c r="AA2573" s="14"/>
      <c r="AB2573" s="14"/>
      <c r="AC2573" s="15">
        <v>27.3</v>
      </c>
      <c r="AD2573" s="15">
        <f>AC2573*AG2573</f>
        <v>54.6</v>
      </c>
      <c r="AE2573" s="15">
        <v>60</v>
      </c>
      <c r="AF2573" s="15">
        <f>AE2573*AG2573</f>
        <v>120</v>
      </c>
      <c r="AG2573" s="16">
        <v>2</v>
      </c>
    </row>
    <row r="2574" spans="1:33" ht="15" customHeight="1" x14ac:dyDescent="0.2">
      <c r="A2574" s="11" t="str">
        <f t="shared" si="1033"/>
        <v>VN000D111KP1</v>
      </c>
      <c r="B2574" s="12" t="s">
        <v>9514</v>
      </c>
      <c r="C2574" s="12" t="s">
        <v>2136</v>
      </c>
      <c r="D2574" s="12" t="s">
        <v>3943</v>
      </c>
      <c r="E2574" s="12" t="s">
        <v>9515</v>
      </c>
      <c r="F2574" s="13">
        <v>70</v>
      </c>
      <c r="G2574" s="12" t="s">
        <v>2273</v>
      </c>
      <c r="H2574" s="12" t="s">
        <v>38</v>
      </c>
      <c r="I2574" s="12" t="s">
        <v>242</v>
      </c>
      <c r="J2574" s="12" t="s">
        <v>243</v>
      </c>
      <c r="K2574" s="12" t="s">
        <v>244</v>
      </c>
      <c r="L2574" s="14"/>
      <c r="M2574" s="12" t="s">
        <v>43</v>
      </c>
      <c r="N2574" s="12" t="s">
        <v>84</v>
      </c>
      <c r="O2574" s="12" t="s">
        <v>9516</v>
      </c>
      <c r="P2574" s="12" t="s">
        <v>46</v>
      </c>
      <c r="Q2574" s="12" t="s">
        <v>47</v>
      </c>
      <c r="R2574" s="12" t="s">
        <v>313</v>
      </c>
      <c r="S2574" s="13">
        <v>197804522989</v>
      </c>
      <c r="T2574" s="12" t="s">
        <v>49</v>
      </c>
      <c r="U2574" s="13">
        <v>23.5</v>
      </c>
      <c r="V2574" s="12" t="s">
        <v>50</v>
      </c>
      <c r="W2574" s="12" t="s">
        <v>51</v>
      </c>
      <c r="X2574" s="14"/>
      <c r="Y2574" s="14"/>
      <c r="Z2574" s="14"/>
      <c r="AA2574" s="14"/>
      <c r="AB2574" s="14"/>
      <c r="AC2574" s="15">
        <v>27.3</v>
      </c>
      <c r="AD2574" s="15">
        <f>AC2574*AG2574</f>
        <v>54.6</v>
      </c>
      <c r="AE2574" s="15">
        <v>60</v>
      </c>
      <c r="AF2574" s="15">
        <f>AE2574*AG2574</f>
        <v>120</v>
      </c>
      <c r="AG2574" s="16">
        <v>2</v>
      </c>
    </row>
    <row r="2575" spans="1:33" ht="15" customHeight="1" x14ac:dyDescent="0.2">
      <c r="A2575" s="11" t="str">
        <f>HYPERLINK("https://assets.vans.eu/images/VN000D11N1Z-HERO/1","VN000D11N1Z1")</f>
        <v>VN000D11N1Z1</v>
      </c>
      <c r="B2575" s="12" t="s">
        <v>9517</v>
      </c>
      <c r="C2575" s="12" t="s">
        <v>2136</v>
      </c>
      <c r="D2575" s="12" t="s">
        <v>1656</v>
      </c>
      <c r="E2575" s="12" t="s">
        <v>9518</v>
      </c>
      <c r="F2575" s="13">
        <v>40</v>
      </c>
      <c r="G2575" s="12" t="s">
        <v>528</v>
      </c>
      <c r="H2575" s="12" t="s">
        <v>38</v>
      </c>
      <c r="I2575" s="12" t="s">
        <v>242</v>
      </c>
      <c r="J2575" s="12" t="s">
        <v>243</v>
      </c>
      <c r="K2575" s="12" t="s">
        <v>244</v>
      </c>
      <c r="L2575" s="14"/>
      <c r="M2575" s="12" t="s">
        <v>43</v>
      </c>
      <c r="N2575" s="12" t="s">
        <v>84</v>
      </c>
      <c r="O2575" s="12" t="s">
        <v>9519</v>
      </c>
      <c r="P2575" s="12" t="s">
        <v>46</v>
      </c>
      <c r="Q2575" s="12" t="s">
        <v>47</v>
      </c>
      <c r="R2575" s="12" t="s">
        <v>313</v>
      </c>
      <c r="S2575" s="13">
        <v>197804523191</v>
      </c>
      <c r="T2575" s="12" t="s">
        <v>49</v>
      </c>
      <c r="U2575" s="13">
        <v>19</v>
      </c>
      <c r="V2575" s="12" t="s">
        <v>50</v>
      </c>
      <c r="W2575" s="12" t="s">
        <v>186</v>
      </c>
      <c r="X2575" s="14"/>
      <c r="Y2575" s="14"/>
      <c r="Z2575" s="14"/>
      <c r="AA2575" s="14"/>
      <c r="AB2575" s="14"/>
      <c r="AC2575" s="15">
        <v>27.3</v>
      </c>
      <c r="AD2575" s="15">
        <f>AC2575*AG2575</f>
        <v>54.6</v>
      </c>
      <c r="AE2575" s="15">
        <v>60</v>
      </c>
      <c r="AF2575" s="15">
        <f>AE2575*AG2575</f>
        <v>120</v>
      </c>
      <c r="AG2575" s="16">
        <v>2</v>
      </c>
    </row>
    <row r="2576" spans="1:33" ht="15" customHeight="1" x14ac:dyDescent="0.2">
      <c r="A2576" s="11" t="str">
        <f t="shared" ref="A2576:A4071" si="1034">HYPERLINK("https://assets.vans.eu/images/VN000D12BIY-HERO/1","VN000D12BIY1")</f>
        <v>VN000D12BIY1</v>
      </c>
      <c r="B2576" s="12" t="s">
        <v>9520</v>
      </c>
      <c r="C2576" s="12" t="s">
        <v>2427</v>
      </c>
      <c r="D2576" s="12" t="s">
        <v>2010</v>
      </c>
      <c r="E2576" s="12" t="s">
        <v>9521</v>
      </c>
      <c r="F2576" s="13">
        <v>120</v>
      </c>
      <c r="G2576" s="14"/>
      <c r="H2576" s="12" t="s">
        <v>38</v>
      </c>
      <c r="I2576" s="12" t="s">
        <v>39</v>
      </c>
      <c r="J2576" s="12" t="s">
        <v>2430</v>
      </c>
      <c r="K2576" s="12" t="s">
        <v>41</v>
      </c>
      <c r="L2576" s="14"/>
      <c r="M2576" s="12" t="s">
        <v>43</v>
      </c>
      <c r="N2576" s="12" t="s">
        <v>161</v>
      </c>
      <c r="O2576" s="12" t="s">
        <v>9522</v>
      </c>
      <c r="P2576" s="12" t="s">
        <v>46</v>
      </c>
      <c r="Q2576" s="12" t="s">
        <v>2432</v>
      </c>
      <c r="R2576" s="12" t="s">
        <v>2433</v>
      </c>
      <c r="S2576" s="13">
        <v>197065604592</v>
      </c>
      <c r="T2576" s="12" t="s">
        <v>49</v>
      </c>
      <c r="U2576" s="13">
        <v>29</v>
      </c>
      <c r="V2576" s="12" t="s">
        <v>278</v>
      </c>
      <c r="W2576" s="12" t="s">
        <v>299</v>
      </c>
      <c r="X2576" s="14"/>
      <c r="Y2576" s="12" t="s">
        <v>91</v>
      </c>
      <c r="Z2576" s="12" t="s">
        <v>165</v>
      </c>
      <c r="AA2576" s="14"/>
      <c r="AB2576" s="14"/>
      <c r="AC2576" s="15">
        <v>31.85</v>
      </c>
      <c r="AD2576" s="15">
        <f>AC2576*AG2576</f>
        <v>63.7</v>
      </c>
      <c r="AE2576" s="15">
        <v>70</v>
      </c>
      <c r="AF2576" s="15">
        <f>AE2576*AG2576</f>
        <v>140</v>
      </c>
      <c r="AG2576" s="16">
        <v>2</v>
      </c>
    </row>
    <row r="2577" spans="1:33" ht="15" customHeight="1" x14ac:dyDescent="0.2">
      <c r="A2577" s="11" t="str">
        <f t="shared" si="371"/>
        <v>VN000D1BEMU1</v>
      </c>
      <c r="B2577" s="12" t="s">
        <v>9523</v>
      </c>
      <c r="C2577" s="12" t="s">
        <v>3572</v>
      </c>
      <c r="D2577" s="12" t="s">
        <v>1319</v>
      </c>
      <c r="E2577" s="12" t="s">
        <v>9524</v>
      </c>
      <c r="F2577" s="13">
        <v>20</v>
      </c>
      <c r="G2577" s="12" t="s">
        <v>3574</v>
      </c>
      <c r="H2577" s="12" t="s">
        <v>38</v>
      </c>
      <c r="I2577" s="12" t="s">
        <v>242</v>
      </c>
      <c r="J2577" s="12" t="s">
        <v>243</v>
      </c>
      <c r="K2577" s="12" t="s">
        <v>244</v>
      </c>
      <c r="L2577" s="14"/>
      <c r="M2577" s="12" t="s">
        <v>43</v>
      </c>
      <c r="N2577" s="12" t="s">
        <v>84</v>
      </c>
      <c r="O2577" s="12" t="s">
        <v>9525</v>
      </c>
      <c r="P2577" s="12" t="s">
        <v>46</v>
      </c>
      <c r="Q2577" s="12" t="s">
        <v>47</v>
      </c>
      <c r="R2577" s="12" t="s">
        <v>48</v>
      </c>
      <c r="S2577" s="13">
        <v>197804523054</v>
      </c>
      <c r="T2577" s="12" t="s">
        <v>164</v>
      </c>
      <c r="U2577" s="13">
        <v>17</v>
      </c>
      <c r="V2577" s="12" t="s">
        <v>50</v>
      </c>
      <c r="W2577" s="12" t="s">
        <v>118</v>
      </c>
      <c r="X2577" s="14"/>
      <c r="Y2577" s="14"/>
      <c r="Z2577" s="14"/>
      <c r="AA2577" s="14"/>
      <c r="AB2577" s="14"/>
      <c r="AC2577" s="15">
        <v>22.75</v>
      </c>
      <c r="AD2577" s="15">
        <f>AC2577*AG2577</f>
        <v>45.5</v>
      </c>
      <c r="AE2577" s="15">
        <v>50</v>
      </c>
      <c r="AF2577" s="15">
        <f>AE2577*AG2577</f>
        <v>100</v>
      </c>
      <c r="AG2577" s="16">
        <v>2</v>
      </c>
    </row>
    <row r="2578" spans="1:33" ht="15" customHeight="1" x14ac:dyDescent="0.2">
      <c r="A2578" s="11" t="str">
        <f t="shared" ref="A2578:A2579" si="1035">HYPERLINK("https://assets.vans.eu/images/VN000D1BEMU-HERO/1","VN000D1BEMU1")</f>
        <v>VN000D1BEMU1</v>
      </c>
      <c r="B2578" s="12" t="s">
        <v>9526</v>
      </c>
      <c r="C2578" s="12" t="s">
        <v>3572</v>
      </c>
      <c r="D2578" s="12" t="s">
        <v>1319</v>
      </c>
      <c r="E2578" s="12" t="s">
        <v>9527</v>
      </c>
      <c r="F2578" s="13">
        <v>30</v>
      </c>
      <c r="G2578" s="12" t="s">
        <v>3574</v>
      </c>
      <c r="H2578" s="12" t="s">
        <v>38</v>
      </c>
      <c r="I2578" s="12" t="s">
        <v>242</v>
      </c>
      <c r="J2578" s="12" t="s">
        <v>243</v>
      </c>
      <c r="K2578" s="12" t="s">
        <v>244</v>
      </c>
      <c r="L2578" s="14"/>
      <c r="M2578" s="12" t="s">
        <v>43</v>
      </c>
      <c r="N2578" s="12" t="s">
        <v>84</v>
      </c>
      <c r="O2578" s="12" t="s">
        <v>9528</v>
      </c>
      <c r="P2578" s="12" t="s">
        <v>46</v>
      </c>
      <c r="Q2578" s="12" t="s">
        <v>47</v>
      </c>
      <c r="R2578" s="12" t="s">
        <v>48</v>
      </c>
      <c r="S2578" s="13">
        <v>197804523290</v>
      </c>
      <c r="T2578" s="12" t="s">
        <v>164</v>
      </c>
      <c r="U2578" s="13">
        <v>18</v>
      </c>
      <c r="V2578" s="12" t="s">
        <v>50</v>
      </c>
      <c r="W2578" s="12" t="s">
        <v>118</v>
      </c>
      <c r="X2578" s="14"/>
      <c r="Y2578" s="14"/>
      <c r="Z2578" s="14"/>
      <c r="AA2578" s="14"/>
      <c r="AB2578" s="14"/>
      <c r="AC2578" s="15">
        <v>22.75</v>
      </c>
      <c r="AD2578" s="15">
        <f>AC2578*AG2578</f>
        <v>45.5</v>
      </c>
      <c r="AE2578" s="15">
        <v>50</v>
      </c>
      <c r="AF2578" s="15">
        <f>AE2578*AG2578</f>
        <v>100</v>
      </c>
      <c r="AG2578" s="16">
        <v>2</v>
      </c>
    </row>
    <row r="2579" spans="1:33" ht="15" customHeight="1" x14ac:dyDescent="0.2">
      <c r="A2579" s="11" t="str">
        <f t="shared" si="1035"/>
        <v>VN000D1BEMU1</v>
      </c>
      <c r="B2579" s="12" t="s">
        <v>9529</v>
      </c>
      <c r="C2579" s="12" t="s">
        <v>3572</v>
      </c>
      <c r="D2579" s="12" t="s">
        <v>1319</v>
      </c>
      <c r="E2579" s="12" t="s">
        <v>9530</v>
      </c>
      <c r="F2579" s="13">
        <v>70</v>
      </c>
      <c r="G2579" s="12" t="s">
        <v>3574</v>
      </c>
      <c r="H2579" s="12" t="s">
        <v>38</v>
      </c>
      <c r="I2579" s="12" t="s">
        <v>242</v>
      </c>
      <c r="J2579" s="12" t="s">
        <v>243</v>
      </c>
      <c r="K2579" s="12" t="s">
        <v>244</v>
      </c>
      <c r="L2579" s="14"/>
      <c r="M2579" s="12" t="s">
        <v>43</v>
      </c>
      <c r="N2579" s="12" t="s">
        <v>84</v>
      </c>
      <c r="O2579" s="12" t="s">
        <v>9531</v>
      </c>
      <c r="P2579" s="12" t="s">
        <v>46</v>
      </c>
      <c r="Q2579" s="12" t="s">
        <v>47</v>
      </c>
      <c r="R2579" s="12" t="s">
        <v>48</v>
      </c>
      <c r="S2579" s="13">
        <v>197804523757</v>
      </c>
      <c r="T2579" s="12" t="s">
        <v>164</v>
      </c>
      <c r="U2579" s="13">
        <v>23.5</v>
      </c>
      <c r="V2579" s="12" t="s">
        <v>50</v>
      </c>
      <c r="W2579" s="12" t="s">
        <v>118</v>
      </c>
      <c r="X2579" s="14"/>
      <c r="Y2579" s="14"/>
      <c r="Z2579" s="14"/>
      <c r="AA2579" s="14"/>
      <c r="AB2579" s="14"/>
      <c r="AC2579" s="15">
        <v>22.75</v>
      </c>
      <c r="AD2579" s="15">
        <f>AC2579*AG2579</f>
        <v>45.5</v>
      </c>
      <c r="AE2579" s="15">
        <v>50</v>
      </c>
      <c r="AF2579" s="15">
        <f>AE2579*AG2579</f>
        <v>100</v>
      </c>
      <c r="AG2579" s="16">
        <v>2</v>
      </c>
    </row>
    <row r="2580" spans="1:33" ht="15" customHeight="1" x14ac:dyDescent="0.2">
      <c r="A2580" s="11" t="str">
        <f>HYPERLINK("https://assets.vans.eu/images/VN000D1HBXC-HERO/1","VN000D1HBXC1")</f>
        <v>VN000D1HBXC1</v>
      </c>
      <c r="B2580" s="12" t="s">
        <v>9532</v>
      </c>
      <c r="C2580" s="12" t="s">
        <v>1614</v>
      </c>
      <c r="D2580" s="12" t="s">
        <v>4900</v>
      </c>
      <c r="E2580" s="12" t="s">
        <v>9533</v>
      </c>
      <c r="F2580" s="13">
        <v>45</v>
      </c>
      <c r="G2580" s="14"/>
      <c r="H2580" s="12" t="s">
        <v>38</v>
      </c>
      <c r="I2580" s="12" t="s">
        <v>159</v>
      </c>
      <c r="J2580" s="12" t="s">
        <v>255</v>
      </c>
      <c r="K2580" s="12" t="s">
        <v>82</v>
      </c>
      <c r="L2580" s="14"/>
      <c r="M2580" s="12" t="s">
        <v>43</v>
      </c>
      <c r="N2580" s="12" t="s">
        <v>161</v>
      </c>
      <c r="O2580" s="12" t="s">
        <v>9534</v>
      </c>
      <c r="P2580" s="12" t="s">
        <v>46</v>
      </c>
      <c r="Q2580" s="12" t="s">
        <v>47</v>
      </c>
      <c r="R2580" s="12" t="s">
        <v>163</v>
      </c>
      <c r="S2580" s="13">
        <v>197065819859</v>
      </c>
      <c r="T2580" s="12" t="s">
        <v>49</v>
      </c>
      <c r="U2580" s="13">
        <v>36</v>
      </c>
      <c r="V2580" s="12" t="s">
        <v>50</v>
      </c>
      <c r="W2580" s="12" t="s">
        <v>455</v>
      </c>
      <c r="X2580" s="14"/>
      <c r="Y2580" s="12" t="s">
        <v>53</v>
      </c>
      <c r="Z2580" s="12" t="s">
        <v>263</v>
      </c>
      <c r="AA2580" s="14"/>
      <c r="AB2580" s="14"/>
      <c r="AC2580" s="15">
        <v>50</v>
      </c>
      <c r="AD2580" s="15">
        <f>AC2580*AG2580</f>
        <v>100</v>
      </c>
      <c r="AE2580" s="15">
        <v>110</v>
      </c>
      <c r="AF2580" s="15">
        <f>AE2580*AG2580</f>
        <v>220</v>
      </c>
      <c r="AG2580" s="16">
        <v>2</v>
      </c>
    </row>
    <row r="2581" spans="1:33" ht="15" customHeight="1" x14ac:dyDescent="0.2">
      <c r="A2581" s="11" t="str">
        <f>HYPERLINK("https://assets.vans.eu/images/VN000D1HO3N-HERO/1","VN000D1HO3N1")</f>
        <v>VN000D1HO3N1</v>
      </c>
      <c r="B2581" s="12" t="s">
        <v>9535</v>
      </c>
      <c r="C2581" s="12" t="s">
        <v>1614</v>
      </c>
      <c r="D2581" s="12" t="s">
        <v>744</v>
      </c>
      <c r="E2581" s="12" t="s">
        <v>9536</v>
      </c>
      <c r="F2581" s="13">
        <v>130</v>
      </c>
      <c r="G2581" s="12" t="s">
        <v>528</v>
      </c>
      <c r="H2581" s="12" t="s">
        <v>38</v>
      </c>
      <c r="I2581" s="12" t="s">
        <v>113</v>
      </c>
      <c r="J2581" s="12" t="s">
        <v>529</v>
      </c>
      <c r="K2581" s="12" t="s">
        <v>82</v>
      </c>
      <c r="L2581" s="14"/>
      <c r="M2581" s="12" t="s">
        <v>43</v>
      </c>
      <c r="N2581" s="12" t="s">
        <v>44</v>
      </c>
      <c r="O2581" s="12" t="s">
        <v>9537</v>
      </c>
      <c r="P2581" s="12" t="s">
        <v>46</v>
      </c>
      <c r="Q2581" s="12" t="s">
        <v>47</v>
      </c>
      <c r="R2581" s="12" t="s">
        <v>117</v>
      </c>
      <c r="S2581" s="13">
        <v>197643314387</v>
      </c>
      <c r="T2581" s="12" t="s">
        <v>49</v>
      </c>
      <c r="U2581" s="13">
        <v>47</v>
      </c>
      <c r="V2581" s="12" t="s">
        <v>50</v>
      </c>
      <c r="W2581" s="12" t="s">
        <v>299</v>
      </c>
      <c r="X2581" s="14"/>
      <c r="Y2581" s="12" t="s">
        <v>53</v>
      </c>
      <c r="Z2581" s="12" t="s">
        <v>263</v>
      </c>
      <c r="AA2581" s="14"/>
      <c r="AB2581" s="14"/>
      <c r="AC2581" s="15">
        <v>50</v>
      </c>
      <c r="AD2581" s="15">
        <f>AC2581*AG2581</f>
        <v>100</v>
      </c>
      <c r="AE2581" s="15">
        <v>110</v>
      </c>
      <c r="AF2581" s="15">
        <f>AE2581*AG2581</f>
        <v>220</v>
      </c>
      <c r="AG2581" s="16">
        <v>2</v>
      </c>
    </row>
    <row r="2582" spans="1:33" ht="15" customHeight="1" x14ac:dyDescent="0.2">
      <c r="A2582" s="11" t="str">
        <f t="shared" si="527"/>
        <v>VN000D1J4C61</v>
      </c>
      <c r="B2582" s="12" t="s">
        <v>9538</v>
      </c>
      <c r="C2582" s="12" t="s">
        <v>251</v>
      </c>
      <c r="D2582" s="12" t="s">
        <v>4972</v>
      </c>
      <c r="E2582" s="12" t="s">
        <v>9539</v>
      </c>
      <c r="F2582" s="13">
        <v>50</v>
      </c>
      <c r="G2582" s="14"/>
      <c r="H2582" s="12" t="s">
        <v>38</v>
      </c>
      <c r="I2582" s="12" t="s">
        <v>113</v>
      </c>
      <c r="J2582" s="12" t="s">
        <v>529</v>
      </c>
      <c r="K2582" s="12" t="s">
        <v>82</v>
      </c>
      <c r="L2582" s="12" t="s">
        <v>260</v>
      </c>
      <c r="M2582" s="12" t="s">
        <v>43</v>
      </c>
      <c r="N2582" s="12" t="s">
        <v>84</v>
      </c>
      <c r="O2582" s="12" t="s">
        <v>9540</v>
      </c>
      <c r="P2582" s="12" t="s">
        <v>46</v>
      </c>
      <c r="Q2582" s="12" t="s">
        <v>47</v>
      </c>
      <c r="R2582" s="12" t="s">
        <v>117</v>
      </c>
      <c r="S2582" s="13">
        <v>197804612420</v>
      </c>
      <c r="T2582" s="12" t="s">
        <v>49</v>
      </c>
      <c r="U2582" s="13">
        <v>36.5</v>
      </c>
      <c r="V2582" s="12" t="s">
        <v>50</v>
      </c>
      <c r="W2582" s="12" t="s">
        <v>107</v>
      </c>
      <c r="X2582" s="14"/>
      <c r="Y2582" s="14"/>
      <c r="Z2582" s="14"/>
      <c r="AA2582" s="14"/>
      <c r="AB2582" s="14"/>
      <c r="AC2582" s="15">
        <v>45.5</v>
      </c>
      <c r="AD2582" s="15">
        <f>AC2582*AG2582</f>
        <v>91</v>
      </c>
      <c r="AE2582" s="15">
        <v>100</v>
      </c>
      <c r="AF2582" s="15">
        <f>AE2582*AG2582</f>
        <v>200</v>
      </c>
      <c r="AG2582" s="16">
        <v>2</v>
      </c>
    </row>
    <row r="2583" spans="1:33" ht="15" customHeight="1" x14ac:dyDescent="0.2">
      <c r="A2583" s="11" t="str">
        <f t="shared" ref="A2583:A4102" si="1036">HYPERLINK("https://assets.vans.eu/images/VN000D1J7D6-HERO/1","VN000D1J7D61")</f>
        <v>VN000D1J7D61</v>
      </c>
      <c r="B2583" s="12" t="s">
        <v>9541</v>
      </c>
      <c r="C2583" s="12" t="s">
        <v>251</v>
      </c>
      <c r="D2583" s="12" t="s">
        <v>1231</v>
      </c>
      <c r="E2583" s="12" t="s">
        <v>9542</v>
      </c>
      <c r="F2583" s="13">
        <v>40</v>
      </c>
      <c r="G2583" s="12" t="s">
        <v>3002</v>
      </c>
      <c r="H2583" s="12" t="s">
        <v>38</v>
      </c>
      <c r="I2583" s="12" t="s">
        <v>113</v>
      </c>
      <c r="J2583" s="12" t="s">
        <v>529</v>
      </c>
      <c r="K2583" s="12" t="s">
        <v>82</v>
      </c>
      <c r="L2583" s="14"/>
      <c r="M2583" s="12" t="s">
        <v>43</v>
      </c>
      <c r="N2583" s="12" t="s">
        <v>84</v>
      </c>
      <c r="O2583" s="12" t="s">
        <v>9543</v>
      </c>
      <c r="P2583" s="12" t="s">
        <v>46</v>
      </c>
      <c r="Q2583" s="12" t="s">
        <v>47</v>
      </c>
      <c r="R2583" s="12" t="s">
        <v>117</v>
      </c>
      <c r="S2583" s="13">
        <v>197804437962</v>
      </c>
      <c r="T2583" s="12" t="s">
        <v>49</v>
      </c>
      <c r="U2583" s="13">
        <v>35</v>
      </c>
      <c r="V2583" s="12" t="s">
        <v>50</v>
      </c>
      <c r="W2583" s="12" t="s">
        <v>186</v>
      </c>
      <c r="X2583" s="14"/>
      <c r="Y2583" s="14"/>
      <c r="Z2583" s="14"/>
      <c r="AA2583" s="14"/>
      <c r="AB2583" s="14"/>
      <c r="AC2583" s="15">
        <v>45.5</v>
      </c>
      <c r="AD2583" s="15">
        <f>AC2583*AG2583</f>
        <v>91</v>
      </c>
      <c r="AE2583" s="15">
        <v>100</v>
      </c>
      <c r="AF2583" s="15">
        <f>AE2583*AG2583</f>
        <v>200</v>
      </c>
      <c r="AG2583" s="16">
        <v>2</v>
      </c>
    </row>
    <row r="2584" spans="1:33" ht="15" customHeight="1" x14ac:dyDescent="0.2">
      <c r="A2584" s="11" t="str">
        <f t="shared" ref="A2584:A4105" si="1037">HYPERLINK("https://assets.vans.eu/images/VN000D1JBRO-HERO/1","VN000D1JBRO1")</f>
        <v>VN000D1JBRO1</v>
      </c>
      <c r="B2584" s="12" t="s">
        <v>9544</v>
      </c>
      <c r="C2584" s="12" t="s">
        <v>251</v>
      </c>
      <c r="D2584" s="12" t="s">
        <v>1471</v>
      </c>
      <c r="E2584" s="12" t="s">
        <v>9545</v>
      </c>
      <c r="F2584" s="13">
        <v>95</v>
      </c>
      <c r="G2584" s="14"/>
      <c r="H2584" s="12" t="s">
        <v>38</v>
      </c>
      <c r="I2584" s="12" t="s">
        <v>113</v>
      </c>
      <c r="J2584" s="12" t="s">
        <v>529</v>
      </c>
      <c r="K2584" s="12" t="s">
        <v>82</v>
      </c>
      <c r="L2584" s="14"/>
      <c r="M2584" s="12" t="s">
        <v>43</v>
      </c>
      <c r="N2584" s="12" t="s">
        <v>84</v>
      </c>
      <c r="O2584" s="12" t="s">
        <v>9546</v>
      </c>
      <c r="P2584" s="12" t="s">
        <v>46</v>
      </c>
      <c r="Q2584" s="12" t="s">
        <v>47</v>
      </c>
      <c r="R2584" s="12" t="s">
        <v>117</v>
      </c>
      <c r="S2584" s="13">
        <v>197065607388</v>
      </c>
      <c r="T2584" s="12" t="s">
        <v>49</v>
      </c>
      <c r="U2584" s="13">
        <v>42.5</v>
      </c>
      <c r="V2584" s="12" t="s">
        <v>50</v>
      </c>
      <c r="W2584" s="12" t="s">
        <v>186</v>
      </c>
      <c r="X2584" s="14"/>
      <c r="Y2584" s="12" t="s">
        <v>91</v>
      </c>
      <c r="Z2584" s="12" t="s">
        <v>165</v>
      </c>
      <c r="AA2584" s="14"/>
      <c r="AB2584" s="14"/>
      <c r="AC2584" s="15">
        <v>45.5</v>
      </c>
      <c r="AD2584" s="15">
        <f>AC2584*AG2584</f>
        <v>91</v>
      </c>
      <c r="AE2584" s="15">
        <v>100</v>
      </c>
      <c r="AF2584" s="15">
        <f>AE2584*AG2584</f>
        <v>200</v>
      </c>
      <c r="AG2584" s="16">
        <v>2</v>
      </c>
    </row>
    <row r="2585" spans="1:33" ht="15" customHeight="1" x14ac:dyDescent="0.2">
      <c r="A2585" s="11" t="str">
        <f t="shared" ref="A2585:A2586" si="1038">HYPERLINK("https://assets.vans.eu/images/VN000D1JV0N-HERO/1","VN000D1JV0N1")</f>
        <v>VN000D1JV0N1</v>
      </c>
      <c r="B2585" s="12" t="s">
        <v>9547</v>
      </c>
      <c r="C2585" s="12" t="s">
        <v>251</v>
      </c>
      <c r="D2585" s="12" t="s">
        <v>7171</v>
      </c>
      <c r="E2585" s="12" t="s">
        <v>9548</v>
      </c>
      <c r="F2585" s="13">
        <v>85</v>
      </c>
      <c r="G2585" s="14"/>
      <c r="H2585" s="12" t="s">
        <v>38</v>
      </c>
      <c r="I2585" s="12" t="s">
        <v>159</v>
      </c>
      <c r="J2585" s="12" t="s">
        <v>255</v>
      </c>
      <c r="K2585" s="12" t="s">
        <v>82</v>
      </c>
      <c r="L2585" s="12" t="s">
        <v>260</v>
      </c>
      <c r="M2585" s="12" t="s">
        <v>43</v>
      </c>
      <c r="N2585" s="12" t="s">
        <v>84</v>
      </c>
      <c r="O2585" s="12" t="s">
        <v>9549</v>
      </c>
      <c r="P2585" s="12" t="s">
        <v>46</v>
      </c>
      <c r="Q2585" s="12" t="s">
        <v>47</v>
      </c>
      <c r="R2585" s="12" t="s">
        <v>163</v>
      </c>
      <c r="S2585" s="13">
        <v>197804836796</v>
      </c>
      <c r="T2585" s="12" t="s">
        <v>49</v>
      </c>
      <c r="U2585" s="13">
        <v>41</v>
      </c>
      <c r="V2585" s="12" t="s">
        <v>50</v>
      </c>
      <c r="W2585" s="12" t="s">
        <v>118</v>
      </c>
      <c r="X2585" s="14"/>
      <c r="Y2585" s="14"/>
      <c r="Z2585" s="14"/>
      <c r="AA2585" s="14"/>
      <c r="AB2585" s="14"/>
      <c r="AC2585" s="15">
        <v>50</v>
      </c>
      <c r="AD2585" s="15">
        <f>AC2585*AG2585</f>
        <v>100</v>
      </c>
      <c r="AE2585" s="15">
        <v>110</v>
      </c>
      <c r="AF2585" s="15">
        <f>AE2585*AG2585</f>
        <v>220</v>
      </c>
      <c r="AG2585" s="16">
        <v>2</v>
      </c>
    </row>
    <row r="2586" spans="1:33" ht="15" customHeight="1" x14ac:dyDescent="0.2">
      <c r="A2586" s="11" t="str">
        <f t="shared" si="1038"/>
        <v>VN000D1JV0N1</v>
      </c>
      <c r="B2586" s="12" t="s">
        <v>9550</v>
      </c>
      <c r="C2586" s="12" t="s">
        <v>251</v>
      </c>
      <c r="D2586" s="12" t="s">
        <v>7171</v>
      </c>
      <c r="E2586" s="12" t="s">
        <v>9551</v>
      </c>
      <c r="F2586" s="13">
        <v>90</v>
      </c>
      <c r="G2586" s="14"/>
      <c r="H2586" s="12" t="s">
        <v>38</v>
      </c>
      <c r="I2586" s="12" t="s">
        <v>159</v>
      </c>
      <c r="J2586" s="12" t="s">
        <v>255</v>
      </c>
      <c r="K2586" s="12" t="s">
        <v>82</v>
      </c>
      <c r="L2586" s="12" t="s">
        <v>260</v>
      </c>
      <c r="M2586" s="12" t="s">
        <v>43</v>
      </c>
      <c r="N2586" s="12" t="s">
        <v>84</v>
      </c>
      <c r="O2586" s="12" t="s">
        <v>9552</v>
      </c>
      <c r="P2586" s="12" t="s">
        <v>46</v>
      </c>
      <c r="Q2586" s="12" t="s">
        <v>47</v>
      </c>
      <c r="R2586" s="12" t="s">
        <v>163</v>
      </c>
      <c r="S2586" s="13">
        <v>197804836994</v>
      </c>
      <c r="T2586" s="12" t="s">
        <v>49</v>
      </c>
      <c r="U2586" s="13">
        <v>42</v>
      </c>
      <c r="V2586" s="12" t="s">
        <v>50</v>
      </c>
      <c r="W2586" s="12" t="s">
        <v>118</v>
      </c>
      <c r="X2586" s="14"/>
      <c r="Y2586" s="14"/>
      <c r="Z2586" s="14"/>
      <c r="AA2586" s="14"/>
      <c r="AB2586" s="14"/>
      <c r="AC2586" s="15">
        <v>50</v>
      </c>
      <c r="AD2586" s="15">
        <f>AC2586*AG2586</f>
        <v>100</v>
      </c>
      <c r="AE2586" s="15">
        <v>110</v>
      </c>
      <c r="AF2586" s="15">
        <f>AE2586*AG2586</f>
        <v>220</v>
      </c>
      <c r="AG2586" s="16">
        <v>2</v>
      </c>
    </row>
    <row r="2587" spans="1:33" ht="15" customHeight="1" x14ac:dyDescent="0.2">
      <c r="A2587" s="11" t="str">
        <f t="shared" si="530"/>
        <v>VN000D1JY231</v>
      </c>
      <c r="B2587" s="12" t="s">
        <v>9553</v>
      </c>
      <c r="C2587" s="12" t="s">
        <v>251</v>
      </c>
      <c r="D2587" s="12" t="s">
        <v>1312</v>
      </c>
      <c r="E2587" s="12" t="s">
        <v>9554</v>
      </c>
      <c r="F2587" s="13">
        <v>35</v>
      </c>
      <c r="G2587" s="14"/>
      <c r="H2587" s="12" t="s">
        <v>38</v>
      </c>
      <c r="I2587" s="12" t="s">
        <v>159</v>
      </c>
      <c r="J2587" s="12" t="s">
        <v>255</v>
      </c>
      <c r="K2587" s="12" t="s">
        <v>82</v>
      </c>
      <c r="L2587" s="12" t="s">
        <v>260</v>
      </c>
      <c r="M2587" s="12" t="s">
        <v>43</v>
      </c>
      <c r="N2587" s="12" t="s">
        <v>84</v>
      </c>
      <c r="O2587" s="12" t="s">
        <v>9555</v>
      </c>
      <c r="P2587" s="12" t="s">
        <v>46</v>
      </c>
      <c r="Q2587" s="12" t="s">
        <v>47</v>
      </c>
      <c r="R2587" s="12" t="s">
        <v>163</v>
      </c>
      <c r="S2587" s="13">
        <v>197804612017</v>
      </c>
      <c r="T2587" s="12" t="s">
        <v>49</v>
      </c>
      <c r="U2587" s="13">
        <v>34.5</v>
      </c>
      <c r="V2587" s="12" t="s">
        <v>50</v>
      </c>
      <c r="W2587" s="12" t="s">
        <v>51</v>
      </c>
      <c r="X2587" s="14"/>
      <c r="Y2587" s="14"/>
      <c r="Z2587" s="14"/>
      <c r="AA2587" s="14"/>
      <c r="AB2587" s="14"/>
      <c r="AC2587" s="15">
        <v>47.75</v>
      </c>
      <c r="AD2587" s="15">
        <f>AC2587*AG2587</f>
        <v>95.5</v>
      </c>
      <c r="AE2587" s="15">
        <v>105</v>
      </c>
      <c r="AF2587" s="15">
        <f>AE2587*AG2587</f>
        <v>210</v>
      </c>
      <c r="AG2587" s="16">
        <v>2</v>
      </c>
    </row>
    <row r="2588" spans="1:33" ht="15" customHeight="1" x14ac:dyDescent="0.2">
      <c r="A2588" s="11" t="str">
        <f>HYPERLINK("https://assets.vans.eu/images/VN000D1P89F-HERO/1","VN000D1P89F1")</f>
        <v>VN000D1P89F1</v>
      </c>
      <c r="B2588" s="12" t="s">
        <v>9556</v>
      </c>
      <c r="C2588" s="12" t="s">
        <v>1458</v>
      </c>
      <c r="D2588" s="12" t="s">
        <v>9557</v>
      </c>
      <c r="E2588" s="12" t="s">
        <v>9558</v>
      </c>
      <c r="F2588" s="13">
        <v>105</v>
      </c>
      <c r="G2588" s="12" t="s">
        <v>1460</v>
      </c>
      <c r="H2588" s="12" t="s">
        <v>38</v>
      </c>
      <c r="I2588" s="12" t="s">
        <v>113</v>
      </c>
      <c r="J2588" s="12" t="s">
        <v>529</v>
      </c>
      <c r="K2588" s="12" t="s">
        <v>82</v>
      </c>
      <c r="L2588" s="14"/>
      <c r="M2588" s="12" t="s">
        <v>43</v>
      </c>
      <c r="N2588" s="12" t="s">
        <v>84</v>
      </c>
      <c r="O2588" s="12" t="s">
        <v>9559</v>
      </c>
      <c r="P2588" s="12" t="s">
        <v>46</v>
      </c>
      <c r="Q2588" s="12" t="s">
        <v>47</v>
      </c>
      <c r="R2588" s="12" t="s">
        <v>117</v>
      </c>
      <c r="S2588" s="13">
        <v>197804525409</v>
      </c>
      <c r="T2588" s="12" t="s">
        <v>164</v>
      </c>
      <c r="U2588" s="13">
        <v>44</v>
      </c>
      <c r="V2588" s="12" t="s">
        <v>50</v>
      </c>
      <c r="W2588" s="12" t="s">
        <v>580</v>
      </c>
      <c r="X2588" s="14"/>
      <c r="Y2588" s="14"/>
      <c r="Z2588" s="14"/>
      <c r="AA2588" s="14"/>
      <c r="AB2588" s="14"/>
      <c r="AC2588" s="15">
        <v>43.2</v>
      </c>
      <c r="AD2588" s="15">
        <f>AC2588*AG2588</f>
        <v>86.4</v>
      </c>
      <c r="AE2588" s="15">
        <v>95</v>
      </c>
      <c r="AF2588" s="15">
        <f>AE2588*AG2588</f>
        <v>190</v>
      </c>
      <c r="AG2588" s="16">
        <v>2</v>
      </c>
    </row>
    <row r="2589" spans="1:33" ht="15" customHeight="1" x14ac:dyDescent="0.2">
      <c r="A2589" s="11" t="str">
        <f t="shared" ref="A2589:A2590" si="1039">HYPERLINK("https://assets.vans.eu/images/VN000D1PDJR-HERO/1","VN000D1PDJR1")</f>
        <v>VN000D1PDJR1</v>
      </c>
      <c r="B2589" s="12" t="s">
        <v>9560</v>
      </c>
      <c r="C2589" s="12" t="s">
        <v>1458</v>
      </c>
      <c r="D2589" s="12" t="s">
        <v>2829</v>
      </c>
      <c r="E2589" s="12" t="s">
        <v>9561</v>
      </c>
      <c r="F2589" s="13">
        <v>110</v>
      </c>
      <c r="G2589" s="14"/>
      <c r="H2589" s="12" t="s">
        <v>38</v>
      </c>
      <c r="I2589" s="12" t="s">
        <v>113</v>
      </c>
      <c r="J2589" s="12" t="s">
        <v>529</v>
      </c>
      <c r="K2589" s="12" t="s">
        <v>82</v>
      </c>
      <c r="L2589" s="14"/>
      <c r="M2589" s="12" t="s">
        <v>43</v>
      </c>
      <c r="N2589" s="12" t="s">
        <v>44</v>
      </c>
      <c r="O2589" s="12" t="s">
        <v>9562</v>
      </c>
      <c r="P2589" s="12" t="s">
        <v>46</v>
      </c>
      <c r="Q2589" s="12" t="s">
        <v>47</v>
      </c>
      <c r="R2589" s="12" t="s">
        <v>117</v>
      </c>
      <c r="S2589" s="13">
        <v>197643268673</v>
      </c>
      <c r="T2589" s="12" t="s">
        <v>105</v>
      </c>
      <c r="U2589" s="13">
        <v>44.5</v>
      </c>
      <c r="V2589" s="12" t="s">
        <v>50</v>
      </c>
      <c r="W2589" s="12" t="s">
        <v>175</v>
      </c>
      <c r="X2589" s="14"/>
      <c r="Y2589" s="12" t="s">
        <v>53</v>
      </c>
      <c r="Z2589" s="12" t="s">
        <v>1462</v>
      </c>
      <c r="AA2589" s="14"/>
      <c r="AB2589" s="14"/>
      <c r="AC2589" s="15">
        <v>43.2</v>
      </c>
      <c r="AD2589" s="15">
        <f>AC2589*AG2589</f>
        <v>86.4</v>
      </c>
      <c r="AE2589" s="15">
        <v>95</v>
      </c>
      <c r="AF2589" s="15">
        <f>AE2589*AG2589</f>
        <v>190</v>
      </c>
      <c r="AG2589" s="16">
        <v>2</v>
      </c>
    </row>
    <row r="2590" spans="1:33" ht="15" customHeight="1" x14ac:dyDescent="0.2">
      <c r="A2590" s="11" t="str">
        <f t="shared" si="1039"/>
        <v>VN000D1PDJR1</v>
      </c>
      <c r="B2590" s="12" t="s">
        <v>9563</v>
      </c>
      <c r="C2590" s="12" t="s">
        <v>1458</v>
      </c>
      <c r="D2590" s="12" t="s">
        <v>2829</v>
      </c>
      <c r="E2590" s="12" t="s">
        <v>9564</v>
      </c>
      <c r="F2590" s="13">
        <v>115</v>
      </c>
      <c r="G2590" s="14"/>
      <c r="H2590" s="12" t="s">
        <v>38</v>
      </c>
      <c r="I2590" s="12" t="s">
        <v>113</v>
      </c>
      <c r="J2590" s="12" t="s">
        <v>529</v>
      </c>
      <c r="K2590" s="12" t="s">
        <v>82</v>
      </c>
      <c r="L2590" s="14"/>
      <c r="M2590" s="12" t="s">
        <v>43</v>
      </c>
      <c r="N2590" s="12" t="s">
        <v>44</v>
      </c>
      <c r="O2590" s="12" t="s">
        <v>9565</v>
      </c>
      <c r="P2590" s="12" t="s">
        <v>46</v>
      </c>
      <c r="Q2590" s="12" t="s">
        <v>47</v>
      </c>
      <c r="R2590" s="12" t="s">
        <v>117</v>
      </c>
      <c r="S2590" s="13">
        <v>197643268833</v>
      </c>
      <c r="T2590" s="12" t="s">
        <v>105</v>
      </c>
      <c r="U2590" s="13">
        <v>45</v>
      </c>
      <c r="V2590" s="12" t="s">
        <v>50</v>
      </c>
      <c r="W2590" s="12" t="s">
        <v>175</v>
      </c>
      <c r="X2590" s="14"/>
      <c r="Y2590" s="12" t="s">
        <v>53</v>
      </c>
      <c r="Z2590" s="12" t="s">
        <v>1462</v>
      </c>
      <c r="AA2590" s="14"/>
      <c r="AB2590" s="14"/>
      <c r="AC2590" s="15">
        <v>43.2</v>
      </c>
      <c r="AD2590" s="15">
        <f>AC2590*AG2590</f>
        <v>86.4</v>
      </c>
      <c r="AE2590" s="15">
        <v>95</v>
      </c>
      <c r="AF2590" s="15">
        <f>AE2590*AG2590</f>
        <v>190</v>
      </c>
      <c r="AG2590" s="16">
        <v>2</v>
      </c>
    </row>
    <row r="2591" spans="1:33" ht="15" customHeight="1" x14ac:dyDescent="0.2">
      <c r="A2591" s="11" t="str">
        <f t="shared" ref="A2591:A4145" si="1040">HYPERLINK("https://assets.vans.eu/images/VN000D221NU-HERO/1","VN000D221NU1")</f>
        <v>VN000D221NU1</v>
      </c>
      <c r="B2591" s="12" t="s">
        <v>9566</v>
      </c>
      <c r="C2591" s="12" t="s">
        <v>110</v>
      </c>
      <c r="D2591" s="12" t="s">
        <v>783</v>
      </c>
      <c r="E2591" s="12" t="s">
        <v>9567</v>
      </c>
      <c r="F2591" s="13">
        <v>65</v>
      </c>
      <c r="G2591" s="14"/>
      <c r="H2591" s="12" t="s">
        <v>38</v>
      </c>
      <c r="I2591" s="12" t="s">
        <v>159</v>
      </c>
      <c r="J2591" s="12" t="s">
        <v>160</v>
      </c>
      <c r="K2591" s="12" t="s">
        <v>82</v>
      </c>
      <c r="L2591" s="14"/>
      <c r="M2591" s="12" t="s">
        <v>43</v>
      </c>
      <c r="N2591" s="12" t="s">
        <v>84</v>
      </c>
      <c r="O2591" s="12" t="s">
        <v>9568</v>
      </c>
      <c r="P2591" s="12" t="s">
        <v>46</v>
      </c>
      <c r="Q2591" s="12" t="s">
        <v>47</v>
      </c>
      <c r="R2591" s="12" t="s">
        <v>163</v>
      </c>
      <c r="S2591" s="13">
        <v>197804441266</v>
      </c>
      <c r="T2591" s="12" t="s">
        <v>105</v>
      </c>
      <c r="U2591" s="13">
        <v>38.5</v>
      </c>
      <c r="V2591" s="12" t="s">
        <v>50</v>
      </c>
      <c r="W2591" s="12" t="s">
        <v>186</v>
      </c>
      <c r="X2591" s="14"/>
      <c r="Y2591" s="14"/>
      <c r="Z2591" s="14"/>
      <c r="AA2591" s="14"/>
      <c r="AB2591" s="14"/>
      <c r="AC2591" s="15">
        <v>43.2</v>
      </c>
      <c r="AD2591" s="15">
        <f>AC2591*AG2591</f>
        <v>86.4</v>
      </c>
      <c r="AE2591" s="15">
        <v>95</v>
      </c>
      <c r="AF2591" s="15">
        <f>AE2591*AG2591</f>
        <v>190</v>
      </c>
      <c r="AG2591" s="16">
        <v>2</v>
      </c>
    </row>
    <row r="2592" spans="1:33" ht="15" customHeight="1" x14ac:dyDescent="0.2">
      <c r="A2592" s="11" t="str">
        <f t="shared" ref="A2592:A4146" si="1041">HYPERLINK("https://assets.vans.eu/images/VN000D22B9P-HERO/1","VN000D22B9P1")</f>
        <v>VN000D22B9P1</v>
      </c>
      <c r="B2592" s="12" t="s">
        <v>9569</v>
      </c>
      <c r="C2592" s="12" t="s">
        <v>110</v>
      </c>
      <c r="D2592" s="12" t="s">
        <v>267</v>
      </c>
      <c r="E2592" s="12" t="s">
        <v>9570</v>
      </c>
      <c r="F2592" s="13">
        <v>70</v>
      </c>
      <c r="G2592" s="12" t="s">
        <v>9571</v>
      </c>
      <c r="H2592" s="12" t="s">
        <v>38</v>
      </c>
      <c r="I2592" s="12" t="s">
        <v>159</v>
      </c>
      <c r="J2592" s="12" t="s">
        <v>160</v>
      </c>
      <c r="K2592" s="12" t="s">
        <v>82</v>
      </c>
      <c r="L2592" s="14"/>
      <c r="M2592" s="12" t="s">
        <v>43</v>
      </c>
      <c r="N2592" s="12" t="s">
        <v>84</v>
      </c>
      <c r="O2592" s="12" t="s">
        <v>9572</v>
      </c>
      <c r="P2592" s="12" t="s">
        <v>46</v>
      </c>
      <c r="Q2592" s="12" t="s">
        <v>47</v>
      </c>
      <c r="R2592" s="12" t="s">
        <v>163</v>
      </c>
      <c r="S2592" s="13">
        <v>197804441365</v>
      </c>
      <c r="T2592" s="12" t="s">
        <v>49</v>
      </c>
      <c r="U2592" s="13">
        <v>39</v>
      </c>
      <c r="V2592" s="12" t="s">
        <v>50</v>
      </c>
      <c r="W2592" s="12" t="s">
        <v>51</v>
      </c>
      <c r="X2592" s="14"/>
      <c r="Y2592" s="14"/>
      <c r="Z2592" s="14"/>
      <c r="AA2592" s="14"/>
      <c r="AB2592" s="14"/>
      <c r="AC2592" s="15">
        <v>43.2</v>
      </c>
      <c r="AD2592" s="15">
        <f>AC2592*AG2592</f>
        <v>86.4</v>
      </c>
      <c r="AE2592" s="15">
        <v>95</v>
      </c>
      <c r="AF2592" s="15">
        <f>AE2592*AG2592</f>
        <v>190</v>
      </c>
      <c r="AG2592" s="16">
        <v>2</v>
      </c>
    </row>
    <row r="2593" spans="1:33" ht="15" customHeight="1" x14ac:dyDescent="0.2">
      <c r="A2593" s="11" t="str">
        <f t="shared" ref="A2593:A2594" si="1042">HYPERLINK("https://assets.vans.eu/images/VN000D22BGG-HERO/1","VN000D22BGG1")</f>
        <v>VN000D22BGG1</v>
      </c>
      <c r="B2593" s="12" t="s">
        <v>9573</v>
      </c>
      <c r="C2593" s="12" t="s">
        <v>110</v>
      </c>
      <c r="D2593" s="12" t="s">
        <v>9574</v>
      </c>
      <c r="E2593" s="12" t="s">
        <v>9575</v>
      </c>
      <c r="F2593" s="13">
        <v>60</v>
      </c>
      <c r="G2593" s="14"/>
      <c r="H2593" s="12" t="s">
        <v>38</v>
      </c>
      <c r="I2593" s="12" t="s">
        <v>159</v>
      </c>
      <c r="J2593" s="12" t="s">
        <v>160</v>
      </c>
      <c r="K2593" s="12" t="s">
        <v>82</v>
      </c>
      <c r="L2593" s="14"/>
      <c r="M2593" s="12" t="s">
        <v>43</v>
      </c>
      <c r="N2593" s="12" t="s">
        <v>84</v>
      </c>
      <c r="O2593" s="12" t="s">
        <v>9576</v>
      </c>
      <c r="P2593" s="12" t="s">
        <v>46</v>
      </c>
      <c r="Q2593" s="12" t="s">
        <v>47</v>
      </c>
      <c r="R2593" s="12" t="s">
        <v>163</v>
      </c>
      <c r="S2593" s="13">
        <v>197804441112</v>
      </c>
      <c r="T2593" s="12" t="s">
        <v>49</v>
      </c>
      <c r="U2593" s="13">
        <v>38</v>
      </c>
      <c r="V2593" s="12" t="s">
        <v>50</v>
      </c>
      <c r="W2593" s="12" t="s">
        <v>455</v>
      </c>
      <c r="X2593" s="14"/>
      <c r="Y2593" s="14"/>
      <c r="Z2593" s="14"/>
      <c r="AA2593" s="14"/>
      <c r="AB2593" s="14"/>
      <c r="AC2593" s="15">
        <v>45.5</v>
      </c>
      <c r="AD2593" s="15">
        <f>AC2593*AG2593</f>
        <v>91</v>
      </c>
      <c r="AE2593" s="15">
        <v>100</v>
      </c>
      <c r="AF2593" s="15">
        <f>AE2593*AG2593</f>
        <v>200</v>
      </c>
      <c r="AG2593" s="16">
        <v>2</v>
      </c>
    </row>
    <row r="2594" spans="1:33" ht="15" customHeight="1" x14ac:dyDescent="0.2">
      <c r="A2594" s="11" t="str">
        <f t="shared" si="1042"/>
        <v>VN000D22BGG1</v>
      </c>
      <c r="B2594" s="12" t="s">
        <v>9577</v>
      </c>
      <c r="C2594" s="12" t="s">
        <v>110</v>
      </c>
      <c r="D2594" s="12" t="s">
        <v>9574</v>
      </c>
      <c r="E2594" s="12" t="s">
        <v>9578</v>
      </c>
      <c r="F2594" s="13">
        <v>90</v>
      </c>
      <c r="G2594" s="14"/>
      <c r="H2594" s="12" t="s">
        <v>38</v>
      </c>
      <c r="I2594" s="12" t="s">
        <v>159</v>
      </c>
      <c r="J2594" s="12" t="s">
        <v>160</v>
      </c>
      <c r="K2594" s="12" t="s">
        <v>82</v>
      </c>
      <c r="L2594" s="14"/>
      <c r="M2594" s="12" t="s">
        <v>43</v>
      </c>
      <c r="N2594" s="12" t="s">
        <v>84</v>
      </c>
      <c r="O2594" s="12" t="s">
        <v>9579</v>
      </c>
      <c r="P2594" s="12" t="s">
        <v>46</v>
      </c>
      <c r="Q2594" s="12" t="s">
        <v>47</v>
      </c>
      <c r="R2594" s="12" t="s">
        <v>163</v>
      </c>
      <c r="S2594" s="13">
        <v>197804441679</v>
      </c>
      <c r="T2594" s="12" t="s">
        <v>49</v>
      </c>
      <c r="U2594" s="13">
        <v>42</v>
      </c>
      <c r="V2594" s="12" t="s">
        <v>50</v>
      </c>
      <c r="W2594" s="12" t="s">
        <v>455</v>
      </c>
      <c r="X2594" s="14"/>
      <c r="Y2594" s="14"/>
      <c r="Z2594" s="14"/>
      <c r="AA2594" s="14"/>
      <c r="AB2594" s="14"/>
      <c r="AC2594" s="15">
        <v>45.5</v>
      </c>
      <c r="AD2594" s="15">
        <f>AC2594*AG2594</f>
        <v>91</v>
      </c>
      <c r="AE2594" s="15">
        <v>100</v>
      </c>
      <c r="AF2594" s="15">
        <f>AE2594*AG2594</f>
        <v>200</v>
      </c>
      <c r="AG2594" s="16">
        <v>2</v>
      </c>
    </row>
    <row r="2595" spans="1:33" ht="15" customHeight="1" x14ac:dyDescent="0.2">
      <c r="A2595" s="11" t="str">
        <f t="shared" ref="A2595:A4162" si="1043">HYPERLINK("https://assets.vans.eu/images/VN000D22EMU-HERO/1","VN000D22EMU1")</f>
        <v>VN000D22EMU1</v>
      </c>
      <c r="B2595" s="12" t="s">
        <v>9580</v>
      </c>
      <c r="C2595" s="12" t="s">
        <v>110</v>
      </c>
      <c r="D2595" s="12" t="s">
        <v>1319</v>
      </c>
      <c r="E2595" s="12" t="s">
        <v>9581</v>
      </c>
      <c r="F2595" s="13">
        <v>40</v>
      </c>
      <c r="G2595" s="14"/>
      <c r="H2595" s="12" t="s">
        <v>38</v>
      </c>
      <c r="I2595" s="12" t="s">
        <v>159</v>
      </c>
      <c r="J2595" s="12" t="s">
        <v>160</v>
      </c>
      <c r="K2595" s="12" t="s">
        <v>82</v>
      </c>
      <c r="L2595" s="14"/>
      <c r="M2595" s="12" t="s">
        <v>43</v>
      </c>
      <c r="N2595" s="12" t="s">
        <v>84</v>
      </c>
      <c r="O2595" s="12" t="s">
        <v>9582</v>
      </c>
      <c r="P2595" s="12" t="s">
        <v>46</v>
      </c>
      <c r="Q2595" s="12" t="s">
        <v>47</v>
      </c>
      <c r="R2595" s="12" t="s">
        <v>163</v>
      </c>
      <c r="S2595" s="13">
        <v>197804441754</v>
      </c>
      <c r="T2595" s="12" t="s">
        <v>49</v>
      </c>
      <c r="U2595" s="13">
        <v>35</v>
      </c>
      <c r="V2595" s="12" t="s">
        <v>50</v>
      </c>
      <c r="W2595" s="12" t="s">
        <v>118</v>
      </c>
      <c r="X2595" s="14"/>
      <c r="Y2595" s="14"/>
      <c r="Z2595" s="14"/>
      <c r="AA2595" s="14"/>
      <c r="AB2595" s="14"/>
      <c r="AC2595" s="15">
        <v>45.5</v>
      </c>
      <c r="AD2595" s="15">
        <f>AC2595*AG2595</f>
        <v>91</v>
      </c>
      <c r="AE2595" s="15">
        <v>100</v>
      </c>
      <c r="AF2595" s="15">
        <f>AE2595*AG2595</f>
        <v>200</v>
      </c>
      <c r="AG2595" s="16">
        <v>2</v>
      </c>
    </row>
    <row r="2596" spans="1:33" ht="15" customHeight="1" x14ac:dyDescent="0.2">
      <c r="A2596" s="11" t="str">
        <f>HYPERLINK("https://assets.vans.eu/images/VN000D22WTM-HERO/1","VN000D22WTM1")</f>
        <v>VN000D22WTM1</v>
      </c>
      <c r="B2596" s="12" t="s">
        <v>9583</v>
      </c>
      <c r="C2596" s="12" t="s">
        <v>110</v>
      </c>
      <c r="D2596" s="12" t="s">
        <v>7196</v>
      </c>
      <c r="E2596" s="12" t="s">
        <v>9584</v>
      </c>
      <c r="F2596" s="13">
        <v>120</v>
      </c>
      <c r="G2596" s="12" t="s">
        <v>7193</v>
      </c>
      <c r="H2596" s="12" t="s">
        <v>38</v>
      </c>
      <c r="I2596" s="12" t="s">
        <v>159</v>
      </c>
      <c r="J2596" s="12" t="s">
        <v>160</v>
      </c>
      <c r="K2596" s="12" t="s">
        <v>82</v>
      </c>
      <c r="L2596" s="14"/>
      <c r="M2596" s="12" t="s">
        <v>43</v>
      </c>
      <c r="N2596" s="12" t="s">
        <v>44</v>
      </c>
      <c r="O2596" s="12" t="s">
        <v>9585</v>
      </c>
      <c r="P2596" s="12" t="s">
        <v>46</v>
      </c>
      <c r="Q2596" s="12" t="s">
        <v>47</v>
      </c>
      <c r="R2596" s="12" t="s">
        <v>163</v>
      </c>
      <c r="S2596" s="13">
        <v>197643182009</v>
      </c>
      <c r="T2596" s="12" t="s">
        <v>105</v>
      </c>
      <c r="U2596" s="13">
        <v>46</v>
      </c>
      <c r="V2596" s="12" t="s">
        <v>50</v>
      </c>
      <c r="W2596" s="12" t="s">
        <v>175</v>
      </c>
      <c r="X2596" s="14"/>
      <c r="Y2596" s="12" t="s">
        <v>53</v>
      </c>
      <c r="Z2596" s="12" t="s">
        <v>2600</v>
      </c>
      <c r="AA2596" s="14"/>
      <c r="AB2596" s="14"/>
      <c r="AC2596" s="15">
        <v>47.75</v>
      </c>
      <c r="AD2596" s="15">
        <f>AC2596*AG2596</f>
        <v>95.5</v>
      </c>
      <c r="AE2596" s="15">
        <v>105</v>
      </c>
      <c r="AF2596" s="15">
        <f>AE2596*AG2596</f>
        <v>210</v>
      </c>
      <c r="AG2596" s="16">
        <v>2</v>
      </c>
    </row>
    <row r="2597" spans="1:33" ht="15" customHeight="1" x14ac:dyDescent="0.2">
      <c r="A2597" s="11" t="str">
        <f t="shared" ref="A2597:A2598" si="1044">HYPERLINK("https://assets.vans.eu/images/VN000D26CJG-HERO/1","VN000D26CJG1")</f>
        <v>VN000D26CJG1</v>
      </c>
      <c r="B2597" s="12" t="s">
        <v>9586</v>
      </c>
      <c r="C2597" s="12" t="s">
        <v>251</v>
      </c>
      <c r="D2597" s="12" t="s">
        <v>9587</v>
      </c>
      <c r="E2597" s="12" t="s">
        <v>9588</v>
      </c>
      <c r="F2597" s="13">
        <v>95</v>
      </c>
      <c r="G2597" s="12" t="s">
        <v>2814</v>
      </c>
      <c r="H2597" s="12" t="s">
        <v>38</v>
      </c>
      <c r="I2597" s="12" t="s">
        <v>159</v>
      </c>
      <c r="J2597" s="12" t="s">
        <v>255</v>
      </c>
      <c r="K2597" s="12" t="s">
        <v>82</v>
      </c>
      <c r="L2597" s="14"/>
      <c r="M2597" s="12" t="s">
        <v>43</v>
      </c>
      <c r="N2597" s="12" t="s">
        <v>84</v>
      </c>
      <c r="O2597" s="12" t="s">
        <v>9589</v>
      </c>
      <c r="P2597" s="12" t="s">
        <v>46</v>
      </c>
      <c r="Q2597" s="12" t="s">
        <v>47</v>
      </c>
      <c r="R2597" s="12" t="s">
        <v>163</v>
      </c>
      <c r="S2597" s="13">
        <v>197804444403</v>
      </c>
      <c r="T2597" s="12" t="s">
        <v>49</v>
      </c>
      <c r="U2597" s="13">
        <v>42.5</v>
      </c>
      <c r="V2597" s="12" t="s">
        <v>50</v>
      </c>
      <c r="W2597" s="12" t="s">
        <v>262</v>
      </c>
      <c r="X2597" s="14"/>
      <c r="Y2597" s="14"/>
      <c r="Z2597" s="14"/>
      <c r="AA2597" s="14"/>
      <c r="AB2597" s="14"/>
      <c r="AC2597" s="15">
        <v>45.5</v>
      </c>
      <c r="AD2597" s="15">
        <f>AC2597*AG2597</f>
        <v>91</v>
      </c>
      <c r="AE2597" s="15">
        <v>100</v>
      </c>
      <c r="AF2597" s="15">
        <f>AE2597*AG2597</f>
        <v>200</v>
      </c>
      <c r="AG2597" s="16">
        <v>2</v>
      </c>
    </row>
    <row r="2598" spans="1:33" ht="15" customHeight="1" x14ac:dyDescent="0.2">
      <c r="A2598" s="11" t="str">
        <f t="shared" si="1044"/>
        <v>VN000D26CJG1</v>
      </c>
      <c r="B2598" s="12" t="s">
        <v>9590</v>
      </c>
      <c r="C2598" s="12" t="s">
        <v>251</v>
      </c>
      <c r="D2598" s="12" t="s">
        <v>9587</v>
      </c>
      <c r="E2598" s="12" t="s">
        <v>9591</v>
      </c>
      <c r="F2598" s="13">
        <v>100</v>
      </c>
      <c r="G2598" s="12" t="s">
        <v>2814</v>
      </c>
      <c r="H2598" s="12" t="s">
        <v>38</v>
      </c>
      <c r="I2598" s="12" t="s">
        <v>159</v>
      </c>
      <c r="J2598" s="12" t="s">
        <v>255</v>
      </c>
      <c r="K2598" s="12" t="s">
        <v>82</v>
      </c>
      <c r="L2598" s="14"/>
      <c r="M2598" s="12" t="s">
        <v>43</v>
      </c>
      <c r="N2598" s="12" t="s">
        <v>84</v>
      </c>
      <c r="O2598" s="12" t="s">
        <v>9592</v>
      </c>
      <c r="P2598" s="12" t="s">
        <v>46</v>
      </c>
      <c r="Q2598" s="12" t="s">
        <v>47</v>
      </c>
      <c r="R2598" s="12" t="s">
        <v>163</v>
      </c>
      <c r="S2598" s="13">
        <v>197804444465</v>
      </c>
      <c r="T2598" s="12" t="s">
        <v>49</v>
      </c>
      <c r="U2598" s="13">
        <v>43</v>
      </c>
      <c r="V2598" s="12" t="s">
        <v>50</v>
      </c>
      <c r="W2598" s="12" t="s">
        <v>262</v>
      </c>
      <c r="X2598" s="14"/>
      <c r="Y2598" s="14"/>
      <c r="Z2598" s="14"/>
      <c r="AA2598" s="14"/>
      <c r="AB2598" s="14"/>
      <c r="AC2598" s="15">
        <v>45.5</v>
      </c>
      <c r="AD2598" s="15">
        <f>AC2598*AG2598</f>
        <v>91</v>
      </c>
      <c r="AE2598" s="15">
        <v>100</v>
      </c>
      <c r="AF2598" s="15">
        <f>AE2598*AG2598</f>
        <v>200</v>
      </c>
      <c r="AG2598" s="16">
        <v>2</v>
      </c>
    </row>
    <row r="2599" spans="1:33" ht="15" customHeight="1" x14ac:dyDescent="0.2">
      <c r="A2599" s="11" t="str">
        <f t="shared" si="617"/>
        <v>VN000D26DFN1</v>
      </c>
      <c r="B2599" s="12" t="s">
        <v>9593</v>
      </c>
      <c r="C2599" s="12" t="s">
        <v>251</v>
      </c>
      <c r="D2599" s="12" t="s">
        <v>5823</v>
      </c>
      <c r="E2599" s="12" t="s">
        <v>9594</v>
      </c>
      <c r="F2599" s="13">
        <v>50</v>
      </c>
      <c r="G2599" s="12" t="s">
        <v>2814</v>
      </c>
      <c r="H2599" s="12" t="s">
        <v>38</v>
      </c>
      <c r="I2599" s="12" t="s">
        <v>159</v>
      </c>
      <c r="J2599" s="12" t="s">
        <v>255</v>
      </c>
      <c r="K2599" s="12" t="s">
        <v>82</v>
      </c>
      <c r="L2599" s="14"/>
      <c r="M2599" s="12" t="s">
        <v>43</v>
      </c>
      <c r="N2599" s="12" t="s">
        <v>84</v>
      </c>
      <c r="O2599" s="12" t="s">
        <v>9595</v>
      </c>
      <c r="P2599" s="12" t="s">
        <v>46</v>
      </c>
      <c r="Q2599" s="12" t="s">
        <v>47</v>
      </c>
      <c r="R2599" s="12" t="s">
        <v>163</v>
      </c>
      <c r="S2599" s="13">
        <v>197804443482</v>
      </c>
      <c r="T2599" s="12" t="s">
        <v>49</v>
      </c>
      <c r="U2599" s="13">
        <v>36.5</v>
      </c>
      <c r="V2599" s="12" t="s">
        <v>50</v>
      </c>
      <c r="W2599" s="12" t="s">
        <v>186</v>
      </c>
      <c r="X2599" s="14"/>
      <c r="Y2599" s="14"/>
      <c r="Z2599" s="14"/>
      <c r="AA2599" s="14"/>
      <c r="AB2599" s="14"/>
      <c r="AC2599" s="15">
        <v>45.5</v>
      </c>
      <c r="AD2599" s="15">
        <f>AC2599*AG2599</f>
        <v>91</v>
      </c>
      <c r="AE2599" s="15">
        <v>100</v>
      </c>
      <c r="AF2599" s="15">
        <f>AE2599*AG2599</f>
        <v>200</v>
      </c>
      <c r="AG2599" s="16">
        <v>2</v>
      </c>
    </row>
    <row r="2600" spans="1:33" ht="15" customHeight="1" x14ac:dyDescent="0.2">
      <c r="A2600" s="11" t="str">
        <f t="shared" ref="A2600:A2601" si="1045">HYPERLINK("https://assets.vans.eu/images/VN000D26GWT-HERO/1","VN000D26GWT1")</f>
        <v>VN000D26GWT1</v>
      </c>
      <c r="B2600" s="12" t="s">
        <v>9596</v>
      </c>
      <c r="C2600" s="12" t="s">
        <v>251</v>
      </c>
      <c r="D2600" s="12" t="s">
        <v>2812</v>
      </c>
      <c r="E2600" s="12" t="s">
        <v>9597</v>
      </c>
      <c r="F2600" s="13">
        <v>75</v>
      </c>
      <c r="G2600" s="12" t="s">
        <v>2291</v>
      </c>
      <c r="H2600" s="12" t="s">
        <v>38</v>
      </c>
      <c r="I2600" s="12" t="s">
        <v>159</v>
      </c>
      <c r="J2600" s="12" t="s">
        <v>255</v>
      </c>
      <c r="K2600" s="12" t="s">
        <v>82</v>
      </c>
      <c r="L2600" s="14"/>
      <c r="M2600" s="12" t="s">
        <v>43</v>
      </c>
      <c r="N2600" s="12" t="s">
        <v>84</v>
      </c>
      <c r="O2600" s="12" t="s">
        <v>9598</v>
      </c>
      <c r="P2600" s="12" t="s">
        <v>46</v>
      </c>
      <c r="Q2600" s="12" t="s">
        <v>47</v>
      </c>
      <c r="R2600" s="12" t="s">
        <v>163</v>
      </c>
      <c r="S2600" s="13">
        <v>197804445233</v>
      </c>
      <c r="T2600" s="12" t="s">
        <v>49</v>
      </c>
      <c r="U2600" s="13">
        <v>40</v>
      </c>
      <c r="V2600" s="12" t="s">
        <v>50</v>
      </c>
      <c r="W2600" s="12" t="s">
        <v>186</v>
      </c>
      <c r="X2600" s="14"/>
      <c r="Y2600" s="14"/>
      <c r="Z2600" s="14"/>
      <c r="AA2600" s="14"/>
      <c r="AB2600" s="14"/>
      <c r="AC2600" s="15">
        <v>45.5</v>
      </c>
      <c r="AD2600" s="15">
        <f>AC2600*AG2600</f>
        <v>91</v>
      </c>
      <c r="AE2600" s="15">
        <v>100</v>
      </c>
      <c r="AF2600" s="15">
        <f>AE2600*AG2600</f>
        <v>200</v>
      </c>
      <c r="AG2600" s="16">
        <v>2</v>
      </c>
    </row>
    <row r="2601" spans="1:33" ht="15" customHeight="1" x14ac:dyDescent="0.2">
      <c r="A2601" s="11" t="str">
        <f t="shared" si="1045"/>
        <v>VN000D26GWT1</v>
      </c>
      <c r="B2601" s="12" t="s">
        <v>9599</v>
      </c>
      <c r="C2601" s="12" t="s">
        <v>251</v>
      </c>
      <c r="D2601" s="12" t="s">
        <v>2812</v>
      </c>
      <c r="E2601" s="12" t="s">
        <v>9600</v>
      </c>
      <c r="F2601" s="13">
        <v>85</v>
      </c>
      <c r="G2601" s="12" t="s">
        <v>2291</v>
      </c>
      <c r="H2601" s="12" t="s">
        <v>38</v>
      </c>
      <c r="I2601" s="12" t="s">
        <v>159</v>
      </c>
      <c r="J2601" s="12" t="s">
        <v>255</v>
      </c>
      <c r="K2601" s="12" t="s">
        <v>82</v>
      </c>
      <c r="L2601" s="14"/>
      <c r="M2601" s="12" t="s">
        <v>43</v>
      </c>
      <c r="N2601" s="12" t="s">
        <v>84</v>
      </c>
      <c r="O2601" s="12" t="s">
        <v>9601</v>
      </c>
      <c r="P2601" s="12" t="s">
        <v>46</v>
      </c>
      <c r="Q2601" s="12" t="s">
        <v>47</v>
      </c>
      <c r="R2601" s="12" t="s">
        <v>163</v>
      </c>
      <c r="S2601" s="13">
        <v>197804445523</v>
      </c>
      <c r="T2601" s="12" t="s">
        <v>49</v>
      </c>
      <c r="U2601" s="13">
        <v>41</v>
      </c>
      <c r="V2601" s="12" t="s">
        <v>50</v>
      </c>
      <c r="W2601" s="12" t="s">
        <v>186</v>
      </c>
      <c r="X2601" s="14"/>
      <c r="Y2601" s="14"/>
      <c r="Z2601" s="14"/>
      <c r="AA2601" s="14"/>
      <c r="AB2601" s="14"/>
      <c r="AC2601" s="15">
        <v>45.5</v>
      </c>
      <c r="AD2601" s="15">
        <f>AC2601*AG2601</f>
        <v>91</v>
      </c>
      <c r="AE2601" s="15">
        <v>100</v>
      </c>
      <c r="AF2601" s="15">
        <f>AE2601*AG2601</f>
        <v>200</v>
      </c>
      <c r="AG2601" s="16">
        <v>2</v>
      </c>
    </row>
    <row r="2602" spans="1:33" ht="15" customHeight="1" x14ac:dyDescent="0.2">
      <c r="A2602" s="11" t="str">
        <f>HYPERLINK("https://assets.vans.eu/images/VN000D26PWT-HERO/1","VN000D26PWT1")</f>
        <v>VN000D26PWT1</v>
      </c>
      <c r="B2602" s="12" t="s">
        <v>9602</v>
      </c>
      <c r="C2602" s="12" t="s">
        <v>251</v>
      </c>
      <c r="D2602" s="12" t="s">
        <v>2289</v>
      </c>
      <c r="E2602" s="12" t="s">
        <v>9603</v>
      </c>
      <c r="F2602" s="13">
        <v>40</v>
      </c>
      <c r="G2602" s="12" t="s">
        <v>2291</v>
      </c>
      <c r="H2602" s="12" t="s">
        <v>38</v>
      </c>
      <c r="I2602" s="12" t="s">
        <v>159</v>
      </c>
      <c r="J2602" s="12" t="s">
        <v>255</v>
      </c>
      <c r="K2602" s="12" t="s">
        <v>82</v>
      </c>
      <c r="L2602" s="14"/>
      <c r="M2602" s="12" t="s">
        <v>43</v>
      </c>
      <c r="N2602" s="12" t="s">
        <v>84</v>
      </c>
      <c r="O2602" s="12" t="s">
        <v>9604</v>
      </c>
      <c r="P2602" s="12" t="s">
        <v>46</v>
      </c>
      <c r="Q2602" s="12" t="s">
        <v>47</v>
      </c>
      <c r="R2602" s="12" t="s">
        <v>163</v>
      </c>
      <c r="S2602" s="13">
        <v>197804444366</v>
      </c>
      <c r="T2602" s="12" t="s">
        <v>49</v>
      </c>
      <c r="U2602" s="13">
        <v>35</v>
      </c>
      <c r="V2602" s="12" t="s">
        <v>50</v>
      </c>
      <c r="W2602" s="12" t="s">
        <v>455</v>
      </c>
      <c r="X2602" s="14"/>
      <c r="Y2602" s="14"/>
      <c r="Z2602" s="14"/>
      <c r="AA2602" s="14"/>
      <c r="AB2602" s="14"/>
      <c r="AC2602" s="15">
        <v>45.5</v>
      </c>
      <c r="AD2602" s="15">
        <f>AC2602*AG2602</f>
        <v>91</v>
      </c>
      <c r="AE2602" s="15">
        <v>100</v>
      </c>
      <c r="AF2602" s="15">
        <f>AE2602*AG2602</f>
        <v>200</v>
      </c>
      <c r="AG2602" s="16">
        <v>2</v>
      </c>
    </row>
    <row r="2603" spans="1:33" ht="15" customHeight="1" x14ac:dyDescent="0.2">
      <c r="A2603" s="11" t="str">
        <f t="shared" si="415"/>
        <v>VN000D26Y611</v>
      </c>
      <c r="B2603" s="12" t="s">
        <v>9605</v>
      </c>
      <c r="C2603" s="12" t="s">
        <v>251</v>
      </c>
      <c r="D2603" s="12" t="s">
        <v>310</v>
      </c>
      <c r="E2603" s="12" t="s">
        <v>9606</v>
      </c>
      <c r="F2603" s="13">
        <v>35</v>
      </c>
      <c r="G2603" s="12" t="s">
        <v>551</v>
      </c>
      <c r="H2603" s="12" t="s">
        <v>38</v>
      </c>
      <c r="I2603" s="12" t="s">
        <v>159</v>
      </c>
      <c r="J2603" s="12" t="s">
        <v>255</v>
      </c>
      <c r="K2603" s="12" t="s">
        <v>82</v>
      </c>
      <c r="L2603" s="14"/>
      <c r="M2603" s="12" t="s">
        <v>43</v>
      </c>
      <c r="N2603" s="12" t="s">
        <v>84</v>
      </c>
      <c r="O2603" s="12" t="s">
        <v>9607</v>
      </c>
      <c r="P2603" s="12" t="s">
        <v>46</v>
      </c>
      <c r="Q2603" s="12" t="s">
        <v>47</v>
      </c>
      <c r="R2603" s="12" t="s">
        <v>163</v>
      </c>
      <c r="S2603" s="13">
        <v>197804444489</v>
      </c>
      <c r="T2603" s="12" t="s">
        <v>49</v>
      </c>
      <c r="U2603" s="13">
        <v>34.5</v>
      </c>
      <c r="V2603" s="12" t="s">
        <v>50</v>
      </c>
      <c r="W2603" s="12" t="s">
        <v>51</v>
      </c>
      <c r="X2603" s="14"/>
      <c r="Y2603" s="14"/>
      <c r="Z2603" s="14"/>
      <c r="AA2603" s="14"/>
      <c r="AB2603" s="14"/>
      <c r="AC2603" s="15">
        <v>45.5</v>
      </c>
      <c r="AD2603" s="15">
        <f>AC2603*AG2603</f>
        <v>91</v>
      </c>
      <c r="AE2603" s="15">
        <v>100</v>
      </c>
      <c r="AF2603" s="15">
        <f>AE2603*AG2603</f>
        <v>200</v>
      </c>
      <c r="AG2603" s="16">
        <v>2</v>
      </c>
    </row>
    <row r="2604" spans="1:33" ht="15" customHeight="1" x14ac:dyDescent="0.2">
      <c r="A2604" s="11" t="str">
        <f t="shared" ref="A2604:A4194" si="1046">HYPERLINK("https://assets.vans.eu/images/VN000D281OJ-HERO/1","VN000D281OJ1")</f>
        <v>VN000D281OJ1</v>
      </c>
      <c r="B2604" s="12" t="s">
        <v>9608</v>
      </c>
      <c r="C2604" s="12" t="s">
        <v>9609</v>
      </c>
      <c r="D2604" s="12" t="s">
        <v>9223</v>
      </c>
      <c r="E2604" s="12" t="s">
        <v>9610</v>
      </c>
      <c r="F2604" s="13">
        <v>50</v>
      </c>
      <c r="G2604" s="14"/>
      <c r="H2604" s="12" t="s">
        <v>38</v>
      </c>
      <c r="I2604" s="12" t="s">
        <v>159</v>
      </c>
      <c r="J2604" s="12" t="s">
        <v>255</v>
      </c>
      <c r="K2604" s="12" t="s">
        <v>82</v>
      </c>
      <c r="L2604" s="14"/>
      <c r="M2604" s="12" t="s">
        <v>43</v>
      </c>
      <c r="N2604" s="12" t="s">
        <v>84</v>
      </c>
      <c r="O2604" s="12" t="s">
        <v>9611</v>
      </c>
      <c r="P2604" s="12" t="s">
        <v>46</v>
      </c>
      <c r="Q2604" s="12" t="s">
        <v>2432</v>
      </c>
      <c r="R2604" s="12" t="s">
        <v>9612</v>
      </c>
      <c r="S2604" s="13">
        <v>197804524549</v>
      </c>
      <c r="T2604" s="12" t="s">
        <v>105</v>
      </c>
      <c r="U2604" s="13">
        <v>36.5</v>
      </c>
      <c r="V2604" s="12" t="s">
        <v>50</v>
      </c>
      <c r="W2604" s="12" t="s">
        <v>51</v>
      </c>
      <c r="X2604" s="14"/>
      <c r="Y2604" s="14"/>
      <c r="Z2604" s="14"/>
      <c r="AA2604" s="14"/>
      <c r="AB2604" s="14"/>
      <c r="AC2604" s="15">
        <v>113.65</v>
      </c>
      <c r="AD2604" s="15">
        <f>AC2604*AG2604</f>
        <v>227.3</v>
      </c>
      <c r="AE2604" s="15">
        <v>250</v>
      </c>
      <c r="AF2604" s="15">
        <f>AE2604*AG2604</f>
        <v>500</v>
      </c>
      <c r="AG2604" s="16">
        <v>2</v>
      </c>
    </row>
    <row r="2605" spans="1:33" ht="15" customHeight="1" x14ac:dyDescent="0.2">
      <c r="A2605" s="11" t="str">
        <f>HYPERLINK("https://assets.vans.eu/images/VN000D2DEMF-HERO/1","VN000D2DEMF1")</f>
        <v>VN000D2DEMF1</v>
      </c>
      <c r="B2605" s="12" t="s">
        <v>9613</v>
      </c>
      <c r="C2605" s="12" t="s">
        <v>9614</v>
      </c>
      <c r="D2605" s="12" t="s">
        <v>1282</v>
      </c>
      <c r="E2605" s="12" t="s">
        <v>9615</v>
      </c>
      <c r="F2605" s="13">
        <v>80</v>
      </c>
      <c r="G2605" s="14"/>
      <c r="H2605" s="12" t="s">
        <v>38</v>
      </c>
      <c r="I2605" s="12" t="s">
        <v>159</v>
      </c>
      <c r="J2605" s="12" t="s">
        <v>255</v>
      </c>
      <c r="K2605" s="12" t="s">
        <v>82</v>
      </c>
      <c r="L2605" s="14"/>
      <c r="M2605" s="12" t="s">
        <v>43</v>
      </c>
      <c r="N2605" s="12" t="s">
        <v>84</v>
      </c>
      <c r="O2605" s="12" t="s">
        <v>9616</v>
      </c>
      <c r="P2605" s="12" t="s">
        <v>46</v>
      </c>
      <c r="Q2605" s="12" t="s">
        <v>2432</v>
      </c>
      <c r="R2605" s="12" t="s">
        <v>9612</v>
      </c>
      <c r="S2605" s="13">
        <v>197804527212</v>
      </c>
      <c r="T2605" s="12" t="s">
        <v>49</v>
      </c>
      <c r="U2605" s="13">
        <v>40.5</v>
      </c>
      <c r="V2605" s="12" t="s">
        <v>50</v>
      </c>
      <c r="W2605" s="12" t="s">
        <v>118</v>
      </c>
      <c r="X2605" s="14"/>
      <c r="Y2605" s="14"/>
      <c r="Z2605" s="14"/>
      <c r="AA2605" s="14"/>
      <c r="AB2605" s="14"/>
      <c r="AC2605" s="15">
        <v>81.849999999999994</v>
      </c>
      <c r="AD2605" s="15">
        <f>AC2605*AG2605</f>
        <v>163.69999999999999</v>
      </c>
      <c r="AE2605" s="15">
        <v>180</v>
      </c>
      <c r="AF2605" s="15">
        <f>AE2605*AG2605</f>
        <v>360</v>
      </c>
      <c r="AG2605" s="16">
        <v>2</v>
      </c>
    </row>
    <row r="2606" spans="1:33" ht="15" customHeight="1" x14ac:dyDescent="0.2">
      <c r="A2606" s="11" t="str">
        <f t="shared" ref="A2606:A4216" si="1047">HYPERLINK("https://assets.vans.eu/images/VN000D2VBLA-HERO/1","VN000D2VBLA1")</f>
        <v>VN000D2VBLA1</v>
      </c>
      <c r="B2606" s="12" t="s">
        <v>9617</v>
      </c>
      <c r="C2606" s="12" t="s">
        <v>34</v>
      </c>
      <c r="D2606" s="12" t="s">
        <v>919</v>
      </c>
      <c r="E2606" s="12" t="s">
        <v>9618</v>
      </c>
      <c r="F2606" s="13">
        <v>60</v>
      </c>
      <c r="G2606" s="12" t="s">
        <v>9619</v>
      </c>
      <c r="H2606" s="12" t="s">
        <v>38</v>
      </c>
      <c r="I2606" s="12" t="s">
        <v>205</v>
      </c>
      <c r="J2606" s="12" t="s">
        <v>206</v>
      </c>
      <c r="K2606" s="12" t="s">
        <v>207</v>
      </c>
      <c r="L2606" s="14"/>
      <c r="M2606" s="12" t="s">
        <v>43</v>
      </c>
      <c r="N2606" s="12" t="s">
        <v>44</v>
      </c>
      <c r="O2606" s="12" t="s">
        <v>9620</v>
      </c>
      <c r="P2606" s="12" t="s">
        <v>46</v>
      </c>
      <c r="Q2606" s="12" t="s">
        <v>47</v>
      </c>
      <c r="R2606" s="12" t="s">
        <v>48</v>
      </c>
      <c r="S2606" s="13">
        <v>197643269588</v>
      </c>
      <c r="T2606" s="12" t="s">
        <v>105</v>
      </c>
      <c r="U2606" s="13">
        <v>38</v>
      </c>
      <c r="V2606" s="12" t="s">
        <v>50</v>
      </c>
      <c r="W2606" s="12" t="s">
        <v>51</v>
      </c>
      <c r="X2606" s="14"/>
      <c r="Y2606" s="12" t="s">
        <v>91</v>
      </c>
      <c r="Z2606" s="12" t="s">
        <v>165</v>
      </c>
      <c r="AA2606" s="14"/>
      <c r="AB2606" s="14"/>
      <c r="AC2606" s="15">
        <v>31.85</v>
      </c>
      <c r="AD2606" s="15">
        <f>AC2606*AG2606</f>
        <v>63.7</v>
      </c>
      <c r="AE2606" s="15">
        <v>70</v>
      </c>
      <c r="AF2606" s="15">
        <f>AE2606*AG2606</f>
        <v>140</v>
      </c>
      <c r="AG2606" s="16">
        <v>2</v>
      </c>
    </row>
    <row r="2607" spans="1:33" ht="15" customHeight="1" x14ac:dyDescent="0.2">
      <c r="A2607" s="11" t="str">
        <f t="shared" ref="A2607:A4226" si="1048">HYPERLINK("https://assets.vans.eu/images/VN000D3QEMP-HERO/1","VN000D3QEMP1")</f>
        <v>VN000D3QEMP1</v>
      </c>
      <c r="B2607" s="12" t="s">
        <v>9621</v>
      </c>
      <c r="C2607" s="12" t="s">
        <v>9622</v>
      </c>
      <c r="D2607" s="12" t="s">
        <v>704</v>
      </c>
      <c r="E2607" s="12" t="s">
        <v>9623</v>
      </c>
      <c r="F2607" s="13">
        <v>80</v>
      </c>
      <c r="G2607" s="14"/>
      <c r="H2607" s="12" t="s">
        <v>38</v>
      </c>
      <c r="I2607" s="12" t="s">
        <v>159</v>
      </c>
      <c r="J2607" s="12" t="s">
        <v>341</v>
      </c>
      <c r="K2607" s="12" t="s">
        <v>199</v>
      </c>
      <c r="L2607" s="14"/>
      <c r="M2607" s="12" t="s">
        <v>43</v>
      </c>
      <c r="N2607" s="12" t="s">
        <v>84</v>
      </c>
      <c r="O2607" s="12" t="s">
        <v>9624</v>
      </c>
      <c r="P2607" s="12" t="s">
        <v>46</v>
      </c>
      <c r="Q2607" s="12" t="s">
        <v>47</v>
      </c>
      <c r="R2607" s="12" t="s">
        <v>1660</v>
      </c>
      <c r="S2607" s="13">
        <v>197804448289</v>
      </c>
      <c r="T2607" s="12" t="s">
        <v>49</v>
      </c>
      <c r="U2607" s="13">
        <v>40.5</v>
      </c>
      <c r="V2607" s="12" t="s">
        <v>50</v>
      </c>
      <c r="W2607" s="12" t="s">
        <v>186</v>
      </c>
      <c r="X2607" s="14"/>
      <c r="Y2607" s="14"/>
      <c r="Z2607" s="14"/>
      <c r="AA2607" s="14"/>
      <c r="AB2607" s="14"/>
      <c r="AC2607" s="15">
        <v>45.5</v>
      </c>
      <c r="AD2607" s="15">
        <f>AC2607*AG2607</f>
        <v>91</v>
      </c>
      <c r="AE2607" s="15">
        <v>100</v>
      </c>
      <c r="AF2607" s="15">
        <f>AE2607*AG2607</f>
        <v>200</v>
      </c>
      <c r="AG2607" s="16">
        <v>2</v>
      </c>
    </row>
    <row r="2608" spans="1:33" ht="15" customHeight="1" x14ac:dyDescent="0.2">
      <c r="A2608" s="11" t="str">
        <f t="shared" si="789"/>
        <v>VN000D45EMY1</v>
      </c>
      <c r="B2608" s="12" t="s">
        <v>9625</v>
      </c>
      <c r="C2608" s="12" t="s">
        <v>956</v>
      </c>
      <c r="D2608" s="12" t="s">
        <v>1155</v>
      </c>
      <c r="E2608" s="12" t="s">
        <v>9626</v>
      </c>
      <c r="F2608" s="13">
        <v>100</v>
      </c>
      <c r="G2608" s="14"/>
      <c r="H2608" s="12" t="s">
        <v>38</v>
      </c>
      <c r="I2608" s="12" t="s">
        <v>159</v>
      </c>
      <c r="J2608" s="12" t="s">
        <v>341</v>
      </c>
      <c r="K2608" s="12" t="s">
        <v>199</v>
      </c>
      <c r="L2608" s="14"/>
      <c r="M2608" s="12" t="s">
        <v>43</v>
      </c>
      <c r="N2608" s="12" t="s">
        <v>84</v>
      </c>
      <c r="O2608" s="12" t="s">
        <v>9627</v>
      </c>
      <c r="P2608" s="12" t="s">
        <v>46</v>
      </c>
      <c r="Q2608" s="12" t="s">
        <v>47</v>
      </c>
      <c r="R2608" s="12" t="s">
        <v>163</v>
      </c>
      <c r="S2608" s="13">
        <v>197804530205</v>
      </c>
      <c r="T2608" s="12" t="s">
        <v>49</v>
      </c>
      <c r="U2608" s="13">
        <v>43</v>
      </c>
      <c r="V2608" s="12" t="s">
        <v>50</v>
      </c>
      <c r="W2608" s="12" t="s">
        <v>107</v>
      </c>
      <c r="X2608" s="14"/>
      <c r="Y2608" s="14"/>
      <c r="Z2608" s="14"/>
      <c r="AA2608" s="14"/>
      <c r="AB2608" s="14"/>
      <c r="AC2608" s="15">
        <v>45.5</v>
      </c>
      <c r="AD2608" s="15">
        <f>AC2608*AG2608</f>
        <v>91</v>
      </c>
      <c r="AE2608" s="15">
        <v>100</v>
      </c>
      <c r="AF2608" s="15">
        <f>AE2608*AG2608</f>
        <v>200</v>
      </c>
      <c r="AG2608" s="16">
        <v>2</v>
      </c>
    </row>
    <row r="2609" spans="1:33" ht="15" customHeight="1" x14ac:dyDescent="0.2">
      <c r="A2609" s="11" t="str">
        <f t="shared" ref="A2609:A2611" si="1049">HYPERLINK("https://assets.vans.eu/images/VN000D4MKCZ-HERO/1","VN000D4MKCZ1")</f>
        <v>VN000D4MKCZ1</v>
      </c>
      <c r="B2609" s="12" t="s">
        <v>9628</v>
      </c>
      <c r="C2609" s="12" t="s">
        <v>1608</v>
      </c>
      <c r="D2609" s="12" t="s">
        <v>1109</v>
      </c>
      <c r="E2609" s="12" t="s">
        <v>9629</v>
      </c>
      <c r="F2609" s="13">
        <v>40</v>
      </c>
      <c r="G2609" s="14"/>
      <c r="H2609" s="12" t="s">
        <v>38</v>
      </c>
      <c r="I2609" s="12" t="s">
        <v>242</v>
      </c>
      <c r="J2609" s="12" t="s">
        <v>1611</v>
      </c>
      <c r="K2609" s="12" t="s">
        <v>244</v>
      </c>
      <c r="L2609" s="14"/>
      <c r="M2609" s="12" t="s">
        <v>43</v>
      </c>
      <c r="N2609" s="12" t="s">
        <v>84</v>
      </c>
      <c r="O2609" s="12" t="s">
        <v>9630</v>
      </c>
      <c r="P2609" s="12" t="s">
        <v>46</v>
      </c>
      <c r="Q2609" s="12" t="s">
        <v>47</v>
      </c>
      <c r="R2609" s="12" t="s">
        <v>48</v>
      </c>
      <c r="S2609" s="13">
        <v>197804448364</v>
      </c>
      <c r="T2609" s="12" t="s">
        <v>49</v>
      </c>
      <c r="U2609" s="13">
        <v>19</v>
      </c>
      <c r="V2609" s="12" t="s">
        <v>1468</v>
      </c>
      <c r="W2609" s="12" t="s">
        <v>118</v>
      </c>
      <c r="X2609" s="14"/>
      <c r="Y2609" s="14"/>
      <c r="Z2609" s="14"/>
      <c r="AA2609" s="14"/>
      <c r="AB2609" s="14"/>
      <c r="AC2609" s="15">
        <v>25</v>
      </c>
      <c r="AD2609" s="15">
        <f>AC2609*AG2609</f>
        <v>50</v>
      </c>
      <c r="AE2609" s="15">
        <v>55</v>
      </c>
      <c r="AF2609" s="15">
        <f>AE2609*AG2609</f>
        <v>110</v>
      </c>
      <c r="AG2609" s="16">
        <v>2</v>
      </c>
    </row>
    <row r="2610" spans="1:33" ht="15" customHeight="1" x14ac:dyDescent="0.2">
      <c r="A2610" s="11" t="str">
        <f t="shared" si="1049"/>
        <v>VN000D4MKCZ1</v>
      </c>
      <c r="B2610" s="12" t="s">
        <v>9631</v>
      </c>
      <c r="C2610" s="12" t="s">
        <v>1608</v>
      </c>
      <c r="D2610" s="12" t="s">
        <v>1109</v>
      </c>
      <c r="E2610" s="12" t="s">
        <v>9632</v>
      </c>
      <c r="F2610" s="13">
        <v>60</v>
      </c>
      <c r="G2610" s="14"/>
      <c r="H2610" s="12" t="s">
        <v>38</v>
      </c>
      <c r="I2610" s="12" t="s">
        <v>242</v>
      </c>
      <c r="J2610" s="12" t="s">
        <v>1611</v>
      </c>
      <c r="K2610" s="12" t="s">
        <v>244</v>
      </c>
      <c r="L2610" s="14"/>
      <c r="M2610" s="12" t="s">
        <v>43</v>
      </c>
      <c r="N2610" s="12" t="s">
        <v>84</v>
      </c>
      <c r="O2610" s="12" t="s">
        <v>9633</v>
      </c>
      <c r="P2610" s="12" t="s">
        <v>46</v>
      </c>
      <c r="Q2610" s="12" t="s">
        <v>47</v>
      </c>
      <c r="R2610" s="12" t="s">
        <v>48</v>
      </c>
      <c r="S2610" s="13">
        <v>197804449026</v>
      </c>
      <c r="T2610" s="12" t="s">
        <v>49</v>
      </c>
      <c r="U2610" s="13">
        <v>22</v>
      </c>
      <c r="V2610" s="12" t="s">
        <v>1468</v>
      </c>
      <c r="W2610" s="12" t="s">
        <v>118</v>
      </c>
      <c r="X2610" s="14"/>
      <c r="Y2610" s="14"/>
      <c r="Z2610" s="14"/>
      <c r="AA2610" s="14"/>
      <c r="AB2610" s="14"/>
      <c r="AC2610" s="15">
        <v>25</v>
      </c>
      <c r="AD2610" s="15">
        <f>AC2610*AG2610</f>
        <v>50</v>
      </c>
      <c r="AE2610" s="15">
        <v>55</v>
      </c>
      <c r="AF2610" s="15">
        <f>AE2610*AG2610</f>
        <v>110</v>
      </c>
      <c r="AG2610" s="16">
        <v>2</v>
      </c>
    </row>
    <row r="2611" spans="1:33" ht="15" customHeight="1" x14ac:dyDescent="0.2">
      <c r="A2611" s="11" t="str">
        <f t="shared" si="1049"/>
        <v>VN000D4MKCZ1</v>
      </c>
      <c r="B2611" s="12" t="s">
        <v>9634</v>
      </c>
      <c r="C2611" s="12" t="s">
        <v>1608</v>
      </c>
      <c r="D2611" s="12" t="s">
        <v>1109</v>
      </c>
      <c r="E2611" s="12" t="s">
        <v>9635</v>
      </c>
      <c r="F2611" s="13">
        <v>70</v>
      </c>
      <c r="G2611" s="14"/>
      <c r="H2611" s="12" t="s">
        <v>38</v>
      </c>
      <c r="I2611" s="12" t="s">
        <v>242</v>
      </c>
      <c r="J2611" s="12" t="s">
        <v>1611</v>
      </c>
      <c r="K2611" s="12" t="s">
        <v>244</v>
      </c>
      <c r="L2611" s="14"/>
      <c r="M2611" s="12" t="s">
        <v>43</v>
      </c>
      <c r="N2611" s="12" t="s">
        <v>84</v>
      </c>
      <c r="O2611" s="12" t="s">
        <v>9636</v>
      </c>
      <c r="P2611" s="12" t="s">
        <v>46</v>
      </c>
      <c r="Q2611" s="12" t="s">
        <v>47</v>
      </c>
      <c r="R2611" s="12" t="s">
        <v>48</v>
      </c>
      <c r="S2611" s="13">
        <v>197804449316</v>
      </c>
      <c r="T2611" s="12" t="s">
        <v>49</v>
      </c>
      <c r="U2611" s="13">
        <v>23.5</v>
      </c>
      <c r="V2611" s="12" t="s">
        <v>1468</v>
      </c>
      <c r="W2611" s="12" t="s">
        <v>118</v>
      </c>
      <c r="X2611" s="14"/>
      <c r="Y2611" s="14"/>
      <c r="Z2611" s="14"/>
      <c r="AA2611" s="14"/>
      <c r="AB2611" s="14"/>
      <c r="AC2611" s="15">
        <v>25</v>
      </c>
      <c r="AD2611" s="15">
        <f>AC2611*AG2611</f>
        <v>50</v>
      </c>
      <c r="AE2611" s="15">
        <v>55</v>
      </c>
      <c r="AF2611" s="15">
        <f>AE2611*AG2611</f>
        <v>110</v>
      </c>
      <c r="AG2611" s="16">
        <v>2</v>
      </c>
    </row>
    <row r="2612" spans="1:33" ht="15" customHeight="1" x14ac:dyDescent="0.2">
      <c r="A2612" s="11" t="str">
        <f t="shared" si="791"/>
        <v>VN000D4MNVY1</v>
      </c>
      <c r="B2612" s="12" t="s">
        <v>9637</v>
      </c>
      <c r="C2612" s="12" t="s">
        <v>1608</v>
      </c>
      <c r="D2612" s="12" t="s">
        <v>2760</v>
      </c>
      <c r="E2612" s="12" t="s">
        <v>9638</v>
      </c>
      <c r="F2612" s="13">
        <v>20</v>
      </c>
      <c r="G2612" s="12" t="s">
        <v>2814</v>
      </c>
      <c r="H2612" s="12" t="s">
        <v>38</v>
      </c>
      <c r="I2612" s="12" t="s">
        <v>242</v>
      </c>
      <c r="J2612" s="12" t="s">
        <v>1611</v>
      </c>
      <c r="K2612" s="12" t="s">
        <v>244</v>
      </c>
      <c r="L2612" s="14"/>
      <c r="M2612" s="12" t="s">
        <v>43</v>
      </c>
      <c r="N2612" s="12" t="s">
        <v>44</v>
      </c>
      <c r="O2612" s="12" t="s">
        <v>9639</v>
      </c>
      <c r="P2612" s="12" t="s">
        <v>46</v>
      </c>
      <c r="Q2612" s="12" t="s">
        <v>47</v>
      </c>
      <c r="R2612" s="12" t="s">
        <v>48</v>
      </c>
      <c r="S2612" s="13">
        <v>197643356752</v>
      </c>
      <c r="T2612" s="12" t="s">
        <v>49</v>
      </c>
      <c r="U2612" s="13">
        <v>17</v>
      </c>
      <c r="V2612" s="12" t="s">
        <v>1468</v>
      </c>
      <c r="W2612" s="12" t="s">
        <v>284</v>
      </c>
      <c r="X2612" s="14"/>
      <c r="Y2612" s="12" t="s">
        <v>91</v>
      </c>
      <c r="Z2612" s="12" t="s">
        <v>165</v>
      </c>
      <c r="AA2612" s="14"/>
      <c r="AB2612" s="14"/>
      <c r="AC2612" s="15">
        <v>25</v>
      </c>
      <c r="AD2612" s="15">
        <f>AC2612*AG2612</f>
        <v>50</v>
      </c>
      <c r="AE2612" s="15">
        <v>55</v>
      </c>
      <c r="AF2612" s="15">
        <f>AE2612*AG2612</f>
        <v>110</v>
      </c>
      <c r="AG2612" s="16">
        <v>2</v>
      </c>
    </row>
    <row r="2613" spans="1:33" ht="15" customHeight="1" x14ac:dyDescent="0.2">
      <c r="A2613" s="11" t="str">
        <f t="shared" ref="A2613:A4247" si="1050">HYPERLINK("https://assets.vans.eu/images/VN000D4MNVY-HERO/1","VN000D4MNVY1")</f>
        <v>VN000D4MNVY1</v>
      </c>
      <c r="B2613" s="12" t="s">
        <v>9640</v>
      </c>
      <c r="C2613" s="12" t="s">
        <v>1608</v>
      </c>
      <c r="D2613" s="12" t="s">
        <v>2760</v>
      </c>
      <c r="E2613" s="12" t="s">
        <v>9641</v>
      </c>
      <c r="F2613" s="13">
        <v>30</v>
      </c>
      <c r="G2613" s="12" t="s">
        <v>2814</v>
      </c>
      <c r="H2613" s="12" t="s">
        <v>38</v>
      </c>
      <c r="I2613" s="12" t="s">
        <v>242</v>
      </c>
      <c r="J2613" s="12" t="s">
        <v>1611</v>
      </c>
      <c r="K2613" s="12" t="s">
        <v>244</v>
      </c>
      <c r="L2613" s="14"/>
      <c r="M2613" s="12" t="s">
        <v>43</v>
      </c>
      <c r="N2613" s="12" t="s">
        <v>44</v>
      </c>
      <c r="O2613" s="12" t="s">
        <v>9642</v>
      </c>
      <c r="P2613" s="12" t="s">
        <v>46</v>
      </c>
      <c r="Q2613" s="12" t="s">
        <v>47</v>
      </c>
      <c r="R2613" s="12" t="s">
        <v>48</v>
      </c>
      <c r="S2613" s="13">
        <v>197643356790</v>
      </c>
      <c r="T2613" s="12" t="s">
        <v>49</v>
      </c>
      <c r="U2613" s="13">
        <v>18</v>
      </c>
      <c r="V2613" s="12" t="s">
        <v>1468</v>
      </c>
      <c r="W2613" s="12" t="s">
        <v>284</v>
      </c>
      <c r="X2613" s="14"/>
      <c r="Y2613" s="12" t="s">
        <v>91</v>
      </c>
      <c r="Z2613" s="12" t="s">
        <v>165</v>
      </c>
      <c r="AA2613" s="14"/>
      <c r="AB2613" s="14"/>
      <c r="AC2613" s="15">
        <v>25</v>
      </c>
      <c r="AD2613" s="15">
        <f>AC2613*AG2613</f>
        <v>50</v>
      </c>
      <c r="AE2613" s="15">
        <v>55</v>
      </c>
      <c r="AF2613" s="15">
        <f>AE2613*AG2613</f>
        <v>110</v>
      </c>
      <c r="AG2613" s="16">
        <v>2</v>
      </c>
    </row>
    <row r="2614" spans="1:33" ht="15" customHeight="1" x14ac:dyDescent="0.2">
      <c r="A2614" s="11" t="str">
        <f t="shared" si="276"/>
        <v>VN000D4MYB21</v>
      </c>
      <c r="B2614" s="12" t="s">
        <v>9643</v>
      </c>
      <c r="C2614" s="12" t="s">
        <v>1608</v>
      </c>
      <c r="D2614" s="12" t="s">
        <v>1138</v>
      </c>
      <c r="E2614" s="12" t="s">
        <v>9644</v>
      </c>
      <c r="F2614" s="13">
        <v>70</v>
      </c>
      <c r="G2614" s="14"/>
      <c r="H2614" s="12" t="s">
        <v>38</v>
      </c>
      <c r="I2614" s="12" t="s">
        <v>242</v>
      </c>
      <c r="J2614" s="12" t="s">
        <v>1611</v>
      </c>
      <c r="K2614" s="12" t="s">
        <v>244</v>
      </c>
      <c r="L2614" s="14"/>
      <c r="M2614" s="12" t="s">
        <v>43</v>
      </c>
      <c r="N2614" s="12" t="s">
        <v>84</v>
      </c>
      <c r="O2614" s="12" t="s">
        <v>9645</v>
      </c>
      <c r="P2614" s="12" t="s">
        <v>46</v>
      </c>
      <c r="Q2614" s="12" t="s">
        <v>47</v>
      </c>
      <c r="R2614" s="12" t="s">
        <v>48</v>
      </c>
      <c r="S2614" s="13">
        <v>197643358565</v>
      </c>
      <c r="T2614" s="12" t="s">
        <v>49</v>
      </c>
      <c r="U2614" s="13">
        <v>23.5</v>
      </c>
      <c r="V2614" s="12" t="s">
        <v>1468</v>
      </c>
      <c r="W2614" s="12" t="s">
        <v>175</v>
      </c>
      <c r="X2614" s="14"/>
      <c r="Y2614" s="12" t="s">
        <v>91</v>
      </c>
      <c r="Z2614" s="12" t="s">
        <v>165</v>
      </c>
      <c r="AA2614" s="14"/>
      <c r="AB2614" s="14"/>
      <c r="AC2614" s="15">
        <v>25</v>
      </c>
      <c r="AD2614" s="15">
        <f>AC2614*AG2614</f>
        <v>50</v>
      </c>
      <c r="AE2614" s="15">
        <v>55</v>
      </c>
      <c r="AF2614" s="15">
        <f>AE2614*AG2614</f>
        <v>110</v>
      </c>
      <c r="AG2614" s="16">
        <v>2</v>
      </c>
    </row>
    <row r="2615" spans="1:33" ht="15" customHeight="1" x14ac:dyDescent="0.2">
      <c r="A2615" s="11" t="str">
        <f t="shared" ref="A2615:A2616" si="1051">HYPERLINK("https://assets.vans.eu/images/VN000D4N2B6-HERO/1","VN000D4N2B61")</f>
        <v>VN000D4N2B61</v>
      </c>
      <c r="B2615" s="12" t="s">
        <v>9646</v>
      </c>
      <c r="C2615" s="12" t="s">
        <v>251</v>
      </c>
      <c r="D2615" s="12" t="s">
        <v>4375</v>
      </c>
      <c r="E2615" s="12" t="s">
        <v>9647</v>
      </c>
      <c r="F2615" s="13">
        <v>105</v>
      </c>
      <c r="G2615" s="14"/>
      <c r="H2615" s="12" t="s">
        <v>38</v>
      </c>
      <c r="I2615" s="12" t="s">
        <v>39</v>
      </c>
      <c r="J2615" s="12" t="s">
        <v>2430</v>
      </c>
      <c r="K2615" s="12" t="s">
        <v>41</v>
      </c>
      <c r="L2615" s="14"/>
      <c r="M2615" s="12" t="s">
        <v>43</v>
      </c>
      <c r="N2615" s="12" t="s">
        <v>84</v>
      </c>
      <c r="O2615" s="12" t="s">
        <v>9648</v>
      </c>
      <c r="P2615" s="12" t="s">
        <v>46</v>
      </c>
      <c r="Q2615" s="12" t="s">
        <v>47</v>
      </c>
      <c r="R2615" s="12" t="s">
        <v>48</v>
      </c>
      <c r="S2615" s="13">
        <v>197804448654</v>
      </c>
      <c r="T2615" s="12" t="s">
        <v>49</v>
      </c>
      <c r="U2615" s="13">
        <v>27</v>
      </c>
      <c r="V2615" s="12" t="s">
        <v>1468</v>
      </c>
      <c r="W2615" s="12" t="s">
        <v>51</v>
      </c>
      <c r="X2615" s="14"/>
      <c r="Y2615" s="14"/>
      <c r="Z2615" s="14"/>
      <c r="AA2615" s="14"/>
      <c r="AB2615" s="14"/>
      <c r="AC2615" s="15">
        <v>29.55</v>
      </c>
      <c r="AD2615" s="15">
        <f>AC2615*AG2615</f>
        <v>59.1</v>
      </c>
      <c r="AE2615" s="15">
        <v>65</v>
      </c>
      <c r="AF2615" s="15">
        <f>AE2615*AG2615</f>
        <v>130</v>
      </c>
      <c r="AG2615" s="16">
        <v>2</v>
      </c>
    </row>
    <row r="2616" spans="1:33" ht="15" customHeight="1" x14ac:dyDescent="0.2">
      <c r="A2616" s="11" t="str">
        <f t="shared" si="1051"/>
        <v>VN000D4N2B61</v>
      </c>
      <c r="B2616" s="12" t="s">
        <v>9649</v>
      </c>
      <c r="C2616" s="12" t="s">
        <v>251</v>
      </c>
      <c r="D2616" s="12" t="s">
        <v>4375</v>
      </c>
      <c r="E2616" s="12" t="s">
        <v>9650</v>
      </c>
      <c r="F2616" s="13">
        <v>120</v>
      </c>
      <c r="G2616" s="14"/>
      <c r="H2616" s="12" t="s">
        <v>38</v>
      </c>
      <c r="I2616" s="12" t="s">
        <v>39</v>
      </c>
      <c r="J2616" s="12" t="s">
        <v>2430</v>
      </c>
      <c r="K2616" s="12" t="s">
        <v>41</v>
      </c>
      <c r="L2616" s="14"/>
      <c r="M2616" s="12" t="s">
        <v>43</v>
      </c>
      <c r="N2616" s="12" t="s">
        <v>84</v>
      </c>
      <c r="O2616" s="12" t="s">
        <v>9651</v>
      </c>
      <c r="P2616" s="12" t="s">
        <v>46</v>
      </c>
      <c r="Q2616" s="12" t="s">
        <v>47</v>
      </c>
      <c r="R2616" s="12" t="s">
        <v>48</v>
      </c>
      <c r="S2616" s="13">
        <v>197804449040</v>
      </c>
      <c r="T2616" s="12" t="s">
        <v>49</v>
      </c>
      <c r="U2616" s="13">
        <v>29</v>
      </c>
      <c r="V2616" s="12" t="s">
        <v>1468</v>
      </c>
      <c r="W2616" s="12" t="s">
        <v>51</v>
      </c>
      <c r="X2616" s="14"/>
      <c r="Y2616" s="14"/>
      <c r="Z2616" s="14"/>
      <c r="AA2616" s="14"/>
      <c r="AB2616" s="14"/>
      <c r="AC2616" s="15">
        <v>29.55</v>
      </c>
      <c r="AD2616" s="15">
        <f>AC2616*AG2616</f>
        <v>59.1</v>
      </c>
      <c r="AE2616" s="15">
        <v>65</v>
      </c>
      <c r="AF2616" s="15">
        <f>AE2616*AG2616</f>
        <v>130</v>
      </c>
      <c r="AG2616" s="16">
        <v>2</v>
      </c>
    </row>
    <row r="2617" spans="1:33" ht="15" customHeight="1" x14ac:dyDescent="0.2">
      <c r="A2617" s="11" t="str">
        <f t="shared" si="792"/>
        <v>VN000D4NBKA1</v>
      </c>
      <c r="B2617" s="12" t="s">
        <v>9652</v>
      </c>
      <c r="C2617" s="12" t="s">
        <v>251</v>
      </c>
      <c r="D2617" s="12" t="s">
        <v>252</v>
      </c>
      <c r="E2617" s="12" t="s">
        <v>9653</v>
      </c>
      <c r="F2617" s="13">
        <v>115</v>
      </c>
      <c r="G2617" s="14"/>
      <c r="H2617" s="12" t="s">
        <v>38</v>
      </c>
      <c r="I2617" s="12" t="s">
        <v>39</v>
      </c>
      <c r="J2617" s="12" t="s">
        <v>2430</v>
      </c>
      <c r="K2617" s="12" t="s">
        <v>41</v>
      </c>
      <c r="L2617" s="14"/>
      <c r="M2617" s="12" t="s">
        <v>43</v>
      </c>
      <c r="N2617" s="12" t="s">
        <v>84</v>
      </c>
      <c r="O2617" s="12" t="s">
        <v>9654</v>
      </c>
      <c r="P2617" s="12" t="s">
        <v>46</v>
      </c>
      <c r="Q2617" s="12" t="s">
        <v>47</v>
      </c>
      <c r="R2617" s="12" t="s">
        <v>48</v>
      </c>
      <c r="S2617" s="13">
        <v>197804448845</v>
      </c>
      <c r="T2617" s="12" t="s">
        <v>49</v>
      </c>
      <c r="U2617" s="13">
        <v>28</v>
      </c>
      <c r="V2617" s="12" t="s">
        <v>1468</v>
      </c>
      <c r="W2617" s="12" t="s">
        <v>51</v>
      </c>
      <c r="X2617" s="14"/>
      <c r="Y2617" s="14"/>
      <c r="Z2617" s="14"/>
      <c r="AA2617" s="14"/>
      <c r="AB2617" s="14"/>
      <c r="AC2617" s="15">
        <v>29.55</v>
      </c>
      <c r="AD2617" s="15">
        <f>AC2617*AG2617</f>
        <v>59.1</v>
      </c>
      <c r="AE2617" s="15">
        <v>65</v>
      </c>
      <c r="AF2617" s="15">
        <f>AE2617*AG2617</f>
        <v>130</v>
      </c>
      <c r="AG2617" s="16">
        <v>2</v>
      </c>
    </row>
    <row r="2618" spans="1:33" ht="15" customHeight="1" x14ac:dyDescent="0.2">
      <c r="A2618" s="11" t="str">
        <f t="shared" ref="A2618:A2620" si="1052">HYPERLINK("https://assets.vans.eu/images/VN000D4NBZW-HERO/1","VN000D4NBZW1")</f>
        <v>VN000D4NBZW1</v>
      </c>
      <c r="B2618" s="12" t="s">
        <v>9655</v>
      </c>
      <c r="C2618" s="12" t="s">
        <v>251</v>
      </c>
      <c r="D2618" s="12" t="s">
        <v>58</v>
      </c>
      <c r="E2618" s="12" t="s">
        <v>9656</v>
      </c>
      <c r="F2618" s="13">
        <v>30</v>
      </c>
      <c r="G2618" s="14"/>
      <c r="H2618" s="12" t="s">
        <v>38</v>
      </c>
      <c r="I2618" s="12" t="s">
        <v>39</v>
      </c>
      <c r="J2618" s="12" t="s">
        <v>2430</v>
      </c>
      <c r="K2618" s="12" t="s">
        <v>41</v>
      </c>
      <c r="L2618" s="14"/>
      <c r="M2618" s="12" t="s">
        <v>43</v>
      </c>
      <c r="N2618" s="12" t="s">
        <v>44</v>
      </c>
      <c r="O2618" s="12" t="s">
        <v>9657</v>
      </c>
      <c r="P2618" s="12" t="s">
        <v>46</v>
      </c>
      <c r="Q2618" s="12" t="s">
        <v>47</v>
      </c>
      <c r="R2618" s="12" t="s">
        <v>48</v>
      </c>
      <c r="S2618" s="13">
        <v>197643357636</v>
      </c>
      <c r="T2618" s="12" t="s">
        <v>49</v>
      </c>
      <c r="U2618" s="13">
        <v>34</v>
      </c>
      <c r="V2618" s="12" t="s">
        <v>1468</v>
      </c>
      <c r="W2618" s="12" t="s">
        <v>51</v>
      </c>
      <c r="X2618" s="14"/>
      <c r="Y2618" s="12" t="s">
        <v>91</v>
      </c>
      <c r="Z2618" s="12" t="s">
        <v>165</v>
      </c>
      <c r="AA2618" s="14"/>
      <c r="AB2618" s="14"/>
      <c r="AC2618" s="15">
        <v>29.55</v>
      </c>
      <c r="AD2618" s="15">
        <f>AC2618*AG2618</f>
        <v>59.1</v>
      </c>
      <c r="AE2618" s="15">
        <v>65</v>
      </c>
      <c r="AF2618" s="15">
        <f>AE2618*AG2618</f>
        <v>130</v>
      </c>
      <c r="AG2618" s="16">
        <v>2</v>
      </c>
    </row>
    <row r="2619" spans="1:33" ht="15" customHeight="1" x14ac:dyDescent="0.2">
      <c r="A2619" s="11" t="str">
        <f t="shared" si="1052"/>
        <v>VN000D4NBZW1</v>
      </c>
      <c r="B2619" s="12" t="s">
        <v>9658</v>
      </c>
      <c r="C2619" s="12" t="s">
        <v>251</v>
      </c>
      <c r="D2619" s="12" t="s">
        <v>58</v>
      </c>
      <c r="E2619" s="12" t="s">
        <v>9659</v>
      </c>
      <c r="F2619" s="13">
        <v>120</v>
      </c>
      <c r="G2619" s="14"/>
      <c r="H2619" s="12" t="s">
        <v>38</v>
      </c>
      <c r="I2619" s="12" t="s">
        <v>39</v>
      </c>
      <c r="J2619" s="12" t="s">
        <v>2430</v>
      </c>
      <c r="K2619" s="12" t="s">
        <v>41</v>
      </c>
      <c r="L2619" s="14"/>
      <c r="M2619" s="12" t="s">
        <v>43</v>
      </c>
      <c r="N2619" s="12" t="s">
        <v>44</v>
      </c>
      <c r="O2619" s="12" t="s">
        <v>9660</v>
      </c>
      <c r="P2619" s="12" t="s">
        <v>46</v>
      </c>
      <c r="Q2619" s="12" t="s">
        <v>47</v>
      </c>
      <c r="R2619" s="12" t="s">
        <v>48</v>
      </c>
      <c r="S2619" s="13">
        <v>197643358220</v>
      </c>
      <c r="T2619" s="12" t="s">
        <v>49</v>
      </c>
      <c r="U2619" s="13">
        <v>29</v>
      </c>
      <c r="V2619" s="12" t="s">
        <v>1468</v>
      </c>
      <c r="W2619" s="12" t="s">
        <v>51</v>
      </c>
      <c r="X2619" s="14"/>
      <c r="Y2619" s="12" t="s">
        <v>91</v>
      </c>
      <c r="Z2619" s="12" t="s">
        <v>165</v>
      </c>
      <c r="AA2619" s="14"/>
      <c r="AB2619" s="14"/>
      <c r="AC2619" s="15">
        <v>29.55</v>
      </c>
      <c r="AD2619" s="15">
        <f>AC2619*AG2619</f>
        <v>59.1</v>
      </c>
      <c r="AE2619" s="15">
        <v>65</v>
      </c>
      <c r="AF2619" s="15">
        <f>AE2619*AG2619</f>
        <v>130</v>
      </c>
      <c r="AG2619" s="16">
        <v>2</v>
      </c>
    </row>
    <row r="2620" spans="1:33" ht="15" customHeight="1" x14ac:dyDescent="0.2">
      <c r="A2620" s="11" t="str">
        <f t="shared" si="1052"/>
        <v>VN000D4NBZW1</v>
      </c>
      <c r="B2620" s="12" t="s">
        <v>9661</v>
      </c>
      <c r="C2620" s="12" t="s">
        <v>251</v>
      </c>
      <c r="D2620" s="12" t="s">
        <v>58</v>
      </c>
      <c r="E2620" s="12" t="s">
        <v>9662</v>
      </c>
      <c r="F2620" s="13">
        <v>130</v>
      </c>
      <c r="G2620" s="14"/>
      <c r="H2620" s="12" t="s">
        <v>38</v>
      </c>
      <c r="I2620" s="12" t="s">
        <v>39</v>
      </c>
      <c r="J2620" s="12" t="s">
        <v>2430</v>
      </c>
      <c r="K2620" s="12" t="s">
        <v>41</v>
      </c>
      <c r="L2620" s="14"/>
      <c r="M2620" s="12" t="s">
        <v>43</v>
      </c>
      <c r="N2620" s="12" t="s">
        <v>44</v>
      </c>
      <c r="O2620" s="12" t="s">
        <v>9663</v>
      </c>
      <c r="P2620" s="12" t="s">
        <v>46</v>
      </c>
      <c r="Q2620" s="12" t="s">
        <v>47</v>
      </c>
      <c r="R2620" s="12" t="s">
        <v>48</v>
      </c>
      <c r="S2620" s="13">
        <v>197643358510</v>
      </c>
      <c r="T2620" s="12" t="s">
        <v>49</v>
      </c>
      <c r="U2620" s="13">
        <v>30.5</v>
      </c>
      <c r="V2620" s="12" t="s">
        <v>1468</v>
      </c>
      <c r="W2620" s="12" t="s">
        <v>51</v>
      </c>
      <c r="X2620" s="14"/>
      <c r="Y2620" s="12" t="s">
        <v>91</v>
      </c>
      <c r="Z2620" s="12" t="s">
        <v>165</v>
      </c>
      <c r="AA2620" s="14"/>
      <c r="AB2620" s="14"/>
      <c r="AC2620" s="15">
        <v>29.55</v>
      </c>
      <c r="AD2620" s="15">
        <f>AC2620*AG2620</f>
        <v>59.1</v>
      </c>
      <c r="AE2620" s="15">
        <v>65</v>
      </c>
      <c r="AF2620" s="15">
        <f>AE2620*AG2620</f>
        <v>130</v>
      </c>
      <c r="AG2620" s="16">
        <v>2</v>
      </c>
    </row>
    <row r="2621" spans="1:33" ht="15" customHeight="1" x14ac:dyDescent="0.2">
      <c r="A2621" s="11" t="str">
        <f t="shared" ref="A2621:A4263" si="1053">HYPERLINK("https://assets.vans.eu/images/VN000D4SCFL-HERO/1","VN000D4SCFL1")</f>
        <v>VN000D4SCFL1</v>
      </c>
      <c r="B2621" s="12" t="s">
        <v>9664</v>
      </c>
      <c r="C2621" s="12" t="s">
        <v>1257</v>
      </c>
      <c r="D2621" s="12" t="s">
        <v>1258</v>
      </c>
      <c r="E2621" s="12" t="s">
        <v>9665</v>
      </c>
      <c r="F2621" s="13">
        <v>95</v>
      </c>
      <c r="G2621" s="14"/>
      <c r="H2621" s="12" t="s">
        <v>38</v>
      </c>
      <c r="I2621" s="12" t="s">
        <v>242</v>
      </c>
      <c r="J2621" s="12" t="s">
        <v>243</v>
      </c>
      <c r="K2621" s="12" t="s">
        <v>244</v>
      </c>
      <c r="L2621" s="14"/>
      <c r="M2621" s="12" t="s">
        <v>43</v>
      </c>
      <c r="N2621" s="12" t="s">
        <v>84</v>
      </c>
      <c r="O2621" s="12" t="s">
        <v>9666</v>
      </c>
      <c r="P2621" s="12" t="s">
        <v>46</v>
      </c>
      <c r="Q2621" s="12" t="s">
        <v>47</v>
      </c>
      <c r="R2621" s="12" t="s">
        <v>48</v>
      </c>
      <c r="S2621" s="13">
        <v>197804531561</v>
      </c>
      <c r="T2621" s="12" t="s">
        <v>105</v>
      </c>
      <c r="U2621" s="13">
        <v>26</v>
      </c>
      <c r="V2621" s="12" t="s">
        <v>50</v>
      </c>
      <c r="W2621" s="12" t="s">
        <v>284</v>
      </c>
      <c r="X2621" s="14"/>
      <c r="Y2621" s="14"/>
      <c r="Z2621" s="14"/>
      <c r="AA2621" s="14"/>
      <c r="AB2621" s="14"/>
      <c r="AC2621" s="15">
        <v>22.75</v>
      </c>
      <c r="AD2621" s="15">
        <f>AC2621*AG2621</f>
        <v>45.5</v>
      </c>
      <c r="AE2621" s="15">
        <v>50</v>
      </c>
      <c r="AF2621" s="15">
        <f>AE2621*AG2621</f>
        <v>100</v>
      </c>
      <c r="AG2621" s="16">
        <v>2</v>
      </c>
    </row>
    <row r="2622" spans="1:33" ht="15" customHeight="1" x14ac:dyDescent="0.2">
      <c r="A2622" s="11" t="str">
        <f t="shared" si="796"/>
        <v>VN000D5D17P1</v>
      </c>
      <c r="B2622" s="12" t="s">
        <v>9667</v>
      </c>
      <c r="C2622" s="12" t="s">
        <v>2592</v>
      </c>
      <c r="D2622" s="12" t="s">
        <v>2593</v>
      </c>
      <c r="E2622" s="12" t="s">
        <v>9668</v>
      </c>
      <c r="F2622" s="13">
        <v>70</v>
      </c>
      <c r="G2622" s="14"/>
      <c r="H2622" s="12" t="s">
        <v>38</v>
      </c>
      <c r="I2622" s="12" t="s">
        <v>159</v>
      </c>
      <c r="J2622" s="12" t="s">
        <v>341</v>
      </c>
      <c r="K2622" s="12" t="s">
        <v>199</v>
      </c>
      <c r="L2622" s="14"/>
      <c r="M2622" s="12" t="s">
        <v>43</v>
      </c>
      <c r="N2622" s="12" t="s">
        <v>84</v>
      </c>
      <c r="O2622" s="12" t="s">
        <v>9669</v>
      </c>
      <c r="P2622" s="12" t="s">
        <v>46</v>
      </c>
      <c r="Q2622" s="12" t="s">
        <v>47</v>
      </c>
      <c r="R2622" s="12" t="s">
        <v>163</v>
      </c>
      <c r="S2622" s="13">
        <v>197804531585</v>
      </c>
      <c r="T2622" s="12" t="s">
        <v>49</v>
      </c>
      <c r="U2622" s="13">
        <v>39</v>
      </c>
      <c r="V2622" s="12" t="s">
        <v>50</v>
      </c>
      <c r="W2622" s="12" t="s">
        <v>118</v>
      </c>
      <c r="X2622" s="14"/>
      <c r="Y2622" s="14"/>
      <c r="Z2622" s="14"/>
      <c r="AA2622" s="14"/>
      <c r="AB2622" s="14"/>
      <c r="AC2622" s="15">
        <v>45.5</v>
      </c>
      <c r="AD2622" s="15">
        <f>AC2622*AG2622</f>
        <v>91</v>
      </c>
      <c r="AE2622" s="15">
        <v>100</v>
      </c>
      <c r="AF2622" s="15">
        <f>AE2622*AG2622</f>
        <v>200</v>
      </c>
      <c r="AG2622" s="16">
        <v>2</v>
      </c>
    </row>
    <row r="2623" spans="1:33" ht="15" customHeight="1" x14ac:dyDescent="0.2">
      <c r="A2623" s="11" t="str">
        <f t="shared" ref="A2623:A2624" si="1054">HYPERLINK("https://assets.vans.eu/images/VN000D5D17P-HERO/1","VN000D5D17P1")</f>
        <v>VN000D5D17P1</v>
      </c>
      <c r="B2623" s="12" t="s">
        <v>9670</v>
      </c>
      <c r="C2623" s="12" t="s">
        <v>2592</v>
      </c>
      <c r="D2623" s="12" t="s">
        <v>2593</v>
      </c>
      <c r="E2623" s="12" t="s">
        <v>9671</v>
      </c>
      <c r="F2623" s="13">
        <v>75</v>
      </c>
      <c r="G2623" s="14"/>
      <c r="H2623" s="12" t="s">
        <v>38</v>
      </c>
      <c r="I2623" s="12" t="s">
        <v>159</v>
      </c>
      <c r="J2623" s="12" t="s">
        <v>341</v>
      </c>
      <c r="K2623" s="12" t="s">
        <v>199</v>
      </c>
      <c r="L2623" s="14"/>
      <c r="M2623" s="12" t="s">
        <v>43</v>
      </c>
      <c r="N2623" s="12" t="s">
        <v>84</v>
      </c>
      <c r="O2623" s="12" t="s">
        <v>9672</v>
      </c>
      <c r="P2623" s="12" t="s">
        <v>46</v>
      </c>
      <c r="Q2623" s="12" t="s">
        <v>47</v>
      </c>
      <c r="R2623" s="12" t="s">
        <v>163</v>
      </c>
      <c r="S2623" s="13">
        <v>197804531615</v>
      </c>
      <c r="T2623" s="12" t="s">
        <v>49</v>
      </c>
      <c r="U2623" s="13">
        <v>40</v>
      </c>
      <c r="V2623" s="12" t="s">
        <v>50</v>
      </c>
      <c r="W2623" s="12" t="s">
        <v>118</v>
      </c>
      <c r="X2623" s="14"/>
      <c r="Y2623" s="14"/>
      <c r="Z2623" s="14"/>
      <c r="AA2623" s="14"/>
      <c r="AB2623" s="14"/>
      <c r="AC2623" s="15">
        <v>45.5</v>
      </c>
      <c r="AD2623" s="15">
        <f>AC2623*AG2623</f>
        <v>91</v>
      </c>
      <c r="AE2623" s="15">
        <v>100</v>
      </c>
      <c r="AF2623" s="15">
        <f>AE2623*AG2623</f>
        <v>200</v>
      </c>
      <c r="AG2623" s="16">
        <v>2</v>
      </c>
    </row>
    <row r="2624" spans="1:33" ht="15" customHeight="1" x14ac:dyDescent="0.2">
      <c r="A2624" s="11" t="str">
        <f t="shared" si="1054"/>
        <v>VN000D5D17P1</v>
      </c>
      <c r="B2624" s="12" t="s">
        <v>9673</v>
      </c>
      <c r="C2624" s="12" t="s">
        <v>2592</v>
      </c>
      <c r="D2624" s="12" t="s">
        <v>2593</v>
      </c>
      <c r="E2624" s="12" t="s">
        <v>9674</v>
      </c>
      <c r="F2624" s="13">
        <v>95</v>
      </c>
      <c r="G2624" s="14"/>
      <c r="H2624" s="12" t="s">
        <v>38</v>
      </c>
      <c r="I2624" s="12" t="s">
        <v>159</v>
      </c>
      <c r="J2624" s="12" t="s">
        <v>341</v>
      </c>
      <c r="K2624" s="12" t="s">
        <v>199</v>
      </c>
      <c r="L2624" s="14"/>
      <c r="M2624" s="12" t="s">
        <v>43</v>
      </c>
      <c r="N2624" s="12" t="s">
        <v>84</v>
      </c>
      <c r="O2624" s="12" t="s">
        <v>9675</v>
      </c>
      <c r="P2624" s="12" t="s">
        <v>46</v>
      </c>
      <c r="Q2624" s="12" t="s">
        <v>47</v>
      </c>
      <c r="R2624" s="12" t="s">
        <v>163</v>
      </c>
      <c r="S2624" s="13">
        <v>197804531790</v>
      </c>
      <c r="T2624" s="12" t="s">
        <v>49</v>
      </c>
      <c r="U2624" s="13">
        <v>42.5</v>
      </c>
      <c r="V2624" s="12" t="s">
        <v>50</v>
      </c>
      <c r="W2624" s="12" t="s">
        <v>118</v>
      </c>
      <c r="X2624" s="14"/>
      <c r="Y2624" s="14"/>
      <c r="Z2624" s="14"/>
      <c r="AA2624" s="14"/>
      <c r="AB2624" s="14"/>
      <c r="AC2624" s="15">
        <v>45.5</v>
      </c>
      <c r="AD2624" s="15">
        <f>AC2624*AG2624</f>
        <v>91</v>
      </c>
      <c r="AE2624" s="15">
        <v>100</v>
      </c>
      <c r="AF2624" s="15">
        <f>AE2624*AG2624</f>
        <v>200</v>
      </c>
      <c r="AG2624" s="16">
        <v>2</v>
      </c>
    </row>
    <row r="2625" spans="1:33" ht="15" customHeight="1" x14ac:dyDescent="0.2">
      <c r="A2625" s="11" t="str">
        <f t="shared" si="797"/>
        <v>VN000D5DDUF1</v>
      </c>
      <c r="B2625" s="12" t="s">
        <v>9676</v>
      </c>
      <c r="C2625" s="12" t="s">
        <v>2592</v>
      </c>
      <c r="D2625" s="12" t="s">
        <v>7257</v>
      </c>
      <c r="E2625" s="12" t="s">
        <v>9677</v>
      </c>
      <c r="F2625" s="13">
        <v>50</v>
      </c>
      <c r="G2625" s="14"/>
      <c r="H2625" s="12" t="s">
        <v>38</v>
      </c>
      <c r="I2625" s="12" t="s">
        <v>159</v>
      </c>
      <c r="J2625" s="12" t="s">
        <v>341</v>
      </c>
      <c r="K2625" s="12" t="s">
        <v>199</v>
      </c>
      <c r="L2625" s="14"/>
      <c r="M2625" s="12" t="s">
        <v>43</v>
      </c>
      <c r="N2625" s="12" t="s">
        <v>84</v>
      </c>
      <c r="O2625" s="12" t="s">
        <v>9678</v>
      </c>
      <c r="P2625" s="12" t="s">
        <v>46</v>
      </c>
      <c r="Q2625" s="12" t="s">
        <v>47</v>
      </c>
      <c r="R2625" s="12" t="s">
        <v>163</v>
      </c>
      <c r="S2625" s="13">
        <v>197804531493</v>
      </c>
      <c r="T2625" s="12" t="s">
        <v>49</v>
      </c>
      <c r="U2625" s="13">
        <v>36.5</v>
      </c>
      <c r="V2625" s="12" t="s">
        <v>50</v>
      </c>
      <c r="W2625" s="12" t="s">
        <v>175</v>
      </c>
      <c r="X2625" s="14"/>
      <c r="Y2625" s="14"/>
      <c r="Z2625" s="14"/>
      <c r="AA2625" s="14"/>
      <c r="AB2625" s="14"/>
      <c r="AC2625" s="15">
        <v>45.5</v>
      </c>
      <c r="AD2625" s="15">
        <f>AC2625*AG2625</f>
        <v>91</v>
      </c>
      <c r="AE2625" s="15">
        <v>100</v>
      </c>
      <c r="AF2625" s="15">
        <f>AE2625*AG2625</f>
        <v>200</v>
      </c>
      <c r="AG2625" s="16">
        <v>2</v>
      </c>
    </row>
    <row r="2626" spans="1:33" ht="15" customHeight="1" x14ac:dyDescent="0.2">
      <c r="A2626" s="11" t="str">
        <f t="shared" ref="A2626:A4275" si="1055">HYPERLINK("https://assets.vans.eu/images/VN000D5R11U-HERO/1","VN000D5R11U1")</f>
        <v>VN000D5R11U1</v>
      </c>
      <c r="B2626" s="12" t="s">
        <v>9679</v>
      </c>
      <c r="C2626" s="12" t="s">
        <v>5867</v>
      </c>
      <c r="D2626" s="12" t="s">
        <v>9680</v>
      </c>
      <c r="E2626" s="12" t="s">
        <v>9681</v>
      </c>
      <c r="F2626" s="13">
        <v>70</v>
      </c>
      <c r="G2626" s="14"/>
      <c r="H2626" s="12" t="s">
        <v>38</v>
      </c>
      <c r="I2626" s="12" t="s">
        <v>159</v>
      </c>
      <c r="J2626" s="12" t="s">
        <v>341</v>
      </c>
      <c r="K2626" s="12" t="s">
        <v>199</v>
      </c>
      <c r="L2626" s="14"/>
      <c r="M2626" s="12" t="s">
        <v>43</v>
      </c>
      <c r="N2626" s="12" t="s">
        <v>84</v>
      </c>
      <c r="O2626" s="12" t="s">
        <v>9682</v>
      </c>
      <c r="P2626" s="12" t="s">
        <v>46</v>
      </c>
      <c r="Q2626" s="12" t="s">
        <v>47</v>
      </c>
      <c r="R2626" s="12" t="s">
        <v>163</v>
      </c>
      <c r="S2626" s="13">
        <v>197804532506</v>
      </c>
      <c r="T2626" s="12" t="s">
        <v>49</v>
      </c>
      <c r="U2626" s="13">
        <v>39</v>
      </c>
      <c r="V2626" s="12" t="s">
        <v>50</v>
      </c>
      <c r="W2626" s="12" t="s">
        <v>933</v>
      </c>
      <c r="X2626" s="14"/>
      <c r="Y2626" s="14"/>
      <c r="Z2626" s="14"/>
      <c r="AA2626" s="14"/>
      <c r="AB2626" s="14"/>
      <c r="AC2626" s="15">
        <v>38.65</v>
      </c>
      <c r="AD2626" s="15">
        <f>AC2626*AG2626</f>
        <v>77.3</v>
      </c>
      <c r="AE2626" s="15">
        <v>85</v>
      </c>
      <c r="AF2626" s="15">
        <f>AE2626*AG2626</f>
        <v>170</v>
      </c>
      <c r="AG2626" s="16">
        <v>2</v>
      </c>
    </row>
    <row r="2627" spans="1:33" ht="15" customHeight="1" x14ac:dyDescent="0.2">
      <c r="A2627" s="11" t="str">
        <f t="shared" ref="A2627:A4279" si="1056">HYPERLINK("https://assets.vans.eu/images/VN000D5R9DH-HERO/1","VN000D5R9DH1")</f>
        <v>VN000D5R9DH1</v>
      </c>
      <c r="B2627" s="12" t="s">
        <v>9683</v>
      </c>
      <c r="C2627" s="12" t="s">
        <v>5867</v>
      </c>
      <c r="D2627" s="12" t="s">
        <v>9684</v>
      </c>
      <c r="E2627" s="12" t="s">
        <v>9685</v>
      </c>
      <c r="F2627" s="13">
        <v>120</v>
      </c>
      <c r="G2627" s="14"/>
      <c r="H2627" s="12" t="s">
        <v>38</v>
      </c>
      <c r="I2627" s="12" t="s">
        <v>159</v>
      </c>
      <c r="J2627" s="12" t="s">
        <v>341</v>
      </c>
      <c r="K2627" s="12" t="s">
        <v>199</v>
      </c>
      <c r="L2627" s="14"/>
      <c r="M2627" s="12" t="s">
        <v>43</v>
      </c>
      <c r="N2627" s="12" t="s">
        <v>84</v>
      </c>
      <c r="O2627" s="12" t="s">
        <v>9686</v>
      </c>
      <c r="P2627" s="12" t="s">
        <v>46</v>
      </c>
      <c r="Q2627" s="12" t="s">
        <v>47</v>
      </c>
      <c r="R2627" s="12" t="s">
        <v>163</v>
      </c>
      <c r="S2627" s="13">
        <v>197804533848</v>
      </c>
      <c r="T2627" s="12" t="s">
        <v>49</v>
      </c>
      <c r="U2627" s="13">
        <v>46</v>
      </c>
      <c r="V2627" s="12" t="s">
        <v>50</v>
      </c>
      <c r="W2627" s="12" t="s">
        <v>175</v>
      </c>
      <c r="X2627" s="14"/>
      <c r="Y2627" s="14"/>
      <c r="Z2627" s="14"/>
      <c r="AA2627" s="14"/>
      <c r="AB2627" s="14"/>
      <c r="AC2627" s="15">
        <v>38.65</v>
      </c>
      <c r="AD2627" s="15">
        <f>AC2627*AG2627</f>
        <v>77.3</v>
      </c>
      <c r="AE2627" s="15">
        <v>85</v>
      </c>
      <c r="AF2627" s="15">
        <f>AE2627*AG2627</f>
        <v>170</v>
      </c>
      <c r="AG2627" s="16">
        <v>2</v>
      </c>
    </row>
    <row r="2628" spans="1:33" ht="15" customHeight="1" x14ac:dyDescent="0.2">
      <c r="A2628" s="11" t="str">
        <f t="shared" si="799"/>
        <v>VN000D5RBRG1</v>
      </c>
      <c r="B2628" s="12" t="s">
        <v>9687</v>
      </c>
      <c r="C2628" s="12" t="s">
        <v>5867</v>
      </c>
      <c r="D2628" s="12" t="s">
        <v>5868</v>
      </c>
      <c r="E2628" s="12" t="s">
        <v>9688</v>
      </c>
      <c r="F2628" s="13">
        <v>75</v>
      </c>
      <c r="G2628" s="12" t="s">
        <v>1460</v>
      </c>
      <c r="H2628" s="12" t="s">
        <v>38</v>
      </c>
      <c r="I2628" s="12" t="s">
        <v>159</v>
      </c>
      <c r="J2628" s="12" t="s">
        <v>341</v>
      </c>
      <c r="K2628" s="12" t="s">
        <v>199</v>
      </c>
      <c r="L2628" s="14"/>
      <c r="M2628" s="12" t="s">
        <v>43</v>
      </c>
      <c r="N2628" s="12" t="s">
        <v>84</v>
      </c>
      <c r="O2628" s="12" t="s">
        <v>9689</v>
      </c>
      <c r="P2628" s="12" t="s">
        <v>46</v>
      </c>
      <c r="Q2628" s="12" t="s">
        <v>47</v>
      </c>
      <c r="R2628" s="12" t="s">
        <v>163</v>
      </c>
      <c r="S2628" s="13">
        <v>197804532780</v>
      </c>
      <c r="T2628" s="12" t="s">
        <v>49</v>
      </c>
      <c r="U2628" s="13">
        <v>40</v>
      </c>
      <c r="V2628" s="12" t="s">
        <v>50</v>
      </c>
      <c r="W2628" s="12" t="s">
        <v>107</v>
      </c>
      <c r="X2628" s="14"/>
      <c r="Y2628" s="14"/>
      <c r="Z2628" s="14"/>
      <c r="AA2628" s="14"/>
      <c r="AB2628" s="14"/>
      <c r="AC2628" s="15">
        <v>38.65</v>
      </c>
      <c r="AD2628" s="15">
        <f>AC2628*AG2628</f>
        <v>77.3</v>
      </c>
      <c r="AE2628" s="15">
        <v>85</v>
      </c>
      <c r="AF2628" s="15">
        <f>AE2628*AG2628</f>
        <v>170</v>
      </c>
      <c r="AG2628" s="16">
        <v>2</v>
      </c>
    </row>
    <row r="2629" spans="1:33" ht="15" customHeight="1" x14ac:dyDescent="0.2">
      <c r="A2629" s="11" t="str">
        <f t="shared" ref="A2629:A2631" si="1057">HYPERLINK("https://assets.vans.eu/images/VN000D5RBRG-HERO/1","VN000D5RBRG1")</f>
        <v>VN000D5RBRG1</v>
      </c>
      <c r="B2629" s="12" t="s">
        <v>9690</v>
      </c>
      <c r="C2629" s="12" t="s">
        <v>5867</v>
      </c>
      <c r="D2629" s="12" t="s">
        <v>5868</v>
      </c>
      <c r="E2629" s="12" t="s">
        <v>9691</v>
      </c>
      <c r="F2629" s="13">
        <v>80</v>
      </c>
      <c r="G2629" s="12" t="s">
        <v>1460</v>
      </c>
      <c r="H2629" s="12" t="s">
        <v>38</v>
      </c>
      <c r="I2629" s="12" t="s">
        <v>159</v>
      </c>
      <c r="J2629" s="12" t="s">
        <v>341</v>
      </c>
      <c r="K2629" s="12" t="s">
        <v>199</v>
      </c>
      <c r="L2629" s="14"/>
      <c r="M2629" s="12" t="s">
        <v>43</v>
      </c>
      <c r="N2629" s="12" t="s">
        <v>84</v>
      </c>
      <c r="O2629" s="12" t="s">
        <v>9692</v>
      </c>
      <c r="P2629" s="12" t="s">
        <v>46</v>
      </c>
      <c r="Q2629" s="12" t="s">
        <v>47</v>
      </c>
      <c r="R2629" s="12" t="s">
        <v>163</v>
      </c>
      <c r="S2629" s="13">
        <v>197804532865</v>
      </c>
      <c r="T2629" s="12" t="s">
        <v>49</v>
      </c>
      <c r="U2629" s="13">
        <v>40.5</v>
      </c>
      <c r="V2629" s="12" t="s">
        <v>50</v>
      </c>
      <c r="W2629" s="12" t="s">
        <v>107</v>
      </c>
      <c r="X2629" s="14"/>
      <c r="Y2629" s="14"/>
      <c r="Z2629" s="14"/>
      <c r="AA2629" s="14"/>
      <c r="AB2629" s="14"/>
      <c r="AC2629" s="15">
        <v>38.65</v>
      </c>
      <c r="AD2629" s="15">
        <f>AC2629*AG2629</f>
        <v>77.3</v>
      </c>
      <c r="AE2629" s="15">
        <v>85</v>
      </c>
      <c r="AF2629" s="15">
        <f>AE2629*AG2629</f>
        <v>170</v>
      </c>
      <c r="AG2629" s="16">
        <v>2</v>
      </c>
    </row>
    <row r="2630" spans="1:33" ht="15" customHeight="1" x14ac:dyDescent="0.2">
      <c r="A2630" s="11" t="str">
        <f t="shared" si="1057"/>
        <v>VN000D5RBRG1</v>
      </c>
      <c r="B2630" s="12" t="s">
        <v>9693</v>
      </c>
      <c r="C2630" s="12" t="s">
        <v>5867</v>
      </c>
      <c r="D2630" s="12" t="s">
        <v>5868</v>
      </c>
      <c r="E2630" s="12" t="s">
        <v>9694</v>
      </c>
      <c r="F2630" s="13">
        <v>100</v>
      </c>
      <c r="G2630" s="12" t="s">
        <v>1460</v>
      </c>
      <c r="H2630" s="12" t="s">
        <v>38</v>
      </c>
      <c r="I2630" s="12" t="s">
        <v>159</v>
      </c>
      <c r="J2630" s="12" t="s">
        <v>341</v>
      </c>
      <c r="K2630" s="12" t="s">
        <v>199</v>
      </c>
      <c r="L2630" s="14"/>
      <c r="M2630" s="12" t="s">
        <v>43</v>
      </c>
      <c r="N2630" s="12" t="s">
        <v>84</v>
      </c>
      <c r="O2630" s="12" t="s">
        <v>9695</v>
      </c>
      <c r="P2630" s="12" t="s">
        <v>46</v>
      </c>
      <c r="Q2630" s="12" t="s">
        <v>47</v>
      </c>
      <c r="R2630" s="12" t="s">
        <v>163</v>
      </c>
      <c r="S2630" s="13">
        <v>197804533602</v>
      </c>
      <c r="T2630" s="12" t="s">
        <v>49</v>
      </c>
      <c r="U2630" s="13">
        <v>43</v>
      </c>
      <c r="V2630" s="12" t="s">
        <v>50</v>
      </c>
      <c r="W2630" s="12" t="s">
        <v>107</v>
      </c>
      <c r="X2630" s="14"/>
      <c r="Y2630" s="14"/>
      <c r="Z2630" s="14"/>
      <c r="AA2630" s="14"/>
      <c r="AB2630" s="14"/>
      <c r="AC2630" s="15">
        <v>38.65</v>
      </c>
      <c r="AD2630" s="15">
        <f>AC2630*AG2630</f>
        <v>77.3</v>
      </c>
      <c r="AE2630" s="15">
        <v>85</v>
      </c>
      <c r="AF2630" s="15">
        <f>AE2630*AG2630</f>
        <v>170</v>
      </c>
      <c r="AG2630" s="16">
        <v>2</v>
      </c>
    </row>
    <row r="2631" spans="1:33" ht="15" customHeight="1" x14ac:dyDescent="0.2">
      <c r="A2631" s="11" t="str">
        <f t="shared" si="1057"/>
        <v>VN000D5RBRG1</v>
      </c>
      <c r="B2631" s="12" t="s">
        <v>9696</v>
      </c>
      <c r="C2631" s="12" t="s">
        <v>5867</v>
      </c>
      <c r="D2631" s="12" t="s">
        <v>5868</v>
      </c>
      <c r="E2631" s="12" t="s">
        <v>9697</v>
      </c>
      <c r="F2631" s="13">
        <v>110</v>
      </c>
      <c r="G2631" s="12" t="s">
        <v>1460</v>
      </c>
      <c r="H2631" s="12" t="s">
        <v>38</v>
      </c>
      <c r="I2631" s="12" t="s">
        <v>159</v>
      </c>
      <c r="J2631" s="12" t="s">
        <v>341</v>
      </c>
      <c r="K2631" s="12" t="s">
        <v>199</v>
      </c>
      <c r="L2631" s="14"/>
      <c r="M2631" s="12" t="s">
        <v>43</v>
      </c>
      <c r="N2631" s="12" t="s">
        <v>84</v>
      </c>
      <c r="O2631" s="12" t="s">
        <v>9698</v>
      </c>
      <c r="P2631" s="12" t="s">
        <v>46</v>
      </c>
      <c r="Q2631" s="12" t="s">
        <v>47</v>
      </c>
      <c r="R2631" s="12" t="s">
        <v>163</v>
      </c>
      <c r="S2631" s="13">
        <v>197804533831</v>
      </c>
      <c r="T2631" s="12" t="s">
        <v>49</v>
      </c>
      <c r="U2631" s="13">
        <v>44.5</v>
      </c>
      <c r="V2631" s="12" t="s">
        <v>50</v>
      </c>
      <c r="W2631" s="12" t="s">
        <v>107</v>
      </c>
      <c r="X2631" s="14"/>
      <c r="Y2631" s="14"/>
      <c r="Z2631" s="14"/>
      <c r="AA2631" s="14"/>
      <c r="AB2631" s="14"/>
      <c r="AC2631" s="15">
        <v>38.65</v>
      </c>
      <c r="AD2631" s="15">
        <f>AC2631*AG2631</f>
        <v>77.3</v>
      </c>
      <c r="AE2631" s="15">
        <v>85</v>
      </c>
      <c r="AF2631" s="15">
        <f>AE2631*AG2631</f>
        <v>170</v>
      </c>
      <c r="AG2631" s="16">
        <v>2</v>
      </c>
    </row>
    <row r="2632" spans="1:33" ht="15" customHeight="1" x14ac:dyDescent="0.2">
      <c r="A2632" s="11" t="str">
        <f t="shared" ref="A2632:A4287" si="1058">HYPERLINK("https://assets.vans.eu/images/VN000D5RY52-HERO/1","VN000D5RY521")</f>
        <v>VN000D5RY521</v>
      </c>
      <c r="B2632" s="12" t="s">
        <v>9699</v>
      </c>
      <c r="C2632" s="12" t="s">
        <v>5867</v>
      </c>
      <c r="D2632" s="12" t="s">
        <v>9700</v>
      </c>
      <c r="E2632" s="12" t="s">
        <v>9701</v>
      </c>
      <c r="F2632" s="13">
        <v>105</v>
      </c>
      <c r="G2632" s="14"/>
      <c r="H2632" s="12" t="s">
        <v>38</v>
      </c>
      <c r="I2632" s="12" t="s">
        <v>159</v>
      </c>
      <c r="J2632" s="12" t="s">
        <v>341</v>
      </c>
      <c r="K2632" s="12" t="s">
        <v>199</v>
      </c>
      <c r="L2632" s="14"/>
      <c r="M2632" s="12" t="s">
        <v>43</v>
      </c>
      <c r="N2632" s="12" t="s">
        <v>84</v>
      </c>
      <c r="O2632" s="12" t="s">
        <v>9702</v>
      </c>
      <c r="P2632" s="12" t="s">
        <v>46</v>
      </c>
      <c r="Q2632" s="12" t="s">
        <v>47</v>
      </c>
      <c r="R2632" s="12" t="s">
        <v>163</v>
      </c>
      <c r="S2632" s="13">
        <v>197804534449</v>
      </c>
      <c r="T2632" s="12" t="s">
        <v>49</v>
      </c>
      <c r="U2632" s="13">
        <v>44</v>
      </c>
      <c r="V2632" s="12" t="s">
        <v>50</v>
      </c>
      <c r="W2632" s="12" t="s">
        <v>262</v>
      </c>
      <c r="X2632" s="14"/>
      <c r="Y2632" s="14"/>
      <c r="Z2632" s="14"/>
      <c r="AA2632" s="14"/>
      <c r="AB2632" s="14"/>
      <c r="AC2632" s="15">
        <v>38.65</v>
      </c>
      <c r="AD2632" s="15">
        <f>AC2632*AG2632</f>
        <v>77.3</v>
      </c>
      <c r="AE2632" s="15">
        <v>85</v>
      </c>
      <c r="AF2632" s="15">
        <f>AE2632*AG2632</f>
        <v>170</v>
      </c>
      <c r="AG2632" s="16">
        <v>2</v>
      </c>
    </row>
    <row r="2633" spans="1:33" ht="15" customHeight="1" x14ac:dyDescent="0.2">
      <c r="A2633" s="11" t="str">
        <f t="shared" ref="A2633:A4288" si="1059">HYPERLINK("https://assets.vans.eu/images/VN000D5VBH7-HERO/1","VN000D5VBH71")</f>
        <v>VN000D5VBH71</v>
      </c>
      <c r="B2633" s="12" t="s">
        <v>9703</v>
      </c>
      <c r="C2633" s="12" t="s">
        <v>1006</v>
      </c>
      <c r="D2633" s="12" t="s">
        <v>1030</v>
      </c>
      <c r="E2633" s="12" t="s">
        <v>9704</v>
      </c>
      <c r="F2633" s="13">
        <v>40</v>
      </c>
      <c r="G2633" s="14"/>
      <c r="H2633" s="12" t="s">
        <v>38</v>
      </c>
      <c r="I2633" s="12" t="s">
        <v>113</v>
      </c>
      <c r="J2633" s="12" t="s">
        <v>529</v>
      </c>
      <c r="K2633" s="12" t="s">
        <v>82</v>
      </c>
      <c r="L2633" s="14"/>
      <c r="M2633" s="12" t="s">
        <v>43</v>
      </c>
      <c r="N2633" s="12" t="s">
        <v>84</v>
      </c>
      <c r="O2633" s="12" t="s">
        <v>9705</v>
      </c>
      <c r="P2633" s="12" t="s">
        <v>46</v>
      </c>
      <c r="Q2633" s="12" t="s">
        <v>47</v>
      </c>
      <c r="R2633" s="12" t="s">
        <v>117</v>
      </c>
      <c r="S2633" s="13">
        <v>197804450237</v>
      </c>
      <c r="T2633" s="12" t="s">
        <v>49</v>
      </c>
      <c r="U2633" s="13">
        <v>35</v>
      </c>
      <c r="V2633" s="12" t="s">
        <v>50</v>
      </c>
      <c r="W2633" s="12" t="s">
        <v>455</v>
      </c>
      <c r="X2633" s="14"/>
      <c r="Y2633" s="14"/>
      <c r="Z2633" s="14"/>
      <c r="AA2633" s="14"/>
      <c r="AB2633" s="14"/>
      <c r="AC2633" s="15">
        <v>70.5</v>
      </c>
      <c r="AD2633" s="15">
        <f>AC2633*AG2633</f>
        <v>141</v>
      </c>
      <c r="AE2633" s="15">
        <v>155</v>
      </c>
      <c r="AF2633" s="15">
        <f>AE2633*AG2633</f>
        <v>310</v>
      </c>
      <c r="AG2633" s="16">
        <v>2</v>
      </c>
    </row>
    <row r="2634" spans="1:33" ht="15" customHeight="1" x14ac:dyDescent="0.2">
      <c r="A2634" s="11" t="str">
        <f t="shared" ref="A2634:A4291" si="1060">HYPERLINK("https://assets.vans.eu/images/VN000D5VDRB-HERO/1","VN000D5VDRB1")</f>
        <v>VN000D5VDRB1</v>
      </c>
      <c r="B2634" s="12" t="s">
        <v>9706</v>
      </c>
      <c r="C2634" s="12" t="s">
        <v>1006</v>
      </c>
      <c r="D2634" s="12" t="s">
        <v>2663</v>
      </c>
      <c r="E2634" s="12" t="s">
        <v>9707</v>
      </c>
      <c r="F2634" s="13">
        <v>85</v>
      </c>
      <c r="G2634" s="14"/>
      <c r="H2634" s="12" t="s">
        <v>38</v>
      </c>
      <c r="I2634" s="12" t="s">
        <v>159</v>
      </c>
      <c r="J2634" s="12" t="s">
        <v>255</v>
      </c>
      <c r="K2634" s="12" t="s">
        <v>82</v>
      </c>
      <c r="L2634" s="14"/>
      <c r="M2634" s="12" t="s">
        <v>43</v>
      </c>
      <c r="N2634" s="12" t="s">
        <v>84</v>
      </c>
      <c r="O2634" s="12" t="s">
        <v>9708</v>
      </c>
      <c r="P2634" s="12" t="s">
        <v>46</v>
      </c>
      <c r="Q2634" s="12" t="s">
        <v>47</v>
      </c>
      <c r="R2634" s="12" t="s">
        <v>163</v>
      </c>
      <c r="S2634" s="13">
        <v>197804451401</v>
      </c>
      <c r="T2634" s="12" t="s">
        <v>49</v>
      </c>
      <c r="U2634" s="13">
        <v>41</v>
      </c>
      <c r="V2634" s="12" t="s">
        <v>50</v>
      </c>
      <c r="W2634" s="12" t="s">
        <v>186</v>
      </c>
      <c r="X2634" s="14"/>
      <c r="Y2634" s="14"/>
      <c r="Z2634" s="14"/>
      <c r="AA2634" s="14"/>
      <c r="AB2634" s="14"/>
      <c r="AC2634" s="15">
        <v>70.5</v>
      </c>
      <c r="AD2634" s="15">
        <f>AC2634*AG2634</f>
        <v>141</v>
      </c>
      <c r="AE2634" s="15">
        <v>155</v>
      </c>
      <c r="AF2634" s="15">
        <f>AE2634*AG2634</f>
        <v>310</v>
      </c>
      <c r="AG2634" s="16">
        <v>2</v>
      </c>
    </row>
    <row r="2635" spans="1:33" ht="15" customHeight="1" x14ac:dyDescent="0.2">
      <c r="A2635" s="11" t="str">
        <f t="shared" ref="A2635:A2636" si="1061">HYPERLINK("https://assets.vans.eu/images/VN000D5VZRY-HERO/1","VN000D5VZRY1")</f>
        <v>VN000D5VZRY1</v>
      </c>
      <c r="B2635" s="12" t="s">
        <v>9709</v>
      </c>
      <c r="C2635" s="12" t="s">
        <v>1006</v>
      </c>
      <c r="D2635" s="12" t="s">
        <v>1996</v>
      </c>
      <c r="E2635" s="12" t="s">
        <v>9710</v>
      </c>
      <c r="F2635" s="13">
        <v>60</v>
      </c>
      <c r="G2635" s="14"/>
      <c r="H2635" s="12" t="s">
        <v>38</v>
      </c>
      <c r="I2635" s="12" t="s">
        <v>113</v>
      </c>
      <c r="J2635" s="12" t="s">
        <v>529</v>
      </c>
      <c r="K2635" s="12" t="s">
        <v>82</v>
      </c>
      <c r="L2635" s="14"/>
      <c r="M2635" s="12" t="s">
        <v>43</v>
      </c>
      <c r="N2635" s="12" t="s">
        <v>84</v>
      </c>
      <c r="O2635" s="12" t="s">
        <v>9711</v>
      </c>
      <c r="P2635" s="12" t="s">
        <v>46</v>
      </c>
      <c r="Q2635" s="12" t="s">
        <v>47</v>
      </c>
      <c r="R2635" s="12" t="s">
        <v>117</v>
      </c>
      <c r="S2635" s="13">
        <v>197804450930</v>
      </c>
      <c r="T2635" s="12" t="s">
        <v>49</v>
      </c>
      <c r="U2635" s="13">
        <v>38</v>
      </c>
      <c r="V2635" s="12" t="s">
        <v>50</v>
      </c>
      <c r="W2635" s="12" t="s">
        <v>299</v>
      </c>
      <c r="X2635" s="14"/>
      <c r="Y2635" s="14"/>
      <c r="Z2635" s="14"/>
      <c r="AA2635" s="14"/>
      <c r="AB2635" s="14"/>
      <c r="AC2635" s="15">
        <v>70.5</v>
      </c>
      <c r="AD2635" s="15">
        <f>AC2635*AG2635</f>
        <v>141</v>
      </c>
      <c r="AE2635" s="15">
        <v>155</v>
      </c>
      <c r="AF2635" s="15">
        <f>AE2635*AG2635</f>
        <v>310</v>
      </c>
      <c r="AG2635" s="16">
        <v>2</v>
      </c>
    </row>
    <row r="2636" spans="1:33" ht="15" customHeight="1" x14ac:dyDescent="0.2">
      <c r="A2636" s="11" t="str">
        <f t="shared" si="1061"/>
        <v>VN000D5VZRY1</v>
      </c>
      <c r="B2636" s="12" t="s">
        <v>9712</v>
      </c>
      <c r="C2636" s="12" t="s">
        <v>1006</v>
      </c>
      <c r="D2636" s="12" t="s">
        <v>1996</v>
      </c>
      <c r="E2636" s="12" t="s">
        <v>9713</v>
      </c>
      <c r="F2636" s="13">
        <v>105</v>
      </c>
      <c r="G2636" s="14"/>
      <c r="H2636" s="12" t="s">
        <v>38</v>
      </c>
      <c r="I2636" s="12" t="s">
        <v>113</v>
      </c>
      <c r="J2636" s="12" t="s">
        <v>529</v>
      </c>
      <c r="K2636" s="12" t="s">
        <v>82</v>
      </c>
      <c r="L2636" s="14"/>
      <c r="M2636" s="12" t="s">
        <v>43</v>
      </c>
      <c r="N2636" s="12" t="s">
        <v>84</v>
      </c>
      <c r="O2636" s="12" t="s">
        <v>9714</v>
      </c>
      <c r="P2636" s="12" t="s">
        <v>46</v>
      </c>
      <c r="Q2636" s="12" t="s">
        <v>47</v>
      </c>
      <c r="R2636" s="12" t="s">
        <v>117</v>
      </c>
      <c r="S2636" s="13">
        <v>197804452156</v>
      </c>
      <c r="T2636" s="12" t="s">
        <v>49</v>
      </c>
      <c r="U2636" s="13">
        <v>44</v>
      </c>
      <c r="V2636" s="12" t="s">
        <v>50</v>
      </c>
      <c r="W2636" s="12" t="s">
        <v>299</v>
      </c>
      <c r="X2636" s="14"/>
      <c r="Y2636" s="14"/>
      <c r="Z2636" s="14"/>
      <c r="AA2636" s="14"/>
      <c r="AB2636" s="14"/>
      <c r="AC2636" s="15">
        <v>70.5</v>
      </c>
      <c r="AD2636" s="15">
        <f>AC2636*AG2636</f>
        <v>141</v>
      </c>
      <c r="AE2636" s="15">
        <v>155</v>
      </c>
      <c r="AF2636" s="15">
        <f>AE2636*AG2636</f>
        <v>310</v>
      </c>
      <c r="AG2636" s="16">
        <v>2</v>
      </c>
    </row>
    <row r="2637" spans="1:33" ht="15" customHeight="1" x14ac:dyDescent="0.2">
      <c r="A2637" s="11" t="str">
        <f t="shared" ref="A2637:A2638" si="1062">HYPERLINK("https://assets.vans.eu/images/VN000D60CRM-HERO/1","VN000D60CRM1")</f>
        <v>VN000D60CRM1</v>
      </c>
      <c r="B2637" s="12" t="s">
        <v>9715</v>
      </c>
      <c r="C2637" s="12" t="s">
        <v>1470</v>
      </c>
      <c r="D2637" s="12" t="s">
        <v>2783</v>
      </c>
      <c r="E2637" s="12" t="s">
        <v>9716</v>
      </c>
      <c r="F2637" s="13">
        <v>40</v>
      </c>
      <c r="G2637" s="14"/>
      <c r="H2637" s="12" t="s">
        <v>38</v>
      </c>
      <c r="I2637" s="12" t="s">
        <v>113</v>
      </c>
      <c r="J2637" s="12" t="s">
        <v>529</v>
      </c>
      <c r="K2637" s="12" t="s">
        <v>82</v>
      </c>
      <c r="L2637" s="14"/>
      <c r="M2637" s="12" t="s">
        <v>43</v>
      </c>
      <c r="N2637" s="12" t="s">
        <v>44</v>
      </c>
      <c r="O2637" s="12" t="s">
        <v>9717</v>
      </c>
      <c r="P2637" s="12" t="s">
        <v>46</v>
      </c>
      <c r="Q2637" s="12" t="s">
        <v>47</v>
      </c>
      <c r="R2637" s="12" t="s">
        <v>117</v>
      </c>
      <c r="S2637" s="13">
        <v>197643281641</v>
      </c>
      <c r="T2637" s="12" t="s">
        <v>49</v>
      </c>
      <c r="U2637" s="13">
        <v>35</v>
      </c>
      <c r="V2637" s="12" t="s">
        <v>278</v>
      </c>
      <c r="W2637" s="12" t="s">
        <v>580</v>
      </c>
      <c r="X2637" s="14"/>
      <c r="Y2637" s="12" t="s">
        <v>91</v>
      </c>
      <c r="Z2637" s="12" t="s">
        <v>165</v>
      </c>
      <c r="AA2637" s="14"/>
      <c r="AB2637" s="14"/>
      <c r="AC2637" s="15">
        <v>52.3</v>
      </c>
      <c r="AD2637" s="15">
        <f>AC2637*AG2637</f>
        <v>104.6</v>
      </c>
      <c r="AE2637" s="15">
        <v>115</v>
      </c>
      <c r="AF2637" s="15">
        <f>AE2637*AG2637</f>
        <v>230</v>
      </c>
      <c r="AG2637" s="16">
        <v>2</v>
      </c>
    </row>
    <row r="2638" spans="1:33" ht="15" customHeight="1" x14ac:dyDescent="0.2">
      <c r="A2638" s="11" t="str">
        <f t="shared" si="1062"/>
        <v>VN000D60CRM1</v>
      </c>
      <c r="B2638" s="12" t="s">
        <v>9718</v>
      </c>
      <c r="C2638" s="12" t="s">
        <v>1470</v>
      </c>
      <c r="D2638" s="12" t="s">
        <v>2783</v>
      </c>
      <c r="E2638" s="12" t="s">
        <v>9719</v>
      </c>
      <c r="F2638" s="13">
        <v>50</v>
      </c>
      <c r="G2638" s="14"/>
      <c r="H2638" s="12" t="s">
        <v>38</v>
      </c>
      <c r="I2638" s="12" t="s">
        <v>113</v>
      </c>
      <c r="J2638" s="12" t="s">
        <v>529</v>
      </c>
      <c r="K2638" s="12" t="s">
        <v>82</v>
      </c>
      <c r="L2638" s="14"/>
      <c r="M2638" s="12" t="s">
        <v>43</v>
      </c>
      <c r="N2638" s="12" t="s">
        <v>44</v>
      </c>
      <c r="O2638" s="12" t="s">
        <v>9720</v>
      </c>
      <c r="P2638" s="12" t="s">
        <v>46</v>
      </c>
      <c r="Q2638" s="12" t="s">
        <v>47</v>
      </c>
      <c r="R2638" s="12" t="s">
        <v>117</v>
      </c>
      <c r="S2638" s="13">
        <v>197643281962</v>
      </c>
      <c r="T2638" s="12" t="s">
        <v>49</v>
      </c>
      <c r="U2638" s="13">
        <v>36.5</v>
      </c>
      <c r="V2638" s="12" t="s">
        <v>278</v>
      </c>
      <c r="W2638" s="12" t="s">
        <v>580</v>
      </c>
      <c r="X2638" s="14"/>
      <c r="Y2638" s="12" t="s">
        <v>91</v>
      </c>
      <c r="Z2638" s="12" t="s">
        <v>165</v>
      </c>
      <c r="AA2638" s="14"/>
      <c r="AB2638" s="14"/>
      <c r="AC2638" s="15">
        <v>52.3</v>
      </c>
      <c r="AD2638" s="15">
        <f>AC2638*AG2638</f>
        <v>104.6</v>
      </c>
      <c r="AE2638" s="15">
        <v>115</v>
      </c>
      <c r="AF2638" s="15">
        <f>AE2638*AG2638</f>
        <v>230</v>
      </c>
      <c r="AG2638" s="16">
        <v>2</v>
      </c>
    </row>
    <row r="2639" spans="1:33" ht="15" customHeight="1" x14ac:dyDescent="0.2">
      <c r="A2639" s="11" t="str">
        <f t="shared" ref="A2639:A2641" si="1063">HYPERLINK("https://assets.vans.eu/images/VN000D60EMW-HERO/1","VN000D60EMW1")</f>
        <v>VN000D60EMW1</v>
      </c>
      <c r="B2639" s="12" t="s">
        <v>9721</v>
      </c>
      <c r="C2639" s="12" t="s">
        <v>1470</v>
      </c>
      <c r="D2639" s="12" t="s">
        <v>147</v>
      </c>
      <c r="E2639" s="12" t="s">
        <v>9722</v>
      </c>
      <c r="F2639" s="13">
        <v>50</v>
      </c>
      <c r="G2639" s="14"/>
      <c r="H2639" s="12" t="s">
        <v>38</v>
      </c>
      <c r="I2639" s="12" t="s">
        <v>113</v>
      </c>
      <c r="J2639" s="12" t="s">
        <v>529</v>
      </c>
      <c r="K2639" s="12" t="s">
        <v>82</v>
      </c>
      <c r="L2639" s="14"/>
      <c r="M2639" s="12" t="s">
        <v>43</v>
      </c>
      <c r="N2639" s="12" t="s">
        <v>84</v>
      </c>
      <c r="O2639" s="12" t="s">
        <v>9723</v>
      </c>
      <c r="P2639" s="12" t="s">
        <v>46</v>
      </c>
      <c r="Q2639" s="12" t="s">
        <v>47</v>
      </c>
      <c r="R2639" s="12" t="s">
        <v>117</v>
      </c>
      <c r="S2639" s="13">
        <v>197804533008</v>
      </c>
      <c r="T2639" s="12" t="s">
        <v>49</v>
      </c>
      <c r="U2639" s="13">
        <v>36.5</v>
      </c>
      <c r="V2639" s="12" t="s">
        <v>278</v>
      </c>
      <c r="W2639" s="12" t="s">
        <v>118</v>
      </c>
      <c r="X2639" s="14"/>
      <c r="Y2639" s="14"/>
      <c r="Z2639" s="14"/>
      <c r="AA2639" s="14"/>
      <c r="AB2639" s="14"/>
      <c r="AC2639" s="15">
        <v>52.3</v>
      </c>
      <c r="AD2639" s="15">
        <f>AC2639*AG2639</f>
        <v>104.6</v>
      </c>
      <c r="AE2639" s="15">
        <v>115</v>
      </c>
      <c r="AF2639" s="15">
        <f>AE2639*AG2639</f>
        <v>230</v>
      </c>
      <c r="AG2639" s="16">
        <v>2</v>
      </c>
    </row>
    <row r="2640" spans="1:33" ht="15" customHeight="1" x14ac:dyDescent="0.2">
      <c r="A2640" s="11" t="str">
        <f t="shared" si="1063"/>
        <v>VN000D60EMW1</v>
      </c>
      <c r="B2640" s="12" t="s">
        <v>9724</v>
      </c>
      <c r="C2640" s="12" t="s">
        <v>1470</v>
      </c>
      <c r="D2640" s="12" t="s">
        <v>147</v>
      </c>
      <c r="E2640" s="12" t="s">
        <v>9725</v>
      </c>
      <c r="F2640" s="13">
        <v>60</v>
      </c>
      <c r="G2640" s="14"/>
      <c r="H2640" s="12" t="s">
        <v>38</v>
      </c>
      <c r="I2640" s="12" t="s">
        <v>113</v>
      </c>
      <c r="J2640" s="12" t="s">
        <v>529</v>
      </c>
      <c r="K2640" s="12" t="s">
        <v>82</v>
      </c>
      <c r="L2640" s="14"/>
      <c r="M2640" s="12" t="s">
        <v>43</v>
      </c>
      <c r="N2640" s="12" t="s">
        <v>84</v>
      </c>
      <c r="O2640" s="12" t="s">
        <v>9726</v>
      </c>
      <c r="P2640" s="12" t="s">
        <v>46</v>
      </c>
      <c r="Q2640" s="12" t="s">
        <v>47</v>
      </c>
      <c r="R2640" s="12" t="s">
        <v>117</v>
      </c>
      <c r="S2640" s="13">
        <v>197804533350</v>
      </c>
      <c r="T2640" s="12" t="s">
        <v>49</v>
      </c>
      <c r="U2640" s="13">
        <v>38</v>
      </c>
      <c r="V2640" s="12" t="s">
        <v>278</v>
      </c>
      <c r="W2640" s="12" t="s">
        <v>118</v>
      </c>
      <c r="X2640" s="14"/>
      <c r="Y2640" s="14"/>
      <c r="Z2640" s="14"/>
      <c r="AA2640" s="14"/>
      <c r="AB2640" s="14"/>
      <c r="AC2640" s="15">
        <v>52.3</v>
      </c>
      <c r="AD2640" s="15">
        <f>AC2640*AG2640</f>
        <v>104.6</v>
      </c>
      <c r="AE2640" s="15">
        <v>115</v>
      </c>
      <c r="AF2640" s="15">
        <f>AE2640*AG2640</f>
        <v>230</v>
      </c>
      <c r="AG2640" s="16">
        <v>2</v>
      </c>
    </row>
    <row r="2641" spans="1:33" ht="15" customHeight="1" x14ac:dyDescent="0.2">
      <c r="A2641" s="11" t="str">
        <f t="shared" si="1063"/>
        <v>VN000D60EMW1</v>
      </c>
      <c r="B2641" s="12" t="s">
        <v>9727</v>
      </c>
      <c r="C2641" s="12" t="s">
        <v>1470</v>
      </c>
      <c r="D2641" s="12" t="s">
        <v>147</v>
      </c>
      <c r="E2641" s="12" t="s">
        <v>9728</v>
      </c>
      <c r="F2641" s="13">
        <v>65</v>
      </c>
      <c r="G2641" s="14"/>
      <c r="H2641" s="12" t="s">
        <v>38</v>
      </c>
      <c r="I2641" s="12" t="s">
        <v>113</v>
      </c>
      <c r="J2641" s="12" t="s">
        <v>529</v>
      </c>
      <c r="K2641" s="12" t="s">
        <v>82</v>
      </c>
      <c r="L2641" s="14"/>
      <c r="M2641" s="12" t="s">
        <v>43</v>
      </c>
      <c r="N2641" s="12" t="s">
        <v>84</v>
      </c>
      <c r="O2641" s="12" t="s">
        <v>9729</v>
      </c>
      <c r="P2641" s="12" t="s">
        <v>46</v>
      </c>
      <c r="Q2641" s="12" t="s">
        <v>47</v>
      </c>
      <c r="R2641" s="12" t="s">
        <v>117</v>
      </c>
      <c r="S2641" s="13">
        <v>197804533572</v>
      </c>
      <c r="T2641" s="12" t="s">
        <v>49</v>
      </c>
      <c r="U2641" s="13">
        <v>38.5</v>
      </c>
      <c r="V2641" s="12" t="s">
        <v>278</v>
      </c>
      <c r="W2641" s="12" t="s">
        <v>118</v>
      </c>
      <c r="X2641" s="14"/>
      <c r="Y2641" s="14"/>
      <c r="Z2641" s="14"/>
      <c r="AA2641" s="14"/>
      <c r="AB2641" s="14"/>
      <c r="AC2641" s="15">
        <v>52.3</v>
      </c>
      <c r="AD2641" s="15">
        <f>AC2641*AG2641</f>
        <v>104.6</v>
      </c>
      <c r="AE2641" s="15">
        <v>115</v>
      </c>
      <c r="AF2641" s="15">
        <f>AE2641*AG2641</f>
        <v>230</v>
      </c>
      <c r="AG2641" s="16">
        <v>2</v>
      </c>
    </row>
    <row r="2642" spans="1:33" ht="15" customHeight="1" x14ac:dyDescent="0.2">
      <c r="A2642" s="11" t="str">
        <f t="shared" ref="A2642:A2644" si="1064">HYPERLINK("https://assets.vans.eu/images/VN000D60RV2-HERO/1","VN000D60RV21")</f>
        <v>VN000D60RV21</v>
      </c>
      <c r="B2642" s="12" t="s">
        <v>9730</v>
      </c>
      <c r="C2642" s="12" t="s">
        <v>1470</v>
      </c>
      <c r="D2642" s="12" t="s">
        <v>1428</v>
      </c>
      <c r="E2642" s="12" t="s">
        <v>9731</v>
      </c>
      <c r="F2642" s="13">
        <v>80</v>
      </c>
      <c r="G2642" s="14"/>
      <c r="H2642" s="12" t="s">
        <v>38</v>
      </c>
      <c r="I2642" s="12" t="s">
        <v>159</v>
      </c>
      <c r="J2642" s="12" t="s">
        <v>255</v>
      </c>
      <c r="K2642" s="12" t="s">
        <v>82</v>
      </c>
      <c r="L2642" s="14"/>
      <c r="M2642" s="12" t="s">
        <v>43</v>
      </c>
      <c r="N2642" s="12" t="s">
        <v>84</v>
      </c>
      <c r="O2642" s="12" t="s">
        <v>9732</v>
      </c>
      <c r="P2642" s="12" t="s">
        <v>46</v>
      </c>
      <c r="Q2642" s="12" t="s">
        <v>47</v>
      </c>
      <c r="R2642" s="12" t="s">
        <v>163</v>
      </c>
      <c r="S2642" s="13">
        <v>197804534302</v>
      </c>
      <c r="T2642" s="12" t="s">
        <v>49</v>
      </c>
      <c r="U2642" s="13">
        <v>40.5</v>
      </c>
      <c r="V2642" s="12" t="s">
        <v>278</v>
      </c>
      <c r="W2642" s="12" t="s">
        <v>51</v>
      </c>
      <c r="X2642" s="14"/>
      <c r="Y2642" s="14"/>
      <c r="Z2642" s="14"/>
      <c r="AA2642" s="14"/>
      <c r="AB2642" s="14"/>
      <c r="AC2642" s="15">
        <v>52.3</v>
      </c>
      <c r="AD2642" s="15">
        <f>AC2642*AG2642</f>
        <v>104.6</v>
      </c>
      <c r="AE2642" s="15">
        <v>115</v>
      </c>
      <c r="AF2642" s="15">
        <f>AE2642*AG2642</f>
        <v>230</v>
      </c>
      <c r="AG2642" s="16">
        <v>2</v>
      </c>
    </row>
    <row r="2643" spans="1:33" ht="15" customHeight="1" x14ac:dyDescent="0.2">
      <c r="A2643" s="11" t="str">
        <f t="shared" si="1064"/>
        <v>VN000D60RV21</v>
      </c>
      <c r="B2643" s="12" t="s">
        <v>9733</v>
      </c>
      <c r="C2643" s="12" t="s">
        <v>1470</v>
      </c>
      <c r="D2643" s="12" t="s">
        <v>1428</v>
      </c>
      <c r="E2643" s="12" t="s">
        <v>9734</v>
      </c>
      <c r="F2643" s="13">
        <v>110</v>
      </c>
      <c r="G2643" s="14"/>
      <c r="H2643" s="12" t="s">
        <v>38</v>
      </c>
      <c r="I2643" s="12" t="s">
        <v>159</v>
      </c>
      <c r="J2643" s="12" t="s">
        <v>255</v>
      </c>
      <c r="K2643" s="12" t="s">
        <v>82</v>
      </c>
      <c r="L2643" s="14"/>
      <c r="M2643" s="12" t="s">
        <v>43</v>
      </c>
      <c r="N2643" s="12" t="s">
        <v>84</v>
      </c>
      <c r="O2643" s="12" t="s">
        <v>9735</v>
      </c>
      <c r="P2643" s="12" t="s">
        <v>46</v>
      </c>
      <c r="Q2643" s="12" t="s">
        <v>47</v>
      </c>
      <c r="R2643" s="12" t="s">
        <v>163</v>
      </c>
      <c r="S2643" s="13">
        <v>197804535071</v>
      </c>
      <c r="T2643" s="12" t="s">
        <v>49</v>
      </c>
      <c r="U2643" s="13">
        <v>44.5</v>
      </c>
      <c r="V2643" s="12" t="s">
        <v>278</v>
      </c>
      <c r="W2643" s="12" t="s">
        <v>51</v>
      </c>
      <c r="X2643" s="14"/>
      <c r="Y2643" s="14"/>
      <c r="Z2643" s="14"/>
      <c r="AA2643" s="14"/>
      <c r="AB2643" s="14"/>
      <c r="AC2643" s="15">
        <v>52.3</v>
      </c>
      <c r="AD2643" s="15">
        <f>AC2643*AG2643</f>
        <v>104.6</v>
      </c>
      <c r="AE2643" s="15">
        <v>115</v>
      </c>
      <c r="AF2643" s="15">
        <f>AE2643*AG2643</f>
        <v>230</v>
      </c>
      <c r="AG2643" s="16">
        <v>2</v>
      </c>
    </row>
    <row r="2644" spans="1:33" ht="15" customHeight="1" x14ac:dyDescent="0.2">
      <c r="A2644" s="11" t="str">
        <f t="shared" si="1064"/>
        <v>VN000D60RV21</v>
      </c>
      <c r="B2644" s="12" t="s">
        <v>9736</v>
      </c>
      <c r="C2644" s="12" t="s">
        <v>1470</v>
      </c>
      <c r="D2644" s="12" t="s">
        <v>1428</v>
      </c>
      <c r="E2644" s="12" t="s">
        <v>9737</v>
      </c>
      <c r="F2644" s="13">
        <v>115</v>
      </c>
      <c r="G2644" s="14"/>
      <c r="H2644" s="12" t="s">
        <v>38</v>
      </c>
      <c r="I2644" s="12" t="s">
        <v>159</v>
      </c>
      <c r="J2644" s="12" t="s">
        <v>255</v>
      </c>
      <c r="K2644" s="12" t="s">
        <v>82</v>
      </c>
      <c r="L2644" s="14"/>
      <c r="M2644" s="12" t="s">
        <v>43</v>
      </c>
      <c r="N2644" s="12" t="s">
        <v>84</v>
      </c>
      <c r="O2644" s="12" t="s">
        <v>9738</v>
      </c>
      <c r="P2644" s="12" t="s">
        <v>46</v>
      </c>
      <c r="Q2644" s="12" t="s">
        <v>47</v>
      </c>
      <c r="R2644" s="12" t="s">
        <v>163</v>
      </c>
      <c r="S2644" s="13">
        <v>197804535132</v>
      </c>
      <c r="T2644" s="12" t="s">
        <v>49</v>
      </c>
      <c r="U2644" s="13">
        <v>45</v>
      </c>
      <c r="V2644" s="12" t="s">
        <v>278</v>
      </c>
      <c r="W2644" s="12" t="s">
        <v>51</v>
      </c>
      <c r="X2644" s="14"/>
      <c r="Y2644" s="14"/>
      <c r="Z2644" s="14"/>
      <c r="AA2644" s="14"/>
      <c r="AB2644" s="14"/>
      <c r="AC2644" s="15">
        <v>52.3</v>
      </c>
      <c r="AD2644" s="15">
        <f>AC2644*AG2644</f>
        <v>104.6</v>
      </c>
      <c r="AE2644" s="15">
        <v>115</v>
      </c>
      <c r="AF2644" s="15">
        <f>AE2644*AG2644</f>
        <v>230</v>
      </c>
      <c r="AG2644" s="16">
        <v>2</v>
      </c>
    </row>
    <row r="2645" spans="1:33" ht="15" customHeight="1" x14ac:dyDescent="0.2">
      <c r="A2645" s="11" t="str">
        <f t="shared" ref="A2645:A2649" si="1065">HYPERLINK("https://assets.vans.eu/images/VN000D610VW-HERO/1","VN000D610VW1")</f>
        <v>VN000D610VW1</v>
      </c>
      <c r="B2645" s="12" t="s">
        <v>9739</v>
      </c>
      <c r="C2645" s="12" t="s">
        <v>1114</v>
      </c>
      <c r="D2645" s="12" t="s">
        <v>628</v>
      </c>
      <c r="E2645" s="12" t="s">
        <v>9740</v>
      </c>
      <c r="F2645" s="13">
        <v>35</v>
      </c>
      <c r="G2645" s="12" t="s">
        <v>4383</v>
      </c>
      <c r="H2645" s="12" t="s">
        <v>38</v>
      </c>
      <c r="I2645" s="12" t="s">
        <v>113</v>
      </c>
      <c r="J2645" s="12" t="s">
        <v>529</v>
      </c>
      <c r="K2645" s="12" t="s">
        <v>82</v>
      </c>
      <c r="L2645" s="14"/>
      <c r="M2645" s="12" t="s">
        <v>43</v>
      </c>
      <c r="N2645" s="12" t="s">
        <v>84</v>
      </c>
      <c r="O2645" s="12" t="s">
        <v>9741</v>
      </c>
      <c r="P2645" s="12" t="s">
        <v>46</v>
      </c>
      <c r="Q2645" s="12" t="s">
        <v>47</v>
      </c>
      <c r="R2645" s="12" t="s">
        <v>117</v>
      </c>
      <c r="S2645" s="13">
        <v>197804534463</v>
      </c>
      <c r="T2645" s="12" t="s">
        <v>49</v>
      </c>
      <c r="U2645" s="13">
        <v>34.5</v>
      </c>
      <c r="V2645" s="12" t="s">
        <v>50</v>
      </c>
      <c r="W2645" s="12" t="s">
        <v>175</v>
      </c>
      <c r="X2645" s="14"/>
      <c r="Y2645" s="14"/>
      <c r="Z2645" s="14"/>
      <c r="AA2645" s="14"/>
      <c r="AB2645" s="14"/>
      <c r="AC2645" s="15">
        <v>54.55</v>
      </c>
      <c r="AD2645" s="15">
        <f>AC2645*AG2645</f>
        <v>109.1</v>
      </c>
      <c r="AE2645" s="15">
        <v>120</v>
      </c>
      <c r="AF2645" s="15">
        <f>AE2645*AG2645</f>
        <v>240</v>
      </c>
      <c r="AG2645" s="16">
        <v>2</v>
      </c>
    </row>
    <row r="2646" spans="1:33" ht="15" customHeight="1" x14ac:dyDescent="0.2">
      <c r="A2646" s="11" t="str">
        <f t="shared" si="1065"/>
        <v>VN000D610VW1</v>
      </c>
      <c r="B2646" s="12" t="s">
        <v>9742</v>
      </c>
      <c r="C2646" s="12" t="s">
        <v>1114</v>
      </c>
      <c r="D2646" s="12" t="s">
        <v>628</v>
      </c>
      <c r="E2646" s="12" t="s">
        <v>9743</v>
      </c>
      <c r="F2646" s="13">
        <v>55</v>
      </c>
      <c r="G2646" s="12" t="s">
        <v>4383</v>
      </c>
      <c r="H2646" s="12" t="s">
        <v>38</v>
      </c>
      <c r="I2646" s="12" t="s">
        <v>113</v>
      </c>
      <c r="J2646" s="12" t="s">
        <v>529</v>
      </c>
      <c r="K2646" s="12" t="s">
        <v>82</v>
      </c>
      <c r="L2646" s="14"/>
      <c r="M2646" s="12" t="s">
        <v>43</v>
      </c>
      <c r="N2646" s="12" t="s">
        <v>84</v>
      </c>
      <c r="O2646" s="12" t="s">
        <v>9744</v>
      </c>
      <c r="P2646" s="12" t="s">
        <v>46</v>
      </c>
      <c r="Q2646" s="12" t="s">
        <v>47</v>
      </c>
      <c r="R2646" s="12" t="s">
        <v>117</v>
      </c>
      <c r="S2646" s="13">
        <v>197804535002</v>
      </c>
      <c r="T2646" s="12" t="s">
        <v>49</v>
      </c>
      <c r="U2646" s="13">
        <v>37</v>
      </c>
      <c r="V2646" s="12" t="s">
        <v>50</v>
      </c>
      <c r="W2646" s="12" t="s">
        <v>175</v>
      </c>
      <c r="X2646" s="14"/>
      <c r="Y2646" s="14"/>
      <c r="Z2646" s="14"/>
      <c r="AA2646" s="14"/>
      <c r="AB2646" s="14"/>
      <c r="AC2646" s="15">
        <v>54.55</v>
      </c>
      <c r="AD2646" s="15">
        <f>AC2646*AG2646</f>
        <v>109.1</v>
      </c>
      <c r="AE2646" s="15">
        <v>120</v>
      </c>
      <c r="AF2646" s="15">
        <f>AE2646*AG2646</f>
        <v>240</v>
      </c>
      <c r="AG2646" s="16">
        <v>2</v>
      </c>
    </row>
    <row r="2647" spans="1:33" ht="15" customHeight="1" x14ac:dyDescent="0.2">
      <c r="A2647" s="11" t="str">
        <f t="shared" si="1065"/>
        <v>VN000D610VW1</v>
      </c>
      <c r="B2647" s="12" t="s">
        <v>9745</v>
      </c>
      <c r="C2647" s="12" t="s">
        <v>1114</v>
      </c>
      <c r="D2647" s="12" t="s">
        <v>628</v>
      </c>
      <c r="E2647" s="12" t="s">
        <v>9746</v>
      </c>
      <c r="F2647" s="13">
        <v>60</v>
      </c>
      <c r="G2647" s="12" t="s">
        <v>4383</v>
      </c>
      <c r="H2647" s="12" t="s">
        <v>38</v>
      </c>
      <c r="I2647" s="12" t="s">
        <v>113</v>
      </c>
      <c r="J2647" s="12" t="s">
        <v>529</v>
      </c>
      <c r="K2647" s="12" t="s">
        <v>82</v>
      </c>
      <c r="L2647" s="14"/>
      <c r="M2647" s="12" t="s">
        <v>43</v>
      </c>
      <c r="N2647" s="12" t="s">
        <v>84</v>
      </c>
      <c r="O2647" s="12" t="s">
        <v>9747</v>
      </c>
      <c r="P2647" s="12" t="s">
        <v>46</v>
      </c>
      <c r="Q2647" s="12" t="s">
        <v>47</v>
      </c>
      <c r="R2647" s="12" t="s">
        <v>117</v>
      </c>
      <c r="S2647" s="13">
        <v>197804535088</v>
      </c>
      <c r="T2647" s="12" t="s">
        <v>49</v>
      </c>
      <c r="U2647" s="13">
        <v>38</v>
      </c>
      <c r="V2647" s="12" t="s">
        <v>50</v>
      </c>
      <c r="W2647" s="12" t="s">
        <v>175</v>
      </c>
      <c r="X2647" s="14"/>
      <c r="Y2647" s="14"/>
      <c r="Z2647" s="14"/>
      <c r="AA2647" s="14"/>
      <c r="AB2647" s="14"/>
      <c r="AC2647" s="15">
        <v>54.55</v>
      </c>
      <c r="AD2647" s="15">
        <f>AC2647*AG2647</f>
        <v>109.1</v>
      </c>
      <c r="AE2647" s="15">
        <v>120</v>
      </c>
      <c r="AF2647" s="15">
        <f>AE2647*AG2647</f>
        <v>240</v>
      </c>
      <c r="AG2647" s="16">
        <v>2</v>
      </c>
    </row>
    <row r="2648" spans="1:33" ht="15" customHeight="1" x14ac:dyDescent="0.2">
      <c r="A2648" s="11" t="str">
        <f t="shared" si="1065"/>
        <v>VN000D610VW1</v>
      </c>
      <c r="B2648" s="12" t="s">
        <v>9748</v>
      </c>
      <c r="C2648" s="12" t="s">
        <v>1114</v>
      </c>
      <c r="D2648" s="12" t="s">
        <v>628</v>
      </c>
      <c r="E2648" s="12" t="s">
        <v>9749</v>
      </c>
      <c r="F2648" s="13">
        <v>65</v>
      </c>
      <c r="G2648" s="12" t="s">
        <v>4383</v>
      </c>
      <c r="H2648" s="12" t="s">
        <v>38</v>
      </c>
      <c r="I2648" s="12" t="s">
        <v>113</v>
      </c>
      <c r="J2648" s="12" t="s">
        <v>529</v>
      </c>
      <c r="K2648" s="12" t="s">
        <v>82</v>
      </c>
      <c r="L2648" s="14"/>
      <c r="M2648" s="12" t="s">
        <v>43</v>
      </c>
      <c r="N2648" s="12" t="s">
        <v>84</v>
      </c>
      <c r="O2648" s="12" t="s">
        <v>9750</v>
      </c>
      <c r="P2648" s="12" t="s">
        <v>46</v>
      </c>
      <c r="Q2648" s="12" t="s">
        <v>47</v>
      </c>
      <c r="R2648" s="12" t="s">
        <v>117</v>
      </c>
      <c r="S2648" s="13">
        <v>197804535149</v>
      </c>
      <c r="T2648" s="12" t="s">
        <v>49</v>
      </c>
      <c r="U2648" s="13">
        <v>38.5</v>
      </c>
      <c r="V2648" s="12" t="s">
        <v>50</v>
      </c>
      <c r="W2648" s="12" t="s">
        <v>175</v>
      </c>
      <c r="X2648" s="14"/>
      <c r="Y2648" s="14"/>
      <c r="Z2648" s="14"/>
      <c r="AA2648" s="14"/>
      <c r="AB2648" s="14"/>
      <c r="AC2648" s="15">
        <v>54.55</v>
      </c>
      <c r="AD2648" s="15">
        <f>AC2648*AG2648</f>
        <v>109.1</v>
      </c>
      <c r="AE2648" s="15">
        <v>120</v>
      </c>
      <c r="AF2648" s="15">
        <f>AE2648*AG2648</f>
        <v>240</v>
      </c>
      <c r="AG2648" s="16">
        <v>2</v>
      </c>
    </row>
    <row r="2649" spans="1:33" ht="15" customHeight="1" x14ac:dyDescent="0.2">
      <c r="A2649" s="11" t="str">
        <f t="shared" si="1065"/>
        <v>VN000D610VW1</v>
      </c>
      <c r="B2649" s="12" t="s">
        <v>9751</v>
      </c>
      <c r="C2649" s="12" t="s">
        <v>1114</v>
      </c>
      <c r="D2649" s="12" t="s">
        <v>628</v>
      </c>
      <c r="E2649" s="12" t="s">
        <v>9752</v>
      </c>
      <c r="F2649" s="13">
        <v>75</v>
      </c>
      <c r="G2649" s="12" t="s">
        <v>4383</v>
      </c>
      <c r="H2649" s="12" t="s">
        <v>38</v>
      </c>
      <c r="I2649" s="12" t="s">
        <v>113</v>
      </c>
      <c r="J2649" s="12" t="s">
        <v>529</v>
      </c>
      <c r="K2649" s="12" t="s">
        <v>82</v>
      </c>
      <c r="L2649" s="14"/>
      <c r="M2649" s="12" t="s">
        <v>43</v>
      </c>
      <c r="N2649" s="12" t="s">
        <v>84</v>
      </c>
      <c r="O2649" s="12" t="s">
        <v>9753</v>
      </c>
      <c r="P2649" s="12" t="s">
        <v>46</v>
      </c>
      <c r="Q2649" s="12" t="s">
        <v>47</v>
      </c>
      <c r="R2649" s="12" t="s">
        <v>117</v>
      </c>
      <c r="S2649" s="13">
        <v>197804535248</v>
      </c>
      <c r="T2649" s="12" t="s">
        <v>49</v>
      </c>
      <c r="U2649" s="13">
        <v>40</v>
      </c>
      <c r="V2649" s="12" t="s">
        <v>50</v>
      </c>
      <c r="W2649" s="12" t="s">
        <v>175</v>
      </c>
      <c r="X2649" s="14"/>
      <c r="Y2649" s="14"/>
      <c r="Z2649" s="14"/>
      <c r="AA2649" s="14"/>
      <c r="AB2649" s="14"/>
      <c r="AC2649" s="15">
        <v>54.55</v>
      </c>
      <c r="AD2649" s="15">
        <f>AC2649*AG2649</f>
        <v>109.1</v>
      </c>
      <c r="AE2649" s="15">
        <v>120</v>
      </c>
      <c r="AF2649" s="15">
        <f>AE2649*AG2649</f>
        <v>240</v>
      </c>
      <c r="AG2649" s="16">
        <v>2</v>
      </c>
    </row>
    <row r="2650" spans="1:33" ht="15" customHeight="1" x14ac:dyDescent="0.2">
      <c r="A2650" s="11" t="str">
        <f t="shared" si="458"/>
        <v>VN000D61EMP1</v>
      </c>
      <c r="B2650" s="12" t="s">
        <v>9754</v>
      </c>
      <c r="C2650" s="12" t="s">
        <v>1114</v>
      </c>
      <c r="D2650" s="12" t="s">
        <v>704</v>
      </c>
      <c r="E2650" s="12" t="s">
        <v>9755</v>
      </c>
      <c r="F2650" s="13">
        <v>90</v>
      </c>
      <c r="G2650" s="12" t="s">
        <v>4383</v>
      </c>
      <c r="H2650" s="12" t="s">
        <v>38</v>
      </c>
      <c r="I2650" s="12" t="s">
        <v>159</v>
      </c>
      <c r="J2650" s="12" t="s">
        <v>255</v>
      </c>
      <c r="K2650" s="12" t="s">
        <v>82</v>
      </c>
      <c r="L2650" s="14"/>
      <c r="M2650" s="12" t="s">
        <v>43</v>
      </c>
      <c r="N2650" s="12" t="s">
        <v>84</v>
      </c>
      <c r="O2650" s="12" t="s">
        <v>9756</v>
      </c>
      <c r="P2650" s="12" t="s">
        <v>46</v>
      </c>
      <c r="Q2650" s="12" t="s">
        <v>47</v>
      </c>
      <c r="R2650" s="12" t="s">
        <v>163</v>
      </c>
      <c r="S2650" s="13">
        <v>197804536603</v>
      </c>
      <c r="T2650" s="12" t="s">
        <v>49</v>
      </c>
      <c r="U2650" s="13">
        <v>42</v>
      </c>
      <c r="V2650" s="12" t="s">
        <v>50</v>
      </c>
      <c r="W2650" s="12" t="s">
        <v>186</v>
      </c>
      <c r="X2650" s="14"/>
      <c r="Y2650" s="14"/>
      <c r="Z2650" s="14"/>
      <c r="AA2650" s="14"/>
      <c r="AB2650" s="14"/>
      <c r="AC2650" s="15">
        <v>54.55</v>
      </c>
      <c r="AD2650" s="15">
        <f>AC2650*AG2650</f>
        <v>109.1</v>
      </c>
      <c r="AE2650" s="15">
        <v>120</v>
      </c>
      <c r="AF2650" s="15">
        <f>AE2650*AG2650</f>
        <v>240</v>
      </c>
      <c r="AG2650" s="16">
        <v>2</v>
      </c>
    </row>
    <row r="2651" spans="1:33" ht="15" customHeight="1" x14ac:dyDescent="0.2">
      <c r="A2651" s="11" t="str">
        <f>HYPERLINK("https://assets.vans.eu/images/VN000D61TBN-HERO/1","VN000D61TBN1")</f>
        <v>VN000D61TBN1</v>
      </c>
      <c r="B2651" s="12" t="s">
        <v>9757</v>
      </c>
      <c r="C2651" s="12" t="s">
        <v>1114</v>
      </c>
      <c r="D2651" s="12" t="s">
        <v>661</v>
      </c>
      <c r="E2651" s="12" t="s">
        <v>9758</v>
      </c>
      <c r="F2651" s="13">
        <v>130</v>
      </c>
      <c r="G2651" s="14"/>
      <c r="H2651" s="12" t="s">
        <v>38</v>
      </c>
      <c r="I2651" s="12" t="s">
        <v>159</v>
      </c>
      <c r="J2651" s="12" t="s">
        <v>255</v>
      </c>
      <c r="K2651" s="12" t="s">
        <v>82</v>
      </c>
      <c r="L2651" s="14"/>
      <c r="M2651" s="12" t="s">
        <v>43</v>
      </c>
      <c r="N2651" s="12" t="s">
        <v>84</v>
      </c>
      <c r="O2651" s="12" t="s">
        <v>9759</v>
      </c>
      <c r="P2651" s="12" t="s">
        <v>46</v>
      </c>
      <c r="Q2651" s="12" t="s">
        <v>47</v>
      </c>
      <c r="R2651" s="12" t="s">
        <v>163</v>
      </c>
      <c r="S2651" s="13">
        <v>197804538119</v>
      </c>
      <c r="T2651" s="12" t="s">
        <v>49</v>
      </c>
      <c r="U2651" s="13">
        <v>47</v>
      </c>
      <c r="V2651" s="12" t="s">
        <v>50</v>
      </c>
      <c r="W2651" s="12" t="s">
        <v>186</v>
      </c>
      <c r="X2651" s="14"/>
      <c r="Y2651" s="14"/>
      <c r="Z2651" s="14"/>
      <c r="AA2651" s="14"/>
      <c r="AB2651" s="14"/>
      <c r="AC2651" s="15">
        <v>54.55</v>
      </c>
      <c r="AD2651" s="15">
        <f>AC2651*AG2651</f>
        <v>109.1</v>
      </c>
      <c r="AE2651" s="15">
        <v>120</v>
      </c>
      <c r="AF2651" s="15">
        <f>AE2651*AG2651</f>
        <v>240</v>
      </c>
      <c r="AG2651" s="16">
        <v>2</v>
      </c>
    </row>
    <row r="2652" spans="1:33" ht="15" customHeight="1" x14ac:dyDescent="0.2">
      <c r="A2652" s="11" t="str">
        <f t="shared" si="536"/>
        <v>VN000D6CCI21</v>
      </c>
      <c r="B2652" s="12" t="s">
        <v>9760</v>
      </c>
      <c r="C2652" s="12" t="s">
        <v>110</v>
      </c>
      <c r="D2652" s="12" t="s">
        <v>2499</v>
      </c>
      <c r="E2652" s="12" t="s">
        <v>9761</v>
      </c>
      <c r="F2652" s="13">
        <v>95</v>
      </c>
      <c r="G2652" s="12" t="s">
        <v>5020</v>
      </c>
      <c r="H2652" s="12" t="s">
        <v>38</v>
      </c>
      <c r="I2652" s="12" t="s">
        <v>159</v>
      </c>
      <c r="J2652" s="12" t="s">
        <v>160</v>
      </c>
      <c r="K2652" s="12" t="s">
        <v>82</v>
      </c>
      <c r="L2652" s="14"/>
      <c r="M2652" s="12" t="s">
        <v>43</v>
      </c>
      <c r="N2652" s="12" t="s">
        <v>44</v>
      </c>
      <c r="O2652" s="12" t="s">
        <v>9762</v>
      </c>
      <c r="P2652" s="12" t="s">
        <v>46</v>
      </c>
      <c r="Q2652" s="12" t="s">
        <v>47</v>
      </c>
      <c r="R2652" s="12" t="s">
        <v>163</v>
      </c>
      <c r="S2652" s="13">
        <v>197643204190</v>
      </c>
      <c r="T2652" s="12" t="s">
        <v>105</v>
      </c>
      <c r="U2652" s="13">
        <v>42.5</v>
      </c>
      <c r="V2652" s="12" t="s">
        <v>50</v>
      </c>
      <c r="W2652" s="12" t="s">
        <v>118</v>
      </c>
      <c r="X2652" s="14"/>
      <c r="Y2652" s="12" t="s">
        <v>91</v>
      </c>
      <c r="Z2652" s="12" t="s">
        <v>2600</v>
      </c>
      <c r="AA2652" s="14"/>
      <c r="AB2652" s="14"/>
      <c r="AC2652" s="15">
        <v>43.2</v>
      </c>
      <c r="AD2652" s="15">
        <f>AC2652*AG2652</f>
        <v>86.4</v>
      </c>
      <c r="AE2652" s="15">
        <v>95</v>
      </c>
      <c r="AF2652" s="15">
        <f>AE2652*AG2652</f>
        <v>190</v>
      </c>
      <c r="AG2652" s="16">
        <v>2</v>
      </c>
    </row>
    <row r="2653" spans="1:33" ht="15" customHeight="1" x14ac:dyDescent="0.2">
      <c r="A2653" s="11" t="str">
        <f>HYPERLINK("https://assets.vans.eu/images/VN000D6CFCJ-HERO/1","VN000D6CFCJ1")</f>
        <v>VN000D6CFCJ1</v>
      </c>
      <c r="B2653" s="12" t="s">
        <v>9763</v>
      </c>
      <c r="C2653" s="12" t="s">
        <v>110</v>
      </c>
      <c r="D2653" s="12" t="s">
        <v>9764</v>
      </c>
      <c r="E2653" s="12" t="s">
        <v>9765</v>
      </c>
      <c r="F2653" s="13">
        <v>130</v>
      </c>
      <c r="G2653" s="12" t="s">
        <v>9766</v>
      </c>
      <c r="H2653" s="12" t="s">
        <v>38</v>
      </c>
      <c r="I2653" s="12" t="s">
        <v>159</v>
      </c>
      <c r="J2653" s="12" t="s">
        <v>160</v>
      </c>
      <c r="K2653" s="12" t="s">
        <v>82</v>
      </c>
      <c r="L2653" s="12" t="s">
        <v>260</v>
      </c>
      <c r="M2653" s="12" t="s">
        <v>43</v>
      </c>
      <c r="N2653" s="12" t="s">
        <v>44</v>
      </c>
      <c r="O2653" s="12" t="s">
        <v>9767</v>
      </c>
      <c r="P2653" s="12" t="s">
        <v>46</v>
      </c>
      <c r="Q2653" s="12" t="s">
        <v>47</v>
      </c>
      <c r="R2653" s="12" t="s">
        <v>163</v>
      </c>
      <c r="S2653" s="13">
        <v>197804002931</v>
      </c>
      <c r="T2653" s="12" t="s">
        <v>105</v>
      </c>
      <c r="U2653" s="13">
        <v>47</v>
      </c>
      <c r="V2653" s="12" t="s">
        <v>50</v>
      </c>
      <c r="W2653" s="12" t="s">
        <v>580</v>
      </c>
      <c r="X2653" s="14"/>
      <c r="Y2653" s="12" t="s">
        <v>53</v>
      </c>
      <c r="Z2653" s="12" t="s">
        <v>165</v>
      </c>
      <c r="AA2653" s="14"/>
      <c r="AB2653" s="12" t="s">
        <v>264</v>
      </c>
      <c r="AC2653" s="15">
        <v>45.5</v>
      </c>
      <c r="AD2653" s="15">
        <f>AC2653*AG2653</f>
        <v>91</v>
      </c>
      <c r="AE2653" s="15">
        <v>100</v>
      </c>
      <c r="AF2653" s="15">
        <f>AE2653*AG2653</f>
        <v>200</v>
      </c>
      <c r="AG2653" s="16">
        <v>2</v>
      </c>
    </row>
    <row r="2654" spans="1:33" ht="15" customHeight="1" x14ac:dyDescent="0.2">
      <c r="A2654" s="11" t="str">
        <f t="shared" si="801"/>
        <v>VN000D6F2391</v>
      </c>
      <c r="B2654" s="12" t="s">
        <v>9768</v>
      </c>
      <c r="C2654" s="12" t="s">
        <v>1614</v>
      </c>
      <c r="D2654" s="12" t="s">
        <v>1609</v>
      </c>
      <c r="E2654" s="12" t="s">
        <v>9769</v>
      </c>
      <c r="F2654" s="13">
        <v>90</v>
      </c>
      <c r="G2654" s="12" t="s">
        <v>7286</v>
      </c>
      <c r="H2654" s="12" t="s">
        <v>38</v>
      </c>
      <c r="I2654" s="12" t="s">
        <v>159</v>
      </c>
      <c r="J2654" s="12" t="s">
        <v>255</v>
      </c>
      <c r="K2654" s="12" t="s">
        <v>82</v>
      </c>
      <c r="L2654" s="14"/>
      <c r="M2654" s="12" t="s">
        <v>43</v>
      </c>
      <c r="N2654" s="12" t="s">
        <v>84</v>
      </c>
      <c r="O2654" s="12" t="s">
        <v>9770</v>
      </c>
      <c r="P2654" s="12" t="s">
        <v>46</v>
      </c>
      <c r="Q2654" s="12" t="s">
        <v>47</v>
      </c>
      <c r="R2654" s="12" t="s">
        <v>163</v>
      </c>
      <c r="S2654" s="13">
        <v>197804537525</v>
      </c>
      <c r="T2654" s="12" t="s">
        <v>49</v>
      </c>
      <c r="U2654" s="13">
        <v>42</v>
      </c>
      <c r="V2654" s="12" t="s">
        <v>50</v>
      </c>
      <c r="W2654" s="12" t="s">
        <v>455</v>
      </c>
      <c r="X2654" s="14"/>
      <c r="Y2654" s="14"/>
      <c r="Z2654" s="14"/>
      <c r="AA2654" s="14"/>
      <c r="AB2654" s="14"/>
      <c r="AC2654" s="15">
        <v>50</v>
      </c>
      <c r="AD2654" s="15">
        <f>AC2654*AG2654</f>
        <v>100</v>
      </c>
      <c r="AE2654" s="15">
        <v>110</v>
      </c>
      <c r="AF2654" s="15">
        <f>AE2654*AG2654</f>
        <v>220</v>
      </c>
      <c r="AG2654" s="16">
        <v>2</v>
      </c>
    </row>
    <row r="2655" spans="1:33" ht="15" customHeight="1" x14ac:dyDescent="0.2">
      <c r="A2655" s="11" t="str">
        <f t="shared" ref="A2655:A2656" si="1066">HYPERLINK("https://assets.vans.eu/images/VN000D6F239-HERO/1","VN000D6F2391")</f>
        <v>VN000D6F2391</v>
      </c>
      <c r="B2655" s="12" t="s">
        <v>9771</v>
      </c>
      <c r="C2655" s="12" t="s">
        <v>1614</v>
      </c>
      <c r="D2655" s="12" t="s">
        <v>1609</v>
      </c>
      <c r="E2655" s="12" t="s">
        <v>9772</v>
      </c>
      <c r="F2655" s="13">
        <v>95</v>
      </c>
      <c r="G2655" s="12" t="s">
        <v>7286</v>
      </c>
      <c r="H2655" s="12" t="s">
        <v>38</v>
      </c>
      <c r="I2655" s="12" t="s">
        <v>159</v>
      </c>
      <c r="J2655" s="12" t="s">
        <v>255</v>
      </c>
      <c r="K2655" s="12" t="s">
        <v>82</v>
      </c>
      <c r="L2655" s="14"/>
      <c r="M2655" s="12" t="s">
        <v>43</v>
      </c>
      <c r="N2655" s="12" t="s">
        <v>84</v>
      </c>
      <c r="O2655" s="12" t="s">
        <v>9773</v>
      </c>
      <c r="P2655" s="12" t="s">
        <v>46</v>
      </c>
      <c r="Q2655" s="12" t="s">
        <v>47</v>
      </c>
      <c r="R2655" s="12" t="s">
        <v>163</v>
      </c>
      <c r="S2655" s="13">
        <v>197804537709</v>
      </c>
      <c r="T2655" s="12" t="s">
        <v>49</v>
      </c>
      <c r="U2655" s="13">
        <v>42.5</v>
      </c>
      <c r="V2655" s="12" t="s">
        <v>50</v>
      </c>
      <c r="W2655" s="12" t="s">
        <v>455</v>
      </c>
      <c r="X2655" s="14"/>
      <c r="Y2655" s="14"/>
      <c r="Z2655" s="14"/>
      <c r="AA2655" s="14"/>
      <c r="AB2655" s="14"/>
      <c r="AC2655" s="15">
        <v>50</v>
      </c>
      <c r="AD2655" s="15">
        <f>AC2655*AG2655</f>
        <v>100</v>
      </c>
      <c r="AE2655" s="15">
        <v>110</v>
      </c>
      <c r="AF2655" s="15">
        <f>AE2655*AG2655</f>
        <v>220</v>
      </c>
      <c r="AG2655" s="16">
        <v>2</v>
      </c>
    </row>
    <row r="2656" spans="1:33" ht="15" customHeight="1" x14ac:dyDescent="0.2">
      <c r="A2656" s="11" t="str">
        <f t="shared" si="1066"/>
        <v>VN000D6F2391</v>
      </c>
      <c r="B2656" s="12" t="s">
        <v>9774</v>
      </c>
      <c r="C2656" s="12" t="s">
        <v>1614</v>
      </c>
      <c r="D2656" s="12" t="s">
        <v>1609</v>
      </c>
      <c r="E2656" s="12" t="s">
        <v>9775</v>
      </c>
      <c r="F2656" s="13">
        <v>115</v>
      </c>
      <c r="G2656" s="12" t="s">
        <v>7286</v>
      </c>
      <c r="H2656" s="12" t="s">
        <v>38</v>
      </c>
      <c r="I2656" s="12" t="s">
        <v>159</v>
      </c>
      <c r="J2656" s="12" t="s">
        <v>255</v>
      </c>
      <c r="K2656" s="12" t="s">
        <v>82</v>
      </c>
      <c r="L2656" s="14"/>
      <c r="M2656" s="12" t="s">
        <v>43</v>
      </c>
      <c r="N2656" s="12" t="s">
        <v>84</v>
      </c>
      <c r="O2656" s="12" t="s">
        <v>9776</v>
      </c>
      <c r="P2656" s="12" t="s">
        <v>46</v>
      </c>
      <c r="Q2656" s="12" t="s">
        <v>47</v>
      </c>
      <c r="R2656" s="12" t="s">
        <v>163</v>
      </c>
      <c r="S2656" s="13">
        <v>197804538249</v>
      </c>
      <c r="T2656" s="12" t="s">
        <v>49</v>
      </c>
      <c r="U2656" s="13">
        <v>45</v>
      </c>
      <c r="V2656" s="12" t="s">
        <v>50</v>
      </c>
      <c r="W2656" s="12" t="s">
        <v>455</v>
      </c>
      <c r="X2656" s="14"/>
      <c r="Y2656" s="14"/>
      <c r="Z2656" s="14"/>
      <c r="AA2656" s="14"/>
      <c r="AB2656" s="14"/>
      <c r="AC2656" s="15">
        <v>50</v>
      </c>
      <c r="AD2656" s="15">
        <f>AC2656*AG2656</f>
        <v>100</v>
      </c>
      <c r="AE2656" s="15">
        <v>110</v>
      </c>
      <c r="AF2656" s="15">
        <f>AE2656*AG2656</f>
        <v>220</v>
      </c>
      <c r="AG2656" s="16">
        <v>2</v>
      </c>
    </row>
    <row r="2657" spans="1:33" ht="15" customHeight="1" x14ac:dyDescent="0.2">
      <c r="A2657" s="11" t="str">
        <f>HYPERLINK("https://assets.vans.eu/images/VN000D6F239-HERO/1","VN000D6F2391")</f>
        <v>VN000D6F2391</v>
      </c>
      <c r="B2657" s="12" t="s">
        <v>9777</v>
      </c>
      <c r="C2657" s="12" t="s">
        <v>1614</v>
      </c>
      <c r="D2657" s="12" t="s">
        <v>1609</v>
      </c>
      <c r="E2657" s="12" t="s">
        <v>9778</v>
      </c>
      <c r="F2657" s="13">
        <v>120</v>
      </c>
      <c r="G2657" s="12" t="s">
        <v>7286</v>
      </c>
      <c r="H2657" s="12" t="s">
        <v>38</v>
      </c>
      <c r="I2657" s="12" t="s">
        <v>159</v>
      </c>
      <c r="J2657" s="12" t="s">
        <v>255</v>
      </c>
      <c r="K2657" s="12" t="s">
        <v>82</v>
      </c>
      <c r="L2657" s="14"/>
      <c r="M2657" s="12" t="s">
        <v>43</v>
      </c>
      <c r="N2657" s="12" t="s">
        <v>84</v>
      </c>
      <c r="O2657" s="12" t="s">
        <v>9779</v>
      </c>
      <c r="P2657" s="12" t="s">
        <v>46</v>
      </c>
      <c r="Q2657" s="12" t="s">
        <v>47</v>
      </c>
      <c r="R2657" s="12" t="s">
        <v>163</v>
      </c>
      <c r="S2657" s="13">
        <v>197804538416</v>
      </c>
      <c r="T2657" s="12" t="s">
        <v>49</v>
      </c>
      <c r="U2657" s="13">
        <v>46</v>
      </c>
      <c r="V2657" s="12" t="s">
        <v>50</v>
      </c>
      <c r="W2657" s="12" t="s">
        <v>455</v>
      </c>
      <c r="X2657" s="14"/>
      <c r="Y2657" s="14"/>
      <c r="Z2657" s="14"/>
      <c r="AA2657" s="14"/>
      <c r="AB2657" s="14"/>
      <c r="AC2657" s="15">
        <v>50</v>
      </c>
      <c r="AD2657" s="15">
        <f>AC2657*AG2657</f>
        <v>100</v>
      </c>
      <c r="AE2657" s="15">
        <v>110</v>
      </c>
      <c r="AF2657" s="15">
        <f>AE2657*AG2657</f>
        <v>220</v>
      </c>
      <c r="AG2657" s="16">
        <v>2</v>
      </c>
    </row>
    <row r="2658" spans="1:33" ht="15" customHeight="1" x14ac:dyDescent="0.2">
      <c r="A2658" s="11" t="str">
        <f t="shared" ref="A2658:A4320" si="1067">HYPERLINK("https://assets.vans.eu/images/VN000D6FBF0-HERO/1","VN000D6FBF01")</f>
        <v>VN000D6FBF01</v>
      </c>
      <c r="B2658" s="12" t="s">
        <v>9780</v>
      </c>
      <c r="C2658" s="12" t="s">
        <v>1614</v>
      </c>
      <c r="D2658" s="12" t="s">
        <v>5907</v>
      </c>
      <c r="E2658" s="12" t="s">
        <v>9781</v>
      </c>
      <c r="F2658" s="13">
        <v>40</v>
      </c>
      <c r="G2658" s="12" t="s">
        <v>9782</v>
      </c>
      <c r="H2658" s="12" t="s">
        <v>38</v>
      </c>
      <c r="I2658" s="12" t="s">
        <v>159</v>
      </c>
      <c r="J2658" s="12" t="s">
        <v>255</v>
      </c>
      <c r="K2658" s="12" t="s">
        <v>82</v>
      </c>
      <c r="L2658" s="14"/>
      <c r="M2658" s="12" t="s">
        <v>43</v>
      </c>
      <c r="N2658" s="12" t="s">
        <v>84</v>
      </c>
      <c r="O2658" s="12" t="s">
        <v>9783</v>
      </c>
      <c r="P2658" s="12" t="s">
        <v>46</v>
      </c>
      <c r="Q2658" s="12" t="s">
        <v>47</v>
      </c>
      <c r="R2658" s="12" t="s">
        <v>163</v>
      </c>
      <c r="S2658" s="13">
        <v>197804536122</v>
      </c>
      <c r="T2658" s="12" t="s">
        <v>105</v>
      </c>
      <c r="U2658" s="13">
        <v>35</v>
      </c>
      <c r="V2658" s="12" t="s">
        <v>50</v>
      </c>
      <c r="W2658" s="12" t="s">
        <v>186</v>
      </c>
      <c r="X2658" s="14"/>
      <c r="Y2658" s="14"/>
      <c r="Z2658" s="14"/>
      <c r="AA2658" s="14"/>
      <c r="AB2658" s="14"/>
      <c r="AC2658" s="15">
        <v>50</v>
      </c>
      <c r="AD2658" s="15">
        <f>AC2658*AG2658</f>
        <v>100</v>
      </c>
      <c r="AE2658" s="15">
        <v>110</v>
      </c>
      <c r="AF2658" s="15">
        <f>AE2658*AG2658</f>
        <v>220</v>
      </c>
      <c r="AG2658" s="16">
        <v>2</v>
      </c>
    </row>
    <row r="2659" spans="1:33" ht="15" customHeight="1" x14ac:dyDescent="0.2">
      <c r="A2659" s="11" t="str">
        <f t="shared" ref="A2659:A4327" si="1068">HYPERLINK("https://assets.vans.eu/images/VN000D6FBGK-HERO/1","VN000D6FBGK1")</f>
        <v>VN000D6FBGK1</v>
      </c>
      <c r="B2659" s="12" t="s">
        <v>9784</v>
      </c>
      <c r="C2659" s="12" t="s">
        <v>1614</v>
      </c>
      <c r="D2659" s="12" t="s">
        <v>4850</v>
      </c>
      <c r="E2659" s="12" t="s">
        <v>9785</v>
      </c>
      <c r="F2659" s="13">
        <v>55</v>
      </c>
      <c r="G2659" s="12" t="s">
        <v>9782</v>
      </c>
      <c r="H2659" s="12" t="s">
        <v>38</v>
      </c>
      <c r="I2659" s="12" t="s">
        <v>159</v>
      </c>
      <c r="J2659" s="12" t="s">
        <v>255</v>
      </c>
      <c r="K2659" s="12" t="s">
        <v>82</v>
      </c>
      <c r="L2659" s="14"/>
      <c r="M2659" s="12" t="s">
        <v>43</v>
      </c>
      <c r="N2659" s="12" t="s">
        <v>84</v>
      </c>
      <c r="O2659" s="12" t="s">
        <v>9786</v>
      </c>
      <c r="P2659" s="12" t="s">
        <v>46</v>
      </c>
      <c r="Q2659" s="12" t="s">
        <v>47</v>
      </c>
      <c r="R2659" s="12" t="s">
        <v>163</v>
      </c>
      <c r="S2659" s="13">
        <v>197804536535</v>
      </c>
      <c r="T2659" s="12" t="s">
        <v>105</v>
      </c>
      <c r="U2659" s="13">
        <v>37</v>
      </c>
      <c r="V2659" s="12" t="s">
        <v>50</v>
      </c>
      <c r="W2659" s="12" t="s">
        <v>118</v>
      </c>
      <c r="X2659" s="14"/>
      <c r="Y2659" s="14"/>
      <c r="Z2659" s="14"/>
      <c r="AA2659" s="14"/>
      <c r="AB2659" s="14"/>
      <c r="AC2659" s="15">
        <v>50</v>
      </c>
      <c r="AD2659" s="15">
        <f>AC2659*AG2659</f>
        <v>100</v>
      </c>
      <c r="AE2659" s="15">
        <v>110</v>
      </c>
      <c r="AF2659" s="15">
        <f>AE2659*AG2659</f>
        <v>220</v>
      </c>
      <c r="AG2659" s="16">
        <v>2</v>
      </c>
    </row>
    <row r="2660" spans="1:33" ht="15" customHeight="1" x14ac:dyDescent="0.2">
      <c r="A2660" s="11" t="str">
        <f t="shared" ref="A2660:A2661" si="1069">HYPERLINK("https://assets.vans.eu/images/VN000D6FEME-HERO/1","VN000D6FEME1")</f>
        <v>VN000D6FEME1</v>
      </c>
      <c r="B2660" s="12" t="s">
        <v>9787</v>
      </c>
      <c r="C2660" s="12" t="s">
        <v>1614</v>
      </c>
      <c r="D2660" s="12" t="s">
        <v>5920</v>
      </c>
      <c r="E2660" s="12" t="s">
        <v>9788</v>
      </c>
      <c r="F2660" s="13">
        <v>50</v>
      </c>
      <c r="G2660" s="12" t="s">
        <v>9789</v>
      </c>
      <c r="H2660" s="12" t="s">
        <v>38</v>
      </c>
      <c r="I2660" s="12" t="s">
        <v>159</v>
      </c>
      <c r="J2660" s="12" t="s">
        <v>255</v>
      </c>
      <c r="K2660" s="12" t="s">
        <v>82</v>
      </c>
      <c r="L2660" s="14"/>
      <c r="M2660" s="12" t="s">
        <v>43</v>
      </c>
      <c r="N2660" s="12" t="s">
        <v>84</v>
      </c>
      <c r="O2660" s="12" t="s">
        <v>9790</v>
      </c>
      <c r="P2660" s="12" t="s">
        <v>46</v>
      </c>
      <c r="Q2660" s="12" t="s">
        <v>47</v>
      </c>
      <c r="R2660" s="12" t="s">
        <v>163</v>
      </c>
      <c r="S2660" s="13">
        <v>197804536696</v>
      </c>
      <c r="T2660" s="12" t="s">
        <v>49</v>
      </c>
      <c r="U2660" s="13">
        <v>36.5</v>
      </c>
      <c r="V2660" s="12" t="s">
        <v>50</v>
      </c>
      <c r="W2660" s="12" t="s">
        <v>118</v>
      </c>
      <c r="X2660" s="14"/>
      <c r="Y2660" s="14"/>
      <c r="Z2660" s="14"/>
      <c r="AA2660" s="14"/>
      <c r="AB2660" s="14"/>
      <c r="AC2660" s="15">
        <v>52.3</v>
      </c>
      <c r="AD2660" s="15">
        <f>AC2660*AG2660</f>
        <v>104.6</v>
      </c>
      <c r="AE2660" s="15">
        <v>115</v>
      </c>
      <c r="AF2660" s="15">
        <f>AE2660*AG2660</f>
        <v>230</v>
      </c>
      <c r="AG2660" s="16">
        <v>2</v>
      </c>
    </row>
    <row r="2661" spans="1:33" ht="15" customHeight="1" x14ac:dyDescent="0.2">
      <c r="A2661" s="11" t="str">
        <f t="shared" si="1069"/>
        <v>VN000D6FEME1</v>
      </c>
      <c r="B2661" s="12" t="s">
        <v>9791</v>
      </c>
      <c r="C2661" s="12" t="s">
        <v>1614</v>
      </c>
      <c r="D2661" s="12" t="s">
        <v>5920</v>
      </c>
      <c r="E2661" s="12" t="s">
        <v>9792</v>
      </c>
      <c r="F2661" s="13">
        <v>65</v>
      </c>
      <c r="G2661" s="12" t="s">
        <v>9789</v>
      </c>
      <c r="H2661" s="12" t="s">
        <v>38</v>
      </c>
      <c r="I2661" s="12" t="s">
        <v>159</v>
      </c>
      <c r="J2661" s="12" t="s">
        <v>255</v>
      </c>
      <c r="K2661" s="12" t="s">
        <v>82</v>
      </c>
      <c r="L2661" s="14"/>
      <c r="M2661" s="12" t="s">
        <v>43</v>
      </c>
      <c r="N2661" s="12" t="s">
        <v>84</v>
      </c>
      <c r="O2661" s="12" t="s">
        <v>9793</v>
      </c>
      <c r="P2661" s="12" t="s">
        <v>46</v>
      </c>
      <c r="Q2661" s="12" t="s">
        <v>47</v>
      </c>
      <c r="R2661" s="12" t="s">
        <v>163</v>
      </c>
      <c r="S2661" s="13">
        <v>197804537174</v>
      </c>
      <c r="T2661" s="12" t="s">
        <v>49</v>
      </c>
      <c r="U2661" s="13">
        <v>38.5</v>
      </c>
      <c r="V2661" s="12" t="s">
        <v>50</v>
      </c>
      <c r="W2661" s="12" t="s">
        <v>118</v>
      </c>
      <c r="X2661" s="14"/>
      <c r="Y2661" s="14"/>
      <c r="Z2661" s="14"/>
      <c r="AA2661" s="14"/>
      <c r="AB2661" s="14"/>
      <c r="AC2661" s="15">
        <v>52.3</v>
      </c>
      <c r="AD2661" s="15">
        <f>AC2661*AG2661</f>
        <v>104.6</v>
      </c>
      <c r="AE2661" s="15">
        <v>115</v>
      </c>
      <c r="AF2661" s="15">
        <f>AE2661*AG2661</f>
        <v>230</v>
      </c>
      <c r="AG2661" s="16">
        <v>2</v>
      </c>
    </row>
    <row r="2662" spans="1:33" ht="15" customHeight="1" x14ac:dyDescent="0.2">
      <c r="A2662" s="11" t="str">
        <f t="shared" ref="A2662:A4338" si="1070">HYPERLINK("https://assets.vans.eu/images/VN000D6FY49-HERO/1","VN000D6FY491")</f>
        <v>VN000D6FY491</v>
      </c>
      <c r="B2662" s="12" t="s">
        <v>9794</v>
      </c>
      <c r="C2662" s="12" t="s">
        <v>1614</v>
      </c>
      <c r="D2662" s="12" t="s">
        <v>5737</v>
      </c>
      <c r="E2662" s="12" t="s">
        <v>9795</v>
      </c>
      <c r="F2662" s="13">
        <v>100</v>
      </c>
      <c r="G2662" s="12" t="s">
        <v>7286</v>
      </c>
      <c r="H2662" s="12" t="s">
        <v>38</v>
      </c>
      <c r="I2662" s="12" t="s">
        <v>159</v>
      </c>
      <c r="J2662" s="12" t="s">
        <v>255</v>
      </c>
      <c r="K2662" s="12" t="s">
        <v>82</v>
      </c>
      <c r="L2662" s="14"/>
      <c r="M2662" s="12" t="s">
        <v>43</v>
      </c>
      <c r="N2662" s="12" t="s">
        <v>84</v>
      </c>
      <c r="O2662" s="12" t="s">
        <v>9796</v>
      </c>
      <c r="P2662" s="12" t="s">
        <v>46</v>
      </c>
      <c r="Q2662" s="12" t="s">
        <v>47</v>
      </c>
      <c r="R2662" s="12" t="s">
        <v>163</v>
      </c>
      <c r="S2662" s="13">
        <v>197804538133</v>
      </c>
      <c r="T2662" s="12" t="s">
        <v>49</v>
      </c>
      <c r="U2662" s="13">
        <v>43</v>
      </c>
      <c r="V2662" s="12" t="s">
        <v>50</v>
      </c>
      <c r="W2662" s="12" t="s">
        <v>186</v>
      </c>
      <c r="X2662" s="14"/>
      <c r="Y2662" s="14"/>
      <c r="Z2662" s="14"/>
      <c r="AA2662" s="14"/>
      <c r="AB2662" s="14"/>
      <c r="AC2662" s="15">
        <v>50</v>
      </c>
      <c r="AD2662" s="15">
        <f>AC2662*AG2662</f>
        <v>100</v>
      </c>
      <c r="AE2662" s="15">
        <v>110</v>
      </c>
      <c r="AF2662" s="15">
        <f>AE2662*AG2662</f>
        <v>220</v>
      </c>
      <c r="AG2662" s="16">
        <v>2</v>
      </c>
    </row>
    <row r="2663" spans="1:33" ht="15" customHeight="1" x14ac:dyDescent="0.2">
      <c r="A2663" s="11" t="str">
        <f t="shared" ref="A2663:A4340" si="1071">HYPERLINK("https://assets.vans.eu/images/VN000D6FY7U-HERO/1","VN000D6FY7U1")</f>
        <v>VN000D6FY7U1</v>
      </c>
      <c r="B2663" s="12" t="s">
        <v>9797</v>
      </c>
      <c r="C2663" s="12" t="s">
        <v>1614</v>
      </c>
      <c r="D2663" s="12" t="s">
        <v>740</v>
      </c>
      <c r="E2663" s="12" t="s">
        <v>9798</v>
      </c>
      <c r="F2663" s="13">
        <v>65</v>
      </c>
      <c r="G2663" s="12" t="s">
        <v>9789</v>
      </c>
      <c r="H2663" s="12" t="s">
        <v>38</v>
      </c>
      <c r="I2663" s="12" t="s">
        <v>159</v>
      </c>
      <c r="J2663" s="12" t="s">
        <v>255</v>
      </c>
      <c r="K2663" s="12" t="s">
        <v>82</v>
      </c>
      <c r="L2663" s="14"/>
      <c r="M2663" s="12" t="s">
        <v>43</v>
      </c>
      <c r="N2663" s="12" t="s">
        <v>84</v>
      </c>
      <c r="O2663" s="12" t="s">
        <v>9799</v>
      </c>
      <c r="P2663" s="12" t="s">
        <v>46</v>
      </c>
      <c r="Q2663" s="12" t="s">
        <v>47</v>
      </c>
      <c r="R2663" s="12" t="s">
        <v>163</v>
      </c>
      <c r="S2663" s="13">
        <v>197804536795</v>
      </c>
      <c r="T2663" s="12" t="s">
        <v>49</v>
      </c>
      <c r="U2663" s="13">
        <v>38.5</v>
      </c>
      <c r="V2663" s="12" t="s">
        <v>50</v>
      </c>
      <c r="W2663" s="12" t="s">
        <v>455</v>
      </c>
      <c r="X2663" s="14"/>
      <c r="Y2663" s="14"/>
      <c r="Z2663" s="14"/>
      <c r="AA2663" s="14"/>
      <c r="AB2663" s="14"/>
      <c r="AC2663" s="15">
        <v>52.3</v>
      </c>
      <c r="AD2663" s="15">
        <f>AC2663*AG2663</f>
        <v>104.6</v>
      </c>
      <c r="AE2663" s="15">
        <v>115</v>
      </c>
      <c r="AF2663" s="15">
        <f>AE2663*AG2663</f>
        <v>230</v>
      </c>
      <c r="AG2663" s="16">
        <v>2</v>
      </c>
    </row>
    <row r="2664" spans="1:33" ht="15" customHeight="1" x14ac:dyDescent="0.2">
      <c r="A2664" s="11" t="str">
        <f t="shared" ref="A2664:A4343" si="1072">HYPERLINK("https://assets.vans.eu/images/VN000D6N24O-HERO/1","VN000D6N24O1")</f>
        <v>VN000D6N24O1</v>
      </c>
      <c r="B2664" s="12" t="s">
        <v>9800</v>
      </c>
      <c r="C2664" s="12" t="s">
        <v>1458</v>
      </c>
      <c r="D2664" s="12" t="s">
        <v>9801</v>
      </c>
      <c r="E2664" s="12" t="s">
        <v>9802</v>
      </c>
      <c r="F2664" s="13">
        <v>105</v>
      </c>
      <c r="G2664" s="12" t="s">
        <v>9803</v>
      </c>
      <c r="H2664" s="12" t="s">
        <v>38</v>
      </c>
      <c r="I2664" s="12" t="s">
        <v>159</v>
      </c>
      <c r="J2664" s="12" t="s">
        <v>255</v>
      </c>
      <c r="K2664" s="12" t="s">
        <v>82</v>
      </c>
      <c r="L2664" s="14"/>
      <c r="M2664" s="12" t="s">
        <v>43</v>
      </c>
      <c r="N2664" s="12" t="s">
        <v>84</v>
      </c>
      <c r="O2664" s="12" t="s">
        <v>9804</v>
      </c>
      <c r="P2664" s="12" t="s">
        <v>46</v>
      </c>
      <c r="Q2664" s="12" t="s">
        <v>47</v>
      </c>
      <c r="R2664" s="12" t="s">
        <v>163</v>
      </c>
      <c r="S2664" s="13">
        <v>197804538072</v>
      </c>
      <c r="T2664" s="12" t="s">
        <v>105</v>
      </c>
      <c r="U2664" s="13">
        <v>44</v>
      </c>
      <c r="V2664" s="12" t="s">
        <v>50</v>
      </c>
      <c r="W2664" s="12" t="s">
        <v>118</v>
      </c>
      <c r="X2664" s="14"/>
      <c r="Y2664" s="14"/>
      <c r="Z2664" s="14"/>
      <c r="AA2664" s="14"/>
      <c r="AB2664" s="14"/>
      <c r="AC2664" s="15">
        <v>43.2</v>
      </c>
      <c r="AD2664" s="15">
        <f>AC2664*AG2664</f>
        <v>86.4</v>
      </c>
      <c r="AE2664" s="15">
        <v>95</v>
      </c>
      <c r="AF2664" s="15">
        <f>AE2664*AG2664</f>
        <v>190</v>
      </c>
      <c r="AG2664" s="16">
        <v>2</v>
      </c>
    </row>
    <row r="2665" spans="1:33" ht="15" customHeight="1" x14ac:dyDescent="0.2">
      <c r="A2665" s="11" t="str">
        <f t="shared" ref="A2665:A2666" si="1073">HYPERLINK("https://assets.vans.eu/images/VN000D6SCJA-HERO/1","VN000D6SCJA1")</f>
        <v>VN000D6SCJA1</v>
      </c>
      <c r="B2665" s="12" t="s">
        <v>9805</v>
      </c>
      <c r="C2665" s="12" t="s">
        <v>2597</v>
      </c>
      <c r="D2665" s="12" t="s">
        <v>2144</v>
      </c>
      <c r="E2665" s="12" t="s">
        <v>9806</v>
      </c>
      <c r="F2665" s="13">
        <v>85</v>
      </c>
      <c r="G2665" s="12" t="s">
        <v>7293</v>
      </c>
      <c r="H2665" s="12" t="s">
        <v>38</v>
      </c>
      <c r="I2665" s="12" t="s">
        <v>159</v>
      </c>
      <c r="J2665" s="12" t="s">
        <v>255</v>
      </c>
      <c r="K2665" s="12" t="s">
        <v>82</v>
      </c>
      <c r="L2665" s="14"/>
      <c r="M2665" s="12" t="s">
        <v>43</v>
      </c>
      <c r="N2665" s="12" t="s">
        <v>84</v>
      </c>
      <c r="O2665" s="12" t="s">
        <v>9807</v>
      </c>
      <c r="P2665" s="12" t="s">
        <v>46</v>
      </c>
      <c r="Q2665" s="12" t="s">
        <v>47</v>
      </c>
      <c r="R2665" s="12" t="s">
        <v>163</v>
      </c>
      <c r="S2665" s="13">
        <v>197804453764</v>
      </c>
      <c r="T2665" s="12" t="s">
        <v>49</v>
      </c>
      <c r="U2665" s="13">
        <v>41</v>
      </c>
      <c r="V2665" s="12" t="s">
        <v>50</v>
      </c>
      <c r="W2665" s="12" t="s">
        <v>175</v>
      </c>
      <c r="X2665" s="14"/>
      <c r="Y2665" s="14"/>
      <c r="Z2665" s="14"/>
      <c r="AA2665" s="14"/>
      <c r="AB2665" s="14"/>
      <c r="AC2665" s="15">
        <v>40.950000000000003</v>
      </c>
      <c r="AD2665" s="15">
        <f>AC2665*AG2665</f>
        <v>81.900000000000006</v>
      </c>
      <c r="AE2665" s="15">
        <v>90</v>
      </c>
      <c r="AF2665" s="15">
        <f>AE2665*AG2665</f>
        <v>180</v>
      </c>
      <c r="AG2665" s="16">
        <v>2</v>
      </c>
    </row>
    <row r="2666" spans="1:33" ht="15" customHeight="1" x14ac:dyDescent="0.2">
      <c r="A2666" s="11" t="str">
        <f t="shared" si="1073"/>
        <v>VN000D6SCJA1</v>
      </c>
      <c r="B2666" s="12" t="s">
        <v>9808</v>
      </c>
      <c r="C2666" s="12" t="s">
        <v>2597</v>
      </c>
      <c r="D2666" s="12" t="s">
        <v>2144</v>
      </c>
      <c r="E2666" s="12" t="s">
        <v>9809</v>
      </c>
      <c r="F2666" s="13">
        <v>100</v>
      </c>
      <c r="G2666" s="12" t="s">
        <v>7293</v>
      </c>
      <c r="H2666" s="12" t="s">
        <v>38</v>
      </c>
      <c r="I2666" s="12" t="s">
        <v>159</v>
      </c>
      <c r="J2666" s="12" t="s">
        <v>255</v>
      </c>
      <c r="K2666" s="12" t="s">
        <v>82</v>
      </c>
      <c r="L2666" s="14"/>
      <c r="M2666" s="12" t="s">
        <v>43</v>
      </c>
      <c r="N2666" s="12" t="s">
        <v>84</v>
      </c>
      <c r="O2666" s="12" t="s">
        <v>9810</v>
      </c>
      <c r="P2666" s="12" t="s">
        <v>46</v>
      </c>
      <c r="Q2666" s="12" t="s">
        <v>47</v>
      </c>
      <c r="R2666" s="12" t="s">
        <v>163</v>
      </c>
      <c r="S2666" s="13">
        <v>197804454068</v>
      </c>
      <c r="T2666" s="12" t="s">
        <v>49</v>
      </c>
      <c r="U2666" s="13">
        <v>43</v>
      </c>
      <c r="V2666" s="12" t="s">
        <v>50</v>
      </c>
      <c r="W2666" s="12" t="s">
        <v>175</v>
      </c>
      <c r="X2666" s="14"/>
      <c r="Y2666" s="14"/>
      <c r="Z2666" s="14"/>
      <c r="AA2666" s="14"/>
      <c r="AB2666" s="14"/>
      <c r="AC2666" s="15">
        <v>40.950000000000003</v>
      </c>
      <c r="AD2666" s="15">
        <f>AC2666*AG2666</f>
        <v>81.900000000000006</v>
      </c>
      <c r="AE2666" s="15">
        <v>90</v>
      </c>
      <c r="AF2666" s="15">
        <f>AE2666*AG2666</f>
        <v>180</v>
      </c>
      <c r="AG2666" s="16">
        <v>2</v>
      </c>
    </row>
    <row r="2667" spans="1:33" ht="15" customHeight="1" x14ac:dyDescent="0.2">
      <c r="A2667" s="11" t="str">
        <f t="shared" ref="A2667:A4363" si="1074">HYPERLINK("https://assets.vans.eu/images/VN000D6SYW3-HERO/1","VN000D6SYW31")</f>
        <v>VN000D6SYW31</v>
      </c>
      <c r="B2667" s="12" t="s">
        <v>9811</v>
      </c>
      <c r="C2667" s="12" t="s">
        <v>2597</v>
      </c>
      <c r="D2667" s="12" t="s">
        <v>9812</v>
      </c>
      <c r="E2667" s="12" t="s">
        <v>9813</v>
      </c>
      <c r="F2667" s="13">
        <v>80</v>
      </c>
      <c r="G2667" s="14"/>
      <c r="H2667" s="12" t="s">
        <v>38</v>
      </c>
      <c r="I2667" s="12" t="s">
        <v>159</v>
      </c>
      <c r="J2667" s="12" t="s">
        <v>255</v>
      </c>
      <c r="K2667" s="12" t="s">
        <v>82</v>
      </c>
      <c r="L2667" s="12" t="s">
        <v>260</v>
      </c>
      <c r="M2667" s="12" t="s">
        <v>43</v>
      </c>
      <c r="N2667" s="12" t="s">
        <v>84</v>
      </c>
      <c r="O2667" s="12" t="s">
        <v>9814</v>
      </c>
      <c r="P2667" s="12" t="s">
        <v>46</v>
      </c>
      <c r="Q2667" s="12" t="s">
        <v>47</v>
      </c>
      <c r="R2667" s="12" t="s">
        <v>163</v>
      </c>
      <c r="S2667" s="13">
        <v>197803562573</v>
      </c>
      <c r="T2667" s="12" t="s">
        <v>49</v>
      </c>
      <c r="U2667" s="13">
        <v>40.5</v>
      </c>
      <c r="V2667" s="12" t="s">
        <v>50</v>
      </c>
      <c r="W2667" s="12" t="s">
        <v>51</v>
      </c>
      <c r="X2667" s="14"/>
      <c r="Y2667" s="14"/>
      <c r="Z2667" s="14"/>
      <c r="AA2667" s="14"/>
      <c r="AB2667" s="14"/>
      <c r="AC2667" s="15">
        <v>40.950000000000003</v>
      </c>
      <c r="AD2667" s="15">
        <f>AC2667*AG2667</f>
        <v>81.900000000000006</v>
      </c>
      <c r="AE2667" s="15">
        <v>90</v>
      </c>
      <c r="AF2667" s="15">
        <f>AE2667*AG2667</f>
        <v>180</v>
      </c>
      <c r="AG2667" s="16">
        <v>2</v>
      </c>
    </row>
    <row r="2668" spans="1:33" ht="15" customHeight="1" x14ac:dyDescent="0.2">
      <c r="A2668" s="11" t="str">
        <f t="shared" si="804"/>
        <v>VN000D6W11E1</v>
      </c>
      <c r="B2668" s="12" t="s">
        <v>9815</v>
      </c>
      <c r="C2668" s="12" t="s">
        <v>34</v>
      </c>
      <c r="D2668" s="12" t="s">
        <v>1148</v>
      </c>
      <c r="E2668" s="12" t="s">
        <v>9816</v>
      </c>
      <c r="F2668" s="13">
        <v>55</v>
      </c>
      <c r="G2668" s="12" t="s">
        <v>2814</v>
      </c>
      <c r="H2668" s="12" t="s">
        <v>38</v>
      </c>
      <c r="I2668" s="12" t="s">
        <v>113</v>
      </c>
      <c r="J2668" s="12" t="s">
        <v>114</v>
      </c>
      <c r="K2668" s="12" t="s">
        <v>82</v>
      </c>
      <c r="L2668" s="14"/>
      <c r="M2668" s="12" t="s">
        <v>43</v>
      </c>
      <c r="N2668" s="12" t="s">
        <v>84</v>
      </c>
      <c r="O2668" s="12" t="s">
        <v>9817</v>
      </c>
      <c r="P2668" s="12" t="s">
        <v>46</v>
      </c>
      <c r="Q2668" s="12" t="s">
        <v>47</v>
      </c>
      <c r="R2668" s="12" t="s">
        <v>117</v>
      </c>
      <c r="S2668" s="13">
        <v>197804789344</v>
      </c>
      <c r="T2668" s="12" t="s">
        <v>105</v>
      </c>
      <c r="U2668" s="13">
        <v>37</v>
      </c>
      <c r="V2668" s="12" t="s">
        <v>50</v>
      </c>
      <c r="W2668" s="12" t="s">
        <v>107</v>
      </c>
      <c r="X2668" s="14"/>
      <c r="Y2668" s="14"/>
      <c r="Z2668" s="14"/>
      <c r="AA2668" s="14"/>
      <c r="AB2668" s="14"/>
      <c r="AC2668" s="15">
        <v>43.2</v>
      </c>
      <c r="AD2668" s="15">
        <f>AC2668*AG2668</f>
        <v>86.4</v>
      </c>
      <c r="AE2668" s="15">
        <v>95</v>
      </c>
      <c r="AF2668" s="15">
        <f>AE2668*AG2668</f>
        <v>190</v>
      </c>
      <c r="AG2668" s="16">
        <v>2</v>
      </c>
    </row>
    <row r="2669" spans="1:33" ht="15" customHeight="1" x14ac:dyDescent="0.2">
      <c r="A2669" s="11" t="str">
        <f>HYPERLINK("https://assets.vans.eu/images/VN000D6W203-HERO/1","VN000D6W2031")</f>
        <v>VN000D6W2031</v>
      </c>
      <c r="B2669" s="12" t="s">
        <v>9818</v>
      </c>
      <c r="C2669" s="12" t="s">
        <v>34</v>
      </c>
      <c r="D2669" s="12" t="s">
        <v>3021</v>
      </c>
      <c r="E2669" s="12" t="s">
        <v>9819</v>
      </c>
      <c r="F2669" s="13">
        <v>60</v>
      </c>
      <c r="G2669" s="12" t="s">
        <v>3023</v>
      </c>
      <c r="H2669" s="12" t="s">
        <v>38</v>
      </c>
      <c r="I2669" s="12" t="s">
        <v>113</v>
      </c>
      <c r="J2669" s="12" t="s">
        <v>114</v>
      </c>
      <c r="K2669" s="12" t="s">
        <v>82</v>
      </c>
      <c r="L2669" s="14"/>
      <c r="M2669" s="12" t="s">
        <v>43</v>
      </c>
      <c r="N2669" s="12" t="s">
        <v>84</v>
      </c>
      <c r="O2669" s="12" t="s">
        <v>9820</v>
      </c>
      <c r="P2669" s="12" t="s">
        <v>46</v>
      </c>
      <c r="Q2669" s="12" t="s">
        <v>47</v>
      </c>
      <c r="R2669" s="12" t="s">
        <v>117</v>
      </c>
      <c r="S2669" s="13">
        <v>197804538775</v>
      </c>
      <c r="T2669" s="12" t="s">
        <v>105</v>
      </c>
      <c r="U2669" s="13">
        <v>38</v>
      </c>
      <c r="V2669" s="12" t="s">
        <v>50</v>
      </c>
      <c r="W2669" s="12" t="s">
        <v>118</v>
      </c>
      <c r="X2669" s="14"/>
      <c r="Y2669" s="14"/>
      <c r="Z2669" s="14"/>
      <c r="AA2669" s="14"/>
      <c r="AB2669" s="14"/>
      <c r="AC2669" s="15">
        <v>43.2</v>
      </c>
      <c r="AD2669" s="15">
        <f>AC2669*AG2669</f>
        <v>86.4</v>
      </c>
      <c r="AE2669" s="15">
        <v>95</v>
      </c>
      <c r="AF2669" s="15">
        <f>AE2669*AG2669</f>
        <v>190</v>
      </c>
      <c r="AG2669" s="16">
        <v>2</v>
      </c>
    </row>
    <row r="2670" spans="1:33" ht="15" customHeight="1" x14ac:dyDescent="0.2">
      <c r="A2670" s="11" t="str">
        <f>HYPERLINK("https://assets.vans.eu/images/VN000D6W203-HERO/1","VN000D6W2031")</f>
        <v>VN000D6W2031</v>
      </c>
      <c r="B2670" s="12" t="s">
        <v>9821</v>
      </c>
      <c r="C2670" s="12" t="s">
        <v>34</v>
      </c>
      <c r="D2670" s="12" t="s">
        <v>3021</v>
      </c>
      <c r="E2670" s="12" t="s">
        <v>9822</v>
      </c>
      <c r="F2670" s="13">
        <v>130</v>
      </c>
      <c r="G2670" s="12" t="s">
        <v>3023</v>
      </c>
      <c r="H2670" s="12" t="s">
        <v>38</v>
      </c>
      <c r="I2670" s="12" t="s">
        <v>113</v>
      </c>
      <c r="J2670" s="12" t="s">
        <v>114</v>
      </c>
      <c r="K2670" s="12" t="s">
        <v>82</v>
      </c>
      <c r="L2670" s="14"/>
      <c r="M2670" s="12" t="s">
        <v>43</v>
      </c>
      <c r="N2670" s="12" t="s">
        <v>84</v>
      </c>
      <c r="O2670" s="12" t="s">
        <v>9823</v>
      </c>
      <c r="P2670" s="12" t="s">
        <v>46</v>
      </c>
      <c r="Q2670" s="12" t="s">
        <v>47</v>
      </c>
      <c r="R2670" s="12" t="s">
        <v>117</v>
      </c>
      <c r="S2670" s="13">
        <v>197804540068</v>
      </c>
      <c r="T2670" s="12" t="s">
        <v>105</v>
      </c>
      <c r="U2670" s="13">
        <v>47</v>
      </c>
      <c r="V2670" s="12" t="s">
        <v>50</v>
      </c>
      <c r="W2670" s="12" t="s">
        <v>118</v>
      </c>
      <c r="X2670" s="14"/>
      <c r="Y2670" s="14"/>
      <c r="Z2670" s="14"/>
      <c r="AA2670" s="14"/>
      <c r="AB2670" s="14"/>
      <c r="AC2670" s="15">
        <v>43.2</v>
      </c>
      <c r="AD2670" s="15">
        <f>AC2670*AG2670</f>
        <v>86.4</v>
      </c>
      <c r="AE2670" s="15">
        <v>95</v>
      </c>
      <c r="AF2670" s="15">
        <f>AE2670*AG2670</f>
        <v>190</v>
      </c>
      <c r="AG2670" s="16">
        <v>2</v>
      </c>
    </row>
    <row r="2671" spans="1:33" ht="15" customHeight="1" x14ac:dyDescent="0.2">
      <c r="A2671" s="11" t="str">
        <f t="shared" ref="A2671:A4373" si="1075">HYPERLINK("https://assets.vans.eu/images/VN000D6W7D6-HERO/1","VN000D6W7D61")</f>
        <v>VN000D6W7D61</v>
      </c>
      <c r="B2671" s="12" t="s">
        <v>9824</v>
      </c>
      <c r="C2671" s="12" t="s">
        <v>34</v>
      </c>
      <c r="D2671" s="12" t="s">
        <v>1231</v>
      </c>
      <c r="E2671" s="12" t="s">
        <v>9825</v>
      </c>
      <c r="F2671" s="13">
        <v>40</v>
      </c>
      <c r="G2671" s="12" t="s">
        <v>3002</v>
      </c>
      <c r="H2671" s="12" t="s">
        <v>38</v>
      </c>
      <c r="I2671" s="12" t="s">
        <v>113</v>
      </c>
      <c r="J2671" s="12" t="s">
        <v>114</v>
      </c>
      <c r="K2671" s="12" t="s">
        <v>82</v>
      </c>
      <c r="L2671" s="14"/>
      <c r="M2671" s="12" t="s">
        <v>43</v>
      </c>
      <c r="N2671" s="12" t="s">
        <v>84</v>
      </c>
      <c r="O2671" s="12" t="s">
        <v>9826</v>
      </c>
      <c r="P2671" s="12" t="s">
        <v>46</v>
      </c>
      <c r="Q2671" s="12" t="s">
        <v>47</v>
      </c>
      <c r="R2671" s="12" t="s">
        <v>117</v>
      </c>
      <c r="S2671" s="13">
        <v>197804539246</v>
      </c>
      <c r="T2671" s="12" t="s">
        <v>49</v>
      </c>
      <c r="U2671" s="13">
        <v>35</v>
      </c>
      <c r="V2671" s="12" t="s">
        <v>50</v>
      </c>
      <c r="W2671" s="12" t="s">
        <v>186</v>
      </c>
      <c r="X2671" s="14"/>
      <c r="Y2671" s="14"/>
      <c r="Z2671" s="14"/>
      <c r="AA2671" s="14"/>
      <c r="AB2671" s="14"/>
      <c r="AC2671" s="15">
        <v>38.65</v>
      </c>
      <c r="AD2671" s="15">
        <f>AC2671*AG2671</f>
        <v>77.3</v>
      </c>
      <c r="AE2671" s="15">
        <v>85</v>
      </c>
      <c r="AF2671" s="15">
        <f>AE2671*AG2671</f>
        <v>170</v>
      </c>
      <c r="AG2671" s="16">
        <v>2</v>
      </c>
    </row>
    <row r="2672" spans="1:33" ht="15" customHeight="1" x14ac:dyDescent="0.2">
      <c r="A2672" s="11" t="str">
        <f t="shared" ref="A2672:A2675" si="1076">HYPERLINK("https://assets.vans.eu/images/VN000D6WEMG-HERO/1","VN000D6WEMG1")</f>
        <v>VN000D6WEMG1</v>
      </c>
      <c r="B2672" s="12" t="s">
        <v>9827</v>
      </c>
      <c r="C2672" s="12" t="s">
        <v>34</v>
      </c>
      <c r="D2672" s="12" t="s">
        <v>2807</v>
      </c>
      <c r="E2672" s="12" t="s">
        <v>9828</v>
      </c>
      <c r="F2672" s="13">
        <v>45</v>
      </c>
      <c r="G2672" s="12" t="s">
        <v>2809</v>
      </c>
      <c r="H2672" s="12" t="s">
        <v>38</v>
      </c>
      <c r="I2672" s="12" t="s">
        <v>113</v>
      </c>
      <c r="J2672" s="12" t="s">
        <v>114</v>
      </c>
      <c r="K2672" s="12" t="s">
        <v>82</v>
      </c>
      <c r="L2672" s="14"/>
      <c r="M2672" s="12" t="s">
        <v>43</v>
      </c>
      <c r="N2672" s="12" t="s">
        <v>84</v>
      </c>
      <c r="O2672" s="12" t="s">
        <v>9829</v>
      </c>
      <c r="P2672" s="12" t="s">
        <v>46</v>
      </c>
      <c r="Q2672" s="12" t="s">
        <v>47</v>
      </c>
      <c r="R2672" s="12" t="s">
        <v>117</v>
      </c>
      <c r="S2672" s="13">
        <v>197804539871</v>
      </c>
      <c r="T2672" s="12" t="s">
        <v>164</v>
      </c>
      <c r="U2672" s="13">
        <v>36</v>
      </c>
      <c r="V2672" s="12" t="s">
        <v>50</v>
      </c>
      <c r="W2672" s="12" t="s">
        <v>284</v>
      </c>
      <c r="X2672" s="14"/>
      <c r="Y2672" s="14"/>
      <c r="Z2672" s="14"/>
      <c r="AA2672" s="14"/>
      <c r="AB2672" s="14"/>
      <c r="AC2672" s="15">
        <v>38.65</v>
      </c>
      <c r="AD2672" s="15">
        <f>AC2672*AG2672</f>
        <v>77.3</v>
      </c>
      <c r="AE2672" s="15">
        <v>85</v>
      </c>
      <c r="AF2672" s="15">
        <f>AE2672*AG2672</f>
        <v>170</v>
      </c>
      <c r="AG2672" s="16">
        <v>2</v>
      </c>
    </row>
    <row r="2673" spans="1:33" ht="15" customHeight="1" x14ac:dyDescent="0.2">
      <c r="A2673" s="11" t="str">
        <f t="shared" si="1076"/>
        <v>VN000D6WEMG1</v>
      </c>
      <c r="B2673" s="12" t="s">
        <v>9830</v>
      </c>
      <c r="C2673" s="12" t="s">
        <v>34</v>
      </c>
      <c r="D2673" s="12" t="s">
        <v>2807</v>
      </c>
      <c r="E2673" s="12" t="s">
        <v>9831</v>
      </c>
      <c r="F2673" s="13">
        <v>60</v>
      </c>
      <c r="G2673" s="12" t="s">
        <v>2809</v>
      </c>
      <c r="H2673" s="12" t="s">
        <v>38</v>
      </c>
      <c r="I2673" s="12" t="s">
        <v>113</v>
      </c>
      <c r="J2673" s="12" t="s">
        <v>114</v>
      </c>
      <c r="K2673" s="12" t="s">
        <v>82</v>
      </c>
      <c r="L2673" s="14"/>
      <c r="M2673" s="12" t="s">
        <v>43</v>
      </c>
      <c r="N2673" s="12" t="s">
        <v>84</v>
      </c>
      <c r="O2673" s="12" t="s">
        <v>9832</v>
      </c>
      <c r="P2673" s="12" t="s">
        <v>46</v>
      </c>
      <c r="Q2673" s="12" t="s">
        <v>47</v>
      </c>
      <c r="R2673" s="12" t="s">
        <v>117</v>
      </c>
      <c r="S2673" s="13">
        <v>197804540327</v>
      </c>
      <c r="T2673" s="12" t="s">
        <v>164</v>
      </c>
      <c r="U2673" s="13">
        <v>38</v>
      </c>
      <c r="V2673" s="12" t="s">
        <v>50</v>
      </c>
      <c r="W2673" s="12" t="s">
        <v>284</v>
      </c>
      <c r="X2673" s="14"/>
      <c r="Y2673" s="14"/>
      <c r="Z2673" s="14"/>
      <c r="AA2673" s="14"/>
      <c r="AB2673" s="14"/>
      <c r="AC2673" s="15">
        <v>38.65</v>
      </c>
      <c r="AD2673" s="15">
        <f>AC2673*AG2673</f>
        <v>77.3</v>
      </c>
      <c r="AE2673" s="15">
        <v>85</v>
      </c>
      <c r="AF2673" s="15">
        <f>AE2673*AG2673</f>
        <v>170</v>
      </c>
      <c r="AG2673" s="16">
        <v>2</v>
      </c>
    </row>
    <row r="2674" spans="1:33" ht="15" customHeight="1" x14ac:dyDescent="0.2">
      <c r="A2674" s="11" t="str">
        <f t="shared" si="1076"/>
        <v>VN000D6WEMG1</v>
      </c>
      <c r="B2674" s="12" t="s">
        <v>9833</v>
      </c>
      <c r="C2674" s="12" t="s">
        <v>34</v>
      </c>
      <c r="D2674" s="12" t="s">
        <v>2807</v>
      </c>
      <c r="E2674" s="12" t="s">
        <v>9834</v>
      </c>
      <c r="F2674" s="13">
        <v>70</v>
      </c>
      <c r="G2674" s="12" t="s">
        <v>2809</v>
      </c>
      <c r="H2674" s="12" t="s">
        <v>38</v>
      </c>
      <c r="I2674" s="12" t="s">
        <v>113</v>
      </c>
      <c r="J2674" s="12" t="s">
        <v>114</v>
      </c>
      <c r="K2674" s="12" t="s">
        <v>82</v>
      </c>
      <c r="L2674" s="14"/>
      <c r="M2674" s="12" t="s">
        <v>43</v>
      </c>
      <c r="N2674" s="12" t="s">
        <v>84</v>
      </c>
      <c r="O2674" s="12" t="s">
        <v>9835</v>
      </c>
      <c r="P2674" s="12" t="s">
        <v>46</v>
      </c>
      <c r="Q2674" s="12" t="s">
        <v>47</v>
      </c>
      <c r="R2674" s="12" t="s">
        <v>117</v>
      </c>
      <c r="S2674" s="13">
        <v>197804540709</v>
      </c>
      <c r="T2674" s="12" t="s">
        <v>164</v>
      </c>
      <c r="U2674" s="13">
        <v>39</v>
      </c>
      <c r="V2674" s="12" t="s">
        <v>50</v>
      </c>
      <c r="W2674" s="12" t="s">
        <v>284</v>
      </c>
      <c r="X2674" s="14"/>
      <c r="Y2674" s="14"/>
      <c r="Z2674" s="14"/>
      <c r="AA2674" s="14"/>
      <c r="AB2674" s="14"/>
      <c r="AC2674" s="15">
        <v>38.65</v>
      </c>
      <c r="AD2674" s="15">
        <f>AC2674*AG2674</f>
        <v>77.3</v>
      </c>
      <c r="AE2674" s="15">
        <v>85</v>
      </c>
      <c r="AF2674" s="15">
        <f>AE2674*AG2674</f>
        <v>170</v>
      </c>
      <c r="AG2674" s="16">
        <v>2</v>
      </c>
    </row>
    <row r="2675" spans="1:33" ht="15" customHeight="1" x14ac:dyDescent="0.2">
      <c r="A2675" s="11" t="str">
        <f t="shared" si="1076"/>
        <v>VN000D6WEMG1</v>
      </c>
      <c r="B2675" s="12" t="s">
        <v>9836</v>
      </c>
      <c r="C2675" s="12" t="s">
        <v>34</v>
      </c>
      <c r="D2675" s="12" t="s">
        <v>2807</v>
      </c>
      <c r="E2675" s="12" t="s">
        <v>9837</v>
      </c>
      <c r="F2675" s="13">
        <v>75</v>
      </c>
      <c r="G2675" s="12" t="s">
        <v>2809</v>
      </c>
      <c r="H2675" s="12" t="s">
        <v>38</v>
      </c>
      <c r="I2675" s="12" t="s">
        <v>113</v>
      </c>
      <c r="J2675" s="12" t="s">
        <v>114</v>
      </c>
      <c r="K2675" s="12" t="s">
        <v>82</v>
      </c>
      <c r="L2675" s="14"/>
      <c r="M2675" s="12" t="s">
        <v>43</v>
      </c>
      <c r="N2675" s="12" t="s">
        <v>84</v>
      </c>
      <c r="O2675" s="12" t="s">
        <v>9838</v>
      </c>
      <c r="P2675" s="12" t="s">
        <v>46</v>
      </c>
      <c r="Q2675" s="12" t="s">
        <v>47</v>
      </c>
      <c r="R2675" s="12" t="s">
        <v>117</v>
      </c>
      <c r="S2675" s="13">
        <v>197804540808</v>
      </c>
      <c r="T2675" s="12" t="s">
        <v>164</v>
      </c>
      <c r="U2675" s="13">
        <v>40</v>
      </c>
      <c r="V2675" s="12" t="s">
        <v>50</v>
      </c>
      <c r="W2675" s="12" t="s">
        <v>284</v>
      </c>
      <c r="X2675" s="14"/>
      <c r="Y2675" s="14"/>
      <c r="Z2675" s="14"/>
      <c r="AA2675" s="14"/>
      <c r="AB2675" s="14"/>
      <c r="AC2675" s="15">
        <v>38.65</v>
      </c>
      <c r="AD2675" s="15">
        <f>AC2675*AG2675</f>
        <v>77.3</v>
      </c>
      <c r="AE2675" s="15">
        <v>85</v>
      </c>
      <c r="AF2675" s="15">
        <f>AE2675*AG2675</f>
        <v>170</v>
      </c>
      <c r="AG2675" s="16">
        <v>2</v>
      </c>
    </row>
    <row r="2676" spans="1:33" ht="15" customHeight="1" x14ac:dyDescent="0.2">
      <c r="A2676" s="11" t="str">
        <f t="shared" si="166"/>
        <v>VN000D6WEMU1</v>
      </c>
      <c r="B2676" s="12" t="s">
        <v>9839</v>
      </c>
      <c r="C2676" s="12" t="s">
        <v>34</v>
      </c>
      <c r="D2676" s="12" t="s">
        <v>1319</v>
      </c>
      <c r="E2676" s="12" t="s">
        <v>9840</v>
      </c>
      <c r="F2676" s="13">
        <v>40</v>
      </c>
      <c r="G2676" s="12" t="s">
        <v>1920</v>
      </c>
      <c r="H2676" s="12" t="s">
        <v>38</v>
      </c>
      <c r="I2676" s="12" t="s">
        <v>113</v>
      </c>
      <c r="J2676" s="12" t="s">
        <v>114</v>
      </c>
      <c r="K2676" s="12" t="s">
        <v>82</v>
      </c>
      <c r="L2676" s="12" t="s">
        <v>42</v>
      </c>
      <c r="M2676" s="12" t="s">
        <v>43</v>
      </c>
      <c r="N2676" s="12" t="s">
        <v>84</v>
      </c>
      <c r="O2676" s="12" t="s">
        <v>9841</v>
      </c>
      <c r="P2676" s="12" t="s">
        <v>46</v>
      </c>
      <c r="Q2676" s="12" t="s">
        <v>47</v>
      </c>
      <c r="R2676" s="12" t="s">
        <v>117</v>
      </c>
      <c r="S2676" s="13">
        <v>197804540013</v>
      </c>
      <c r="T2676" s="12" t="s">
        <v>49</v>
      </c>
      <c r="U2676" s="13">
        <v>35</v>
      </c>
      <c r="V2676" s="12" t="s">
        <v>50</v>
      </c>
      <c r="W2676" s="12" t="s">
        <v>118</v>
      </c>
      <c r="X2676" s="14"/>
      <c r="Y2676" s="14"/>
      <c r="Z2676" s="14"/>
      <c r="AA2676" s="14"/>
      <c r="AB2676" s="14"/>
      <c r="AC2676" s="15">
        <v>38.65</v>
      </c>
      <c r="AD2676" s="15">
        <f>AC2676*AG2676</f>
        <v>77.3</v>
      </c>
      <c r="AE2676" s="15">
        <v>85</v>
      </c>
      <c r="AF2676" s="15">
        <f>AE2676*AG2676</f>
        <v>170</v>
      </c>
      <c r="AG2676" s="16">
        <v>2</v>
      </c>
    </row>
    <row r="2677" spans="1:33" ht="15" customHeight="1" x14ac:dyDescent="0.2">
      <c r="A2677" s="11" t="str">
        <f>HYPERLINK("https://assets.vans.eu/images/VN000D6WEMU-HERO/1","VN000D6WEMU1")</f>
        <v>VN000D6WEMU1</v>
      </c>
      <c r="B2677" s="12" t="s">
        <v>9842</v>
      </c>
      <c r="C2677" s="12" t="s">
        <v>34</v>
      </c>
      <c r="D2677" s="12" t="s">
        <v>1319</v>
      </c>
      <c r="E2677" s="12" t="s">
        <v>9843</v>
      </c>
      <c r="F2677" s="13">
        <v>95</v>
      </c>
      <c r="G2677" s="12" t="s">
        <v>1920</v>
      </c>
      <c r="H2677" s="12" t="s">
        <v>38</v>
      </c>
      <c r="I2677" s="12" t="s">
        <v>113</v>
      </c>
      <c r="J2677" s="12" t="s">
        <v>114</v>
      </c>
      <c r="K2677" s="12" t="s">
        <v>82</v>
      </c>
      <c r="L2677" s="12" t="s">
        <v>42</v>
      </c>
      <c r="M2677" s="12" t="s">
        <v>43</v>
      </c>
      <c r="N2677" s="12" t="s">
        <v>84</v>
      </c>
      <c r="O2677" s="12" t="s">
        <v>9844</v>
      </c>
      <c r="P2677" s="12" t="s">
        <v>46</v>
      </c>
      <c r="Q2677" s="12" t="s">
        <v>47</v>
      </c>
      <c r="R2677" s="12" t="s">
        <v>117</v>
      </c>
      <c r="S2677" s="13">
        <v>197804541379</v>
      </c>
      <c r="T2677" s="12" t="s">
        <v>49</v>
      </c>
      <c r="U2677" s="13">
        <v>42.5</v>
      </c>
      <c r="V2677" s="12" t="s">
        <v>50</v>
      </c>
      <c r="W2677" s="12" t="s">
        <v>118</v>
      </c>
      <c r="X2677" s="14"/>
      <c r="Y2677" s="14"/>
      <c r="Z2677" s="14"/>
      <c r="AA2677" s="14"/>
      <c r="AB2677" s="14"/>
      <c r="AC2677" s="15">
        <v>38.65</v>
      </c>
      <c r="AD2677" s="15">
        <f>AC2677*AG2677</f>
        <v>77.3</v>
      </c>
      <c r="AE2677" s="15">
        <v>85</v>
      </c>
      <c r="AF2677" s="15">
        <f>AE2677*AG2677</f>
        <v>170</v>
      </c>
      <c r="AG2677" s="16">
        <v>2</v>
      </c>
    </row>
    <row r="2678" spans="1:33" ht="15" customHeight="1" x14ac:dyDescent="0.2">
      <c r="A2678" s="11" t="str">
        <f t="shared" si="805"/>
        <v>VN000D6WEMW1</v>
      </c>
      <c r="B2678" s="12" t="s">
        <v>9845</v>
      </c>
      <c r="C2678" s="12" t="s">
        <v>34</v>
      </c>
      <c r="D2678" s="12" t="s">
        <v>147</v>
      </c>
      <c r="E2678" s="12" t="s">
        <v>9846</v>
      </c>
      <c r="F2678" s="13">
        <v>45</v>
      </c>
      <c r="G2678" s="14"/>
      <c r="H2678" s="12" t="s">
        <v>38</v>
      </c>
      <c r="I2678" s="12" t="s">
        <v>113</v>
      </c>
      <c r="J2678" s="12" t="s">
        <v>114</v>
      </c>
      <c r="K2678" s="12" t="s">
        <v>82</v>
      </c>
      <c r="L2678" s="14"/>
      <c r="M2678" s="12" t="s">
        <v>43</v>
      </c>
      <c r="N2678" s="12" t="s">
        <v>84</v>
      </c>
      <c r="O2678" s="12" t="s">
        <v>9847</v>
      </c>
      <c r="P2678" s="12" t="s">
        <v>46</v>
      </c>
      <c r="Q2678" s="12" t="s">
        <v>47</v>
      </c>
      <c r="R2678" s="12" t="s">
        <v>117</v>
      </c>
      <c r="S2678" s="13">
        <v>197804539994</v>
      </c>
      <c r="T2678" s="12" t="s">
        <v>49</v>
      </c>
      <c r="U2678" s="13">
        <v>36</v>
      </c>
      <c r="V2678" s="12" t="s">
        <v>50</v>
      </c>
      <c r="W2678" s="12" t="s">
        <v>118</v>
      </c>
      <c r="X2678" s="14"/>
      <c r="Y2678" s="14"/>
      <c r="Z2678" s="14"/>
      <c r="AA2678" s="14"/>
      <c r="AB2678" s="14"/>
      <c r="AC2678" s="15">
        <v>38.65</v>
      </c>
      <c r="AD2678" s="15">
        <f>AC2678*AG2678</f>
        <v>77.3</v>
      </c>
      <c r="AE2678" s="15">
        <v>85</v>
      </c>
      <c r="AF2678" s="15">
        <f>AE2678*AG2678</f>
        <v>170</v>
      </c>
      <c r="AG2678" s="16">
        <v>2</v>
      </c>
    </row>
    <row r="2679" spans="1:33" ht="15" customHeight="1" x14ac:dyDescent="0.2">
      <c r="A2679" s="11" t="str">
        <f t="shared" ref="A2679:A2680" si="1077">HYPERLINK("https://assets.vans.eu/images/VN000D6WEMW-HERO/1","VN000D6WEMW1")</f>
        <v>VN000D6WEMW1</v>
      </c>
      <c r="B2679" s="12" t="s">
        <v>9848</v>
      </c>
      <c r="C2679" s="12" t="s">
        <v>34</v>
      </c>
      <c r="D2679" s="12" t="s">
        <v>147</v>
      </c>
      <c r="E2679" s="12" t="s">
        <v>9849</v>
      </c>
      <c r="F2679" s="13">
        <v>95</v>
      </c>
      <c r="G2679" s="14"/>
      <c r="H2679" s="12" t="s">
        <v>38</v>
      </c>
      <c r="I2679" s="12" t="s">
        <v>113</v>
      </c>
      <c r="J2679" s="12" t="s">
        <v>114</v>
      </c>
      <c r="K2679" s="12" t="s">
        <v>82</v>
      </c>
      <c r="L2679" s="14"/>
      <c r="M2679" s="12" t="s">
        <v>43</v>
      </c>
      <c r="N2679" s="12" t="s">
        <v>84</v>
      </c>
      <c r="O2679" s="12" t="s">
        <v>9850</v>
      </c>
      <c r="P2679" s="12" t="s">
        <v>46</v>
      </c>
      <c r="Q2679" s="12" t="s">
        <v>47</v>
      </c>
      <c r="R2679" s="12" t="s">
        <v>117</v>
      </c>
      <c r="S2679" s="13">
        <v>197804541751</v>
      </c>
      <c r="T2679" s="12" t="s">
        <v>49</v>
      </c>
      <c r="U2679" s="13">
        <v>42.5</v>
      </c>
      <c r="V2679" s="12" t="s">
        <v>50</v>
      </c>
      <c r="W2679" s="12" t="s">
        <v>118</v>
      </c>
      <c r="X2679" s="14"/>
      <c r="Y2679" s="14"/>
      <c r="Z2679" s="14"/>
      <c r="AA2679" s="14"/>
      <c r="AB2679" s="14"/>
      <c r="AC2679" s="15">
        <v>38.65</v>
      </c>
      <c r="AD2679" s="15">
        <f>AC2679*AG2679</f>
        <v>77.3</v>
      </c>
      <c r="AE2679" s="15">
        <v>85</v>
      </c>
      <c r="AF2679" s="15">
        <f>AE2679*AG2679</f>
        <v>170</v>
      </c>
      <c r="AG2679" s="16">
        <v>2</v>
      </c>
    </row>
    <row r="2680" spans="1:33" ht="15" customHeight="1" x14ac:dyDescent="0.2">
      <c r="A2680" s="11" t="str">
        <f t="shared" si="1077"/>
        <v>VN000D6WEMW1</v>
      </c>
      <c r="B2680" s="12" t="s">
        <v>9851</v>
      </c>
      <c r="C2680" s="12" t="s">
        <v>34</v>
      </c>
      <c r="D2680" s="12" t="s">
        <v>147</v>
      </c>
      <c r="E2680" s="12" t="s">
        <v>9852</v>
      </c>
      <c r="F2680" s="13">
        <v>120</v>
      </c>
      <c r="G2680" s="14"/>
      <c r="H2680" s="12" t="s">
        <v>38</v>
      </c>
      <c r="I2680" s="12" t="s">
        <v>113</v>
      </c>
      <c r="J2680" s="12" t="s">
        <v>114</v>
      </c>
      <c r="K2680" s="12" t="s">
        <v>82</v>
      </c>
      <c r="L2680" s="14"/>
      <c r="M2680" s="12" t="s">
        <v>43</v>
      </c>
      <c r="N2680" s="12" t="s">
        <v>84</v>
      </c>
      <c r="O2680" s="12" t="s">
        <v>9853</v>
      </c>
      <c r="P2680" s="12" t="s">
        <v>46</v>
      </c>
      <c r="Q2680" s="12" t="s">
        <v>47</v>
      </c>
      <c r="R2680" s="12" t="s">
        <v>117</v>
      </c>
      <c r="S2680" s="13">
        <v>197804542512</v>
      </c>
      <c r="T2680" s="12" t="s">
        <v>49</v>
      </c>
      <c r="U2680" s="13">
        <v>46</v>
      </c>
      <c r="V2680" s="12" t="s">
        <v>50</v>
      </c>
      <c r="W2680" s="12" t="s">
        <v>118</v>
      </c>
      <c r="X2680" s="14"/>
      <c r="Y2680" s="14"/>
      <c r="Z2680" s="14"/>
      <c r="AA2680" s="14"/>
      <c r="AB2680" s="14"/>
      <c r="AC2680" s="15">
        <v>38.65</v>
      </c>
      <c r="AD2680" s="15">
        <f>AC2680*AG2680</f>
        <v>77.3</v>
      </c>
      <c r="AE2680" s="15">
        <v>85</v>
      </c>
      <c r="AF2680" s="15">
        <f>AE2680*AG2680</f>
        <v>170</v>
      </c>
      <c r="AG2680" s="16">
        <v>2</v>
      </c>
    </row>
    <row r="2681" spans="1:33" ht="15" customHeight="1" x14ac:dyDescent="0.2">
      <c r="A2681" s="11" t="str">
        <f>HYPERLINK("https://assets.vans.eu/images/VN000D6WRPK-HERO/1","VN000D6WRPK1")</f>
        <v>VN000D6WRPK1</v>
      </c>
      <c r="B2681" s="12" t="s">
        <v>9854</v>
      </c>
      <c r="C2681" s="12" t="s">
        <v>34</v>
      </c>
      <c r="D2681" s="12" t="s">
        <v>5878</v>
      </c>
      <c r="E2681" s="12" t="s">
        <v>9855</v>
      </c>
      <c r="F2681" s="13">
        <v>60</v>
      </c>
      <c r="G2681" s="12" t="s">
        <v>528</v>
      </c>
      <c r="H2681" s="12" t="s">
        <v>38</v>
      </c>
      <c r="I2681" s="12" t="s">
        <v>113</v>
      </c>
      <c r="J2681" s="12" t="s">
        <v>114</v>
      </c>
      <c r="K2681" s="12" t="s">
        <v>82</v>
      </c>
      <c r="L2681" s="14"/>
      <c r="M2681" s="12" t="s">
        <v>43</v>
      </c>
      <c r="N2681" s="12" t="s">
        <v>84</v>
      </c>
      <c r="O2681" s="12" t="s">
        <v>9856</v>
      </c>
      <c r="P2681" s="12" t="s">
        <v>46</v>
      </c>
      <c r="Q2681" s="12" t="s">
        <v>47</v>
      </c>
      <c r="R2681" s="12" t="s">
        <v>117</v>
      </c>
      <c r="S2681" s="13">
        <v>197804540761</v>
      </c>
      <c r="T2681" s="12" t="s">
        <v>164</v>
      </c>
      <c r="U2681" s="13">
        <v>38</v>
      </c>
      <c r="V2681" s="12" t="s">
        <v>50</v>
      </c>
      <c r="W2681" s="12" t="s">
        <v>186</v>
      </c>
      <c r="X2681" s="14"/>
      <c r="Y2681" s="14"/>
      <c r="Z2681" s="14"/>
      <c r="AA2681" s="14"/>
      <c r="AB2681" s="14"/>
      <c r="AC2681" s="15">
        <v>38.65</v>
      </c>
      <c r="AD2681" s="15">
        <f>AC2681*AG2681</f>
        <v>77.3</v>
      </c>
      <c r="AE2681" s="15">
        <v>85</v>
      </c>
      <c r="AF2681" s="15">
        <f>AE2681*AG2681</f>
        <v>170</v>
      </c>
      <c r="AG2681" s="16">
        <v>2</v>
      </c>
    </row>
    <row r="2682" spans="1:33" ht="15" customHeight="1" x14ac:dyDescent="0.2">
      <c r="A2682" s="11" t="str">
        <f>HYPERLINK("https://assets.vans.eu/images/VN000D6WY7U-HERO/1","VN000D6WY7U1")</f>
        <v>VN000D6WY7U1</v>
      </c>
      <c r="B2682" s="12" t="s">
        <v>9857</v>
      </c>
      <c r="C2682" s="12" t="s">
        <v>34</v>
      </c>
      <c r="D2682" s="12" t="s">
        <v>740</v>
      </c>
      <c r="E2682" s="12" t="s">
        <v>9858</v>
      </c>
      <c r="F2682" s="13">
        <v>70</v>
      </c>
      <c r="G2682" s="12" t="s">
        <v>5839</v>
      </c>
      <c r="H2682" s="12" t="s">
        <v>38</v>
      </c>
      <c r="I2682" s="12" t="s">
        <v>113</v>
      </c>
      <c r="J2682" s="12" t="s">
        <v>114</v>
      </c>
      <c r="K2682" s="12" t="s">
        <v>82</v>
      </c>
      <c r="L2682" s="14"/>
      <c r="M2682" s="12" t="s">
        <v>43</v>
      </c>
      <c r="N2682" s="12" t="s">
        <v>44</v>
      </c>
      <c r="O2682" s="12" t="s">
        <v>9859</v>
      </c>
      <c r="P2682" s="12" t="s">
        <v>46</v>
      </c>
      <c r="Q2682" s="12" t="s">
        <v>47</v>
      </c>
      <c r="R2682" s="12" t="s">
        <v>117</v>
      </c>
      <c r="S2682" s="13">
        <v>197643290254</v>
      </c>
      <c r="T2682" s="12" t="s">
        <v>105</v>
      </c>
      <c r="U2682" s="13">
        <v>39</v>
      </c>
      <c r="V2682" s="12" t="s">
        <v>50</v>
      </c>
      <c r="W2682" s="12" t="s">
        <v>455</v>
      </c>
      <c r="X2682" s="14"/>
      <c r="Y2682" s="12" t="s">
        <v>53</v>
      </c>
      <c r="Z2682" s="12" t="s">
        <v>165</v>
      </c>
      <c r="AA2682" s="14"/>
      <c r="AB2682" s="14"/>
      <c r="AC2682" s="15">
        <v>45.5</v>
      </c>
      <c r="AD2682" s="15">
        <f>AC2682*AG2682</f>
        <v>91</v>
      </c>
      <c r="AE2682" s="15">
        <v>100</v>
      </c>
      <c r="AF2682" s="15">
        <f>AE2682*AG2682</f>
        <v>200</v>
      </c>
      <c r="AG2682" s="16">
        <v>2</v>
      </c>
    </row>
    <row r="2683" spans="1:33" ht="15" customHeight="1" x14ac:dyDescent="0.2">
      <c r="A2683" s="11" t="str">
        <f t="shared" ref="A2683:A4394" si="1078">HYPERLINK("https://assets.vans.eu/images/VN000D6YEMH-HERO/1","VN000D6YEMH1")</f>
        <v>VN000D6YEMH1</v>
      </c>
      <c r="B2683" s="12" t="s">
        <v>9860</v>
      </c>
      <c r="C2683" s="12" t="s">
        <v>3586</v>
      </c>
      <c r="D2683" s="12" t="s">
        <v>5882</v>
      </c>
      <c r="E2683" s="12" t="s">
        <v>9861</v>
      </c>
      <c r="F2683" s="13">
        <v>55</v>
      </c>
      <c r="G2683" s="14"/>
      <c r="H2683" s="12" t="s">
        <v>38</v>
      </c>
      <c r="I2683" s="12" t="s">
        <v>113</v>
      </c>
      <c r="J2683" s="12" t="s">
        <v>114</v>
      </c>
      <c r="K2683" s="12" t="s">
        <v>82</v>
      </c>
      <c r="L2683" s="14"/>
      <c r="M2683" s="12" t="s">
        <v>43</v>
      </c>
      <c r="N2683" s="12" t="s">
        <v>84</v>
      </c>
      <c r="O2683" s="12" t="s">
        <v>9862</v>
      </c>
      <c r="P2683" s="12" t="s">
        <v>46</v>
      </c>
      <c r="Q2683" s="12" t="s">
        <v>47</v>
      </c>
      <c r="R2683" s="12" t="s">
        <v>117</v>
      </c>
      <c r="S2683" s="13">
        <v>197804454181</v>
      </c>
      <c r="T2683" s="12" t="s">
        <v>49</v>
      </c>
      <c r="U2683" s="13">
        <v>37</v>
      </c>
      <c r="V2683" s="12" t="s">
        <v>50</v>
      </c>
      <c r="W2683" s="12" t="s">
        <v>186</v>
      </c>
      <c r="X2683" s="14"/>
      <c r="Y2683" s="14"/>
      <c r="Z2683" s="14"/>
      <c r="AA2683" s="14"/>
      <c r="AB2683" s="14"/>
      <c r="AC2683" s="15">
        <v>38.65</v>
      </c>
      <c r="AD2683" s="15">
        <f>AC2683*AG2683</f>
        <v>77.3</v>
      </c>
      <c r="AE2683" s="15">
        <v>85</v>
      </c>
      <c r="AF2683" s="15">
        <f>AE2683*AG2683</f>
        <v>170</v>
      </c>
      <c r="AG2683" s="16">
        <v>2</v>
      </c>
    </row>
    <row r="2684" spans="1:33" ht="15" customHeight="1" x14ac:dyDescent="0.2">
      <c r="A2684" s="11" t="str">
        <f t="shared" si="807"/>
        <v>VN000D6YEMY1</v>
      </c>
      <c r="B2684" s="12" t="s">
        <v>9863</v>
      </c>
      <c r="C2684" s="12" t="s">
        <v>3586</v>
      </c>
      <c r="D2684" s="12" t="s">
        <v>1155</v>
      </c>
      <c r="E2684" s="12" t="s">
        <v>9864</v>
      </c>
      <c r="F2684" s="13">
        <v>65</v>
      </c>
      <c r="G2684" s="12" t="s">
        <v>2809</v>
      </c>
      <c r="H2684" s="12" t="s">
        <v>38</v>
      </c>
      <c r="I2684" s="12" t="s">
        <v>113</v>
      </c>
      <c r="J2684" s="12" t="s">
        <v>114</v>
      </c>
      <c r="K2684" s="12" t="s">
        <v>82</v>
      </c>
      <c r="L2684" s="14"/>
      <c r="M2684" s="12" t="s">
        <v>43</v>
      </c>
      <c r="N2684" s="12" t="s">
        <v>84</v>
      </c>
      <c r="O2684" s="12" t="s">
        <v>9865</v>
      </c>
      <c r="P2684" s="12" t="s">
        <v>46</v>
      </c>
      <c r="Q2684" s="12" t="s">
        <v>47</v>
      </c>
      <c r="R2684" s="12" t="s">
        <v>117</v>
      </c>
      <c r="S2684" s="13">
        <v>197804454723</v>
      </c>
      <c r="T2684" s="12" t="s">
        <v>164</v>
      </c>
      <c r="U2684" s="13">
        <v>38.5</v>
      </c>
      <c r="V2684" s="12" t="s">
        <v>375</v>
      </c>
      <c r="W2684" s="12" t="s">
        <v>107</v>
      </c>
      <c r="X2684" s="14"/>
      <c r="Y2684" s="14"/>
      <c r="Z2684" s="14"/>
      <c r="AA2684" s="14"/>
      <c r="AB2684" s="14"/>
      <c r="AC2684" s="15">
        <v>34.1</v>
      </c>
      <c r="AD2684" s="15">
        <f>AC2684*AG2684</f>
        <v>68.2</v>
      </c>
      <c r="AE2684" s="15">
        <v>75</v>
      </c>
      <c r="AF2684" s="15">
        <f>AE2684*AG2684</f>
        <v>150</v>
      </c>
      <c r="AG2684" s="16">
        <v>2</v>
      </c>
    </row>
    <row r="2685" spans="1:33" ht="15" customHeight="1" x14ac:dyDescent="0.2">
      <c r="A2685" s="11" t="str">
        <f t="shared" ref="A2685:A2686" si="1079">HYPERLINK("https://assets.vans.eu/images/VN000D6YEZI-HERO/1","VN000D6YEZI1")</f>
        <v>VN000D6YEZI1</v>
      </c>
      <c r="B2685" s="12" t="s">
        <v>9866</v>
      </c>
      <c r="C2685" s="12" t="s">
        <v>3586</v>
      </c>
      <c r="D2685" s="12" t="s">
        <v>3603</v>
      </c>
      <c r="E2685" s="12" t="s">
        <v>9867</v>
      </c>
      <c r="F2685" s="13">
        <v>45</v>
      </c>
      <c r="G2685" s="12" t="s">
        <v>3605</v>
      </c>
      <c r="H2685" s="12" t="s">
        <v>38</v>
      </c>
      <c r="I2685" s="12" t="s">
        <v>113</v>
      </c>
      <c r="J2685" s="12" t="s">
        <v>114</v>
      </c>
      <c r="K2685" s="12" t="s">
        <v>82</v>
      </c>
      <c r="L2685" s="14"/>
      <c r="M2685" s="12" t="s">
        <v>43</v>
      </c>
      <c r="N2685" s="12" t="s">
        <v>84</v>
      </c>
      <c r="O2685" s="12" t="s">
        <v>9868</v>
      </c>
      <c r="P2685" s="12" t="s">
        <v>46</v>
      </c>
      <c r="Q2685" s="12" t="s">
        <v>47</v>
      </c>
      <c r="R2685" s="12" t="s">
        <v>117</v>
      </c>
      <c r="S2685" s="13">
        <v>197804454327</v>
      </c>
      <c r="T2685" s="12" t="s">
        <v>105</v>
      </c>
      <c r="U2685" s="13">
        <v>36</v>
      </c>
      <c r="V2685" s="12" t="s">
        <v>375</v>
      </c>
      <c r="W2685" s="12" t="s">
        <v>51</v>
      </c>
      <c r="X2685" s="14"/>
      <c r="Y2685" s="14"/>
      <c r="Z2685" s="14"/>
      <c r="AA2685" s="14"/>
      <c r="AB2685" s="14"/>
      <c r="AC2685" s="15">
        <v>36.4</v>
      </c>
      <c r="AD2685" s="15">
        <f>AC2685*AG2685</f>
        <v>72.8</v>
      </c>
      <c r="AE2685" s="15">
        <v>80</v>
      </c>
      <c r="AF2685" s="15">
        <f>AE2685*AG2685</f>
        <v>160</v>
      </c>
      <c r="AG2685" s="16">
        <v>2</v>
      </c>
    </row>
    <row r="2686" spans="1:33" ht="15" customHeight="1" x14ac:dyDescent="0.2">
      <c r="A2686" s="11" t="str">
        <f t="shared" si="1079"/>
        <v>VN000D6YEZI1</v>
      </c>
      <c r="B2686" s="12" t="s">
        <v>9869</v>
      </c>
      <c r="C2686" s="12" t="s">
        <v>3586</v>
      </c>
      <c r="D2686" s="12" t="s">
        <v>3603</v>
      </c>
      <c r="E2686" s="12" t="s">
        <v>9870</v>
      </c>
      <c r="F2686" s="13">
        <v>80</v>
      </c>
      <c r="G2686" s="12" t="s">
        <v>3605</v>
      </c>
      <c r="H2686" s="12" t="s">
        <v>38</v>
      </c>
      <c r="I2686" s="12" t="s">
        <v>113</v>
      </c>
      <c r="J2686" s="12" t="s">
        <v>114</v>
      </c>
      <c r="K2686" s="12" t="s">
        <v>82</v>
      </c>
      <c r="L2686" s="14"/>
      <c r="M2686" s="12" t="s">
        <v>43</v>
      </c>
      <c r="N2686" s="12" t="s">
        <v>84</v>
      </c>
      <c r="O2686" s="12" t="s">
        <v>9871</v>
      </c>
      <c r="P2686" s="12" t="s">
        <v>46</v>
      </c>
      <c r="Q2686" s="12" t="s">
        <v>47</v>
      </c>
      <c r="R2686" s="12" t="s">
        <v>117</v>
      </c>
      <c r="S2686" s="13">
        <v>197804455287</v>
      </c>
      <c r="T2686" s="12" t="s">
        <v>105</v>
      </c>
      <c r="U2686" s="13">
        <v>40.5</v>
      </c>
      <c r="V2686" s="12" t="s">
        <v>375</v>
      </c>
      <c r="W2686" s="12" t="s">
        <v>51</v>
      </c>
      <c r="X2686" s="14"/>
      <c r="Y2686" s="14"/>
      <c r="Z2686" s="14"/>
      <c r="AA2686" s="14"/>
      <c r="AB2686" s="14"/>
      <c r="AC2686" s="15">
        <v>36.4</v>
      </c>
      <c r="AD2686" s="15">
        <f>AC2686*AG2686</f>
        <v>72.8</v>
      </c>
      <c r="AE2686" s="15">
        <v>80</v>
      </c>
      <c r="AF2686" s="15">
        <f>AE2686*AG2686</f>
        <v>160</v>
      </c>
      <c r="AG2686" s="16">
        <v>2</v>
      </c>
    </row>
    <row r="2687" spans="1:33" ht="15" customHeight="1" x14ac:dyDescent="0.2">
      <c r="A2687" s="11" t="str">
        <f>HYPERLINK("https://assets.vans.eu/images/VN000D6YIZQ-HERO/1","VN000D6YIZQ1")</f>
        <v>VN000D6YIZQ1</v>
      </c>
      <c r="B2687" s="12" t="s">
        <v>9872</v>
      </c>
      <c r="C2687" s="12" t="s">
        <v>3586</v>
      </c>
      <c r="D2687" s="12" t="s">
        <v>4290</v>
      </c>
      <c r="E2687" s="12" t="s">
        <v>9873</v>
      </c>
      <c r="F2687" s="13">
        <v>90</v>
      </c>
      <c r="G2687" s="12" t="s">
        <v>414</v>
      </c>
      <c r="H2687" s="12" t="s">
        <v>38</v>
      </c>
      <c r="I2687" s="12" t="s">
        <v>113</v>
      </c>
      <c r="J2687" s="12" t="s">
        <v>114</v>
      </c>
      <c r="K2687" s="12" t="s">
        <v>82</v>
      </c>
      <c r="L2687" s="14"/>
      <c r="M2687" s="12" t="s">
        <v>43</v>
      </c>
      <c r="N2687" s="12" t="s">
        <v>84</v>
      </c>
      <c r="O2687" s="12" t="s">
        <v>9874</v>
      </c>
      <c r="P2687" s="12" t="s">
        <v>46</v>
      </c>
      <c r="Q2687" s="12" t="s">
        <v>47</v>
      </c>
      <c r="R2687" s="12" t="s">
        <v>117</v>
      </c>
      <c r="S2687" s="13">
        <v>197804666133</v>
      </c>
      <c r="T2687" s="12" t="s">
        <v>49</v>
      </c>
      <c r="U2687" s="13">
        <v>42</v>
      </c>
      <c r="V2687" s="12" t="s">
        <v>209</v>
      </c>
      <c r="W2687" s="12" t="s">
        <v>262</v>
      </c>
      <c r="X2687" s="14"/>
      <c r="Y2687" s="14"/>
      <c r="Z2687" s="14"/>
      <c r="AA2687" s="14"/>
      <c r="AB2687" s="14"/>
      <c r="AC2687" s="15">
        <v>40.950000000000003</v>
      </c>
      <c r="AD2687" s="15">
        <f>AC2687*AG2687</f>
        <v>81.900000000000006</v>
      </c>
      <c r="AE2687" s="15">
        <v>90</v>
      </c>
      <c r="AF2687" s="15">
        <f>AE2687*AG2687</f>
        <v>180</v>
      </c>
      <c r="AG2687" s="16">
        <v>2</v>
      </c>
    </row>
    <row r="2688" spans="1:33" ht="15" customHeight="1" x14ac:dyDescent="0.2">
      <c r="A2688" s="11" t="str">
        <f t="shared" ref="A2688:A4408" si="1080">HYPERLINK("https://assets.vans.eu/images/VN000D6ZEMT-HERO/1","VN000D6ZEMT1")</f>
        <v>VN000D6ZEMT1</v>
      </c>
      <c r="B2688" s="12" t="s">
        <v>9875</v>
      </c>
      <c r="C2688" s="12" t="s">
        <v>110</v>
      </c>
      <c r="D2688" s="12" t="s">
        <v>5149</v>
      </c>
      <c r="E2688" s="12" t="s">
        <v>9876</v>
      </c>
      <c r="F2688" s="13">
        <v>60</v>
      </c>
      <c r="G2688" s="12" t="s">
        <v>1460</v>
      </c>
      <c r="H2688" s="12" t="s">
        <v>38</v>
      </c>
      <c r="I2688" s="12" t="s">
        <v>113</v>
      </c>
      <c r="J2688" s="12" t="s">
        <v>114</v>
      </c>
      <c r="K2688" s="12" t="s">
        <v>82</v>
      </c>
      <c r="L2688" s="14"/>
      <c r="M2688" s="12" t="s">
        <v>43</v>
      </c>
      <c r="N2688" s="12" t="s">
        <v>84</v>
      </c>
      <c r="O2688" s="12" t="s">
        <v>9877</v>
      </c>
      <c r="P2688" s="12" t="s">
        <v>46</v>
      </c>
      <c r="Q2688" s="12" t="s">
        <v>47</v>
      </c>
      <c r="R2688" s="12" t="s">
        <v>117</v>
      </c>
      <c r="S2688" s="13">
        <v>197804455331</v>
      </c>
      <c r="T2688" s="12" t="s">
        <v>105</v>
      </c>
      <c r="U2688" s="13">
        <v>38</v>
      </c>
      <c r="V2688" s="12" t="s">
        <v>50</v>
      </c>
      <c r="W2688" s="12" t="s">
        <v>284</v>
      </c>
      <c r="X2688" s="14"/>
      <c r="Y2688" s="14"/>
      <c r="Z2688" s="14"/>
      <c r="AA2688" s="14"/>
      <c r="AB2688" s="14"/>
      <c r="AC2688" s="15">
        <v>43.2</v>
      </c>
      <c r="AD2688" s="15">
        <f>AC2688*AG2688</f>
        <v>86.4</v>
      </c>
      <c r="AE2688" s="15">
        <v>95</v>
      </c>
      <c r="AF2688" s="15">
        <f>AE2688*AG2688</f>
        <v>190</v>
      </c>
      <c r="AG2688" s="16">
        <v>2</v>
      </c>
    </row>
    <row r="2689" spans="1:33" ht="15" customHeight="1" x14ac:dyDescent="0.2">
      <c r="A2689" s="11" t="str">
        <f t="shared" si="541"/>
        <v>VN000D6ZEMY1</v>
      </c>
      <c r="B2689" s="12" t="s">
        <v>9878</v>
      </c>
      <c r="C2689" s="12" t="s">
        <v>110</v>
      </c>
      <c r="D2689" s="12" t="s">
        <v>1155</v>
      </c>
      <c r="E2689" s="12" t="s">
        <v>9879</v>
      </c>
      <c r="F2689" s="13">
        <v>70</v>
      </c>
      <c r="G2689" s="12" t="s">
        <v>3002</v>
      </c>
      <c r="H2689" s="12" t="s">
        <v>38</v>
      </c>
      <c r="I2689" s="12" t="s">
        <v>113</v>
      </c>
      <c r="J2689" s="12" t="s">
        <v>114</v>
      </c>
      <c r="K2689" s="12" t="s">
        <v>82</v>
      </c>
      <c r="L2689" s="14"/>
      <c r="M2689" s="12" t="s">
        <v>43</v>
      </c>
      <c r="N2689" s="12" t="s">
        <v>84</v>
      </c>
      <c r="O2689" s="12" t="s">
        <v>9880</v>
      </c>
      <c r="P2689" s="12" t="s">
        <v>46</v>
      </c>
      <c r="Q2689" s="12" t="s">
        <v>47</v>
      </c>
      <c r="R2689" s="12" t="s">
        <v>117</v>
      </c>
      <c r="S2689" s="13">
        <v>197804455966</v>
      </c>
      <c r="T2689" s="12" t="s">
        <v>105</v>
      </c>
      <c r="U2689" s="13">
        <v>39</v>
      </c>
      <c r="V2689" s="12" t="s">
        <v>50</v>
      </c>
      <c r="W2689" s="12" t="s">
        <v>107</v>
      </c>
      <c r="X2689" s="14"/>
      <c r="Y2689" s="14"/>
      <c r="Z2689" s="14"/>
      <c r="AA2689" s="14"/>
      <c r="AB2689" s="14"/>
      <c r="AC2689" s="15">
        <v>43.2</v>
      </c>
      <c r="AD2689" s="15">
        <f>AC2689*AG2689</f>
        <v>86.4</v>
      </c>
      <c r="AE2689" s="15">
        <v>95</v>
      </c>
      <c r="AF2689" s="15">
        <f>AE2689*AG2689</f>
        <v>190</v>
      </c>
      <c r="AG2689" s="16">
        <v>2</v>
      </c>
    </row>
    <row r="2690" spans="1:33" ht="15" customHeight="1" x14ac:dyDescent="0.2">
      <c r="A2690" s="11" t="str">
        <f t="shared" si="809"/>
        <v>VN000D6ZEZI1</v>
      </c>
      <c r="B2690" s="12" t="s">
        <v>9881</v>
      </c>
      <c r="C2690" s="12" t="s">
        <v>110</v>
      </c>
      <c r="D2690" s="12" t="s">
        <v>3603</v>
      </c>
      <c r="E2690" s="12" t="s">
        <v>9882</v>
      </c>
      <c r="F2690" s="13">
        <v>40</v>
      </c>
      <c r="G2690" s="12" t="s">
        <v>3605</v>
      </c>
      <c r="H2690" s="12" t="s">
        <v>38</v>
      </c>
      <c r="I2690" s="12" t="s">
        <v>113</v>
      </c>
      <c r="J2690" s="12" t="s">
        <v>114</v>
      </c>
      <c r="K2690" s="12" t="s">
        <v>82</v>
      </c>
      <c r="L2690" s="14"/>
      <c r="M2690" s="12" t="s">
        <v>43</v>
      </c>
      <c r="N2690" s="12" t="s">
        <v>84</v>
      </c>
      <c r="O2690" s="12" t="s">
        <v>9883</v>
      </c>
      <c r="P2690" s="12" t="s">
        <v>46</v>
      </c>
      <c r="Q2690" s="12" t="s">
        <v>47</v>
      </c>
      <c r="R2690" s="12" t="s">
        <v>117</v>
      </c>
      <c r="S2690" s="13">
        <v>197804455041</v>
      </c>
      <c r="T2690" s="12" t="s">
        <v>105</v>
      </c>
      <c r="U2690" s="13">
        <v>35</v>
      </c>
      <c r="V2690" s="12" t="s">
        <v>50</v>
      </c>
      <c r="W2690" s="12" t="s">
        <v>51</v>
      </c>
      <c r="X2690" s="14"/>
      <c r="Y2690" s="14"/>
      <c r="Z2690" s="14"/>
      <c r="AA2690" s="14"/>
      <c r="AB2690" s="14"/>
      <c r="AC2690" s="15">
        <v>45.5</v>
      </c>
      <c r="AD2690" s="15">
        <f>AC2690*AG2690</f>
        <v>91</v>
      </c>
      <c r="AE2690" s="15">
        <v>100</v>
      </c>
      <c r="AF2690" s="15">
        <f>AE2690*AG2690</f>
        <v>200</v>
      </c>
      <c r="AG2690" s="16">
        <v>2</v>
      </c>
    </row>
    <row r="2691" spans="1:33" ht="15" customHeight="1" x14ac:dyDescent="0.2">
      <c r="A2691" s="11" t="str">
        <f t="shared" ref="A2691:A2692" si="1081">HYPERLINK("https://assets.vans.eu/images/VN000D6ZEZI-HERO/1","VN000D6ZEZI1")</f>
        <v>VN000D6ZEZI1</v>
      </c>
      <c r="B2691" s="12" t="s">
        <v>9884</v>
      </c>
      <c r="C2691" s="12" t="s">
        <v>110</v>
      </c>
      <c r="D2691" s="12" t="s">
        <v>3603</v>
      </c>
      <c r="E2691" s="12" t="s">
        <v>9885</v>
      </c>
      <c r="F2691" s="13">
        <v>50</v>
      </c>
      <c r="G2691" s="12" t="s">
        <v>3605</v>
      </c>
      <c r="H2691" s="12" t="s">
        <v>38</v>
      </c>
      <c r="I2691" s="12" t="s">
        <v>113</v>
      </c>
      <c r="J2691" s="12" t="s">
        <v>114</v>
      </c>
      <c r="K2691" s="12" t="s">
        <v>82</v>
      </c>
      <c r="L2691" s="14"/>
      <c r="M2691" s="12" t="s">
        <v>43</v>
      </c>
      <c r="N2691" s="12" t="s">
        <v>84</v>
      </c>
      <c r="O2691" s="12" t="s">
        <v>9886</v>
      </c>
      <c r="P2691" s="12" t="s">
        <v>46</v>
      </c>
      <c r="Q2691" s="12" t="s">
        <v>47</v>
      </c>
      <c r="R2691" s="12" t="s">
        <v>117</v>
      </c>
      <c r="S2691" s="13">
        <v>197804455355</v>
      </c>
      <c r="T2691" s="12" t="s">
        <v>105</v>
      </c>
      <c r="U2691" s="13">
        <v>36.5</v>
      </c>
      <c r="V2691" s="12" t="s">
        <v>50</v>
      </c>
      <c r="W2691" s="12" t="s">
        <v>51</v>
      </c>
      <c r="X2691" s="14"/>
      <c r="Y2691" s="14"/>
      <c r="Z2691" s="14"/>
      <c r="AA2691" s="14"/>
      <c r="AB2691" s="14"/>
      <c r="AC2691" s="15">
        <v>45.5</v>
      </c>
      <c r="AD2691" s="15">
        <f>AC2691*AG2691</f>
        <v>91</v>
      </c>
      <c r="AE2691" s="15">
        <v>100</v>
      </c>
      <c r="AF2691" s="15">
        <f>AE2691*AG2691</f>
        <v>200</v>
      </c>
      <c r="AG2691" s="16">
        <v>2</v>
      </c>
    </row>
    <row r="2692" spans="1:33" ht="15" customHeight="1" x14ac:dyDescent="0.2">
      <c r="A2692" s="11" t="str">
        <f t="shared" si="1081"/>
        <v>VN000D6ZEZI1</v>
      </c>
      <c r="B2692" s="12" t="s">
        <v>9887</v>
      </c>
      <c r="C2692" s="12" t="s">
        <v>110</v>
      </c>
      <c r="D2692" s="12" t="s">
        <v>3603</v>
      </c>
      <c r="E2692" s="12" t="s">
        <v>9888</v>
      </c>
      <c r="F2692" s="13">
        <v>80</v>
      </c>
      <c r="G2692" s="12" t="s">
        <v>3605</v>
      </c>
      <c r="H2692" s="12" t="s">
        <v>38</v>
      </c>
      <c r="I2692" s="12" t="s">
        <v>113</v>
      </c>
      <c r="J2692" s="12" t="s">
        <v>114</v>
      </c>
      <c r="K2692" s="12" t="s">
        <v>82</v>
      </c>
      <c r="L2692" s="14"/>
      <c r="M2692" s="12" t="s">
        <v>43</v>
      </c>
      <c r="N2692" s="12" t="s">
        <v>84</v>
      </c>
      <c r="O2692" s="12" t="s">
        <v>9889</v>
      </c>
      <c r="P2692" s="12" t="s">
        <v>46</v>
      </c>
      <c r="Q2692" s="12" t="s">
        <v>47</v>
      </c>
      <c r="R2692" s="12" t="s">
        <v>117</v>
      </c>
      <c r="S2692" s="13">
        <v>197804456130</v>
      </c>
      <c r="T2692" s="12" t="s">
        <v>105</v>
      </c>
      <c r="U2692" s="13">
        <v>40.5</v>
      </c>
      <c r="V2692" s="12" t="s">
        <v>50</v>
      </c>
      <c r="W2692" s="12" t="s">
        <v>51</v>
      </c>
      <c r="X2692" s="14"/>
      <c r="Y2692" s="14"/>
      <c r="Z2692" s="14"/>
      <c r="AA2692" s="14"/>
      <c r="AB2692" s="14"/>
      <c r="AC2692" s="15">
        <v>45.5</v>
      </c>
      <c r="AD2692" s="15">
        <f>AC2692*AG2692</f>
        <v>91</v>
      </c>
      <c r="AE2692" s="15">
        <v>100</v>
      </c>
      <c r="AF2692" s="15">
        <f>AE2692*AG2692</f>
        <v>200</v>
      </c>
      <c r="AG2692" s="16">
        <v>2</v>
      </c>
    </row>
    <row r="2693" spans="1:33" ht="15" customHeight="1" x14ac:dyDescent="0.2">
      <c r="A2693" s="11" t="str">
        <f t="shared" si="629"/>
        <v>VN000D6ZORA1</v>
      </c>
      <c r="B2693" s="12" t="s">
        <v>9890</v>
      </c>
      <c r="C2693" s="12" t="s">
        <v>110</v>
      </c>
      <c r="D2693" s="12" t="s">
        <v>5900</v>
      </c>
      <c r="E2693" s="12" t="s">
        <v>9891</v>
      </c>
      <c r="F2693" s="13">
        <v>50</v>
      </c>
      <c r="G2693" s="12" t="s">
        <v>3986</v>
      </c>
      <c r="H2693" s="12" t="s">
        <v>38</v>
      </c>
      <c r="I2693" s="12" t="s">
        <v>113</v>
      </c>
      <c r="J2693" s="12" t="s">
        <v>114</v>
      </c>
      <c r="K2693" s="12" t="s">
        <v>82</v>
      </c>
      <c r="L2693" s="14"/>
      <c r="M2693" s="12" t="s">
        <v>43</v>
      </c>
      <c r="N2693" s="12" t="s">
        <v>84</v>
      </c>
      <c r="O2693" s="12" t="s">
        <v>9892</v>
      </c>
      <c r="P2693" s="12" t="s">
        <v>46</v>
      </c>
      <c r="Q2693" s="12" t="s">
        <v>47</v>
      </c>
      <c r="R2693" s="12" t="s">
        <v>117</v>
      </c>
      <c r="S2693" s="13">
        <v>197804456406</v>
      </c>
      <c r="T2693" s="12" t="s">
        <v>105</v>
      </c>
      <c r="U2693" s="13">
        <v>36.5</v>
      </c>
      <c r="V2693" s="12" t="s">
        <v>50</v>
      </c>
      <c r="W2693" s="12" t="s">
        <v>933</v>
      </c>
      <c r="X2693" s="14"/>
      <c r="Y2693" s="14"/>
      <c r="Z2693" s="14"/>
      <c r="AA2693" s="14"/>
      <c r="AB2693" s="14"/>
      <c r="AC2693" s="15">
        <v>43.2</v>
      </c>
      <c r="AD2693" s="15">
        <f>AC2693*AG2693</f>
        <v>86.4</v>
      </c>
      <c r="AE2693" s="15">
        <v>95</v>
      </c>
      <c r="AF2693" s="15">
        <f>AE2693*AG2693</f>
        <v>190</v>
      </c>
      <c r="AG2693" s="16">
        <v>2</v>
      </c>
    </row>
    <row r="2694" spans="1:33" ht="15" customHeight="1" x14ac:dyDescent="0.2">
      <c r="A2694" s="11" t="str">
        <f t="shared" ref="A2694:A2697" si="1082">HYPERLINK("https://assets.vans.eu/images/VN000D6ZORA-HERO/1","VN000D6ZORA1")</f>
        <v>VN000D6ZORA1</v>
      </c>
      <c r="B2694" s="12" t="s">
        <v>9893</v>
      </c>
      <c r="C2694" s="12" t="s">
        <v>110</v>
      </c>
      <c r="D2694" s="12" t="s">
        <v>5900</v>
      </c>
      <c r="E2694" s="12" t="s">
        <v>9894</v>
      </c>
      <c r="F2694" s="13">
        <v>55</v>
      </c>
      <c r="G2694" s="12" t="s">
        <v>3986</v>
      </c>
      <c r="H2694" s="12" t="s">
        <v>38</v>
      </c>
      <c r="I2694" s="12" t="s">
        <v>113</v>
      </c>
      <c r="J2694" s="12" t="s">
        <v>114</v>
      </c>
      <c r="K2694" s="12" t="s">
        <v>82</v>
      </c>
      <c r="L2694" s="14"/>
      <c r="M2694" s="12" t="s">
        <v>43</v>
      </c>
      <c r="N2694" s="12" t="s">
        <v>84</v>
      </c>
      <c r="O2694" s="12" t="s">
        <v>9895</v>
      </c>
      <c r="P2694" s="12" t="s">
        <v>46</v>
      </c>
      <c r="Q2694" s="12" t="s">
        <v>47</v>
      </c>
      <c r="R2694" s="12" t="s">
        <v>117</v>
      </c>
      <c r="S2694" s="13">
        <v>197804456444</v>
      </c>
      <c r="T2694" s="12" t="s">
        <v>105</v>
      </c>
      <c r="U2694" s="13">
        <v>37</v>
      </c>
      <c r="V2694" s="12" t="s">
        <v>50</v>
      </c>
      <c r="W2694" s="12" t="s">
        <v>933</v>
      </c>
      <c r="X2694" s="14"/>
      <c r="Y2694" s="14"/>
      <c r="Z2694" s="14"/>
      <c r="AA2694" s="14"/>
      <c r="AB2694" s="14"/>
      <c r="AC2694" s="15">
        <v>43.2</v>
      </c>
      <c r="AD2694" s="15">
        <f>AC2694*AG2694</f>
        <v>86.4</v>
      </c>
      <c r="AE2694" s="15">
        <v>95</v>
      </c>
      <c r="AF2694" s="15">
        <f>AE2694*AG2694</f>
        <v>190</v>
      </c>
      <c r="AG2694" s="16">
        <v>2</v>
      </c>
    </row>
    <row r="2695" spans="1:33" ht="15" customHeight="1" x14ac:dyDescent="0.2">
      <c r="A2695" s="11" t="str">
        <f t="shared" si="1082"/>
        <v>VN000D6ZORA1</v>
      </c>
      <c r="B2695" s="12" t="s">
        <v>9896</v>
      </c>
      <c r="C2695" s="12" t="s">
        <v>110</v>
      </c>
      <c r="D2695" s="12" t="s">
        <v>5900</v>
      </c>
      <c r="E2695" s="12" t="s">
        <v>9897</v>
      </c>
      <c r="F2695" s="13">
        <v>65</v>
      </c>
      <c r="G2695" s="12" t="s">
        <v>3986</v>
      </c>
      <c r="H2695" s="12" t="s">
        <v>38</v>
      </c>
      <c r="I2695" s="12" t="s">
        <v>113</v>
      </c>
      <c r="J2695" s="12" t="s">
        <v>114</v>
      </c>
      <c r="K2695" s="12" t="s">
        <v>82</v>
      </c>
      <c r="L2695" s="14"/>
      <c r="M2695" s="12" t="s">
        <v>43</v>
      </c>
      <c r="N2695" s="12" t="s">
        <v>84</v>
      </c>
      <c r="O2695" s="12" t="s">
        <v>9898</v>
      </c>
      <c r="P2695" s="12" t="s">
        <v>46</v>
      </c>
      <c r="Q2695" s="12" t="s">
        <v>47</v>
      </c>
      <c r="R2695" s="12" t="s">
        <v>117</v>
      </c>
      <c r="S2695" s="13">
        <v>197804456765</v>
      </c>
      <c r="T2695" s="12" t="s">
        <v>105</v>
      </c>
      <c r="U2695" s="13">
        <v>38.5</v>
      </c>
      <c r="V2695" s="12" t="s">
        <v>50</v>
      </c>
      <c r="W2695" s="12" t="s">
        <v>933</v>
      </c>
      <c r="X2695" s="14"/>
      <c r="Y2695" s="14"/>
      <c r="Z2695" s="14"/>
      <c r="AA2695" s="14"/>
      <c r="AB2695" s="14"/>
      <c r="AC2695" s="15">
        <v>43.2</v>
      </c>
      <c r="AD2695" s="15">
        <f>AC2695*AG2695</f>
        <v>86.4</v>
      </c>
      <c r="AE2695" s="15">
        <v>95</v>
      </c>
      <c r="AF2695" s="15">
        <f>AE2695*AG2695</f>
        <v>190</v>
      </c>
      <c r="AG2695" s="16">
        <v>2</v>
      </c>
    </row>
    <row r="2696" spans="1:33" ht="15" customHeight="1" x14ac:dyDescent="0.2">
      <c r="A2696" s="11" t="str">
        <f t="shared" si="1082"/>
        <v>VN000D6ZORA1</v>
      </c>
      <c r="B2696" s="12" t="s">
        <v>9899</v>
      </c>
      <c r="C2696" s="12" t="s">
        <v>110</v>
      </c>
      <c r="D2696" s="12" t="s">
        <v>5900</v>
      </c>
      <c r="E2696" s="12" t="s">
        <v>9900</v>
      </c>
      <c r="F2696" s="13">
        <v>70</v>
      </c>
      <c r="G2696" s="12" t="s">
        <v>3986</v>
      </c>
      <c r="H2696" s="12" t="s">
        <v>38</v>
      </c>
      <c r="I2696" s="12" t="s">
        <v>113</v>
      </c>
      <c r="J2696" s="12" t="s">
        <v>114</v>
      </c>
      <c r="K2696" s="12" t="s">
        <v>82</v>
      </c>
      <c r="L2696" s="14"/>
      <c r="M2696" s="12" t="s">
        <v>43</v>
      </c>
      <c r="N2696" s="12" t="s">
        <v>84</v>
      </c>
      <c r="O2696" s="12" t="s">
        <v>9901</v>
      </c>
      <c r="P2696" s="12" t="s">
        <v>46</v>
      </c>
      <c r="Q2696" s="12" t="s">
        <v>47</v>
      </c>
      <c r="R2696" s="12" t="s">
        <v>117</v>
      </c>
      <c r="S2696" s="13">
        <v>197804456918</v>
      </c>
      <c r="T2696" s="12" t="s">
        <v>105</v>
      </c>
      <c r="U2696" s="13">
        <v>39</v>
      </c>
      <c r="V2696" s="12" t="s">
        <v>50</v>
      </c>
      <c r="W2696" s="12" t="s">
        <v>933</v>
      </c>
      <c r="X2696" s="14"/>
      <c r="Y2696" s="14"/>
      <c r="Z2696" s="14"/>
      <c r="AA2696" s="14"/>
      <c r="AB2696" s="14"/>
      <c r="AC2696" s="15">
        <v>43.2</v>
      </c>
      <c r="AD2696" s="15">
        <f>AC2696*AG2696</f>
        <v>86.4</v>
      </c>
      <c r="AE2696" s="15">
        <v>95</v>
      </c>
      <c r="AF2696" s="15">
        <f>AE2696*AG2696</f>
        <v>190</v>
      </c>
      <c r="AG2696" s="16">
        <v>2</v>
      </c>
    </row>
    <row r="2697" spans="1:33" ht="15" customHeight="1" x14ac:dyDescent="0.2">
      <c r="A2697" s="11" t="str">
        <f t="shared" si="1082"/>
        <v>VN000D6ZORA1</v>
      </c>
      <c r="B2697" s="12" t="s">
        <v>9902</v>
      </c>
      <c r="C2697" s="12" t="s">
        <v>110</v>
      </c>
      <c r="D2697" s="12" t="s">
        <v>5900</v>
      </c>
      <c r="E2697" s="12" t="s">
        <v>9903</v>
      </c>
      <c r="F2697" s="13">
        <v>75</v>
      </c>
      <c r="G2697" s="12" t="s">
        <v>3986</v>
      </c>
      <c r="H2697" s="12" t="s">
        <v>38</v>
      </c>
      <c r="I2697" s="12" t="s">
        <v>113</v>
      </c>
      <c r="J2697" s="12" t="s">
        <v>114</v>
      </c>
      <c r="K2697" s="12" t="s">
        <v>82</v>
      </c>
      <c r="L2697" s="14"/>
      <c r="M2697" s="12" t="s">
        <v>43</v>
      </c>
      <c r="N2697" s="12" t="s">
        <v>84</v>
      </c>
      <c r="O2697" s="12" t="s">
        <v>9904</v>
      </c>
      <c r="P2697" s="12" t="s">
        <v>46</v>
      </c>
      <c r="Q2697" s="12" t="s">
        <v>47</v>
      </c>
      <c r="R2697" s="12" t="s">
        <v>117</v>
      </c>
      <c r="S2697" s="13">
        <v>197804456963</v>
      </c>
      <c r="T2697" s="12" t="s">
        <v>105</v>
      </c>
      <c r="U2697" s="13">
        <v>40</v>
      </c>
      <c r="V2697" s="12" t="s">
        <v>50</v>
      </c>
      <c r="W2697" s="12" t="s">
        <v>933</v>
      </c>
      <c r="X2697" s="14"/>
      <c r="Y2697" s="14"/>
      <c r="Z2697" s="14"/>
      <c r="AA2697" s="14"/>
      <c r="AB2697" s="14"/>
      <c r="AC2697" s="15">
        <v>43.2</v>
      </c>
      <c r="AD2697" s="15">
        <f>AC2697*AG2697</f>
        <v>86.4</v>
      </c>
      <c r="AE2697" s="15">
        <v>95</v>
      </c>
      <c r="AF2697" s="15">
        <f>AE2697*AG2697</f>
        <v>190</v>
      </c>
      <c r="AG2697" s="16">
        <v>2</v>
      </c>
    </row>
    <row r="2698" spans="1:33" ht="15" customHeight="1" x14ac:dyDescent="0.2">
      <c r="A2698" s="11" t="str">
        <f t="shared" ref="A2698:A4420" si="1083">HYPERLINK("https://assets.vans.eu/images/VN000D6ZTTN-HERO/1","VN000D6ZTTN1")</f>
        <v>VN000D6ZTTN1</v>
      </c>
      <c r="B2698" s="12" t="s">
        <v>9905</v>
      </c>
      <c r="C2698" s="12" t="s">
        <v>110</v>
      </c>
      <c r="D2698" s="12" t="s">
        <v>951</v>
      </c>
      <c r="E2698" s="12" t="s">
        <v>9906</v>
      </c>
      <c r="F2698" s="13">
        <v>75</v>
      </c>
      <c r="G2698" s="12" t="s">
        <v>5839</v>
      </c>
      <c r="H2698" s="12" t="s">
        <v>38</v>
      </c>
      <c r="I2698" s="12" t="s">
        <v>113</v>
      </c>
      <c r="J2698" s="12" t="s">
        <v>114</v>
      </c>
      <c r="K2698" s="12" t="s">
        <v>82</v>
      </c>
      <c r="L2698" s="14"/>
      <c r="M2698" s="12" t="s">
        <v>43</v>
      </c>
      <c r="N2698" s="12" t="s">
        <v>44</v>
      </c>
      <c r="O2698" s="12" t="s">
        <v>9907</v>
      </c>
      <c r="P2698" s="12" t="s">
        <v>46</v>
      </c>
      <c r="Q2698" s="12" t="s">
        <v>47</v>
      </c>
      <c r="R2698" s="12" t="s">
        <v>117</v>
      </c>
      <c r="S2698" s="13">
        <v>197643215042</v>
      </c>
      <c r="T2698" s="12" t="s">
        <v>105</v>
      </c>
      <c r="U2698" s="13">
        <v>40</v>
      </c>
      <c r="V2698" s="12" t="s">
        <v>50</v>
      </c>
      <c r="W2698" s="12" t="s">
        <v>284</v>
      </c>
      <c r="X2698" s="14"/>
      <c r="Y2698" s="12" t="s">
        <v>53</v>
      </c>
      <c r="Z2698" s="12" t="s">
        <v>165</v>
      </c>
      <c r="AA2698" s="14"/>
      <c r="AB2698" s="14"/>
      <c r="AC2698" s="15">
        <v>45.5</v>
      </c>
      <c r="AD2698" s="15">
        <f>AC2698*AG2698</f>
        <v>91</v>
      </c>
      <c r="AE2698" s="15">
        <v>100</v>
      </c>
      <c r="AF2698" s="15">
        <f>AE2698*AG2698</f>
        <v>200</v>
      </c>
      <c r="AG2698" s="16">
        <v>2</v>
      </c>
    </row>
    <row r="2699" spans="1:33" ht="15" customHeight="1" x14ac:dyDescent="0.2">
      <c r="A2699" s="11" t="str">
        <f>HYPERLINK("https://assets.vans.eu/images/VN000D70BM8-HERO/1","VN000D70BM81")</f>
        <v>VN000D70BM81</v>
      </c>
      <c r="B2699" s="12" t="s">
        <v>9908</v>
      </c>
      <c r="C2699" s="12" t="s">
        <v>1614</v>
      </c>
      <c r="D2699" s="12" t="s">
        <v>919</v>
      </c>
      <c r="E2699" s="12" t="s">
        <v>9909</v>
      </c>
      <c r="F2699" s="13">
        <v>80</v>
      </c>
      <c r="G2699" s="12" t="s">
        <v>3605</v>
      </c>
      <c r="H2699" s="12" t="s">
        <v>38</v>
      </c>
      <c r="I2699" s="12" t="s">
        <v>113</v>
      </c>
      <c r="J2699" s="12" t="s">
        <v>529</v>
      </c>
      <c r="K2699" s="12" t="s">
        <v>82</v>
      </c>
      <c r="L2699" s="14"/>
      <c r="M2699" s="12" t="s">
        <v>43</v>
      </c>
      <c r="N2699" s="12" t="s">
        <v>84</v>
      </c>
      <c r="O2699" s="12" t="s">
        <v>9910</v>
      </c>
      <c r="P2699" s="12" t="s">
        <v>46</v>
      </c>
      <c r="Q2699" s="12" t="s">
        <v>47</v>
      </c>
      <c r="R2699" s="12" t="s">
        <v>117</v>
      </c>
      <c r="S2699" s="13">
        <v>197804542826</v>
      </c>
      <c r="T2699" s="12" t="s">
        <v>49</v>
      </c>
      <c r="U2699" s="13">
        <v>40.5</v>
      </c>
      <c r="V2699" s="12" t="s">
        <v>50</v>
      </c>
      <c r="W2699" s="12" t="s">
        <v>51</v>
      </c>
      <c r="X2699" s="14"/>
      <c r="Y2699" s="14"/>
      <c r="Z2699" s="14"/>
      <c r="AA2699" s="14"/>
      <c r="AB2699" s="14"/>
      <c r="AC2699" s="15">
        <v>50</v>
      </c>
      <c r="AD2699" s="15">
        <f>AC2699*AG2699</f>
        <v>100</v>
      </c>
      <c r="AE2699" s="15">
        <v>110</v>
      </c>
      <c r="AF2699" s="15">
        <f>AE2699*AG2699</f>
        <v>220</v>
      </c>
      <c r="AG2699" s="16">
        <v>2</v>
      </c>
    </row>
    <row r="2700" spans="1:33" ht="15" customHeight="1" x14ac:dyDescent="0.2">
      <c r="A2700" s="11" t="str">
        <f t="shared" ref="A2700:A4426" si="1084">HYPERLINK("https://assets.vans.eu/images/VN000D7ABKA-HERO/1","VN000D7ABKA1")</f>
        <v>VN000D7ABKA1</v>
      </c>
      <c r="B2700" s="12" t="s">
        <v>9911</v>
      </c>
      <c r="C2700" s="12" t="s">
        <v>9912</v>
      </c>
      <c r="D2700" s="12" t="s">
        <v>252</v>
      </c>
      <c r="E2700" s="12" t="s">
        <v>9913</v>
      </c>
      <c r="F2700" s="13">
        <v>50</v>
      </c>
      <c r="G2700" s="14"/>
      <c r="H2700" s="12" t="s">
        <v>38</v>
      </c>
      <c r="I2700" s="12" t="s">
        <v>113</v>
      </c>
      <c r="J2700" s="12" t="s">
        <v>529</v>
      </c>
      <c r="K2700" s="12" t="s">
        <v>82</v>
      </c>
      <c r="L2700" s="14"/>
      <c r="M2700" s="12" t="s">
        <v>43</v>
      </c>
      <c r="N2700" s="12" t="s">
        <v>44</v>
      </c>
      <c r="O2700" s="12" t="s">
        <v>9914</v>
      </c>
      <c r="P2700" s="12" t="s">
        <v>46</v>
      </c>
      <c r="Q2700" s="12" t="s">
        <v>47</v>
      </c>
      <c r="R2700" s="12" t="s">
        <v>117</v>
      </c>
      <c r="S2700" s="13">
        <v>197643315223</v>
      </c>
      <c r="T2700" s="12" t="s">
        <v>49</v>
      </c>
      <c r="U2700" s="13">
        <v>36.5</v>
      </c>
      <c r="V2700" s="12" t="s">
        <v>50</v>
      </c>
      <c r="W2700" s="12" t="s">
        <v>51</v>
      </c>
      <c r="X2700" s="14"/>
      <c r="Y2700" s="12" t="s">
        <v>53</v>
      </c>
      <c r="Z2700" s="12" t="s">
        <v>263</v>
      </c>
      <c r="AA2700" s="14"/>
      <c r="AB2700" s="14"/>
      <c r="AC2700" s="15">
        <v>50</v>
      </c>
      <c r="AD2700" s="15">
        <f>AC2700*AG2700</f>
        <v>100</v>
      </c>
      <c r="AE2700" s="15">
        <v>110</v>
      </c>
      <c r="AF2700" s="15">
        <f>AE2700*AG2700</f>
        <v>220</v>
      </c>
      <c r="AG2700" s="16">
        <v>2</v>
      </c>
    </row>
    <row r="2701" spans="1:33" ht="15" customHeight="1" x14ac:dyDescent="0.2">
      <c r="A2701" s="11" t="str">
        <f t="shared" ref="A2701:A4427" si="1085">HYPERLINK("https://assets.vans.eu/images/VN000D7G29B-HERO/1","VN000D7G29B1")</f>
        <v>VN000D7G29B1</v>
      </c>
      <c r="B2701" s="12" t="s">
        <v>9915</v>
      </c>
      <c r="C2701" s="12" t="s">
        <v>9916</v>
      </c>
      <c r="D2701" s="12" t="s">
        <v>5629</v>
      </c>
      <c r="E2701" s="12" t="s">
        <v>9917</v>
      </c>
      <c r="F2701" s="13">
        <v>100</v>
      </c>
      <c r="G2701" s="12" t="s">
        <v>7493</v>
      </c>
      <c r="H2701" s="12" t="s">
        <v>38</v>
      </c>
      <c r="I2701" s="12" t="s">
        <v>159</v>
      </c>
      <c r="J2701" s="12" t="s">
        <v>255</v>
      </c>
      <c r="K2701" s="12" t="s">
        <v>199</v>
      </c>
      <c r="L2701" s="14"/>
      <c r="M2701" s="12" t="s">
        <v>43</v>
      </c>
      <c r="N2701" s="12" t="s">
        <v>44</v>
      </c>
      <c r="O2701" s="12" t="s">
        <v>9918</v>
      </c>
      <c r="P2701" s="12" t="s">
        <v>46</v>
      </c>
      <c r="Q2701" s="12" t="s">
        <v>276</v>
      </c>
      <c r="R2701" s="12" t="s">
        <v>277</v>
      </c>
      <c r="S2701" s="13">
        <v>197643291886</v>
      </c>
      <c r="T2701" s="12" t="s">
        <v>49</v>
      </c>
      <c r="U2701" s="13">
        <v>43</v>
      </c>
      <c r="V2701" s="12" t="s">
        <v>278</v>
      </c>
      <c r="W2701" s="12" t="s">
        <v>51</v>
      </c>
      <c r="X2701" s="14"/>
      <c r="Y2701" s="12" t="s">
        <v>91</v>
      </c>
      <c r="Z2701" s="12" t="s">
        <v>165</v>
      </c>
      <c r="AA2701" s="14"/>
      <c r="AB2701" s="14"/>
      <c r="AC2701" s="15">
        <v>18.2</v>
      </c>
      <c r="AD2701" s="15">
        <f>AC2701*AG2701</f>
        <v>36.4</v>
      </c>
      <c r="AE2701" s="15">
        <v>40</v>
      </c>
      <c r="AF2701" s="15">
        <f>AE2701*AG2701</f>
        <v>80</v>
      </c>
      <c r="AG2701" s="16">
        <v>2</v>
      </c>
    </row>
    <row r="2702" spans="1:33" ht="15" customHeight="1" x14ac:dyDescent="0.2">
      <c r="A2702" s="11" t="str">
        <f>HYPERLINK("https://assets.vans.eu/images/VN000D7JCKP-HERO/1","VN000D7JCKP1")</f>
        <v>VN000D7JCKP1</v>
      </c>
      <c r="B2702" s="12" t="s">
        <v>9919</v>
      </c>
      <c r="C2702" s="12" t="s">
        <v>2304</v>
      </c>
      <c r="D2702" s="12" t="s">
        <v>2305</v>
      </c>
      <c r="E2702" s="12" t="s">
        <v>9920</v>
      </c>
      <c r="F2702" s="13">
        <v>110</v>
      </c>
      <c r="G2702" s="14"/>
      <c r="H2702" s="12" t="s">
        <v>38</v>
      </c>
      <c r="I2702" s="12" t="s">
        <v>159</v>
      </c>
      <c r="J2702" s="12" t="s">
        <v>255</v>
      </c>
      <c r="K2702" s="12" t="s">
        <v>199</v>
      </c>
      <c r="L2702" s="14"/>
      <c r="M2702" s="12" t="s">
        <v>43</v>
      </c>
      <c r="N2702" s="12" t="s">
        <v>44</v>
      </c>
      <c r="O2702" s="12" t="s">
        <v>9921</v>
      </c>
      <c r="P2702" s="12" t="s">
        <v>46</v>
      </c>
      <c r="Q2702" s="12" t="s">
        <v>276</v>
      </c>
      <c r="R2702" s="12" t="s">
        <v>277</v>
      </c>
      <c r="S2702" s="13">
        <v>197643292494</v>
      </c>
      <c r="T2702" s="12" t="s">
        <v>49</v>
      </c>
      <c r="U2702" s="13">
        <v>44.5</v>
      </c>
      <c r="V2702" s="12" t="s">
        <v>278</v>
      </c>
      <c r="W2702" s="12" t="s">
        <v>118</v>
      </c>
      <c r="X2702" s="14"/>
      <c r="Y2702" s="12" t="s">
        <v>91</v>
      </c>
      <c r="Z2702" s="12" t="s">
        <v>165</v>
      </c>
      <c r="AA2702" s="14"/>
      <c r="AB2702" s="14"/>
      <c r="AC2702" s="15">
        <v>25</v>
      </c>
      <c r="AD2702" s="15">
        <f>AC2702*AG2702</f>
        <v>50</v>
      </c>
      <c r="AE2702" s="15">
        <v>55</v>
      </c>
      <c r="AF2702" s="15">
        <f>AE2702*AG2702</f>
        <v>110</v>
      </c>
      <c r="AG2702" s="16">
        <v>2</v>
      </c>
    </row>
    <row r="2703" spans="1:33" ht="15" customHeight="1" x14ac:dyDescent="0.2">
      <c r="A2703" s="11" t="str">
        <f t="shared" ref="A2703:A4431" si="1086">HYPERLINK("https://assets.vans.eu/images/VN000D7Z1NU-HERO/1","VN000D7Z1NU1")</f>
        <v>VN000D7Z1NU1</v>
      </c>
      <c r="B2703" s="12" t="s">
        <v>9922</v>
      </c>
      <c r="C2703" s="12" t="s">
        <v>34</v>
      </c>
      <c r="D2703" s="12" t="s">
        <v>783</v>
      </c>
      <c r="E2703" s="12" t="s">
        <v>9923</v>
      </c>
      <c r="F2703" s="13">
        <v>95</v>
      </c>
      <c r="G2703" s="14"/>
      <c r="H2703" s="12" t="s">
        <v>38</v>
      </c>
      <c r="I2703" s="12" t="s">
        <v>159</v>
      </c>
      <c r="J2703" s="12" t="s">
        <v>160</v>
      </c>
      <c r="K2703" s="12" t="s">
        <v>82</v>
      </c>
      <c r="L2703" s="14"/>
      <c r="M2703" s="12" t="s">
        <v>43</v>
      </c>
      <c r="N2703" s="12" t="s">
        <v>84</v>
      </c>
      <c r="O2703" s="12" t="s">
        <v>9924</v>
      </c>
      <c r="P2703" s="12" t="s">
        <v>46</v>
      </c>
      <c r="Q2703" s="12" t="s">
        <v>47</v>
      </c>
      <c r="R2703" s="12" t="s">
        <v>163</v>
      </c>
      <c r="S2703" s="13">
        <v>197804544714</v>
      </c>
      <c r="T2703" s="12" t="s">
        <v>105</v>
      </c>
      <c r="U2703" s="13">
        <v>42.5</v>
      </c>
      <c r="V2703" s="12" t="s">
        <v>50</v>
      </c>
      <c r="W2703" s="12" t="s">
        <v>186</v>
      </c>
      <c r="X2703" s="14"/>
      <c r="Y2703" s="14"/>
      <c r="Z2703" s="14"/>
      <c r="AA2703" s="14"/>
      <c r="AB2703" s="14"/>
      <c r="AC2703" s="15">
        <v>38.65</v>
      </c>
      <c r="AD2703" s="15">
        <f>AC2703*AG2703</f>
        <v>77.3</v>
      </c>
      <c r="AE2703" s="15">
        <v>85</v>
      </c>
      <c r="AF2703" s="15">
        <f>AE2703*AG2703</f>
        <v>170</v>
      </c>
      <c r="AG2703" s="16">
        <v>2</v>
      </c>
    </row>
    <row r="2704" spans="1:33" ht="15" customHeight="1" x14ac:dyDescent="0.2">
      <c r="A2704" s="11" t="str">
        <f t="shared" si="810"/>
        <v>VN000D7Z6N01</v>
      </c>
      <c r="B2704" s="12" t="s">
        <v>9925</v>
      </c>
      <c r="C2704" s="12" t="s">
        <v>34</v>
      </c>
      <c r="D2704" s="12" t="s">
        <v>7361</v>
      </c>
      <c r="E2704" s="12" t="s">
        <v>9926</v>
      </c>
      <c r="F2704" s="13">
        <v>50</v>
      </c>
      <c r="G2704" s="14"/>
      <c r="H2704" s="12" t="s">
        <v>38</v>
      </c>
      <c r="I2704" s="12" t="s">
        <v>113</v>
      </c>
      <c r="J2704" s="12" t="s">
        <v>114</v>
      </c>
      <c r="K2704" s="12" t="s">
        <v>82</v>
      </c>
      <c r="L2704" s="12" t="s">
        <v>260</v>
      </c>
      <c r="M2704" s="12" t="s">
        <v>43</v>
      </c>
      <c r="N2704" s="12" t="s">
        <v>84</v>
      </c>
      <c r="O2704" s="12" t="s">
        <v>9927</v>
      </c>
      <c r="P2704" s="12" t="s">
        <v>46</v>
      </c>
      <c r="Q2704" s="12" t="s">
        <v>47</v>
      </c>
      <c r="R2704" s="12" t="s">
        <v>117</v>
      </c>
      <c r="S2704" s="13">
        <v>197804612284</v>
      </c>
      <c r="T2704" s="12" t="s">
        <v>49</v>
      </c>
      <c r="U2704" s="13">
        <v>36.5</v>
      </c>
      <c r="V2704" s="12" t="s">
        <v>50</v>
      </c>
      <c r="W2704" s="12" t="s">
        <v>107</v>
      </c>
      <c r="X2704" s="14"/>
      <c r="Y2704" s="14"/>
      <c r="Z2704" s="14"/>
      <c r="AA2704" s="14"/>
      <c r="AB2704" s="14"/>
      <c r="AC2704" s="15">
        <v>40.950000000000003</v>
      </c>
      <c r="AD2704" s="15">
        <f>AC2704*AG2704</f>
        <v>81.900000000000006</v>
      </c>
      <c r="AE2704" s="15">
        <v>90</v>
      </c>
      <c r="AF2704" s="15">
        <f>AE2704*AG2704</f>
        <v>180</v>
      </c>
      <c r="AG2704" s="16">
        <v>2</v>
      </c>
    </row>
    <row r="2705" spans="1:33" ht="15" customHeight="1" x14ac:dyDescent="0.2">
      <c r="A2705" s="11" t="str">
        <f t="shared" ref="A2705:A4432" si="1087">HYPERLINK("https://assets.vans.eu/images/VN000D7Z6N0-HERO/1","VN000D7Z6N01")</f>
        <v>VN000D7Z6N01</v>
      </c>
      <c r="B2705" s="12" t="s">
        <v>9928</v>
      </c>
      <c r="C2705" s="12" t="s">
        <v>34</v>
      </c>
      <c r="D2705" s="12" t="s">
        <v>7361</v>
      </c>
      <c r="E2705" s="12" t="s">
        <v>9929</v>
      </c>
      <c r="F2705" s="13">
        <v>65</v>
      </c>
      <c r="G2705" s="14"/>
      <c r="H2705" s="12" t="s">
        <v>38</v>
      </c>
      <c r="I2705" s="12" t="s">
        <v>113</v>
      </c>
      <c r="J2705" s="12" t="s">
        <v>114</v>
      </c>
      <c r="K2705" s="12" t="s">
        <v>82</v>
      </c>
      <c r="L2705" s="12" t="s">
        <v>260</v>
      </c>
      <c r="M2705" s="12" t="s">
        <v>43</v>
      </c>
      <c r="N2705" s="12" t="s">
        <v>84</v>
      </c>
      <c r="O2705" s="12" t="s">
        <v>9930</v>
      </c>
      <c r="P2705" s="12" t="s">
        <v>46</v>
      </c>
      <c r="Q2705" s="12" t="s">
        <v>47</v>
      </c>
      <c r="R2705" s="12" t="s">
        <v>117</v>
      </c>
      <c r="S2705" s="13">
        <v>197804612581</v>
      </c>
      <c r="T2705" s="12" t="s">
        <v>49</v>
      </c>
      <c r="U2705" s="13">
        <v>38.5</v>
      </c>
      <c r="V2705" s="12" t="s">
        <v>50</v>
      </c>
      <c r="W2705" s="12" t="s">
        <v>107</v>
      </c>
      <c r="X2705" s="14"/>
      <c r="Y2705" s="14"/>
      <c r="Z2705" s="14"/>
      <c r="AA2705" s="14"/>
      <c r="AB2705" s="14"/>
      <c r="AC2705" s="15">
        <v>40.950000000000003</v>
      </c>
      <c r="AD2705" s="15">
        <f>AC2705*AG2705</f>
        <v>81.900000000000006</v>
      </c>
      <c r="AE2705" s="15">
        <v>90</v>
      </c>
      <c r="AF2705" s="15">
        <f>AE2705*AG2705</f>
        <v>180</v>
      </c>
      <c r="AG2705" s="16">
        <v>2</v>
      </c>
    </row>
    <row r="2706" spans="1:33" ht="15" customHeight="1" x14ac:dyDescent="0.2">
      <c r="A2706" s="11" t="str">
        <f t="shared" ref="A2706:A2707" si="1088">HYPERLINK("https://assets.vans.eu/images/VN000D7ZM8I-HERO/1","VN000D7ZM8I1")</f>
        <v>VN000D7ZM8I1</v>
      </c>
      <c r="B2706" s="12" t="s">
        <v>9931</v>
      </c>
      <c r="C2706" s="12" t="s">
        <v>34</v>
      </c>
      <c r="D2706" s="12" t="s">
        <v>1487</v>
      </c>
      <c r="E2706" s="12" t="s">
        <v>9932</v>
      </c>
      <c r="F2706" s="13">
        <v>90</v>
      </c>
      <c r="G2706" s="12" t="s">
        <v>1920</v>
      </c>
      <c r="H2706" s="12" t="s">
        <v>38</v>
      </c>
      <c r="I2706" s="12" t="s">
        <v>159</v>
      </c>
      <c r="J2706" s="12" t="s">
        <v>160</v>
      </c>
      <c r="K2706" s="12" t="s">
        <v>82</v>
      </c>
      <c r="L2706" s="14"/>
      <c r="M2706" s="12" t="s">
        <v>43</v>
      </c>
      <c r="N2706" s="12" t="s">
        <v>84</v>
      </c>
      <c r="O2706" s="12" t="s">
        <v>9933</v>
      </c>
      <c r="P2706" s="12" t="s">
        <v>46</v>
      </c>
      <c r="Q2706" s="12" t="s">
        <v>47</v>
      </c>
      <c r="R2706" s="12" t="s">
        <v>163</v>
      </c>
      <c r="S2706" s="13">
        <v>197804545759</v>
      </c>
      <c r="T2706" s="12" t="s">
        <v>105</v>
      </c>
      <c r="U2706" s="13">
        <v>42</v>
      </c>
      <c r="V2706" s="12" t="s">
        <v>50</v>
      </c>
      <c r="W2706" s="12" t="s">
        <v>118</v>
      </c>
      <c r="X2706" s="14"/>
      <c r="Y2706" s="14"/>
      <c r="Z2706" s="14"/>
      <c r="AA2706" s="14"/>
      <c r="AB2706" s="14"/>
      <c r="AC2706" s="15">
        <v>38.65</v>
      </c>
      <c r="AD2706" s="15">
        <f>AC2706*AG2706</f>
        <v>77.3</v>
      </c>
      <c r="AE2706" s="15">
        <v>85</v>
      </c>
      <c r="AF2706" s="15">
        <f>AE2706*AG2706</f>
        <v>170</v>
      </c>
      <c r="AG2706" s="16">
        <v>2</v>
      </c>
    </row>
    <row r="2707" spans="1:33" ht="15" customHeight="1" x14ac:dyDescent="0.2">
      <c r="A2707" s="11" t="str">
        <f t="shared" si="1088"/>
        <v>VN000D7ZM8I1</v>
      </c>
      <c r="B2707" s="12" t="s">
        <v>9934</v>
      </c>
      <c r="C2707" s="12" t="s">
        <v>34</v>
      </c>
      <c r="D2707" s="12" t="s">
        <v>1487</v>
      </c>
      <c r="E2707" s="12" t="s">
        <v>9935</v>
      </c>
      <c r="F2707" s="13">
        <v>115</v>
      </c>
      <c r="G2707" s="12" t="s">
        <v>1920</v>
      </c>
      <c r="H2707" s="12" t="s">
        <v>38</v>
      </c>
      <c r="I2707" s="12" t="s">
        <v>159</v>
      </c>
      <c r="J2707" s="12" t="s">
        <v>160</v>
      </c>
      <c r="K2707" s="12" t="s">
        <v>82</v>
      </c>
      <c r="L2707" s="14"/>
      <c r="M2707" s="12" t="s">
        <v>43</v>
      </c>
      <c r="N2707" s="12" t="s">
        <v>84</v>
      </c>
      <c r="O2707" s="12" t="s">
        <v>9936</v>
      </c>
      <c r="P2707" s="12" t="s">
        <v>46</v>
      </c>
      <c r="Q2707" s="12" t="s">
        <v>47</v>
      </c>
      <c r="R2707" s="12" t="s">
        <v>163</v>
      </c>
      <c r="S2707" s="13">
        <v>197804546183</v>
      </c>
      <c r="T2707" s="12" t="s">
        <v>105</v>
      </c>
      <c r="U2707" s="13">
        <v>45</v>
      </c>
      <c r="V2707" s="12" t="s">
        <v>50</v>
      </c>
      <c r="W2707" s="12" t="s">
        <v>118</v>
      </c>
      <c r="X2707" s="14"/>
      <c r="Y2707" s="14"/>
      <c r="Z2707" s="14"/>
      <c r="AA2707" s="14"/>
      <c r="AB2707" s="14"/>
      <c r="AC2707" s="15">
        <v>38.65</v>
      </c>
      <c r="AD2707" s="15">
        <f>AC2707*AG2707</f>
        <v>77.3</v>
      </c>
      <c r="AE2707" s="15">
        <v>85</v>
      </c>
      <c r="AF2707" s="15">
        <f>AE2707*AG2707</f>
        <v>170</v>
      </c>
      <c r="AG2707" s="16">
        <v>2</v>
      </c>
    </row>
    <row r="2708" spans="1:33" ht="15" customHeight="1" x14ac:dyDescent="0.2">
      <c r="A2708" s="11" t="str">
        <f t="shared" ref="A2708:A4448" si="1089">HYPERLINK("https://assets.vans.eu/images/VN000D80BF0-HERO/1","VN000D80BF01")</f>
        <v>VN000D80BF01</v>
      </c>
      <c r="B2708" s="12" t="s">
        <v>9937</v>
      </c>
      <c r="C2708" s="12" t="s">
        <v>309</v>
      </c>
      <c r="D2708" s="12" t="s">
        <v>5907</v>
      </c>
      <c r="E2708" s="12" t="s">
        <v>9938</v>
      </c>
      <c r="F2708" s="13">
        <v>65</v>
      </c>
      <c r="G2708" s="12" t="s">
        <v>5909</v>
      </c>
      <c r="H2708" s="12" t="s">
        <v>38</v>
      </c>
      <c r="I2708" s="12" t="s">
        <v>159</v>
      </c>
      <c r="J2708" s="12" t="s">
        <v>160</v>
      </c>
      <c r="K2708" s="12" t="s">
        <v>82</v>
      </c>
      <c r="L2708" s="14"/>
      <c r="M2708" s="12" t="s">
        <v>43</v>
      </c>
      <c r="N2708" s="12" t="s">
        <v>84</v>
      </c>
      <c r="O2708" s="12" t="s">
        <v>9939</v>
      </c>
      <c r="P2708" s="12" t="s">
        <v>46</v>
      </c>
      <c r="Q2708" s="12" t="s">
        <v>47</v>
      </c>
      <c r="R2708" s="12" t="s">
        <v>1660</v>
      </c>
      <c r="S2708" s="13">
        <v>197804546534</v>
      </c>
      <c r="T2708" s="12" t="s">
        <v>49</v>
      </c>
      <c r="U2708" s="13">
        <v>38.5</v>
      </c>
      <c r="V2708" s="12" t="s">
        <v>50</v>
      </c>
      <c r="W2708" s="12" t="s">
        <v>186</v>
      </c>
      <c r="X2708" s="14"/>
      <c r="Y2708" s="14"/>
      <c r="Z2708" s="14"/>
      <c r="AA2708" s="14"/>
      <c r="AB2708" s="14"/>
      <c r="AC2708" s="15">
        <v>43.2</v>
      </c>
      <c r="AD2708" s="15">
        <f>AC2708*AG2708</f>
        <v>86.4</v>
      </c>
      <c r="AE2708" s="15">
        <v>95</v>
      </c>
      <c r="AF2708" s="15">
        <f>AE2708*AG2708</f>
        <v>190</v>
      </c>
      <c r="AG2708" s="16">
        <v>2</v>
      </c>
    </row>
    <row r="2709" spans="1:33" ht="15" customHeight="1" x14ac:dyDescent="0.2">
      <c r="A2709" s="11" t="str">
        <f>HYPERLINK("https://assets.vans.eu/images/VN000D83RNE-HERO/1","VN000D83RNE1")</f>
        <v>VN000D83RNE1</v>
      </c>
      <c r="B2709" s="12" t="s">
        <v>9940</v>
      </c>
      <c r="C2709" s="12" t="s">
        <v>3611</v>
      </c>
      <c r="D2709" s="12" t="s">
        <v>4661</v>
      </c>
      <c r="E2709" s="12" t="s">
        <v>9941</v>
      </c>
      <c r="F2709" s="13">
        <v>35</v>
      </c>
      <c r="G2709" s="14"/>
      <c r="H2709" s="12" t="s">
        <v>38</v>
      </c>
      <c r="I2709" s="12" t="s">
        <v>113</v>
      </c>
      <c r="J2709" s="12" t="s">
        <v>529</v>
      </c>
      <c r="K2709" s="12" t="s">
        <v>82</v>
      </c>
      <c r="L2709" s="14"/>
      <c r="M2709" s="12" t="s">
        <v>43</v>
      </c>
      <c r="N2709" s="12" t="s">
        <v>44</v>
      </c>
      <c r="O2709" s="12" t="s">
        <v>9942</v>
      </c>
      <c r="P2709" s="12" t="s">
        <v>46</v>
      </c>
      <c r="Q2709" s="12" t="s">
        <v>47</v>
      </c>
      <c r="R2709" s="12" t="s">
        <v>117</v>
      </c>
      <c r="S2709" s="13">
        <v>197643297383</v>
      </c>
      <c r="T2709" s="12" t="s">
        <v>49</v>
      </c>
      <c r="U2709" s="13">
        <v>34.5</v>
      </c>
      <c r="V2709" s="12" t="s">
        <v>50</v>
      </c>
      <c r="W2709" s="12" t="s">
        <v>118</v>
      </c>
      <c r="X2709" s="14"/>
      <c r="Y2709" s="12" t="s">
        <v>53</v>
      </c>
      <c r="Z2709" s="12" t="s">
        <v>263</v>
      </c>
      <c r="AA2709" s="14"/>
      <c r="AB2709" s="14"/>
      <c r="AC2709" s="15">
        <v>43.2</v>
      </c>
      <c r="AD2709" s="15">
        <f>AC2709*AG2709</f>
        <v>86.4</v>
      </c>
      <c r="AE2709" s="15">
        <v>95</v>
      </c>
      <c r="AF2709" s="15">
        <f>AE2709*AG2709</f>
        <v>190</v>
      </c>
      <c r="AG2709" s="16">
        <v>2</v>
      </c>
    </row>
    <row r="2710" spans="1:33" ht="15" customHeight="1" x14ac:dyDescent="0.2">
      <c r="A2710" s="11" t="str">
        <f t="shared" ref="A2710:A4456" si="1090">HYPERLINK("https://assets.vans.eu/images/VN000D85EME-HERO/1","VN000D85EME1")</f>
        <v>VN000D85EME1</v>
      </c>
      <c r="B2710" s="12" t="s">
        <v>9943</v>
      </c>
      <c r="C2710" s="12" t="s">
        <v>5919</v>
      </c>
      <c r="D2710" s="12" t="s">
        <v>5920</v>
      </c>
      <c r="E2710" s="12" t="s">
        <v>9944</v>
      </c>
      <c r="F2710" s="13">
        <v>110</v>
      </c>
      <c r="G2710" s="14"/>
      <c r="H2710" s="12" t="s">
        <v>38</v>
      </c>
      <c r="I2710" s="12" t="s">
        <v>159</v>
      </c>
      <c r="J2710" s="12" t="s">
        <v>341</v>
      </c>
      <c r="K2710" s="12" t="s">
        <v>199</v>
      </c>
      <c r="L2710" s="14"/>
      <c r="M2710" s="12" t="s">
        <v>43</v>
      </c>
      <c r="N2710" s="12" t="s">
        <v>84</v>
      </c>
      <c r="O2710" s="12" t="s">
        <v>9945</v>
      </c>
      <c r="P2710" s="12" t="s">
        <v>46</v>
      </c>
      <c r="Q2710" s="12" t="s">
        <v>47</v>
      </c>
      <c r="R2710" s="12" t="s">
        <v>163</v>
      </c>
      <c r="S2710" s="13">
        <v>197804550210</v>
      </c>
      <c r="T2710" s="12" t="s">
        <v>49</v>
      </c>
      <c r="U2710" s="13">
        <v>44.5</v>
      </c>
      <c r="V2710" s="12" t="s">
        <v>50</v>
      </c>
      <c r="W2710" s="12" t="s">
        <v>118</v>
      </c>
      <c r="X2710" s="14"/>
      <c r="Y2710" s="14"/>
      <c r="Z2710" s="14"/>
      <c r="AA2710" s="14"/>
      <c r="AB2710" s="14"/>
      <c r="AC2710" s="15">
        <v>40.950000000000003</v>
      </c>
      <c r="AD2710" s="15">
        <f>AC2710*AG2710</f>
        <v>81.900000000000006</v>
      </c>
      <c r="AE2710" s="15">
        <v>90</v>
      </c>
      <c r="AF2710" s="15">
        <f>AE2710*AG2710</f>
        <v>180</v>
      </c>
      <c r="AG2710" s="16">
        <v>2</v>
      </c>
    </row>
    <row r="2711" spans="1:33" ht="15" customHeight="1" x14ac:dyDescent="0.2">
      <c r="A2711" s="11" t="str">
        <f>HYPERLINK("https://assets.vans.eu/images/VN000D8X6PH-HERO/1","VN000D8X6PH1")</f>
        <v>VN000D8X6PH1</v>
      </c>
      <c r="B2711" s="12" t="s">
        <v>9946</v>
      </c>
      <c r="C2711" s="12" t="s">
        <v>1458</v>
      </c>
      <c r="D2711" s="12" t="s">
        <v>1878</v>
      </c>
      <c r="E2711" s="12" t="s">
        <v>9947</v>
      </c>
      <c r="F2711" s="13">
        <v>45</v>
      </c>
      <c r="G2711" s="14"/>
      <c r="H2711" s="12" t="s">
        <v>38</v>
      </c>
      <c r="I2711" s="12" t="s">
        <v>159</v>
      </c>
      <c r="J2711" s="12" t="s">
        <v>255</v>
      </c>
      <c r="K2711" s="12" t="s">
        <v>82</v>
      </c>
      <c r="L2711" s="12" t="s">
        <v>260</v>
      </c>
      <c r="M2711" s="12" t="s">
        <v>43</v>
      </c>
      <c r="N2711" s="12" t="s">
        <v>44</v>
      </c>
      <c r="O2711" s="12" t="s">
        <v>9948</v>
      </c>
      <c r="P2711" s="12" t="s">
        <v>46</v>
      </c>
      <c r="Q2711" s="12" t="s">
        <v>47</v>
      </c>
      <c r="R2711" s="12" t="s">
        <v>163</v>
      </c>
      <c r="S2711" s="13">
        <v>197643338215</v>
      </c>
      <c r="T2711" s="12" t="s">
        <v>164</v>
      </c>
      <c r="U2711" s="13">
        <v>36</v>
      </c>
      <c r="V2711" s="12" t="s">
        <v>50</v>
      </c>
      <c r="W2711" s="12" t="s">
        <v>107</v>
      </c>
      <c r="X2711" s="14"/>
      <c r="Y2711" s="12" t="s">
        <v>53</v>
      </c>
      <c r="Z2711" s="12" t="s">
        <v>1462</v>
      </c>
      <c r="AA2711" s="14"/>
      <c r="AB2711" s="12" t="s">
        <v>264</v>
      </c>
      <c r="AC2711" s="15">
        <v>43.2</v>
      </c>
      <c r="AD2711" s="15">
        <f>AC2711*AG2711</f>
        <v>86.4</v>
      </c>
      <c r="AE2711" s="15">
        <v>95</v>
      </c>
      <c r="AF2711" s="15">
        <f>AE2711*AG2711</f>
        <v>190</v>
      </c>
      <c r="AG2711" s="16">
        <v>2</v>
      </c>
    </row>
    <row r="2712" spans="1:33" ht="15" customHeight="1" x14ac:dyDescent="0.2">
      <c r="A2712" s="11" t="str">
        <f t="shared" ref="A2712:A4475" si="1091">HYPERLINK("https://assets.vans.eu/images/VN000D9ACJ7-HERO/1","VN000D9ACJ71")</f>
        <v>VN000D9ACJ71</v>
      </c>
      <c r="B2712" s="12" t="s">
        <v>9949</v>
      </c>
      <c r="C2712" s="12" t="s">
        <v>2143</v>
      </c>
      <c r="D2712" s="12" t="s">
        <v>2144</v>
      </c>
      <c r="E2712" s="12" t="s">
        <v>9950</v>
      </c>
      <c r="F2712" s="13">
        <v>130</v>
      </c>
      <c r="G2712" s="12" t="s">
        <v>2146</v>
      </c>
      <c r="H2712" s="12" t="s">
        <v>38</v>
      </c>
      <c r="I2712" s="12" t="s">
        <v>113</v>
      </c>
      <c r="J2712" s="12" t="s">
        <v>529</v>
      </c>
      <c r="K2712" s="12" t="s">
        <v>82</v>
      </c>
      <c r="L2712" s="14"/>
      <c r="M2712" s="12" t="s">
        <v>43</v>
      </c>
      <c r="N2712" s="12" t="s">
        <v>84</v>
      </c>
      <c r="O2712" s="12" t="s">
        <v>9951</v>
      </c>
      <c r="P2712" s="12" t="s">
        <v>46</v>
      </c>
      <c r="Q2712" s="12" t="s">
        <v>47</v>
      </c>
      <c r="R2712" s="12" t="s">
        <v>117</v>
      </c>
      <c r="S2712" s="13">
        <v>197804550173</v>
      </c>
      <c r="T2712" s="12" t="s">
        <v>49</v>
      </c>
      <c r="U2712" s="13">
        <v>47</v>
      </c>
      <c r="V2712" s="12" t="s">
        <v>50</v>
      </c>
      <c r="W2712" s="12" t="s">
        <v>175</v>
      </c>
      <c r="X2712" s="14"/>
      <c r="Y2712" s="14"/>
      <c r="Z2712" s="14"/>
      <c r="AA2712" s="14"/>
      <c r="AB2712" s="14"/>
      <c r="AC2712" s="15">
        <v>40.950000000000003</v>
      </c>
      <c r="AD2712" s="15">
        <f>AC2712*AG2712</f>
        <v>81.900000000000006</v>
      </c>
      <c r="AE2712" s="15">
        <v>90</v>
      </c>
      <c r="AF2712" s="15">
        <f>AE2712*AG2712</f>
        <v>180</v>
      </c>
      <c r="AG2712" s="16">
        <v>2</v>
      </c>
    </row>
    <row r="2713" spans="1:33" ht="15" customHeight="1" x14ac:dyDescent="0.2">
      <c r="A2713" s="11" t="str">
        <f t="shared" si="543"/>
        <v>VN000D9Y0CS1</v>
      </c>
      <c r="B2713" s="12" t="s">
        <v>9952</v>
      </c>
      <c r="C2713" s="12" t="s">
        <v>34</v>
      </c>
      <c r="D2713" s="12" t="s">
        <v>5056</v>
      </c>
      <c r="E2713" s="12" t="s">
        <v>9953</v>
      </c>
      <c r="F2713" s="13">
        <v>35</v>
      </c>
      <c r="G2713" s="14"/>
      <c r="H2713" s="12" t="s">
        <v>38</v>
      </c>
      <c r="I2713" s="12" t="s">
        <v>113</v>
      </c>
      <c r="J2713" s="12" t="s">
        <v>114</v>
      </c>
      <c r="K2713" s="12" t="s">
        <v>82</v>
      </c>
      <c r="L2713" s="12" t="s">
        <v>260</v>
      </c>
      <c r="M2713" s="12" t="s">
        <v>43</v>
      </c>
      <c r="N2713" s="12" t="s">
        <v>84</v>
      </c>
      <c r="O2713" s="12" t="s">
        <v>9954</v>
      </c>
      <c r="P2713" s="12" t="s">
        <v>46</v>
      </c>
      <c r="Q2713" s="12" t="s">
        <v>47</v>
      </c>
      <c r="R2713" s="12" t="s">
        <v>117</v>
      </c>
      <c r="S2713" s="13">
        <v>197804612024</v>
      </c>
      <c r="T2713" s="12" t="s">
        <v>164</v>
      </c>
      <c r="U2713" s="13">
        <v>34.5</v>
      </c>
      <c r="V2713" s="12" t="s">
        <v>50</v>
      </c>
      <c r="W2713" s="12" t="s">
        <v>455</v>
      </c>
      <c r="X2713" s="14"/>
      <c r="Y2713" s="14"/>
      <c r="Z2713" s="14"/>
      <c r="AA2713" s="14"/>
      <c r="AB2713" s="14"/>
      <c r="AC2713" s="15">
        <v>38.65</v>
      </c>
      <c r="AD2713" s="15">
        <f>AC2713*AG2713</f>
        <v>77.3</v>
      </c>
      <c r="AE2713" s="15">
        <v>85</v>
      </c>
      <c r="AF2713" s="15">
        <f>AE2713*AG2713</f>
        <v>170</v>
      </c>
      <c r="AG2713" s="16">
        <v>2</v>
      </c>
    </row>
    <row r="2714" spans="1:33" ht="15" customHeight="1" x14ac:dyDescent="0.2">
      <c r="A2714" s="11" t="str">
        <f t="shared" ref="A2714:A4478" si="1092">HYPERLINK("https://assets.vans.eu/images/VN000D9YBGK-HERO/1","VN000D9YBGK1")</f>
        <v>VN000D9YBGK1</v>
      </c>
      <c r="B2714" s="12" t="s">
        <v>9955</v>
      </c>
      <c r="C2714" s="12" t="s">
        <v>34</v>
      </c>
      <c r="D2714" s="12" t="s">
        <v>4850</v>
      </c>
      <c r="E2714" s="12" t="s">
        <v>9956</v>
      </c>
      <c r="F2714" s="13">
        <v>65</v>
      </c>
      <c r="G2714" s="14"/>
      <c r="H2714" s="12" t="s">
        <v>38</v>
      </c>
      <c r="I2714" s="12" t="s">
        <v>159</v>
      </c>
      <c r="J2714" s="12" t="s">
        <v>160</v>
      </c>
      <c r="K2714" s="12" t="s">
        <v>82</v>
      </c>
      <c r="L2714" s="14"/>
      <c r="M2714" s="12" t="s">
        <v>43</v>
      </c>
      <c r="N2714" s="12" t="s">
        <v>84</v>
      </c>
      <c r="O2714" s="12" t="s">
        <v>9957</v>
      </c>
      <c r="P2714" s="12" t="s">
        <v>46</v>
      </c>
      <c r="Q2714" s="12" t="s">
        <v>47</v>
      </c>
      <c r="R2714" s="12" t="s">
        <v>163</v>
      </c>
      <c r="S2714" s="13">
        <v>197804550715</v>
      </c>
      <c r="T2714" s="12" t="s">
        <v>49</v>
      </c>
      <c r="U2714" s="13">
        <v>38.5</v>
      </c>
      <c r="V2714" s="12" t="s">
        <v>50</v>
      </c>
      <c r="W2714" s="12" t="s">
        <v>118</v>
      </c>
      <c r="X2714" s="14"/>
      <c r="Y2714" s="14"/>
      <c r="Z2714" s="14"/>
      <c r="AA2714" s="14"/>
      <c r="AB2714" s="14"/>
      <c r="AC2714" s="15">
        <v>45.5</v>
      </c>
      <c r="AD2714" s="15">
        <f>AC2714*AG2714</f>
        <v>91</v>
      </c>
      <c r="AE2714" s="15">
        <v>100</v>
      </c>
      <c r="AF2714" s="15">
        <f>AE2714*AG2714</f>
        <v>200</v>
      </c>
      <c r="AG2714" s="16">
        <v>2</v>
      </c>
    </row>
    <row r="2715" spans="1:33" ht="15" customHeight="1" x14ac:dyDescent="0.2">
      <c r="A2715" s="11" t="str">
        <f t="shared" ref="A2715:A4486" si="1093">HYPERLINK("https://assets.vans.eu/images/VN000D9YBX9-HERO/1","VN000D9YBX91")</f>
        <v>VN000D9YBX91</v>
      </c>
      <c r="B2715" s="12" t="s">
        <v>9958</v>
      </c>
      <c r="C2715" s="12" t="s">
        <v>34</v>
      </c>
      <c r="D2715" s="12" t="s">
        <v>9959</v>
      </c>
      <c r="E2715" s="12" t="s">
        <v>9960</v>
      </c>
      <c r="F2715" s="13">
        <v>90</v>
      </c>
      <c r="G2715" s="12" t="s">
        <v>4948</v>
      </c>
      <c r="H2715" s="12" t="s">
        <v>38</v>
      </c>
      <c r="I2715" s="12" t="s">
        <v>159</v>
      </c>
      <c r="J2715" s="12" t="s">
        <v>160</v>
      </c>
      <c r="K2715" s="12" t="s">
        <v>82</v>
      </c>
      <c r="L2715" s="14"/>
      <c r="M2715" s="12" t="s">
        <v>43</v>
      </c>
      <c r="N2715" s="12" t="s">
        <v>84</v>
      </c>
      <c r="O2715" s="12" t="s">
        <v>9961</v>
      </c>
      <c r="P2715" s="12" t="s">
        <v>46</v>
      </c>
      <c r="Q2715" s="12" t="s">
        <v>47</v>
      </c>
      <c r="R2715" s="12" t="s">
        <v>163</v>
      </c>
      <c r="S2715" s="13">
        <v>197804551446</v>
      </c>
      <c r="T2715" s="12" t="s">
        <v>105</v>
      </c>
      <c r="U2715" s="13">
        <v>42</v>
      </c>
      <c r="V2715" s="12" t="s">
        <v>50</v>
      </c>
      <c r="W2715" s="12" t="s">
        <v>284</v>
      </c>
      <c r="X2715" s="14"/>
      <c r="Y2715" s="14"/>
      <c r="Z2715" s="14"/>
      <c r="AA2715" s="14"/>
      <c r="AB2715" s="14"/>
      <c r="AC2715" s="15">
        <v>43.2</v>
      </c>
      <c r="AD2715" s="15">
        <f>AC2715*AG2715</f>
        <v>86.4</v>
      </c>
      <c r="AE2715" s="15">
        <v>95</v>
      </c>
      <c r="AF2715" s="15">
        <f>AE2715*AG2715</f>
        <v>190</v>
      </c>
      <c r="AG2715" s="16">
        <v>2</v>
      </c>
    </row>
    <row r="2716" spans="1:33" ht="15" customHeight="1" x14ac:dyDescent="0.2">
      <c r="A2716" s="11" t="str">
        <f t="shared" ref="A2716:A4487" si="1094">HYPERLINK("https://assets.vans.eu/images/VN000D9YRV2-HERO/1","VN000D9YRV21")</f>
        <v>VN000D9YRV21</v>
      </c>
      <c r="B2716" s="12" t="s">
        <v>9962</v>
      </c>
      <c r="C2716" s="12" t="s">
        <v>34</v>
      </c>
      <c r="D2716" s="12" t="s">
        <v>1428</v>
      </c>
      <c r="E2716" s="12" t="s">
        <v>9963</v>
      </c>
      <c r="F2716" s="13">
        <v>60</v>
      </c>
      <c r="G2716" s="14"/>
      <c r="H2716" s="12" t="s">
        <v>38</v>
      </c>
      <c r="I2716" s="12" t="s">
        <v>159</v>
      </c>
      <c r="J2716" s="12" t="s">
        <v>160</v>
      </c>
      <c r="K2716" s="12" t="s">
        <v>82</v>
      </c>
      <c r="L2716" s="14"/>
      <c r="M2716" s="12" t="s">
        <v>43</v>
      </c>
      <c r="N2716" s="12" t="s">
        <v>84</v>
      </c>
      <c r="O2716" s="12" t="s">
        <v>9964</v>
      </c>
      <c r="P2716" s="12" t="s">
        <v>46</v>
      </c>
      <c r="Q2716" s="12" t="s">
        <v>47</v>
      </c>
      <c r="R2716" s="12" t="s">
        <v>163</v>
      </c>
      <c r="S2716" s="13">
        <v>197804551231</v>
      </c>
      <c r="T2716" s="12" t="s">
        <v>164</v>
      </c>
      <c r="U2716" s="13">
        <v>38</v>
      </c>
      <c r="V2716" s="12" t="s">
        <v>50</v>
      </c>
      <c r="W2716" s="12" t="s">
        <v>51</v>
      </c>
      <c r="X2716" s="14"/>
      <c r="Y2716" s="14"/>
      <c r="Z2716" s="14"/>
      <c r="AA2716" s="14"/>
      <c r="AB2716" s="14"/>
      <c r="AC2716" s="15">
        <v>38.65</v>
      </c>
      <c r="AD2716" s="15">
        <f>AC2716*AG2716</f>
        <v>77.3</v>
      </c>
      <c r="AE2716" s="15">
        <v>85</v>
      </c>
      <c r="AF2716" s="15">
        <f>AE2716*AG2716</f>
        <v>170</v>
      </c>
      <c r="AG2716" s="16">
        <v>2</v>
      </c>
    </row>
    <row r="2717" spans="1:33" ht="15" customHeight="1" x14ac:dyDescent="0.2">
      <c r="A2717" s="11" t="str">
        <f t="shared" ref="A2717:A2719" si="1095">HYPERLINK("https://assets.vans.eu/images/VN000D9YTUP-HERO/1","VN000D9YTUP1")</f>
        <v>VN000D9YTUP1</v>
      </c>
      <c r="B2717" s="12" t="s">
        <v>9965</v>
      </c>
      <c r="C2717" s="12" t="s">
        <v>34</v>
      </c>
      <c r="D2717" s="12" t="s">
        <v>576</v>
      </c>
      <c r="E2717" s="12" t="s">
        <v>9966</v>
      </c>
      <c r="F2717" s="13">
        <v>35</v>
      </c>
      <c r="G2717" s="12" t="s">
        <v>4912</v>
      </c>
      <c r="H2717" s="12" t="s">
        <v>38</v>
      </c>
      <c r="I2717" s="12" t="s">
        <v>159</v>
      </c>
      <c r="J2717" s="12" t="s">
        <v>160</v>
      </c>
      <c r="K2717" s="12" t="s">
        <v>82</v>
      </c>
      <c r="L2717" s="14"/>
      <c r="M2717" s="12" t="s">
        <v>43</v>
      </c>
      <c r="N2717" s="12" t="s">
        <v>84</v>
      </c>
      <c r="O2717" s="12" t="s">
        <v>9967</v>
      </c>
      <c r="P2717" s="12" t="s">
        <v>46</v>
      </c>
      <c r="Q2717" s="12" t="s">
        <v>47</v>
      </c>
      <c r="R2717" s="12" t="s">
        <v>163</v>
      </c>
      <c r="S2717" s="13">
        <v>197804550814</v>
      </c>
      <c r="T2717" s="12" t="s">
        <v>49</v>
      </c>
      <c r="U2717" s="13">
        <v>34.5</v>
      </c>
      <c r="V2717" s="12" t="s">
        <v>50</v>
      </c>
      <c r="W2717" s="12" t="s">
        <v>580</v>
      </c>
      <c r="X2717" s="14"/>
      <c r="Y2717" s="14"/>
      <c r="Z2717" s="14"/>
      <c r="AA2717" s="14"/>
      <c r="AB2717" s="14"/>
      <c r="AC2717" s="15">
        <v>43.2</v>
      </c>
      <c r="AD2717" s="15">
        <f>AC2717*AG2717</f>
        <v>86.4</v>
      </c>
      <c r="AE2717" s="15">
        <v>95</v>
      </c>
      <c r="AF2717" s="15">
        <f>AE2717*AG2717</f>
        <v>190</v>
      </c>
      <c r="AG2717" s="16">
        <v>2</v>
      </c>
    </row>
    <row r="2718" spans="1:33" ht="15" customHeight="1" x14ac:dyDescent="0.2">
      <c r="A2718" s="11" t="str">
        <f t="shared" si="1095"/>
        <v>VN000D9YTUP1</v>
      </c>
      <c r="B2718" s="12" t="s">
        <v>9968</v>
      </c>
      <c r="C2718" s="12" t="s">
        <v>34</v>
      </c>
      <c r="D2718" s="12" t="s">
        <v>576</v>
      </c>
      <c r="E2718" s="12" t="s">
        <v>9969</v>
      </c>
      <c r="F2718" s="13">
        <v>75</v>
      </c>
      <c r="G2718" s="12" t="s">
        <v>4912</v>
      </c>
      <c r="H2718" s="12" t="s">
        <v>38</v>
      </c>
      <c r="I2718" s="12" t="s">
        <v>159</v>
      </c>
      <c r="J2718" s="12" t="s">
        <v>160</v>
      </c>
      <c r="K2718" s="12" t="s">
        <v>82</v>
      </c>
      <c r="L2718" s="14"/>
      <c r="M2718" s="12" t="s">
        <v>43</v>
      </c>
      <c r="N2718" s="12" t="s">
        <v>84</v>
      </c>
      <c r="O2718" s="12" t="s">
        <v>9970</v>
      </c>
      <c r="P2718" s="12" t="s">
        <v>46</v>
      </c>
      <c r="Q2718" s="12" t="s">
        <v>47</v>
      </c>
      <c r="R2718" s="12" t="s">
        <v>163</v>
      </c>
      <c r="S2718" s="13">
        <v>197804551859</v>
      </c>
      <c r="T2718" s="12" t="s">
        <v>49</v>
      </c>
      <c r="U2718" s="13">
        <v>40</v>
      </c>
      <c r="V2718" s="12" t="s">
        <v>50</v>
      </c>
      <c r="W2718" s="12" t="s">
        <v>580</v>
      </c>
      <c r="X2718" s="14"/>
      <c r="Y2718" s="14"/>
      <c r="Z2718" s="14"/>
      <c r="AA2718" s="14"/>
      <c r="AB2718" s="14"/>
      <c r="AC2718" s="15">
        <v>43.2</v>
      </c>
      <c r="AD2718" s="15">
        <f>AC2718*AG2718</f>
        <v>86.4</v>
      </c>
      <c r="AE2718" s="15">
        <v>95</v>
      </c>
      <c r="AF2718" s="15">
        <f>AE2718*AG2718</f>
        <v>190</v>
      </c>
      <c r="AG2718" s="16">
        <v>2</v>
      </c>
    </row>
    <row r="2719" spans="1:33" ht="15" customHeight="1" x14ac:dyDescent="0.2">
      <c r="A2719" s="11" t="str">
        <f t="shared" si="1095"/>
        <v>VN000D9YTUP1</v>
      </c>
      <c r="B2719" s="12" t="s">
        <v>9971</v>
      </c>
      <c r="C2719" s="12" t="s">
        <v>34</v>
      </c>
      <c r="D2719" s="12" t="s">
        <v>576</v>
      </c>
      <c r="E2719" s="12" t="s">
        <v>9972</v>
      </c>
      <c r="F2719" s="13">
        <v>80</v>
      </c>
      <c r="G2719" s="12" t="s">
        <v>4912</v>
      </c>
      <c r="H2719" s="12" t="s">
        <v>38</v>
      </c>
      <c r="I2719" s="12" t="s">
        <v>159</v>
      </c>
      <c r="J2719" s="12" t="s">
        <v>160</v>
      </c>
      <c r="K2719" s="12" t="s">
        <v>82</v>
      </c>
      <c r="L2719" s="14"/>
      <c r="M2719" s="12" t="s">
        <v>43</v>
      </c>
      <c r="N2719" s="12" t="s">
        <v>84</v>
      </c>
      <c r="O2719" s="12" t="s">
        <v>9973</v>
      </c>
      <c r="P2719" s="12" t="s">
        <v>46</v>
      </c>
      <c r="Q2719" s="12" t="s">
        <v>47</v>
      </c>
      <c r="R2719" s="12" t="s">
        <v>163</v>
      </c>
      <c r="S2719" s="13">
        <v>197804552085</v>
      </c>
      <c r="T2719" s="12" t="s">
        <v>49</v>
      </c>
      <c r="U2719" s="13">
        <v>40.5</v>
      </c>
      <c r="V2719" s="12" t="s">
        <v>50</v>
      </c>
      <c r="W2719" s="12" t="s">
        <v>580</v>
      </c>
      <c r="X2719" s="14"/>
      <c r="Y2719" s="14"/>
      <c r="Z2719" s="14"/>
      <c r="AA2719" s="14"/>
      <c r="AB2719" s="14"/>
      <c r="AC2719" s="15">
        <v>43.2</v>
      </c>
      <c r="AD2719" s="15">
        <f>AC2719*AG2719</f>
        <v>86.4</v>
      </c>
      <c r="AE2719" s="15">
        <v>95</v>
      </c>
      <c r="AF2719" s="15">
        <f>AE2719*AG2719</f>
        <v>190</v>
      </c>
      <c r="AG2719" s="16">
        <v>2</v>
      </c>
    </row>
    <row r="2720" spans="1:33" ht="15" customHeight="1" x14ac:dyDescent="0.2">
      <c r="A2720" s="11" t="str">
        <f t="shared" ref="A2720:A2721" si="1096">HYPERLINK("https://assets.vans.eu/images/VN000D9ZKOU-HERO/1","VN000D9ZKOU1")</f>
        <v>VN000D9ZKOU1</v>
      </c>
      <c r="B2720" s="12" t="s">
        <v>9974</v>
      </c>
      <c r="C2720" s="12" t="s">
        <v>9975</v>
      </c>
      <c r="D2720" s="12" t="s">
        <v>4469</v>
      </c>
      <c r="E2720" s="12" t="s">
        <v>9976</v>
      </c>
      <c r="F2720" s="13">
        <v>90</v>
      </c>
      <c r="G2720" s="14"/>
      <c r="H2720" s="12" t="s">
        <v>38</v>
      </c>
      <c r="I2720" s="12" t="s">
        <v>159</v>
      </c>
      <c r="J2720" s="12" t="s">
        <v>341</v>
      </c>
      <c r="K2720" s="12" t="s">
        <v>199</v>
      </c>
      <c r="L2720" s="14"/>
      <c r="M2720" s="12" t="s">
        <v>43</v>
      </c>
      <c r="N2720" s="12" t="s">
        <v>84</v>
      </c>
      <c r="O2720" s="12" t="s">
        <v>9977</v>
      </c>
      <c r="P2720" s="12" t="s">
        <v>46</v>
      </c>
      <c r="Q2720" s="12" t="s">
        <v>47</v>
      </c>
      <c r="R2720" s="12" t="s">
        <v>343</v>
      </c>
      <c r="S2720" s="13">
        <v>197804552986</v>
      </c>
      <c r="T2720" s="12" t="s">
        <v>49</v>
      </c>
      <c r="U2720" s="13">
        <v>42</v>
      </c>
      <c r="V2720" s="12" t="s">
        <v>50</v>
      </c>
      <c r="W2720" s="12" t="s">
        <v>51</v>
      </c>
      <c r="X2720" s="14"/>
      <c r="Y2720" s="14"/>
      <c r="Z2720" s="14"/>
      <c r="AA2720" s="14"/>
      <c r="AB2720" s="14"/>
      <c r="AC2720" s="15">
        <v>45.5</v>
      </c>
      <c r="AD2720" s="15">
        <f>AC2720*AG2720</f>
        <v>91</v>
      </c>
      <c r="AE2720" s="15">
        <v>100</v>
      </c>
      <c r="AF2720" s="15">
        <f>AE2720*AG2720</f>
        <v>200</v>
      </c>
      <c r="AG2720" s="16">
        <v>2</v>
      </c>
    </row>
    <row r="2721" spans="1:33" ht="15" customHeight="1" x14ac:dyDescent="0.2">
      <c r="A2721" s="11" t="str">
        <f t="shared" si="1096"/>
        <v>VN000D9ZKOU1</v>
      </c>
      <c r="B2721" s="12" t="s">
        <v>9978</v>
      </c>
      <c r="C2721" s="12" t="s">
        <v>9975</v>
      </c>
      <c r="D2721" s="12" t="s">
        <v>4469</v>
      </c>
      <c r="E2721" s="12" t="s">
        <v>9979</v>
      </c>
      <c r="F2721" s="13">
        <v>100</v>
      </c>
      <c r="G2721" s="14"/>
      <c r="H2721" s="12" t="s">
        <v>38</v>
      </c>
      <c r="I2721" s="12" t="s">
        <v>159</v>
      </c>
      <c r="J2721" s="12" t="s">
        <v>341</v>
      </c>
      <c r="K2721" s="12" t="s">
        <v>199</v>
      </c>
      <c r="L2721" s="14"/>
      <c r="M2721" s="12" t="s">
        <v>43</v>
      </c>
      <c r="N2721" s="12" t="s">
        <v>84</v>
      </c>
      <c r="O2721" s="12" t="s">
        <v>9980</v>
      </c>
      <c r="P2721" s="12" t="s">
        <v>46</v>
      </c>
      <c r="Q2721" s="12" t="s">
        <v>47</v>
      </c>
      <c r="R2721" s="12" t="s">
        <v>343</v>
      </c>
      <c r="S2721" s="13">
        <v>197804553297</v>
      </c>
      <c r="T2721" s="12" t="s">
        <v>49</v>
      </c>
      <c r="U2721" s="13">
        <v>43</v>
      </c>
      <c r="V2721" s="12" t="s">
        <v>50</v>
      </c>
      <c r="W2721" s="12" t="s">
        <v>51</v>
      </c>
      <c r="X2721" s="14"/>
      <c r="Y2721" s="14"/>
      <c r="Z2721" s="14"/>
      <c r="AA2721" s="14"/>
      <c r="AB2721" s="14"/>
      <c r="AC2721" s="15">
        <v>45.5</v>
      </c>
      <c r="AD2721" s="15">
        <f>AC2721*AG2721</f>
        <v>91</v>
      </c>
      <c r="AE2721" s="15">
        <v>100</v>
      </c>
      <c r="AF2721" s="15">
        <f>AE2721*AG2721</f>
        <v>200</v>
      </c>
      <c r="AG2721" s="16">
        <v>2</v>
      </c>
    </row>
    <row r="2722" spans="1:33" ht="15" customHeight="1" x14ac:dyDescent="0.2">
      <c r="A2722" s="11" t="str">
        <f t="shared" ref="A2722:A2723" si="1097">HYPERLINK("https://assets.vans.eu/images/VN000D9ZYB2-HERO/1","VN000D9ZYB21")</f>
        <v>VN000D9ZYB21</v>
      </c>
      <c r="B2722" s="12" t="s">
        <v>9981</v>
      </c>
      <c r="C2722" s="12" t="s">
        <v>9975</v>
      </c>
      <c r="D2722" s="12" t="s">
        <v>1138</v>
      </c>
      <c r="E2722" s="12" t="s">
        <v>9982</v>
      </c>
      <c r="F2722" s="13">
        <v>35</v>
      </c>
      <c r="G2722" s="14"/>
      <c r="H2722" s="12" t="s">
        <v>38</v>
      </c>
      <c r="I2722" s="12" t="s">
        <v>159</v>
      </c>
      <c r="J2722" s="12" t="s">
        <v>341</v>
      </c>
      <c r="K2722" s="12" t="s">
        <v>199</v>
      </c>
      <c r="L2722" s="14"/>
      <c r="M2722" s="12" t="s">
        <v>43</v>
      </c>
      <c r="N2722" s="12" t="s">
        <v>84</v>
      </c>
      <c r="O2722" s="12" t="s">
        <v>9983</v>
      </c>
      <c r="P2722" s="12" t="s">
        <v>46</v>
      </c>
      <c r="Q2722" s="12" t="s">
        <v>47</v>
      </c>
      <c r="R2722" s="12" t="s">
        <v>343</v>
      </c>
      <c r="S2722" s="13">
        <v>197804551927</v>
      </c>
      <c r="T2722" s="12" t="s">
        <v>49</v>
      </c>
      <c r="U2722" s="13">
        <v>34.5</v>
      </c>
      <c r="V2722" s="12" t="s">
        <v>50</v>
      </c>
      <c r="W2722" s="12" t="s">
        <v>175</v>
      </c>
      <c r="X2722" s="14"/>
      <c r="Y2722" s="14"/>
      <c r="Z2722" s="14"/>
      <c r="AA2722" s="14"/>
      <c r="AB2722" s="14"/>
      <c r="AC2722" s="15">
        <v>45.5</v>
      </c>
      <c r="AD2722" s="15">
        <f>AC2722*AG2722</f>
        <v>91</v>
      </c>
      <c r="AE2722" s="15">
        <v>100</v>
      </c>
      <c r="AF2722" s="15">
        <f>AE2722*AG2722</f>
        <v>200</v>
      </c>
      <c r="AG2722" s="16">
        <v>2</v>
      </c>
    </row>
    <row r="2723" spans="1:33" ht="15" customHeight="1" x14ac:dyDescent="0.2">
      <c r="A2723" s="11" t="str">
        <f t="shared" si="1097"/>
        <v>VN000D9ZYB21</v>
      </c>
      <c r="B2723" s="12" t="s">
        <v>9984</v>
      </c>
      <c r="C2723" s="12" t="s">
        <v>9975</v>
      </c>
      <c r="D2723" s="12" t="s">
        <v>1138</v>
      </c>
      <c r="E2723" s="12" t="s">
        <v>9985</v>
      </c>
      <c r="F2723" s="13">
        <v>80</v>
      </c>
      <c r="G2723" s="14"/>
      <c r="H2723" s="12" t="s">
        <v>38</v>
      </c>
      <c r="I2723" s="12" t="s">
        <v>159</v>
      </c>
      <c r="J2723" s="12" t="s">
        <v>341</v>
      </c>
      <c r="K2723" s="12" t="s">
        <v>199</v>
      </c>
      <c r="L2723" s="14"/>
      <c r="M2723" s="12" t="s">
        <v>43</v>
      </c>
      <c r="N2723" s="12" t="s">
        <v>84</v>
      </c>
      <c r="O2723" s="12" t="s">
        <v>9986</v>
      </c>
      <c r="P2723" s="12" t="s">
        <v>46</v>
      </c>
      <c r="Q2723" s="12" t="s">
        <v>47</v>
      </c>
      <c r="R2723" s="12" t="s">
        <v>343</v>
      </c>
      <c r="S2723" s="13">
        <v>197804553129</v>
      </c>
      <c r="T2723" s="12" t="s">
        <v>49</v>
      </c>
      <c r="U2723" s="13">
        <v>40.5</v>
      </c>
      <c r="V2723" s="12" t="s">
        <v>50</v>
      </c>
      <c r="W2723" s="12" t="s">
        <v>175</v>
      </c>
      <c r="X2723" s="14"/>
      <c r="Y2723" s="14"/>
      <c r="Z2723" s="14"/>
      <c r="AA2723" s="14"/>
      <c r="AB2723" s="14"/>
      <c r="AC2723" s="15">
        <v>45.5</v>
      </c>
      <c r="AD2723" s="15">
        <f>AC2723*AG2723</f>
        <v>91</v>
      </c>
      <c r="AE2723" s="15">
        <v>100</v>
      </c>
      <c r="AF2723" s="15">
        <f>AE2723*AG2723</f>
        <v>200</v>
      </c>
      <c r="AG2723" s="16">
        <v>2</v>
      </c>
    </row>
    <row r="2724" spans="1:33" ht="15" customHeight="1" x14ac:dyDescent="0.2">
      <c r="A2724" s="11" t="str">
        <f t="shared" ref="A2724:A2726" si="1098">HYPERLINK("https://assets.vans.eu/images/VN000DA18DX-HERO/1","VN000DA18DX1")</f>
        <v>VN000DA18DX1</v>
      </c>
      <c r="B2724" s="12" t="s">
        <v>9987</v>
      </c>
      <c r="C2724" s="12" t="s">
        <v>5946</v>
      </c>
      <c r="D2724" s="12" t="s">
        <v>9988</v>
      </c>
      <c r="E2724" s="12" t="s">
        <v>9989</v>
      </c>
      <c r="F2724" s="13">
        <v>40</v>
      </c>
      <c r="G2724" s="12" t="s">
        <v>5949</v>
      </c>
      <c r="H2724" s="12" t="s">
        <v>38</v>
      </c>
      <c r="I2724" s="12" t="s">
        <v>159</v>
      </c>
      <c r="J2724" s="12" t="s">
        <v>341</v>
      </c>
      <c r="K2724" s="12" t="s">
        <v>199</v>
      </c>
      <c r="L2724" s="14"/>
      <c r="M2724" s="12" t="s">
        <v>43</v>
      </c>
      <c r="N2724" s="12" t="s">
        <v>84</v>
      </c>
      <c r="O2724" s="12" t="s">
        <v>9990</v>
      </c>
      <c r="P2724" s="12" t="s">
        <v>46</v>
      </c>
      <c r="Q2724" s="12" t="s">
        <v>47</v>
      </c>
      <c r="R2724" s="12" t="s">
        <v>163</v>
      </c>
      <c r="S2724" s="13">
        <v>197804552177</v>
      </c>
      <c r="T2724" s="12" t="s">
        <v>49</v>
      </c>
      <c r="U2724" s="13">
        <v>35</v>
      </c>
      <c r="V2724" s="12" t="s">
        <v>50</v>
      </c>
      <c r="W2724" s="12" t="s">
        <v>284</v>
      </c>
      <c r="X2724" s="14"/>
      <c r="Y2724" s="14"/>
      <c r="Z2724" s="14"/>
      <c r="AA2724" s="14"/>
      <c r="AB2724" s="14"/>
      <c r="AC2724" s="15">
        <v>54.55</v>
      </c>
      <c r="AD2724" s="15">
        <f>AC2724*AG2724</f>
        <v>109.1</v>
      </c>
      <c r="AE2724" s="15">
        <v>120</v>
      </c>
      <c r="AF2724" s="15">
        <f>AE2724*AG2724</f>
        <v>240</v>
      </c>
      <c r="AG2724" s="16">
        <v>2</v>
      </c>
    </row>
    <row r="2725" spans="1:33" ht="15" customHeight="1" x14ac:dyDescent="0.2">
      <c r="A2725" s="11" t="str">
        <f t="shared" si="1098"/>
        <v>VN000DA18DX1</v>
      </c>
      <c r="B2725" s="12" t="s">
        <v>9991</v>
      </c>
      <c r="C2725" s="12" t="s">
        <v>5946</v>
      </c>
      <c r="D2725" s="12" t="s">
        <v>9988</v>
      </c>
      <c r="E2725" s="12" t="s">
        <v>9992</v>
      </c>
      <c r="F2725" s="13">
        <v>65</v>
      </c>
      <c r="G2725" s="12" t="s">
        <v>5949</v>
      </c>
      <c r="H2725" s="12" t="s">
        <v>38</v>
      </c>
      <c r="I2725" s="12" t="s">
        <v>159</v>
      </c>
      <c r="J2725" s="12" t="s">
        <v>341</v>
      </c>
      <c r="K2725" s="12" t="s">
        <v>199</v>
      </c>
      <c r="L2725" s="14"/>
      <c r="M2725" s="12" t="s">
        <v>43</v>
      </c>
      <c r="N2725" s="12" t="s">
        <v>84</v>
      </c>
      <c r="O2725" s="12" t="s">
        <v>9993</v>
      </c>
      <c r="P2725" s="12" t="s">
        <v>46</v>
      </c>
      <c r="Q2725" s="12" t="s">
        <v>47</v>
      </c>
      <c r="R2725" s="12" t="s">
        <v>163</v>
      </c>
      <c r="S2725" s="13">
        <v>197804552979</v>
      </c>
      <c r="T2725" s="12" t="s">
        <v>49</v>
      </c>
      <c r="U2725" s="13">
        <v>38.5</v>
      </c>
      <c r="V2725" s="12" t="s">
        <v>50</v>
      </c>
      <c r="W2725" s="12" t="s">
        <v>284</v>
      </c>
      <c r="X2725" s="14"/>
      <c r="Y2725" s="14"/>
      <c r="Z2725" s="14"/>
      <c r="AA2725" s="14"/>
      <c r="AB2725" s="14"/>
      <c r="AC2725" s="15">
        <v>54.55</v>
      </c>
      <c r="AD2725" s="15">
        <f>AC2725*AG2725</f>
        <v>109.1</v>
      </c>
      <c r="AE2725" s="15">
        <v>120</v>
      </c>
      <c r="AF2725" s="15">
        <f>AE2725*AG2725</f>
        <v>240</v>
      </c>
      <c r="AG2725" s="16">
        <v>2</v>
      </c>
    </row>
    <row r="2726" spans="1:33" ht="15" customHeight="1" x14ac:dyDescent="0.2">
      <c r="A2726" s="11" t="str">
        <f t="shared" si="1098"/>
        <v>VN000DA18DX1</v>
      </c>
      <c r="B2726" s="12" t="s">
        <v>9994</v>
      </c>
      <c r="C2726" s="12" t="s">
        <v>5946</v>
      </c>
      <c r="D2726" s="12" t="s">
        <v>9988</v>
      </c>
      <c r="E2726" s="12" t="s">
        <v>9995</v>
      </c>
      <c r="F2726" s="13">
        <v>75</v>
      </c>
      <c r="G2726" s="12" t="s">
        <v>5949</v>
      </c>
      <c r="H2726" s="12" t="s">
        <v>38</v>
      </c>
      <c r="I2726" s="12" t="s">
        <v>159</v>
      </c>
      <c r="J2726" s="12" t="s">
        <v>341</v>
      </c>
      <c r="K2726" s="12" t="s">
        <v>199</v>
      </c>
      <c r="L2726" s="14"/>
      <c r="M2726" s="12" t="s">
        <v>43</v>
      </c>
      <c r="N2726" s="12" t="s">
        <v>84</v>
      </c>
      <c r="O2726" s="12" t="s">
        <v>9996</v>
      </c>
      <c r="P2726" s="12" t="s">
        <v>46</v>
      </c>
      <c r="Q2726" s="12" t="s">
        <v>47</v>
      </c>
      <c r="R2726" s="12" t="s">
        <v>163</v>
      </c>
      <c r="S2726" s="13">
        <v>197804553259</v>
      </c>
      <c r="T2726" s="12" t="s">
        <v>49</v>
      </c>
      <c r="U2726" s="13">
        <v>40</v>
      </c>
      <c r="V2726" s="12" t="s">
        <v>50</v>
      </c>
      <c r="W2726" s="12" t="s">
        <v>284</v>
      </c>
      <c r="X2726" s="14"/>
      <c r="Y2726" s="14"/>
      <c r="Z2726" s="14"/>
      <c r="AA2726" s="14"/>
      <c r="AB2726" s="14"/>
      <c r="AC2726" s="15">
        <v>54.55</v>
      </c>
      <c r="AD2726" s="15">
        <f>AC2726*AG2726</f>
        <v>109.1</v>
      </c>
      <c r="AE2726" s="15">
        <v>120</v>
      </c>
      <c r="AF2726" s="15">
        <f>AE2726*AG2726</f>
        <v>240</v>
      </c>
      <c r="AG2726" s="16">
        <v>2</v>
      </c>
    </row>
    <row r="2727" spans="1:33" ht="15" customHeight="1" x14ac:dyDescent="0.2">
      <c r="A2727" s="11" t="str">
        <f t="shared" si="814"/>
        <v>VN000DA1Z341</v>
      </c>
      <c r="B2727" s="12" t="s">
        <v>9997</v>
      </c>
      <c r="C2727" s="12" t="s">
        <v>5946</v>
      </c>
      <c r="D2727" s="12" t="s">
        <v>5947</v>
      </c>
      <c r="E2727" s="12" t="s">
        <v>9998</v>
      </c>
      <c r="F2727" s="13">
        <v>35</v>
      </c>
      <c r="G2727" s="12" t="s">
        <v>5949</v>
      </c>
      <c r="H2727" s="12" t="s">
        <v>38</v>
      </c>
      <c r="I2727" s="12" t="s">
        <v>159</v>
      </c>
      <c r="J2727" s="12" t="s">
        <v>341</v>
      </c>
      <c r="K2727" s="12" t="s">
        <v>199</v>
      </c>
      <c r="L2727" s="14"/>
      <c r="M2727" s="12" t="s">
        <v>43</v>
      </c>
      <c r="N2727" s="12" t="s">
        <v>84</v>
      </c>
      <c r="O2727" s="12" t="s">
        <v>9999</v>
      </c>
      <c r="P2727" s="12" t="s">
        <v>46</v>
      </c>
      <c r="Q2727" s="12" t="s">
        <v>47</v>
      </c>
      <c r="R2727" s="12" t="s">
        <v>163</v>
      </c>
      <c r="S2727" s="13">
        <v>197804553280</v>
      </c>
      <c r="T2727" s="12" t="s">
        <v>49</v>
      </c>
      <c r="U2727" s="13">
        <v>34.5</v>
      </c>
      <c r="V2727" s="12" t="s">
        <v>50</v>
      </c>
      <c r="W2727" s="12" t="s">
        <v>175</v>
      </c>
      <c r="X2727" s="14"/>
      <c r="Y2727" s="14"/>
      <c r="Z2727" s="14"/>
      <c r="AA2727" s="14"/>
      <c r="AB2727" s="14"/>
      <c r="AC2727" s="15">
        <v>54.55</v>
      </c>
      <c r="AD2727" s="15">
        <f>AC2727*AG2727</f>
        <v>109.1</v>
      </c>
      <c r="AE2727" s="15">
        <v>120</v>
      </c>
      <c r="AF2727" s="15">
        <f>AE2727*AG2727</f>
        <v>240</v>
      </c>
      <c r="AG2727" s="16">
        <v>2</v>
      </c>
    </row>
    <row r="2728" spans="1:33" ht="15" customHeight="1" x14ac:dyDescent="0.2">
      <c r="A2728" s="11" t="str">
        <f t="shared" ref="A2728:A2729" si="1099">HYPERLINK("https://assets.vans.eu/images/VN000DA2B9M-HERO/1","VN000DA2B9M1")</f>
        <v>VN000DA2B9M1</v>
      </c>
      <c r="B2728" s="12" t="s">
        <v>10000</v>
      </c>
      <c r="C2728" s="12" t="s">
        <v>3032</v>
      </c>
      <c r="D2728" s="12" t="s">
        <v>339</v>
      </c>
      <c r="E2728" s="12" t="s">
        <v>10001</v>
      </c>
      <c r="F2728" s="13">
        <v>35</v>
      </c>
      <c r="G2728" s="12" t="s">
        <v>5949</v>
      </c>
      <c r="H2728" s="12" t="s">
        <v>38</v>
      </c>
      <c r="I2728" s="12" t="s">
        <v>159</v>
      </c>
      <c r="J2728" s="12" t="s">
        <v>341</v>
      </c>
      <c r="K2728" s="12" t="s">
        <v>199</v>
      </c>
      <c r="L2728" s="14"/>
      <c r="M2728" s="12" t="s">
        <v>43</v>
      </c>
      <c r="N2728" s="12" t="s">
        <v>84</v>
      </c>
      <c r="O2728" s="12" t="s">
        <v>10002</v>
      </c>
      <c r="P2728" s="12" t="s">
        <v>46</v>
      </c>
      <c r="Q2728" s="12" t="s">
        <v>47</v>
      </c>
      <c r="R2728" s="12" t="s">
        <v>163</v>
      </c>
      <c r="S2728" s="13">
        <v>197804553976</v>
      </c>
      <c r="T2728" s="12" t="s">
        <v>105</v>
      </c>
      <c r="U2728" s="13">
        <v>34.5</v>
      </c>
      <c r="V2728" s="12" t="s">
        <v>50</v>
      </c>
      <c r="W2728" s="12" t="s">
        <v>51</v>
      </c>
      <c r="X2728" s="14"/>
      <c r="Y2728" s="14"/>
      <c r="Z2728" s="14"/>
      <c r="AA2728" s="14"/>
      <c r="AB2728" s="14"/>
      <c r="AC2728" s="15">
        <v>40.950000000000003</v>
      </c>
      <c r="AD2728" s="15">
        <f>AC2728*AG2728</f>
        <v>81.900000000000006</v>
      </c>
      <c r="AE2728" s="15">
        <v>90</v>
      </c>
      <c r="AF2728" s="15">
        <f>AE2728*AG2728</f>
        <v>180</v>
      </c>
      <c r="AG2728" s="16">
        <v>2</v>
      </c>
    </row>
    <row r="2729" spans="1:33" ht="15" customHeight="1" x14ac:dyDescent="0.2">
      <c r="A2729" s="11" t="str">
        <f t="shared" si="1099"/>
        <v>VN000DA2B9M1</v>
      </c>
      <c r="B2729" s="12" t="s">
        <v>10003</v>
      </c>
      <c r="C2729" s="12" t="s">
        <v>3032</v>
      </c>
      <c r="D2729" s="12" t="s">
        <v>339</v>
      </c>
      <c r="E2729" s="12" t="s">
        <v>10004</v>
      </c>
      <c r="F2729" s="13">
        <v>110</v>
      </c>
      <c r="G2729" s="12" t="s">
        <v>5949</v>
      </c>
      <c r="H2729" s="12" t="s">
        <v>38</v>
      </c>
      <c r="I2729" s="12" t="s">
        <v>159</v>
      </c>
      <c r="J2729" s="12" t="s">
        <v>341</v>
      </c>
      <c r="K2729" s="12" t="s">
        <v>199</v>
      </c>
      <c r="L2729" s="14"/>
      <c r="M2729" s="12" t="s">
        <v>43</v>
      </c>
      <c r="N2729" s="12" t="s">
        <v>84</v>
      </c>
      <c r="O2729" s="12" t="s">
        <v>10005</v>
      </c>
      <c r="P2729" s="12" t="s">
        <v>46</v>
      </c>
      <c r="Q2729" s="12" t="s">
        <v>47</v>
      </c>
      <c r="R2729" s="12" t="s">
        <v>163</v>
      </c>
      <c r="S2729" s="13">
        <v>197804555314</v>
      </c>
      <c r="T2729" s="12" t="s">
        <v>105</v>
      </c>
      <c r="U2729" s="13">
        <v>44.5</v>
      </c>
      <c r="V2729" s="12" t="s">
        <v>50</v>
      </c>
      <c r="W2729" s="12" t="s">
        <v>51</v>
      </c>
      <c r="X2729" s="14"/>
      <c r="Y2729" s="14"/>
      <c r="Z2729" s="14"/>
      <c r="AA2729" s="14"/>
      <c r="AB2729" s="14"/>
      <c r="AC2729" s="15">
        <v>40.950000000000003</v>
      </c>
      <c r="AD2729" s="15">
        <f>AC2729*AG2729</f>
        <v>81.900000000000006</v>
      </c>
      <c r="AE2729" s="15">
        <v>90</v>
      </c>
      <c r="AF2729" s="15">
        <f>AE2729*AG2729</f>
        <v>180</v>
      </c>
      <c r="AG2729" s="16">
        <v>2</v>
      </c>
    </row>
    <row r="2730" spans="1:33" ht="15" customHeight="1" x14ac:dyDescent="0.2">
      <c r="A2730" s="11" t="str">
        <f t="shared" si="816"/>
        <v>VN000DAH7UG1</v>
      </c>
      <c r="B2730" s="12" t="s">
        <v>10006</v>
      </c>
      <c r="C2730" s="12" t="s">
        <v>3586</v>
      </c>
      <c r="D2730" s="12" t="s">
        <v>333</v>
      </c>
      <c r="E2730" s="12" t="s">
        <v>10007</v>
      </c>
      <c r="F2730" s="13">
        <v>55</v>
      </c>
      <c r="G2730" s="12" t="s">
        <v>7407</v>
      </c>
      <c r="H2730" s="12" t="s">
        <v>38</v>
      </c>
      <c r="I2730" s="12" t="s">
        <v>159</v>
      </c>
      <c r="J2730" s="12" t="s">
        <v>160</v>
      </c>
      <c r="K2730" s="12" t="s">
        <v>82</v>
      </c>
      <c r="L2730" s="14"/>
      <c r="M2730" s="12" t="s">
        <v>43</v>
      </c>
      <c r="N2730" s="12" t="s">
        <v>84</v>
      </c>
      <c r="O2730" s="12" t="s">
        <v>10008</v>
      </c>
      <c r="P2730" s="12" t="s">
        <v>46</v>
      </c>
      <c r="Q2730" s="12" t="s">
        <v>47</v>
      </c>
      <c r="R2730" s="12" t="s">
        <v>163</v>
      </c>
      <c r="S2730" s="13">
        <v>197804481910</v>
      </c>
      <c r="T2730" s="12" t="s">
        <v>164</v>
      </c>
      <c r="U2730" s="13">
        <v>37</v>
      </c>
      <c r="V2730" s="12" t="s">
        <v>375</v>
      </c>
      <c r="W2730" s="12" t="s">
        <v>186</v>
      </c>
      <c r="X2730" s="14"/>
      <c r="Y2730" s="14"/>
      <c r="Z2730" s="14"/>
      <c r="AA2730" s="14"/>
      <c r="AB2730" s="14"/>
      <c r="AC2730" s="15">
        <v>36.4</v>
      </c>
      <c r="AD2730" s="15">
        <f>AC2730*AG2730</f>
        <v>72.8</v>
      </c>
      <c r="AE2730" s="15">
        <v>80</v>
      </c>
      <c r="AF2730" s="15">
        <f>AE2730*AG2730</f>
        <v>160</v>
      </c>
      <c r="AG2730" s="16">
        <v>2</v>
      </c>
    </row>
    <row r="2731" spans="1:33" ht="15" customHeight="1" x14ac:dyDescent="0.2">
      <c r="A2731" s="11" t="str">
        <f t="shared" ref="A2731:A2733" si="1100">HYPERLINK("https://assets.vans.eu/images/VN000DAHRV2-HERO/1","VN000DAHRV21")</f>
        <v>VN000DAHRV21</v>
      </c>
      <c r="B2731" s="12" t="s">
        <v>10009</v>
      </c>
      <c r="C2731" s="12" t="s">
        <v>3586</v>
      </c>
      <c r="D2731" s="12" t="s">
        <v>1428</v>
      </c>
      <c r="E2731" s="12" t="s">
        <v>10010</v>
      </c>
      <c r="F2731" s="13">
        <v>45</v>
      </c>
      <c r="G2731" s="12" t="s">
        <v>2273</v>
      </c>
      <c r="H2731" s="12" t="s">
        <v>38</v>
      </c>
      <c r="I2731" s="12" t="s">
        <v>159</v>
      </c>
      <c r="J2731" s="12" t="s">
        <v>160</v>
      </c>
      <c r="K2731" s="12" t="s">
        <v>82</v>
      </c>
      <c r="L2731" s="14"/>
      <c r="M2731" s="12" t="s">
        <v>43</v>
      </c>
      <c r="N2731" s="12" t="s">
        <v>84</v>
      </c>
      <c r="O2731" s="12" t="s">
        <v>10011</v>
      </c>
      <c r="P2731" s="12" t="s">
        <v>46</v>
      </c>
      <c r="Q2731" s="12" t="s">
        <v>47</v>
      </c>
      <c r="R2731" s="12" t="s">
        <v>163</v>
      </c>
      <c r="S2731" s="13">
        <v>197804483310</v>
      </c>
      <c r="T2731" s="12" t="s">
        <v>164</v>
      </c>
      <c r="U2731" s="13">
        <v>36</v>
      </c>
      <c r="V2731" s="12" t="s">
        <v>375</v>
      </c>
      <c r="W2731" s="12" t="s">
        <v>51</v>
      </c>
      <c r="X2731" s="14"/>
      <c r="Y2731" s="14"/>
      <c r="Z2731" s="14"/>
      <c r="AA2731" s="14"/>
      <c r="AB2731" s="14"/>
      <c r="AC2731" s="15">
        <v>36.4</v>
      </c>
      <c r="AD2731" s="15">
        <f>AC2731*AG2731</f>
        <v>72.8</v>
      </c>
      <c r="AE2731" s="15">
        <v>80</v>
      </c>
      <c r="AF2731" s="15">
        <f>AE2731*AG2731</f>
        <v>160</v>
      </c>
      <c r="AG2731" s="16">
        <v>2</v>
      </c>
    </row>
    <row r="2732" spans="1:33" ht="15" customHeight="1" x14ac:dyDescent="0.2">
      <c r="A2732" s="11" t="str">
        <f t="shared" si="1100"/>
        <v>VN000DAHRV21</v>
      </c>
      <c r="B2732" s="12" t="s">
        <v>10012</v>
      </c>
      <c r="C2732" s="12" t="s">
        <v>3586</v>
      </c>
      <c r="D2732" s="12" t="s">
        <v>1428</v>
      </c>
      <c r="E2732" s="12" t="s">
        <v>10013</v>
      </c>
      <c r="F2732" s="13">
        <v>55</v>
      </c>
      <c r="G2732" s="12" t="s">
        <v>2273</v>
      </c>
      <c r="H2732" s="12" t="s">
        <v>38</v>
      </c>
      <c r="I2732" s="12" t="s">
        <v>159</v>
      </c>
      <c r="J2732" s="12" t="s">
        <v>160</v>
      </c>
      <c r="K2732" s="12" t="s">
        <v>82</v>
      </c>
      <c r="L2732" s="14"/>
      <c r="M2732" s="12" t="s">
        <v>43</v>
      </c>
      <c r="N2732" s="12" t="s">
        <v>84</v>
      </c>
      <c r="O2732" s="12" t="s">
        <v>10014</v>
      </c>
      <c r="P2732" s="12" t="s">
        <v>46</v>
      </c>
      <c r="Q2732" s="12" t="s">
        <v>47</v>
      </c>
      <c r="R2732" s="12" t="s">
        <v>163</v>
      </c>
      <c r="S2732" s="13">
        <v>197804483501</v>
      </c>
      <c r="T2732" s="12" t="s">
        <v>164</v>
      </c>
      <c r="U2732" s="13">
        <v>37</v>
      </c>
      <c r="V2732" s="12" t="s">
        <v>375</v>
      </c>
      <c r="W2732" s="12" t="s">
        <v>51</v>
      </c>
      <c r="X2732" s="14"/>
      <c r="Y2732" s="14"/>
      <c r="Z2732" s="14"/>
      <c r="AA2732" s="14"/>
      <c r="AB2732" s="14"/>
      <c r="AC2732" s="15">
        <v>36.4</v>
      </c>
      <c r="AD2732" s="15">
        <f>AC2732*AG2732</f>
        <v>72.8</v>
      </c>
      <c r="AE2732" s="15">
        <v>80</v>
      </c>
      <c r="AF2732" s="15">
        <f>AE2732*AG2732</f>
        <v>160</v>
      </c>
      <c r="AG2732" s="16">
        <v>2</v>
      </c>
    </row>
    <row r="2733" spans="1:33" ht="15" customHeight="1" x14ac:dyDescent="0.2">
      <c r="A2733" s="11" t="str">
        <f t="shared" si="1100"/>
        <v>VN000DAHRV21</v>
      </c>
      <c r="B2733" s="12" t="s">
        <v>10015</v>
      </c>
      <c r="C2733" s="12" t="s">
        <v>3586</v>
      </c>
      <c r="D2733" s="12" t="s">
        <v>1428</v>
      </c>
      <c r="E2733" s="12" t="s">
        <v>10016</v>
      </c>
      <c r="F2733" s="13">
        <v>115</v>
      </c>
      <c r="G2733" s="12" t="s">
        <v>2273</v>
      </c>
      <c r="H2733" s="12" t="s">
        <v>38</v>
      </c>
      <c r="I2733" s="12" t="s">
        <v>159</v>
      </c>
      <c r="J2733" s="12" t="s">
        <v>160</v>
      </c>
      <c r="K2733" s="12" t="s">
        <v>82</v>
      </c>
      <c r="L2733" s="14"/>
      <c r="M2733" s="12" t="s">
        <v>43</v>
      </c>
      <c r="N2733" s="12" t="s">
        <v>84</v>
      </c>
      <c r="O2733" s="12" t="s">
        <v>10017</v>
      </c>
      <c r="P2733" s="12" t="s">
        <v>46</v>
      </c>
      <c r="Q2733" s="12" t="s">
        <v>47</v>
      </c>
      <c r="R2733" s="12" t="s">
        <v>163</v>
      </c>
      <c r="S2733" s="13">
        <v>197804484263</v>
      </c>
      <c r="T2733" s="12" t="s">
        <v>164</v>
      </c>
      <c r="U2733" s="13">
        <v>45</v>
      </c>
      <c r="V2733" s="12" t="s">
        <v>375</v>
      </c>
      <c r="W2733" s="12" t="s">
        <v>51</v>
      </c>
      <c r="X2733" s="14"/>
      <c r="Y2733" s="14"/>
      <c r="Z2733" s="14"/>
      <c r="AA2733" s="14"/>
      <c r="AB2733" s="14"/>
      <c r="AC2733" s="15">
        <v>36.4</v>
      </c>
      <c r="AD2733" s="15">
        <f>AC2733*AG2733</f>
        <v>72.8</v>
      </c>
      <c r="AE2733" s="15">
        <v>80</v>
      </c>
      <c r="AF2733" s="15">
        <f>AE2733*AG2733</f>
        <v>160</v>
      </c>
      <c r="AG2733" s="16">
        <v>2</v>
      </c>
    </row>
    <row r="2734" spans="1:33" ht="15" customHeight="1" x14ac:dyDescent="0.2">
      <c r="A2734" s="11" t="str">
        <f t="shared" si="638"/>
        <v>VN000DAHY401</v>
      </c>
      <c r="B2734" s="12" t="s">
        <v>10018</v>
      </c>
      <c r="C2734" s="12" t="s">
        <v>3586</v>
      </c>
      <c r="D2734" s="12" t="s">
        <v>5955</v>
      </c>
      <c r="E2734" s="12" t="s">
        <v>10019</v>
      </c>
      <c r="F2734" s="13">
        <v>85</v>
      </c>
      <c r="G2734" s="12" t="s">
        <v>5909</v>
      </c>
      <c r="H2734" s="12" t="s">
        <v>38</v>
      </c>
      <c r="I2734" s="12" t="s">
        <v>159</v>
      </c>
      <c r="J2734" s="12" t="s">
        <v>160</v>
      </c>
      <c r="K2734" s="12" t="s">
        <v>82</v>
      </c>
      <c r="L2734" s="14"/>
      <c r="M2734" s="12" t="s">
        <v>43</v>
      </c>
      <c r="N2734" s="12" t="s">
        <v>84</v>
      </c>
      <c r="O2734" s="12" t="s">
        <v>10020</v>
      </c>
      <c r="P2734" s="12" t="s">
        <v>46</v>
      </c>
      <c r="Q2734" s="12" t="s">
        <v>47</v>
      </c>
      <c r="R2734" s="12" t="s">
        <v>163</v>
      </c>
      <c r="S2734" s="13">
        <v>197804484089</v>
      </c>
      <c r="T2734" s="12" t="s">
        <v>49</v>
      </c>
      <c r="U2734" s="13">
        <v>41</v>
      </c>
      <c r="V2734" s="12" t="s">
        <v>209</v>
      </c>
      <c r="W2734" s="12" t="s">
        <v>284</v>
      </c>
      <c r="X2734" s="14"/>
      <c r="Y2734" s="14"/>
      <c r="Z2734" s="14"/>
      <c r="AA2734" s="14"/>
      <c r="AB2734" s="14"/>
      <c r="AC2734" s="15">
        <v>36.4</v>
      </c>
      <c r="AD2734" s="15">
        <f>AC2734*AG2734</f>
        <v>72.8</v>
      </c>
      <c r="AE2734" s="15">
        <v>80</v>
      </c>
      <c r="AF2734" s="15">
        <f>AE2734*AG2734</f>
        <v>160</v>
      </c>
      <c r="AG2734" s="16">
        <v>2</v>
      </c>
    </row>
    <row r="2735" spans="1:33" ht="15" customHeight="1" x14ac:dyDescent="0.2">
      <c r="A2735" s="11" t="str">
        <f t="shared" ref="A2735:A2737" si="1101">HYPERLINK("https://assets.vans.eu/images/VN000DAHY40-HERO/1","VN000DAHY401")</f>
        <v>VN000DAHY401</v>
      </c>
      <c r="B2735" s="12" t="s">
        <v>10021</v>
      </c>
      <c r="C2735" s="12" t="s">
        <v>3586</v>
      </c>
      <c r="D2735" s="12" t="s">
        <v>5955</v>
      </c>
      <c r="E2735" s="12" t="s">
        <v>10022</v>
      </c>
      <c r="F2735" s="13">
        <v>95</v>
      </c>
      <c r="G2735" s="12" t="s">
        <v>5909</v>
      </c>
      <c r="H2735" s="12" t="s">
        <v>38</v>
      </c>
      <c r="I2735" s="12" t="s">
        <v>159</v>
      </c>
      <c r="J2735" s="12" t="s">
        <v>160</v>
      </c>
      <c r="K2735" s="12" t="s">
        <v>82</v>
      </c>
      <c r="L2735" s="14"/>
      <c r="M2735" s="12" t="s">
        <v>43</v>
      </c>
      <c r="N2735" s="12" t="s">
        <v>84</v>
      </c>
      <c r="O2735" s="12" t="s">
        <v>10023</v>
      </c>
      <c r="P2735" s="12" t="s">
        <v>46</v>
      </c>
      <c r="Q2735" s="12" t="s">
        <v>47</v>
      </c>
      <c r="R2735" s="12" t="s">
        <v>163</v>
      </c>
      <c r="S2735" s="13">
        <v>197804484188</v>
      </c>
      <c r="T2735" s="12" t="s">
        <v>49</v>
      </c>
      <c r="U2735" s="13">
        <v>42.5</v>
      </c>
      <c r="V2735" s="12" t="s">
        <v>209</v>
      </c>
      <c r="W2735" s="12" t="s">
        <v>284</v>
      </c>
      <c r="X2735" s="14"/>
      <c r="Y2735" s="14"/>
      <c r="Z2735" s="14"/>
      <c r="AA2735" s="14"/>
      <c r="AB2735" s="14"/>
      <c r="AC2735" s="15">
        <v>36.4</v>
      </c>
      <c r="AD2735" s="15">
        <f>AC2735*AG2735</f>
        <v>72.8</v>
      </c>
      <c r="AE2735" s="15">
        <v>80</v>
      </c>
      <c r="AF2735" s="15">
        <f>AE2735*AG2735</f>
        <v>160</v>
      </c>
      <c r="AG2735" s="16">
        <v>2</v>
      </c>
    </row>
    <row r="2736" spans="1:33" ht="15" customHeight="1" x14ac:dyDescent="0.2">
      <c r="A2736" s="11" t="str">
        <f t="shared" si="1101"/>
        <v>VN000DAHY401</v>
      </c>
      <c r="B2736" s="12" t="s">
        <v>10024</v>
      </c>
      <c r="C2736" s="12" t="s">
        <v>3586</v>
      </c>
      <c r="D2736" s="12" t="s">
        <v>5955</v>
      </c>
      <c r="E2736" s="12" t="s">
        <v>10025</v>
      </c>
      <c r="F2736" s="13">
        <v>100</v>
      </c>
      <c r="G2736" s="12" t="s">
        <v>5909</v>
      </c>
      <c r="H2736" s="12" t="s">
        <v>38</v>
      </c>
      <c r="I2736" s="12" t="s">
        <v>159</v>
      </c>
      <c r="J2736" s="12" t="s">
        <v>160</v>
      </c>
      <c r="K2736" s="12" t="s">
        <v>82</v>
      </c>
      <c r="L2736" s="14"/>
      <c r="M2736" s="12" t="s">
        <v>43</v>
      </c>
      <c r="N2736" s="12" t="s">
        <v>84</v>
      </c>
      <c r="O2736" s="12" t="s">
        <v>10026</v>
      </c>
      <c r="P2736" s="12" t="s">
        <v>46</v>
      </c>
      <c r="Q2736" s="12" t="s">
        <v>47</v>
      </c>
      <c r="R2736" s="12" t="s">
        <v>163</v>
      </c>
      <c r="S2736" s="13">
        <v>197804484249</v>
      </c>
      <c r="T2736" s="12" t="s">
        <v>49</v>
      </c>
      <c r="U2736" s="13">
        <v>43</v>
      </c>
      <c r="V2736" s="12" t="s">
        <v>209</v>
      </c>
      <c r="W2736" s="12" t="s">
        <v>284</v>
      </c>
      <c r="X2736" s="14"/>
      <c r="Y2736" s="14"/>
      <c r="Z2736" s="14"/>
      <c r="AA2736" s="14"/>
      <c r="AB2736" s="14"/>
      <c r="AC2736" s="15">
        <v>36.4</v>
      </c>
      <c r="AD2736" s="15">
        <f>AC2736*AG2736</f>
        <v>72.8</v>
      </c>
      <c r="AE2736" s="15">
        <v>80</v>
      </c>
      <c r="AF2736" s="15">
        <f>AE2736*AG2736</f>
        <v>160</v>
      </c>
      <c r="AG2736" s="16">
        <v>2</v>
      </c>
    </row>
    <row r="2737" spans="1:33" ht="15" customHeight="1" x14ac:dyDescent="0.2">
      <c r="A2737" s="11" t="str">
        <f t="shared" si="1101"/>
        <v>VN000DAHY401</v>
      </c>
      <c r="B2737" s="12" t="s">
        <v>10027</v>
      </c>
      <c r="C2737" s="12" t="s">
        <v>3586</v>
      </c>
      <c r="D2737" s="12" t="s">
        <v>5955</v>
      </c>
      <c r="E2737" s="12" t="s">
        <v>10028</v>
      </c>
      <c r="F2737" s="13">
        <v>120</v>
      </c>
      <c r="G2737" s="12" t="s">
        <v>5909</v>
      </c>
      <c r="H2737" s="12" t="s">
        <v>38</v>
      </c>
      <c r="I2737" s="12" t="s">
        <v>159</v>
      </c>
      <c r="J2737" s="12" t="s">
        <v>160</v>
      </c>
      <c r="K2737" s="12" t="s">
        <v>82</v>
      </c>
      <c r="L2737" s="14"/>
      <c r="M2737" s="12" t="s">
        <v>43</v>
      </c>
      <c r="N2737" s="12" t="s">
        <v>84</v>
      </c>
      <c r="O2737" s="12" t="s">
        <v>10029</v>
      </c>
      <c r="P2737" s="12" t="s">
        <v>46</v>
      </c>
      <c r="Q2737" s="12" t="s">
        <v>47</v>
      </c>
      <c r="R2737" s="12" t="s">
        <v>163</v>
      </c>
      <c r="S2737" s="13">
        <v>197804484713</v>
      </c>
      <c r="T2737" s="12" t="s">
        <v>49</v>
      </c>
      <c r="U2737" s="13">
        <v>46</v>
      </c>
      <c r="V2737" s="12" t="s">
        <v>209</v>
      </c>
      <c r="W2737" s="12" t="s">
        <v>284</v>
      </c>
      <c r="X2737" s="14"/>
      <c r="Y2737" s="14"/>
      <c r="Z2737" s="14"/>
      <c r="AA2737" s="14"/>
      <c r="AB2737" s="14"/>
      <c r="AC2737" s="15">
        <v>36.4</v>
      </c>
      <c r="AD2737" s="15">
        <f>AC2737*AG2737</f>
        <v>72.8</v>
      </c>
      <c r="AE2737" s="15">
        <v>80</v>
      </c>
      <c r="AF2737" s="15">
        <f>AE2737*AG2737</f>
        <v>160</v>
      </c>
      <c r="AG2737" s="16">
        <v>2</v>
      </c>
    </row>
    <row r="2738" spans="1:33" ht="15" customHeight="1" x14ac:dyDescent="0.2">
      <c r="A2738" s="11" t="str">
        <f t="shared" ref="A2738:A4542" si="1102">HYPERLINK("https://assets.vans.eu/images/VN000DAMLM3-HERO/1","VN000DAMLM31")</f>
        <v>VN000DAMLM31</v>
      </c>
      <c r="B2738" s="12" t="s">
        <v>10030</v>
      </c>
      <c r="C2738" s="12" t="s">
        <v>5959</v>
      </c>
      <c r="D2738" s="12" t="s">
        <v>5960</v>
      </c>
      <c r="E2738" s="12" t="s">
        <v>10031</v>
      </c>
      <c r="F2738" s="13">
        <v>65</v>
      </c>
      <c r="G2738" s="14"/>
      <c r="H2738" s="12" t="s">
        <v>38</v>
      </c>
      <c r="I2738" s="12" t="s">
        <v>113</v>
      </c>
      <c r="J2738" s="12" t="s">
        <v>529</v>
      </c>
      <c r="K2738" s="12" t="s">
        <v>82</v>
      </c>
      <c r="L2738" s="14"/>
      <c r="M2738" s="12" t="s">
        <v>43</v>
      </c>
      <c r="N2738" s="12" t="s">
        <v>84</v>
      </c>
      <c r="O2738" s="12" t="s">
        <v>10032</v>
      </c>
      <c r="P2738" s="12" t="s">
        <v>46</v>
      </c>
      <c r="Q2738" s="12" t="s">
        <v>47</v>
      </c>
      <c r="R2738" s="12" t="s">
        <v>117</v>
      </c>
      <c r="S2738" s="13">
        <v>197804484942</v>
      </c>
      <c r="T2738" s="12" t="s">
        <v>49</v>
      </c>
      <c r="U2738" s="13">
        <v>38.5</v>
      </c>
      <c r="V2738" s="12" t="s">
        <v>50</v>
      </c>
      <c r="W2738" s="12" t="s">
        <v>299</v>
      </c>
      <c r="X2738" s="14"/>
      <c r="Y2738" s="14"/>
      <c r="Z2738" s="14"/>
      <c r="AA2738" s="14"/>
      <c r="AB2738" s="14"/>
      <c r="AC2738" s="15">
        <v>88.65</v>
      </c>
      <c r="AD2738" s="15">
        <f>AC2738*AG2738</f>
        <v>177.3</v>
      </c>
      <c r="AE2738" s="15">
        <v>195</v>
      </c>
      <c r="AF2738" s="15">
        <f>AE2738*AG2738</f>
        <v>390</v>
      </c>
      <c r="AG2738" s="16">
        <v>2</v>
      </c>
    </row>
    <row r="2739" spans="1:33" ht="15" customHeight="1" x14ac:dyDescent="0.2">
      <c r="A2739" s="11" t="str">
        <f t="shared" ref="A2739:A4544" si="1103">HYPERLINK("https://assets.vans.eu/images/VN000DAMRMO-HERO/1","VN000DAMRMO1")</f>
        <v>VN000DAMRMO1</v>
      </c>
      <c r="B2739" s="12" t="s">
        <v>10033</v>
      </c>
      <c r="C2739" s="12" t="s">
        <v>5959</v>
      </c>
      <c r="D2739" s="12" t="s">
        <v>10034</v>
      </c>
      <c r="E2739" s="12" t="s">
        <v>10035</v>
      </c>
      <c r="F2739" s="13">
        <v>85</v>
      </c>
      <c r="G2739" s="14"/>
      <c r="H2739" s="12" t="s">
        <v>38</v>
      </c>
      <c r="I2739" s="12" t="s">
        <v>159</v>
      </c>
      <c r="J2739" s="12" t="s">
        <v>255</v>
      </c>
      <c r="K2739" s="12" t="s">
        <v>82</v>
      </c>
      <c r="L2739" s="14"/>
      <c r="M2739" s="12" t="s">
        <v>43</v>
      </c>
      <c r="N2739" s="12" t="s">
        <v>84</v>
      </c>
      <c r="O2739" s="12" t="s">
        <v>10036</v>
      </c>
      <c r="P2739" s="12" t="s">
        <v>46</v>
      </c>
      <c r="Q2739" s="12" t="s">
        <v>47</v>
      </c>
      <c r="R2739" s="12" t="s">
        <v>163</v>
      </c>
      <c r="S2739" s="13">
        <v>197804485550</v>
      </c>
      <c r="T2739" s="12" t="s">
        <v>49</v>
      </c>
      <c r="U2739" s="13">
        <v>41</v>
      </c>
      <c r="V2739" s="12" t="s">
        <v>50</v>
      </c>
      <c r="W2739" s="12" t="s">
        <v>51</v>
      </c>
      <c r="X2739" s="14"/>
      <c r="Y2739" s="14"/>
      <c r="Z2739" s="14"/>
      <c r="AA2739" s="14"/>
      <c r="AB2739" s="14"/>
      <c r="AC2739" s="15">
        <v>88.65</v>
      </c>
      <c r="AD2739" s="15">
        <f>AC2739*AG2739</f>
        <v>177.3</v>
      </c>
      <c r="AE2739" s="15">
        <v>195</v>
      </c>
      <c r="AF2739" s="15">
        <f>AE2739*AG2739</f>
        <v>390</v>
      </c>
      <c r="AG2739" s="16">
        <v>2</v>
      </c>
    </row>
    <row r="2740" spans="1:33" ht="15" customHeight="1" x14ac:dyDescent="0.2">
      <c r="A2740" s="11" t="str">
        <f t="shared" ref="A2740:A2742" si="1104">HYPERLINK("https://assets.vans.eu/images/VN000DAQ02Y-HERO/1","VN000DAQ02Y1")</f>
        <v>VN000DAQ02Y1</v>
      </c>
      <c r="B2740" s="12" t="s">
        <v>10037</v>
      </c>
      <c r="C2740" s="12" t="s">
        <v>2817</v>
      </c>
      <c r="D2740" s="12" t="s">
        <v>7416</v>
      </c>
      <c r="E2740" s="12" t="s">
        <v>10038</v>
      </c>
      <c r="F2740" s="13">
        <v>45</v>
      </c>
      <c r="G2740" s="14"/>
      <c r="H2740" s="12" t="s">
        <v>38</v>
      </c>
      <c r="I2740" s="12" t="s">
        <v>113</v>
      </c>
      <c r="J2740" s="12" t="s">
        <v>114</v>
      </c>
      <c r="K2740" s="12" t="s">
        <v>82</v>
      </c>
      <c r="L2740" s="14"/>
      <c r="M2740" s="12" t="s">
        <v>43</v>
      </c>
      <c r="N2740" s="12" t="s">
        <v>84</v>
      </c>
      <c r="O2740" s="12" t="s">
        <v>10039</v>
      </c>
      <c r="P2740" s="12" t="s">
        <v>46</v>
      </c>
      <c r="Q2740" s="12" t="s">
        <v>47</v>
      </c>
      <c r="R2740" s="12" t="s">
        <v>948</v>
      </c>
      <c r="S2740" s="13">
        <v>197804555413</v>
      </c>
      <c r="T2740" s="12" t="s">
        <v>49</v>
      </c>
      <c r="U2740" s="13">
        <v>36</v>
      </c>
      <c r="V2740" s="12" t="s">
        <v>50</v>
      </c>
      <c r="W2740" s="12" t="s">
        <v>262</v>
      </c>
      <c r="X2740" s="14"/>
      <c r="Y2740" s="14"/>
      <c r="Z2740" s="14"/>
      <c r="AA2740" s="14"/>
      <c r="AB2740" s="14"/>
      <c r="AC2740" s="15">
        <v>65.95</v>
      </c>
      <c r="AD2740" s="15">
        <f>AC2740*AG2740</f>
        <v>131.9</v>
      </c>
      <c r="AE2740" s="15">
        <v>145</v>
      </c>
      <c r="AF2740" s="15">
        <f>AE2740*AG2740</f>
        <v>290</v>
      </c>
      <c r="AG2740" s="16">
        <v>2</v>
      </c>
    </row>
    <row r="2741" spans="1:33" ht="15" customHeight="1" x14ac:dyDescent="0.2">
      <c r="A2741" s="11" t="str">
        <f t="shared" si="1104"/>
        <v>VN000DAQ02Y1</v>
      </c>
      <c r="B2741" s="12" t="s">
        <v>10040</v>
      </c>
      <c r="C2741" s="12" t="s">
        <v>2817</v>
      </c>
      <c r="D2741" s="12" t="s">
        <v>7416</v>
      </c>
      <c r="E2741" s="12" t="s">
        <v>10041</v>
      </c>
      <c r="F2741" s="13">
        <v>55</v>
      </c>
      <c r="G2741" s="14"/>
      <c r="H2741" s="12" t="s">
        <v>38</v>
      </c>
      <c r="I2741" s="12" t="s">
        <v>113</v>
      </c>
      <c r="J2741" s="12" t="s">
        <v>114</v>
      </c>
      <c r="K2741" s="12" t="s">
        <v>82</v>
      </c>
      <c r="L2741" s="14"/>
      <c r="M2741" s="12" t="s">
        <v>43</v>
      </c>
      <c r="N2741" s="12" t="s">
        <v>84</v>
      </c>
      <c r="O2741" s="12" t="s">
        <v>10042</v>
      </c>
      <c r="P2741" s="12" t="s">
        <v>46</v>
      </c>
      <c r="Q2741" s="12" t="s">
        <v>47</v>
      </c>
      <c r="R2741" s="12" t="s">
        <v>948</v>
      </c>
      <c r="S2741" s="13">
        <v>197804555680</v>
      </c>
      <c r="T2741" s="12" t="s">
        <v>49</v>
      </c>
      <c r="U2741" s="13">
        <v>37</v>
      </c>
      <c r="V2741" s="12" t="s">
        <v>50</v>
      </c>
      <c r="W2741" s="12" t="s">
        <v>262</v>
      </c>
      <c r="X2741" s="14"/>
      <c r="Y2741" s="14"/>
      <c r="Z2741" s="14"/>
      <c r="AA2741" s="14"/>
      <c r="AB2741" s="14"/>
      <c r="AC2741" s="15">
        <v>65.95</v>
      </c>
      <c r="AD2741" s="15">
        <f>AC2741*AG2741</f>
        <v>131.9</v>
      </c>
      <c r="AE2741" s="15">
        <v>145</v>
      </c>
      <c r="AF2741" s="15">
        <f>AE2741*AG2741</f>
        <v>290</v>
      </c>
      <c r="AG2741" s="16">
        <v>2</v>
      </c>
    </row>
    <row r="2742" spans="1:33" ht="15" customHeight="1" x14ac:dyDescent="0.2">
      <c r="A2742" s="11" t="str">
        <f t="shared" si="1104"/>
        <v>VN000DAQ02Y1</v>
      </c>
      <c r="B2742" s="12" t="s">
        <v>10043</v>
      </c>
      <c r="C2742" s="12" t="s">
        <v>2817</v>
      </c>
      <c r="D2742" s="12" t="s">
        <v>7416</v>
      </c>
      <c r="E2742" s="12" t="s">
        <v>10044</v>
      </c>
      <c r="F2742" s="13">
        <v>65</v>
      </c>
      <c r="G2742" s="14"/>
      <c r="H2742" s="12" t="s">
        <v>38</v>
      </c>
      <c r="I2742" s="12" t="s">
        <v>113</v>
      </c>
      <c r="J2742" s="12" t="s">
        <v>114</v>
      </c>
      <c r="K2742" s="12" t="s">
        <v>82</v>
      </c>
      <c r="L2742" s="14"/>
      <c r="M2742" s="12" t="s">
        <v>43</v>
      </c>
      <c r="N2742" s="12" t="s">
        <v>84</v>
      </c>
      <c r="O2742" s="12" t="s">
        <v>10045</v>
      </c>
      <c r="P2742" s="12" t="s">
        <v>46</v>
      </c>
      <c r="Q2742" s="12" t="s">
        <v>47</v>
      </c>
      <c r="R2742" s="12" t="s">
        <v>948</v>
      </c>
      <c r="S2742" s="13">
        <v>197804556090</v>
      </c>
      <c r="T2742" s="12" t="s">
        <v>49</v>
      </c>
      <c r="U2742" s="13">
        <v>38.5</v>
      </c>
      <c r="V2742" s="12" t="s">
        <v>50</v>
      </c>
      <c r="W2742" s="12" t="s">
        <v>262</v>
      </c>
      <c r="X2742" s="14"/>
      <c r="Y2742" s="14"/>
      <c r="Z2742" s="14"/>
      <c r="AA2742" s="14"/>
      <c r="AB2742" s="14"/>
      <c r="AC2742" s="15">
        <v>65.95</v>
      </c>
      <c r="AD2742" s="15">
        <f>AC2742*AG2742</f>
        <v>131.9</v>
      </c>
      <c r="AE2742" s="15">
        <v>145</v>
      </c>
      <c r="AF2742" s="15">
        <f>AE2742*AG2742</f>
        <v>290</v>
      </c>
      <c r="AG2742" s="16">
        <v>2</v>
      </c>
    </row>
    <row r="2743" spans="1:33" ht="15" customHeight="1" x14ac:dyDescent="0.2">
      <c r="A2743" s="11" t="str">
        <f t="shared" si="819"/>
        <v>VN000DAQ1MG1</v>
      </c>
      <c r="B2743" s="12" t="s">
        <v>10046</v>
      </c>
      <c r="C2743" s="12" t="s">
        <v>2817</v>
      </c>
      <c r="D2743" s="12" t="s">
        <v>2818</v>
      </c>
      <c r="E2743" s="12" t="s">
        <v>10047</v>
      </c>
      <c r="F2743" s="13">
        <v>55</v>
      </c>
      <c r="G2743" s="14"/>
      <c r="H2743" s="12" t="s">
        <v>38</v>
      </c>
      <c r="I2743" s="12" t="s">
        <v>113</v>
      </c>
      <c r="J2743" s="12" t="s">
        <v>114</v>
      </c>
      <c r="K2743" s="12" t="s">
        <v>82</v>
      </c>
      <c r="L2743" s="14"/>
      <c r="M2743" s="12" t="s">
        <v>43</v>
      </c>
      <c r="N2743" s="12" t="s">
        <v>84</v>
      </c>
      <c r="O2743" s="12" t="s">
        <v>10048</v>
      </c>
      <c r="P2743" s="12" t="s">
        <v>46</v>
      </c>
      <c r="Q2743" s="12" t="s">
        <v>47</v>
      </c>
      <c r="R2743" s="12" t="s">
        <v>948</v>
      </c>
      <c r="S2743" s="13">
        <v>197804555956</v>
      </c>
      <c r="T2743" s="12" t="s">
        <v>49</v>
      </c>
      <c r="U2743" s="13">
        <v>37</v>
      </c>
      <c r="V2743" s="12" t="s">
        <v>50</v>
      </c>
      <c r="W2743" s="12" t="s">
        <v>455</v>
      </c>
      <c r="X2743" s="14"/>
      <c r="Y2743" s="14"/>
      <c r="Z2743" s="14"/>
      <c r="AA2743" s="14"/>
      <c r="AB2743" s="14"/>
      <c r="AC2743" s="15">
        <v>65.95</v>
      </c>
      <c r="AD2743" s="15">
        <f>AC2743*AG2743</f>
        <v>131.9</v>
      </c>
      <c r="AE2743" s="15">
        <v>145</v>
      </c>
      <c r="AF2743" s="15">
        <f>AE2743*AG2743</f>
        <v>290</v>
      </c>
      <c r="AG2743" s="16">
        <v>2</v>
      </c>
    </row>
    <row r="2744" spans="1:33" ht="15" customHeight="1" x14ac:dyDescent="0.2">
      <c r="A2744" s="11" t="str">
        <f t="shared" ref="A2744:A2746" si="1105">HYPERLINK("https://assets.vans.eu/images/VN000DAQ1MG-HERO/1","VN000DAQ1MG1")</f>
        <v>VN000DAQ1MG1</v>
      </c>
      <c r="B2744" s="12" t="s">
        <v>10049</v>
      </c>
      <c r="C2744" s="12" t="s">
        <v>2817</v>
      </c>
      <c r="D2744" s="12" t="s">
        <v>2818</v>
      </c>
      <c r="E2744" s="12" t="s">
        <v>10050</v>
      </c>
      <c r="F2744" s="13">
        <v>60</v>
      </c>
      <c r="G2744" s="14"/>
      <c r="H2744" s="12" t="s">
        <v>38</v>
      </c>
      <c r="I2744" s="12" t="s">
        <v>113</v>
      </c>
      <c r="J2744" s="12" t="s">
        <v>114</v>
      </c>
      <c r="K2744" s="12" t="s">
        <v>82</v>
      </c>
      <c r="L2744" s="14"/>
      <c r="M2744" s="12" t="s">
        <v>43</v>
      </c>
      <c r="N2744" s="12" t="s">
        <v>84</v>
      </c>
      <c r="O2744" s="12" t="s">
        <v>10051</v>
      </c>
      <c r="P2744" s="12" t="s">
        <v>46</v>
      </c>
      <c r="Q2744" s="12" t="s">
        <v>47</v>
      </c>
      <c r="R2744" s="12" t="s">
        <v>948</v>
      </c>
      <c r="S2744" s="13">
        <v>197804556137</v>
      </c>
      <c r="T2744" s="12" t="s">
        <v>49</v>
      </c>
      <c r="U2744" s="13">
        <v>38</v>
      </c>
      <c r="V2744" s="12" t="s">
        <v>50</v>
      </c>
      <c r="W2744" s="12" t="s">
        <v>455</v>
      </c>
      <c r="X2744" s="14"/>
      <c r="Y2744" s="14"/>
      <c r="Z2744" s="14"/>
      <c r="AA2744" s="14"/>
      <c r="AB2744" s="14"/>
      <c r="AC2744" s="15">
        <v>65.95</v>
      </c>
      <c r="AD2744" s="15">
        <f>AC2744*AG2744</f>
        <v>131.9</v>
      </c>
      <c r="AE2744" s="15">
        <v>145</v>
      </c>
      <c r="AF2744" s="15">
        <f>AE2744*AG2744</f>
        <v>290</v>
      </c>
      <c r="AG2744" s="16">
        <v>2</v>
      </c>
    </row>
    <row r="2745" spans="1:33" ht="15" customHeight="1" x14ac:dyDescent="0.2">
      <c r="A2745" s="11" t="str">
        <f t="shared" si="1105"/>
        <v>VN000DAQ1MG1</v>
      </c>
      <c r="B2745" s="12" t="s">
        <v>10052</v>
      </c>
      <c r="C2745" s="12" t="s">
        <v>2817</v>
      </c>
      <c r="D2745" s="12" t="s">
        <v>2818</v>
      </c>
      <c r="E2745" s="12" t="s">
        <v>10053</v>
      </c>
      <c r="F2745" s="13">
        <v>75</v>
      </c>
      <c r="G2745" s="14"/>
      <c r="H2745" s="12" t="s">
        <v>38</v>
      </c>
      <c r="I2745" s="12" t="s">
        <v>113</v>
      </c>
      <c r="J2745" s="12" t="s">
        <v>114</v>
      </c>
      <c r="K2745" s="12" t="s">
        <v>82</v>
      </c>
      <c r="L2745" s="14"/>
      <c r="M2745" s="12" t="s">
        <v>43</v>
      </c>
      <c r="N2745" s="12" t="s">
        <v>84</v>
      </c>
      <c r="O2745" s="12" t="s">
        <v>10054</v>
      </c>
      <c r="P2745" s="12" t="s">
        <v>46</v>
      </c>
      <c r="Q2745" s="12" t="s">
        <v>47</v>
      </c>
      <c r="R2745" s="12" t="s">
        <v>948</v>
      </c>
      <c r="S2745" s="13">
        <v>197804556601</v>
      </c>
      <c r="T2745" s="12" t="s">
        <v>49</v>
      </c>
      <c r="U2745" s="13">
        <v>40</v>
      </c>
      <c r="V2745" s="12" t="s">
        <v>50</v>
      </c>
      <c r="W2745" s="12" t="s">
        <v>455</v>
      </c>
      <c r="X2745" s="14"/>
      <c r="Y2745" s="14"/>
      <c r="Z2745" s="14"/>
      <c r="AA2745" s="14"/>
      <c r="AB2745" s="14"/>
      <c r="AC2745" s="15">
        <v>65.95</v>
      </c>
      <c r="AD2745" s="15">
        <f>AC2745*AG2745</f>
        <v>131.9</v>
      </c>
      <c r="AE2745" s="15">
        <v>145</v>
      </c>
      <c r="AF2745" s="15">
        <f>AE2745*AG2745</f>
        <v>290</v>
      </c>
      <c r="AG2745" s="16">
        <v>2</v>
      </c>
    </row>
    <row r="2746" spans="1:33" ht="15" customHeight="1" x14ac:dyDescent="0.2">
      <c r="A2746" s="11" t="str">
        <f t="shared" si="1105"/>
        <v>VN000DAQ1MG1</v>
      </c>
      <c r="B2746" s="12" t="s">
        <v>10055</v>
      </c>
      <c r="C2746" s="12" t="s">
        <v>2817</v>
      </c>
      <c r="D2746" s="12" t="s">
        <v>2818</v>
      </c>
      <c r="E2746" s="12" t="s">
        <v>10056</v>
      </c>
      <c r="F2746" s="13">
        <v>80</v>
      </c>
      <c r="G2746" s="14"/>
      <c r="H2746" s="12" t="s">
        <v>38</v>
      </c>
      <c r="I2746" s="12" t="s">
        <v>113</v>
      </c>
      <c r="J2746" s="12" t="s">
        <v>114</v>
      </c>
      <c r="K2746" s="12" t="s">
        <v>82</v>
      </c>
      <c r="L2746" s="14"/>
      <c r="M2746" s="12" t="s">
        <v>43</v>
      </c>
      <c r="N2746" s="12" t="s">
        <v>84</v>
      </c>
      <c r="O2746" s="12" t="s">
        <v>10057</v>
      </c>
      <c r="P2746" s="12" t="s">
        <v>46</v>
      </c>
      <c r="Q2746" s="12" t="s">
        <v>47</v>
      </c>
      <c r="R2746" s="12" t="s">
        <v>948</v>
      </c>
      <c r="S2746" s="13">
        <v>197804556625</v>
      </c>
      <c r="T2746" s="12" t="s">
        <v>49</v>
      </c>
      <c r="U2746" s="13">
        <v>40.5</v>
      </c>
      <c r="V2746" s="12" t="s">
        <v>50</v>
      </c>
      <c r="W2746" s="12" t="s">
        <v>455</v>
      </c>
      <c r="X2746" s="14"/>
      <c r="Y2746" s="14"/>
      <c r="Z2746" s="14"/>
      <c r="AA2746" s="14"/>
      <c r="AB2746" s="14"/>
      <c r="AC2746" s="15">
        <v>65.95</v>
      </c>
      <c r="AD2746" s="15">
        <f>AC2746*AG2746</f>
        <v>131.9</v>
      </c>
      <c r="AE2746" s="15">
        <v>145</v>
      </c>
      <c r="AF2746" s="15">
        <f>AE2746*AG2746</f>
        <v>290</v>
      </c>
      <c r="AG2746" s="16">
        <v>2</v>
      </c>
    </row>
    <row r="2747" spans="1:33" ht="15" customHeight="1" x14ac:dyDescent="0.2">
      <c r="A2747" s="11" t="str">
        <f>HYPERLINK("https://assets.vans.eu/images/VN000DAQ91K-HERO/1","VN000DAQ91K1")</f>
        <v>VN000DAQ91K1</v>
      </c>
      <c r="B2747" s="12" t="s">
        <v>10058</v>
      </c>
      <c r="C2747" s="12" t="s">
        <v>2817</v>
      </c>
      <c r="D2747" s="12" t="s">
        <v>1447</v>
      </c>
      <c r="E2747" s="12" t="s">
        <v>10059</v>
      </c>
      <c r="F2747" s="13">
        <v>80</v>
      </c>
      <c r="G2747" s="14"/>
      <c r="H2747" s="12" t="s">
        <v>38</v>
      </c>
      <c r="I2747" s="12" t="s">
        <v>159</v>
      </c>
      <c r="J2747" s="12" t="s">
        <v>160</v>
      </c>
      <c r="K2747" s="12" t="s">
        <v>82</v>
      </c>
      <c r="L2747" s="14"/>
      <c r="M2747" s="12" t="s">
        <v>43</v>
      </c>
      <c r="N2747" s="12" t="s">
        <v>84</v>
      </c>
      <c r="O2747" s="12" t="s">
        <v>10060</v>
      </c>
      <c r="P2747" s="12" t="s">
        <v>46</v>
      </c>
      <c r="Q2747" s="12" t="s">
        <v>47</v>
      </c>
      <c r="R2747" s="12" t="s">
        <v>1660</v>
      </c>
      <c r="S2747" s="13">
        <v>197804557677</v>
      </c>
      <c r="T2747" s="12" t="s">
        <v>49</v>
      </c>
      <c r="U2747" s="13">
        <v>40.5</v>
      </c>
      <c r="V2747" s="12" t="s">
        <v>50</v>
      </c>
      <c r="W2747" s="12" t="s">
        <v>51</v>
      </c>
      <c r="X2747" s="14"/>
      <c r="Y2747" s="14"/>
      <c r="Z2747" s="14"/>
      <c r="AA2747" s="14"/>
      <c r="AB2747" s="14"/>
      <c r="AC2747" s="15">
        <v>65.95</v>
      </c>
      <c r="AD2747" s="15">
        <f>AC2747*AG2747</f>
        <v>131.9</v>
      </c>
      <c r="AE2747" s="15">
        <v>145</v>
      </c>
      <c r="AF2747" s="15">
        <f>AE2747*AG2747</f>
        <v>290</v>
      </c>
      <c r="AG2747" s="16">
        <v>2</v>
      </c>
    </row>
    <row r="2748" spans="1:33" ht="15" customHeight="1" x14ac:dyDescent="0.2">
      <c r="A2748" s="11" t="str">
        <f t="shared" ref="A2748:A4552" si="1106">HYPERLINK("https://assets.vans.eu/images/VN000DAQ9DH-HERO/1","VN000DAQ9DH1")</f>
        <v>VN000DAQ9DH1</v>
      </c>
      <c r="B2748" s="12" t="s">
        <v>10061</v>
      </c>
      <c r="C2748" s="12" t="s">
        <v>2817</v>
      </c>
      <c r="D2748" s="12" t="s">
        <v>9684</v>
      </c>
      <c r="E2748" s="12" t="s">
        <v>10062</v>
      </c>
      <c r="F2748" s="13">
        <v>85</v>
      </c>
      <c r="G2748" s="14"/>
      <c r="H2748" s="12" t="s">
        <v>38</v>
      </c>
      <c r="I2748" s="12" t="s">
        <v>113</v>
      </c>
      <c r="J2748" s="12" t="s">
        <v>114</v>
      </c>
      <c r="K2748" s="12" t="s">
        <v>82</v>
      </c>
      <c r="L2748" s="14"/>
      <c r="M2748" s="12" t="s">
        <v>43</v>
      </c>
      <c r="N2748" s="12" t="s">
        <v>84</v>
      </c>
      <c r="O2748" s="12" t="s">
        <v>10063</v>
      </c>
      <c r="P2748" s="12" t="s">
        <v>46</v>
      </c>
      <c r="Q2748" s="12" t="s">
        <v>47</v>
      </c>
      <c r="R2748" s="12" t="s">
        <v>948</v>
      </c>
      <c r="S2748" s="13">
        <v>197804558230</v>
      </c>
      <c r="T2748" s="12" t="s">
        <v>49</v>
      </c>
      <c r="U2748" s="13">
        <v>41</v>
      </c>
      <c r="V2748" s="12" t="s">
        <v>50</v>
      </c>
      <c r="W2748" s="12" t="s">
        <v>175</v>
      </c>
      <c r="X2748" s="14"/>
      <c r="Y2748" s="14"/>
      <c r="Z2748" s="14"/>
      <c r="AA2748" s="14"/>
      <c r="AB2748" s="14"/>
      <c r="AC2748" s="15">
        <v>65.95</v>
      </c>
      <c r="AD2748" s="15">
        <f>AC2748*AG2748</f>
        <v>131.9</v>
      </c>
      <c r="AE2748" s="15">
        <v>145</v>
      </c>
      <c r="AF2748" s="15">
        <f>AE2748*AG2748</f>
        <v>290</v>
      </c>
      <c r="AG2748" s="16">
        <v>2</v>
      </c>
    </row>
    <row r="2749" spans="1:33" ht="15" customHeight="1" x14ac:dyDescent="0.2">
      <c r="A2749" s="11" t="str">
        <f t="shared" si="640"/>
        <v>VN000DAQRPK1</v>
      </c>
      <c r="B2749" s="12" t="s">
        <v>10064</v>
      </c>
      <c r="C2749" s="12" t="s">
        <v>2817</v>
      </c>
      <c r="D2749" s="12" t="s">
        <v>5878</v>
      </c>
      <c r="E2749" s="12" t="s">
        <v>10065</v>
      </c>
      <c r="F2749" s="13">
        <v>80</v>
      </c>
      <c r="G2749" s="14"/>
      <c r="H2749" s="12" t="s">
        <v>38</v>
      </c>
      <c r="I2749" s="12" t="s">
        <v>113</v>
      </c>
      <c r="J2749" s="12" t="s">
        <v>114</v>
      </c>
      <c r="K2749" s="12" t="s">
        <v>82</v>
      </c>
      <c r="L2749" s="14"/>
      <c r="M2749" s="12" t="s">
        <v>43</v>
      </c>
      <c r="N2749" s="12" t="s">
        <v>84</v>
      </c>
      <c r="O2749" s="12" t="s">
        <v>10066</v>
      </c>
      <c r="P2749" s="12" t="s">
        <v>46</v>
      </c>
      <c r="Q2749" s="12" t="s">
        <v>47</v>
      </c>
      <c r="R2749" s="12" t="s">
        <v>948</v>
      </c>
      <c r="S2749" s="13">
        <v>197804558834</v>
      </c>
      <c r="T2749" s="12" t="s">
        <v>49</v>
      </c>
      <c r="U2749" s="13">
        <v>40.5</v>
      </c>
      <c r="V2749" s="12" t="s">
        <v>50</v>
      </c>
      <c r="W2749" s="12" t="s">
        <v>186</v>
      </c>
      <c r="X2749" s="14"/>
      <c r="Y2749" s="14"/>
      <c r="Z2749" s="14"/>
      <c r="AA2749" s="14"/>
      <c r="AB2749" s="14"/>
      <c r="AC2749" s="15">
        <v>65.95</v>
      </c>
      <c r="AD2749" s="15">
        <f>AC2749*AG2749</f>
        <v>131.9</v>
      </c>
      <c r="AE2749" s="15">
        <v>145</v>
      </c>
      <c r="AF2749" s="15">
        <f>AE2749*AG2749</f>
        <v>290</v>
      </c>
      <c r="AG2749" s="16">
        <v>2</v>
      </c>
    </row>
    <row r="2750" spans="1:33" ht="15" customHeight="1" x14ac:dyDescent="0.2">
      <c r="A2750" s="11" t="str">
        <f>HYPERLINK("https://assets.vans.eu/images/VN000DAQRV2-HERO/1","VN000DAQRV21")</f>
        <v>VN000DAQRV21</v>
      </c>
      <c r="B2750" s="12" t="s">
        <v>10067</v>
      </c>
      <c r="C2750" s="12" t="s">
        <v>2817</v>
      </c>
      <c r="D2750" s="12" t="s">
        <v>1428</v>
      </c>
      <c r="E2750" s="12" t="s">
        <v>10068</v>
      </c>
      <c r="F2750" s="13">
        <v>50</v>
      </c>
      <c r="G2750" s="14"/>
      <c r="H2750" s="12" t="s">
        <v>38</v>
      </c>
      <c r="I2750" s="12" t="s">
        <v>159</v>
      </c>
      <c r="J2750" s="12" t="s">
        <v>160</v>
      </c>
      <c r="K2750" s="12" t="s">
        <v>82</v>
      </c>
      <c r="L2750" s="14"/>
      <c r="M2750" s="12" t="s">
        <v>43</v>
      </c>
      <c r="N2750" s="12" t="s">
        <v>84</v>
      </c>
      <c r="O2750" s="12" t="s">
        <v>10069</v>
      </c>
      <c r="P2750" s="12" t="s">
        <v>46</v>
      </c>
      <c r="Q2750" s="12" t="s">
        <v>47</v>
      </c>
      <c r="R2750" s="12" t="s">
        <v>1660</v>
      </c>
      <c r="S2750" s="13">
        <v>197804558438</v>
      </c>
      <c r="T2750" s="12" t="s">
        <v>49</v>
      </c>
      <c r="U2750" s="13">
        <v>36.5</v>
      </c>
      <c r="V2750" s="12" t="s">
        <v>50</v>
      </c>
      <c r="W2750" s="12" t="s">
        <v>51</v>
      </c>
      <c r="X2750" s="14"/>
      <c r="Y2750" s="14"/>
      <c r="Z2750" s="14"/>
      <c r="AA2750" s="14"/>
      <c r="AB2750" s="14"/>
      <c r="AC2750" s="15">
        <v>65.95</v>
      </c>
      <c r="AD2750" s="15">
        <f>AC2750*AG2750</f>
        <v>131.9</v>
      </c>
      <c r="AE2750" s="15">
        <v>145</v>
      </c>
      <c r="AF2750" s="15">
        <f>AE2750*AG2750</f>
        <v>290</v>
      </c>
      <c r="AG2750" s="16">
        <v>2</v>
      </c>
    </row>
    <row r="2751" spans="1:33" ht="15" customHeight="1" x14ac:dyDescent="0.2">
      <c r="A2751" s="11" t="str">
        <f t="shared" ref="A2751:A2752" si="1107">HYPERLINK("https://assets.vans.eu/images/VN000DAQTWH-HERO/1","VN000DAQTWH1")</f>
        <v>VN000DAQTWH1</v>
      </c>
      <c r="B2751" s="12" t="s">
        <v>10070</v>
      </c>
      <c r="C2751" s="12" t="s">
        <v>2817</v>
      </c>
      <c r="D2751" s="12" t="s">
        <v>4401</v>
      </c>
      <c r="E2751" s="12" t="s">
        <v>10071</v>
      </c>
      <c r="F2751" s="13">
        <v>55</v>
      </c>
      <c r="G2751" s="14"/>
      <c r="H2751" s="12" t="s">
        <v>38</v>
      </c>
      <c r="I2751" s="12" t="s">
        <v>113</v>
      </c>
      <c r="J2751" s="12" t="s">
        <v>114</v>
      </c>
      <c r="K2751" s="12" t="s">
        <v>82</v>
      </c>
      <c r="L2751" s="14"/>
      <c r="M2751" s="12" t="s">
        <v>43</v>
      </c>
      <c r="N2751" s="12" t="s">
        <v>84</v>
      </c>
      <c r="O2751" s="12" t="s">
        <v>10072</v>
      </c>
      <c r="P2751" s="12" t="s">
        <v>46</v>
      </c>
      <c r="Q2751" s="12" t="s">
        <v>47</v>
      </c>
      <c r="R2751" s="12" t="s">
        <v>948</v>
      </c>
      <c r="S2751" s="13">
        <v>197804558551</v>
      </c>
      <c r="T2751" s="12" t="s">
        <v>49</v>
      </c>
      <c r="U2751" s="13">
        <v>37</v>
      </c>
      <c r="V2751" s="12" t="s">
        <v>50</v>
      </c>
      <c r="W2751" s="12" t="s">
        <v>186</v>
      </c>
      <c r="X2751" s="14"/>
      <c r="Y2751" s="14"/>
      <c r="Z2751" s="14"/>
      <c r="AA2751" s="14"/>
      <c r="AB2751" s="14"/>
      <c r="AC2751" s="15">
        <v>65.95</v>
      </c>
      <c r="AD2751" s="15">
        <f>AC2751*AG2751</f>
        <v>131.9</v>
      </c>
      <c r="AE2751" s="15">
        <v>145</v>
      </c>
      <c r="AF2751" s="15">
        <f>AE2751*AG2751</f>
        <v>290</v>
      </c>
      <c r="AG2751" s="16">
        <v>2</v>
      </c>
    </row>
    <row r="2752" spans="1:33" ht="15" customHeight="1" x14ac:dyDescent="0.2">
      <c r="A2752" s="11" t="str">
        <f t="shared" si="1107"/>
        <v>VN000DAQTWH1</v>
      </c>
      <c r="B2752" s="12" t="s">
        <v>10073</v>
      </c>
      <c r="C2752" s="12" t="s">
        <v>2817</v>
      </c>
      <c r="D2752" s="12" t="s">
        <v>4401</v>
      </c>
      <c r="E2752" s="12" t="s">
        <v>10074</v>
      </c>
      <c r="F2752" s="13">
        <v>75</v>
      </c>
      <c r="G2752" s="14"/>
      <c r="H2752" s="12" t="s">
        <v>38</v>
      </c>
      <c r="I2752" s="12" t="s">
        <v>113</v>
      </c>
      <c r="J2752" s="12" t="s">
        <v>114</v>
      </c>
      <c r="K2752" s="12" t="s">
        <v>82</v>
      </c>
      <c r="L2752" s="14"/>
      <c r="M2752" s="12" t="s">
        <v>43</v>
      </c>
      <c r="N2752" s="12" t="s">
        <v>84</v>
      </c>
      <c r="O2752" s="12" t="s">
        <v>10075</v>
      </c>
      <c r="P2752" s="12" t="s">
        <v>46</v>
      </c>
      <c r="Q2752" s="12" t="s">
        <v>47</v>
      </c>
      <c r="R2752" s="12" t="s">
        <v>948</v>
      </c>
      <c r="S2752" s="13">
        <v>197804559138</v>
      </c>
      <c r="T2752" s="12" t="s">
        <v>49</v>
      </c>
      <c r="U2752" s="13">
        <v>40</v>
      </c>
      <c r="V2752" s="12" t="s">
        <v>50</v>
      </c>
      <c r="W2752" s="12" t="s">
        <v>186</v>
      </c>
      <c r="X2752" s="14"/>
      <c r="Y2752" s="14"/>
      <c r="Z2752" s="14"/>
      <c r="AA2752" s="14"/>
      <c r="AB2752" s="14"/>
      <c r="AC2752" s="15">
        <v>65.95</v>
      </c>
      <c r="AD2752" s="15">
        <f>AC2752*AG2752</f>
        <v>131.9</v>
      </c>
      <c r="AE2752" s="15">
        <v>145</v>
      </c>
      <c r="AF2752" s="15">
        <f>AE2752*AG2752</f>
        <v>290</v>
      </c>
      <c r="AG2752" s="16">
        <v>2</v>
      </c>
    </row>
    <row r="2753" spans="1:33" ht="15" customHeight="1" x14ac:dyDescent="0.2">
      <c r="A2753" s="11" t="str">
        <f t="shared" ref="A2753:A4562" si="1108">HYPERLINK("https://assets.vans.eu/images/VN000DAQY49-HERO/1","VN000DAQY491")</f>
        <v>VN000DAQY491</v>
      </c>
      <c r="B2753" s="12" t="s">
        <v>10076</v>
      </c>
      <c r="C2753" s="12" t="s">
        <v>2817</v>
      </c>
      <c r="D2753" s="12" t="s">
        <v>5737</v>
      </c>
      <c r="E2753" s="12" t="s">
        <v>10077</v>
      </c>
      <c r="F2753" s="13">
        <v>90</v>
      </c>
      <c r="G2753" s="14"/>
      <c r="H2753" s="12" t="s">
        <v>38</v>
      </c>
      <c r="I2753" s="12" t="s">
        <v>159</v>
      </c>
      <c r="J2753" s="12" t="s">
        <v>160</v>
      </c>
      <c r="K2753" s="12" t="s">
        <v>82</v>
      </c>
      <c r="L2753" s="14"/>
      <c r="M2753" s="12" t="s">
        <v>43</v>
      </c>
      <c r="N2753" s="12" t="s">
        <v>84</v>
      </c>
      <c r="O2753" s="12" t="s">
        <v>10078</v>
      </c>
      <c r="P2753" s="12" t="s">
        <v>46</v>
      </c>
      <c r="Q2753" s="12" t="s">
        <v>47</v>
      </c>
      <c r="R2753" s="12" t="s">
        <v>1660</v>
      </c>
      <c r="S2753" s="13">
        <v>197804559350</v>
      </c>
      <c r="T2753" s="12" t="s">
        <v>49</v>
      </c>
      <c r="U2753" s="13">
        <v>42</v>
      </c>
      <c r="V2753" s="12" t="s">
        <v>50</v>
      </c>
      <c r="W2753" s="12" t="s">
        <v>186</v>
      </c>
      <c r="X2753" s="14"/>
      <c r="Y2753" s="14"/>
      <c r="Z2753" s="14"/>
      <c r="AA2753" s="14"/>
      <c r="AB2753" s="14"/>
      <c r="AC2753" s="15">
        <v>65.95</v>
      </c>
      <c r="AD2753" s="15">
        <f>AC2753*AG2753</f>
        <v>131.9</v>
      </c>
      <c r="AE2753" s="15">
        <v>145</v>
      </c>
      <c r="AF2753" s="15">
        <f>AE2753*AG2753</f>
        <v>290</v>
      </c>
      <c r="AG2753" s="16">
        <v>2</v>
      </c>
    </row>
    <row r="2754" spans="1:33" ht="15" customHeight="1" x14ac:dyDescent="0.2">
      <c r="A2754" s="11" t="str">
        <f t="shared" ref="A2754:A2755" si="1109">HYPERLINK("https://assets.vans.eu/images/VN000DAQZO2-HERO/1","VN000DAQZO21")</f>
        <v>VN000DAQZO21</v>
      </c>
      <c r="B2754" s="12" t="s">
        <v>10079</v>
      </c>
      <c r="C2754" s="12" t="s">
        <v>2817</v>
      </c>
      <c r="D2754" s="12" t="s">
        <v>10080</v>
      </c>
      <c r="E2754" s="12" t="s">
        <v>10081</v>
      </c>
      <c r="F2754" s="13">
        <v>90</v>
      </c>
      <c r="G2754" s="14"/>
      <c r="H2754" s="12" t="s">
        <v>38</v>
      </c>
      <c r="I2754" s="12" t="s">
        <v>159</v>
      </c>
      <c r="J2754" s="12" t="s">
        <v>160</v>
      </c>
      <c r="K2754" s="12" t="s">
        <v>82</v>
      </c>
      <c r="L2754" s="14"/>
      <c r="M2754" s="12" t="s">
        <v>43</v>
      </c>
      <c r="N2754" s="12" t="s">
        <v>84</v>
      </c>
      <c r="O2754" s="12" t="s">
        <v>10082</v>
      </c>
      <c r="P2754" s="12" t="s">
        <v>46</v>
      </c>
      <c r="Q2754" s="12" t="s">
        <v>47</v>
      </c>
      <c r="R2754" s="12" t="s">
        <v>1660</v>
      </c>
      <c r="S2754" s="13">
        <v>197804560257</v>
      </c>
      <c r="T2754" s="12" t="s">
        <v>49</v>
      </c>
      <c r="U2754" s="13">
        <v>42</v>
      </c>
      <c r="V2754" s="12" t="s">
        <v>50</v>
      </c>
      <c r="W2754" s="12" t="s">
        <v>580</v>
      </c>
      <c r="X2754" s="14"/>
      <c r="Y2754" s="14"/>
      <c r="Z2754" s="14"/>
      <c r="AA2754" s="14"/>
      <c r="AB2754" s="14"/>
      <c r="AC2754" s="15">
        <v>65.95</v>
      </c>
      <c r="AD2754" s="15">
        <f>AC2754*AG2754</f>
        <v>131.9</v>
      </c>
      <c r="AE2754" s="15">
        <v>145</v>
      </c>
      <c r="AF2754" s="15">
        <f>AE2754*AG2754</f>
        <v>290</v>
      </c>
      <c r="AG2754" s="16">
        <v>2</v>
      </c>
    </row>
    <row r="2755" spans="1:33" ht="15" customHeight="1" x14ac:dyDescent="0.2">
      <c r="A2755" s="11" t="str">
        <f t="shared" si="1109"/>
        <v>VN000DAQZO21</v>
      </c>
      <c r="B2755" s="12" t="s">
        <v>10083</v>
      </c>
      <c r="C2755" s="12" t="s">
        <v>2817</v>
      </c>
      <c r="D2755" s="12" t="s">
        <v>10080</v>
      </c>
      <c r="E2755" s="12" t="s">
        <v>10084</v>
      </c>
      <c r="F2755" s="13">
        <v>95</v>
      </c>
      <c r="G2755" s="14"/>
      <c r="H2755" s="12" t="s">
        <v>38</v>
      </c>
      <c r="I2755" s="12" t="s">
        <v>159</v>
      </c>
      <c r="J2755" s="12" t="s">
        <v>160</v>
      </c>
      <c r="K2755" s="12" t="s">
        <v>82</v>
      </c>
      <c r="L2755" s="14"/>
      <c r="M2755" s="12" t="s">
        <v>43</v>
      </c>
      <c r="N2755" s="12" t="s">
        <v>84</v>
      </c>
      <c r="O2755" s="12" t="s">
        <v>10085</v>
      </c>
      <c r="P2755" s="12" t="s">
        <v>46</v>
      </c>
      <c r="Q2755" s="12" t="s">
        <v>47</v>
      </c>
      <c r="R2755" s="12" t="s">
        <v>1660</v>
      </c>
      <c r="S2755" s="13">
        <v>197804560325</v>
      </c>
      <c r="T2755" s="12" t="s">
        <v>49</v>
      </c>
      <c r="U2755" s="13">
        <v>42.5</v>
      </c>
      <c r="V2755" s="12" t="s">
        <v>50</v>
      </c>
      <c r="W2755" s="12" t="s">
        <v>580</v>
      </c>
      <c r="X2755" s="14"/>
      <c r="Y2755" s="14"/>
      <c r="Z2755" s="14"/>
      <c r="AA2755" s="14"/>
      <c r="AB2755" s="14"/>
      <c r="AC2755" s="15">
        <v>65.95</v>
      </c>
      <c r="AD2755" s="15">
        <f>AC2755*AG2755</f>
        <v>131.9</v>
      </c>
      <c r="AE2755" s="15">
        <v>145</v>
      </c>
      <c r="AF2755" s="15">
        <f>AE2755*AG2755</f>
        <v>290</v>
      </c>
      <c r="AG2755" s="16">
        <v>2</v>
      </c>
    </row>
    <row r="2756" spans="1:33" ht="15" customHeight="1" x14ac:dyDescent="0.2">
      <c r="A2756" s="11" t="str">
        <f t="shared" ref="A2756:A2757" si="1110">HYPERLINK("https://assets.vans.eu/images/VN000DARBKL-HERO/1","VN000DARBKL1")</f>
        <v>VN000DARBKL1</v>
      </c>
      <c r="B2756" s="12" t="s">
        <v>10086</v>
      </c>
      <c r="C2756" s="12" t="s">
        <v>4405</v>
      </c>
      <c r="D2756" s="12" t="s">
        <v>5967</v>
      </c>
      <c r="E2756" s="12" t="s">
        <v>10087</v>
      </c>
      <c r="F2756" s="13">
        <v>45</v>
      </c>
      <c r="G2756" s="14"/>
      <c r="H2756" s="12" t="s">
        <v>38</v>
      </c>
      <c r="I2756" s="12" t="s">
        <v>159</v>
      </c>
      <c r="J2756" s="12" t="s">
        <v>160</v>
      </c>
      <c r="K2756" s="12" t="s">
        <v>82</v>
      </c>
      <c r="L2756" s="14"/>
      <c r="M2756" s="12" t="s">
        <v>43</v>
      </c>
      <c r="N2756" s="12" t="s">
        <v>84</v>
      </c>
      <c r="O2756" s="12" t="s">
        <v>10088</v>
      </c>
      <c r="P2756" s="12" t="s">
        <v>46</v>
      </c>
      <c r="Q2756" s="12" t="s">
        <v>47</v>
      </c>
      <c r="R2756" s="12" t="s">
        <v>1660</v>
      </c>
      <c r="S2756" s="13">
        <v>197804559404</v>
      </c>
      <c r="T2756" s="12" t="s">
        <v>49</v>
      </c>
      <c r="U2756" s="13">
        <v>36</v>
      </c>
      <c r="V2756" s="12" t="s">
        <v>50</v>
      </c>
      <c r="W2756" s="12" t="s">
        <v>186</v>
      </c>
      <c r="X2756" s="14"/>
      <c r="Y2756" s="14"/>
      <c r="Z2756" s="14"/>
      <c r="AA2756" s="14"/>
      <c r="AB2756" s="14"/>
      <c r="AC2756" s="15">
        <v>84.1</v>
      </c>
      <c r="AD2756" s="15">
        <f>AC2756*AG2756</f>
        <v>168.2</v>
      </c>
      <c r="AE2756" s="15">
        <v>185</v>
      </c>
      <c r="AF2756" s="15">
        <f>AE2756*AG2756</f>
        <v>370</v>
      </c>
      <c r="AG2756" s="16">
        <v>2</v>
      </c>
    </row>
    <row r="2757" spans="1:33" ht="15" customHeight="1" x14ac:dyDescent="0.2">
      <c r="A2757" s="11" t="str">
        <f t="shared" si="1110"/>
        <v>VN000DARBKL1</v>
      </c>
      <c r="B2757" s="12" t="s">
        <v>10089</v>
      </c>
      <c r="C2757" s="12" t="s">
        <v>4405</v>
      </c>
      <c r="D2757" s="12" t="s">
        <v>5967</v>
      </c>
      <c r="E2757" s="12" t="s">
        <v>10090</v>
      </c>
      <c r="F2757" s="13">
        <v>50</v>
      </c>
      <c r="G2757" s="14"/>
      <c r="H2757" s="12" t="s">
        <v>38</v>
      </c>
      <c r="I2757" s="12" t="s">
        <v>159</v>
      </c>
      <c r="J2757" s="12" t="s">
        <v>160</v>
      </c>
      <c r="K2757" s="12" t="s">
        <v>82</v>
      </c>
      <c r="L2757" s="14"/>
      <c r="M2757" s="12" t="s">
        <v>43</v>
      </c>
      <c r="N2757" s="12" t="s">
        <v>84</v>
      </c>
      <c r="O2757" s="12" t="s">
        <v>10091</v>
      </c>
      <c r="P2757" s="12" t="s">
        <v>46</v>
      </c>
      <c r="Q2757" s="12" t="s">
        <v>47</v>
      </c>
      <c r="R2757" s="12" t="s">
        <v>1660</v>
      </c>
      <c r="S2757" s="13">
        <v>197804559534</v>
      </c>
      <c r="T2757" s="12" t="s">
        <v>49</v>
      </c>
      <c r="U2757" s="13">
        <v>36.5</v>
      </c>
      <c r="V2757" s="12" t="s">
        <v>50</v>
      </c>
      <c r="W2757" s="12" t="s">
        <v>186</v>
      </c>
      <c r="X2757" s="14"/>
      <c r="Y2757" s="14"/>
      <c r="Z2757" s="14"/>
      <c r="AA2757" s="14"/>
      <c r="AB2757" s="14"/>
      <c r="AC2757" s="15">
        <v>84.1</v>
      </c>
      <c r="AD2757" s="15">
        <f>AC2757*AG2757</f>
        <v>168.2</v>
      </c>
      <c r="AE2757" s="15">
        <v>185</v>
      </c>
      <c r="AF2757" s="15">
        <f>AE2757*AG2757</f>
        <v>370</v>
      </c>
      <c r="AG2757" s="16">
        <v>2</v>
      </c>
    </row>
    <row r="2758" spans="1:33" ht="15" customHeight="1" x14ac:dyDescent="0.2">
      <c r="A2758" s="11" t="str">
        <f t="shared" si="820"/>
        <v>VN000DARC9F1</v>
      </c>
      <c r="B2758" s="12" t="s">
        <v>10092</v>
      </c>
      <c r="C2758" s="12" t="s">
        <v>4405</v>
      </c>
      <c r="D2758" s="12" t="s">
        <v>2056</v>
      </c>
      <c r="E2758" s="12" t="s">
        <v>10093</v>
      </c>
      <c r="F2758" s="13">
        <v>35</v>
      </c>
      <c r="G2758" s="14"/>
      <c r="H2758" s="12" t="s">
        <v>38</v>
      </c>
      <c r="I2758" s="12" t="s">
        <v>113</v>
      </c>
      <c r="J2758" s="12" t="s">
        <v>114</v>
      </c>
      <c r="K2758" s="12" t="s">
        <v>82</v>
      </c>
      <c r="L2758" s="14"/>
      <c r="M2758" s="12" t="s">
        <v>43</v>
      </c>
      <c r="N2758" s="12" t="s">
        <v>84</v>
      </c>
      <c r="O2758" s="12" t="s">
        <v>10094</v>
      </c>
      <c r="P2758" s="12" t="s">
        <v>46</v>
      </c>
      <c r="Q2758" s="12" t="s">
        <v>47</v>
      </c>
      <c r="R2758" s="12" t="s">
        <v>948</v>
      </c>
      <c r="S2758" s="13">
        <v>197804559039</v>
      </c>
      <c r="T2758" s="12" t="s">
        <v>49</v>
      </c>
      <c r="U2758" s="13">
        <v>34.5</v>
      </c>
      <c r="V2758" s="12" t="s">
        <v>50</v>
      </c>
      <c r="W2758" s="12" t="s">
        <v>175</v>
      </c>
      <c r="X2758" s="14"/>
      <c r="Y2758" s="14"/>
      <c r="Z2758" s="14"/>
      <c r="AA2758" s="14"/>
      <c r="AB2758" s="14"/>
      <c r="AC2758" s="15">
        <v>84.1</v>
      </c>
      <c r="AD2758" s="15">
        <f>AC2758*AG2758</f>
        <v>168.2</v>
      </c>
      <c r="AE2758" s="15">
        <v>185</v>
      </c>
      <c r="AF2758" s="15">
        <f>AE2758*AG2758</f>
        <v>370</v>
      </c>
      <c r="AG2758" s="16">
        <v>2</v>
      </c>
    </row>
    <row r="2759" spans="1:33" ht="15" customHeight="1" x14ac:dyDescent="0.2">
      <c r="A2759" s="11" t="str">
        <f t="shared" ref="A2759:A2760" si="1111">HYPERLINK("https://assets.vans.eu/images/VN000DARC9F-HERO/1","VN000DARC9F1")</f>
        <v>VN000DARC9F1</v>
      </c>
      <c r="B2759" s="12" t="s">
        <v>10095</v>
      </c>
      <c r="C2759" s="12" t="s">
        <v>4405</v>
      </c>
      <c r="D2759" s="12" t="s">
        <v>2056</v>
      </c>
      <c r="E2759" s="12" t="s">
        <v>10096</v>
      </c>
      <c r="F2759" s="13">
        <v>45</v>
      </c>
      <c r="G2759" s="14"/>
      <c r="H2759" s="12" t="s">
        <v>38</v>
      </c>
      <c r="I2759" s="12" t="s">
        <v>113</v>
      </c>
      <c r="J2759" s="12" t="s">
        <v>114</v>
      </c>
      <c r="K2759" s="12" t="s">
        <v>82</v>
      </c>
      <c r="L2759" s="14"/>
      <c r="M2759" s="12" t="s">
        <v>43</v>
      </c>
      <c r="N2759" s="12" t="s">
        <v>84</v>
      </c>
      <c r="O2759" s="12" t="s">
        <v>10097</v>
      </c>
      <c r="P2759" s="12" t="s">
        <v>46</v>
      </c>
      <c r="Q2759" s="12" t="s">
        <v>47</v>
      </c>
      <c r="R2759" s="12" t="s">
        <v>948</v>
      </c>
      <c r="S2759" s="13">
        <v>197804559329</v>
      </c>
      <c r="T2759" s="12" t="s">
        <v>49</v>
      </c>
      <c r="U2759" s="13">
        <v>36</v>
      </c>
      <c r="V2759" s="12" t="s">
        <v>50</v>
      </c>
      <c r="W2759" s="12" t="s">
        <v>175</v>
      </c>
      <c r="X2759" s="14"/>
      <c r="Y2759" s="14"/>
      <c r="Z2759" s="14"/>
      <c r="AA2759" s="14"/>
      <c r="AB2759" s="14"/>
      <c r="AC2759" s="15">
        <v>84.1</v>
      </c>
      <c r="AD2759" s="15">
        <f>AC2759*AG2759</f>
        <v>168.2</v>
      </c>
      <c r="AE2759" s="15">
        <v>185</v>
      </c>
      <c r="AF2759" s="15">
        <f>AE2759*AG2759</f>
        <v>370</v>
      </c>
      <c r="AG2759" s="16">
        <v>2</v>
      </c>
    </row>
    <row r="2760" spans="1:33" ht="15" customHeight="1" x14ac:dyDescent="0.2">
      <c r="A2760" s="11" t="str">
        <f t="shared" si="1111"/>
        <v>VN000DARC9F1</v>
      </c>
      <c r="B2760" s="12" t="s">
        <v>10098</v>
      </c>
      <c r="C2760" s="12" t="s">
        <v>4405</v>
      </c>
      <c r="D2760" s="12" t="s">
        <v>2056</v>
      </c>
      <c r="E2760" s="12" t="s">
        <v>10099</v>
      </c>
      <c r="F2760" s="13">
        <v>75</v>
      </c>
      <c r="G2760" s="14"/>
      <c r="H2760" s="12" t="s">
        <v>38</v>
      </c>
      <c r="I2760" s="12" t="s">
        <v>113</v>
      </c>
      <c r="J2760" s="12" t="s">
        <v>114</v>
      </c>
      <c r="K2760" s="12" t="s">
        <v>82</v>
      </c>
      <c r="L2760" s="14"/>
      <c r="M2760" s="12" t="s">
        <v>43</v>
      </c>
      <c r="N2760" s="12" t="s">
        <v>84</v>
      </c>
      <c r="O2760" s="12" t="s">
        <v>10100</v>
      </c>
      <c r="P2760" s="12" t="s">
        <v>46</v>
      </c>
      <c r="Q2760" s="12" t="s">
        <v>47</v>
      </c>
      <c r="R2760" s="12" t="s">
        <v>948</v>
      </c>
      <c r="S2760" s="13">
        <v>197804560134</v>
      </c>
      <c r="T2760" s="12" t="s">
        <v>49</v>
      </c>
      <c r="U2760" s="13">
        <v>40</v>
      </c>
      <c r="V2760" s="12" t="s">
        <v>50</v>
      </c>
      <c r="W2760" s="12" t="s">
        <v>175</v>
      </c>
      <c r="X2760" s="14"/>
      <c r="Y2760" s="14"/>
      <c r="Z2760" s="14"/>
      <c r="AA2760" s="14"/>
      <c r="AB2760" s="14"/>
      <c r="AC2760" s="15">
        <v>84.1</v>
      </c>
      <c r="AD2760" s="15">
        <f>AC2760*AG2760</f>
        <v>168.2</v>
      </c>
      <c r="AE2760" s="15">
        <v>185</v>
      </c>
      <c r="AF2760" s="15">
        <f>AE2760*AG2760</f>
        <v>370</v>
      </c>
      <c r="AG2760" s="16">
        <v>2</v>
      </c>
    </row>
    <row r="2761" spans="1:33" ht="15" customHeight="1" x14ac:dyDescent="0.2">
      <c r="A2761" s="11" t="str">
        <f t="shared" ref="A2761:A4572" si="1112">HYPERLINK("https://assets.vans.eu/images/VN000DARF87-HERO/1","VN000DARF871")</f>
        <v>VN000DARF871</v>
      </c>
      <c r="B2761" s="12" t="s">
        <v>10101</v>
      </c>
      <c r="C2761" s="12" t="s">
        <v>4405</v>
      </c>
      <c r="D2761" s="12" t="s">
        <v>10102</v>
      </c>
      <c r="E2761" s="12" t="s">
        <v>10103</v>
      </c>
      <c r="F2761" s="13">
        <v>95</v>
      </c>
      <c r="G2761" s="14"/>
      <c r="H2761" s="12" t="s">
        <v>38</v>
      </c>
      <c r="I2761" s="12" t="s">
        <v>159</v>
      </c>
      <c r="J2761" s="12" t="s">
        <v>160</v>
      </c>
      <c r="K2761" s="12" t="s">
        <v>82</v>
      </c>
      <c r="L2761" s="14"/>
      <c r="M2761" s="12" t="s">
        <v>43</v>
      </c>
      <c r="N2761" s="12" t="s">
        <v>84</v>
      </c>
      <c r="O2761" s="12" t="s">
        <v>10104</v>
      </c>
      <c r="P2761" s="12" t="s">
        <v>46</v>
      </c>
      <c r="Q2761" s="12" t="s">
        <v>47</v>
      </c>
      <c r="R2761" s="12" t="s">
        <v>1660</v>
      </c>
      <c r="S2761" s="13">
        <v>197804560851</v>
      </c>
      <c r="T2761" s="12" t="s">
        <v>49</v>
      </c>
      <c r="U2761" s="13">
        <v>42.5</v>
      </c>
      <c r="V2761" s="12" t="s">
        <v>50</v>
      </c>
      <c r="W2761" s="12" t="s">
        <v>598</v>
      </c>
      <c r="X2761" s="14"/>
      <c r="Y2761" s="14"/>
      <c r="Z2761" s="14"/>
      <c r="AA2761" s="14"/>
      <c r="AB2761" s="14"/>
      <c r="AC2761" s="15">
        <v>84.1</v>
      </c>
      <c r="AD2761" s="15">
        <f>AC2761*AG2761</f>
        <v>168.2</v>
      </c>
      <c r="AE2761" s="15">
        <v>185</v>
      </c>
      <c r="AF2761" s="15">
        <f>AE2761*AG2761</f>
        <v>370</v>
      </c>
      <c r="AG2761" s="16">
        <v>2</v>
      </c>
    </row>
    <row r="2762" spans="1:33" ht="15" customHeight="1" x14ac:dyDescent="0.2">
      <c r="A2762" s="11" t="str">
        <f t="shared" ref="A2762:A4576" si="1113">HYPERLINK("https://assets.vans.eu/images/VN000DAYF87-HERO/1","VN000DAYF871")</f>
        <v>VN000DAYF871</v>
      </c>
      <c r="B2762" s="12" t="s">
        <v>10105</v>
      </c>
      <c r="C2762" s="12" t="s">
        <v>10106</v>
      </c>
      <c r="D2762" s="12" t="s">
        <v>10102</v>
      </c>
      <c r="E2762" s="12" t="s">
        <v>10107</v>
      </c>
      <c r="F2762" s="13">
        <v>80</v>
      </c>
      <c r="G2762" s="14"/>
      <c r="H2762" s="12" t="s">
        <v>38</v>
      </c>
      <c r="I2762" s="12" t="s">
        <v>159</v>
      </c>
      <c r="J2762" s="12" t="s">
        <v>255</v>
      </c>
      <c r="K2762" s="12" t="s">
        <v>82</v>
      </c>
      <c r="L2762" s="14"/>
      <c r="M2762" s="12" t="s">
        <v>43</v>
      </c>
      <c r="N2762" s="12" t="s">
        <v>84</v>
      </c>
      <c r="O2762" s="12" t="s">
        <v>10108</v>
      </c>
      <c r="P2762" s="12" t="s">
        <v>46</v>
      </c>
      <c r="Q2762" s="12" t="s">
        <v>2432</v>
      </c>
      <c r="R2762" s="12" t="s">
        <v>10109</v>
      </c>
      <c r="S2762" s="13">
        <v>197804489305</v>
      </c>
      <c r="T2762" s="12" t="s">
        <v>49</v>
      </c>
      <c r="U2762" s="13">
        <v>40.5</v>
      </c>
      <c r="V2762" s="12" t="s">
        <v>50</v>
      </c>
      <c r="W2762" s="12" t="s">
        <v>598</v>
      </c>
      <c r="X2762" s="14"/>
      <c r="Y2762" s="14"/>
      <c r="Z2762" s="14"/>
      <c r="AA2762" s="14"/>
      <c r="AB2762" s="14"/>
      <c r="AC2762" s="15">
        <v>100</v>
      </c>
      <c r="AD2762" s="15">
        <f>AC2762*AG2762</f>
        <v>200</v>
      </c>
      <c r="AE2762" s="15">
        <v>220</v>
      </c>
      <c r="AF2762" s="15">
        <f>AE2762*AG2762</f>
        <v>440</v>
      </c>
      <c r="AG2762" s="16">
        <v>2</v>
      </c>
    </row>
    <row r="2763" spans="1:33" ht="15" customHeight="1" x14ac:dyDescent="0.2">
      <c r="A2763" s="11" t="str">
        <f t="shared" ref="A2763:A2767" si="1114">HYPERLINK("https://assets.vans.eu/images/VN000DAZSTN-HERO/1","VN000DAZSTN1")</f>
        <v>VN000DAZSTN1</v>
      </c>
      <c r="B2763" s="12" t="s">
        <v>10110</v>
      </c>
      <c r="C2763" s="12" t="s">
        <v>4001</v>
      </c>
      <c r="D2763" s="12" t="s">
        <v>5974</v>
      </c>
      <c r="E2763" s="12" t="s">
        <v>10111</v>
      </c>
      <c r="F2763" s="13">
        <v>50</v>
      </c>
      <c r="G2763" s="14"/>
      <c r="H2763" s="12" t="s">
        <v>38</v>
      </c>
      <c r="I2763" s="12" t="s">
        <v>113</v>
      </c>
      <c r="J2763" s="12" t="s">
        <v>114</v>
      </c>
      <c r="K2763" s="12" t="s">
        <v>82</v>
      </c>
      <c r="L2763" s="14"/>
      <c r="M2763" s="12" t="s">
        <v>43</v>
      </c>
      <c r="N2763" s="12" t="s">
        <v>84</v>
      </c>
      <c r="O2763" s="12" t="s">
        <v>10112</v>
      </c>
      <c r="P2763" s="12" t="s">
        <v>46</v>
      </c>
      <c r="Q2763" s="12" t="s">
        <v>47</v>
      </c>
      <c r="R2763" s="12" t="s">
        <v>117</v>
      </c>
      <c r="S2763" s="13">
        <v>197804488810</v>
      </c>
      <c r="T2763" s="12" t="s">
        <v>49</v>
      </c>
      <c r="U2763" s="13">
        <v>36.5</v>
      </c>
      <c r="V2763" s="12" t="s">
        <v>50</v>
      </c>
      <c r="W2763" s="12" t="s">
        <v>299</v>
      </c>
      <c r="X2763" s="14"/>
      <c r="Y2763" s="14"/>
      <c r="Z2763" s="14"/>
      <c r="AA2763" s="14"/>
      <c r="AB2763" s="14"/>
      <c r="AC2763" s="15">
        <v>61.4</v>
      </c>
      <c r="AD2763" s="15">
        <f>AC2763*AG2763</f>
        <v>122.8</v>
      </c>
      <c r="AE2763" s="15">
        <v>135</v>
      </c>
      <c r="AF2763" s="15">
        <f>AE2763*AG2763</f>
        <v>270</v>
      </c>
      <c r="AG2763" s="16">
        <v>2</v>
      </c>
    </row>
    <row r="2764" spans="1:33" ht="15" customHeight="1" x14ac:dyDescent="0.2">
      <c r="A2764" s="11" t="str">
        <f t="shared" si="1114"/>
        <v>VN000DAZSTN1</v>
      </c>
      <c r="B2764" s="12" t="s">
        <v>10113</v>
      </c>
      <c r="C2764" s="12" t="s">
        <v>4001</v>
      </c>
      <c r="D2764" s="12" t="s">
        <v>5974</v>
      </c>
      <c r="E2764" s="12" t="s">
        <v>10114</v>
      </c>
      <c r="F2764" s="13">
        <v>55</v>
      </c>
      <c r="G2764" s="14"/>
      <c r="H2764" s="12" t="s">
        <v>38</v>
      </c>
      <c r="I2764" s="12" t="s">
        <v>113</v>
      </c>
      <c r="J2764" s="12" t="s">
        <v>114</v>
      </c>
      <c r="K2764" s="12" t="s">
        <v>82</v>
      </c>
      <c r="L2764" s="14"/>
      <c r="M2764" s="12" t="s">
        <v>43</v>
      </c>
      <c r="N2764" s="12" t="s">
        <v>84</v>
      </c>
      <c r="O2764" s="12" t="s">
        <v>10115</v>
      </c>
      <c r="P2764" s="12" t="s">
        <v>46</v>
      </c>
      <c r="Q2764" s="12" t="s">
        <v>47</v>
      </c>
      <c r="R2764" s="12" t="s">
        <v>117</v>
      </c>
      <c r="S2764" s="13">
        <v>197804489015</v>
      </c>
      <c r="T2764" s="12" t="s">
        <v>49</v>
      </c>
      <c r="U2764" s="13">
        <v>37</v>
      </c>
      <c r="V2764" s="12" t="s">
        <v>50</v>
      </c>
      <c r="W2764" s="12" t="s">
        <v>299</v>
      </c>
      <c r="X2764" s="14"/>
      <c r="Y2764" s="14"/>
      <c r="Z2764" s="14"/>
      <c r="AA2764" s="14"/>
      <c r="AB2764" s="14"/>
      <c r="AC2764" s="15">
        <v>61.4</v>
      </c>
      <c r="AD2764" s="15">
        <f>AC2764*AG2764</f>
        <v>122.8</v>
      </c>
      <c r="AE2764" s="15">
        <v>135</v>
      </c>
      <c r="AF2764" s="15">
        <f>AE2764*AG2764</f>
        <v>270</v>
      </c>
      <c r="AG2764" s="16">
        <v>2</v>
      </c>
    </row>
    <row r="2765" spans="1:33" ht="15" customHeight="1" x14ac:dyDescent="0.2">
      <c r="A2765" s="11" t="str">
        <f t="shared" si="1114"/>
        <v>VN000DAZSTN1</v>
      </c>
      <c r="B2765" s="12" t="s">
        <v>10116</v>
      </c>
      <c r="C2765" s="12" t="s">
        <v>4001</v>
      </c>
      <c r="D2765" s="12" t="s">
        <v>5974</v>
      </c>
      <c r="E2765" s="12" t="s">
        <v>10117</v>
      </c>
      <c r="F2765" s="13">
        <v>70</v>
      </c>
      <c r="G2765" s="14"/>
      <c r="H2765" s="12" t="s">
        <v>38</v>
      </c>
      <c r="I2765" s="12" t="s">
        <v>113</v>
      </c>
      <c r="J2765" s="12" t="s">
        <v>114</v>
      </c>
      <c r="K2765" s="12" t="s">
        <v>82</v>
      </c>
      <c r="L2765" s="14"/>
      <c r="M2765" s="12" t="s">
        <v>43</v>
      </c>
      <c r="N2765" s="12" t="s">
        <v>84</v>
      </c>
      <c r="O2765" s="12" t="s">
        <v>10118</v>
      </c>
      <c r="P2765" s="12" t="s">
        <v>46</v>
      </c>
      <c r="Q2765" s="12" t="s">
        <v>47</v>
      </c>
      <c r="R2765" s="12" t="s">
        <v>117</v>
      </c>
      <c r="S2765" s="13">
        <v>197804489398</v>
      </c>
      <c r="T2765" s="12" t="s">
        <v>49</v>
      </c>
      <c r="U2765" s="13">
        <v>39</v>
      </c>
      <c r="V2765" s="12" t="s">
        <v>50</v>
      </c>
      <c r="W2765" s="12" t="s">
        <v>299</v>
      </c>
      <c r="X2765" s="14"/>
      <c r="Y2765" s="14"/>
      <c r="Z2765" s="14"/>
      <c r="AA2765" s="14"/>
      <c r="AB2765" s="14"/>
      <c r="AC2765" s="15">
        <v>61.4</v>
      </c>
      <c r="AD2765" s="15">
        <f>AC2765*AG2765</f>
        <v>122.8</v>
      </c>
      <c r="AE2765" s="15">
        <v>135</v>
      </c>
      <c r="AF2765" s="15">
        <f>AE2765*AG2765</f>
        <v>270</v>
      </c>
      <c r="AG2765" s="16">
        <v>2</v>
      </c>
    </row>
    <row r="2766" spans="1:33" ht="15" customHeight="1" x14ac:dyDescent="0.2">
      <c r="A2766" s="11" t="str">
        <f t="shared" si="1114"/>
        <v>VN000DAZSTN1</v>
      </c>
      <c r="B2766" s="12" t="s">
        <v>10119</v>
      </c>
      <c r="C2766" s="12" t="s">
        <v>4001</v>
      </c>
      <c r="D2766" s="12" t="s">
        <v>5974</v>
      </c>
      <c r="E2766" s="12" t="s">
        <v>10120</v>
      </c>
      <c r="F2766" s="13">
        <v>75</v>
      </c>
      <c r="G2766" s="14"/>
      <c r="H2766" s="12" t="s">
        <v>38</v>
      </c>
      <c r="I2766" s="12" t="s">
        <v>113</v>
      </c>
      <c r="J2766" s="12" t="s">
        <v>114</v>
      </c>
      <c r="K2766" s="12" t="s">
        <v>82</v>
      </c>
      <c r="L2766" s="14"/>
      <c r="M2766" s="12" t="s">
        <v>43</v>
      </c>
      <c r="N2766" s="12" t="s">
        <v>84</v>
      </c>
      <c r="O2766" s="12" t="s">
        <v>10121</v>
      </c>
      <c r="P2766" s="12" t="s">
        <v>46</v>
      </c>
      <c r="Q2766" s="12" t="s">
        <v>47</v>
      </c>
      <c r="R2766" s="12" t="s">
        <v>117</v>
      </c>
      <c r="S2766" s="13">
        <v>197804489596</v>
      </c>
      <c r="T2766" s="12" t="s">
        <v>49</v>
      </c>
      <c r="U2766" s="13">
        <v>40</v>
      </c>
      <c r="V2766" s="12" t="s">
        <v>50</v>
      </c>
      <c r="W2766" s="12" t="s">
        <v>299</v>
      </c>
      <c r="X2766" s="14"/>
      <c r="Y2766" s="14"/>
      <c r="Z2766" s="14"/>
      <c r="AA2766" s="14"/>
      <c r="AB2766" s="14"/>
      <c r="AC2766" s="15">
        <v>61.4</v>
      </c>
      <c r="AD2766" s="15">
        <f>AC2766*AG2766</f>
        <v>122.8</v>
      </c>
      <c r="AE2766" s="15">
        <v>135</v>
      </c>
      <c r="AF2766" s="15">
        <f>AE2766*AG2766</f>
        <v>270</v>
      </c>
      <c r="AG2766" s="16">
        <v>2</v>
      </c>
    </row>
    <row r="2767" spans="1:33" ht="15" customHeight="1" x14ac:dyDescent="0.2">
      <c r="A2767" s="11" t="str">
        <f t="shared" si="1114"/>
        <v>VN000DAZSTN1</v>
      </c>
      <c r="B2767" s="12" t="s">
        <v>10122</v>
      </c>
      <c r="C2767" s="12" t="s">
        <v>4001</v>
      </c>
      <c r="D2767" s="12" t="s">
        <v>5974</v>
      </c>
      <c r="E2767" s="12" t="s">
        <v>10123</v>
      </c>
      <c r="F2767" s="13">
        <v>90</v>
      </c>
      <c r="G2767" s="14"/>
      <c r="H2767" s="12" t="s">
        <v>38</v>
      </c>
      <c r="I2767" s="12" t="s">
        <v>113</v>
      </c>
      <c r="J2767" s="12" t="s">
        <v>114</v>
      </c>
      <c r="K2767" s="12" t="s">
        <v>82</v>
      </c>
      <c r="L2767" s="14"/>
      <c r="M2767" s="12" t="s">
        <v>43</v>
      </c>
      <c r="N2767" s="12" t="s">
        <v>84</v>
      </c>
      <c r="O2767" s="12" t="s">
        <v>10124</v>
      </c>
      <c r="P2767" s="12" t="s">
        <v>46</v>
      </c>
      <c r="Q2767" s="12" t="s">
        <v>47</v>
      </c>
      <c r="R2767" s="12" t="s">
        <v>117</v>
      </c>
      <c r="S2767" s="13">
        <v>197804490134</v>
      </c>
      <c r="T2767" s="12" t="s">
        <v>49</v>
      </c>
      <c r="U2767" s="13">
        <v>42</v>
      </c>
      <c r="V2767" s="12" t="s">
        <v>50</v>
      </c>
      <c r="W2767" s="12" t="s">
        <v>299</v>
      </c>
      <c r="X2767" s="14"/>
      <c r="Y2767" s="14"/>
      <c r="Z2767" s="14"/>
      <c r="AA2767" s="14"/>
      <c r="AB2767" s="14"/>
      <c r="AC2767" s="15">
        <v>61.4</v>
      </c>
      <c r="AD2767" s="15">
        <f>AC2767*AG2767</f>
        <v>122.8</v>
      </c>
      <c r="AE2767" s="15">
        <v>135</v>
      </c>
      <c r="AF2767" s="15">
        <f>AE2767*AG2767</f>
        <v>270</v>
      </c>
      <c r="AG2767" s="16">
        <v>2</v>
      </c>
    </row>
    <row r="2768" spans="1:33" ht="15" customHeight="1" x14ac:dyDescent="0.2">
      <c r="A2768" s="11" t="str">
        <f t="shared" si="644"/>
        <v>VN000DCBYJ71</v>
      </c>
      <c r="B2768" s="12" t="s">
        <v>10125</v>
      </c>
      <c r="C2768" s="12" t="s">
        <v>5984</v>
      </c>
      <c r="D2768" s="12" t="s">
        <v>1300</v>
      </c>
      <c r="E2768" s="12" t="s">
        <v>10126</v>
      </c>
      <c r="F2768" s="13">
        <v>85</v>
      </c>
      <c r="G2768" s="12" t="s">
        <v>953</v>
      </c>
      <c r="H2768" s="12" t="s">
        <v>38</v>
      </c>
      <c r="I2768" s="12" t="s">
        <v>159</v>
      </c>
      <c r="J2768" s="12" t="s">
        <v>160</v>
      </c>
      <c r="K2768" s="12" t="s">
        <v>82</v>
      </c>
      <c r="L2768" s="14"/>
      <c r="M2768" s="12" t="s">
        <v>43</v>
      </c>
      <c r="N2768" s="12" t="s">
        <v>84</v>
      </c>
      <c r="O2768" s="12" t="s">
        <v>10127</v>
      </c>
      <c r="P2768" s="12" t="s">
        <v>46</v>
      </c>
      <c r="Q2768" s="12" t="s">
        <v>47</v>
      </c>
      <c r="R2768" s="12" t="s">
        <v>1660</v>
      </c>
      <c r="S2768" s="13">
        <v>197804564163</v>
      </c>
      <c r="T2768" s="12" t="s">
        <v>49</v>
      </c>
      <c r="U2768" s="13">
        <v>41</v>
      </c>
      <c r="V2768" s="12" t="s">
        <v>50</v>
      </c>
      <c r="W2768" s="12" t="s">
        <v>51</v>
      </c>
      <c r="X2768" s="14"/>
      <c r="Y2768" s="14"/>
      <c r="Z2768" s="14"/>
      <c r="AA2768" s="14"/>
      <c r="AB2768" s="14"/>
      <c r="AC2768" s="15">
        <v>63.65</v>
      </c>
      <c r="AD2768" s="15">
        <f>AC2768*AG2768</f>
        <v>127.3</v>
      </c>
      <c r="AE2768" s="15">
        <v>140</v>
      </c>
      <c r="AF2768" s="15">
        <f>AE2768*AG2768</f>
        <v>280</v>
      </c>
      <c r="AG2768" s="16">
        <v>2</v>
      </c>
    </row>
    <row r="2769" spans="1:33" ht="15" customHeight="1" x14ac:dyDescent="0.2">
      <c r="A2769" s="11" t="str">
        <f t="shared" ref="A2769:A4592" si="1115">HYPERLINK("https://assets.vans.eu/images/VN000DCBYJ7-HERO/1","VN000DCBYJ71")</f>
        <v>VN000DCBYJ71</v>
      </c>
      <c r="B2769" s="12" t="s">
        <v>10128</v>
      </c>
      <c r="C2769" s="12" t="s">
        <v>5984</v>
      </c>
      <c r="D2769" s="12" t="s">
        <v>1300</v>
      </c>
      <c r="E2769" s="12" t="s">
        <v>10129</v>
      </c>
      <c r="F2769" s="13">
        <v>90</v>
      </c>
      <c r="G2769" s="12" t="s">
        <v>953</v>
      </c>
      <c r="H2769" s="12" t="s">
        <v>38</v>
      </c>
      <c r="I2769" s="12" t="s">
        <v>159</v>
      </c>
      <c r="J2769" s="12" t="s">
        <v>160</v>
      </c>
      <c r="K2769" s="12" t="s">
        <v>82</v>
      </c>
      <c r="L2769" s="14"/>
      <c r="M2769" s="12" t="s">
        <v>43</v>
      </c>
      <c r="N2769" s="12" t="s">
        <v>84</v>
      </c>
      <c r="O2769" s="12" t="s">
        <v>10130</v>
      </c>
      <c r="P2769" s="12" t="s">
        <v>46</v>
      </c>
      <c r="Q2769" s="12" t="s">
        <v>47</v>
      </c>
      <c r="R2769" s="12" t="s">
        <v>1660</v>
      </c>
      <c r="S2769" s="13">
        <v>197804564316</v>
      </c>
      <c r="T2769" s="12" t="s">
        <v>49</v>
      </c>
      <c r="U2769" s="13">
        <v>42</v>
      </c>
      <c r="V2769" s="12" t="s">
        <v>50</v>
      </c>
      <c r="W2769" s="12" t="s">
        <v>51</v>
      </c>
      <c r="X2769" s="14"/>
      <c r="Y2769" s="14"/>
      <c r="Z2769" s="14"/>
      <c r="AA2769" s="14"/>
      <c r="AB2769" s="14"/>
      <c r="AC2769" s="15">
        <v>63.65</v>
      </c>
      <c r="AD2769" s="15">
        <f>AC2769*AG2769</f>
        <v>127.3</v>
      </c>
      <c r="AE2769" s="15">
        <v>140</v>
      </c>
      <c r="AF2769" s="15">
        <f>AE2769*AG2769</f>
        <v>280</v>
      </c>
      <c r="AG2769" s="16">
        <v>2</v>
      </c>
    </row>
    <row r="2770" spans="1:33" ht="15" customHeight="1" x14ac:dyDescent="0.2">
      <c r="A2770" s="11" t="str">
        <f t="shared" si="645"/>
        <v>VN000DCE2VZ1</v>
      </c>
      <c r="B2770" s="12" t="s">
        <v>10131</v>
      </c>
      <c r="C2770" s="12" t="s">
        <v>266</v>
      </c>
      <c r="D2770" s="12" t="s">
        <v>5988</v>
      </c>
      <c r="E2770" s="12" t="s">
        <v>10132</v>
      </c>
      <c r="F2770" s="13">
        <v>50</v>
      </c>
      <c r="G2770" s="12" t="s">
        <v>5990</v>
      </c>
      <c r="H2770" s="12" t="s">
        <v>38</v>
      </c>
      <c r="I2770" s="12" t="s">
        <v>113</v>
      </c>
      <c r="J2770" s="12" t="s">
        <v>114</v>
      </c>
      <c r="K2770" s="12" t="s">
        <v>82</v>
      </c>
      <c r="L2770" s="14"/>
      <c r="M2770" s="12" t="s">
        <v>43</v>
      </c>
      <c r="N2770" s="12" t="s">
        <v>84</v>
      </c>
      <c r="O2770" s="12" t="s">
        <v>10133</v>
      </c>
      <c r="P2770" s="12" t="s">
        <v>46</v>
      </c>
      <c r="Q2770" s="12" t="s">
        <v>47</v>
      </c>
      <c r="R2770" s="12" t="s">
        <v>117</v>
      </c>
      <c r="S2770" s="13">
        <v>197804563449</v>
      </c>
      <c r="T2770" s="12" t="s">
        <v>49</v>
      </c>
      <c r="U2770" s="13">
        <v>36.5</v>
      </c>
      <c r="V2770" s="12" t="s">
        <v>50</v>
      </c>
      <c r="W2770" s="12" t="s">
        <v>175</v>
      </c>
      <c r="X2770" s="14"/>
      <c r="Y2770" s="14"/>
      <c r="Z2770" s="14"/>
      <c r="AA2770" s="14"/>
      <c r="AB2770" s="14"/>
      <c r="AC2770" s="15">
        <v>40.950000000000003</v>
      </c>
      <c r="AD2770" s="15">
        <f>AC2770*AG2770</f>
        <v>81.900000000000006</v>
      </c>
      <c r="AE2770" s="15">
        <v>90</v>
      </c>
      <c r="AF2770" s="15">
        <f>AE2770*AG2770</f>
        <v>180</v>
      </c>
      <c r="AG2770" s="16">
        <v>2</v>
      </c>
    </row>
    <row r="2771" spans="1:33" ht="15" customHeight="1" x14ac:dyDescent="0.2">
      <c r="A2771" s="11" t="str">
        <f t="shared" ref="A2771:A4597" si="1116">HYPERLINK("https://assets.vans.eu/images/VN000DCEBRD-HERO/1","VN000DCEBRD1")</f>
        <v>VN000DCEBRD1</v>
      </c>
      <c r="B2771" s="12" t="s">
        <v>10134</v>
      </c>
      <c r="C2771" s="12" t="s">
        <v>266</v>
      </c>
      <c r="D2771" s="12" t="s">
        <v>590</v>
      </c>
      <c r="E2771" s="12" t="s">
        <v>10135</v>
      </c>
      <c r="F2771" s="13">
        <v>80</v>
      </c>
      <c r="G2771" s="12" t="s">
        <v>5990</v>
      </c>
      <c r="H2771" s="12" t="s">
        <v>38</v>
      </c>
      <c r="I2771" s="12" t="s">
        <v>113</v>
      </c>
      <c r="J2771" s="12" t="s">
        <v>114</v>
      </c>
      <c r="K2771" s="12" t="s">
        <v>82</v>
      </c>
      <c r="L2771" s="14"/>
      <c r="M2771" s="12" t="s">
        <v>43</v>
      </c>
      <c r="N2771" s="12" t="s">
        <v>84</v>
      </c>
      <c r="O2771" s="12" t="s">
        <v>10136</v>
      </c>
      <c r="P2771" s="12" t="s">
        <v>46</v>
      </c>
      <c r="Q2771" s="12" t="s">
        <v>47</v>
      </c>
      <c r="R2771" s="12" t="s">
        <v>117</v>
      </c>
      <c r="S2771" s="13">
        <v>197804564118</v>
      </c>
      <c r="T2771" s="12" t="s">
        <v>49</v>
      </c>
      <c r="U2771" s="13">
        <v>40.5</v>
      </c>
      <c r="V2771" s="12" t="s">
        <v>50</v>
      </c>
      <c r="W2771" s="12" t="s">
        <v>262</v>
      </c>
      <c r="X2771" s="14"/>
      <c r="Y2771" s="14"/>
      <c r="Z2771" s="14"/>
      <c r="AA2771" s="14"/>
      <c r="AB2771" s="14"/>
      <c r="AC2771" s="15">
        <v>40.950000000000003</v>
      </c>
      <c r="AD2771" s="15">
        <f>AC2771*AG2771</f>
        <v>81.900000000000006</v>
      </c>
      <c r="AE2771" s="15">
        <v>90</v>
      </c>
      <c r="AF2771" s="15">
        <f>AE2771*AG2771</f>
        <v>180</v>
      </c>
      <c r="AG2771" s="16">
        <v>2</v>
      </c>
    </row>
    <row r="2772" spans="1:33" ht="15" customHeight="1" x14ac:dyDescent="0.2">
      <c r="A2772" s="11" t="str">
        <f t="shared" si="647"/>
        <v>VN000DCJGRN1</v>
      </c>
      <c r="B2772" s="12" t="s">
        <v>10137</v>
      </c>
      <c r="C2772" s="12" t="s">
        <v>2427</v>
      </c>
      <c r="D2772" s="12" t="s">
        <v>2428</v>
      </c>
      <c r="E2772" s="12" t="s">
        <v>10138</v>
      </c>
      <c r="F2772" s="13">
        <v>15</v>
      </c>
      <c r="G2772" s="14"/>
      <c r="H2772" s="12" t="s">
        <v>38</v>
      </c>
      <c r="I2772" s="12" t="s">
        <v>39</v>
      </c>
      <c r="J2772" s="12" t="s">
        <v>2430</v>
      </c>
      <c r="K2772" s="12" t="s">
        <v>373</v>
      </c>
      <c r="L2772" s="14"/>
      <c r="M2772" s="12" t="s">
        <v>43</v>
      </c>
      <c r="N2772" s="12" t="s">
        <v>84</v>
      </c>
      <c r="O2772" s="12" t="s">
        <v>10139</v>
      </c>
      <c r="P2772" s="12" t="s">
        <v>46</v>
      </c>
      <c r="Q2772" s="12" t="s">
        <v>2432</v>
      </c>
      <c r="R2772" s="12" t="s">
        <v>2433</v>
      </c>
      <c r="S2772" s="13">
        <v>197804564132</v>
      </c>
      <c r="T2772" s="12" t="s">
        <v>49</v>
      </c>
      <c r="U2772" s="13">
        <v>32</v>
      </c>
      <c r="V2772" s="12" t="s">
        <v>50</v>
      </c>
      <c r="W2772" s="12" t="s">
        <v>118</v>
      </c>
      <c r="X2772" s="14"/>
      <c r="Y2772" s="14"/>
      <c r="Z2772" s="14"/>
      <c r="AA2772" s="14"/>
      <c r="AB2772" s="14"/>
      <c r="AC2772" s="15">
        <v>31.85</v>
      </c>
      <c r="AD2772" s="15">
        <f>AC2772*AG2772</f>
        <v>63.7</v>
      </c>
      <c r="AE2772" s="15">
        <v>70</v>
      </c>
      <c r="AF2772" s="15">
        <f>AE2772*AG2772</f>
        <v>140</v>
      </c>
      <c r="AG2772" s="16">
        <v>2</v>
      </c>
    </row>
    <row r="2773" spans="1:33" ht="15" customHeight="1" x14ac:dyDescent="0.2">
      <c r="A2773" s="11" t="str">
        <f t="shared" ref="A2773:A2774" si="1117">HYPERLINK("https://assets.vans.eu/images/VN000E7UTC4-HERO/1","VN000E7UTC41")</f>
        <v>VN000E7UTC41</v>
      </c>
      <c r="B2773" s="12" t="s">
        <v>10140</v>
      </c>
      <c r="C2773" s="12" t="s">
        <v>1614</v>
      </c>
      <c r="D2773" s="12" t="s">
        <v>3291</v>
      </c>
      <c r="E2773" s="12" t="s">
        <v>10141</v>
      </c>
      <c r="F2773" s="13">
        <v>80</v>
      </c>
      <c r="G2773" s="14"/>
      <c r="H2773" s="12" t="s">
        <v>38</v>
      </c>
      <c r="I2773" s="12" t="s">
        <v>159</v>
      </c>
      <c r="J2773" s="12" t="s">
        <v>255</v>
      </c>
      <c r="K2773" s="12" t="s">
        <v>82</v>
      </c>
      <c r="L2773" s="12" t="s">
        <v>115</v>
      </c>
      <c r="M2773" s="12" t="s">
        <v>43</v>
      </c>
      <c r="N2773" s="12" t="s">
        <v>84</v>
      </c>
      <c r="O2773" s="12" t="s">
        <v>10142</v>
      </c>
      <c r="P2773" s="12" t="s">
        <v>46</v>
      </c>
      <c r="Q2773" s="12" t="s">
        <v>47</v>
      </c>
      <c r="R2773" s="12" t="s">
        <v>163</v>
      </c>
      <c r="S2773" s="13">
        <v>197805904265</v>
      </c>
      <c r="T2773" s="12" t="s">
        <v>49</v>
      </c>
      <c r="U2773" s="13">
        <v>40.5</v>
      </c>
      <c r="V2773" s="12" t="s">
        <v>50</v>
      </c>
      <c r="W2773" s="12" t="s">
        <v>455</v>
      </c>
      <c r="X2773" s="14"/>
      <c r="Y2773" s="14"/>
      <c r="Z2773" s="14"/>
      <c r="AA2773" s="14"/>
      <c r="AB2773" s="14"/>
      <c r="AC2773" s="15">
        <v>52.3</v>
      </c>
      <c r="AD2773" s="15">
        <f>AC2773*AG2773</f>
        <v>104.6</v>
      </c>
      <c r="AE2773" s="15">
        <v>115</v>
      </c>
      <c r="AF2773" s="15">
        <f>AE2773*AG2773</f>
        <v>230</v>
      </c>
      <c r="AG2773" s="16">
        <v>2</v>
      </c>
    </row>
    <row r="2774" spans="1:33" ht="15" customHeight="1" x14ac:dyDescent="0.2">
      <c r="A2774" s="11" t="str">
        <f t="shared" si="1117"/>
        <v>VN000E7UTC41</v>
      </c>
      <c r="B2774" s="12" t="s">
        <v>10143</v>
      </c>
      <c r="C2774" s="12" t="s">
        <v>1614</v>
      </c>
      <c r="D2774" s="12" t="s">
        <v>3291</v>
      </c>
      <c r="E2774" s="12" t="s">
        <v>10144</v>
      </c>
      <c r="F2774" s="13">
        <v>120</v>
      </c>
      <c r="G2774" s="14"/>
      <c r="H2774" s="12" t="s">
        <v>38</v>
      </c>
      <c r="I2774" s="12" t="s">
        <v>159</v>
      </c>
      <c r="J2774" s="12" t="s">
        <v>255</v>
      </c>
      <c r="K2774" s="12" t="s">
        <v>82</v>
      </c>
      <c r="L2774" s="12" t="s">
        <v>115</v>
      </c>
      <c r="M2774" s="12" t="s">
        <v>43</v>
      </c>
      <c r="N2774" s="12" t="s">
        <v>84</v>
      </c>
      <c r="O2774" s="12" t="s">
        <v>10145</v>
      </c>
      <c r="P2774" s="12" t="s">
        <v>46</v>
      </c>
      <c r="Q2774" s="12" t="s">
        <v>47</v>
      </c>
      <c r="R2774" s="12" t="s">
        <v>163</v>
      </c>
      <c r="S2774" s="13">
        <v>197805905712</v>
      </c>
      <c r="T2774" s="12" t="s">
        <v>49</v>
      </c>
      <c r="U2774" s="13">
        <v>46</v>
      </c>
      <c r="V2774" s="12" t="s">
        <v>50</v>
      </c>
      <c r="W2774" s="12" t="s">
        <v>455</v>
      </c>
      <c r="X2774" s="14"/>
      <c r="Y2774" s="14"/>
      <c r="Z2774" s="14"/>
      <c r="AA2774" s="14"/>
      <c r="AB2774" s="14"/>
      <c r="AC2774" s="15">
        <v>52.3</v>
      </c>
      <c r="AD2774" s="15">
        <f>AC2774*AG2774</f>
        <v>104.6</v>
      </c>
      <c r="AE2774" s="15">
        <v>115</v>
      </c>
      <c r="AF2774" s="15">
        <f>AE2774*AG2774</f>
        <v>230</v>
      </c>
      <c r="AG2774" s="16">
        <v>2</v>
      </c>
    </row>
    <row r="2775" spans="1:33" ht="15" customHeight="1" x14ac:dyDescent="0.2">
      <c r="A2775" s="11" t="str">
        <f>HYPERLINK("https://assets.vans.eu/images/VN000E89OXS-HERO/1","VN000E89OXS1")</f>
        <v>VN000E89OXS1</v>
      </c>
      <c r="B2775" s="12" t="s">
        <v>10146</v>
      </c>
      <c r="C2775" s="12" t="s">
        <v>3611</v>
      </c>
      <c r="D2775" s="12" t="s">
        <v>4006</v>
      </c>
      <c r="E2775" s="12" t="s">
        <v>10147</v>
      </c>
      <c r="F2775" s="13">
        <v>35</v>
      </c>
      <c r="G2775" s="12" t="s">
        <v>2814</v>
      </c>
      <c r="H2775" s="12" t="s">
        <v>38</v>
      </c>
      <c r="I2775" s="12" t="s">
        <v>113</v>
      </c>
      <c r="J2775" s="12" t="s">
        <v>529</v>
      </c>
      <c r="K2775" s="12" t="s">
        <v>82</v>
      </c>
      <c r="L2775" s="12" t="s">
        <v>42</v>
      </c>
      <c r="M2775" s="12" t="s">
        <v>43</v>
      </c>
      <c r="N2775" s="12" t="s">
        <v>84</v>
      </c>
      <c r="O2775" s="12" t="s">
        <v>10148</v>
      </c>
      <c r="P2775" s="12" t="s">
        <v>46</v>
      </c>
      <c r="Q2775" s="12" t="s">
        <v>47</v>
      </c>
      <c r="R2775" s="12" t="s">
        <v>117</v>
      </c>
      <c r="S2775" s="13">
        <v>198266542645</v>
      </c>
      <c r="T2775" s="12" t="s">
        <v>49</v>
      </c>
      <c r="U2775" s="13">
        <v>34.5</v>
      </c>
      <c r="V2775" s="12" t="s">
        <v>50</v>
      </c>
      <c r="W2775" s="12" t="s">
        <v>175</v>
      </c>
      <c r="X2775" s="14"/>
      <c r="Y2775" s="14"/>
      <c r="Z2775" s="14"/>
      <c r="AA2775" s="14"/>
      <c r="AB2775" s="14"/>
      <c r="AC2775" s="15">
        <v>45.5</v>
      </c>
      <c r="AD2775" s="15">
        <f>AC2775*AG2775</f>
        <v>91</v>
      </c>
      <c r="AE2775" s="15">
        <v>100</v>
      </c>
      <c r="AF2775" s="15">
        <f>AE2775*AG2775</f>
        <v>200</v>
      </c>
      <c r="AG2775" s="16">
        <v>2</v>
      </c>
    </row>
    <row r="2776" spans="1:33" ht="15" customHeight="1" x14ac:dyDescent="0.2">
      <c r="A2776" s="11" t="str">
        <f t="shared" ref="A2776:A2777" si="1118">HYPERLINK("https://assets.vans.eu/images/VN000E89YG4-HERO/1","VN000E89YG41")</f>
        <v>VN000E89YG41</v>
      </c>
      <c r="B2776" s="12" t="s">
        <v>10149</v>
      </c>
      <c r="C2776" s="12" t="s">
        <v>3611</v>
      </c>
      <c r="D2776" s="12" t="s">
        <v>6002</v>
      </c>
      <c r="E2776" s="12" t="s">
        <v>10150</v>
      </c>
      <c r="F2776" s="13">
        <v>75</v>
      </c>
      <c r="G2776" s="12" t="s">
        <v>2814</v>
      </c>
      <c r="H2776" s="12" t="s">
        <v>38</v>
      </c>
      <c r="I2776" s="12" t="s">
        <v>113</v>
      </c>
      <c r="J2776" s="12" t="s">
        <v>529</v>
      </c>
      <c r="K2776" s="12" t="s">
        <v>82</v>
      </c>
      <c r="L2776" s="12" t="s">
        <v>42</v>
      </c>
      <c r="M2776" s="12" t="s">
        <v>43</v>
      </c>
      <c r="N2776" s="12" t="s">
        <v>84</v>
      </c>
      <c r="O2776" s="12" t="s">
        <v>10151</v>
      </c>
      <c r="P2776" s="12" t="s">
        <v>46</v>
      </c>
      <c r="Q2776" s="12" t="s">
        <v>47</v>
      </c>
      <c r="R2776" s="12" t="s">
        <v>117</v>
      </c>
      <c r="S2776" s="13">
        <v>198266543864</v>
      </c>
      <c r="T2776" s="12" t="s">
        <v>49</v>
      </c>
      <c r="U2776" s="13">
        <v>40</v>
      </c>
      <c r="V2776" s="12" t="s">
        <v>50</v>
      </c>
      <c r="W2776" s="12" t="s">
        <v>51</v>
      </c>
      <c r="X2776" s="14"/>
      <c r="Y2776" s="14"/>
      <c r="Z2776" s="14"/>
      <c r="AA2776" s="14"/>
      <c r="AB2776" s="14"/>
      <c r="AC2776" s="15">
        <v>45.5</v>
      </c>
      <c r="AD2776" s="15">
        <f>AC2776*AG2776</f>
        <v>91</v>
      </c>
      <c r="AE2776" s="15">
        <v>100</v>
      </c>
      <c r="AF2776" s="15">
        <f>AE2776*AG2776</f>
        <v>200</v>
      </c>
      <c r="AG2776" s="16">
        <v>2</v>
      </c>
    </row>
    <row r="2777" spans="1:33" ht="15" customHeight="1" x14ac:dyDescent="0.2">
      <c r="A2777" s="11" t="str">
        <f t="shared" si="1118"/>
        <v>VN000E89YG41</v>
      </c>
      <c r="B2777" s="12" t="s">
        <v>10152</v>
      </c>
      <c r="C2777" s="12" t="s">
        <v>3611</v>
      </c>
      <c r="D2777" s="12" t="s">
        <v>6002</v>
      </c>
      <c r="E2777" s="12" t="s">
        <v>10153</v>
      </c>
      <c r="F2777" s="13">
        <v>80</v>
      </c>
      <c r="G2777" s="12" t="s">
        <v>2814</v>
      </c>
      <c r="H2777" s="12" t="s">
        <v>38</v>
      </c>
      <c r="I2777" s="12" t="s">
        <v>113</v>
      </c>
      <c r="J2777" s="12" t="s">
        <v>529</v>
      </c>
      <c r="K2777" s="12" t="s">
        <v>82</v>
      </c>
      <c r="L2777" s="12" t="s">
        <v>42</v>
      </c>
      <c r="M2777" s="12" t="s">
        <v>43</v>
      </c>
      <c r="N2777" s="12" t="s">
        <v>84</v>
      </c>
      <c r="O2777" s="12" t="s">
        <v>10154</v>
      </c>
      <c r="P2777" s="12" t="s">
        <v>46</v>
      </c>
      <c r="Q2777" s="12" t="s">
        <v>47</v>
      </c>
      <c r="R2777" s="12" t="s">
        <v>117</v>
      </c>
      <c r="S2777" s="13">
        <v>198266544151</v>
      </c>
      <c r="T2777" s="12" t="s">
        <v>49</v>
      </c>
      <c r="U2777" s="13">
        <v>40.5</v>
      </c>
      <c r="V2777" s="12" t="s">
        <v>50</v>
      </c>
      <c r="W2777" s="12" t="s">
        <v>51</v>
      </c>
      <c r="X2777" s="14"/>
      <c r="Y2777" s="14"/>
      <c r="Z2777" s="14"/>
      <c r="AA2777" s="14"/>
      <c r="AB2777" s="14"/>
      <c r="AC2777" s="15">
        <v>45.5</v>
      </c>
      <c r="AD2777" s="15">
        <f>AC2777*AG2777</f>
        <v>91</v>
      </c>
      <c r="AE2777" s="15">
        <v>100</v>
      </c>
      <c r="AF2777" s="15">
        <f>AE2777*AG2777</f>
        <v>200</v>
      </c>
      <c r="AG2777" s="16">
        <v>2</v>
      </c>
    </row>
    <row r="2778" spans="1:33" ht="15" customHeight="1" x14ac:dyDescent="0.2">
      <c r="A2778" s="11" t="str">
        <f t="shared" si="311"/>
        <v>VN000E8CGMU1</v>
      </c>
      <c r="B2778" s="12" t="s">
        <v>10155</v>
      </c>
      <c r="C2778" s="12" t="s">
        <v>2309</v>
      </c>
      <c r="D2778" s="12" t="s">
        <v>3043</v>
      </c>
      <c r="E2778" s="12" t="s">
        <v>10156</v>
      </c>
      <c r="F2778" s="13">
        <v>95</v>
      </c>
      <c r="G2778" s="12" t="s">
        <v>2273</v>
      </c>
      <c r="H2778" s="12" t="s">
        <v>38</v>
      </c>
      <c r="I2778" s="12" t="s">
        <v>113</v>
      </c>
      <c r="J2778" s="12" t="s">
        <v>114</v>
      </c>
      <c r="K2778" s="12" t="s">
        <v>82</v>
      </c>
      <c r="L2778" s="12" t="s">
        <v>42</v>
      </c>
      <c r="M2778" s="12" t="s">
        <v>43</v>
      </c>
      <c r="N2778" s="12" t="s">
        <v>84</v>
      </c>
      <c r="O2778" s="12" t="s">
        <v>10157</v>
      </c>
      <c r="P2778" s="12" t="s">
        <v>46</v>
      </c>
      <c r="Q2778" s="12" t="s">
        <v>47</v>
      </c>
      <c r="R2778" s="12" t="s">
        <v>117</v>
      </c>
      <c r="S2778" s="13">
        <v>197805860653</v>
      </c>
      <c r="T2778" s="12" t="s">
        <v>49</v>
      </c>
      <c r="U2778" s="13">
        <v>42.5</v>
      </c>
      <c r="V2778" s="12" t="s">
        <v>209</v>
      </c>
      <c r="W2778" s="12" t="s">
        <v>580</v>
      </c>
      <c r="X2778" s="14"/>
      <c r="Y2778" s="14"/>
      <c r="Z2778" s="14"/>
      <c r="AA2778" s="14"/>
      <c r="AB2778" s="14"/>
      <c r="AC2778" s="15">
        <v>43.2</v>
      </c>
      <c r="AD2778" s="15">
        <f>AC2778*AG2778</f>
        <v>86.4</v>
      </c>
      <c r="AE2778" s="15">
        <v>95</v>
      </c>
      <c r="AF2778" s="15">
        <f>AE2778*AG2778</f>
        <v>190</v>
      </c>
      <c r="AG2778" s="16">
        <v>2</v>
      </c>
    </row>
    <row r="2779" spans="1:33" ht="15" customHeight="1" x14ac:dyDescent="0.2">
      <c r="A2779" s="11" t="str">
        <f t="shared" ref="A2779:A4609" si="1119">HYPERLINK("https://assets.vans.eu/images/VN000E8WBGF-HERO/1","VN000E8WBGF1")</f>
        <v>VN000E8WBGF1</v>
      </c>
      <c r="B2779" s="12" t="s">
        <v>10158</v>
      </c>
      <c r="C2779" s="12" t="s">
        <v>34</v>
      </c>
      <c r="D2779" s="12" t="s">
        <v>4900</v>
      </c>
      <c r="E2779" s="12" t="s">
        <v>10159</v>
      </c>
      <c r="F2779" s="13">
        <v>40</v>
      </c>
      <c r="G2779" s="12" t="s">
        <v>10160</v>
      </c>
      <c r="H2779" s="12" t="s">
        <v>38</v>
      </c>
      <c r="I2779" s="12" t="s">
        <v>113</v>
      </c>
      <c r="J2779" s="12" t="s">
        <v>114</v>
      </c>
      <c r="K2779" s="12" t="s">
        <v>82</v>
      </c>
      <c r="L2779" s="14"/>
      <c r="M2779" s="12" t="s">
        <v>43</v>
      </c>
      <c r="N2779" s="12" t="s">
        <v>84</v>
      </c>
      <c r="O2779" s="12" t="s">
        <v>10161</v>
      </c>
      <c r="P2779" s="12" t="s">
        <v>46</v>
      </c>
      <c r="Q2779" s="12" t="s">
        <v>47</v>
      </c>
      <c r="R2779" s="12" t="s">
        <v>117</v>
      </c>
      <c r="S2779" s="13">
        <v>198266564777</v>
      </c>
      <c r="T2779" s="12" t="s">
        <v>49</v>
      </c>
      <c r="U2779" s="13">
        <v>35</v>
      </c>
      <c r="V2779" s="12" t="s">
        <v>50</v>
      </c>
      <c r="W2779" s="12" t="s">
        <v>455</v>
      </c>
      <c r="X2779" s="14"/>
      <c r="Y2779" s="14"/>
      <c r="Z2779" s="14"/>
      <c r="AA2779" s="14"/>
      <c r="AB2779" s="14"/>
      <c r="AC2779" s="15">
        <v>40.950000000000003</v>
      </c>
      <c r="AD2779" s="15">
        <f>AC2779*AG2779</f>
        <v>81.900000000000006</v>
      </c>
      <c r="AE2779" s="15">
        <v>90</v>
      </c>
      <c r="AF2779" s="15">
        <f>AE2779*AG2779</f>
        <v>180</v>
      </c>
      <c r="AG2779" s="16">
        <v>2</v>
      </c>
    </row>
    <row r="2780" spans="1:33" ht="15" customHeight="1" x14ac:dyDescent="0.2">
      <c r="A2780" s="11" t="str">
        <f t="shared" ref="A2780:A2782" si="1120">HYPERLINK("https://assets.vans.eu/images/VN000E8WBRD-HERO/1","VN000E8WBRD1")</f>
        <v>VN000E8WBRD1</v>
      </c>
      <c r="B2780" s="12" t="s">
        <v>10162</v>
      </c>
      <c r="C2780" s="12" t="s">
        <v>34</v>
      </c>
      <c r="D2780" s="12" t="s">
        <v>590</v>
      </c>
      <c r="E2780" s="12" t="s">
        <v>10163</v>
      </c>
      <c r="F2780" s="13">
        <v>40</v>
      </c>
      <c r="G2780" s="12" t="s">
        <v>10160</v>
      </c>
      <c r="H2780" s="12" t="s">
        <v>38</v>
      </c>
      <c r="I2780" s="12" t="s">
        <v>113</v>
      </c>
      <c r="J2780" s="12" t="s">
        <v>114</v>
      </c>
      <c r="K2780" s="12" t="s">
        <v>82</v>
      </c>
      <c r="L2780" s="14"/>
      <c r="M2780" s="12" t="s">
        <v>43</v>
      </c>
      <c r="N2780" s="12" t="s">
        <v>84</v>
      </c>
      <c r="O2780" s="12" t="s">
        <v>10164</v>
      </c>
      <c r="P2780" s="12" t="s">
        <v>46</v>
      </c>
      <c r="Q2780" s="12" t="s">
        <v>47</v>
      </c>
      <c r="R2780" s="12" t="s">
        <v>117</v>
      </c>
      <c r="S2780" s="13">
        <v>198266564920</v>
      </c>
      <c r="T2780" s="12" t="s">
        <v>49</v>
      </c>
      <c r="U2780" s="13">
        <v>35</v>
      </c>
      <c r="V2780" s="12" t="s">
        <v>50</v>
      </c>
      <c r="W2780" s="12" t="s">
        <v>262</v>
      </c>
      <c r="X2780" s="14"/>
      <c r="Y2780" s="14"/>
      <c r="Z2780" s="14"/>
      <c r="AA2780" s="14"/>
      <c r="AB2780" s="14"/>
      <c r="AC2780" s="15">
        <v>40.950000000000003</v>
      </c>
      <c r="AD2780" s="15">
        <f>AC2780*AG2780</f>
        <v>81.900000000000006</v>
      </c>
      <c r="AE2780" s="15">
        <v>90</v>
      </c>
      <c r="AF2780" s="15">
        <f>AE2780*AG2780</f>
        <v>180</v>
      </c>
      <c r="AG2780" s="16">
        <v>2</v>
      </c>
    </row>
    <row r="2781" spans="1:33" ht="15" customHeight="1" x14ac:dyDescent="0.2">
      <c r="A2781" s="11" t="str">
        <f t="shared" si="1120"/>
        <v>VN000E8WBRD1</v>
      </c>
      <c r="B2781" s="12" t="s">
        <v>10165</v>
      </c>
      <c r="C2781" s="12" t="s">
        <v>34</v>
      </c>
      <c r="D2781" s="12" t="s">
        <v>590</v>
      </c>
      <c r="E2781" s="12" t="s">
        <v>10166</v>
      </c>
      <c r="F2781" s="13">
        <v>50</v>
      </c>
      <c r="G2781" s="12" t="s">
        <v>10160</v>
      </c>
      <c r="H2781" s="12" t="s">
        <v>38</v>
      </c>
      <c r="I2781" s="12" t="s">
        <v>113</v>
      </c>
      <c r="J2781" s="12" t="s">
        <v>114</v>
      </c>
      <c r="K2781" s="12" t="s">
        <v>82</v>
      </c>
      <c r="L2781" s="14"/>
      <c r="M2781" s="12" t="s">
        <v>43</v>
      </c>
      <c r="N2781" s="12" t="s">
        <v>84</v>
      </c>
      <c r="O2781" s="12" t="s">
        <v>10167</v>
      </c>
      <c r="P2781" s="12" t="s">
        <v>46</v>
      </c>
      <c r="Q2781" s="12" t="s">
        <v>47</v>
      </c>
      <c r="R2781" s="12" t="s">
        <v>117</v>
      </c>
      <c r="S2781" s="13">
        <v>198266565286</v>
      </c>
      <c r="T2781" s="12" t="s">
        <v>49</v>
      </c>
      <c r="U2781" s="13">
        <v>36.5</v>
      </c>
      <c r="V2781" s="12" t="s">
        <v>50</v>
      </c>
      <c r="W2781" s="12" t="s">
        <v>262</v>
      </c>
      <c r="X2781" s="14"/>
      <c r="Y2781" s="14"/>
      <c r="Z2781" s="14"/>
      <c r="AA2781" s="14"/>
      <c r="AB2781" s="14"/>
      <c r="AC2781" s="15">
        <v>40.950000000000003</v>
      </c>
      <c r="AD2781" s="15">
        <f>AC2781*AG2781</f>
        <v>81.900000000000006</v>
      </c>
      <c r="AE2781" s="15">
        <v>90</v>
      </c>
      <c r="AF2781" s="15">
        <f>AE2781*AG2781</f>
        <v>180</v>
      </c>
      <c r="AG2781" s="16">
        <v>2</v>
      </c>
    </row>
    <row r="2782" spans="1:33" ht="15" customHeight="1" x14ac:dyDescent="0.2">
      <c r="A2782" s="11" t="str">
        <f t="shared" si="1120"/>
        <v>VN000E8WBRD1</v>
      </c>
      <c r="B2782" s="12" t="s">
        <v>10168</v>
      </c>
      <c r="C2782" s="12" t="s">
        <v>34</v>
      </c>
      <c r="D2782" s="12" t="s">
        <v>590</v>
      </c>
      <c r="E2782" s="12" t="s">
        <v>10169</v>
      </c>
      <c r="F2782" s="13">
        <v>65</v>
      </c>
      <c r="G2782" s="12" t="s">
        <v>10160</v>
      </c>
      <c r="H2782" s="12" t="s">
        <v>38</v>
      </c>
      <c r="I2782" s="12" t="s">
        <v>113</v>
      </c>
      <c r="J2782" s="12" t="s">
        <v>114</v>
      </c>
      <c r="K2782" s="12" t="s">
        <v>82</v>
      </c>
      <c r="L2782" s="14"/>
      <c r="M2782" s="12" t="s">
        <v>43</v>
      </c>
      <c r="N2782" s="12" t="s">
        <v>84</v>
      </c>
      <c r="O2782" s="12" t="s">
        <v>10170</v>
      </c>
      <c r="P2782" s="12" t="s">
        <v>46</v>
      </c>
      <c r="Q2782" s="12" t="s">
        <v>47</v>
      </c>
      <c r="R2782" s="12" t="s">
        <v>117</v>
      </c>
      <c r="S2782" s="13">
        <v>198266565873</v>
      </c>
      <c r="T2782" s="12" t="s">
        <v>49</v>
      </c>
      <c r="U2782" s="13">
        <v>38.5</v>
      </c>
      <c r="V2782" s="12" t="s">
        <v>50</v>
      </c>
      <c r="W2782" s="12" t="s">
        <v>262</v>
      </c>
      <c r="X2782" s="14"/>
      <c r="Y2782" s="14"/>
      <c r="Z2782" s="14"/>
      <c r="AA2782" s="14"/>
      <c r="AB2782" s="14"/>
      <c r="AC2782" s="15">
        <v>40.950000000000003</v>
      </c>
      <c r="AD2782" s="15">
        <f>AC2782*AG2782</f>
        <v>81.900000000000006</v>
      </c>
      <c r="AE2782" s="15">
        <v>90</v>
      </c>
      <c r="AF2782" s="15">
        <f>AE2782*AG2782</f>
        <v>180</v>
      </c>
      <c r="AG2782" s="16">
        <v>2</v>
      </c>
    </row>
    <row r="2783" spans="1:33" ht="15" customHeight="1" x14ac:dyDescent="0.2">
      <c r="A2783" s="11" t="str">
        <f>HYPERLINK("https://assets.vans.eu/images/VN000E8WCCZ-HERO/1","VN000E8WCCZ1")</f>
        <v>VN000E8WCCZ1</v>
      </c>
      <c r="B2783" s="12" t="s">
        <v>10171</v>
      </c>
      <c r="C2783" s="12" t="s">
        <v>34</v>
      </c>
      <c r="D2783" s="12" t="s">
        <v>1104</v>
      </c>
      <c r="E2783" s="12" t="s">
        <v>10172</v>
      </c>
      <c r="F2783" s="13">
        <v>35</v>
      </c>
      <c r="G2783" s="12" t="s">
        <v>7460</v>
      </c>
      <c r="H2783" s="12" t="s">
        <v>38</v>
      </c>
      <c r="I2783" s="12" t="s">
        <v>113</v>
      </c>
      <c r="J2783" s="12" t="s">
        <v>114</v>
      </c>
      <c r="K2783" s="12" t="s">
        <v>82</v>
      </c>
      <c r="L2783" s="12" t="s">
        <v>42</v>
      </c>
      <c r="M2783" s="12" t="s">
        <v>43</v>
      </c>
      <c r="N2783" s="12" t="s">
        <v>84</v>
      </c>
      <c r="O2783" s="12" t="s">
        <v>10173</v>
      </c>
      <c r="P2783" s="12" t="s">
        <v>46</v>
      </c>
      <c r="Q2783" s="12" t="s">
        <v>47</v>
      </c>
      <c r="R2783" s="12" t="s">
        <v>117</v>
      </c>
      <c r="S2783" s="13">
        <v>198266564692</v>
      </c>
      <c r="T2783" s="12" t="s">
        <v>164</v>
      </c>
      <c r="U2783" s="13">
        <v>34.5</v>
      </c>
      <c r="V2783" s="12" t="s">
        <v>50</v>
      </c>
      <c r="W2783" s="12" t="s">
        <v>175</v>
      </c>
      <c r="X2783" s="14"/>
      <c r="Y2783" s="14"/>
      <c r="Z2783" s="14"/>
      <c r="AA2783" s="14"/>
      <c r="AB2783" s="14"/>
      <c r="AC2783" s="15">
        <v>40.950000000000003</v>
      </c>
      <c r="AD2783" s="15">
        <f>AC2783*AG2783</f>
        <v>81.900000000000006</v>
      </c>
      <c r="AE2783" s="15">
        <v>90</v>
      </c>
      <c r="AF2783" s="15">
        <f>AE2783*AG2783</f>
        <v>180</v>
      </c>
      <c r="AG2783" s="16">
        <v>2</v>
      </c>
    </row>
    <row r="2784" spans="1:33" ht="15" customHeight="1" x14ac:dyDescent="0.2">
      <c r="A2784" s="11" t="str">
        <f t="shared" si="823"/>
        <v>VN000E8WIZQ1</v>
      </c>
      <c r="B2784" s="12" t="s">
        <v>10174</v>
      </c>
      <c r="C2784" s="12" t="s">
        <v>34</v>
      </c>
      <c r="D2784" s="12" t="s">
        <v>4290</v>
      </c>
      <c r="E2784" s="12" t="s">
        <v>10175</v>
      </c>
      <c r="F2784" s="13">
        <v>65</v>
      </c>
      <c r="G2784" s="12" t="s">
        <v>7460</v>
      </c>
      <c r="H2784" s="12" t="s">
        <v>38</v>
      </c>
      <c r="I2784" s="12" t="s">
        <v>113</v>
      </c>
      <c r="J2784" s="12" t="s">
        <v>114</v>
      </c>
      <c r="K2784" s="12" t="s">
        <v>82</v>
      </c>
      <c r="L2784" s="12" t="s">
        <v>42</v>
      </c>
      <c r="M2784" s="12" t="s">
        <v>43</v>
      </c>
      <c r="N2784" s="12" t="s">
        <v>84</v>
      </c>
      <c r="O2784" s="12" t="s">
        <v>10176</v>
      </c>
      <c r="P2784" s="12" t="s">
        <v>46</v>
      </c>
      <c r="Q2784" s="12" t="s">
        <v>47</v>
      </c>
      <c r="R2784" s="12" t="s">
        <v>117</v>
      </c>
      <c r="S2784" s="13">
        <v>198266565774</v>
      </c>
      <c r="T2784" s="12" t="s">
        <v>164</v>
      </c>
      <c r="U2784" s="13">
        <v>38.5</v>
      </c>
      <c r="V2784" s="12" t="s">
        <v>50</v>
      </c>
      <c r="W2784" s="12" t="s">
        <v>262</v>
      </c>
      <c r="X2784" s="14"/>
      <c r="Y2784" s="14"/>
      <c r="Z2784" s="14"/>
      <c r="AA2784" s="14"/>
      <c r="AB2784" s="14"/>
      <c r="AC2784" s="15">
        <v>40.950000000000003</v>
      </c>
      <c r="AD2784" s="15">
        <f>AC2784*AG2784</f>
        <v>81.900000000000006</v>
      </c>
      <c r="AE2784" s="15">
        <v>90</v>
      </c>
      <c r="AF2784" s="15">
        <f>AE2784*AG2784</f>
        <v>180</v>
      </c>
      <c r="AG2784" s="16">
        <v>2</v>
      </c>
    </row>
    <row r="2785" spans="1:33" ht="15" customHeight="1" x14ac:dyDescent="0.2">
      <c r="A2785" s="11" t="str">
        <f>HYPERLINK("https://assets.vans.eu/images/VN000E8WYS5-HERO/1","VN000E8WYS51")</f>
        <v>VN000E8WYS51</v>
      </c>
      <c r="B2785" s="12" t="s">
        <v>10177</v>
      </c>
      <c r="C2785" s="12" t="s">
        <v>34</v>
      </c>
      <c r="D2785" s="12" t="s">
        <v>6037</v>
      </c>
      <c r="E2785" s="12" t="s">
        <v>10178</v>
      </c>
      <c r="F2785" s="13">
        <v>115</v>
      </c>
      <c r="G2785" s="14"/>
      <c r="H2785" s="12" t="s">
        <v>38</v>
      </c>
      <c r="I2785" s="12" t="s">
        <v>113</v>
      </c>
      <c r="J2785" s="12" t="s">
        <v>114</v>
      </c>
      <c r="K2785" s="12" t="s">
        <v>82</v>
      </c>
      <c r="L2785" s="14"/>
      <c r="M2785" s="12" t="s">
        <v>43</v>
      </c>
      <c r="N2785" s="12" t="s">
        <v>84</v>
      </c>
      <c r="O2785" s="12" t="s">
        <v>10179</v>
      </c>
      <c r="P2785" s="12" t="s">
        <v>46</v>
      </c>
      <c r="Q2785" s="12" t="s">
        <v>47</v>
      </c>
      <c r="R2785" s="12" t="s">
        <v>117</v>
      </c>
      <c r="S2785" s="13">
        <v>198267010648</v>
      </c>
      <c r="T2785" s="12" t="s">
        <v>49</v>
      </c>
      <c r="U2785" s="13">
        <v>45</v>
      </c>
      <c r="V2785" s="12" t="s">
        <v>209</v>
      </c>
      <c r="W2785" s="12" t="s">
        <v>598</v>
      </c>
      <c r="X2785" s="14"/>
      <c r="Y2785" s="14"/>
      <c r="Z2785" s="14"/>
      <c r="AA2785" s="14"/>
      <c r="AB2785" s="14"/>
      <c r="AC2785" s="15">
        <v>40.950000000000003</v>
      </c>
      <c r="AD2785" s="15">
        <f>AC2785*AG2785</f>
        <v>81.900000000000006</v>
      </c>
      <c r="AE2785" s="15">
        <v>90</v>
      </c>
      <c r="AF2785" s="15">
        <f>AE2785*AG2785</f>
        <v>180</v>
      </c>
      <c r="AG2785" s="16">
        <v>2</v>
      </c>
    </row>
    <row r="2786" spans="1:33" ht="15" customHeight="1" x14ac:dyDescent="0.2">
      <c r="A2786" s="11" t="str">
        <f>HYPERLINK("https://assets.vans.eu/images/VN000E91BA5-HERO/1","VN000E91BA51")</f>
        <v>VN000E91BA51</v>
      </c>
      <c r="B2786" s="12" t="s">
        <v>10180</v>
      </c>
      <c r="C2786" s="12" t="s">
        <v>251</v>
      </c>
      <c r="D2786" s="12" t="s">
        <v>4081</v>
      </c>
      <c r="E2786" s="12" t="s">
        <v>10181</v>
      </c>
      <c r="F2786" s="13">
        <v>70</v>
      </c>
      <c r="G2786" s="12" t="s">
        <v>10182</v>
      </c>
      <c r="H2786" s="12" t="s">
        <v>38</v>
      </c>
      <c r="I2786" s="12" t="s">
        <v>205</v>
      </c>
      <c r="J2786" s="12" t="s">
        <v>7242</v>
      </c>
      <c r="K2786" s="12" t="s">
        <v>207</v>
      </c>
      <c r="L2786" s="12" t="s">
        <v>260</v>
      </c>
      <c r="M2786" s="12" t="s">
        <v>43</v>
      </c>
      <c r="N2786" s="12" t="s">
        <v>84</v>
      </c>
      <c r="O2786" s="12" t="s">
        <v>10183</v>
      </c>
      <c r="P2786" s="12" t="s">
        <v>46</v>
      </c>
      <c r="Q2786" s="12" t="s">
        <v>47</v>
      </c>
      <c r="R2786" s="12" t="s">
        <v>48</v>
      </c>
      <c r="S2786" s="13">
        <v>197804865666</v>
      </c>
      <c r="T2786" s="12" t="s">
        <v>49</v>
      </c>
      <c r="U2786" s="13">
        <v>39</v>
      </c>
      <c r="V2786" s="12" t="s">
        <v>50</v>
      </c>
      <c r="W2786" s="12" t="s">
        <v>51</v>
      </c>
      <c r="X2786" s="14"/>
      <c r="Y2786" s="14"/>
      <c r="Z2786" s="14"/>
      <c r="AA2786" s="14"/>
      <c r="AB2786" s="14"/>
      <c r="AC2786" s="15">
        <v>36.4</v>
      </c>
      <c r="AD2786" s="15">
        <f>AC2786*AG2786</f>
        <v>72.8</v>
      </c>
      <c r="AE2786" s="15">
        <v>80</v>
      </c>
      <c r="AF2786" s="15">
        <f>AE2786*AG2786</f>
        <v>160</v>
      </c>
      <c r="AG2786" s="16">
        <v>2</v>
      </c>
    </row>
    <row r="2787" spans="1:33" ht="15" customHeight="1" x14ac:dyDescent="0.2">
      <c r="A2787" s="11" t="str">
        <f t="shared" ref="A2787:A2788" si="1121">HYPERLINK("https://assets.vans.eu/images/VN000EA9BA2-HERO/1","VN000EA9BA21")</f>
        <v>VN000EA9BA21</v>
      </c>
      <c r="B2787" s="12" t="s">
        <v>10184</v>
      </c>
      <c r="C2787" s="12" t="s">
        <v>2623</v>
      </c>
      <c r="D2787" s="12" t="s">
        <v>1844</v>
      </c>
      <c r="E2787" s="12" t="s">
        <v>10185</v>
      </c>
      <c r="F2787" s="13">
        <v>35</v>
      </c>
      <c r="G2787" s="12" t="s">
        <v>2625</v>
      </c>
      <c r="H2787" s="12" t="s">
        <v>38</v>
      </c>
      <c r="I2787" s="12" t="s">
        <v>113</v>
      </c>
      <c r="J2787" s="12" t="s">
        <v>114</v>
      </c>
      <c r="K2787" s="12" t="s">
        <v>82</v>
      </c>
      <c r="L2787" s="12" t="s">
        <v>115</v>
      </c>
      <c r="M2787" s="12" t="s">
        <v>43</v>
      </c>
      <c r="N2787" s="12" t="s">
        <v>84</v>
      </c>
      <c r="O2787" s="12" t="s">
        <v>10186</v>
      </c>
      <c r="P2787" s="12" t="s">
        <v>46</v>
      </c>
      <c r="Q2787" s="12" t="s">
        <v>47</v>
      </c>
      <c r="R2787" s="12" t="s">
        <v>117</v>
      </c>
      <c r="S2787" s="13">
        <v>197805858377</v>
      </c>
      <c r="T2787" s="12" t="s">
        <v>49</v>
      </c>
      <c r="U2787" s="13">
        <v>34.5</v>
      </c>
      <c r="V2787" s="12" t="s">
        <v>209</v>
      </c>
      <c r="W2787" s="12" t="s">
        <v>51</v>
      </c>
      <c r="X2787" s="14"/>
      <c r="Y2787" s="14"/>
      <c r="Z2787" s="14"/>
      <c r="AA2787" s="14"/>
      <c r="AB2787" s="14"/>
      <c r="AC2787" s="15">
        <v>40.950000000000003</v>
      </c>
      <c r="AD2787" s="15">
        <f>AC2787*AG2787</f>
        <v>81.900000000000006</v>
      </c>
      <c r="AE2787" s="15">
        <v>90</v>
      </c>
      <c r="AF2787" s="15">
        <f>AE2787*AG2787</f>
        <v>180</v>
      </c>
      <c r="AG2787" s="16">
        <v>2</v>
      </c>
    </row>
    <row r="2788" spans="1:33" ht="15" customHeight="1" x14ac:dyDescent="0.2">
      <c r="A2788" s="11" t="str">
        <f t="shared" si="1121"/>
        <v>VN000EA9BA21</v>
      </c>
      <c r="B2788" s="12" t="s">
        <v>10187</v>
      </c>
      <c r="C2788" s="12" t="s">
        <v>2623</v>
      </c>
      <c r="D2788" s="12" t="s">
        <v>1844</v>
      </c>
      <c r="E2788" s="12" t="s">
        <v>10188</v>
      </c>
      <c r="F2788" s="13">
        <v>40</v>
      </c>
      <c r="G2788" s="12" t="s">
        <v>2625</v>
      </c>
      <c r="H2788" s="12" t="s">
        <v>38</v>
      </c>
      <c r="I2788" s="12" t="s">
        <v>113</v>
      </c>
      <c r="J2788" s="12" t="s">
        <v>114</v>
      </c>
      <c r="K2788" s="12" t="s">
        <v>82</v>
      </c>
      <c r="L2788" s="12" t="s">
        <v>115</v>
      </c>
      <c r="M2788" s="12" t="s">
        <v>43</v>
      </c>
      <c r="N2788" s="12" t="s">
        <v>84</v>
      </c>
      <c r="O2788" s="12" t="s">
        <v>10189</v>
      </c>
      <c r="P2788" s="12" t="s">
        <v>46</v>
      </c>
      <c r="Q2788" s="12" t="s">
        <v>47</v>
      </c>
      <c r="R2788" s="12" t="s">
        <v>117</v>
      </c>
      <c r="S2788" s="13">
        <v>197805858520</v>
      </c>
      <c r="T2788" s="12" t="s">
        <v>49</v>
      </c>
      <c r="U2788" s="13">
        <v>35</v>
      </c>
      <c r="V2788" s="12" t="s">
        <v>209</v>
      </c>
      <c r="W2788" s="12" t="s">
        <v>51</v>
      </c>
      <c r="X2788" s="14"/>
      <c r="Y2788" s="14"/>
      <c r="Z2788" s="14"/>
      <c r="AA2788" s="14"/>
      <c r="AB2788" s="14"/>
      <c r="AC2788" s="15">
        <v>40.950000000000003</v>
      </c>
      <c r="AD2788" s="15">
        <f>AC2788*AG2788</f>
        <v>81.900000000000006</v>
      </c>
      <c r="AE2788" s="15">
        <v>90</v>
      </c>
      <c r="AF2788" s="15">
        <f>AE2788*AG2788</f>
        <v>180</v>
      </c>
      <c r="AG2788" s="16">
        <v>2</v>
      </c>
    </row>
    <row r="2789" spans="1:33" ht="15" customHeight="1" x14ac:dyDescent="0.2">
      <c r="A2789" s="11" t="str">
        <f t="shared" si="650"/>
        <v>VN000EB4KAQ1</v>
      </c>
      <c r="B2789" s="12" t="s">
        <v>10190</v>
      </c>
      <c r="C2789" s="12" t="s">
        <v>6009</v>
      </c>
      <c r="D2789" s="12" t="s">
        <v>2408</v>
      </c>
      <c r="E2789" s="12" t="s">
        <v>10191</v>
      </c>
      <c r="F2789" s="13">
        <v>65</v>
      </c>
      <c r="G2789" s="14"/>
      <c r="H2789" s="12" t="s">
        <v>38</v>
      </c>
      <c r="I2789" s="12" t="s">
        <v>113</v>
      </c>
      <c r="J2789" s="12" t="s">
        <v>114</v>
      </c>
      <c r="K2789" s="12" t="s">
        <v>82</v>
      </c>
      <c r="L2789" s="14"/>
      <c r="M2789" s="12" t="s">
        <v>43</v>
      </c>
      <c r="N2789" s="12" t="s">
        <v>84</v>
      </c>
      <c r="O2789" s="12" t="s">
        <v>10192</v>
      </c>
      <c r="P2789" s="12" t="s">
        <v>46</v>
      </c>
      <c r="Q2789" s="12" t="s">
        <v>47</v>
      </c>
      <c r="R2789" s="12" t="s">
        <v>948</v>
      </c>
      <c r="S2789" s="13">
        <v>197804565542</v>
      </c>
      <c r="T2789" s="12" t="s">
        <v>49</v>
      </c>
      <c r="U2789" s="13">
        <v>38.5</v>
      </c>
      <c r="V2789" s="12" t="s">
        <v>50</v>
      </c>
      <c r="W2789" s="12" t="s">
        <v>455</v>
      </c>
      <c r="X2789" s="14"/>
      <c r="Y2789" s="14"/>
      <c r="Z2789" s="14"/>
      <c r="AA2789" s="14"/>
      <c r="AB2789" s="14"/>
      <c r="AC2789" s="15">
        <v>54.55</v>
      </c>
      <c r="AD2789" s="15">
        <f>AC2789*AG2789</f>
        <v>109.1</v>
      </c>
      <c r="AE2789" s="15">
        <v>120</v>
      </c>
      <c r="AF2789" s="15">
        <f>AE2789*AG2789</f>
        <v>240</v>
      </c>
      <c r="AG2789" s="16">
        <v>2</v>
      </c>
    </row>
    <row r="2790" spans="1:33" ht="15" customHeight="1" x14ac:dyDescent="0.2">
      <c r="A2790" s="11" t="str">
        <f t="shared" si="825"/>
        <v>VN000EB4TAN1</v>
      </c>
      <c r="B2790" s="12" t="s">
        <v>10193</v>
      </c>
      <c r="C2790" s="12" t="s">
        <v>6009</v>
      </c>
      <c r="D2790" s="12" t="s">
        <v>7476</v>
      </c>
      <c r="E2790" s="12" t="s">
        <v>10194</v>
      </c>
      <c r="F2790" s="13">
        <v>65</v>
      </c>
      <c r="G2790" s="14"/>
      <c r="H2790" s="12" t="s">
        <v>38</v>
      </c>
      <c r="I2790" s="12" t="s">
        <v>159</v>
      </c>
      <c r="J2790" s="12" t="s">
        <v>160</v>
      </c>
      <c r="K2790" s="12" t="s">
        <v>82</v>
      </c>
      <c r="L2790" s="14"/>
      <c r="M2790" s="12" t="s">
        <v>43</v>
      </c>
      <c r="N2790" s="12" t="s">
        <v>84</v>
      </c>
      <c r="O2790" s="12" t="s">
        <v>10195</v>
      </c>
      <c r="P2790" s="12" t="s">
        <v>46</v>
      </c>
      <c r="Q2790" s="12" t="s">
        <v>47</v>
      </c>
      <c r="R2790" s="12" t="s">
        <v>1660</v>
      </c>
      <c r="S2790" s="13">
        <v>197804565641</v>
      </c>
      <c r="T2790" s="12" t="s">
        <v>49</v>
      </c>
      <c r="U2790" s="13">
        <v>38.5</v>
      </c>
      <c r="V2790" s="12" t="s">
        <v>50</v>
      </c>
      <c r="W2790" s="12" t="s">
        <v>118</v>
      </c>
      <c r="X2790" s="14"/>
      <c r="Y2790" s="14"/>
      <c r="Z2790" s="14"/>
      <c r="AA2790" s="14"/>
      <c r="AB2790" s="14"/>
      <c r="AC2790" s="15">
        <v>54.55</v>
      </c>
      <c r="AD2790" s="15">
        <f>AC2790*AG2790</f>
        <v>109.1</v>
      </c>
      <c r="AE2790" s="15">
        <v>120</v>
      </c>
      <c r="AF2790" s="15">
        <f>AE2790*AG2790</f>
        <v>240</v>
      </c>
      <c r="AG2790" s="16">
        <v>2</v>
      </c>
    </row>
    <row r="2791" spans="1:33" ht="15" customHeight="1" x14ac:dyDescent="0.2">
      <c r="A2791" s="11" t="str">
        <f t="shared" ref="A2791:A4633" si="1122">HYPERLINK("https://assets.vans.eu/images/VN000EB4TAN-HERO/1","VN000EB4TAN1")</f>
        <v>VN000EB4TAN1</v>
      </c>
      <c r="B2791" s="12" t="s">
        <v>10196</v>
      </c>
      <c r="C2791" s="12" t="s">
        <v>6009</v>
      </c>
      <c r="D2791" s="12" t="s">
        <v>7476</v>
      </c>
      <c r="E2791" s="12" t="s">
        <v>10197</v>
      </c>
      <c r="F2791" s="13">
        <v>80</v>
      </c>
      <c r="G2791" s="14"/>
      <c r="H2791" s="12" t="s">
        <v>38</v>
      </c>
      <c r="I2791" s="12" t="s">
        <v>159</v>
      </c>
      <c r="J2791" s="12" t="s">
        <v>160</v>
      </c>
      <c r="K2791" s="12" t="s">
        <v>82</v>
      </c>
      <c r="L2791" s="14"/>
      <c r="M2791" s="12" t="s">
        <v>43</v>
      </c>
      <c r="N2791" s="12" t="s">
        <v>84</v>
      </c>
      <c r="O2791" s="12" t="s">
        <v>10198</v>
      </c>
      <c r="P2791" s="12" t="s">
        <v>46</v>
      </c>
      <c r="Q2791" s="12" t="s">
        <v>47</v>
      </c>
      <c r="R2791" s="12" t="s">
        <v>1660</v>
      </c>
      <c r="S2791" s="13">
        <v>197804565955</v>
      </c>
      <c r="T2791" s="12" t="s">
        <v>49</v>
      </c>
      <c r="U2791" s="13">
        <v>40.5</v>
      </c>
      <c r="V2791" s="12" t="s">
        <v>50</v>
      </c>
      <c r="W2791" s="12" t="s">
        <v>118</v>
      </c>
      <c r="X2791" s="14"/>
      <c r="Y2791" s="14"/>
      <c r="Z2791" s="14"/>
      <c r="AA2791" s="14"/>
      <c r="AB2791" s="14"/>
      <c r="AC2791" s="15">
        <v>54.55</v>
      </c>
      <c r="AD2791" s="15">
        <f>AC2791*AG2791</f>
        <v>109.1</v>
      </c>
      <c r="AE2791" s="15">
        <v>120</v>
      </c>
      <c r="AF2791" s="15">
        <f>AE2791*AG2791</f>
        <v>240</v>
      </c>
      <c r="AG2791" s="16">
        <v>2</v>
      </c>
    </row>
    <row r="2792" spans="1:33" ht="15" customHeight="1" x14ac:dyDescent="0.2">
      <c r="A2792" s="11" t="str">
        <f t="shared" ref="A2792:A2793" si="1123">HYPERLINK("https://assets.vans.eu/images/VN000EBAQPT-HERO/1","VN000EBAQPT1")</f>
        <v>VN000EBAQPT1</v>
      </c>
      <c r="B2792" s="12" t="s">
        <v>10199</v>
      </c>
      <c r="C2792" s="12" t="s">
        <v>3311</v>
      </c>
      <c r="D2792" s="12" t="s">
        <v>957</v>
      </c>
      <c r="E2792" s="12" t="s">
        <v>10200</v>
      </c>
      <c r="F2792" s="13">
        <v>65</v>
      </c>
      <c r="G2792" s="12" t="s">
        <v>2273</v>
      </c>
      <c r="H2792" s="12" t="s">
        <v>38</v>
      </c>
      <c r="I2792" s="12" t="s">
        <v>159</v>
      </c>
      <c r="J2792" s="12" t="s">
        <v>160</v>
      </c>
      <c r="K2792" s="12" t="s">
        <v>82</v>
      </c>
      <c r="L2792" s="14"/>
      <c r="M2792" s="12" t="s">
        <v>43</v>
      </c>
      <c r="N2792" s="12" t="s">
        <v>84</v>
      </c>
      <c r="O2792" s="12" t="s">
        <v>10201</v>
      </c>
      <c r="P2792" s="12" t="s">
        <v>46</v>
      </c>
      <c r="Q2792" s="12" t="s">
        <v>47</v>
      </c>
      <c r="R2792" s="12" t="s">
        <v>163</v>
      </c>
      <c r="S2792" s="13">
        <v>197804931071</v>
      </c>
      <c r="T2792" s="12" t="s">
        <v>49</v>
      </c>
      <c r="U2792" s="13">
        <v>38.5</v>
      </c>
      <c r="V2792" s="12" t="s">
        <v>209</v>
      </c>
      <c r="W2792" s="12" t="s">
        <v>51</v>
      </c>
      <c r="X2792" s="14"/>
      <c r="Y2792" s="14"/>
      <c r="Z2792" s="14"/>
      <c r="AA2792" s="14"/>
      <c r="AB2792" s="14"/>
      <c r="AC2792" s="15">
        <v>43.2</v>
      </c>
      <c r="AD2792" s="15">
        <f>AC2792*AG2792</f>
        <v>86.4</v>
      </c>
      <c r="AE2792" s="15">
        <v>95</v>
      </c>
      <c r="AF2792" s="15">
        <f>AE2792*AG2792</f>
        <v>190</v>
      </c>
      <c r="AG2792" s="16">
        <v>2</v>
      </c>
    </row>
    <row r="2793" spans="1:33" ht="15" customHeight="1" x14ac:dyDescent="0.2">
      <c r="A2793" s="11" t="str">
        <f t="shared" si="1123"/>
        <v>VN000EBAQPT1</v>
      </c>
      <c r="B2793" s="12" t="s">
        <v>10202</v>
      </c>
      <c r="C2793" s="12" t="s">
        <v>3311</v>
      </c>
      <c r="D2793" s="12" t="s">
        <v>957</v>
      </c>
      <c r="E2793" s="12" t="s">
        <v>10203</v>
      </c>
      <c r="F2793" s="13">
        <v>130</v>
      </c>
      <c r="G2793" s="12" t="s">
        <v>2273</v>
      </c>
      <c r="H2793" s="12" t="s">
        <v>38</v>
      </c>
      <c r="I2793" s="12" t="s">
        <v>159</v>
      </c>
      <c r="J2793" s="12" t="s">
        <v>160</v>
      </c>
      <c r="K2793" s="12" t="s">
        <v>82</v>
      </c>
      <c r="L2793" s="14"/>
      <c r="M2793" s="12" t="s">
        <v>43</v>
      </c>
      <c r="N2793" s="12" t="s">
        <v>84</v>
      </c>
      <c r="O2793" s="12" t="s">
        <v>10204</v>
      </c>
      <c r="P2793" s="12" t="s">
        <v>46</v>
      </c>
      <c r="Q2793" s="12" t="s">
        <v>47</v>
      </c>
      <c r="R2793" s="12" t="s">
        <v>163</v>
      </c>
      <c r="S2793" s="13">
        <v>197804931927</v>
      </c>
      <c r="T2793" s="12" t="s">
        <v>49</v>
      </c>
      <c r="U2793" s="13">
        <v>47</v>
      </c>
      <c r="V2793" s="12" t="s">
        <v>209</v>
      </c>
      <c r="W2793" s="12" t="s">
        <v>51</v>
      </c>
      <c r="X2793" s="14"/>
      <c r="Y2793" s="14"/>
      <c r="Z2793" s="14"/>
      <c r="AA2793" s="14"/>
      <c r="AB2793" s="14"/>
      <c r="AC2793" s="15">
        <v>43.2</v>
      </c>
      <c r="AD2793" s="15">
        <f>AC2793*AG2793</f>
        <v>86.4</v>
      </c>
      <c r="AE2793" s="15">
        <v>95</v>
      </c>
      <c r="AF2793" s="15">
        <f>AE2793*AG2793</f>
        <v>190</v>
      </c>
      <c r="AG2793" s="16">
        <v>2</v>
      </c>
    </row>
    <row r="2794" spans="1:33" ht="15" customHeight="1" x14ac:dyDescent="0.2">
      <c r="A2794" s="11" t="str">
        <f t="shared" si="422"/>
        <v>VN000EC4RV21</v>
      </c>
      <c r="B2794" s="12" t="s">
        <v>10205</v>
      </c>
      <c r="C2794" s="12" t="s">
        <v>251</v>
      </c>
      <c r="D2794" s="12" t="s">
        <v>1428</v>
      </c>
      <c r="E2794" s="12" t="s">
        <v>10206</v>
      </c>
      <c r="F2794" s="13">
        <v>65</v>
      </c>
      <c r="G2794" s="12" t="s">
        <v>2437</v>
      </c>
      <c r="H2794" s="12" t="s">
        <v>38</v>
      </c>
      <c r="I2794" s="12" t="s">
        <v>113</v>
      </c>
      <c r="J2794" s="12" t="s">
        <v>529</v>
      </c>
      <c r="K2794" s="12" t="s">
        <v>82</v>
      </c>
      <c r="L2794" s="12" t="s">
        <v>115</v>
      </c>
      <c r="M2794" s="12" t="s">
        <v>43</v>
      </c>
      <c r="N2794" s="12" t="s">
        <v>84</v>
      </c>
      <c r="O2794" s="12" t="s">
        <v>10207</v>
      </c>
      <c r="P2794" s="12" t="s">
        <v>46</v>
      </c>
      <c r="Q2794" s="12" t="s">
        <v>47</v>
      </c>
      <c r="R2794" s="12" t="s">
        <v>117</v>
      </c>
      <c r="S2794" s="13">
        <v>197805863005</v>
      </c>
      <c r="T2794" s="12" t="s">
        <v>49</v>
      </c>
      <c r="U2794" s="13">
        <v>38.5</v>
      </c>
      <c r="V2794" s="12" t="s">
        <v>50</v>
      </c>
      <c r="W2794" s="12" t="s">
        <v>51</v>
      </c>
      <c r="X2794" s="14"/>
      <c r="Y2794" s="14"/>
      <c r="Z2794" s="14"/>
      <c r="AA2794" s="14"/>
      <c r="AB2794" s="14"/>
      <c r="AC2794" s="15">
        <v>50</v>
      </c>
      <c r="AD2794" s="15">
        <f>AC2794*AG2794</f>
        <v>100</v>
      </c>
      <c r="AE2794" s="15">
        <v>110</v>
      </c>
      <c r="AF2794" s="15">
        <f>AE2794*AG2794</f>
        <v>220</v>
      </c>
      <c r="AG2794" s="16">
        <v>2</v>
      </c>
    </row>
    <row r="2795" spans="1:33" ht="15" customHeight="1" x14ac:dyDescent="0.2">
      <c r="A2795" s="11" t="str">
        <f t="shared" ref="A2795:A2796" si="1124">HYPERLINK("https://assets.vans.eu/images/VN000EC4RV2-HERO/1","VN000EC4RV21")</f>
        <v>VN000EC4RV21</v>
      </c>
      <c r="B2795" s="12" t="s">
        <v>10208</v>
      </c>
      <c r="C2795" s="12" t="s">
        <v>251</v>
      </c>
      <c r="D2795" s="12" t="s">
        <v>1428</v>
      </c>
      <c r="E2795" s="12" t="s">
        <v>10209</v>
      </c>
      <c r="F2795" s="13">
        <v>80</v>
      </c>
      <c r="G2795" s="12" t="s">
        <v>2437</v>
      </c>
      <c r="H2795" s="12" t="s">
        <v>38</v>
      </c>
      <c r="I2795" s="12" t="s">
        <v>113</v>
      </c>
      <c r="J2795" s="12" t="s">
        <v>529</v>
      </c>
      <c r="K2795" s="12" t="s">
        <v>82</v>
      </c>
      <c r="L2795" s="12" t="s">
        <v>115</v>
      </c>
      <c r="M2795" s="12" t="s">
        <v>43</v>
      </c>
      <c r="N2795" s="12" t="s">
        <v>84</v>
      </c>
      <c r="O2795" s="12" t="s">
        <v>10210</v>
      </c>
      <c r="P2795" s="12" t="s">
        <v>46</v>
      </c>
      <c r="Q2795" s="12" t="s">
        <v>47</v>
      </c>
      <c r="R2795" s="12" t="s">
        <v>117</v>
      </c>
      <c r="S2795" s="13">
        <v>197805863456</v>
      </c>
      <c r="T2795" s="12" t="s">
        <v>49</v>
      </c>
      <c r="U2795" s="13">
        <v>40.5</v>
      </c>
      <c r="V2795" s="12" t="s">
        <v>50</v>
      </c>
      <c r="W2795" s="12" t="s">
        <v>51</v>
      </c>
      <c r="X2795" s="14"/>
      <c r="Y2795" s="14"/>
      <c r="Z2795" s="14"/>
      <c r="AA2795" s="14"/>
      <c r="AB2795" s="14"/>
      <c r="AC2795" s="15">
        <v>50</v>
      </c>
      <c r="AD2795" s="15">
        <f>AC2795*AG2795</f>
        <v>100</v>
      </c>
      <c r="AE2795" s="15">
        <v>110</v>
      </c>
      <c r="AF2795" s="15">
        <f>AE2795*AG2795</f>
        <v>220</v>
      </c>
      <c r="AG2795" s="16">
        <v>2</v>
      </c>
    </row>
    <row r="2796" spans="1:33" ht="15" customHeight="1" x14ac:dyDescent="0.2">
      <c r="A2796" s="11" t="str">
        <f t="shared" si="1124"/>
        <v>VN000EC4RV21</v>
      </c>
      <c r="B2796" s="12" t="s">
        <v>10211</v>
      </c>
      <c r="C2796" s="12" t="s">
        <v>251</v>
      </c>
      <c r="D2796" s="12" t="s">
        <v>1428</v>
      </c>
      <c r="E2796" s="12" t="s">
        <v>10212</v>
      </c>
      <c r="F2796" s="13">
        <v>130</v>
      </c>
      <c r="G2796" s="12" t="s">
        <v>2437</v>
      </c>
      <c r="H2796" s="12" t="s">
        <v>38</v>
      </c>
      <c r="I2796" s="12" t="s">
        <v>113</v>
      </c>
      <c r="J2796" s="12" t="s">
        <v>529</v>
      </c>
      <c r="K2796" s="12" t="s">
        <v>82</v>
      </c>
      <c r="L2796" s="12" t="s">
        <v>115</v>
      </c>
      <c r="M2796" s="12" t="s">
        <v>43</v>
      </c>
      <c r="N2796" s="12" t="s">
        <v>84</v>
      </c>
      <c r="O2796" s="12" t="s">
        <v>10213</v>
      </c>
      <c r="P2796" s="12" t="s">
        <v>46</v>
      </c>
      <c r="Q2796" s="12" t="s">
        <v>47</v>
      </c>
      <c r="R2796" s="12" t="s">
        <v>117</v>
      </c>
      <c r="S2796" s="13">
        <v>197805865009</v>
      </c>
      <c r="T2796" s="12" t="s">
        <v>49</v>
      </c>
      <c r="U2796" s="13">
        <v>47</v>
      </c>
      <c r="V2796" s="12" t="s">
        <v>50</v>
      </c>
      <c r="W2796" s="12" t="s">
        <v>51</v>
      </c>
      <c r="X2796" s="14"/>
      <c r="Y2796" s="14"/>
      <c r="Z2796" s="14"/>
      <c r="AA2796" s="14"/>
      <c r="AB2796" s="14"/>
      <c r="AC2796" s="15">
        <v>50</v>
      </c>
      <c r="AD2796" s="15">
        <f>AC2796*AG2796</f>
        <v>100</v>
      </c>
      <c r="AE2796" s="15">
        <v>110</v>
      </c>
      <c r="AF2796" s="15">
        <f>AE2796*AG2796</f>
        <v>220</v>
      </c>
      <c r="AG2796" s="16">
        <v>2</v>
      </c>
    </row>
    <row r="2797" spans="1:33" ht="15" customHeight="1" x14ac:dyDescent="0.2">
      <c r="A2797" s="11" t="str">
        <f t="shared" ref="A2797:A2798" si="1125">HYPERLINK("https://assets.vans.eu/images/VN000ECGBFC-HERO/1","VN000ECGBFC1")</f>
        <v>VN000ECGBFC1</v>
      </c>
      <c r="B2797" s="12" t="s">
        <v>10214</v>
      </c>
      <c r="C2797" s="12" t="s">
        <v>10215</v>
      </c>
      <c r="D2797" s="12" t="s">
        <v>10216</v>
      </c>
      <c r="E2797" s="12" t="s">
        <v>10217</v>
      </c>
      <c r="F2797" s="13">
        <v>90</v>
      </c>
      <c r="G2797" s="14"/>
      <c r="H2797" s="12" t="s">
        <v>38</v>
      </c>
      <c r="I2797" s="12" t="s">
        <v>159</v>
      </c>
      <c r="J2797" s="12" t="s">
        <v>160</v>
      </c>
      <c r="K2797" s="12" t="s">
        <v>82</v>
      </c>
      <c r="L2797" s="12" t="s">
        <v>260</v>
      </c>
      <c r="M2797" s="12" t="s">
        <v>43</v>
      </c>
      <c r="N2797" s="12" t="s">
        <v>84</v>
      </c>
      <c r="O2797" s="12" t="s">
        <v>10218</v>
      </c>
      <c r="P2797" s="12" t="s">
        <v>46</v>
      </c>
      <c r="Q2797" s="12" t="s">
        <v>47</v>
      </c>
      <c r="R2797" s="12" t="s">
        <v>163</v>
      </c>
      <c r="S2797" s="13">
        <v>197804617944</v>
      </c>
      <c r="T2797" s="12" t="s">
        <v>164</v>
      </c>
      <c r="U2797" s="13">
        <v>42</v>
      </c>
      <c r="V2797" s="12" t="s">
        <v>50</v>
      </c>
      <c r="W2797" s="12" t="s">
        <v>455</v>
      </c>
      <c r="X2797" s="14"/>
      <c r="Y2797" s="14"/>
      <c r="Z2797" s="14"/>
      <c r="AA2797" s="14"/>
      <c r="AB2797" s="14"/>
      <c r="AC2797" s="15">
        <v>45.5</v>
      </c>
      <c r="AD2797" s="15">
        <f>AC2797*AG2797</f>
        <v>91</v>
      </c>
      <c r="AE2797" s="15">
        <v>100</v>
      </c>
      <c r="AF2797" s="15">
        <f>AE2797*AG2797</f>
        <v>200</v>
      </c>
      <c r="AG2797" s="16">
        <v>2</v>
      </c>
    </row>
    <row r="2798" spans="1:33" ht="15" customHeight="1" x14ac:dyDescent="0.2">
      <c r="A2798" s="11" t="str">
        <f t="shared" si="1125"/>
        <v>VN000ECGBFC1</v>
      </c>
      <c r="B2798" s="12" t="s">
        <v>10219</v>
      </c>
      <c r="C2798" s="12" t="s">
        <v>10215</v>
      </c>
      <c r="D2798" s="12" t="s">
        <v>10216</v>
      </c>
      <c r="E2798" s="12" t="s">
        <v>10220</v>
      </c>
      <c r="F2798" s="13">
        <v>95</v>
      </c>
      <c r="G2798" s="14"/>
      <c r="H2798" s="12" t="s">
        <v>38</v>
      </c>
      <c r="I2798" s="12" t="s">
        <v>159</v>
      </c>
      <c r="J2798" s="12" t="s">
        <v>160</v>
      </c>
      <c r="K2798" s="12" t="s">
        <v>82</v>
      </c>
      <c r="L2798" s="12" t="s">
        <v>260</v>
      </c>
      <c r="M2798" s="12" t="s">
        <v>43</v>
      </c>
      <c r="N2798" s="12" t="s">
        <v>84</v>
      </c>
      <c r="O2798" s="12" t="s">
        <v>10221</v>
      </c>
      <c r="P2798" s="12" t="s">
        <v>46</v>
      </c>
      <c r="Q2798" s="12" t="s">
        <v>47</v>
      </c>
      <c r="R2798" s="12" t="s">
        <v>163</v>
      </c>
      <c r="S2798" s="13">
        <v>197804617951</v>
      </c>
      <c r="T2798" s="12" t="s">
        <v>164</v>
      </c>
      <c r="U2798" s="13">
        <v>42.5</v>
      </c>
      <c r="V2798" s="12" t="s">
        <v>50</v>
      </c>
      <c r="W2798" s="12" t="s">
        <v>455</v>
      </c>
      <c r="X2798" s="14"/>
      <c r="Y2798" s="14"/>
      <c r="Z2798" s="14"/>
      <c r="AA2798" s="14"/>
      <c r="AB2798" s="14"/>
      <c r="AC2798" s="15">
        <v>45.5</v>
      </c>
      <c r="AD2798" s="15">
        <f>AC2798*AG2798</f>
        <v>91</v>
      </c>
      <c r="AE2798" s="15">
        <v>100</v>
      </c>
      <c r="AF2798" s="15">
        <f>AE2798*AG2798</f>
        <v>200</v>
      </c>
      <c r="AG2798" s="16">
        <v>2</v>
      </c>
    </row>
    <row r="2799" spans="1:33" ht="15" customHeight="1" x14ac:dyDescent="0.2">
      <c r="A2799" s="11" t="str">
        <f t="shared" si="216"/>
        <v>VN000ECUB5P1</v>
      </c>
      <c r="B2799" s="12" t="s">
        <v>10222</v>
      </c>
      <c r="C2799" s="12" t="s">
        <v>34</v>
      </c>
      <c r="D2799" s="12" t="s">
        <v>203</v>
      </c>
      <c r="E2799" s="12" t="s">
        <v>10223</v>
      </c>
      <c r="F2799" s="13">
        <v>50</v>
      </c>
      <c r="G2799" s="14"/>
      <c r="H2799" s="12" t="s">
        <v>38</v>
      </c>
      <c r="I2799" s="12" t="s">
        <v>205</v>
      </c>
      <c r="J2799" s="12" t="s">
        <v>206</v>
      </c>
      <c r="K2799" s="12" t="s">
        <v>207</v>
      </c>
      <c r="L2799" s="12" t="s">
        <v>42</v>
      </c>
      <c r="M2799" s="12" t="s">
        <v>43</v>
      </c>
      <c r="N2799" s="12" t="s">
        <v>84</v>
      </c>
      <c r="O2799" s="12" t="s">
        <v>10224</v>
      </c>
      <c r="P2799" s="12" t="s">
        <v>46</v>
      </c>
      <c r="Q2799" s="12" t="s">
        <v>47</v>
      </c>
      <c r="R2799" s="12" t="s">
        <v>48</v>
      </c>
      <c r="S2799" s="13">
        <v>198270303485</v>
      </c>
      <c r="T2799" s="12" t="s">
        <v>49</v>
      </c>
      <c r="U2799" s="13">
        <v>36.5</v>
      </c>
      <c r="V2799" s="12" t="s">
        <v>209</v>
      </c>
      <c r="W2799" s="12" t="s">
        <v>51</v>
      </c>
      <c r="X2799" s="14"/>
      <c r="Y2799" s="14"/>
      <c r="Z2799" s="14"/>
      <c r="AA2799" s="14"/>
      <c r="AB2799" s="14"/>
      <c r="AC2799" s="15">
        <v>36.4</v>
      </c>
      <c r="AD2799" s="15">
        <f>AC2799*AG2799</f>
        <v>72.8</v>
      </c>
      <c r="AE2799" s="15">
        <v>80</v>
      </c>
      <c r="AF2799" s="15">
        <f>AE2799*AG2799</f>
        <v>160</v>
      </c>
      <c r="AG2799" s="16">
        <v>2</v>
      </c>
    </row>
    <row r="2800" spans="1:33" ht="15" customHeight="1" x14ac:dyDescent="0.2">
      <c r="A2800" s="11" t="str">
        <f>HYPERLINK("https://assets.vans.eu/images/VN000ED2YS5-HERO/1","VN000ED2YS51")</f>
        <v>VN000ED2YS51</v>
      </c>
      <c r="B2800" s="12" t="s">
        <v>10225</v>
      </c>
      <c r="C2800" s="12" t="s">
        <v>3586</v>
      </c>
      <c r="D2800" s="12" t="s">
        <v>6037</v>
      </c>
      <c r="E2800" s="12" t="s">
        <v>10226</v>
      </c>
      <c r="F2800" s="13">
        <v>95</v>
      </c>
      <c r="G2800" s="14"/>
      <c r="H2800" s="12" t="s">
        <v>38</v>
      </c>
      <c r="I2800" s="12" t="s">
        <v>113</v>
      </c>
      <c r="J2800" s="12" t="s">
        <v>114</v>
      </c>
      <c r="K2800" s="12" t="s">
        <v>82</v>
      </c>
      <c r="L2800" s="14"/>
      <c r="M2800" s="12" t="s">
        <v>43</v>
      </c>
      <c r="N2800" s="12" t="s">
        <v>84</v>
      </c>
      <c r="O2800" s="12" t="s">
        <v>10227</v>
      </c>
      <c r="P2800" s="12" t="s">
        <v>46</v>
      </c>
      <c r="Q2800" s="12" t="s">
        <v>47</v>
      </c>
      <c r="R2800" s="12" t="s">
        <v>117</v>
      </c>
      <c r="S2800" s="13">
        <v>198267010334</v>
      </c>
      <c r="T2800" s="12" t="s">
        <v>49</v>
      </c>
      <c r="U2800" s="13">
        <v>42.5</v>
      </c>
      <c r="V2800" s="12" t="s">
        <v>209</v>
      </c>
      <c r="W2800" s="12" t="s">
        <v>598</v>
      </c>
      <c r="X2800" s="14"/>
      <c r="Y2800" s="14"/>
      <c r="Z2800" s="14"/>
      <c r="AA2800" s="14"/>
      <c r="AB2800" s="14"/>
      <c r="AC2800" s="15">
        <v>36.4</v>
      </c>
      <c r="AD2800" s="15">
        <f>AC2800*AG2800</f>
        <v>72.8</v>
      </c>
      <c r="AE2800" s="15">
        <v>80</v>
      </c>
      <c r="AF2800" s="15">
        <f>AE2800*AG2800</f>
        <v>160</v>
      </c>
      <c r="AG2800" s="16">
        <v>2</v>
      </c>
    </row>
    <row r="2801" spans="1:33" ht="15" customHeight="1" x14ac:dyDescent="0.2">
      <c r="A2801" s="11" t="str">
        <f>HYPERLINK("https://assets.vans.eu/images/VN000ED891K-HERO/1","VN000ED891K1")</f>
        <v>VN000ED891K1</v>
      </c>
      <c r="B2801" s="12" t="s">
        <v>10228</v>
      </c>
      <c r="C2801" s="12" t="s">
        <v>1446</v>
      </c>
      <c r="D2801" s="12" t="s">
        <v>1447</v>
      </c>
      <c r="E2801" s="12" t="s">
        <v>10229</v>
      </c>
      <c r="F2801" s="13">
        <v>130</v>
      </c>
      <c r="G2801" s="14"/>
      <c r="H2801" s="12" t="s">
        <v>38</v>
      </c>
      <c r="I2801" s="12" t="s">
        <v>113</v>
      </c>
      <c r="J2801" s="12" t="s">
        <v>114</v>
      </c>
      <c r="K2801" s="12" t="s">
        <v>82</v>
      </c>
      <c r="L2801" s="12" t="s">
        <v>115</v>
      </c>
      <c r="M2801" s="12" t="s">
        <v>43</v>
      </c>
      <c r="N2801" s="12" t="s">
        <v>84</v>
      </c>
      <c r="O2801" s="12" t="s">
        <v>10230</v>
      </c>
      <c r="P2801" s="12" t="s">
        <v>46</v>
      </c>
      <c r="Q2801" s="12" t="s">
        <v>47</v>
      </c>
      <c r="R2801" s="12" t="s">
        <v>948</v>
      </c>
      <c r="S2801" s="13">
        <v>197805786052</v>
      </c>
      <c r="T2801" s="12" t="s">
        <v>49</v>
      </c>
      <c r="U2801" s="13">
        <v>47</v>
      </c>
      <c r="V2801" s="12" t="s">
        <v>209</v>
      </c>
      <c r="W2801" s="12" t="s">
        <v>51</v>
      </c>
      <c r="X2801" s="14"/>
      <c r="Y2801" s="14"/>
      <c r="Z2801" s="14"/>
      <c r="AA2801" s="14"/>
      <c r="AB2801" s="14"/>
      <c r="AC2801" s="15">
        <v>65.95</v>
      </c>
      <c r="AD2801" s="15">
        <f>AC2801*AG2801</f>
        <v>131.9</v>
      </c>
      <c r="AE2801" s="15">
        <v>145</v>
      </c>
      <c r="AF2801" s="15">
        <f>AE2801*AG2801</f>
        <v>290</v>
      </c>
      <c r="AG2801" s="16">
        <v>2</v>
      </c>
    </row>
    <row r="2802" spans="1:33" ht="15" customHeight="1" x14ac:dyDescent="0.2">
      <c r="A2802" s="11" t="str">
        <f t="shared" ref="A2802:A2805" si="1126">HYPERLINK("https://assets.vans.eu/images/VN000EDN7D6-HERO/1","VN000EDN7D61")</f>
        <v>VN000EDN7D61</v>
      </c>
      <c r="B2802" s="12" t="s">
        <v>10231</v>
      </c>
      <c r="C2802" s="12" t="s">
        <v>996</v>
      </c>
      <c r="D2802" s="12" t="s">
        <v>1231</v>
      </c>
      <c r="E2802" s="12" t="s">
        <v>10232</v>
      </c>
      <c r="F2802" s="13">
        <v>85</v>
      </c>
      <c r="G2802" s="14"/>
      <c r="H2802" s="12" t="s">
        <v>38</v>
      </c>
      <c r="I2802" s="12" t="s">
        <v>159</v>
      </c>
      <c r="J2802" s="12" t="s">
        <v>341</v>
      </c>
      <c r="K2802" s="12" t="s">
        <v>199</v>
      </c>
      <c r="L2802" s="14"/>
      <c r="M2802" s="12" t="s">
        <v>43</v>
      </c>
      <c r="N2802" s="12" t="s">
        <v>84</v>
      </c>
      <c r="O2802" s="12" t="s">
        <v>10233</v>
      </c>
      <c r="P2802" s="12" t="s">
        <v>46</v>
      </c>
      <c r="Q2802" s="12" t="s">
        <v>47</v>
      </c>
      <c r="R2802" s="12" t="s">
        <v>163</v>
      </c>
      <c r="S2802" s="13">
        <v>197804566884</v>
      </c>
      <c r="T2802" s="12" t="s">
        <v>49</v>
      </c>
      <c r="U2802" s="13">
        <v>41</v>
      </c>
      <c r="V2802" s="12" t="s">
        <v>50</v>
      </c>
      <c r="W2802" s="12" t="s">
        <v>186</v>
      </c>
      <c r="X2802" s="14"/>
      <c r="Y2802" s="14"/>
      <c r="Z2802" s="14"/>
      <c r="AA2802" s="14"/>
      <c r="AB2802" s="14"/>
      <c r="AC2802" s="15">
        <v>38.65</v>
      </c>
      <c r="AD2802" s="15">
        <f>AC2802*AG2802</f>
        <v>77.3</v>
      </c>
      <c r="AE2802" s="15">
        <v>85</v>
      </c>
      <c r="AF2802" s="15">
        <f>AE2802*AG2802</f>
        <v>170</v>
      </c>
      <c r="AG2802" s="16">
        <v>2</v>
      </c>
    </row>
    <row r="2803" spans="1:33" ht="15" customHeight="1" x14ac:dyDescent="0.2">
      <c r="A2803" s="11" t="str">
        <f t="shared" si="1126"/>
        <v>VN000EDN7D61</v>
      </c>
      <c r="B2803" s="12" t="s">
        <v>10234</v>
      </c>
      <c r="C2803" s="12" t="s">
        <v>996</v>
      </c>
      <c r="D2803" s="12" t="s">
        <v>1231</v>
      </c>
      <c r="E2803" s="12" t="s">
        <v>10235</v>
      </c>
      <c r="F2803" s="13">
        <v>95</v>
      </c>
      <c r="G2803" s="14"/>
      <c r="H2803" s="12" t="s">
        <v>38</v>
      </c>
      <c r="I2803" s="12" t="s">
        <v>159</v>
      </c>
      <c r="J2803" s="12" t="s">
        <v>341</v>
      </c>
      <c r="K2803" s="12" t="s">
        <v>199</v>
      </c>
      <c r="L2803" s="14"/>
      <c r="M2803" s="12" t="s">
        <v>43</v>
      </c>
      <c r="N2803" s="12" t="s">
        <v>84</v>
      </c>
      <c r="O2803" s="12" t="s">
        <v>10236</v>
      </c>
      <c r="P2803" s="12" t="s">
        <v>46</v>
      </c>
      <c r="Q2803" s="12" t="s">
        <v>47</v>
      </c>
      <c r="R2803" s="12" t="s">
        <v>163</v>
      </c>
      <c r="S2803" s="13">
        <v>197804567218</v>
      </c>
      <c r="T2803" s="12" t="s">
        <v>49</v>
      </c>
      <c r="U2803" s="13">
        <v>42.5</v>
      </c>
      <c r="V2803" s="12" t="s">
        <v>50</v>
      </c>
      <c r="W2803" s="12" t="s">
        <v>186</v>
      </c>
      <c r="X2803" s="14"/>
      <c r="Y2803" s="14"/>
      <c r="Z2803" s="14"/>
      <c r="AA2803" s="14"/>
      <c r="AB2803" s="14"/>
      <c r="AC2803" s="15">
        <v>38.65</v>
      </c>
      <c r="AD2803" s="15">
        <f>AC2803*AG2803</f>
        <v>77.3</v>
      </c>
      <c r="AE2803" s="15">
        <v>85</v>
      </c>
      <c r="AF2803" s="15">
        <f>AE2803*AG2803</f>
        <v>170</v>
      </c>
      <c r="AG2803" s="16">
        <v>2</v>
      </c>
    </row>
    <row r="2804" spans="1:33" ht="15" customHeight="1" x14ac:dyDescent="0.2">
      <c r="A2804" s="11" t="str">
        <f t="shared" si="1126"/>
        <v>VN000EDN7D61</v>
      </c>
      <c r="B2804" s="12" t="s">
        <v>10237</v>
      </c>
      <c r="C2804" s="12" t="s">
        <v>996</v>
      </c>
      <c r="D2804" s="12" t="s">
        <v>1231</v>
      </c>
      <c r="E2804" s="12" t="s">
        <v>10238</v>
      </c>
      <c r="F2804" s="13">
        <v>105</v>
      </c>
      <c r="G2804" s="14"/>
      <c r="H2804" s="12" t="s">
        <v>38</v>
      </c>
      <c r="I2804" s="12" t="s">
        <v>159</v>
      </c>
      <c r="J2804" s="12" t="s">
        <v>341</v>
      </c>
      <c r="K2804" s="12" t="s">
        <v>199</v>
      </c>
      <c r="L2804" s="14"/>
      <c r="M2804" s="12" t="s">
        <v>43</v>
      </c>
      <c r="N2804" s="12" t="s">
        <v>84</v>
      </c>
      <c r="O2804" s="12" t="s">
        <v>10239</v>
      </c>
      <c r="P2804" s="12" t="s">
        <v>46</v>
      </c>
      <c r="Q2804" s="12" t="s">
        <v>47</v>
      </c>
      <c r="R2804" s="12" t="s">
        <v>163</v>
      </c>
      <c r="S2804" s="13">
        <v>197804567294</v>
      </c>
      <c r="T2804" s="12" t="s">
        <v>49</v>
      </c>
      <c r="U2804" s="13">
        <v>44</v>
      </c>
      <c r="V2804" s="12" t="s">
        <v>50</v>
      </c>
      <c r="W2804" s="12" t="s">
        <v>186</v>
      </c>
      <c r="X2804" s="14"/>
      <c r="Y2804" s="14"/>
      <c r="Z2804" s="14"/>
      <c r="AA2804" s="14"/>
      <c r="AB2804" s="14"/>
      <c r="AC2804" s="15">
        <v>38.65</v>
      </c>
      <c r="AD2804" s="15">
        <f>AC2804*AG2804</f>
        <v>77.3</v>
      </c>
      <c r="AE2804" s="15">
        <v>85</v>
      </c>
      <c r="AF2804" s="15">
        <f>AE2804*AG2804</f>
        <v>170</v>
      </c>
      <c r="AG2804" s="16">
        <v>2</v>
      </c>
    </row>
    <row r="2805" spans="1:33" ht="15" customHeight="1" x14ac:dyDescent="0.2">
      <c r="A2805" s="11" t="str">
        <f t="shared" si="1126"/>
        <v>VN000EDN7D61</v>
      </c>
      <c r="B2805" s="12" t="s">
        <v>10240</v>
      </c>
      <c r="C2805" s="12" t="s">
        <v>996</v>
      </c>
      <c r="D2805" s="12" t="s">
        <v>1231</v>
      </c>
      <c r="E2805" s="12" t="s">
        <v>10241</v>
      </c>
      <c r="F2805" s="13">
        <v>110</v>
      </c>
      <c r="G2805" s="14"/>
      <c r="H2805" s="12" t="s">
        <v>38</v>
      </c>
      <c r="I2805" s="12" t="s">
        <v>159</v>
      </c>
      <c r="J2805" s="12" t="s">
        <v>341</v>
      </c>
      <c r="K2805" s="12" t="s">
        <v>199</v>
      </c>
      <c r="L2805" s="14"/>
      <c r="M2805" s="12" t="s">
        <v>43</v>
      </c>
      <c r="N2805" s="12" t="s">
        <v>84</v>
      </c>
      <c r="O2805" s="12" t="s">
        <v>10242</v>
      </c>
      <c r="P2805" s="12" t="s">
        <v>46</v>
      </c>
      <c r="Q2805" s="12" t="s">
        <v>47</v>
      </c>
      <c r="R2805" s="12" t="s">
        <v>163</v>
      </c>
      <c r="S2805" s="13">
        <v>197804567362</v>
      </c>
      <c r="T2805" s="12" t="s">
        <v>49</v>
      </c>
      <c r="U2805" s="13">
        <v>44.5</v>
      </c>
      <c r="V2805" s="12" t="s">
        <v>50</v>
      </c>
      <c r="W2805" s="12" t="s">
        <v>186</v>
      </c>
      <c r="X2805" s="14"/>
      <c r="Y2805" s="14"/>
      <c r="Z2805" s="14"/>
      <c r="AA2805" s="14"/>
      <c r="AB2805" s="14"/>
      <c r="AC2805" s="15">
        <v>38.65</v>
      </c>
      <c r="AD2805" s="15">
        <f>AC2805*AG2805</f>
        <v>77.3</v>
      </c>
      <c r="AE2805" s="15">
        <v>85</v>
      </c>
      <c r="AF2805" s="15">
        <f>AE2805*AG2805</f>
        <v>170</v>
      </c>
      <c r="AG2805" s="16">
        <v>2</v>
      </c>
    </row>
    <row r="2806" spans="1:33" ht="15" customHeight="1" x14ac:dyDescent="0.2">
      <c r="A2806" s="11" t="str">
        <f t="shared" ref="A2806:A2808" si="1127">HYPERLINK("https://assets.vans.eu/images/VN000EDN9X1-HERO/1","VN000EDN9X11")</f>
        <v>VN000EDN9X11</v>
      </c>
      <c r="B2806" s="12" t="s">
        <v>10243</v>
      </c>
      <c r="C2806" s="12" t="s">
        <v>996</v>
      </c>
      <c r="D2806" s="12" t="s">
        <v>4428</v>
      </c>
      <c r="E2806" s="12" t="s">
        <v>10244</v>
      </c>
      <c r="F2806" s="13">
        <v>95</v>
      </c>
      <c r="G2806" s="12" t="s">
        <v>4430</v>
      </c>
      <c r="H2806" s="12" t="s">
        <v>38</v>
      </c>
      <c r="I2806" s="12" t="s">
        <v>159</v>
      </c>
      <c r="J2806" s="12" t="s">
        <v>341</v>
      </c>
      <c r="K2806" s="12" t="s">
        <v>199</v>
      </c>
      <c r="L2806" s="14"/>
      <c r="M2806" s="12" t="s">
        <v>43</v>
      </c>
      <c r="N2806" s="12" t="s">
        <v>84</v>
      </c>
      <c r="O2806" s="12" t="s">
        <v>10245</v>
      </c>
      <c r="P2806" s="12" t="s">
        <v>46</v>
      </c>
      <c r="Q2806" s="12" t="s">
        <v>47</v>
      </c>
      <c r="R2806" s="12" t="s">
        <v>163</v>
      </c>
      <c r="S2806" s="13">
        <v>197804567157</v>
      </c>
      <c r="T2806" s="12" t="s">
        <v>49</v>
      </c>
      <c r="U2806" s="13">
        <v>42.5</v>
      </c>
      <c r="V2806" s="12" t="s">
        <v>50</v>
      </c>
      <c r="W2806" s="12" t="s">
        <v>51</v>
      </c>
      <c r="X2806" s="14"/>
      <c r="Y2806" s="14"/>
      <c r="Z2806" s="14"/>
      <c r="AA2806" s="14"/>
      <c r="AB2806" s="14"/>
      <c r="AC2806" s="15">
        <v>38.65</v>
      </c>
      <c r="AD2806" s="15">
        <f>AC2806*AG2806</f>
        <v>77.3</v>
      </c>
      <c r="AE2806" s="15">
        <v>85</v>
      </c>
      <c r="AF2806" s="15">
        <f>AE2806*AG2806</f>
        <v>170</v>
      </c>
      <c r="AG2806" s="16">
        <v>2</v>
      </c>
    </row>
    <row r="2807" spans="1:33" ht="15" customHeight="1" x14ac:dyDescent="0.2">
      <c r="A2807" s="11" t="str">
        <f t="shared" si="1127"/>
        <v>VN000EDN9X11</v>
      </c>
      <c r="B2807" s="12" t="s">
        <v>10246</v>
      </c>
      <c r="C2807" s="12" t="s">
        <v>996</v>
      </c>
      <c r="D2807" s="12" t="s">
        <v>4428</v>
      </c>
      <c r="E2807" s="12" t="s">
        <v>10247</v>
      </c>
      <c r="F2807" s="13">
        <v>110</v>
      </c>
      <c r="G2807" s="12" t="s">
        <v>4430</v>
      </c>
      <c r="H2807" s="12" t="s">
        <v>38</v>
      </c>
      <c r="I2807" s="12" t="s">
        <v>159</v>
      </c>
      <c r="J2807" s="12" t="s">
        <v>341</v>
      </c>
      <c r="K2807" s="12" t="s">
        <v>199</v>
      </c>
      <c r="L2807" s="14"/>
      <c r="M2807" s="12" t="s">
        <v>43</v>
      </c>
      <c r="N2807" s="12" t="s">
        <v>84</v>
      </c>
      <c r="O2807" s="12" t="s">
        <v>10248</v>
      </c>
      <c r="P2807" s="12" t="s">
        <v>46</v>
      </c>
      <c r="Q2807" s="12" t="s">
        <v>47</v>
      </c>
      <c r="R2807" s="12" t="s">
        <v>163</v>
      </c>
      <c r="S2807" s="13">
        <v>197804567461</v>
      </c>
      <c r="T2807" s="12" t="s">
        <v>49</v>
      </c>
      <c r="U2807" s="13">
        <v>44.5</v>
      </c>
      <c r="V2807" s="12" t="s">
        <v>50</v>
      </c>
      <c r="W2807" s="12" t="s">
        <v>51</v>
      </c>
      <c r="X2807" s="14"/>
      <c r="Y2807" s="14"/>
      <c r="Z2807" s="14"/>
      <c r="AA2807" s="14"/>
      <c r="AB2807" s="14"/>
      <c r="AC2807" s="15">
        <v>38.65</v>
      </c>
      <c r="AD2807" s="15">
        <f>AC2807*AG2807</f>
        <v>77.3</v>
      </c>
      <c r="AE2807" s="15">
        <v>85</v>
      </c>
      <c r="AF2807" s="15">
        <f>AE2807*AG2807</f>
        <v>170</v>
      </c>
      <c r="AG2807" s="16">
        <v>2</v>
      </c>
    </row>
    <row r="2808" spans="1:33" ht="15" customHeight="1" x14ac:dyDescent="0.2">
      <c r="A2808" s="11" t="str">
        <f t="shared" si="1127"/>
        <v>VN000EDN9X11</v>
      </c>
      <c r="B2808" s="12" t="s">
        <v>10249</v>
      </c>
      <c r="C2808" s="12" t="s">
        <v>996</v>
      </c>
      <c r="D2808" s="12" t="s">
        <v>4428</v>
      </c>
      <c r="E2808" s="12" t="s">
        <v>10250</v>
      </c>
      <c r="F2808" s="13">
        <v>130</v>
      </c>
      <c r="G2808" s="12" t="s">
        <v>4430</v>
      </c>
      <c r="H2808" s="12" t="s">
        <v>38</v>
      </c>
      <c r="I2808" s="12" t="s">
        <v>159</v>
      </c>
      <c r="J2808" s="12" t="s">
        <v>341</v>
      </c>
      <c r="K2808" s="12" t="s">
        <v>199</v>
      </c>
      <c r="L2808" s="14"/>
      <c r="M2808" s="12" t="s">
        <v>43</v>
      </c>
      <c r="N2808" s="12" t="s">
        <v>84</v>
      </c>
      <c r="O2808" s="12" t="s">
        <v>10251</v>
      </c>
      <c r="P2808" s="12" t="s">
        <v>46</v>
      </c>
      <c r="Q2808" s="12" t="s">
        <v>47</v>
      </c>
      <c r="R2808" s="12" t="s">
        <v>163</v>
      </c>
      <c r="S2808" s="13">
        <v>197804567690</v>
      </c>
      <c r="T2808" s="12" t="s">
        <v>49</v>
      </c>
      <c r="U2808" s="13">
        <v>47</v>
      </c>
      <c r="V2808" s="12" t="s">
        <v>50</v>
      </c>
      <c r="W2808" s="12" t="s">
        <v>51</v>
      </c>
      <c r="X2808" s="14"/>
      <c r="Y2808" s="14"/>
      <c r="Z2808" s="14"/>
      <c r="AA2808" s="14"/>
      <c r="AB2808" s="14"/>
      <c r="AC2808" s="15">
        <v>38.65</v>
      </c>
      <c r="AD2808" s="15">
        <f>AC2808*AG2808</f>
        <v>77.3</v>
      </c>
      <c r="AE2808" s="15">
        <v>85</v>
      </c>
      <c r="AF2808" s="15">
        <f>AE2808*AG2808</f>
        <v>170</v>
      </c>
      <c r="AG2808" s="16">
        <v>2</v>
      </c>
    </row>
    <row r="2809" spans="1:33" ht="15" customHeight="1" x14ac:dyDescent="0.2">
      <c r="A2809" s="11" t="str">
        <f>HYPERLINK("https://assets.vans.eu/images/VN000EDNAH9-HERO/1","VN000EDNAH91")</f>
        <v>VN000EDNAH91</v>
      </c>
      <c r="B2809" s="12" t="s">
        <v>10252</v>
      </c>
      <c r="C2809" s="12" t="s">
        <v>996</v>
      </c>
      <c r="D2809" s="12" t="s">
        <v>3633</v>
      </c>
      <c r="E2809" s="12" t="s">
        <v>10253</v>
      </c>
      <c r="F2809" s="13">
        <v>60</v>
      </c>
      <c r="G2809" s="14"/>
      <c r="H2809" s="12" t="s">
        <v>38</v>
      </c>
      <c r="I2809" s="12" t="s">
        <v>159</v>
      </c>
      <c r="J2809" s="12" t="s">
        <v>341</v>
      </c>
      <c r="K2809" s="12" t="s">
        <v>199</v>
      </c>
      <c r="L2809" s="14"/>
      <c r="M2809" s="12" t="s">
        <v>43</v>
      </c>
      <c r="N2809" s="12" t="s">
        <v>84</v>
      </c>
      <c r="O2809" s="12" t="s">
        <v>10254</v>
      </c>
      <c r="P2809" s="12" t="s">
        <v>46</v>
      </c>
      <c r="Q2809" s="12" t="s">
        <v>47</v>
      </c>
      <c r="R2809" s="12" t="s">
        <v>163</v>
      </c>
      <c r="S2809" s="13">
        <v>197804566952</v>
      </c>
      <c r="T2809" s="12" t="s">
        <v>49</v>
      </c>
      <c r="U2809" s="13">
        <v>38</v>
      </c>
      <c r="V2809" s="12" t="s">
        <v>50</v>
      </c>
      <c r="W2809" s="12" t="s">
        <v>118</v>
      </c>
      <c r="X2809" s="14"/>
      <c r="Y2809" s="14"/>
      <c r="Z2809" s="14"/>
      <c r="AA2809" s="14"/>
      <c r="AB2809" s="14"/>
      <c r="AC2809" s="15">
        <v>38.65</v>
      </c>
      <c r="AD2809" s="15">
        <f>AC2809*AG2809</f>
        <v>77.3</v>
      </c>
      <c r="AE2809" s="15">
        <v>85</v>
      </c>
      <c r="AF2809" s="15">
        <f>AE2809*AG2809</f>
        <v>170</v>
      </c>
      <c r="AG2809" s="16">
        <v>2</v>
      </c>
    </row>
    <row r="2810" spans="1:33" ht="15" customHeight="1" x14ac:dyDescent="0.2">
      <c r="A2810" s="11" t="str">
        <f t="shared" si="651"/>
        <v>VN000EFBCJK1</v>
      </c>
      <c r="B2810" s="12" t="s">
        <v>10255</v>
      </c>
      <c r="C2810" s="12" t="s">
        <v>1207</v>
      </c>
      <c r="D2810" s="12" t="s">
        <v>919</v>
      </c>
      <c r="E2810" s="12" t="s">
        <v>10256</v>
      </c>
      <c r="F2810" s="13">
        <v>35</v>
      </c>
      <c r="G2810" s="12" t="s">
        <v>643</v>
      </c>
      <c r="H2810" s="12" t="s">
        <v>38</v>
      </c>
      <c r="I2810" s="12" t="s">
        <v>242</v>
      </c>
      <c r="J2810" s="12" t="s">
        <v>243</v>
      </c>
      <c r="K2810" s="12" t="s">
        <v>244</v>
      </c>
      <c r="L2810" s="14"/>
      <c r="M2810" s="12" t="s">
        <v>43</v>
      </c>
      <c r="N2810" s="12" t="s">
        <v>84</v>
      </c>
      <c r="O2810" s="12" t="s">
        <v>10257</v>
      </c>
      <c r="P2810" s="12" t="s">
        <v>46</v>
      </c>
      <c r="Q2810" s="12" t="s">
        <v>47</v>
      </c>
      <c r="R2810" s="12" t="s">
        <v>48</v>
      </c>
      <c r="S2810" s="13">
        <v>198266572055</v>
      </c>
      <c r="T2810" s="12" t="s">
        <v>105</v>
      </c>
      <c r="U2810" s="13">
        <v>18.5</v>
      </c>
      <c r="V2810" s="12" t="s">
        <v>278</v>
      </c>
      <c r="W2810" s="12" t="s">
        <v>51</v>
      </c>
      <c r="X2810" s="14"/>
      <c r="Y2810" s="14"/>
      <c r="Z2810" s="14"/>
      <c r="AA2810" s="14"/>
      <c r="AB2810" s="14"/>
      <c r="AC2810" s="15">
        <v>29.55</v>
      </c>
      <c r="AD2810" s="15">
        <f>AC2810*AG2810</f>
        <v>59.1</v>
      </c>
      <c r="AE2810" s="15">
        <v>65</v>
      </c>
      <c r="AF2810" s="15">
        <f>AE2810*AG2810</f>
        <v>130</v>
      </c>
      <c r="AG2810" s="16">
        <v>2</v>
      </c>
    </row>
    <row r="2811" spans="1:33" ht="15" customHeight="1" x14ac:dyDescent="0.2">
      <c r="A2811" s="11" t="str">
        <f t="shared" si="465"/>
        <v>VN000EFBYY61</v>
      </c>
      <c r="B2811" s="12" t="s">
        <v>10258</v>
      </c>
      <c r="C2811" s="12" t="s">
        <v>1207</v>
      </c>
      <c r="D2811" s="12" t="s">
        <v>1208</v>
      </c>
      <c r="E2811" s="12" t="s">
        <v>10259</v>
      </c>
      <c r="F2811" s="13">
        <v>75</v>
      </c>
      <c r="G2811" s="14"/>
      <c r="H2811" s="12" t="s">
        <v>38</v>
      </c>
      <c r="I2811" s="12" t="s">
        <v>242</v>
      </c>
      <c r="J2811" s="12" t="s">
        <v>243</v>
      </c>
      <c r="K2811" s="12" t="s">
        <v>244</v>
      </c>
      <c r="L2811" s="12" t="s">
        <v>260</v>
      </c>
      <c r="M2811" s="12" t="s">
        <v>43</v>
      </c>
      <c r="N2811" s="12" t="s">
        <v>84</v>
      </c>
      <c r="O2811" s="12" t="s">
        <v>10260</v>
      </c>
      <c r="P2811" s="12" t="s">
        <v>46</v>
      </c>
      <c r="Q2811" s="12" t="s">
        <v>47</v>
      </c>
      <c r="R2811" s="12" t="s">
        <v>48</v>
      </c>
      <c r="S2811" s="13">
        <v>198266184494</v>
      </c>
      <c r="T2811" s="12" t="s">
        <v>49</v>
      </c>
      <c r="U2811" s="13">
        <v>24</v>
      </c>
      <c r="V2811" s="12" t="s">
        <v>50</v>
      </c>
      <c r="W2811" s="12" t="s">
        <v>51</v>
      </c>
      <c r="X2811" s="14"/>
      <c r="Y2811" s="14"/>
      <c r="Z2811" s="14"/>
      <c r="AA2811" s="14"/>
      <c r="AB2811" s="14"/>
      <c r="AC2811" s="15">
        <v>27.3</v>
      </c>
      <c r="AD2811" s="15">
        <f>AC2811*AG2811</f>
        <v>54.6</v>
      </c>
      <c r="AE2811" s="15">
        <v>60</v>
      </c>
      <c r="AF2811" s="15">
        <f>AE2811*AG2811</f>
        <v>120</v>
      </c>
      <c r="AG2811" s="16">
        <v>2</v>
      </c>
    </row>
    <row r="2812" spans="1:33" ht="15" customHeight="1" x14ac:dyDescent="0.2">
      <c r="A2812" s="11" t="str">
        <f t="shared" si="827"/>
        <v>VN000EG59X11</v>
      </c>
      <c r="B2812" s="12" t="s">
        <v>10261</v>
      </c>
      <c r="C2812" s="12" t="s">
        <v>4427</v>
      </c>
      <c r="D2812" s="12" t="s">
        <v>4428</v>
      </c>
      <c r="E2812" s="12" t="s">
        <v>10262</v>
      </c>
      <c r="F2812" s="13">
        <v>75</v>
      </c>
      <c r="G2812" s="12" t="s">
        <v>4430</v>
      </c>
      <c r="H2812" s="12" t="s">
        <v>38</v>
      </c>
      <c r="I2812" s="12" t="s">
        <v>159</v>
      </c>
      <c r="J2812" s="12" t="s">
        <v>341</v>
      </c>
      <c r="K2812" s="12" t="s">
        <v>199</v>
      </c>
      <c r="L2812" s="14"/>
      <c r="M2812" s="12" t="s">
        <v>43</v>
      </c>
      <c r="N2812" s="12" t="s">
        <v>84</v>
      </c>
      <c r="O2812" s="12" t="s">
        <v>10263</v>
      </c>
      <c r="P2812" s="12" t="s">
        <v>46</v>
      </c>
      <c r="Q2812" s="12" t="s">
        <v>47</v>
      </c>
      <c r="R2812" s="12" t="s">
        <v>163</v>
      </c>
      <c r="S2812" s="13">
        <v>197804570485</v>
      </c>
      <c r="T2812" s="12" t="s">
        <v>49</v>
      </c>
      <c r="U2812" s="13">
        <v>40</v>
      </c>
      <c r="V2812" s="12" t="s">
        <v>209</v>
      </c>
      <c r="W2812" s="12" t="s">
        <v>51</v>
      </c>
      <c r="X2812" s="14"/>
      <c r="Y2812" s="14"/>
      <c r="Z2812" s="14"/>
      <c r="AA2812" s="14"/>
      <c r="AB2812" s="14"/>
      <c r="AC2812" s="15">
        <v>36.4</v>
      </c>
      <c r="AD2812" s="15">
        <f>AC2812*AG2812</f>
        <v>72.8</v>
      </c>
      <c r="AE2812" s="15">
        <v>80</v>
      </c>
      <c r="AF2812" s="15">
        <f>AE2812*AG2812</f>
        <v>160</v>
      </c>
      <c r="AG2812" s="16">
        <v>2</v>
      </c>
    </row>
    <row r="2813" spans="1:33" ht="15" customHeight="1" x14ac:dyDescent="0.2">
      <c r="A2813" s="11" t="str">
        <f t="shared" ref="A2813:A2816" si="1128">HYPERLINK("https://assets.vans.eu/images/VN000EG59X1-HERO/1","VN000EG59X11")</f>
        <v>VN000EG59X11</v>
      </c>
      <c r="B2813" s="12" t="s">
        <v>10264</v>
      </c>
      <c r="C2813" s="12" t="s">
        <v>4427</v>
      </c>
      <c r="D2813" s="12" t="s">
        <v>4428</v>
      </c>
      <c r="E2813" s="12" t="s">
        <v>10265</v>
      </c>
      <c r="F2813" s="13">
        <v>85</v>
      </c>
      <c r="G2813" s="12" t="s">
        <v>4430</v>
      </c>
      <c r="H2813" s="12" t="s">
        <v>38</v>
      </c>
      <c r="I2813" s="12" t="s">
        <v>159</v>
      </c>
      <c r="J2813" s="12" t="s">
        <v>341</v>
      </c>
      <c r="K2813" s="12" t="s">
        <v>199</v>
      </c>
      <c r="L2813" s="14"/>
      <c r="M2813" s="12" t="s">
        <v>43</v>
      </c>
      <c r="N2813" s="12" t="s">
        <v>84</v>
      </c>
      <c r="O2813" s="12" t="s">
        <v>10266</v>
      </c>
      <c r="P2813" s="12" t="s">
        <v>46</v>
      </c>
      <c r="Q2813" s="12" t="s">
        <v>47</v>
      </c>
      <c r="R2813" s="12" t="s">
        <v>163</v>
      </c>
      <c r="S2813" s="13">
        <v>197804570812</v>
      </c>
      <c r="T2813" s="12" t="s">
        <v>49</v>
      </c>
      <c r="U2813" s="13">
        <v>41</v>
      </c>
      <c r="V2813" s="12" t="s">
        <v>209</v>
      </c>
      <c r="W2813" s="12" t="s">
        <v>51</v>
      </c>
      <c r="X2813" s="14"/>
      <c r="Y2813" s="14"/>
      <c r="Z2813" s="14"/>
      <c r="AA2813" s="14"/>
      <c r="AB2813" s="14"/>
      <c r="AC2813" s="15">
        <v>36.4</v>
      </c>
      <c r="AD2813" s="15">
        <f>AC2813*AG2813</f>
        <v>72.8</v>
      </c>
      <c r="AE2813" s="15">
        <v>80</v>
      </c>
      <c r="AF2813" s="15">
        <f>AE2813*AG2813</f>
        <v>160</v>
      </c>
      <c r="AG2813" s="16">
        <v>2</v>
      </c>
    </row>
    <row r="2814" spans="1:33" ht="15" customHeight="1" x14ac:dyDescent="0.2">
      <c r="A2814" s="11" t="str">
        <f t="shared" si="1128"/>
        <v>VN000EG59X11</v>
      </c>
      <c r="B2814" s="12" t="s">
        <v>10267</v>
      </c>
      <c r="C2814" s="12" t="s">
        <v>4427</v>
      </c>
      <c r="D2814" s="12" t="s">
        <v>4428</v>
      </c>
      <c r="E2814" s="12" t="s">
        <v>10268</v>
      </c>
      <c r="F2814" s="13">
        <v>105</v>
      </c>
      <c r="G2814" s="12" t="s">
        <v>4430</v>
      </c>
      <c r="H2814" s="12" t="s">
        <v>38</v>
      </c>
      <c r="I2814" s="12" t="s">
        <v>159</v>
      </c>
      <c r="J2814" s="12" t="s">
        <v>341</v>
      </c>
      <c r="K2814" s="12" t="s">
        <v>199</v>
      </c>
      <c r="L2814" s="14"/>
      <c r="M2814" s="12" t="s">
        <v>43</v>
      </c>
      <c r="N2814" s="12" t="s">
        <v>84</v>
      </c>
      <c r="O2814" s="12" t="s">
        <v>10269</v>
      </c>
      <c r="P2814" s="12" t="s">
        <v>46</v>
      </c>
      <c r="Q2814" s="12" t="s">
        <v>47</v>
      </c>
      <c r="R2814" s="12" t="s">
        <v>163</v>
      </c>
      <c r="S2814" s="13">
        <v>197804571321</v>
      </c>
      <c r="T2814" s="12" t="s">
        <v>49</v>
      </c>
      <c r="U2814" s="13">
        <v>44</v>
      </c>
      <c r="V2814" s="12" t="s">
        <v>209</v>
      </c>
      <c r="W2814" s="12" t="s">
        <v>51</v>
      </c>
      <c r="X2814" s="14"/>
      <c r="Y2814" s="14"/>
      <c r="Z2814" s="14"/>
      <c r="AA2814" s="14"/>
      <c r="AB2814" s="14"/>
      <c r="AC2814" s="15">
        <v>36.4</v>
      </c>
      <c r="AD2814" s="15">
        <f>AC2814*AG2814</f>
        <v>72.8</v>
      </c>
      <c r="AE2814" s="15">
        <v>80</v>
      </c>
      <c r="AF2814" s="15">
        <f>AE2814*AG2814</f>
        <v>160</v>
      </c>
      <c r="AG2814" s="16">
        <v>2</v>
      </c>
    </row>
    <row r="2815" spans="1:33" ht="15" customHeight="1" x14ac:dyDescent="0.2">
      <c r="A2815" s="11" t="str">
        <f t="shared" si="1128"/>
        <v>VN000EG59X11</v>
      </c>
      <c r="B2815" s="12" t="s">
        <v>10270</v>
      </c>
      <c r="C2815" s="12" t="s">
        <v>4427</v>
      </c>
      <c r="D2815" s="12" t="s">
        <v>4428</v>
      </c>
      <c r="E2815" s="12" t="s">
        <v>10271</v>
      </c>
      <c r="F2815" s="13">
        <v>110</v>
      </c>
      <c r="G2815" s="12" t="s">
        <v>4430</v>
      </c>
      <c r="H2815" s="12" t="s">
        <v>38</v>
      </c>
      <c r="I2815" s="12" t="s">
        <v>159</v>
      </c>
      <c r="J2815" s="12" t="s">
        <v>341</v>
      </c>
      <c r="K2815" s="12" t="s">
        <v>199</v>
      </c>
      <c r="L2815" s="14"/>
      <c r="M2815" s="12" t="s">
        <v>43</v>
      </c>
      <c r="N2815" s="12" t="s">
        <v>84</v>
      </c>
      <c r="O2815" s="12" t="s">
        <v>10272</v>
      </c>
      <c r="P2815" s="12" t="s">
        <v>46</v>
      </c>
      <c r="Q2815" s="12" t="s">
        <v>47</v>
      </c>
      <c r="R2815" s="12" t="s">
        <v>163</v>
      </c>
      <c r="S2815" s="13">
        <v>197804571352</v>
      </c>
      <c r="T2815" s="12" t="s">
        <v>49</v>
      </c>
      <c r="U2815" s="13">
        <v>44.5</v>
      </c>
      <c r="V2815" s="12" t="s">
        <v>209</v>
      </c>
      <c r="W2815" s="12" t="s">
        <v>51</v>
      </c>
      <c r="X2815" s="14"/>
      <c r="Y2815" s="14"/>
      <c r="Z2815" s="14"/>
      <c r="AA2815" s="14"/>
      <c r="AB2815" s="14"/>
      <c r="AC2815" s="15">
        <v>36.4</v>
      </c>
      <c r="AD2815" s="15">
        <f>AC2815*AG2815</f>
        <v>72.8</v>
      </c>
      <c r="AE2815" s="15">
        <v>80</v>
      </c>
      <c r="AF2815" s="15">
        <f>AE2815*AG2815</f>
        <v>160</v>
      </c>
      <c r="AG2815" s="16">
        <v>2</v>
      </c>
    </row>
    <row r="2816" spans="1:33" ht="15" customHeight="1" x14ac:dyDescent="0.2">
      <c r="A2816" s="11" t="str">
        <f t="shared" si="1128"/>
        <v>VN000EG59X11</v>
      </c>
      <c r="B2816" s="12" t="s">
        <v>10273</v>
      </c>
      <c r="C2816" s="12" t="s">
        <v>4427</v>
      </c>
      <c r="D2816" s="12" t="s">
        <v>4428</v>
      </c>
      <c r="E2816" s="12" t="s">
        <v>10274</v>
      </c>
      <c r="F2816" s="13">
        <v>120</v>
      </c>
      <c r="G2816" s="12" t="s">
        <v>4430</v>
      </c>
      <c r="H2816" s="12" t="s">
        <v>38</v>
      </c>
      <c r="I2816" s="12" t="s">
        <v>159</v>
      </c>
      <c r="J2816" s="12" t="s">
        <v>341</v>
      </c>
      <c r="K2816" s="12" t="s">
        <v>199</v>
      </c>
      <c r="L2816" s="14"/>
      <c r="M2816" s="12" t="s">
        <v>43</v>
      </c>
      <c r="N2816" s="12" t="s">
        <v>84</v>
      </c>
      <c r="O2816" s="12" t="s">
        <v>10275</v>
      </c>
      <c r="P2816" s="12" t="s">
        <v>46</v>
      </c>
      <c r="Q2816" s="12" t="s">
        <v>47</v>
      </c>
      <c r="R2816" s="12" t="s">
        <v>163</v>
      </c>
      <c r="S2816" s="13">
        <v>197804571536</v>
      </c>
      <c r="T2816" s="12" t="s">
        <v>49</v>
      </c>
      <c r="U2816" s="13">
        <v>46</v>
      </c>
      <c r="V2816" s="12" t="s">
        <v>209</v>
      </c>
      <c r="W2816" s="12" t="s">
        <v>51</v>
      </c>
      <c r="X2816" s="14"/>
      <c r="Y2816" s="14"/>
      <c r="Z2816" s="14"/>
      <c r="AA2816" s="14"/>
      <c r="AB2816" s="14"/>
      <c r="AC2816" s="15">
        <v>36.4</v>
      </c>
      <c r="AD2816" s="15">
        <f>AC2816*AG2816</f>
        <v>72.8</v>
      </c>
      <c r="AE2816" s="15">
        <v>80</v>
      </c>
      <c r="AF2816" s="15">
        <f>AE2816*AG2816</f>
        <v>160</v>
      </c>
      <c r="AG2816" s="16">
        <v>2</v>
      </c>
    </row>
    <row r="2817" spans="1:33" ht="15" customHeight="1" x14ac:dyDescent="0.2">
      <c r="A2817" s="11" t="str">
        <f t="shared" ref="A2817:A4676" si="1129">HYPERLINK("https://assets.vans.eu/images/VN000V160E0-HERO/1","VN000V160E01")</f>
        <v>VN000V160E01</v>
      </c>
      <c r="B2817" s="12" t="s">
        <v>10276</v>
      </c>
      <c r="C2817" s="12" t="s">
        <v>6036</v>
      </c>
      <c r="D2817" s="12" t="s">
        <v>4588</v>
      </c>
      <c r="E2817" s="12" t="s">
        <v>10277</v>
      </c>
      <c r="F2817" s="13">
        <v>120</v>
      </c>
      <c r="G2817" s="12" t="s">
        <v>10278</v>
      </c>
      <c r="H2817" s="12" t="s">
        <v>38</v>
      </c>
      <c r="I2817" s="12" t="s">
        <v>113</v>
      </c>
      <c r="J2817" s="12" t="s">
        <v>529</v>
      </c>
      <c r="K2817" s="12" t="s">
        <v>82</v>
      </c>
      <c r="L2817" s="14"/>
      <c r="M2817" s="12" t="s">
        <v>43</v>
      </c>
      <c r="N2817" s="12" t="s">
        <v>84</v>
      </c>
      <c r="O2817" s="12" t="s">
        <v>10279</v>
      </c>
      <c r="P2817" s="12" t="s">
        <v>46</v>
      </c>
      <c r="Q2817" s="12" t="s">
        <v>47</v>
      </c>
      <c r="R2817" s="12" t="s">
        <v>117</v>
      </c>
      <c r="S2817" s="13">
        <v>198266548753</v>
      </c>
      <c r="T2817" s="12" t="s">
        <v>49</v>
      </c>
      <c r="U2817" s="13">
        <v>46</v>
      </c>
      <c r="V2817" s="12" t="s">
        <v>50</v>
      </c>
      <c r="W2817" s="12" t="s">
        <v>299</v>
      </c>
      <c r="X2817" s="14"/>
      <c r="Y2817" s="14"/>
      <c r="Z2817" s="14"/>
      <c r="AA2817" s="14"/>
      <c r="AB2817" s="14"/>
      <c r="AC2817" s="15">
        <v>38.65</v>
      </c>
      <c r="AD2817" s="15">
        <f>AC2817*AG2817</f>
        <v>77.3</v>
      </c>
      <c r="AE2817" s="15">
        <v>85</v>
      </c>
      <c r="AF2817" s="15">
        <f>AE2817*AG2817</f>
        <v>170</v>
      </c>
      <c r="AG2817" s="16">
        <v>2</v>
      </c>
    </row>
    <row r="2818" spans="1:33" ht="15" customHeight="1" x14ac:dyDescent="0.2">
      <c r="A2818" s="11" t="str">
        <f t="shared" ref="A2818:A4678" si="1130">HYPERLINK("https://assets.vans.eu/images/VN000V16EMT-HERO/1","VN000V16EMT1")</f>
        <v>VN000V16EMT1</v>
      </c>
      <c r="B2818" s="12" t="s">
        <v>10280</v>
      </c>
      <c r="C2818" s="12" t="s">
        <v>6036</v>
      </c>
      <c r="D2818" s="12" t="s">
        <v>5149</v>
      </c>
      <c r="E2818" s="12" t="s">
        <v>10281</v>
      </c>
      <c r="F2818" s="13">
        <v>35</v>
      </c>
      <c r="G2818" s="12" t="s">
        <v>10278</v>
      </c>
      <c r="H2818" s="12" t="s">
        <v>38</v>
      </c>
      <c r="I2818" s="12" t="s">
        <v>113</v>
      </c>
      <c r="J2818" s="12" t="s">
        <v>529</v>
      </c>
      <c r="K2818" s="12" t="s">
        <v>82</v>
      </c>
      <c r="L2818" s="14"/>
      <c r="M2818" s="12" t="s">
        <v>43</v>
      </c>
      <c r="N2818" s="12" t="s">
        <v>84</v>
      </c>
      <c r="O2818" s="12" t="s">
        <v>10282</v>
      </c>
      <c r="P2818" s="12" t="s">
        <v>46</v>
      </c>
      <c r="Q2818" s="12" t="s">
        <v>47</v>
      </c>
      <c r="R2818" s="12" t="s">
        <v>117</v>
      </c>
      <c r="S2818" s="13">
        <v>198266546285</v>
      </c>
      <c r="T2818" s="12" t="s">
        <v>49</v>
      </c>
      <c r="U2818" s="13">
        <v>34.5</v>
      </c>
      <c r="V2818" s="12" t="s">
        <v>50</v>
      </c>
      <c r="W2818" s="12" t="s">
        <v>284</v>
      </c>
      <c r="X2818" s="14"/>
      <c r="Y2818" s="14"/>
      <c r="Z2818" s="14"/>
      <c r="AA2818" s="14"/>
      <c r="AB2818" s="14"/>
      <c r="AC2818" s="15">
        <v>38.65</v>
      </c>
      <c r="AD2818" s="15">
        <f>AC2818*AG2818</f>
        <v>77.3</v>
      </c>
      <c r="AE2818" s="15">
        <v>85</v>
      </c>
      <c r="AF2818" s="15">
        <f>AE2818*AG2818</f>
        <v>170</v>
      </c>
      <c r="AG2818" s="16">
        <v>2</v>
      </c>
    </row>
    <row r="2819" spans="1:33" ht="15" customHeight="1" x14ac:dyDescent="0.2">
      <c r="A2819" s="11" t="str">
        <f>HYPERLINK("https://assets.vans.eu/images/VN000V68B5P-HERO/1","VN000V68B5P1")</f>
        <v>VN000V68B5P1</v>
      </c>
      <c r="B2819" s="12" t="s">
        <v>10283</v>
      </c>
      <c r="C2819" s="12" t="s">
        <v>309</v>
      </c>
      <c r="D2819" s="12" t="s">
        <v>203</v>
      </c>
      <c r="E2819" s="12" t="s">
        <v>10284</v>
      </c>
      <c r="F2819" s="13">
        <v>50</v>
      </c>
      <c r="G2819" s="14"/>
      <c r="H2819" s="12" t="s">
        <v>38</v>
      </c>
      <c r="I2819" s="12" t="s">
        <v>205</v>
      </c>
      <c r="J2819" s="12" t="s">
        <v>206</v>
      </c>
      <c r="K2819" s="12" t="s">
        <v>207</v>
      </c>
      <c r="L2819" s="12" t="s">
        <v>42</v>
      </c>
      <c r="M2819" s="12" t="s">
        <v>43</v>
      </c>
      <c r="N2819" s="12" t="s">
        <v>84</v>
      </c>
      <c r="O2819" s="12" t="s">
        <v>10285</v>
      </c>
      <c r="P2819" s="12" t="s">
        <v>46</v>
      </c>
      <c r="Q2819" s="12" t="s">
        <v>47</v>
      </c>
      <c r="R2819" s="12" t="s">
        <v>313</v>
      </c>
      <c r="S2819" s="13">
        <v>198270303621</v>
      </c>
      <c r="T2819" s="12" t="s">
        <v>49</v>
      </c>
      <c r="U2819" s="13">
        <v>36.5</v>
      </c>
      <c r="V2819" s="12" t="s">
        <v>209</v>
      </c>
      <c r="W2819" s="12" t="s">
        <v>51</v>
      </c>
      <c r="X2819" s="14"/>
      <c r="Y2819" s="14"/>
      <c r="Z2819" s="14"/>
      <c r="AA2819" s="14"/>
      <c r="AB2819" s="14"/>
      <c r="AC2819" s="15">
        <v>38.65</v>
      </c>
      <c r="AD2819" s="15">
        <f>AC2819*AG2819</f>
        <v>77.3</v>
      </c>
      <c r="AE2819" s="15">
        <v>85</v>
      </c>
      <c r="AF2819" s="15">
        <f>AE2819*AG2819</f>
        <v>170</v>
      </c>
      <c r="AG2819" s="16">
        <v>2</v>
      </c>
    </row>
    <row r="2820" spans="1:33" ht="15" customHeight="1" x14ac:dyDescent="0.2">
      <c r="A2820" s="11" t="str">
        <f t="shared" si="830"/>
        <v>VN000VO44K11</v>
      </c>
      <c r="B2820" s="12" t="s">
        <v>10286</v>
      </c>
      <c r="C2820" s="12" t="s">
        <v>5098</v>
      </c>
      <c r="D2820" s="12" t="s">
        <v>5099</v>
      </c>
      <c r="E2820" s="12" t="s">
        <v>10287</v>
      </c>
      <c r="F2820" s="13">
        <v>115</v>
      </c>
      <c r="G2820" s="12" t="s">
        <v>372</v>
      </c>
      <c r="H2820" s="12" t="s">
        <v>38</v>
      </c>
      <c r="I2820" s="12" t="s">
        <v>39</v>
      </c>
      <c r="J2820" s="12" t="s">
        <v>2430</v>
      </c>
      <c r="K2820" s="12" t="s">
        <v>373</v>
      </c>
      <c r="L2820" s="12" t="s">
        <v>350</v>
      </c>
      <c r="M2820" s="12" t="s">
        <v>43</v>
      </c>
      <c r="N2820" s="12" t="s">
        <v>84</v>
      </c>
      <c r="O2820" s="12" t="s">
        <v>10288</v>
      </c>
      <c r="P2820" s="12" t="s">
        <v>46</v>
      </c>
      <c r="Q2820" s="12" t="s">
        <v>47</v>
      </c>
      <c r="R2820" s="12" t="s">
        <v>48</v>
      </c>
      <c r="S2820" s="13">
        <v>885928318679</v>
      </c>
      <c r="T2820" s="12" t="s">
        <v>105</v>
      </c>
      <c r="U2820" s="13">
        <v>28</v>
      </c>
      <c r="V2820" s="12" t="s">
        <v>209</v>
      </c>
      <c r="W2820" s="12" t="s">
        <v>284</v>
      </c>
      <c r="X2820" s="14"/>
      <c r="Y2820" s="12" t="s">
        <v>71</v>
      </c>
      <c r="Z2820" s="12" t="s">
        <v>92</v>
      </c>
      <c r="AA2820" s="12" t="s">
        <v>354</v>
      </c>
      <c r="AB2820" s="12" t="s">
        <v>888</v>
      </c>
      <c r="AC2820" s="15">
        <v>21.45</v>
      </c>
      <c r="AD2820" s="15">
        <f>AC2820*AG2820</f>
        <v>42.9</v>
      </c>
      <c r="AE2820" s="15">
        <v>45</v>
      </c>
      <c r="AF2820" s="15">
        <f>AE2820*AG2820</f>
        <v>90</v>
      </c>
      <c r="AG2820" s="16">
        <v>2</v>
      </c>
    </row>
    <row r="2821" spans="1:33" ht="15" customHeight="1" x14ac:dyDescent="0.2">
      <c r="A2821" s="11" t="str">
        <f t="shared" ref="A2821:A4692" si="1131">HYPERLINK("https://assets.vans.eu/images/VN000ZUVC4R-HERO/1","VN000ZUVC4R1")</f>
        <v>VN000ZUVC4R1</v>
      </c>
      <c r="B2821" s="12" t="s">
        <v>10289</v>
      </c>
      <c r="C2821" s="12" t="s">
        <v>2631</v>
      </c>
      <c r="D2821" s="12" t="s">
        <v>2632</v>
      </c>
      <c r="E2821" s="12" t="s">
        <v>10290</v>
      </c>
      <c r="F2821" s="13">
        <v>80</v>
      </c>
      <c r="G2821" s="12" t="s">
        <v>1358</v>
      </c>
      <c r="H2821" s="12" t="s">
        <v>38</v>
      </c>
      <c r="I2821" s="12" t="s">
        <v>159</v>
      </c>
      <c r="J2821" s="12" t="s">
        <v>255</v>
      </c>
      <c r="K2821" s="12" t="s">
        <v>199</v>
      </c>
      <c r="L2821" s="12" t="s">
        <v>350</v>
      </c>
      <c r="M2821" s="12" t="s">
        <v>43</v>
      </c>
      <c r="N2821" s="12" t="s">
        <v>84</v>
      </c>
      <c r="O2821" s="12" t="s">
        <v>10291</v>
      </c>
      <c r="P2821" s="12" t="s">
        <v>46</v>
      </c>
      <c r="Q2821" s="12" t="s">
        <v>47</v>
      </c>
      <c r="R2821" s="12" t="s">
        <v>163</v>
      </c>
      <c r="S2821" s="13">
        <v>888655101392</v>
      </c>
      <c r="T2821" s="12" t="s">
        <v>105</v>
      </c>
      <c r="U2821" s="13">
        <v>40.5</v>
      </c>
      <c r="V2821" s="12" t="s">
        <v>50</v>
      </c>
      <c r="W2821" s="12" t="s">
        <v>51</v>
      </c>
      <c r="X2821" s="14"/>
      <c r="Y2821" s="12" t="s">
        <v>71</v>
      </c>
      <c r="Z2821" s="12" t="s">
        <v>92</v>
      </c>
      <c r="AA2821" s="12" t="s">
        <v>354</v>
      </c>
      <c r="AB2821" s="12" t="s">
        <v>888</v>
      </c>
      <c r="AC2821" s="15">
        <v>35.75</v>
      </c>
      <c r="AD2821" s="15">
        <f>AC2821*AG2821</f>
        <v>71.5</v>
      </c>
      <c r="AE2821" s="15">
        <v>75</v>
      </c>
      <c r="AF2821" s="15">
        <f>AE2821*AG2821</f>
        <v>150</v>
      </c>
      <c r="AG2821" s="16">
        <v>2</v>
      </c>
    </row>
    <row r="2822" spans="1:33" ht="15" customHeight="1" x14ac:dyDescent="0.2">
      <c r="A2822" s="11" t="str">
        <f>HYPERLINK("https://assets.vans.eu/images/VN0A2Z42BMA-HERO/1","VN0A2Z42BMA1")</f>
        <v>VN0A2Z42BMA1</v>
      </c>
      <c r="B2822" s="12" t="s">
        <v>10292</v>
      </c>
      <c r="C2822" s="12" t="s">
        <v>34</v>
      </c>
      <c r="D2822" s="12" t="s">
        <v>919</v>
      </c>
      <c r="E2822" s="12" t="s">
        <v>10293</v>
      </c>
      <c r="F2822" s="13">
        <v>70</v>
      </c>
      <c r="G2822" s="12" t="s">
        <v>10294</v>
      </c>
      <c r="H2822" s="12" t="s">
        <v>38</v>
      </c>
      <c r="I2822" s="12" t="s">
        <v>159</v>
      </c>
      <c r="J2822" s="12" t="s">
        <v>160</v>
      </c>
      <c r="K2822" s="12" t="s">
        <v>82</v>
      </c>
      <c r="L2822" s="14"/>
      <c r="M2822" s="12" t="s">
        <v>43</v>
      </c>
      <c r="N2822" s="12" t="s">
        <v>44</v>
      </c>
      <c r="O2822" s="12" t="s">
        <v>10295</v>
      </c>
      <c r="P2822" s="12" t="s">
        <v>46</v>
      </c>
      <c r="Q2822" s="12" t="s">
        <v>47</v>
      </c>
      <c r="R2822" s="12" t="s">
        <v>163</v>
      </c>
      <c r="S2822" s="13">
        <v>197643309659</v>
      </c>
      <c r="T2822" s="12" t="s">
        <v>49</v>
      </c>
      <c r="U2822" s="13">
        <v>39</v>
      </c>
      <c r="V2822" s="12" t="s">
        <v>50</v>
      </c>
      <c r="W2822" s="12" t="s">
        <v>51</v>
      </c>
      <c r="X2822" s="14"/>
      <c r="Y2822" s="12" t="s">
        <v>53</v>
      </c>
      <c r="Z2822" s="12" t="s">
        <v>165</v>
      </c>
      <c r="AA2822" s="14"/>
      <c r="AB2822" s="14"/>
      <c r="AC2822" s="15">
        <v>43.2</v>
      </c>
      <c r="AD2822" s="15">
        <f>AC2822*AG2822</f>
        <v>86.4</v>
      </c>
      <c r="AE2822" s="15">
        <v>95</v>
      </c>
      <c r="AF2822" s="15">
        <f>AE2822*AG2822</f>
        <v>190</v>
      </c>
      <c r="AG2822" s="16">
        <v>2</v>
      </c>
    </row>
    <row r="2823" spans="1:33" ht="15" customHeight="1" x14ac:dyDescent="0.2">
      <c r="A2823" s="11" t="str">
        <f>HYPERLINK("https://assets.vans.eu/images/VN0A347ZDDU-HERO/1","VN0A347ZDDU1")</f>
        <v>VN0A347ZDDU1</v>
      </c>
      <c r="B2823" s="12" t="s">
        <v>10296</v>
      </c>
      <c r="C2823" s="12" t="s">
        <v>5098</v>
      </c>
      <c r="D2823" s="12" t="s">
        <v>6041</v>
      </c>
      <c r="E2823" s="12" t="s">
        <v>10297</v>
      </c>
      <c r="F2823" s="13">
        <v>95</v>
      </c>
      <c r="G2823" s="12" t="s">
        <v>372</v>
      </c>
      <c r="H2823" s="12" t="s">
        <v>38</v>
      </c>
      <c r="I2823" s="12" t="s">
        <v>159</v>
      </c>
      <c r="J2823" s="12" t="s">
        <v>255</v>
      </c>
      <c r="K2823" s="12" t="s">
        <v>199</v>
      </c>
      <c r="L2823" s="12" t="s">
        <v>350</v>
      </c>
      <c r="M2823" s="12" t="s">
        <v>43</v>
      </c>
      <c r="N2823" s="12" t="s">
        <v>84</v>
      </c>
      <c r="O2823" s="12" t="s">
        <v>10298</v>
      </c>
      <c r="P2823" s="12" t="s">
        <v>46</v>
      </c>
      <c r="Q2823" s="12" t="s">
        <v>47</v>
      </c>
      <c r="R2823" s="12" t="s">
        <v>163</v>
      </c>
      <c r="S2823" s="13">
        <v>190285957394</v>
      </c>
      <c r="T2823" s="12" t="s">
        <v>49</v>
      </c>
      <c r="U2823" s="13">
        <v>42.5</v>
      </c>
      <c r="V2823" s="12" t="s">
        <v>209</v>
      </c>
      <c r="W2823" s="12" t="s">
        <v>262</v>
      </c>
      <c r="X2823" s="14"/>
      <c r="Y2823" s="12" t="s">
        <v>71</v>
      </c>
      <c r="Z2823" s="12" t="s">
        <v>92</v>
      </c>
      <c r="AA2823" s="12" t="s">
        <v>354</v>
      </c>
      <c r="AB2823" s="12" t="s">
        <v>888</v>
      </c>
      <c r="AC2823" s="15">
        <v>33.35</v>
      </c>
      <c r="AD2823" s="15">
        <f>AC2823*AG2823</f>
        <v>66.7</v>
      </c>
      <c r="AE2823" s="15">
        <v>70</v>
      </c>
      <c r="AF2823" s="15">
        <f>AE2823*AG2823</f>
        <v>140</v>
      </c>
      <c r="AG2823" s="16">
        <v>2</v>
      </c>
    </row>
    <row r="2824" spans="1:33" ht="15" customHeight="1" x14ac:dyDescent="0.2">
      <c r="A2824" s="11" t="str">
        <f>HYPERLINK("https://assets.vans.eu/images/VN0A3B3UW00-HERO/1","VN0A3B3UW001")</f>
        <v>VN0A3B3UW001</v>
      </c>
      <c r="B2824" s="12" t="s">
        <v>10299</v>
      </c>
      <c r="C2824" s="12" t="s">
        <v>2435</v>
      </c>
      <c r="D2824" s="12" t="s">
        <v>10300</v>
      </c>
      <c r="E2824" s="12" t="s">
        <v>10301</v>
      </c>
      <c r="F2824" s="13">
        <v>80</v>
      </c>
      <c r="G2824" s="14"/>
      <c r="H2824" s="12" t="s">
        <v>38</v>
      </c>
      <c r="I2824" s="12" t="s">
        <v>113</v>
      </c>
      <c r="J2824" s="12" t="s">
        <v>114</v>
      </c>
      <c r="K2824" s="12" t="s">
        <v>82</v>
      </c>
      <c r="L2824" s="14"/>
      <c r="M2824" s="12" t="s">
        <v>43</v>
      </c>
      <c r="N2824" s="12" t="s">
        <v>3064</v>
      </c>
      <c r="O2824" s="12" t="s">
        <v>10302</v>
      </c>
      <c r="P2824" s="12" t="s">
        <v>46</v>
      </c>
      <c r="Q2824" s="12" t="s">
        <v>47</v>
      </c>
      <c r="R2824" s="12" t="s">
        <v>117</v>
      </c>
      <c r="S2824" s="13">
        <v>192362642902</v>
      </c>
      <c r="T2824" s="12" t="s">
        <v>105</v>
      </c>
      <c r="U2824" s="13">
        <v>40.5</v>
      </c>
      <c r="V2824" s="12" t="s">
        <v>209</v>
      </c>
      <c r="W2824" s="12" t="s">
        <v>175</v>
      </c>
      <c r="X2824" s="14"/>
      <c r="Y2824" s="12" t="s">
        <v>91</v>
      </c>
      <c r="Z2824" s="12" t="s">
        <v>2600</v>
      </c>
      <c r="AA2824" s="14"/>
      <c r="AB2824" s="13">
        <v>0</v>
      </c>
      <c r="AC2824" s="15">
        <v>38.6</v>
      </c>
      <c r="AD2824" s="15">
        <f>AC2824*AG2824</f>
        <v>77.2</v>
      </c>
      <c r="AE2824" s="15">
        <v>85</v>
      </c>
      <c r="AF2824" s="15">
        <f>AE2824*AG2824</f>
        <v>170</v>
      </c>
      <c r="AG2824" s="16">
        <v>2</v>
      </c>
    </row>
    <row r="2825" spans="1:33" ht="15" customHeight="1" x14ac:dyDescent="0.2">
      <c r="A2825" s="11" t="str">
        <f>HYPERLINK("https://assets.vans.eu/images/VN0A3D29OIU-HERO/1","VN0A3D29OIU1")</f>
        <v>VN0A3D29OIU1</v>
      </c>
      <c r="B2825" s="12" t="s">
        <v>10303</v>
      </c>
      <c r="C2825" s="12" t="s">
        <v>238</v>
      </c>
      <c r="D2825" s="12" t="s">
        <v>10304</v>
      </c>
      <c r="E2825" s="12" t="s">
        <v>10305</v>
      </c>
      <c r="F2825" s="13">
        <v>115</v>
      </c>
      <c r="G2825" s="12" t="s">
        <v>1358</v>
      </c>
      <c r="H2825" s="12" t="s">
        <v>38</v>
      </c>
      <c r="I2825" s="12" t="s">
        <v>159</v>
      </c>
      <c r="J2825" s="12" t="s">
        <v>160</v>
      </c>
      <c r="K2825" s="12" t="s">
        <v>82</v>
      </c>
      <c r="L2825" s="12" t="s">
        <v>42</v>
      </c>
      <c r="M2825" s="12" t="s">
        <v>43</v>
      </c>
      <c r="N2825" s="12" t="s">
        <v>44</v>
      </c>
      <c r="O2825" s="12" t="s">
        <v>10306</v>
      </c>
      <c r="P2825" s="12" t="s">
        <v>46</v>
      </c>
      <c r="Q2825" s="12" t="s">
        <v>47</v>
      </c>
      <c r="R2825" s="12" t="s">
        <v>163</v>
      </c>
      <c r="S2825" s="13">
        <v>191166284752</v>
      </c>
      <c r="T2825" s="12" t="s">
        <v>49</v>
      </c>
      <c r="U2825" s="13">
        <v>45</v>
      </c>
      <c r="V2825" s="12" t="s">
        <v>50</v>
      </c>
      <c r="W2825" s="12" t="s">
        <v>51</v>
      </c>
      <c r="X2825" s="14"/>
      <c r="Y2825" s="12" t="s">
        <v>91</v>
      </c>
      <c r="Z2825" s="12" t="s">
        <v>92</v>
      </c>
      <c r="AA2825" s="12" t="s">
        <v>3224</v>
      </c>
      <c r="AB2825" s="12" t="s">
        <v>55</v>
      </c>
      <c r="AC2825" s="15">
        <v>38.65</v>
      </c>
      <c r="AD2825" s="15">
        <f>AC2825*AG2825</f>
        <v>77.3</v>
      </c>
      <c r="AE2825" s="15">
        <v>85</v>
      </c>
      <c r="AF2825" s="15">
        <f>AE2825*AG2825</f>
        <v>170</v>
      </c>
      <c r="AG2825" s="16">
        <v>2</v>
      </c>
    </row>
    <row r="2826" spans="1:33" ht="15" customHeight="1" x14ac:dyDescent="0.2">
      <c r="A2826" s="11" t="str">
        <f t="shared" si="834"/>
        <v>VN0A3TKN6BT1</v>
      </c>
      <c r="B2826" s="12" t="s">
        <v>10307</v>
      </c>
      <c r="C2826" s="12" t="s">
        <v>2175</v>
      </c>
      <c r="D2826" s="12" t="s">
        <v>2176</v>
      </c>
      <c r="E2826" s="12" t="s">
        <v>10308</v>
      </c>
      <c r="F2826" s="13">
        <v>35</v>
      </c>
      <c r="G2826" s="14"/>
      <c r="H2826" s="12" t="s">
        <v>38</v>
      </c>
      <c r="I2826" s="12" t="s">
        <v>113</v>
      </c>
      <c r="J2826" s="12" t="s">
        <v>114</v>
      </c>
      <c r="K2826" s="12" t="s">
        <v>82</v>
      </c>
      <c r="L2826" s="14"/>
      <c r="M2826" s="12" t="s">
        <v>43</v>
      </c>
      <c r="N2826" s="12" t="s">
        <v>84</v>
      </c>
      <c r="O2826" s="12" t="s">
        <v>10309</v>
      </c>
      <c r="P2826" s="12" t="s">
        <v>46</v>
      </c>
      <c r="Q2826" s="12" t="s">
        <v>47</v>
      </c>
      <c r="R2826" s="12" t="s">
        <v>2179</v>
      </c>
      <c r="S2826" s="13">
        <v>190849925975</v>
      </c>
      <c r="T2826" s="12" t="s">
        <v>105</v>
      </c>
      <c r="U2826" s="13">
        <v>34.5</v>
      </c>
      <c r="V2826" s="12" t="s">
        <v>50</v>
      </c>
      <c r="W2826" s="12" t="s">
        <v>51</v>
      </c>
      <c r="X2826" s="14"/>
      <c r="Y2826" s="12" t="s">
        <v>91</v>
      </c>
      <c r="Z2826" s="12" t="s">
        <v>165</v>
      </c>
      <c r="AA2826" s="14"/>
      <c r="AB2826" s="14"/>
      <c r="AC2826" s="15">
        <v>50</v>
      </c>
      <c r="AD2826" s="15">
        <f>AC2826*AG2826</f>
        <v>100</v>
      </c>
      <c r="AE2826" s="15">
        <v>110</v>
      </c>
      <c r="AF2826" s="15">
        <f>AE2826*AG2826</f>
        <v>220</v>
      </c>
      <c r="AG2826" s="16">
        <v>2</v>
      </c>
    </row>
    <row r="2827" spans="1:33" ht="15" customHeight="1" x14ac:dyDescent="0.2">
      <c r="A2827" s="11" t="str">
        <f t="shared" ref="A2827:A4711" si="1132">HYPERLINK("https://assets.vans.eu/images/VN0A3TKN6BT-HERO/1","VN0A3TKN6BT1")</f>
        <v>VN0A3TKN6BT1</v>
      </c>
      <c r="B2827" s="12" t="s">
        <v>10310</v>
      </c>
      <c r="C2827" s="12" t="s">
        <v>2175</v>
      </c>
      <c r="D2827" s="12" t="s">
        <v>2176</v>
      </c>
      <c r="E2827" s="12" t="s">
        <v>10311</v>
      </c>
      <c r="F2827" s="13">
        <v>65</v>
      </c>
      <c r="G2827" s="14"/>
      <c r="H2827" s="12" t="s">
        <v>38</v>
      </c>
      <c r="I2827" s="12" t="s">
        <v>113</v>
      </c>
      <c r="J2827" s="12" t="s">
        <v>114</v>
      </c>
      <c r="K2827" s="12" t="s">
        <v>82</v>
      </c>
      <c r="L2827" s="14"/>
      <c r="M2827" s="12" t="s">
        <v>43</v>
      </c>
      <c r="N2827" s="12" t="s">
        <v>84</v>
      </c>
      <c r="O2827" s="12" t="s">
        <v>10312</v>
      </c>
      <c r="P2827" s="12" t="s">
        <v>46</v>
      </c>
      <c r="Q2827" s="12" t="s">
        <v>47</v>
      </c>
      <c r="R2827" s="12" t="s">
        <v>2179</v>
      </c>
      <c r="S2827" s="13">
        <v>190849926675</v>
      </c>
      <c r="T2827" s="12" t="s">
        <v>105</v>
      </c>
      <c r="U2827" s="13">
        <v>38.5</v>
      </c>
      <c r="V2827" s="12" t="s">
        <v>50</v>
      </c>
      <c r="W2827" s="12" t="s">
        <v>51</v>
      </c>
      <c r="X2827" s="14"/>
      <c r="Y2827" s="12" t="s">
        <v>91</v>
      </c>
      <c r="Z2827" s="12" t="s">
        <v>165</v>
      </c>
      <c r="AA2827" s="14"/>
      <c r="AB2827" s="14"/>
      <c r="AC2827" s="15">
        <v>50</v>
      </c>
      <c r="AD2827" s="15">
        <f>AC2827*AG2827</f>
        <v>100</v>
      </c>
      <c r="AE2827" s="15">
        <v>110</v>
      </c>
      <c r="AF2827" s="15">
        <f>AE2827*AG2827</f>
        <v>220</v>
      </c>
      <c r="AG2827" s="16">
        <v>2</v>
      </c>
    </row>
    <row r="2828" spans="1:33" ht="15" customHeight="1" x14ac:dyDescent="0.2">
      <c r="A2828" s="11" t="str">
        <f>HYPERLINK("https://assets.vans.eu/images/VN0A4BVSBKA-HERO/1","VN0A4BVSBKA1")</f>
        <v>VN0A4BVSBKA1</v>
      </c>
      <c r="B2828" s="12" t="s">
        <v>10313</v>
      </c>
      <c r="C2828" s="12" t="s">
        <v>4443</v>
      </c>
      <c r="D2828" s="12" t="s">
        <v>252</v>
      </c>
      <c r="E2828" s="12" t="s">
        <v>10314</v>
      </c>
      <c r="F2828" s="13">
        <v>65</v>
      </c>
      <c r="G2828" s="14"/>
      <c r="H2828" s="12" t="s">
        <v>38</v>
      </c>
      <c r="I2828" s="12" t="s">
        <v>159</v>
      </c>
      <c r="J2828" s="12" t="s">
        <v>255</v>
      </c>
      <c r="K2828" s="12" t="s">
        <v>82</v>
      </c>
      <c r="L2828" s="14"/>
      <c r="M2828" s="12" t="s">
        <v>43</v>
      </c>
      <c r="N2828" s="12" t="s">
        <v>2457</v>
      </c>
      <c r="O2828" s="12" t="s">
        <v>10315</v>
      </c>
      <c r="P2828" s="12" t="s">
        <v>46</v>
      </c>
      <c r="Q2828" s="12" t="s">
        <v>47</v>
      </c>
      <c r="R2828" s="12" t="s">
        <v>1660</v>
      </c>
      <c r="S2828" s="13">
        <v>196244768414</v>
      </c>
      <c r="T2828" s="12" t="s">
        <v>143</v>
      </c>
      <c r="U2828" s="13">
        <v>38.5</v>
      </c>
      <c r="V2828" s="12" t="s">
        <v>50</v>
      </c>
      <c r="W2828" s="12" t="s">
        <v>51</v>
      </c>
      <c r="X2828" s="14"/>
      <c r="Y2828" s="12" t="s">
        <v>91</v>
      </c>
      <c r="Z2828" s="12" t="s">
        <v>165</v>
      </c>
      <c r="AA2828" s="14"/>
      <c r="AB2828" s="14"/>
      <c r="AC2828" s="15">
        <v>75</v>
      </c>
      <c r="AD2828" s="15">
        <f>AC2828*AG2828</f>
        <v>150</v>
      </c>
      <c r="AE2828" s="15">
        <v>165</v>
      </c>
      <c r="AF2828" s="15">
        <f>AE2828*AG2828</f>
        <v>330</v>
      </c>
      <c r="AG2828" s="16">
        <v>2</v>
      </c>
    </row>
    <row r="2829" spans="1:33" ht="15" customHeight="1" x14ac:dyDescent="0.2">
      <c r="A2829" s="11" t="str">
        <f>HYPERLINK("https://assets.vans.eu/images/VN0A4BXBKAQ-HERO/1","VN0A4BXBKAQ1")</f>
        <v>VN0A4BXBKAQ1</v>
      </c>
      <c r="B2829" s="12" t="s">
        <v>10316</v>
      </c>
      <c r="C2829" s="12" t="s">
        <v>9320</v>
      </c>
      <c r="D2829" s="12" t="s">
        <v>2408</v>
      </c>
      <c r="E2829" s="12" t="s">
        <v>10317</v>
      </c>
      <c r="F2829" s="13">
        <v>70</v>
      </c>
      <c r="G2829" s="14"/>
      <c r="H2829" s="12" t="s">
        <v>38</v>
      </c>
      <c r="I2829" s="12" t="s">
        <v>159</v>
      </c>
      <c r="J2829" s="12" t="s">
        <v>255</v>
      </c>
      <c r="K2829" s="12" t="s">
        <v>82</v>
      </c>
      <c r="L2829" s="12" t="s">
        <v>42</v>
      </c>
      <c r="M2829" s="12" t="s">
        <v>43</v>
      </c>
      <c r="N2829" s="12" t="s">
        <v>274</v>
      </c>
      <c r="O2829" s="12" t="s">
        <v>10318</v>
      </c>
      <c r="P2829" s="12" t="s">
        <v>46</v>
      </c>
      <c r="Q2829" s="12" t="s">
        <v>47</v>
      </c>
      <c r="R2829" s="12" t="s">
        <v>163</v>
      </c>
      <c r="S2829" s="13">
        <v>197063425083</v>
      </c>
      <c r="T2829" s="12" t="s">
        <v>49</v>
      </c>
      <c r="U2829" s="13">
        <v>39</v>
      </c>
      <c r="V2829" s="12" t="s">
        <v>209</v>
      </c>
      <c r="W2829" s="12" t="s">
        <v>455</v>
      </c>
      <c r="X2829" s="14"/>
      <c r="Y2829" s="12" t="s">
        <v>91</v>
      </c>
      <c r="Z2829" s="12" t="s">
        <v>92</v>
      </c>
      <c r="AA2829" s="12" t="s">
        <v>3224</v>
      </c>
      <c r="AB2829" s="12" t="s">
        <v>55</v>
      </c>
      <c r="AC2829" s="15">
        <v>56.85</v>
      </c>
      <c r="AD2829" s="15">
        <f>AC2829*AG2829</f>
        <v>113.7</v>
      </c>
      <c r="AE2829" s="15">
        <v>125</v>
      </c>
      <c r="AF2829" s="15">
        <f>AE2829*AG2829</f>
        <v>250</v>
      </c>
      <c r="AG2829" s="16">
        <v>2</v>
      </c>
    </row>
    <row r="2830" spans="1:33" ht="15" customHeight="1" x14ac:dyDescent="0.2">
      <c r="A2830" s="11" t="str">
        <f t="shared" ref="A2830:A4725" si="1133">HYPERLINK("https://assets.vans.eu/images/VN0A4U1K3MZ-HERO/1","VN0A4U1K3MZ1")</f>
        <v>VN0A4U1K3MZ1</v>
      </c>
      <c r="B2830" s="12" t="s">
        <v>10319</v>
      </c>
      <c r="C2830" s="12" t="s">
        <v>1016</v>
      </c>
      <c r="D2830" s="12" t="s">
        <v>10320</v>
      </c>
      <c r="E2830" s="12" t="s">
        <v>10321</v>
      </c>
      <c r="F2830" s="13">
        <v>100</v>
      </c>
      <c r="G2830" s="14"/>
      <c r="H2830" s="12" t="s">
        <v>38</v>
      </c>
      <c r="I2830" s="12" t="s">
        <v>159</v>
      </c>
      <c r="J2830" s="12" t="s">
        <v>255</v>
      </c>
      <c r="K2830" s="12" t="s">
        <v>82</v>
      </c>
      <c r="L2830" s="14"/>
      <c r="M2830" s="12" t="s">
        <v>43</v>
      </c>
      <c r="N2830" s="12" t="s">
        <v>101</v>
      </c>
      <c r="O2830" s="12" t="s">
        <v>10322</v>
      </c>
      <c r="P2830" s="12" t="s">
        <v>46</v>
      </c>
      <c r="Q2830" s="12" t="s">
        <v>47</v>
      </c>
      <c r="R2830" s="12" t="s">
        <v>163</v>
      </c>
      <c r="S2830" s="13">
        <v>196573453180</v>
      </c>
      <c r="T2830" s="12" t="s">
        <v>49</v>
      </c>
      <c r="U2830" s="13">
        <v>43</v>
      </c>
      <c r="V2830" s="12" t="s">
        <v>278</v>
      </c>
      <c r="W2830" s="12" t="s">
        <v>118</v>
      </c>
      <c r="X2830" s="14"/>
      <c r="Y2830" s="12" t="s">
        <v>91</v>
      </c>
      <c r="Z2830" s="12" t="s">
        <v>165</v>
      </c>
      <c r="AA2830" s="14"/>
      <c r="AB2830" s="14"/>
      <c r="AC2830" s="15">
        <v>52.3</v>
      </c>
      <c r="AD2830" s="15">
        <f>AC2830*AG2830</f>
        <v>104.6</v>
      </c>
      <c r="AE2830" s="15">
        <v>115</v>
      </c>
      <c r="AF2830" s="15">
        <f>AE2830*AG2830</f>
        <v>230</v>
      </c>
      <c r="AG2830" s="16">
        <v>2</v>
      </c>
    </row>
    <row r="2831" spans="1:33" ht="15" customHeight="1" x14ac:dyDescent="0.2">
      <c r="A2831" s="11" t="str">
        <f t="shared" ref="A2831:A2832" si="1134">HYPERLINK("https://assets.vans.eu/images/VN0A4UWM2LN-HERO/1","VN0A4UWM2LN1")</f>
        <v>VN0A4UWM2LN1</v>
      </c>
      <c r="B2831" s="12" t="s">
        <v>10323</v>
      </c>
      <c r="C2831" s="12" t="s">
        <v>6045</v>
      </c>
      <c r="D2831" s="12" t="s">
        <v>6322</v>
      </c>
      <c r="E2831" s="12" t="s">
        <v>10324</v>
      </c>
      <c r="F2831" s="13">
        <v>45</v>
      </c>
      <c r="G2831" s="14"/>
      <c r="H2831" s="12" t="s">
        <v>38</v>
      </c>
      <c r="I2831" s="12" t="s">
        <v>159</v>
      </c>
      <c r="J2831" s="12" t="s">
        <v>255</v>
      </c>
      <c r="K2831" s="12" t="s">
        <v>82</v>
      </c>
      <c r="L2831" s="14"/>
      <c r="M2831" s="12" t="s">
        <v>43</v>
      </c>
      <c r="N2831" s="12" t="s">
        <v>274</v>
      </c>
      <c r="O2831" s="12" t="s">
        <v>10325</v>
      </c>
      <c r="P2831" s="12" t="s">
        <v>46</v>
      </c>
      <c r="Q2831" s="12" t="s">
        <v>47</v>
      </c>
      <c r="R2831" s="12" t="s">
        <v>163</v>
      </c>
      <c r="S2831" s="13">
        <v>197063428145</v>
      </c>
      <c r="T2831" s="12" t="s">
        <v>105</v>
      </c>
      <c r="U2831" s="13">
        <v>36</v>
      </c>
      <c r="V2831" s="12" t="s">
        <v>209</v>
      </c>
      <c r="W2831" s="12" t="s">
        <v>118</v>
      </c>
      <c r="X2831" s="14"/>
      <c r="Y2831" s="12" t="s">
        <v>91</v>
      </c>
      <c r="Z2831" s="12" t="s">
        <v>165</v>
      </c>
      <c r="AA2831" s="14"/>
      <c r="AB2831" s="14"/>
      <c r="AC2831" s="15">
        <v>54.55</v>
      </c>
      <c r="AD2831" s="15">
        <f>AC2831*AG2831</f>
        <v>109.1</v>
      </c>
      <c r="AE2831" s="15">
        <v>120</v>
      </c>
      <c r="AF2831" s="15">
        <f>AE2831*AG2831</f>
        <v>240</v>
      </c>
      <c r="AG2831" s="16">
        <v>2</v>
      </c>
    </row>
    <row r="2832" spans="1:33" ht="15" customHeight="1" x14ac:dyDescent="0.2">
      <c r="A2832" s="11" t="str">
        <f t="shared" si="1134"/>
        <v>VN0A4UWM2LN1</v>
      </c>
      <c r="B2832" s="12" t="s">
        <v>10326</v>
      </c>
      <c r="C2832" s="12" t="s">
        <v>6045</v>
      </c>
      <c r="D2832" s="12" t="s">
        <v>6322</v>
      </c>
      <c r="E2832" s="12" t="s">
        <v>10327</v>
      </c>
      <c r="F2832" s="13">
        <v>50</v>
      </c>
      <c r="G2832" s="14"/>
      <c r="H2832" s="12" t="s">
        <v>38</v>
      </c>
      <c r="I2832" s="12" t="s">
        <v>159</v>
      </c>
      <c r="J2832" s="12" t="s">
        <v>255</v>
      </c>
      <c r="K2832" s="12" t="s">
        <v>82</v>
      </c>
      <c r="L2832" s="14"/>
      <c r="M2832" s="12" t="s">
        <v>43</v>
      </c>
      <c r="N2832" s="12" t="s">
        <v>274</v>
      </c>
      <c r="O2832" s="12" t="s">
        <v>10328</v>
      </c>
      <c r="P2832" s="12" t="s">
        <v>46</v>
      </c>
      <c r="Q2832" s="12" t="s">
        <v>47</v>
      </c>
      <c r="R2832" s="12" t="s">
        <v>163</v>
      </c>
      <c r="S2832" s="13">
        <v>197063428305</v>
      </c>
      <c r="T2832" s="12" t="s">
        <v>105</v>
      </c>
      <c r="U2832" s="13">
        <v>36.5</v>
      </c>
      <c r="V2832" s="12" t="s">
        <v>209</v>
      </c>
      <c r="W2832" s="12" t="s">
        <v>118</v>
      </c>
      <c r="X2832" s="14"/>
      <c r="Y2832" s="12" t="s">
        <v>91</v>
      </c>
      <c r="Z2832" s="12" t="s">
        <v>165</v>
      </c>
      <c r="AA2832" s="14"/>
      <c r="AB2832" s="14"/>
      <c r="AC2832" s="15">
        <v>54.55</v>
      </c>
      <c r="AD2832" s="15">
        <f>AC2832*AG2832</f>
        <v>109.1</v>
      </c>
      <c r="AE2832" s="15">
        <v>120</v>
      </c>
      <c r="AF2832" s="15">
        <f>AE2832*AG2832</f>
        <v>240</v>
      </c>
      <c r="AG2832" s="16">
        <v>2</v>
      </c>
    </row>
    <row r="2833" spans="1:33" ht="15" customHeight="1" x14ac:dyDescent="0.2">
      <c r="A2833" s="11" t="str">
        <f>HYPERLINK("https://assets.vans.eu/images/VN0A4UWMBP1-HERO/1","VN0A4UWMBP11")</f>
        <v>VN0A4UWMBP11</v>
      </c>
      <c r="B2833" s="12" t="s">
        <v>10329</v>
      </c>
      <c r="C2833" s="12" t="s">
        <v>6045</v>
      </c>
      <c r="D2833" s="12" t="s">
        <v>10330</v>
      </c>
      <c r="E2833" s="12" t="s">
        <v>10331</v>
      </c>
      <c r="F2833" s="13">
        <v>40</v>
      </c>
      <c r="G2833" s="14"/>
      <c r="H2833" s="12" t="s">
        <v>38</v>
      </c>
      <c r="I2833" s="12" t="s">
        <v>113</v>
      </c>
      <c r="J2833" s="12" t="s">
        <v>529</v>
      </c>
      <c r="K2833" s="12" t="s">
        <v>82</v>
      </c>
      <c r="L2833" s="14"/>
      <c r="M2833" s="12" t="s">
        <v>43</v>
      </c>
      <c r="N2833" s="12" t="s">
        <v>274</v>
      </c>
      <c r="O2833" s="12" t="s">
        <v>10332</v>
      </c>
      <c r="P2833" s="12" t="s">
        <v>46</v>
      </c>
      <c r="Q2833" s="12" t="s">
        <v>47</v>
      </c>
      <c r="R2833" s="12" t="s">
        <v>117</v>
      </c>
      <c r="S2833" s="13">
        <v>197063428633</v>
      </c>
      <c r="T2833" s="12" t="s">
        <v>49</v>
      </c>
      <c r="U2833" s="13">
        <v>35</v>
      </c>
      <c r="V2833" s="12" t="s">
        <v>278</v>
      </c>
      <c r="W2833" s="12" t="s">
        <v>175</v>
      </c>
      <c r="X2833" s="14"/>
      <c r="Y2833" s="12" t="s">
        <v>91</v>
      </c>
      <c r="Z2833" s="12" t="s">
        <v>165</v>
      </c>
      <c r="AA2833" s="14"/>
      <c r="AB2833" s="14"/>
      <c r="AC2833" s="15">
        <v>54.55</v>
      </c>
      <c r="AD2833" s="15">
        <f>AC2833*AG2833</f>
        <v>109.1</v>
      </c>
      <c r="AE2833" s="15">
        <v>120</v>
      </c>
      <c r="AF2833" s="15">
        <f>AE2833*AG2833</f>
        <v>240</v>
      </c>
      <c r="AG2833" s="16">
        <v>2</v>
      </c>
    </row>
    <row r="2834" spans="1:33" ht="15" customHeight="1" x14ac:dyDescent="0.2">
      <c r="A2834" s="11" t="str">
        <f t="shared" ref="A2834:A2838" si="1135">HYPERLINK("https://assets.vans.eu/images/VN0A5FCAPIB-HERO/1","VN0A5FCAPIB1")</f>
        <v>VN0A5FCAPIB1</v>
      </c>
      <c r="B2834" s="12" t="s">
        <v>10333</v>
      </c>
      <c r="C2834" s="12" t="s">
        <v>4427</v>
      </c>
      <c r="D2834" s="12" t="s">
        <v>829</v>
      </c>
      <c r="E2834" s="12" t="s">
        <v>10334</v>
      </c>
      <c r="F2834" s="13">
        <v>85</v>
      </c>
      <c r="G2834" s="14"/>
      <c r="H2834" s="12" t="s">
        <v>38</v>
      </c>
      <c r="I2834" s="12" t="s">
        <v>159</v>
      </c>
      <c r="J2834" s="12" t="s">
        <v>341</v>
      </c>
      <c r="K2834" s="12" t="s">
        <v>199</v>
      </c>
      <c r="L2834" s="14"/>
      <c r="M2834" s="12" t="s">
        <v>43</v>
      </c>
      <c r="N2834" s="12" t="s">
        <v>84</v>
      </c>
      <c r="O2834" s="12" t="s">
        <v>10335</v>
      </c>
      <c r="P2834" s="12" t="s">
        <v>46</v>
      </c>
      <c r="Q2834" s="12" t="s">
        <v>47</v>
      </c>
      <c r="R2834" s="12" t="s">
        <v>163</v>
      </c>
      <c r="S2834" s="13">
        <v>197804573844</v>
      </c>
      <c r="T2834" s="12" t="s">
        <v>49</v>
      </c>
      <c r="U2834" s="13">
        <v>41</v>
      </c>
      <c r="V2834" s="12" t="s">
        <v>50</v>
      </c>
      <c r="W2834" s="12" t="s">
        <v>299</v>
      </c>
      <c r="X2834" s="14"/>
      <c r="Y2834" s="14"/>
      <c r="Z2834" s="14"/>
      <c r="AA2834" s="14"/>
      <c r="AB2834" s="14"/>
      <c r="AC2834" s="15">
        <v>36.4</v>
      </c>
      <c r="AD2834" s="15">
        <f>AC2834*AG2834</f>
        <v>72.8</v>
      </c>
      <c r="AE2834" s="15">
        <v>80</v>
      </c>
      <c r="AF2834" s="15">
        <f>AE2834*AG2834</f>
        <v>160</v>
      </c>
      <c r="AG2834" s="16">
        <v>2</v>
      </c>
    </row>
    <row r="2835" spans="1:33" ht="15" customHeight="1" x14ac:dyDescent="0.2">
      <c r="A2835" s="11" t="str">
        <f t="shared" si="1135"/>
        <v>VN0A5FCAPIB1</v>
      </c>
      <c r="B2835" s="12" t="s">
        <v>10336</v>
      </c>
      <c r="C2835" s="12" t="s">
        <v>4427</v>
      </c>
      <c r="D2835" s="12" t="s">
        <v>829</v>
      </c>
      <c r="E2835" s="12" t="s">
        <v>10337</v>
      </c>
      <c r="F2835" s="13">
        <v>95</v>
      </c>
      <c r="G2835" s="14"/>
      <c r="H2835" s="12" t="s">
        <v>38</v>
      </c>
      <c r="I2835" s="12" t="s">
        <v>159</v>
      </c>
      <c r="J2835" s="12" t="s">
        <v>341</v>
      </c>
      <c r="K2835" s="12" t="s">
        <v>199</v>
      </c>
      <c r="L2835" s="14"/>
      <c r="M2835" s="12" t="s">
        <v>43</v>
      </c>
      <c r="N2835" s="12" t="s">
        <v>84</v>
      </c>
      <c r="O2835" s="12" t="s">
        <v>10338</v>
      </c>
      <c r="P2835" s="12" t="s">
        <v>46</v>
      </c>
      <c r="Q2835" s="12" t="s">
        <v>47</v>
      </c>
      <c r="R2835" s="12" t="s">
        <v>163</v>
      </c>
      <c r="S2835" s="13">
        <v>197804573868</v>
      </c>
      <c r="T2835" s="12" t="s">
        <v>49</v>
      </c>
      <c r="U2835" s="13">
        <v>42.5</v>
      </c>
      <c r="V2835" s="12" t="s">
        <v>50</v>
      </c>
      <c r="W2835" s="12" t="s">
        <v>299</v>
      </c>
      <c r="X2835" s="14"/>
      <c r="Y2835" s="14"/>
      <c r="Z2835" s="14"/>
      <c r="AA2835" s="14"/>
      <c r="AB2835" s="14"/>
      <c r="AC2835" s="15">
        <v>36.4</v>
      </c>
      <c r="AD2835" s="15">
        <f>AC2835*AG2835</f>
        <v>72.8</v>
      </c>
      <c r="AE2835" s="15">
        <v>80</v>
      </c>
      <c r="AF2835" s="15">
        <f>AE2835*AG2835</f>
        <v>160</v>
      </c>
      <c r="AG2835" s="16">
        <v>2</v>
      </c>
    </row>
    <row r="2836" spans="1:33" ht="15" customHeight="1" x14ac:dyDescent="0.2">
      <c r="A2836" s="11" t="str">
        <f t="shared" si="1135"/>
        <v>VN0A5FCAPIB1</v>
      </c>
      <c r="B2836" s="12" t="s">
        <v>10339</v>
      </c>
      <c r="C2836" s="12" t="s">
        <v>4427</v>
      </c>
      <c r="D2836" s="12" t="s">
        <v>829</v>
      </c>
      <c r="E2836" s="12" t="s">
        <v>10340</v>
      </c>
      <c r="F2836" s="13">
        <v>110</v>
      </c>
      <c r="G2836" s="14"/>
      <c r="H2836" s="12" t="s">
        <v>38</v>
      </c>
      <c r="I2836" s="12" t="s">
        <v>159</v>
      </c>
      <c r="J2836" s="12" t="s">
        <v>341</v>
      </c>
      <c r="K2836" s="12" t="s">
        <v>199</v>
      </c>
      <c r="L2836" s="14"/>
      <c r="M2836" s="12" t="s">
        <v>43</v>
      </c>
      <c r="N2836" s="12" t="s">
        <v>84</v>
      </c>
      <c r="O2836" s="12" t="s">
        <v>10341</v>
      </c>
      <c r="P2836" s="12" t="s">
        <v>46</v>
      </c>
      <c r="Q2836" s="12" t="s">
        <v>47</v>
      </c>
      <c r="R2836" s="12" t="s">
        <v>163</v>
      </c>
      <c r="S2836" s="13">
        <v>197804574636</v>
      </c>
      <c r="T2836" s="12" t="s">
        <v>49</v>
      </c>
      <c r="U2836" s="13">
        <v>44.5</v>
      </c>
      <c r="V2836" s="12" t="s">
        <v>50</v>
      </c>
      <c r="W2836" s="12" t="s">
        <v>299</v>
      </c>
      <c r="X2836" s="14"/>
      <c r="Y2836" s="14"/>
      <c r="Z2836" s="14"/>
      <c r="AA2836" s="14"/>
      <c r="AB2836" s="14"/>
      <c r="AC2836" s="15">
        <v>36.4</v>
      </c>
      <c r="AD2836" s="15">
        <f>AC2836*AG2836</f>
        <v>72.8</v>
      </c>
      <c r="AE2836" s="15">
        <v>80</v>
      </c>
      <c r="AF2836" s="15">
        <f>AE2836*AG2836</f>
        <v>160</v>
      </c>
      <c r="AG2836" s="16">
        <v>2</v>
      </c>
    </row>
    <row r="2837" spans="1:33" ht="15" customHeight="1" x14ac:dyDescent="0.2">
      <c r="A2837" s="11" t="str">
        <f t="shared" si="1135"/>
        <v>VN0A5FCAPIB1</v>
      </c>
      <c r="B2837" s="12" t="s">
        <v>10342</v>
      </c>
      <c r="C2837" s="12" t="s">
        <v>4427</v>
      </c>
      <c r="D2837" s="12" t="s">
        <v>829</v>
      </c>
      <c r="E2837" s="12" t="s">
        <v>10343</v>
      </c>
      <c r="F2837" s="13">
        <v>115</v>
      </c>
      <c r="G2837" s="14"/>
      <c r="H2837" s="12" t="s">
        <v>38</v>
      </c>
      <c r="I2837" s="12" t="s">
        <v>159</v>
      </c>
      <c r="J2837" s="12" t="s">
        <v>341</v>
      </c>
      <c r="K2837" s="12" t="s">
        <v>199</v>
      </c>
      <c r="L2837" s="14"/>
      <c r="M2837" s="12" t="s">
        <v>43</v>
      </c>
      <c r="N2837" s="12" t="s">
        <v>84</v>
      </c>
      <c r="O2837" s="12" t="s">
        <v>10344</v>
      </c>
      <c r="P2837" s="12" t="s">
        <v>46</v>
      </c>
      <c r="Q2837" s="12" t="s">
        <v>47</v>
      </c>
      <c r="R2837" s="12" t="s">
        <v>163</v>
      </c>
      <c r="S2837" s="13">
        <v>197804574643</v>
      </c>
      <c r="T2837" s="12" t="s">
        <v>49</v>
      </c>
      <c r="U2837" s="13">
        <v>45</v>
      </c>
      <c r="V2837" s="12" t="s">
        <v>50</v>
      </c>
      <c r="W2837" s="12" t="s">
        <v>299</v>
      </c>
      <c r="X2837" s="14"/>
      <c r="Y2837" s="14"/>
      <c r="Z2837" s="14"/>
      <c r="AA2837" s="14"/>
      <c r="AB2837" s="14"/>
      <c r="AC2837" s="15">
        <v>36.4</v>
      </c>
      <c r="AD2837" s="15">
        <f>AC2837*AG2837</f>
        <v>72.8</v>
      </c>
      <c r="AE2837" s="15">
        <v>80</v>
      </c>
      <c r="AF2837" s="15">
        <f>AE2837*AG2837</f>
        <v>160</v>
      </c>
      <c r="AG2837" s="16">
        <v>2</v>
      </c>
    </row>
    <row r="2838" spans="1:33" ht="15" customHeight="1" x14ac:dyDescent="0.2">
      <c r="A2838" s="11" t="str">
        <f t="shared" si="1135"/>
        <v>VN0A5FCAPIB1</v>
      </c>
      <c r="B2838" s="12" t="s">
        <v>10345</v>
      </c>
      <c r="C2838" s="12" t="s">
        <v>4427</v>
      </c>
      <c r="D2838" s="12" t="s">
        <v>829</v>
      </c>
      <c r="E2838" s="12" t="s">
        <v>10346</v>
      </c>
      <c r="F2838" s="13">
        <v>120</v>
      </c>
      <c r="G2838" s="14"/>
      <c r="H2838" s="12" t="s">
        <v>38</v>
      </c>
      <c r="I2838" s="12" t="s">
        <v>159</v>
      </c>
      <c r="J2838" s="12" t="s">
        <v>341</v>
      </c>
      <c r="K2838" s="12" t="s">
        <v>199</v>
      </c>
      <c r="L2838" s="14"/>
      <c r="M2838" s="12" t="s">
        <v>43</v>
      </c>
      <c r="N2838" s="12" t="s">
        <v>84</v>
      </c>
      <c r="O2838" s="12" t="s">
        <v>10347</v>
      </c>
      <c r="P2838" s="12" t="s">
        <v>46</v>
      </c>
      <c r="Q2838" s="12" t="s">
        <v>47</v>
      </c>
      <c r="R2838" s="12" t="s">
        <v>163</v>
      </c>
      <c r="S2838" s="13">
        <v>197804574674</v>
      </c>
      <c r="T2838" s="12" t="s">
        <v>49</v>
      </c>
      <c r="U2838" s="13">
        <v>46</v>
      </c>
      <c r="V2838" s="12" t="s">
        <v>50</v>
      </c>
      <c r="W2838" s="12" t="s">
        <v>299</v>
      </c>
      <c r="X2838" s="14"/>
      <c r="Y2838" s="14"/>
      <c r="Z2838" s="14"/>
      <c r="AA2838" s="14"/>
      <c r="AB2838" s="14"/>
      <c r="AC2838" s="15">
        <v>36.4</v>
      </c>
      <c r="AD2838" s="15">
        <f>AC2838*AG2838</f>
        <v>72.8</v>
      </c>
      <c r="AE2838" s="15">
        <v>80</v>
      </c>
      <c r="AF2838" s="15">
        <f>AE2838*AG2838</f>
        <v>160</v>
      </c>
      <c r="AG2838" s="16">
        <v>2</v>
      </c>
    </row>
    <row r="2839" spans="1:33" ht="15" customHeight="1" x14ac:dyDescent="0.2">
      <c r="A2839" s="11" t="str">
        <f t="shared" ref="A2839:A4747" si="1136">HYPERLINK("https://assets.vans.eu/images/VN0A5FCB1N6-HERO/1","VN0A5FCB1N61")</f>
        <v>VN0A5FCB1N61</v>
      </c>
      <c r="B2839" s="12" t="s">
        <v>10348</v>
      </c>
      <c r="C2839" s="12" t="s">
        <v>996</v>
      </c>
      <c r="D2839" s="12" t="s">
        <v>2181</v>
      </c>
      <c r="E2839" s="12" t="s">
        <v>10349</v>
      </c>
      <c r="F2839" s="13">
        <v>105</v>
      </c>
      <c r="G2839" s="14"/>
      <c r="H2839" s="12" t="s">
        <v>38</v>
      </c>
      <c r="I2839" s="12" t="s">
        <v>159</v>
      </c>
      <c r="J2839" s="12" t="s">
        <v>341</v>
      </c>
      <c r="K2839" s="12" t="s">
        <v>199</v>
      </c>
      <c r="L2839" s="14"/>
      <c r="M2839" s="12" t="s">
        <v>43</v>
      </c>
      <c r="N2839" s="12" t="s">
        <v>84</v>
      </c>
      <c r="O2839" s="12" t="s">
        <v>10350</v>
      </c>
      <c r="P2839" s="12" t="s">
        <v>46</v>
      </c>
      <c r="Q2839" s="12" t="s">
        <v>47</v>
      </c>
      <c r="R2839" s="12" t="s">
        <v>163</v>
      </c>
      <c r="S2839" s="13">
        <v>197063315407</v>
      </c>
      <c r="T2839" s="12" t="s">
        <v>49</v>
      </c>
      <c r="U2839" s="13">
        <v>44</v>
      </c>
      <c r="V2839" s="12" t="s">
        <v>50</v>
      </c>
      <c r="W2839" s="12" t="s">
        <v>455</v>
      </c>
      <c r="X2839" s="14"/>
      <c r="Y2839" s="12" t="s">
        <v>91</v>
      </c>
      <c r="Z2839" s="12" t="s">
        <v>344</v>
      </c>
      <c r="AA2839" s="14"/>
      <c r="AB2839" s="14"/>
      <c r="AC2839" s="15">
        <v>38.65</v>
      </c>
      <c r="AD2839" s="15">
        <f>AC2839*AG2839</f>
        <v>77.3</v>
      </c>
      <c r="AE2839" s="15">
        <v>85</v>
      </c>
      <c r="AF2839" s="15">
        <f>AE2839*AG2839</f>
        <v>170</v>
      </c>
      <c r="AG2839" s="16">
        <v>2</v>
      </c>
    </row>
    <row r="2840" spans="1:33" ht="15" customHeight="1" x14ac:dyDescent="0.2">
      <c r="A2840" s="11" t="str">
        <f t="shared" ref="A2840:A4750" si="1137">HYPERLINK("https://assets.vans.eu/images/VN0A5FCBB9M-HERO/1","VN0A5FCBB9M1")</f>
        <v>VN0A5FCBB9M1</v>
      </c>
      <c r="B2840" s="12" t="s">
        <v>10351</v>
      </c>
      <c r="C2840" s="12" t="s">
        <v>996</v>
      </c>
      <c r="D2840" s="12" t="s">
        <v>339</v>
      </c>
      <c r="E2840" s="12" t="s">
        <v>10352</v>
      </c>
      <c r="F2840" s="13">
        <v>70</v>
      </c>
      <c r="G2840" s="14"/>
      <c r="H2840" s="12" t="s">
        <v>38</v>
      </c>
      <c r="I2840" s="12" t="s">
        <v>159</v>
      </c>
      <c r="J2840" s="12" t="s">
        <v>341</v>
      </c>
      <c r="K2840" s="12" t="s">
        <v>199</v>
      </c>
      <c r="L2840" s="14"/>
      <c r="M2840" s="12" t="s">
        <v>43</v>
      </c>
      <c r="N2840" s="12" t="s">
        <v>84</v>
      </c>
      <c r="O2840" s="12" t="s">
        <v>10353</v>
      </c>
      <c r="P2840" s="12" t="s">
        <v>46</v>
      </c>
      <c r="Q2840" s="12" t="s">
        <v>47</v>
      </c>
      <c r="R2840" s="12" t="s">
        <v>163</v>
      </c>
      <c r="S2840" s="13">
        <v>194905588968</v>
      </c>
      <c r="T2840" s="12" t="s">
        <v>49</v>
      </c>
      <c r="U2840" s="13">
        <v>39</v>
      </c>
      <c r="V2840" s="12" t="s">
        <v>50</v>
      </c>
      <c r="W2840" s="12" t="s">
        <v>51</v>
      </c>
      <c r="X2840" s="14"/>
      <c r="Y2840" s="12" t="s">
        <v>91</v>
      </c>
      <c r="Z2840" s="12" t="s">
        <v>344</v>
      </c>
      <c r="AA2840" s="14"/>
      <c r="AB2840" s="14"/>
      <c r="AC2840" s="15">
        <v>38.65</v>
      </c>
      <c r="AD2840" s="15">
        <f>AC2840*AG2840</f>
        <v>77.3</v>
      </c>
      <c r="AE2840" s="15">
        <v>85</v>
      </c>
      <c r="AF2840" s="15">
        <f>AE2840*AG2840</f>
        <v>170</v>
      </c>
      <c r="AG2840" s="16">
        <v>2</v>
      </c>
    </row>
    <row r="2841" spans="1:33" ht="15" customHeight="1" x14ac:dyDescent="0.2">
      <c r="A2841" s="11" t="str">
        <f t="shared" ref="A2841:A4753" si="1138">HYPERLINK("https://assets.vans.eu/images/VN0A5FCDEMW-HERO/1","VN0A5FCDEMW1")</f>
        <v>VN0A5FCDEMW1</v>
      </c>
      <c r="B2841" s="12" t="s">
        <v>10354</v>
      </c>
      <c r="C2841" s="12" t="s">
        <v>7568</v>
      </c>
      <c r="D2841" s="12" t="s">
        <v>147</v>
      </c>
      <c r="E2841" s="12" t="s">
        <v>10355</v>
      </c>
      <c r="F2841" s="13">
        <v>35</v>
      </c>
      <c r="G2841" s="14"/>
      <c r="H2841" s="12" t="s">
        <v>38</v>
      </c>
      <c r="I2841" s="12" t="s">
        <v>159</v>
      </c>
      <c r="J2841" s="12" t="s">
        <v>341</v>
      </c>
      <c r="K2841" s="12" t="s">
        <v>199</v>
      </c>
      <c r="L2841" s="14"/>
      <c r="M2841" s="12" t="s">
        <v>43</v>
      </c>
      <c r="N2841" s="12" t="s">
        <v>84</v>
      </c>
      <c r="O2841" s="12" t="s">
        <v>10356</v>
      </c>
      <c r="P2841" s="12" t="s">
        <v>46</v>
      </c>
      <c r="Q2841" s="12" t="s">
        <v>47</v>
      </c>
      <c r="R2841" s="12" t="s">
        <v>343</v>
      </c>
      <c r="S2841" s="13">
        <v>197804574032</v>
      </c>
      <c r="T2841" s="12" t="s">
        <v>49</v>
      </c>
      <c r="U2841" s="13">
        <v>34.5</v>
      </c>
      <c r="V2841" s="12" t="s">
        <v>50</v>
      </c>
      <c r="W2841" s="12" t="s">
        <v>118</v>
      </c>
      <c r="X2841" s="14"/>
      <c r="Y2841" s="14"/>
      <c r="Z2841" s="14"/>
      <c r="AA2841" s="14"/>
      <c r="AB2841" s="14"/>
      <c r="AC2841" s="15">
        <v>43.2</v>
      </c>
      <c r="AD2841" s="15">
        <f>AC2841*AG2841</f>
        <v>86.4</v>
      </c>
      <c r="AE2841" s="15">
        <v>95</v>
      </c>
      <c r="AF2841" s="15">
        <f>AE2841*AG2841</f>
        <v>190</v>
      </c>
      <c r="AG2841" s="16">
        <v>2</v>
      </c>
    </row>
    <row r="2842" spans="1:33" ht="15" customHeight="1" x14ac:dyDescent="0.2">
      <c r="A2842" s="11" t="str">
        <f t="shared" si="836"/>
        <v>VN0A5FCDGPE1</v>
      </c>
      <c r="B2842" s="12" t="s">
        <v>10357</v>
      </c>
      <c r="C2842" s="12" t="s">
        <v>7568</v>
      </c>
      <c r="D2842" s="12" t="s">
        <v>7569</v>
      </c>
      <c r="E2842" s="12" t="s">
        <v>10358</v>
      </c>
      <c r="F2842" s="13">
        <v>80</v>
      </c>
      <c r="G2842" s="12" t="s">
        <v>7571</v>
      </c>
      <c r="H2842" s="12" t="s">
        <v>38</v>
      </c>
      <c r="I2842" s="12" t="s">
        <v>159</v>
      </c>
      <c r="J2842" s="12" t="s">
        <v>341</v>
      </c>
      <c r="K2842" s="12" t="s">
        <v>199</v>
      </c>
      <c r="L2842" s="14"/>
      <c r="M2842" s="12" t="s">
        <v>43</v>
      </c>
      <c r="N2842" s="12" t="s">
        <v>84</v>
      </c>
      <c r="O2842" s="12" t="s">
        <v>10359</v>
      </c>
      <c r="P2842" s="12" t="s">
        <v>46</v>
      </c>
      <c r="Q2842" s="12" t="s">
        <v>47</v>
      </c>
      <c r="R2842" s="12" t="s">
        <v>343</v>
      </c>
      <c r="S2842" s="13">
        <v>197804575381</v>
      </c>
      <c r="T2842" s="12" t="s">
        <v>49</v>
      </c>
      <c r="U2842" s="13">
        <v>40.5</v>
      </c>
      <c r="V2842" s="12" t="s">
        <v>50</v>
      </c>
      <c r="W2842" s="12" t="s">
        <v>107</v>
      </c>
      <c r="X2842" s="14"/>
      <c r="Y2842" s="14"/>
      <c r="Z2842" s="14"/>
      <c r="AA2842" s="14"/>
      <c r="AB2842" s="14"/>
      <c r="AC2842" s="15">
        <v>43.2</v>
      </c>
      <c r="AD2842" s="15">
        <f>AC2842*AG2842</f>
        <v>86.4</v>
      </c>
      <c r="AE2842" s="15">
        <v>95</v>
      </c>
      <c r="AF2842" s="15">
        <f>AE2842*AG2842</f>
        <v>190</v>
      </c>
      <c r="AG2842" s="16">
        <v>2</v>
      </c>
    </row>
    <row r="2843" spans="1:33" ht="15" customHeight="1" x14ac:dyDescent="0.2">
      <c r="A2843" s="11" t="str">
        <f t="shared" ref="A2843:A4758" si="1139">HYPERLINK("https://assets.vans.eu/images/VN0A5FCDGPE-HERO/1","VN0A5FCDGPE1")</f>
        <v>VN0A5FCDGPE1</v>
      </c>
      <c r="B2843" s="12" t="s">
        <v>10360</v>
      </c>
      <c r="C2843" s="12" t="s">
        <v>7568</v>
      </c>
      <c r="D2843" s="12" t="s">
        <v>7569</v>
      </c>
      <c r="E2843" s="12" t="s">
        <v>10361</v>
      </c>
      <c r="F2843" s="13">
        <v>85</v>
      </c>
      <c r="G2843" s="12" t="s">
        <v>7571</v>
      </c>
      <c r="H2843" s="12" t="s">
        <v>38</v>
      </c>
      <c r="I2843" s="12" t="s">
        <v>159</v>
      </c>
      <c r="J2843" s="12" t="s">
        <v>341</v>
      </c>
      <c r="K2843" s="12" t="s">
        <v>199</v>
      </c>
      <c r="L2843" s="14"/>
      <c r="M2843" s="12" t="s">
        <v>43</v>
      </c>
      <c r="N2843" s="12" t="s">
        <v>84</v>
      </c>
      <c r="O2843" s="12" t="s">
        <v>10362</v>
      </c>
      <c r="P2843" s="12" t="s">
        <v>46</v>
      </c>
      <c r="Q2843" s="12" t="s">
        <v>47</v>
      </c>
      <c r="R2843" s="12" t="s">
        <v>343</v>
      </c>
      <c r="S2843" s="13">
        <v>197804575466</v>
      </c>
      <c r="T2843" s="12" t="s">
        <v>49</v>
      </c>
      <c r="U2843" s="13">
        <v>41</v>
      </c>
      <c r="V2843" s="12" t="s">
        <v>50</v>
      </c>
      <c r="W2843" s="12" t="s">
        <v>107</v>
      </c>
      <c r="X2843" s="14"/>
      <c r="Y2843" s="14"/>
      <c r="Z2843" s="14"/>
      <c r="AA2843" s="14"/>
      <c r="AB2843" s="14"/>
      <c r="AC2843" s="15">
        <v>43.2</v>
      </c>
      <c r="AD2843" s="15">
        <f>AC2843*AG2843</f>
        <v>86.4</v>
      </c>
      <c r="AE2843" s="15">
        <v>95</v>
      </c>
      <c r="AF2843" s="15">
        <f>AE2843*AG2843</f>
        <v>190</v>
      </c>
      <c r="AG2843" s="16">
        <v>2</v>
      </c>
    </row>
    <row r="2844" spans="1:33" ht="15" customHeight="1" x14ac:dyDescent="0.2">
      <c r="A2844" s="11" t="str">
        <f t="shared" si="837"/>
        <v>VN0A5HYWA3I1</v>
      </c>
      <c r="B2844" s="12" t="s">
        <v>10363</v>
      </c>
      <c r="C2844" s="12" t="s">
        <v>2449</v>
      </c>
      <c r="D2844" s="12" t="s">
        <v>7574</v>
      </c>
      <c r="E2844" s="12" t="s">
        <v>10364</v>
      </c>
      <c r="F2844" s="13">
        <v>50</v>
      </c>
      <c r="G2844" s="14"/>
      <c r="H2844" s="12" t="s">
        <v>38</v>
      </c>
      <c r="I2844" s="12" t="s">
        <v>113</v>
      </c>
      <c r="J2844" s="12" t="s">
        <v>529</v>
      </c>
      <c r="K2844" s="12" t="s">
        <v>100</v>
      </c>
      <c r="L2844" s="12" t="s">
        <v>350</v>
      </c>
      <c r="M2844" s="12" t="s">
        <v>43</v>
      </c>
      <c r="N2844" s="12" t="s">
        <v>161</v>
      </c>
      <c r="O2844" s="12" t="s">
        <v>10365</v>
      </c>
      <c r="P2844" s="12" t="s">
        <v>46</v>
      </c>
      <c r="Q2844" s="12" t="s">
        <v>47</v>
      </c>
      <c r="R2844" s="12" t="s">
        <v>948</v>
      </c>
      <c r="S2844" s="13">
        <v>195440385661</v>
      </c>
      <c r="T2844" s="12" t="s">
        <v>105</v>
      </c>
      <c r="U2844" s="13">
        <v>34.5</v>
      </c>
      <c r="V2844" s="12" t="s">
        <v>50</v>
      </c>
      <c r="W2844" s="12" t="s">
        <v>186</v>
      </c>
      <c r="X2844" s="14"/>
      <c r="Y2844" s="12" t="s">
        <v>71</v>
      </c>
      <c r="Z2844" s="12" t="s">
        <v>92</v>
      </c>
      <c r="AA2844" s="12" t="s">
        <v>354</v>
      </c>
      <c r="AB2844" s="12" t="s">
        <v>888</v>
      </c>
      <c r="AC2844" s="15">
        <v>52.4</v>
      </c>
      <c r="AD2844" s="15">
        <f>AC2844*AG2844</f>
        <v>104.8</v>
      </c>
      <c r="AE2844" s="15">
        <v>110</v>
      </c>
      <c r="AF2844" s="15">
        <f>AE2844*AG2844</f>
        <v>220</v>
      </c>
      <c r="AG2844" s="16">
        <v>2</v>
      </c>
    </row>
    <row r="2845" spans="1:33" ht="15" customHeight="1" x14ac:dyDescent="0.2">
      <c r="A2845" s="11" t="str">
        <f>HYPERLINK("https://assets.vans.eu/images/VN0A5HZK1KP-HERO/1","VN0A5HZK1KP1")</f>
        <v>VN0A5HZK1KP1</v>
      </c>
      <c r="B2845" s="12" t="s">
        <v>10366</v>
      </c>
      <c r="C2845" s="12" t="s">
        <v>695</v>
      </c>
      <c r="D2845" s="12" t="s">
        <v>3943</v>
      </c>
      <c r="E2845" s="12" t="s">
        <v>10367</v>
      </c>
      <c r="F2845" s="13">
        <v>110</v>
      </c>
      <c r="G2845" s="12" t="s">
        <v>7018</v>
      </c>
      <c r="H2845" s="12" t="s">
        <v>38</v>
      </c>
      <c r="I2845" s="12" t="s">
        <v>159</v>
      </c>
      <c r="J2845" s="12" t="s">
        <v>160</v>
      </c>
      <c r="K2845" s="12" t="s">
        <v>199</v>
      </c>
      <c r="L2845" s="14"/>
      <c r="M2845" s="12" t="s">
        <v>43</v>
      </c>
      <c r="N2845" s="12" t="s">
        <v>161</v>
      </c>
      <c r="O2845" s="12" t="s">
        <v>10368</v>
      </c>
      <c r="P2845" s="12" t="s">
        <v>46</v>
      </c>
      <c r="Q2845" s="12" t="s">
        <v>47</v>
      </c>
      <c r="R2845" s="12" t="s">
        <v>343</v>
      </c>
      <c r="S2845" s="13">
        <v>196573399792</v>
      </c>
      <c r="T2845" s="12" t="s">
        <v>49</v>
      </c>
      <c r="U2845" s="13">
        <v>44.5</v>
      </c>
      <c r="V2845" s="12" t="s">
        <v>50</v>
      </c>
      <c r="W2845" s="12" t="s">
        <v>51</v>
      </c>
      <c r="X2845" s="14"/>
      <c r="Y2845" s="12" t="s">
        <v>71</v>
      </c>
      <c r="Z2845" s="12" t="s">
        <v>376</v>
      </c>
      <c r="AA2845" s="14"/>
      <c r="AB2845" s="14"/>
      <c r="AC2845" s="15">
        <v>47.65</v>
      </c>
      <c r="AD2845" s="15">
        <f>AC2845*AG2845</f>
        <v>95.3</v>
      </c>
      <c r="AE2845" s="15">
        <v>100</v>
      </c>
      <c r="AF2845" s="15">
        <f>AE2845*AG2845</f>
        <v>200</v>
      </c>
      <c r="AG2845" s="16">
        <v>2</v>
      </c>
    </row>
    <row r="2846" spans="1:33" ht="15" customHeight="1" x14ac:dyDescent="0.2">
      <c r="A2846" s="11" t="str">
        <f t="shared" si="42"/>
        <v>VN0A5HZK9BY1</v>
      </c>
      <c r="B2846" s="12" t="s">
        <v>10369</v>
      </c>
      <c r="C2846" s="12" t="s">
        <v>695</v>
      </c>
      <c r="D2846" s="12" t="s">
        <v>696</v>
      </c>
      <c r="E2846" s="12" t="s">
        <v>10370</v>
      </c>
      <c r="F2846" s="13">
        <v>75</v>
      </c>
      <c r="G2846" s="14"/>
      <c r="H2846" s="12" t="s">
        <v>38</v>
      </c>
      <c r="I2846" s="12" t="s">
        <v>159</v>
      </c>
      <c r="J2846" s="12" t="s">
        <v>160</v>
      </c>
      <c r="K2846" s="12" t="s">
        <v>199</v>
      </c>
      <c r="L2846" s="12" t="s">
        <v>350</v>
      </c>
      <c r="M2846" s="12" t="s">
        <v>43</v>
      </c>
      <c r="N2846" s="12" t="s">
        <v>84</v>
      </c>
      <c r="O2846" s="12" t="s">
        <v>10371</v>
      </c>
      <c r="P2846" s="12" t="s">
        <v>46</v>
      </c>
      <c r="Q2846" s="12" t="s">
        <v>47</v>
      </c>
      <c r="R2846" s="12" t="s">
        <v>343</v>
      </c>
      <c r="S2846" s="13">
        <v>195437379680</v>
      </c>
      <c r="T2846" s="12" t="s">
        <v>49</v>
      </c>
      <c r="U2846" s="13">
        <v>40</v>
      </c>
      <c r="V2846" s="12" t="s">
        <v>50</v>
      </c>
      <c r="W2846" s="12" t="s">
        <v>51</v>
      </c>
      <c r="X2846" s="14"/>
      <c r="Y2846" s="12" t="s">
        <v>71</v>
      </c>
      <c r="Z2846" s="12" t="s">
        <v>376</v>
      </c>
      <c r="AA2846" s="14"/>
      <c r="AB2846" s="14"/>
      <c r="AC2846" s="15">
        <v>45.25</v>
      </c>
      <c r="AD2846" s="15">
        <f>AC2846*AG2846</f>
        <v>90.5</v>
      </c>
      <c r="AE2846" s="15">
        <v>95</v>
      </c>
      <c r="AF2846" s="15">
        <f>AE2846*AG2846</f>
        <v>190</v>
      </c>
      <c r="AG2846" s="16">
        <v>2</v>
      </c>
    </row>
    <row r="2847" spans="1:33" ht="15" customHeight="1" x14ac:dyDescent="0.2">
      <c r="A2847" s="11" t="str">
        <f t="shared" si="659"/>
        <v>VN0A5JICNUT1</v>
      </c>
      <c r="B2847" s="12" t="s">
        <v>10372</v>
      </c>
      <c r="C2847" s="12" t="s">
        <v>6065</v>
      </c>
      <c r="D2847" s="12" t="s">
        <v>6066</v>
      </c>
      <c r="E2847" s="12" t="s">
        <v>10373</v>
      </c>
      <c r="F2847" s="13">
        <v>75</v>
      </c>
      <c r="G2847" s="14"/>
      <c r="H2847" s="12" t="s">
        <v>38</v>
      </c>
      <c r="I2847" s="12" t="s">
        <v>159</v>
      </c>
      <c r="J2847" s="12" t="s">
        <v>341</v>
      </c>
      <c r="K2847" s="12" t="s">
        <v>199</v>
      </c>
      <c r="L2847" s="14"/>
      <c r="M2847" s="12" t="s">
        <v>43</v>
      </c>
      <c r="N2847" s="12" t="s">
        <v>84</v>
      </c>
      <c r="O2847" s="12" t="s">
        <v>10374</v>
      </c>
      <c r="P2847" s="12" t="s">
        <v>46</v>
      </c>
      <c r="Q2847" s="12" t="s">
        <v>47</v>
      </c>
      <c r="R2847" s="12" t="s">
        <v>163</v>
      </c>
      <c r="S2847" s="13">
        <v>197804575589</v>
      </c>
      <c r="T2847" s="12" t="s">
        <v>49</v>
      </c>
      <c r="U2847" s="13">
        <v>40</v>
      </c>
      <c r="V2847" s="12" t="s">
        <v>50</v>
      </c>
      <c r="W2847" s="12" t="s">
        <v>284</v>
      </c>
      <c r="X2847" s="14"/>
      <c r="Y2847" s="14"/>
      <c r="Z2847" s="14"/>
      <c r="AA2847" s="14"/>
      <c r="AB2847" s="14"/>
      <c r="AC2847" s="15">
        <v>40.950000000000003</v>
      </c>
      <c r="AD2847" s="15">
        <f>AC2847*AG2847</f>
        <v>81.900000000000006</v>
      </c>
      <c r="AE2847" s="15">
        <v>90</v>
      </c>
      <c r="AF2847" s="15">
        <f>AE2847*AG2847</f>
        <v>180</v>
      </c>
      <c r="AG2847" s="16">
        <v>2</v>
      </c>
    </row>
    <row r="2848" spans="1:33" ht="15" customHeight="1" x14ac:dyDescent="0.2">
      <c r="A2848" s="11" t="str">
        <f t="shared" ref="A2848:A4778" si="1140">HYPERLINK("https://assets.vans.eu/images/VN0A5JICNUT-HERO/1","VN0A5JICNUT1")</f>
        <v>VN0A5JICNUT1</v>
      </c>
      <c r="B2848" s="12" t="s">
        <v>10375</v>
      </c>
      <c r="C2848" s="12" t="s">
        <v>6065</v>
      </c>
      <c r="D2848" s="12" t="s">
        <v>6066</v>
      </c>
      <c r="E2848" s="12" t="s">
        <v>10376</v>
      </c>
      <c r="F2848" s="13">
        <v>85</v>
      </c>
      <c r="G2848" s="14"/>
      <c r="H2848" s="12" t="s">
        <v>38</v>
      </c>
      <c r="I2848" s="12" t="s">
        <v>159</v>
      </c>
      <c r="J2848" s="12" t="s">
        <v>341</v>
      </c>
      <c r="K2848" s="12" t="s">
        <v>199</v>
      </c>
      <c r="L2848" s="14"/>
      <c r="M2848" s="12" t="s">
        <v>43</v>
      </c>
      <c r="N2848" s="12" t="s">
        <v>84</v>
      </c>
      <c r="O2848" s="12" t="s">
        <v>10377</v>
      </c>
      <c r="P2848" s="12" t="s">
        <v>46</v>
      </c>
      <c r="Q2848" s="12" t="s">
        <v>47</v>
      </c>
      <c r="R2848" s="12" t="s">
        <v>163</v>
      </c>
      <c r="S2848" s="13">
        <v>197804575701</v>
      </c>
      <c r="T2848" s="12" t="s">
        <v>49</v>
      </c>
      <c r="U2848" s="13">
        <v>41</v>
      </c>
      <c r="V2848" s="12" t="s">
        <v>50</v>
      </c>
      <c r="W2848" s="12" t="s">
        <v>284</v>
      </c>
      <c r="X2848" s="14"/>
      <c r="Y2848" s="14"/>
      <c r="Z2848" s="14"/>
      <c r="AA2848" s="14"/>
      <c r="AB2848" s="14"/>
      <c r="AC2848" s="15">
        <v>40.950000000000003</v>
      </c>
      <c r="AD2848" s="15">
        <f>AC2848*AG2848</f>
        <v>81.900000000000006</v>
      </c>
      <c r="AE2848" s="15">
        <v>90</v>
      </c>
      <c r="AF2848" s="15">
        <f>AE2848*AG2848</f>
        <v>180</v>
      </c>
      <c r="AG2848" s="16">
        <v>2</v>
      </c>
    </row>
    <row r="2849" spans="1:33" ht="15" customHeight="1" x14ac:dyDescent="0.2">
      <c r="A2849" s="11" t="str">
        <f>HYPERLINK("https://assets.vans.eu/images/VN0A5KYCPBQ-HERO/1","VN0A5KYCPBQ1")</f>
        <v>VN0A5KYCPBQ1</v>
      </c>
      <c r="B2849" s="12" t="s">
        <v>10378</v>
      </c>
      <c r="C2849" s="12" t="s">
        <v>8973</v>
      </c>
      <c r="D2849" s="12" t="s">
        <v>7167</v>
      </c>
      <c r="E2849" s="12" t="s">
        <v>10379</v>
      </c>
      <c r="F2849" s="13">
        <v>40</v>
      </c>
      <c r="G2849" s="14"/>
      <c r="H2849" s="12" t="s">
        <v>38</v>
      </c>
      <c r="I2849" s="12" t="s">
        <v>159</v>
      </c>
      <c r="J2849" s="12" t="s">
        <v>160</v>
      </c>
      <c r="K2849" s="12" t="s">
        <v>82</v>
      </c>
      <c r="L2849" s="12" t="s">
        <v>42</v>
      </c>
      <c r="M2849" s="12" t="s">
        <v>43</v>
      </c>
      <c r="N2849" s="12" t="s">
        <v>2457</v>
      </c>
      <c r="O2849" s="12" t="s">
        <v>10380</v>
      </c>
      <c r="P2849" s="12" t="s">
        <v>46</v>
      </c>
      <c r="Q2849" s="12" t="s">
        <v>47</v>
      </c>
      <c r="R2849" s="12" t="s">
        <v>1660</v>
      </c>
      <c r="S2849" s="13">
        <v>196244834973</v>
      </c>
      <c r="T2849" s="12" t="s">
        <v>49</v>
      </c>
      <c r="U2849" s="13">
        <v>35</v>
      </c>
      <c r="V2849" s="12" t="s">
        <v>50</v>
      </c>
      <c r="W2849" s="12" t="s">
        <v>455</v>
      </c>
      <c r="X2849" s="14"/>
      <c r="Y2849" s="12" t="s">
        <v>91</v>
      </c>
      <c r="Z2849" s="12" t="s">
        <v>92</v>
      </c>
      <c r="AA2849" s="12" t="s">
        <v>3224</v>
      </c>
      <c r="AB2849" s="12" t="s">
        <v>55</v>
      </c>
      <c r="AC2849" s="15">
        <v>65.95</v>
      </c>
      <c r="AD2849" s="15">
        <f>AC2849*AG2849</f>
        <v>131.9</v>
      </c>
      <c r="AE2849" s="15">
        <v>145</v>
      </c>
      <c r="AF2849" s="15">
        <f>AE2849*AG2849</f>
        <v>290</v>
      </c>
      <c r="AG2849" s="16">
        <v>2</v>
      </c>
    </row>
    <row r="2850" spans="1:33" ht="15" customHeight="1" x14ac:dyDescent="0.2">
      <c r="A2850" s="11" t="str">
        <f t="shared" ref="A2850:A4795" si="1141">HYPERLINK("https://assets.vans.eu/images/VN0A5KYCZF5-HERO/1","VN0A5KYCZF51")</f>
        <v>VN0A5KYCZF51</v>
      </c>
      <c r="B2850" s="12" t="s">
        <v>10381</v>
      </c>
      <c r="C2850" s="12" t="s">
        <v>8973</v>
      </c>
      <c r="D2850" s="12" t="s">
        <v>10382</v>
      </c>
      <c r="E2850" s="12" t="s">
        <v>10383</v>
      </c>
      <c r="F2850" s="13">
        <v>50</v>
      </c>
      <c r="G2850" s="14"/>
      <c r="H2850" s="12" t="s">
        <v>38</v>
      </c>
      <c r="I2850" s="12" t="s">
        <v>159</v>
      </c>
      <c r="J2850" s="12" t="s">
        <v>160</v>
      </c>
      <c r="K2850" s="12" t="s">
        <v>82</v>
      </c>
      <c r="L2850" s="14"/>
      <c r="M2850" s="12" t="s">
        <v>43</v>
      </c>
      <c r="N2850" s="12" t="s">
        <v>2457</v>
      </c>
      <c r="O2850" s="12" t="s">
        <v>10384</v>
      </c>
      <c r="P2850" s="12" t="s">
        <v>46</v>
      </c>
      <c r="Q2850" s="12" t="s">
        <v>47</v>
      </c>
      <c r="R2850" s="12" t="s">
        <v>1660</v>
      </c>
      <c r="S2850" s="13">
        <v>196244835420</v>
      </c>
      <c r="T2850" s="12" t="s">
        <v>49</v>
      </c>
      <c r="U2850" s="13">
        <v>36.5</v>
      </c>
      <c r="V2850" s="12" t="s">
        <v>50</v>
      </c>
      <c r="W2850" s="12" t="s">
        <v>580</v>
      </c>
      <c r="X2850" s="14"/>
      <c r="Y2850" s="12" t="s">
        <v>91</v>
      </c>
      <c r="Z2850" s="12" t="s">
        <v>165</v>
      </c>
      <c r="AA2850" s="14"/>
      <c r="AB2850" s="14"/>
      <c r="AC2850" s="15">
        <v>65.95</v>
      </c>
      <c r="AD2850" s="15">
        <f>AC2850*AG2850</f>
        <v>131.9</v>
      </c>
      <c r="AE2850" s="15">
        <v>145</v>
      </c>
      <c r="AF2850" s="15">
        <f>AE2850*AG2850</f>
        <v>290</v>
      </c>
      <c r="AG2850" s="16">
        <v>2</v>
      </c>
    </row>
    <row r="2851" spans="1:33" ht="15" customHeight="1" x14ac:dyDescent="0.2">
      <c r="A2851" s="11" t="str">
        <f>HYPERLINK("https://assets.vans.eu/images/VN0A7Q5PBKN-HERO/1","VN0A7Q5PBKN1")</f>
        <v>VN0A7Q5PBKN1</v>
      </c>
      <c r="B2851" s="12" t="s">
        <v>10385</v>
      </c>
      <c r="C2851" s="12" t="s">
        <v>10386</v>
      </c>
      <c r="D2851" s="12" t="s">
        <v>10387</v>
      </c>
      <c r="E2851" s="12" t="s">
        <v>10388</v>
      </c>
      <c r="F2851" s="13">
        <v>115</v>
      </c>
      <c r="G2851" s="12" t="s">
        <v>10389</v>
      </c>
      <c r="H2851" s="12" t="s">
        <v>38</v>
      </c>
      <c r="I2851" s="12" t="s">
        <v>3062</v>
      </c>
      <c r="J2851" s="12" t="s">
        <v>3063</v>
      </c>
      <c r="K2851" s="12" t="s">
        <v>82</v>
      </c>
      <c r="L2851" s="14"/>
      <c r="M2851" s="12" t="s">
        <v>43</v>
      </c>
      <c r="N2851" s="12" t="s">
        <v>6205</v>
      </c>
      <c r="O2851" s="12" t="s">
        <v>10390</v>
      </c>
      <c r="P2851" s="12" t="s">
        <v>46</v>
      </c>
      <c r="Q2851" s="12" t="s">
        <v>47</v>
      </c>
      <c r="R2851" s="12" t="s">
        <v>10391</v>
      </c>
      <c r="S2851" s="13">
        <v>196570672461</v>
      </c>
      <c r="T2851" s="12" t="s">
        <v>49</v>
      </c>
      <c r="U2851" s="13">
        <v>45</v>
      </c>
      <c r="V2851" s="12" t="s">
        <v>50</v>
      </c>
      <c r="W2851" s="12" t="s">
        <v>175</v>
      </c>
      <c r="X2851" s="14"/>
      <c r="Y2851" s="12" t="s">
        <v>53</v>
      </c>
      <c r="Z2851" s="12" t="s">
        <v>10392</v>
      </c>
      <c r="AA2851" s="14"/>
      <c r="AB2851" s="13">
        <v>0</v>
      </c>
      <c r="AC2851" s="15">
        <v>50</v>
      </c>
      <c r="AD2851" s="15">
        <f>AC2851*AG2851</f>
        <v>100</v>
      </c>
      <c r="AE2851" s="15">
        <v>110</v>
      </c>
      <c r="AF2851" s="15">
        <f>AE2851*AG2851</f>
        <v>220</v>
      </c>
      <c r="AG2851" s="16">
        <v>2</v>
      </c>
    </row>
    <row r="2852" spans="1:33" ht="15" customHeight="1" x14ac:dyDescent="0.2">
      <c r="A2852" s="11" t="str">
        <f>HYPERLINK("https://assets.vans.eu/images/VN00033QWHT-HERO/1","VN00033QWHT1")</f>
        <v>VN00033QWHT1</v>
      </c>
      <c r="B2852" s="12" t="s">
        <v>10393</v>
      </c>
      <c r="C2852" s="12" t="s">
        <v>10394</v>
      </c>
      <c r="D2852" s="12" t="s">
        <v>168</v>
      </c>
      <c r="E2852" s="12" t="s">
        <v>10395</v>
      </c>
      <c r="F2852" s="12" t="s">
        <v>78</v>
      </c>
      <c r="G2852" s="14"/>
      <c r="H2852" s="12" t="s">
        <v>79</v>
      </c>
      <c r="I2852" s="12" t="s">
        <v>80</v>
      </c>
      <c r="J2852" s="12" t="s">
        <v>99</v>
      </c>
      <c r="K2852" s="12" t="s">
        <v>100</v>
      </c>
      <c r="L2852" s="14"/>
      <c r="M2852" s="12" t="s">
        <v>43</v>
      </c>
      <c r="N2852" s="12" t="s">
        <v>467</v>
      </c>
      <c r="O2852" s="12" t="s">
        <v>10396</v>
      </c>
      <c r="P2852" s="12" t="s">
        <v>86</v>
      </c>
      <c r="Q2852" s="12" t="s">
        <v>103</v>
      </c>
      <c r="R2852" s="12" t="s">
        <v>104</v>
      </c>
      <c r="S2852" s="13">
        <v>196571457456</v>
      </c>
      <c r="T2852" s="12" t="s">
        <v>105</v>
      </c>
      <c r="U2852" s="12" t="s">
        <v>78</v>
      </c>
      <c r="V2852" s="12" t="s">
        <v>10397</v>
      </c>
      <c r="W2852" s="12" t="s">
        <v>175</v>
      </c>
      <c r="X2852" s="13">
        <v>0</v>
      </c>
      <c r="Y2852" s="12" t="s">
        <v>91</v>
      </c>
      <c r="Z2852" s="12" t="s">
        <v>108</v>
      </c>
      <c r="AA2852" s="13">
        <v>0</v>
      </c>
      <c r="AB2852" s="13">
        <v>0</v>
      </c>
      <c r="AC2852" s="15">
        <v>12.75</v>
      </c>
      <c r="AD2852" s="15">
        <f>AC2852*AG2852</f>
        <v>12.75</v>
      </c>
      <c r="AE2852" s="15">
        <v>28</v>
      </c>
      <c r="AF2852" s="15">
        <f>AE2852*AG2852</f>
        <v>28</v>
      </c>
      <c r="AG2852" s="16">
        <v>1</v>
      </c>
    </row>
    <row r="2853" spans="1:33" ht="15" customHeight="1" x14ac:dyDescent="0.2">
      <c r="A2853" s="11" t="str">
        <f>HYPERLINK("https://assets.vans.eu/images/VN000613Y28-HERO/1","VN000613Y281")</f>
        <v>VN000613Y281</v>
      </c>
      <c r="B2853" s="12" t="s">
        <v>10398</v>
      </c>
      <c r="C2853" s="12" t="s">
        <v>10399</v>
      </c>
      <c r="D2853" s="12" t="s">
        <v>58</v>
      </c>
      <c r="E2853" s="12" t="s">
        <v>10400</v>
      </c>
      <c r="F2853" s="13">
        <v>16</v>
      </c>
      <c r="G2853" s="14"/>
      <c r="H2853" s="12" t="s">
        <v>79</v>
      </c>
      <c r="I2853" s="12" t="s">
        <v>125</v>
      </c>
      <c r="J2853" s="12" t="s">
        <v>139</v>
      </c>
      <c r="K2853" s="12" t="s">
        <v>64</v>
      </c>
      <c r="L2853" s="14"/>
      <c r="M2853" s="12" t="s">
        <v>43</v>
      </c>
      <c r="N2853" s="12" t="s">
        <v>467</v>
      </c>
      <c r="O2853" s="12" t="s">
        <v>10401</v>
      </c>
      <c r="P2853" s="12" t="s">
        <v>86</v>
      </c>
      <c r="Q2853" s="12" t="s">
        <v>141</v>
      </c>
      <c r="R2853" s="12" t="s">
        <v>142</v>
      </c>
      <c r="S2853" s="13">
        <v>196571648540</v>
      </c>
      <c r="T2853" s="12" t="s">
        <v>143</v>
      </c>
      <c r="U2853" s="12" t="s">
        <v>517</v>
      </c>
      <c r="V2853" s="12" t="s">
        <v>10402</v>
      </c>
      <c r="W2853" s="12" t="s">
        <v>51</v>
      </c>
      <c r="X2853" s="13">
        <v>0</v>
      </c>
      <c r="Y2853" s="12" t="s">
        <v>91</v>
      </c>
      <c r="Z2853" s="12" t="s">
        <v>108</v>
      </c>
      <c r="AA2853" s="13">
        <v>0</v>
      </c>
      <c r="AB2853" s="13">
        <v>0</v>
      </c>
      <c r="AC2853" s="15">
        <v>6.4</v>
      </c>
      <c r="AD2853" s="15">
        <f>AC2853*AG2853</f>
        <v>6.4</v>
      </c>
      <c r="AE2853" s="15">
        <v>14</v>
      </c>
      <c r="AF2853" s="15">
        <f>AE2853*AG2853</f>
        <v>14</v>
      </c>
      <c r="AG2853" s="16">
        <v>1</v>
      </c>
    </row>
    <row r="2854" spans="1:33" ht="15" customHeight="1" x14ac:dyDescent="0.2">
      <c r="A2854" s="11" t="str">
        <f>HYPERLINK("https://assets.vans.eu/images/VN000623CBK-HERO/1","VN000623CBK1")</f>
        <v>VN000623CBK1</v>
      </c>
      <c r="B2854" s="12" t="s">
        <v>10403</v>
      </c>
      <c r="C2854" s="12" t="s">
        <v>10404</v>
      </c>
      <c r="D2854" s="12" t="s">
        <v>2186</v>
      </c>
      <c r="E2854" s="12" t="s">
        <v>10405</v>
      </c>
      <c r="F2854" s="13">
        <v>101</v>
      </c>
      <c r="G2854" s="14"/>
      <c r="H2854" s="12" t="s">
        <v>79</v>
      </c>
      <c r="I2854" s="12" t="s">
        <v>125</v>
      </c>
      <c r="J2854" s="12" t="s">
        <v>139</v>
      </c>
      <c r="K2854" s="12" t="s">
        <v>64</v>
      </c>
      <c r="L2854" s="12" t="s">
        <v>350</v>
      </c>
      <c r="M2854" s="12" t="s">
        <v>43</v>
      </c>
      <c r="N2854" s="12" t="s">
        <v>161</v>
      </c>
      <c r="O2854" s="12" t="s">
        <v>10406</v>
      </c>
      <c r="P2854" s="12" t="s">
        <v>86</v>
      </c>
      <c r="Q2854" s="12" t="s">
        <v>141</v>
      </c>
      <c r="R2854" s="12" t="s">
        <v>142</v>
      </c>
      <c r="S2854" s="13">
        <v>196573745513</v>
      </c>
      <c r="T2854" s="12" t="s">
        <v>143</v>
      </c>
      <c r="U2854" s="12" t="s">
        <v>517</v>
      </c>
      <c r="V2854" s="12" t="s">
        <v>10407</v>
      </c>
      <c r="W2854" s="12" t="s">
        <v>118</v>
      </c>
      <c r="X2854" s="13">
        <v>0</v>
      </c>
      <c r="Y2854" s="12" t="s">
        <v>71</v>
      </c>
      <c r="Z2854" s="12" t="s">
        <v>92</v>
      </c>
      <c r="AA2854" s="12" t="s">
        <v>354</v>
      </c>
      <c r="AB2854" s="12" t="s">
        <v>355</v>
      </c>
      <c r="AC2854" s="15">
        <v>6.4</v>
      </c>
      <c r="AD2854" s="15">
        <f>AC2854*AG2854</f>
        <v>6.4</v>
      </c>
      <c r="AE2854" s="15">
        <v>14</v>
      </c>
      <c r="AF2854" s="15">
        <f>AE2854*AG2854</f>
        <v>14</v>
      </c>
      <c r="AG2854" s="16">
        <v>1</v>
      </c>
    </row>
    <row r="2855" spans="1:33" ht="15" customHeight="1" x14ac:dyDescent="0.2">
      <c r="A2855" s="11" t="str">
        <f>HYPERLINK("https://assets.vans.eu/images/VN0006760E0-HERO/1","VN0006760E01")</f>
        <v>VN0006760E01</v>
      </c>
      <c r="B2855" s="12" t="s">
        <v>10408</v>
      </c>
      <c r="C2855" s="12" t="s">
        <v>10409</v>
      </c>
      <c r="D2855" s="12" t="s">
        <v>4588</v>
      </c>
      <c r="E2855" s="12" t="s">
        <v>10410</v>
      </c>
      <c r="F2855" s="13">
        <v>659</v>
      </c>
      <c r="G2855" s="14"/>
      <c r="H2855" s="12" t="s">
        <v>79</v>
      </c>
      <c r="I2855" s="12" t="s">
        <v>80</v>
      </c>
      <c r="J2855" s="12" t="s">
        <v>171</v>
      </c>
      <c r="K2855" s="12" t="s">
        <v>199</v>
      </c>
      <c r="L2855" s="14"/>
      <c r="M2855" s="12" t="s">
        <v>43</v>
      </c>
      <c r="N2855" s="12" t="s">
        <v>101</v>
      </c>
      <c r="O2855" s="12" t="s">
        <v>10411</v>
      </c>
      <c r="P2855" s="12" t="s">
        <v>86</v>
      </c>
      <c r="Q2855" s="12" t="s">
        <v>141</v>
      </c>
      <c r="R2855" s="12" t="s">
        <v>173</v>
      </c>
      <c r="S2855" s="13">
        <v>196573555044</v>
      </c>
      <c r="T2855" s="12" t="s">
        <v>143</v>
      </c>
      <c r="U2855" s="12" t="s">
        <v>2023</v>
      </c>
      <c r="V2855" s="12" t="s">
        <v>10412</v>
      </c>
      <c r="W2855" s="12" t="s">
        <v>299</v>
      </c>
      <c r="X2855" s="13">
        <v>0</v>
      </c>
      <c r="Y2855" s="12" t="s">
        <v>53</v>
      </c>
      <c r="Z2855" s="12" t="s">
        <v>108</v>
      </c>
      <c r="AA2855" s="13">
        <v>0</v>
      </c>
      <c r="AB2855" s="13">
        <v>0</v>
      </c>
      <c r="AC2855" s="15">
        <v>10</v>
      </c>
      <c r="AD2855" s="15">
        <f>AC2855*AG2855</f>
        <v>10</v>
      </c>
      <c r="AE2855" s="15">
        <v>22</v>
      </c>
      <c r="AF2855" s="15">
        <f>AE2855*AG2855</f>
        <v>22</v>
      </c>
      <c r="AG2855" s="16">
        <v>1</v>
      </c>
    </row>
    <row r="2856" spans="1:33" ht="15" customHeight="1" x14ac:dyDescent="0.2">
      <c r="A2856" s="11" t="str">
        <f>HYPERLINK("https://assets.vans.eu/images/VN0007A8J3Q-HERO/1","VN0007A8J3Q1")</f>
        <v>VN0007A8J3Q1</v>
      </c>
      <c r="B2856" s="12" t="s">
        <v>10413</v>
      </c>
      <c r="C2856" s="12" t="s">
        <v>4458</v>
      </c>
      <c r="D2856" s="12" t="s">
        <v>10414</v>
      </c>
      <c r="E2856" s="12" t="s">
        <v>10415</v>
      </c>
      <c r="F2856" s="12" t="s">
        <v>78</v>
      </c>
      <c r="G2856" s="14"/>
      <c r="H2856" s="12" t="s">
        <v>79</v>
      </c>
      <c r="I2856" s="12" t="s">
        <v>80</v>
      </c>
      <c r="J2856" s="12" t="s">
        <v>99</v>
      </c>
      <c r="K2856" s="12" t="s">
        <v>100</v>
      </c>
      <c r="L2856" s="14"/>
      <c r="M2856" s="12" t="s">
        <v>43</v>
      </c>
      <c r="N2856" s="12" t="s">
        <v>467</v>
      </c>
      <c r="O2856" s="12" t="s">
        <v>10416</v>
      </c>
      <c r="P2856" s="12" t="s">
        <v>86</v>
      </c>
      <c r="Q2856" s="12" t="s">
        <v>716</v>
      </c>
      <c r="R2856" s="12" t="s">
        <v>717</v>
      </c>
      <c r="S2856" s="13">
        <v>196571431210</v>
      </c>
      <c r="T2856" s="12" t="s">
        <v>143</v>
      </c>
      <c r="U2856" s="12" t="s">
        <v>78</v>
      </c>
      <c r="V2856" s="12" t="s">
        <v>4461</v>
      </c>
      <c r="W2856" s="12" t="s">
        <v>455</v>
      </c>
      <c r="X2856" s="13">
        <v>0</v>
      </c>
      <c r="Y2856" s="12" t="s">
        <v>71</v>
      </c>
      <c r="Z2856" s="12" t="s">
        <v>108</v>
      </c>
      <c r="AA2856" s="13">
        <v>0</v>
      </c>
      <c r="AB2856" s="13">
        <v>0</v>
      </c>
      <c r="AC2856" s="15">
        <v>9.1</v>
      </c>
      <c r="AD2856" s="15">
        <f>AC2856*AG2856</f>
        <v>9.1</v>
      </c>
      <c r="AE2856" s="15">
        <v>20</v>
      </c>
      <c r="AF2856" s="15">
        <f>AE2856*AG2856</f>
        <v>20</v>
      </c>
      <c r="AG2856" s="16">
        <v>1</v>
      </c>
    </row>
    <row r="2857" spans="1:33" ht="15" customHeight="1" x14ac:dyDescent="0.2">
      <c r="A2857" s="11" t="str">
        <f t="shared" ref="A2857:A2858" si="1142">HYPERLINK("https://assets.vans.eu/images/VN0008NSLKZ-HERO/1","VN0008NSLKZ1")</f>
        <v>VN0008NSLKZ1</v>
      </c>
      <c r="B2857" s="12" t="s">
        <v>10417</v>
      </c>
      <c r="C2857" s="12" t="s">
        <v>10418</v>
      </c>
      <c r="D2857" s="12" t="s">
        <v>1213</v>
      </c>
      <c r="E2857" s="12" t="s">
        <v>10419</v>
      </c>
      <c r="F2857" s="13">
        <v>659</v>
      </c>
      <c r="G2857" s="14"/>
      <c r="H2857" s="12" t="s">
        <v>79</v>
      </c>
      <c r="I2857" s="12" t="s">
        <v>80</v>
      </c>
      <c r="J2857" s="12" t="s">
        <v>171</v>
      </c>
      <c r="K2857" s="12" t="s">
        <v>199</v>
      </c>
      <c r="L2857" s="14"/>
      <c r="M2857" s="12" t="s">
        <v>43</v>
      </c>
      <c r="N2857" s="12" t="s">
        <v>101</v>
      </c>
      <c r="O2857" s="12" t="s">
        <v>10420</v>
      </c>
      <c r="P2857" s="12" t="s">
        <v>86</v>
      </c>
      <c r="Q2857" s="12" t="s">
        <v>141</v>
      </c>
      <c r="R2857" s="12" t="s">
        <v>173</v>
      </c>
      <c r="S2857" s="13">
        <v>196573746503</v>
      </c>
      <c r="T2857" s="12" t="s">
        <v>143</v>
      </c>
      <c r="U2857" s="12" t="s">
        <v>2023</v>
      </c>
      <c r="V2857" s="12" t="s">
        <v>10421</v>
      </c>
      <c r="W2857" s="12" t="s">
        <v>284</v>
      </c>
      <c r="X2857" s="13">
        <v>0</v>
      </c>
      <c r="Y2857" s="12" t="s">
        <v>91</v>
      </c>
      <c r="Z2857" s="12" t="s">
        <v>108</v>
      </c>
      <c r="AA2857" s="13">
        <v>0</v>
      </c>
      <c r="AB2857" s="13">
        <v>0</v>
      </c>
      <c r="AC2857" s="15">
        <v>9.1</v>
      </c>
      <c r="AD2857" s="15">
        <f>AC2857*AG2857</f>
        <v>9.1</v>
      </c>
      <c r="AE2857" s="15">
        <v>20</v>
      </c>
      <c r="AF2857" s="15">
        <f>AE2857*AG2857</f>
        <v>20</v>
      </c>
      <c r="AG2857" s="16">
        <v>1</v>
      </c>
    </row>
    <row r="2858" spans="1:33" ht="15" customHeight="1" x14ac:dyDescent="0.2">
      <c r="A2858" s="11" t="str">
        <f t="shared" si="1142"/>
        <v>VN0008NSLKZ1</v>
      </c>
      <c r="B2858" s="12" t="s">
        <v>10422</v>
      </c>
      <c r="C2858" s="12" t="s">
        <v>10418</v>
      </c>
      <c r="D2858" s="12" t="s">
        <v>1213</v>
      </c>
      <c r="E2858" s="12" t="s">
        <v>10423</v>
      </c>
      <c r="F2858" s="13">
        <v>951</v>
      </c>
      <c r="G2858" s="14"/>
      <c r="H2858" s="12" t="s">
        <v>79</v>
      </c>
      <c r="I2858" s="12" t="s">
        <v>80</v>
      </c>
      <c r="J2858" s="12" t="s">
        <v>171</v>
      </c>
      <c r="K2858" s="12" t="s">
        <v>199</v>
      </c>
      <c r="L2858" s="14"/>
      <c r="M2858" s="12" t="s">
        <v>43</v>
      </c>
      <c r="N2858" s="12" t="s">
        <v>101</v>
      </c>
      <c r="O2858" s="12" t="s">
        <v>10424</v>
      </c>
      <c r="P2858" s="12" t="s">
        <v>86</v>
      </c>
      <c r="Q2858" s="12" t="s">
        <v>141</v>
      </c>
      <c r="R2858" s="12" t="s">
        <v>173</v>
      </c>
      <c r="S2858" s="13">
        <v>196573746534</v>
      </c>
      <c r="T2858" s="12" t="s">
        <v>143</v>
      </c>
      <c r="U2858" s="12" t="s">
        <v>1402</v>
      </c>
      <c r="V2858" s="12" t="s">
        <v>10421</v>
      </c>
      <c r="W2858" s="12" t="s">
        <v>284</v>
      </c>
      <c r="X2858" s="13">
        <v>0</v>
      </c>
      <c r="Y2858" s="12" t="s">
        <v>91</v>
      </c>
      <c r="Z2858" s="12" t="s">
        <v>108</v>
      </c>
      <c r="AA2858" s="13">
        <v>0</v>
      </c>
      <c r="AB2858" s="13">
        <v>0</v>
      </c>
      <c r="AC2858" s="15">
        <v>9.1</v>
      </c>
      <c r="AD2858" s="15">
        <f>AC2858*AG2858</f>
        <v>9.1</v>
      </c>
      <c r="AE2858" s="15">
        <v>20</v>
      </c>
      <c r="AF2858" s="15">
        <f>AE2858*AG2858</f>
        <v>20</v>
      </c>
      <c r="AG2858" s="16">
        <v>1</v>
      </c>
    </row>
    <row r="2859" spans="1:33" ht="15" customHeight="1" x14ac:dyDescent="0.2">
      <c r="A2859" s="11" t="str">
        <f>HYPERLINK("https://assets.vans.eu/images/VN0008P7BLK-HERO/1","VN0008P7BLK1")</f>
        <v>VN0008P7BLK1</v>
      </c>
      <c r="B2859" s="12" t="s">
        <v>10425</v>
      </c>
      <c r="C2859" s="12" t="s">
        <v>10426</v>
      </c>
      <c r="D2859" s="12" t="s">
        <v>76</v>
      </c>
      <c r="E2859" s="12" t="s">
        <v>10427</v>
      </c>
      <c r="F2859" s="12" t="s">
        <v>78</v>
      </c>
      <c r="G2859" s="14"/>
      <c r="H2859" s="12" t="s">
        <v>79</v>
      </c>
      <c r="I2859" s="12" t="s">
        <v>80</v>
      </c>
      <c r="J2859" s="12" t="s">
        <v>349</v>
      </c>
      <c r="K2859" s="12" t="s">
        <v>199</v>
      </c>
      <c r="L2859" s="12" t="s">
        <v>350</v>
      </c>
      <c r="M2859" s="12" t="s">
        <v>43</v>
      </c>
      <c r="N2859" s="12" t="s">
        <v>161</v>
      </c>
      <c r="O2859" s="12" t="s">
        <v>10428</v>
      </c>
      <c r="P2859" s="12" t="s">
        <v>86</v>
      </c>
      <c r="Q2859" s="12" t="s">
        <v>128</v>
      </c>
      <c r="R2859" s="12" t="s">
        <v>352</v>
      </c>
      <c r="S2859" s="13">
        <v>196573529502</v>
      </c>
      <c r="T2859" s="12" t="s">
        <v>49</v>
      </c>
      <c r="U2859" s="12" t="s">
        <v>78</v>
      </c>
      <c r="V2859" s="12" t="s">
        <v>10429</v>
      </c>
      <c r="W2859" s="12" t="s">
        <v>51</v>
      </c>
      <c r="X2859" s="13">
        <v>0</v>
      </c>
      <c r="Y2859" s="12" t="s">
        <v>71</v>
      </c>
      <c r="Z2859" s="12" t="s">
        <v>92</v>
      </c>
      <c r="AA2859" s="12" t="s">
        <v>354</v>
      </c>
      <c r="AB2859" s="12" t="s">
        <v>355</v>
      </c>
      <c r="AC2859" s="15">
        <v>14.55</v>
      </c>
      <c r="AD2859" s="15">
        <f>AC2859*AG2859</f>
        <v>14.55</v>
      </c>
      <c r="AE2859" s="15">
        <v>32</v>
      </c>
      <c r="AF2859" s="15">
        <f>AE2859*AG2859</f>
        <v>32</v>
      </c>
      <c r="AG2859" s="16">
        <v>1</v>
      </c>
    </row>
    <row r="2860" spans="1:33" ht="15" customHeight="1" x14ac:dyDescent="0.2">
      <c r="A2860" s="11" t="str">
        <f>HYPERLINK("https://assets.vans.eu/images/VN000CAQBLK-HERO/1","VN000CAQBLK1")</f>
        <v>VN000CAQBLK1</v>
      </c>
      <c r="B2860" s="12" t="s">
        <v>10430</v>
      </c>
      <c r="C2860" s="12" t="s">
        <v>10431</v>
      </c>
      <c r="D2860" s="12" t="s">
        <v>76</v>
      </c>
      <c r="E2860" s="12" t="s">
        <v>10432</v>
      </c>
      <c r="F2860" s="13">
        <v>101</v>
      </c>
      <c r="G2860" s="14"/>
      <c r="H2860" s="12" t="s">
        <v>79</v>
      </c>
      <c r="I2860" s="12" t="s">
        <v>125</v>
      </c>
      <c r="J2860" s="12" t="s">
        <v>139</v>
      </c>
      <c r="K2860" s="12" t="s">
        <v>64</v>
      </c>
      <c r="L2860" s="14"/>
      <c r="M2860" s="12" t="s">
        <v>43</v>
      </c>
      <c r="N2860" s="12" t="s">
        <v>2457</v>
      </c>
      <c r="O2860" s="12" t="s">
        <v>10433</v>
      </c>
      <c r="P2860" s="12" t="s">
        <v>86</v>
      </c>
      <c r="Q2860" s="12" t="s">
        <v>141</v>
      </c>
      <c r="R2860" s="12" t="s">
        <v>142</v>
      </c>
      <c r="S2860" s="13">
        <v>196574905787</v>
      </c>
      <c r="T2860" s="12" t="s">
        <v>143</v>
      </c>
      <c r="U2860" s="12" t="s">
        <v>517</v>
      </c>
      <c r="V2860" s="12" t="s">
        <v>10434</v>
      </c>
      <c r="W2860" s="12" t="s">
        <v>51</v>
      </c>
      <c r="X2860" s="13">
        <v>0</v>
      </c>
      <c r="Y2860" s="12" t="s">
        <v>91</v>
      </c>
      <c r="Z2860" s="12" t="s">
        <v>108</v>
      </c>
      <c r="AA2860" s="13">
        <v>0</v>
      </c>
      <c r="AB2860" s="13">
        <v>0</v>
      </c>
      <c r="AC2860" s="15">
        <v>6.4</v>
      </c>
      <c r="AD2860" s="15">
        <f>AC2860*AG2860</f>
        <v>6.4</v>
      </c>
      <c r="AE2860" s="15">
        <v>14</v>
      </c>
      <c r="AF2860" s="15">
        <f>AE2860*AG2860</f>
        <v>14</v>
      </c>
      <c r="AG2860" s="16">
        <v>1</v>
      </c>
    </row>
    <row r="2861" spans="1:33" ht="15" customHeight="1" x14ac:dyDescent="0.2">
      <c r="A2861" s="11" t="str">
        <f>HYPERLINK("https://assets.vans.eu/images/VN000EZ1J5F-HERO/1","VN000EZ1J5F1")</f>
        <v>VN000EZ1J5F1</v>
      </c>
      <c r="B2861" s="12" t="s">
        <v>10435</v>
      </c>
      <c r="C2861" s="12" t="s">
        <v>3325</v>
      </c>
      <c r="D2861" s="12" t="s">
        <v>1703</v>
      </c>
      <c r="E2861" s="12" t="s">
        <v>10436</v>
      </c>
      <c r="F2861" s="13">
        <v>101</v>
      </c>
      <c r="G2861" s="14"/>
      <c r="H2861" s="12" t="s">
        <v>79</v>
      </c>
      <c r="I2861" s="12" t="s">
        <v>125</v>
      </c>
      <c r="J2861" s="12" t="s">
        <v>139</v>
      </c>
      <c r="K2861" s="12" t="s">
        <v>41</v>
      </c>
      <c r="L2861" s="14"/>
      <c r="M2861" s="12" t="s">
        <v>43</v>
      </c>
      <c r="N2861" s="12" t="s">
        <v>161</v>
      </c>
      <c r="O2861" s="12" t="s">
        <v>10437</v>
      </c>
      <c r="P2861" s="12" t="s">
        <v>86</v>
      </c>
      <c r="Q2861" s="12" t="s">
        <v>141</v>
      </c>
      <c r="R2861" s="12" t="s">
        <v>142</v>
      </c>
      <c r="S2861" s="13">
        <v>197065837563</v>
      </c>
      <c r="T2861" s="12" t="s">
        <v>143</v>
      </c>
      <c r="U2861" s="13">
        <v>101</v>
      </c>
      <c r="V2861" s="12" t="s">
        <v>10438</v>
      </c>
      <c r="W2861" s="12" t="s">
        <v>118</v>
      </c>
      <c r="X2861" s="13">
        <v>0</v>
      </c>
      <c r="Y2861" s="12" t="s">
        <v>91</v>
      </c>
      <c r="Z2861" s="12" t="s">
        <v>108</v>
      </c>
      <c r="AA2861" s="13">
        <v>0</v>
      </c>
      <c r="AB2861" s="13">
        <v>0</v>
      </c>
      <c r="AC2861" s="15">
        <v>8.1999999999999993</v>
      </c>
      <c r="AD2861" s="15">
        <f>AC2861*AG2861</f>
        <v>8.1999999999999993</v>
      </c>
      <c r="AE2861" s="15">
        <v>18</v>
      </c>
      <c r="AF2861" s="15">
        <f>AE2861*AG2861</f>
        <v>18</v>
      </c>
      <c r="AG2861" s="16">
        <v>1</v>
      </c>
    </row>
    <row r="2862" spans="1:33" ht="15" customHeight="1" x14ac:dyDescent="0.2">
      <c r="A2862" s="11" t="str">
        <f>HYPERLINK("https://assets.vans.eu/images/VN000EZ47WM-HERO/1","VN000EZ47WM1")</f>
        <v>VN000EZ47WM1</v>
      </c>
      <c r="B2862" s="12" t="s">
        <v>10439</v>
      </c>
      <c r="C2862" s="12" t="s">
        <v>6092</v>
      </c>
      <c r="D2862" s="12" t="s">
        <v>388</v>
      </c>
      <c r="E2862" s="12" t="s">
        <v>10440</v>
      </c>
      <c r="F2862" s="13">
        <v>101</v>
      </c>
      <c r="G2862" s="14"/>
      <c r="H2862" s="12" t="s">
        <v>79</v>
      </c>
      <c r="I2862" s="12" t="s">
        <v>125</v>
      </c>
      <c r="J2862" s="12" t="s">
        <v>139</v>
      </c>
      <c r="K2862" s="12" t="s">
        <v>41</v>
      </c>
      <c r="L2862" s="14"/>
      <c r="M2862" s="12" t="s">
        <v>43</v>
      </c>
      <c r="N2862" s="12" t="s">
        <v>161</v>
      </c>
      <c r="O2862" s="12" t="s">
        <v>10441</v>
      </c>
      <c r="P2862" s="12" t="s">
        <v>86</v>
      </c>
      <c r="Q2862" s="12" t="s">
        <v>141</v>
      </c>
      <c r="R2862" s="12" t="s">
        <v>142</v>
      </c>
      <c r="S2862" s="13">
        <v>197065837594</v>
      </c>
      <c r="T2862" s="12" t="s">
        <v>143</v>
      </c>
      <c r="U2862" s="13">
        <v>101</v>
      </c>
      <c r="V2862" s="12" t="s">
        <v>6095</v>
      </c>
      <c r="W2862" s="12" t="s">
        <v>284</v>
      </c>
      <c r="X2862" s="13">
        <v>0</v>
      </c>
      <c r="Y2862" s="12" t="s">
        <v>91</v>
      </c>
      <c r="Z2862" s="12" t="s">
        <v>108</v>
      </c>
      <c r="AA2862" s="13">
        <v>0</v>
      </c>
      <c r="AB2862" s="13">
        <v>0</v>
      </c>
      <c r="AC2862" s="15">
        <v>6.4</v>
      </c>
      <c r="AD2862" s="15">
        <f>AC2862*AG2862</f>
        <v>6.4</v>
      </c>
      <c r="AE2862" s="15">
        <v>14</v>
      </c>
      <c r="AF2862" s="15">
        <f>AE2862*AG2862</f>
        <v>14</v>
      </c>
      <c r="AG2862" s="16">
        <v>1</v>
      </c>
    </row>
    <row r="2863" spans="1:33" ht="15" customHeight="1" x14ac:dyDescent="0.2">
      <c r="A2863" s="11" t="str">
        <f t="shared" ref="A2863:A2864" si="1143">HYPERLINK("https://assets.vans.eu/images/VN000F0HZBF-HERO/1","VN000F0HZBF1")</f>
        <v>VN000F0HZBF1</v>
      </c>
      <c r="B2863" s="12" t="s">
        <v>10442</v>
      </c>
      <c r="C2863" s="12" t="s">
        <v>10443</v>
      </c>
      <c r="D2863" s="12" t="s">
        <v>680</v>
      </c>
      <c r="E2863" s="12" t="s">
        <v>10444</v>
      </c>
      <c r="F2863" s="13">
        <v>659</v>
      </c>
      <c r="G2863" s="14"/>
      <c r="H2863" s="12" t="s">
        <v>79</v>
      </c>
      <c r="I2863" s="12" t="s">
        <v>80</v>
      </c>
      <c r="J2863" s="12" t="s">
        <v>171</v>
      </c>
      <c r="K2863" s="12" t="s">
        <v>199</v>
      </c>
      <c r="L2863" s="14"/>
      <c r="M2863" s="12" t="s">
        <v>43</v>
      </c>
      <c r="N2863" s="12" t="s">
        <v>44</v>
      </c>
      <c r="O2863" s="12" t="s">
        <v>10445</v>
      </c>
      <c r="P2863" s="12" t="s">
        <v>86</v>
      </c>
      <c r="Q2863" s="12" t="s">
        <v>141</v>
      </c>
      <c r="R2863" s="12" t="s">
        <v>173</v>
      </c>
      <c r="S2863" s="13">
        <v>197643553793</v>
      </c>
      <c r="T2863" s="12" t="s">
        <v>105</v>
      </c>
      <c r="U2863" s="12" t="s">
        <v>2023</v>
      </c>
      <c r="V2863" s="12" t="s">
        <v>4061</v>
      </c>
      <c r="W2863" s="12" t="s">
        <v>118</v>
      </c>
      <c r="X2863" s="12" t="s">
        <v>500</v>
      </c>
      <c r="Y2863" s="12" t="s">
        <v>91</v>
      </c>
      <c r="Z2863" s="12" t="s">
        <v>108</v>
      </c>
      <c r="AA2863" s="13">
        <v>0</v>
      </c>
      <c r="AB2863" s="13">
        <v>0</v>
      </c>
      <c r="AC2863" s="15">
        <v>9.1</v>
      </c>
      <c r="AD2863" s="15">
        <f>AC2863*AG2863</f>
        <v>9.1</v>
      </c>
      <c r="AE2863" s="15">
        <v>20</v>
      </c>
      <c r="AF2863" s="15">
        <f>AE2863*AG2863</f>
        <v>20</v>
      </c>
      <c r="AG2863" s="16">
        <v>1</v>
      </c>
    </row>
    <row r="2864" spans="1:33" ht="15" customHeight="1" x14ac:dyDescent="0.2">
      <c r="A2864" s="11" t="str">
        <f t="shared" si="1143"/>
        <v>VN000F0HZBF1</v>
      </c>
      <c r="B2864" s="12" t="s">
        <v>10446</v>
      </c>
      <c r="C2864" s="12" t="s">
        <v>10443</v>
      </c>
      <c r="D2864" s="12" t="s">
        <v>680</v>
      </c>
      <c r="E2864" s="12" t="s">
        <v>10447</v>
      </c>
      <c r="F2864" s="13">
        <v>951</v>
      </c>
      <c r="G2864" s="14"/>
      <c r="H2864" s="12" t="s">
        <v>79</v>
      </c>
      <c r="I2864" s="12" t="s">
        <v>80</v>
      </c>
      <c r="J2864" s="12" t="s">
        <v>171</v>
      </c>
      <c r="K2864" s="12" t="s">
        <v>199</v>
      </c>
      <c r="L2864" s="14"/>
      <c r="M2864" s="12" t="s">
        <v>43</v>
      </c>
      <c r="N2864" s="12" t="s">
        <v>44</v>
      </c>
      <c r="O2864" s="12" t="s">
        <v>10448</v>
      </c>
      <c r="P2864" s="12" t="s">
        <v>86</v>
      </c>
      <c r="Q2864" s="12" t="s">
        <v>141</v>
      </c>
      <c r="R2864" s="12" t="s">
        <v>173</v>
      </c>
      <c r="S2864" s="13">
        <v>197643553915</v>
      </c>
      <c r="T2864" s="12" t="s">
        <v>105</v>
      </c>
      <c r="U2864" s="12" t="s">
        <v>1402</v>
      </c>
      <c r="V2864" s="12" t="s">
        <v>4061</v>
      </c>
      <c r="W2864" s="12" t="s">
        <v>118</v>
      </c>
      <c r="X2864" s="12" t="s">
        <v>500</v>
      </c>
      <c r="Y2864" s="12" t="s">
        <v>91</v>
      </c>
      <c r="Z2864" s="12" t="s">
        <v>108</v>
      </c>
      <c r="AA2864" s="13">
        <v>0</v>
      </c>
      <c r="AB2864" s="13">
        <v>0</v>
      </c>
      <c r="AC2864" s="15">
        <v>9.1</v>
      </c>
      <c r="AD2864" s="15">
        <f>AC2864*AG2864</f>
        <v>9.1</v>
      </c>
      <c r="AE2864" s="15">
        <v>20</v>
      </c>
      <c r="AF2864" s="15">
        <f>AE2864*AG2864</f>
        <v>20</v>
      </c>
      <c r="AG2864" s="16">
        <v>1</v>
      </c>
    </row>
    <row r="2865" spans="1:33" ht="15" customHeight="1" x14ac:dyDescent="0.2">
      <c r="A2865" s="11" t="str">
        <f t="shared" ref="A2865:A2866" si="1144">HYPERLINK("https://assets.vans.eu/images/VN000F0UJDU-HERO/1","VN000F0UJDU1")</f>
        <v>VN000F0UJDU1</v>
      </c>
      <c r="B2865" s="12" t="s">
        <v>10449</v>
      </c>
      <c r="C2865" s="12" t="s">
        <v>146</v>
      </c>
      <c r="D2865" s="12" t="s">
        <v>814</v>
      </c>
      <c r="E2865" s="12" t="s">
        <v>10450</v>
      </c>
      <c r="F2865" s="13">
        <v>659</v>
      </c>
      <c r="G2865" s="14"/>
      <c r="H2865" s="12" t="s">
        <v>79</v>
      </c>
      <c r="I2865" s="12" t="s">
        <v>80</v>
      </c>
      <c r="J2865" s="12" t="s">
        <v>171</v>
      </c>
      <c r="K2865" s="12" t="s">
        <v>199</v>
      </c>
      <c r="L2865" s="14"/>
      <c r="M2865" s="12" t="s">
        <v>43</v>
      </c>
      <c r="N2865" s="12" t="s">
        <v>44</v>
      </c>
      <c r="O2865" s="12" t="s">
        <v>10451</v>
      </c>
      <c r="P2865" s="12" t="s">
        <v>86</v>
      </c>
      <c r="Q2865" s="12" t="s">
        <v>141</v>
      </c>
      <c r="R2865" s="12" t="s">
        <v>173</v>
      </c>
      <c r="S2865" s="13">
        <v>197643553830</v>
      </c>
      <c r="T2865" s="12" t="s">
        <v>105</v>
      </c>
      <c r="U2865" s="12" t="s">
        <v>2023</v>
      </c>
      <c r="V2865" s="12" t="s">
        <v>10452</v>
      </c>
      <c r="W2865" s="12" t="s">
        <v>284</v>
      </c>
      <c r="X2865" s="12" t="s">
        <v>500</v>
      </c>
      <c r="Y2865" s="12" t="s">
        <v>91</v>
      </c>
      <c r="Z2865" s="12" t="s">
        <v>108</v>
      </c>
      <c r="AA2865" s="13">
        <v>0</v>
      </c>
      <c r="AB2865" s="13">
        <v>0</v>
      </c>
      <c r="AC2865" s="15">
        <v>9.1</v>
      </c>
      <c r="AD2865" s="15">
        <f>AC2865*AG2865</f>
        <v>9.1</v>
      </c>
      <c r="AE2865" s="15">
        <v>20</v>
      </c>
      <c r="AF2865" s="15">
        <f>AE2865*AG2865</f>
        <v>20</v>
      </c>
      <c r="AG2865" s="16">
        <v>1</v>
      </c>
    </row>
    <row r="2866" spans="1:33" ht="15" customHeight="1" x14ac:dyDescent="0.2">
      <c r="A2866" s="11" t="str">
        <f t="shared" si="1144"/>
        <v>VN000F0UJDU1</v>
      </c>
      <c r="B2866" s="12" t="s">
        <v>10453</v>
      </c>
      <c r="C2866" s="12" t="s">
        <v>146</v>
      </c>
      <c r="D2866" s="12" t="s">
        <v>814</v>
      </c>
      <c r="E2866" s="12" t="s">
        <v>10454</v>
      </c>
      <c r="F2866" s="13">
        <v>951</v>
      </c>
      <c r="G2866" s="14"/>
      <c r="H2866" s="12" t="s">
        <v>79</v>
      </c>
      <c r="I2866" s="12" t="s">
        <v>80</v>
      </c>
      <c r="J2866" s="12" t="s">
        <v>171</v>
      </c>
      <c r="K2866" s="12" t="s">
        <v>199</v>
      </c>
      <c r="L2866" s="14"/>
      <c r="M2866" s="12" t="s">
        <v>43</v>
      </c>
      <c r="N2866" s="12" t="s">
        <v>44</v>
      </c>
      <c r="O2866" s="12" t="s">
        <v>10455</v>
      </c>
      <c r="P2866" s="12" t="s">
        <v>86</v>
      </c>
      <c r="Q2866" s="12" t="s">
        <v>141</v>
      </c>
      <c r="R2866" s="12" t="s">
        <v>173</v>
      </c>
      <c r="S2866" s="13">
        <v>197643553861</v>
      </c>
      <c r="T2866" s="12" t="s">
        <v>105</v>
      </c>
      <c r="U2866" s="12" t="s">
        <v>1402</v>
      </c>
      <c r="V2866" s="12" t="s">
        <v>10452</v>
      </c>
      <c r="W2866" s="12" t="s">
        <v>284</v>
      </c>
      <c r="X2866" s="12" t="s">
        <v>500</v>
      </c>
      <c r="Y2866" s="12" t="s">
        <v>91</v>
      </c>
      <c r="Z2866" s="12" t="s">
        <v>108</v>
      </c>
      <c r="AA2866" s="13">
        <v>0</v>
      </c>
      <c r="AB2866" s="13">
        <v>0</v>
      </c>
      <c r="AC2866" s="15">
        <v>9.1</v>
      </c>
      <c r="AD2866" s="15">
        <f>AC2866*AG2866</f>
        <v>9.1</v>
      </c>
      <c r="AE2866" s="15">
        <v>20</v>
      </c>
      <c r="AF2866" s="15">
        <f>AE2866*AG2866</f>
        <v>20</v>
      </c>
      <c r="AG2866" s="16">
        <v>1</v>
      </c>
    </row>
    <row r="2867" spans="1:33" ht="15" customHeight="1" x14ac:dyDescent="0.2">
      <c r="A2867" s="11" t="str">
        <f t="shared" ref="A2867:A2868" si="1145">HYPERLINK("https://assets.vans.eu/images/VN000F0XBLK-HERO/1","VN000F0XBLK1")</f>
        <v>VN000F0XBLK1</v>
      </c>
      <c r="B2867" s="12" t="s">
        <v>10456</v>
      </c>
      <c r="C2867" s="12" t="s">
        <v>1870</v>
      </c>
      <c r="D2867" s="12" t="s">
        <v>76</v>
      </c>
      <c r="E2867" s="12" t="s">
        <v>10457</v>
      </c>
      <c r="F2867" s="13">
        <v>659</v>
      </c>
      <c r="G2867" s="14"/>
      <c r="H2867" s="12" t="s">
        <v>79</v>
      </c>
      <c r="I2867" s="12" t="s">
        <v>80</v>
      </c>
      <c r="J2867" s="12" t="s">
        <v>171</v>
      </c>
      <c r="K2867" s="12" t="s">
        <v>199</v>
      </c>
      <c r="L2867" s="14"/>
      <c r="M2867" s="12" t="s">
        <v>43</v>
      </c>
      <c r="N2867" s="12" t="s">
        <v>44</v>
      </c>
      <c r="O2867" s="12" t="s">
        <v>10458</v>
      </c>
      <c r="P2867" s="12" t="s">
        <v>86</v>
      </c>
      <c r="Q2867" s="12" t="s">
        <v>141</v>
      </c>
      <c r="R2867" s="12" t="s">
        <v>173</v>
      </c>
      <c r="S2867" s="13">
        <v>196574907491</v>
      </c>
      <c r="T2867" s="12" t="s">
        <v>69</v>
      </c>
      <c r="U2867" s="12" t="s">
        <v>2023</v>
      </c>
      <c r="V2867" s="12" t="s">
        <v>3328</v>
      </c>
      <c r="W2867" s="12" t="s">
        <v>51</v>
      </c>
      <c r="X2867" s="13">
        <v>0</v>
      </c>
      <c r="Y2867" s="12" t="s">
        <v>91</v>
      </c>
      <c r="Z2867" s="12" t="s">
        <v>108</v>
      </c>
      <c r="AA2867" s="13">
        <v>0</v>
      </c>
      <c r="AB2867" s="13">
        <v>0</v>
      </c>
      <c r="AC2867" s="15">
        <v>9.1</v>
      </c>
      <c r="AD2867" s="15">
        <f>AC2867*AG2867</f>
        <v>9.1</v>
      </c>
      <c r="AE2867" s="15">
        <v>20</v>
      </c>
      <c r="AF2867" s="15">
        <f>AE2867*AG2867</f>
        <v>20</v>
      </c>
      <c r="AG2867" s="16">
        <v>1</v>
      </c>
    </row>
    <row r="2868" spans="1:33" ht="15" customHeight="1" x14ac:dyDescent="0.2">
      <c r="A2868" s="11" t="str">
        <f t="shared" si="1145"/>
        <v>VN000F0XBLK1</v>
      </c>
      <c r="B2868" s="12" t="s">
        <v>10459</v>
      </c>
      <c r="C2868" s="12" t="s">
        <v>1870</v>
      </c>
      <c r="D2868" s="12" t="s">
        <v>76</v>
      </c>
      <c r="E2868" s="12" t="s">
        <v>10460</v>
      </c>
      <c r="F2868" s="13">
        <v>951</v>
      </c>
      <c r="G2868" s="14"/>
      <c r="H2868" s="12" t="s">
        <v>79</v>
      </c>
      <c r="I2868" s="12" t="s">
        <v>80</v>
      </c>
      <c r="J2868" s="12" t="s">
        <v>171</v>
      </c>
      <c r="K2868" s="12" t="s">
        <v>199</v>
      </c>
      <c r="L2868" s="14"/>
      <c r="M2868" s="12" t="s">
        <v>43</v>
      </c>
      <c r="N2868" s="12" t="s">
        <v>44</v>
      </c>
      <c r="O2868" s="12" t="s">
        <v>10461</v>
      </c>
      <c r="P2868" s="12" t="s">
        <v>86</v>
      </c>
      <c r="Q2868" s="12" t="s">
        <v>141</v>
      </c>
      <c r="R2868" s="12" t="s">
        <v>173</v>
      </c>
      <c r="S2868" s="13">
        <v>196574907729</v>
      </c>
      <c r="T2868" s="12" t="s">
        <v>69</v>
      </c>
      <c r="U2868" s="12" t="s">
        <v>1402</v>
      </c>
      <c r="V2868" s="12" t="s">
        <v>3328</v>
      </c>
      <c r="W2868" s="12" t="s">
        <v>51</v>
      </c>
      <c r="X2868" s="13">
        <v>0</v>
      </c>
      <c r="Y2868" s="12" t="s">
        <v>91</v>
      </c>
      <c r="Z2868" s="12" t="s">
        <v>108</v>
      </c>
      <c r="AA2868" s="13">
        <v>0</v>
      </c>
      <c r="AB2868" s="13">
        <v>0</v>
      </c>
      <c r="AC2868" s="15">
        <v>9.1</v>
      </c>
      <c r="AD2868" s="15">
        <f>AC2868*AG2868</f>
        <v>9.1</v>
      </c>
      <c r="AE2868" s="15">
        <v>20</v>
      </c>
      <c r="AF2868" s="15">
        <f>AE2868*AG2868</f>
        <v>20</v>
      </c>
      <c r="AG2868" s="16">
        <v>1</v>
      </c>
    </row>
    <row r="2869" spans="1:33" ht="15" customHeight="1" x14ac:dyDescent="0.2">
      <c r="A2869" s="11" t="str">
        <f>HYPERLINK("https://assets.vans.eu/images/VN000F0XWHT-HERO/1","VN000F0XWHT1")</f>
        <v>VN000F0XWHT1</v>
      </c>
      <c r="B2869" s="12" t="s">
        <v>10462</v>
      </c>
      <c r="C2869" s="12" t="s">
        <v>1870</v>
      </c>
      <c r="D2869" s="12" t="s">
        <v>168</v>
      </c>
      <c r="E2869" s="12" t="s">
        <v>10463</v>
      </c>
      <c r="F2869" s="13">
        <v>951</v>
      </c>
      <c r="G2869" s="14"/>
      <c r="H2869" s="12" t="s">
        <v>79</v>
      </c>
      <c r="I2869" s="12" t="s">
        <v>80</v>
      </c>
      <c r="J2869" s="12" t="s">
        <v>171</v>
      </c>
      <c r="K2869" s="12" t="s">
        <v>199</v>
      </c>
      <c r="L2869" s="14"/>
      <c r="M2869" s="12" t="s">
        <v>43</v>
      </c>
      <c r="N2869" s="12" t="s">
        <v>44</v>
      </c>
      <c r="O2869" s="12" t="s">
        <v>10464</v>
      </c>
      <c r="P2869" s="12" t="s">
        <v>86</v>
      </c>
      <c r="Q2869" s="12" t="s">
        <v>141</v>
      </c>
      <c r="R2869" s="12" t="s">
        <v>173</v>
      </c>
      <c r="S2869" s="13">
        <v>196574907828</v>
      </c>
      <c r="T2869" s="12" t="s">
        <v>69</v>
      </c>
      <c r="U2869" s="12" t="s">
        <v>1402</v>
      </c>
      <c r="V2869" s="12" t="s">
        <v>3328</v>
      </c>
      <c r="W2869" s="12" t="s">
        <v>175</v>
      </c>
      <c r="X2869" s="13">
        <v>0</v>
      </c>
      <c r="Y2869" s="12" t="s">
        <v>91</v>
      </c>
      <c r="Z2869" s="12" t="s">
        <v>108</v>
      </c>
      <c r="AA2869" s="13">
        <v>0</v>
      </c>
      <c r="AB2869" s="13">
        <v>0</v>
      </c>
      <c r="AC2869" s="15">
        <v>9.1</v>
      </c>
      <c r="AD2869" s="15">
        <f>AC2869*AG2869</f>
        <v>9.1</v>
      </c>
      <c r="AE2869" s="15">
        <v>20</v>
      </c>
      <c r="AF2869" s="15">
        <f>AE2869*AG2869</f>
        <v>20</v>
      </c>
      <c r="AG2869" s="16">
        <v>1</v>
      </c>
    </row>
    <row r="2870" spans="1:33" ht="15" customHeight="1" x14ac:dyDescent="0.2">
      <c r="A2870" s="11" t="str">
        <f>HYPERLINK("https://assets.vans.eu/images/VN000GK8BR1-HERO/1","VN000GK8BR11")</f>
        <v>VN000GK8BR11</v>
      </c>
      <c r="B2870" s="12" t="s">
        <v>10465</v>
      </c>
      <c r="C2870" s="12" t="s">
        <v>10466</v>
      </c>
      <c r="D2870" s="12" t="s">
        <v>496</v>
      </c>
      <c r="E2870" s="12" t="s">
        <v>10467</v>
      </c>
      <c r="F2870" s="12" t="s">
        <v>78</v>
      </c>
      <c r="G2870" s="14"/>
      <c r="H2870" s="12" t="s">
        <v>79</v>
      </c>
      <c r="I2870" s="12" t="s">
        <v>80</v>
      </c>
      <c r="J2870" s="12" t="s">
        <v>349</v>
      </c>
      <c r="K2870" s="12" t="s">
        <v>82</v>
      </c>
      <c r="L2870" s="14"/>
      <c r="M2870" s="12" t="s">
        <v>43</v>
      </c>
      <c r="N2870" s="12" t="s">
        <v>44</v>
      </c>
      <c r="O2870" s="12" t="s">
        <v>10468</v>
      </c>
      <c r="P2870" s="12" t="s">
        <v>86</v>
      </c>
      <c r="Q2870" s="12" t="s">
        <v>128</v>
      </c>
      <c r="R2870" s="12" t="s">
        <v>352</v>
      </c>
      <c r="S2870" s="13">
        <v>197643554035</v>
      </c>
      <c r="T2870" s="12" t="s">
        <v>143</v>
      </c>
      <c r="U2870" s="12" t="s">
        <v>78</v>
      </c>
      <c r="V2870" s="12" t="s">
        <v>10469</v>
      </c>
      <c r="W2870" s="12" t="s">
        <v>118</v>
      </c>
      <c r="X2870" s="13">
        <v>0</v>
      </c>
      <c r="Y2870" s="12" t="s">
        <v>91</v>
      </c>
      <c r="Z2870" s="12" t="s">
        <v>108</v>
      </c>
      <c r="AA2870" s="13">
        <v>0</v>
      </c>
      <c r="AB2870" s="13">
        <v>0</v>
      </c>
      <c r="AC2870" s="15">
        <v>14.55</v>
      </c>
      <c r="AD2870" s="15">
        <f>AC2870*AG2870</f>
        <v>14.55</v>
      </c>
      <c r="AE2870" s="15">
        <v>32</v>
      </c>
      <c r="AF2870" s="15">
        <f>AE2870*AG2870</f>
        <v>32</v>
      </c>
      <c r="AG2870" s="16">
        <v>1</v>
      </c>
    </row>
    <row r="2871" spans="1:33" ht="15" customHeight="1" x14ac:dyDescent="0.2">
      <c r="A2871" s="11" t="str">
        <f t="shared" si="661"/>
        <v>VN000GM0BLK1</v>
      </c>
      <c r="B2871" s="12" t="s">
        <v>10470</v>
      </c>
      <c r="C2871" s="12" t="s">
        <v>6107</v>
      </c>
      <c r="D2871" s="12" t="s">
        <v>76</v>
      </c>
      <c r="E2871" s="12" t="s">
        <v>10471</v>
      </c>
      <c r="F2871" s="12" t="s">
        <v>853</v>
      </c>
      <c r="G2871" s="14"/>
      <c r="H2871" s="12" t="s">
        <v>79</v>
      </c>
      <c r="I2871" s="12" t="s">
        <v>80</v>
      </c>
      <c r="J2871" s="12" t="s">
        <v>349</v>
      </c>
      <c r="K2871" s="12" t="s">
        <v>82</v>
      </c>
      <c r="L2871" s="14"/>
      <c r="M2871" s="12" t="s">
        <v>43</v>
      </c>
      <c r="N2871" s="12" t="s">
        <v>274</v>
      </c>
      <c r="O2871" s="12" t="s">
        <v>10472</v>
      </c>
      <c r="P2871" s="12" t="s">
        <v>86</v>
      </c>
      <c r="Q2871" s="12" t="s">
        <v>128</v>
      </c>
      <c r="R2871" s="12" t="s">
        <v>352</v>
      </c>
      <c r="S2871" s="13">
        <v>197063478331</v>
      </c>
      <c r="T2871" s="12" t="s">
        <v>235</v>
      </c>
      <c r="U2871" s="12" t="s">
        <v>853</v>
      </c>
      <c r="V2871" s="12" t="s">
        <v>6110</v>
      </c>
      <c r="W2871" s="12" t="s">
        <v>51</v>
      </c>
      <c r="X2871" s="13">
        <v>0</v>
      </c>
      <c r="Y2871" s="12" t="s">
        <v>91</v>
      </c>
      <c r="Z2871" s="12" t="s">
        <v>108</v>
      </c>
      <c r="AA2871" s="13">
        <v>0</v>
      </c>
      <c r="AB2871" s="13">
        <v>0</v>
      </c>
      <c r="AC2871" s="15">
        <v>21.85</v>
      </c>
      <c r="AD2871" s="15">
        <f>AC2871*AG2871</f>
        <v>21.85</v>
      </c>
      <c r="AE2871" s="15">
        <v>48</v>
      </c>
      <c r="AF2871" s="15">
        <f>AE2871*AG2871</f>
        <v>48</v>
      </c>
      <c r="AG2871" s="16">
        <v>1</v>
      </c>
    </row>
    <row r="2872" spans="1:33" ht="15" customHeight="1" x14ac:dyDescent="0.2">
      <c r="A2872" s="11" t="str">
        <f>HYPERLINK("https://assets.vans.eu/images/VN000GMX161-HERO/1","VN000GMX1611")</f>
        <v>VN000GMX1611</v>
      </c>
      <c r="B2872" s="12" t="s">
        <v>10473</v>
      </c>
      <c r="C2872" s="12" t="s">
        <v>10474</v>
      </c>
      <c r="D2872" s="12" t="s">
        <v>10475</v>
      </c>
      <c r="E2872" s="12" t="s">
        <v>10476</v>
      </c>
      <c r="F2872" s="12" t="s">
        <v>78</v>
      </c>
      <c r="G2872" s="14"/>
      <c r="H2872" s="12" t="s">
        <v>79</v>
      </c>
      <c r="I2872" s="12" t="s">
        <v>80</v>
      </c>
      <c r="J2872" s="12" t="s">
        <v>99</v>
      </c>
      <c r="K2872" s="12" t="s">
        <v>82</v>
      </c>
      <c r="L2872" s="14"/>
      <c r="M2872" s="12" t="s">
        <v>43</v>
      </c>
      <c r="N2872" s="12" t="s">
        <v>161</v>
      </c>
      <c r="O2872" s="12" t="s">
        <v>10477</v>
      </c>
      <c r="P2872" s="12" t="s">
        <v>86</v>
      </c>
      <c r="Q2872" s="12" t="s">
        <v>716</v>
      </c>
      <c r="R2872" s="12" t="s">
        <v>717</v>
      </c>
      <c r="S2872" s="13">
        <v>197065711313</v>
      </c>
      <c r="T2872" s="12" t="s">
        <v>143</v>
      </c>
      <c r="U2872" s="12" t="s">
        <v>78</v>
      </c>
      <c r="V2872" s="12" t="s">
        <v>10478</v>
      </c>
      <c r="W2872" s="12" t="s">
        <v>186</v>
      </c>
      <c r="X2872" s="13">
        <v>0</v>
      </c>
      <c r="Y2872" s="12" t="s">
        <v>53</v>
      </c>
      <c r="Z2872" s="12" t="s">
        <v>108</v>
      </c>
      <c r="AA2872" s="13">
        <v>0</v>
      </c>
      <c r="AB2872" s="13">
        <v>0</v>
      </c>
      <c r="AC2872" s="15">
        <v>25</v>
      </c>
      <c r="AD2872" s="15">
        <f>AC2872*AG2872</f>
        <v>25</v>
      </c>
      <c r="AE2872" s="15">
        <v>55</v>
      </c>
      <c r="AF2872" s="15">
        <f>AE2872*AG2872</f>
        <v>55</v>
      </c>
      <c r="AG2872" s="16">
        <v>1</v>
      </c>
    </row>
    <row r="2873" spans="1:33" ht="15" customHeight="1" x14ac:dyDescent="0.2">
      <c r="A2873" s="11" t="str">
        <f>HYPERLINK("https://assets.vans.eu/images/VN000GMXEHC-HERO/1","VN000GMXEHC1")</f>
        <v>VN000GMXEHC1</v>
      </c>
      <c r="B2873" s="12" t="s">
        <v>10479</v>
      </c>
      <c r="C2873" s="12" t="s">
        <v>10474</v>
      </c>
      <c r="D2873" s="12" t="s">
        <v>6259</v>
      </c>
      <c r="E2873" s="12" t="s">
        <v>10480</v>
      </c>
      <c r="F2873" s="12" t="s">
        <v>78</v>
      </c>
      <c r="G2873" s="14"/>
      <c r="H2873" s="12" t="s">
        <v>79</v>
      </c>
      <c r="I2873" s="12" t="s">
        <v>80</v>
      </c>
      <c r="J2873" s="12" t="s">
        <v>99</v>
      </c>
      <c r="K2873" s="12" t="s">
        <v>82</v>
      </c>
      <c r="L2873" s="14"/>
      <c r="M2873" s="12" t="s">
        <v>43</v>
      </c>
      <c r="N2873" s="12" t="s">
        <v>274</v>
      </c>
      <c r="O2873" s="12" t="s">
        <v>10481</v>
      </c>
      <c r="P2873" s="12" t="s">
        <v>86</v>
      </c>
      <c r="Q2873" s="12" t="s">
        <v>716</v>
      </c>
      <c r="R2873" s="12" t="s">
        <v>717</v>
      </c>
      <c r="S2873" s="13">
        <v>197063463993</v>
      </c>
      <c r="T2873" s="12" t="s">
        <v>143</v>
      </c>
      <c r="U2873" s="12" t="s">
        <v>78</v>
      </c>
      <c r="V2873" s="12" t="s">
        <v>10478</v>
      </c>
      <c r="W2873" s="12" t="s">
        <v>51</v>
      </c>
      <c r="X2873" s="13">
        <v>0</v>
      </c>
      <c r="Y2873" s="12" t="s">
        <v>53</v>
      </c>
      <c r="Z2873" s="12" t="s">
        <v>108</v>
      </c>
      <c r="AA2873" s="13">
        <v>0</v>
      </c>
      <c r="AB2873" s="13">
        <v>0</v>
      </c>
      <c r="AC2873" s="15">
        <v>25</v>
      </c>
      <c r="AD2873" s="15">
        <f>AC2873*AG2873</f>
        <v>25</v>
      </c>
      <c r="AE2873" s="15">
        <v>55</v>
      </c>
      <c r="AF2873" s="15">
        <f>AE2873*AG2873</f>
        <v>55</v>
      </c>
      <c r="AG2873" s="16">
        <v>1</v>
      </c>
    </row>
    <row r="2874" spans="1:33" ht="15" customHeight="1" x14ac:dyDescent="0.2">
      <c r="A2874" s="11" t="str">
        <f t="shared" si="662"/>
        <v>VN000GNDBLK1</v>
      </c>
      <c r="B2874" s="12" t="s">
        <v>10482</v>
      </c>
      <c r="C2874" s="12" t="s">
        <v>6121</v>
      </c>
      <c r="D2874" s="12" t="s">
        <v>76</v>
      </c>
      <c r="E2874" s="12" t="s">
        <v>10483</v>
      </c>
      <c r="F2874" s="13">
        <v>16</v>
      </c>
      <c r="G2874" s="14"/>
      <c r="H2874" s="12" t="s">
        <v>79</v>
      </c>
      <c r="I2874" s="12" t="s">
        <v>125</v>
      </c>
      <c r="J2874" s="12" t="s">
        <v>139</v>
      </c>
      <c r="K2874" s="12" t="s">
        <v>41</v>
      </c>
      <c r="L2874" s="14"/>
      <c r="M2874" s="12" t="s">
        <v>43</v>
      </c>
      <c r="N2874" s="12" t="s">
        <v>274</v>
      </c>
      <c r="O2874" s="12" t="s">
        <v>10484</v>
      </c>
      <c r="P2874" s="12" t="s">
        <v>86</v>
      </c>
      <c r="Q2874" s="12" t="s">
        <v>141</v>
      </c>
      <c r="R2874" s="12" t="s">
        <v>142</v>
      </c>
      <c r="S2874" s="13">
        <v>197063498964</v>
      </c>
      <c r="T2874" s="12" t="s">
        <v>143</v>
      </c>
      <c r="U2874" s="13">
        <v>16</v>
      </c>
      <c r="V2874" s="12" t="s">
        <v>6124</v>
      </c>
      <c r="W2874" s="12" t="s">
        <v>51</v>
      </c>
      <c r="X2874" s="13">
        <v>0</v>
      </c>
      <c r="Y2874" s="12" t="s">
        <v>91</v>
      </c>
      <c r="Z2874" s="12" t="s">
        <v>108</v>
      </c>
      <c r="AA2874" s="13">
        <v>0</v>
      </c>
      <c r="AB2874" s="13">
        <v>0</v>
      </c>
      <c r="AC2874" s="15">
        <v>10.95</v>
      </c>
      <c r="AD2874" s="15">
        <f>AC2874*AG2874</f>
        <v>10.95</v>
      </c>
      <c r="AE2874" s="15">
        <v>24</v>
      </c>
      <c r="AF2874" s="15">
        <f>AE2874*AG2874</f>
        <v>24</v>
      </c>
      <c r="AG2874" s="16">
        <v>1</v>
      </c>
    </row>
    <row r="2875" spans="1:33" ht="15" customHeight="1" x14ac:dyDescent="0.2">
      <c r="A2875" s="11" t="str">
        <f>HYPERLINK("https://assets.vans.eu/images/VN000GNKCIF-HERO/1","VN000GNKCIF1")</f>
        <v>VN000GNKCIF1</v>
      </c>
      <c r="B2875" s="12" t="s">
        <v>10485</v>
      </c>
      <c r="C2875" s="12" t="s">
        <v>4463</v>
      </c>
      <c r="D2875" s="12" t="s">
        <v>7618</v>
      </c>
      <c r="E2875" s="12" t="s">
        <v>10486</v>
      </c>
      <c r="F2875" s="13">
        <v>16</v>
      </c>
      <c r="G2875" s="14"/>
      <c r="H2875" s="12" t="s">
        <v>79</v>
      </c>
      <c r="I2875" s="12" t="s">
        <v>125</v>
      </c>
      <c r="J2875" s="12" t="s">
        <v>139</v>
      </c>
      <c r="K2875" s="12" t="s">
        <v>41</v>
      </c>
      <c r="L2875" s="14"/>
      <c r="M2875" s="12" t="s">
        <v>43</v>
      </c>
      <c r="N2875" s="12" t="s">
        <v>161</v>
      </c>
      <c r="O2875" s="12" t="s">
        <v>10487</v>
      </c>
      <c r="P2875" s="12" t="s">
        <v>86</v>
      </c>
      <c r="Q2875" s="12" t="s">
        <v>141</v>
      </c>
      <c r="R2875" s="12" t="s">
        <v>142</v>
      </c>
      <c r="S2875" s="13">
        <v>197065711344</v>
      </c>
      <c r="T2875" s="12" t="s">
        <v>143</v>
      </c>
      <c r="U2875" s="13">
        <v>16</v>
      </c>
      <c r="V2875" s="12" t="s">
        <v>4466</v>
      </c>
      <c r="W2875" s="12" t="s">
        <v>107</v>
      </c>
      <c r="X2875" s="13">
        <v>0</v>
      </c>
      <c r="Y2875" s="12" t="s">
        <v>91</v>
      </c>
      <c r="Z2875" s="12" t="s">
        <v>108</v>
      </c>
      <c r="AA2875" s="13">
        <v>0</v>
      </c>
      <c r="AB2875" s="13">
        <v>0</v>
      </c>
      <c r="AC2875" s="15">
        <v>8.1999999999999993</v>
      </c>
      <c r="AD2875" s="15">
        <f>AC2875*AG2875</f>
        <v>8.1999999999999993</v>
      </c>
      <c r="AE2875" s="15">
        <v>18</v>
      </c>
      <c r="AF2875" s="15">
        <f>AE2875*AG2875</f>
        <v>18</v>
      </c>
      <c r="AG2875" s="16">
        <v>1</v>
      </c>
    </row>
    <row r="2876" spans="1:33" ht="15" customHeight="1" x14ac:dyDescent="0.2">
      <c r="A2876" s="11" t="str">
        <f t="shared" si="663"/>
        <v>VN000HMSE8A1</v>
      </c>
      <c r="B2876" s="12" t="s">
        <v>10488</v>
      </c>
      <c r="C2876" s="12" t="s">
        <v>6130</v>
      </c>
      <c r="D2876" s="12" t="s">
        <v>6131</v>
      </c>
      <c r="E2876" s="12" t="s">
        <v>10489</v>
      </c>
      <c r="F2876" s="13">
        <v>659</v>
      </c>
      <c r="G2876" s="14"/>
      <c r="H2876" s="12" t="s">
        <v>79</v>
      </c>
      <c r="I2876" s="12" t="s">
        <v>80</v>
      </c>
      <c r="J2876" s="12" t="s">
        <v>171</v>
      </c>
      <c r="K2876" s="12" t="s">
        <v>199</v>
      </c>
      <c r="L2876" s="14"/>
      <c r="M2876" s="12" t="s">
        <v>43</v>
      </c>
      <c r="N2876" s="12" t="s">
        <v>161</v>
      </c>
      <c r="O2876" s="12" t="s">
        <v>10490</v>
      </c>
      <c r="P2876" s="12" t="s">
        <v>86</v>
      </c>
      <c r="Q2876" s="12" t="s">
        <v>141</v>
      </c>
      <c r="R2876" s="12" t="s">
        <v>173</v>
      </c>
      <c r="S2876" s="13">
        <v>197065820121</v>
      </c>
      <c r="T2876" s="12" t="s">
        <v>143</v>
      </c>
      <c r="U2876" s="12" t="s">
        <v>2023</v>
      </c>
      <c r="V2876" s="12" t="s">
        <v>6134</v>
      </c>
      <c r="W2876" s="12" t="s">
        <v>284</v>
      </c>
      <c r="X2876" s="13">
        <v>0</v>
      </c>
      <c r="Y2876" s="12" t="s">
        <v>1011</v>
      </c>
      <c r="Z2876" s="12" t="s">
        <v>6135</v>
      </c>
      <c r="AA2876" s="13">
        <v>0</v>
      </c>
      <c r="AB2876" s="13">
        <v>0</v>
      </c>
      <c r="AC2876" s="15">
        <v>9.1</v>
      </c>
      <c r="AD2876" s="15">
        <f>AC2876*AG2876</f>
        <v>9.1</v>
      </c>
      <c r="AE2876" s="15">
        <v>20</v>
      </c>
      <c r="AF2876" s="15">
        <f>AE2876*AG2876</f>
        <v>20</v>
      </c>
      <c r="AG2876" s="16">
        <v>1</v>
      </c>
    </row>
    <row r="2877" spans="1:33" ht="15" customHeight="1" x14ac:dyDescent="0.2">
      <c r="A2877" s="11" t="str">
        <f>HYPERLINK("https://assets.vans.eu/images/VN000HSRLKZ-HERO/1","VN000HSRLKZ1")</f>
        <v>VN000HSRLKZ1</v>
      </c>
      <c r="B2877" s="12" t="s">
        <v>10491</v>
      </c>
      <c r="C2877" s="12" t="s">
        <v>7608</v>
      </c>
      <c r="D2877" s="12" t="s">
        <v>1213</v>
      </c>
      <c r="E2877" s="12" t="s">
        <v>10492</v>
      </c>
      <c r="F2877" s="12" t="s">
        <v>78</v>
      </c>
      <c r="G2877" s="14"/>
      <c r="H2877" s="12" t="s">
        <v>79</v>
      </c>
      <c r="I2877" s="12" t="s">
        <v>80</v>
      </c>
      <c r="J2877" s="12" t="s">
        <v>349</v>
      </c>
      <c r="K2877" s="12" t="s">
        <v>82</v>
      </c>
      <c r="L2877" s="14"/>
      <c r="M2877" s="12" t="s">
        <v>43</v>
      </c>
      <c r="N2877" s="12" t="s">
        <v>161</v>
      </c>
      <c r="O2877" s="12" t="s">
        <v>10493</v>
      </c>
      <c r="P2877" s="12" t="s">
        <v>86</v>
      </c>
      <c r="Q2877" s="12" t="s">
        <v>128</v>
      </c>
      <c r="R2877" s="12" t="s">
        <v>352</v>
      </c>
      <c r="S2877" s="13">
        <v>197065461843</v>
      </c>
      <c r="T2877" s="12" t="s">
        <v>1065</v>
      </c>
      <c r="U2877" s="12" t="s">
        <v>78</v>
      </c>
      <c r="V2877" s="12" t="s">
        <v>3343</v>
      </c>
      <c r="W2877" s="12" t="s">
        <v>284</v>
      </c>
      <c r="X2877" s="13">
        <v>0</v>
      </c>
      <c r="Y2877" s="12" t="s">
        <v>53</v>
      </c>
      <c r="Z2877" s="12" t="s">
        <v>108</v>
      </c>
      <c r="AA2877" s="13">
        <v>0</v>
      </c>
      <c r="AB2877" s="13">
        <v>0</v>
      </c>
      <c r="AC2877" s="15">
        <v>13.65</v>
      </c>
      <c r="AD2877" s="15">
        <f>AC2877*AG2877</f>
        <v>13.65</v>
      </c>
      <c r="AE2877" s="15">
        <v>30</v>
      </c>
      <c r="AF2877" s="15">
        <f>AE2877*AG2877</f>
        <v>30</v>
      </c>
      <c r="AG2877" s="16">
        <v>1</v>
      </c>
    </row>
    <row r="2878" spans="1:33" ht="15" customHeight="1" x14ac:dyDescent="0.2">
      <c r="A2878" s="11" t="str">
        <f>HYPERLINK("https://assets.vans.eu/images/VN000HST9JC-HERO/1","VN000HST9JC1")</f>
        <v>VN000HST9JC1</v>
      </c>
      <c r="B2878" s="12" t="s">
        <v>10494</v>
      </c>
      <c r="C2878" s="12" t="s">
        <v>10495</v>
      </c>
      <c r="D2878" s="12" t="s">
        <v>4481</v>
      </c>
      <c r="E2878" s="12" t="s">
        <v>10496</v>
      </c>
      <c r="F2878" s="12" t="s">
        <v>78</v>
      </c>
      <c r="G2878" s="14"/>
      <c r="H2878" s="12" t="s">
        <v>79</v>
      </c>
      <c r="I2878" s="12" t="s">
        <v>80</v>
      </c>
      <c r="J2878" s="12" t="s">
        <v>349</v>
      </c>
      <c r="K2878" s="12" t="s">
        <v>82</v>
      </c>
      <c r="L2878" s="14"/>
      <c r="M2878" s="12" t="s">
        <v>43</v>
      </c>
      <c r="N2878" s="12" t="s">
        <v>161</v>
      </c>
      <c r="O2878" s="12" t="s">
        <v>10497</v>
      </c>
      <c r="P2878" s="12" t="s">
        <v>86</v>
      </c>
      <c r="Q2878" s="12" t="s">
        <v>128</v>
      </c>
      <c r="R2878" s="12" t="s">
        <v>352</v>
      </c>
      <c r="S2878" s="13">
        <v>197065461751</v>
      </c>
      <c r="T2878" s="12" t="s">
        <v>1065</v>
      </c>
      <c r="U2878" s="12" t="s">
        <v>78</v>
      </c>
      <c r="V2878" s="12" t="s">
        <v>3343</v>
      </c>
      <c r="W2878" s="12" t="s">
        <v>186</v>
      </c>
      <c r="X2878" s="13">
        <v>0</v>
      </c>
      <c r="Y2878" s="12" t="s">
        <v>53</v>
      </c>
      <c r="Z2878" s="12" t="s">
        <v>108</v>
      </c>
      <c r="AA2878" s="13">
        <v>0</v>
      </c>
      <c r="AB2878" s="13">
        <v>0</v>
      </c>
      <c r="AC2878" s="15">
        <v>14.55</v>
      </c>
      <c r="AD2878" s="15">
        <f>AC2878*AG2878</f>
        <v>14.55</v>
      </c>
      <c r="AE2878" s="15">
        <v>32</v>
      </c>
      <c r="AF2878" s="15">
        <f>AE2878*AG2878</f>
        <v>32</v>
      </c>
      <c r="AG2878" s="16">
        <v>1</v>
      </c>
    </row>
    <row r="2879" spans="1:33" ht="15" customHeight="1" x14ac:dyDescent="0.2">
      <c r="A2879" s="11" t="str">
        <f>HYPERLINK("https://assets.vans.eu/images/VN000HSTBLK-HERO/1","VN000HSTBLK1")</f>
        <v>VN000HSTBLK1</v>
      </c>
      <c r="B2879" s="12" t="s">
        <v>10498</v>
      </c>
      <c r="C2879" s="12" t="s">
        <v>10495</v>
      </c>
      <c r="D2879" s="12" t="s">
        <v>76</v>
      </c>
      <c r="E2879" s="12" t="s">
        <v>10499</v>
      </c>
      <c r="F2879" s="12" t="s">
        <v>78</v>
      </c>
      <c r="G2879" s="14"/>
      <c r="H2879" s="12" t="s">
        <v>79</v>
      </c>
      <c r="I2879" s="12" t="s">
        <v>80</v>
      </c>
      <c r="J2879" s="12" t="s">
        <v>349</v>
      </c>
      <c r="K2879" s="12" t="s">
        <v>82</v>
      </c>
      <c r="L2879" s="14"/>
      <c r="M2879" s="12" t="s">
        <v>43</v>
      </c>
      <c r="N2879" s="12" t="s">
        <v>161</v>
      </c>
      <c r="O2879" s="12" t="s">
        <v>10500</v>
      </c>
      <c r="P2879" s="12" t="s">
        <v>86</v>
      </c>
      <c r="Q2879" s="12" t="s">
        <v>128</v>
      </c>
      <c r="R2879" s="12" t="s">
        <v>352</v>
      </c>
      <c r="S2879" s="13">
        <v>197065461850</v>
      </c>
      <c r="T2879" s="12" t="s">
        <v>1065</v>
      </c>
      <c r="U2879" s="12" t="s">
        <v>78</v>
      </c>
      <c r="V2879" s="12" t="s">
        <v>3343</v>
      </c>
      <c r="W2879" s="12" t="s">
        <v>51</v>
      </c>
      <c r="X2879" s="13">
        <v>0</v>
      </c>
      <c r="Y2879" s="12" t="s">
        <v>53</v>
      </c>
      <c r="Z2879" s="12" t="s">
        <v>108</v>
      </c>
      <c r="AA2879" s="13">
        <v>0</v>
      </c>
      <c r="AB2879" s="13">
        <v>0</v>
      </c>
      <c r="AC2879" s="15">
        <v>14.55</v>
      </c>
      <c r="AD2879" s="15">
        <f>AC2879*AG2879</f>
        <v>14.55</v>
      </c>
      <c r="AE2879" s="15">
        <v>32</v>
      </c>
      <c r="AF2879" s="15">
        <f>AE2879*AG2879</f>
        <v>32</v>
      </c>
      <c r="AG2879" s="16">
        <v>1</v>
      </c>
    </row>
    <row r="2880" spans="1:33" ht="15" customHeight="1" x14ac:dyDescent="0.2">
      <c r="A2880" s="11" t="str">
        <f>HYPERLINK("https://assets.vans.eu/images/VN000HSZD40-HERO/1","VN000HSZD401")</f>
        <v>VN000HSZD401</v>
      </c>
      <c r="B2880" s="12" t="s">
        <v>10501</v>
      </c>
      <c r="C2880" s="12" t="s">
        <v>7612</v>
      </c>
      <c r="D2880" s="12" t="s">
        <v>7834</v>
      </c>
      <c r="E2880" s="12" t="s">
        <v>10502</v>
      </c>
      <c r="F2880" s="12" t="s">
        <v>78</v>
      </c>
      <c r="G2880" s="14"/>
      <c r="H2880" s="12" t="s">
        <v>79</v>
      </c>
      <c r="I2880" s="12" t="s">
        <v>80</v>
      </c>
      <c r="J2880" s="12" t="s">
        <v>349</v>
      </c>
      <c r="K2880" s="12" t="s">
        <v>82</v>
      </c>
      <c r="L2880" s="14"/>
      <c r="M2880" s="12" t="s">
        <v>43</v>
      </c>
      <c r="N2880" s="12" t="s">
        <v>161</v>
      </c>
      <c r="O2880" s="12" t="s">
        <v>10503</v>
      </c>
      <c r="P2880" s="12" t="s">
        <v>86</v>
      </c>
      <c r="Q2880" s="12" t="s">
        <v>128</v>
      </c>
      <c r="R2880" s="12" t="s">
        <v>352</v>
      </c>
      <c r="S2880" s="13">
        <v>197065461966</v>
      </c>
      <c r="T2880" s="12" t="s">
        <v>164</v>
      </c>
      <c r="U2880" s="12" t="s">
        <v>78</v>
      </c>
      <c r="V2880" s="12" t="s">
        <v>7615</v>
      </c>
      <c r="W2880" s="12" t="s">
        <v>933</v>
      </c>
      <c r="X2880" s="13">
        <v>0</v>
      </c>
      <c r="Y2880" s="12" t="s">
        <v>91</v>
      </c>
      <c r="Z2880" s="12" t="s">
        <v>108</v>
      </c>
      <c r="AA2880" s="13">
        <v>0</v>
      </c>
      <c r="AB2880" s="13">
        <v>0</v>
      </c>
      <c r="AC2880" s="15">
        <v>13.65</v>
      </c>
      <c r="AD2880" s="15">
        <f>AC2880*AG2880</f>
        <v>13.65</v>
      </c>
      <c r="AE2880" s="15">
        <v>30</v>
      </c>
      <c r="AF2880" s="15">
        <f>AE2880*AG2880</f>
        <v>30</v>
      </c>
      <c r="AG2880" s="16">
        <v>1</v>
      </c>
    </row>
    <row r="2881" spans="1:33" ht="15" customHeight="1" x14ac:dyDescent="0.2">
      <c r="A2881" s="11" t="str">
        <f>HYPERLINK("https://assets.vans.eu/images/VN000HT2CUQ-HERO/1","VN000HT2CUQ1")</f>
        <v>VN000HT2CUQ1</v>
      </c>
      <c r="B2881" s="12" t="s">
        <v>10504</v>
      </c>
      <c r="C2881" s="12" t="s">
        <v>10505</v>
      </c>
      <c r="D2881" s="12" t="s">
        <v>6526</v>
      </c>
      <c r="E2881" s="12" t="s">
        <v>10506</v>
      </c>
      <c r="F2881" s="13">
        <v>659</v>
      </c>
      <c r="G2881" s="14"/>
      <c r="H2881" s="12" t="s">
        <v>79</v>
      </c>
      <c r="I2881" s="12" t="s">
        <v>80</v>
      </c>
      <c r="J2881" s="12" t="s">
        <v>171</v>
      </c>
      <c r="K2881" s="12" t="s">
        <v>199</v>
      </c>
      <c r="L2881" s="14"/>
      <c r="M2881" s="12" t="s">
        <v>43</v>
      </c>
      <c r="N2881" s="12" t="s">
        <v>161</v>
      </c>
      <c r="O2881" s="12" t="s">
        <v>10507</v>
      </c>
      <c r="P2881" s="12" t="s">
        <v>86</v>
      </c>
      <c r="Q2881" s="12" t="s">
        <v>141</v>
      </c>
      <c r="R2881" s="12" t="s">
        <v>173</v>
      </c>
      <c r="S2881" s="13">
        <v>197065503154</v>
      </c>
      <c r="T2881" s="12" t="s">
        <v>143</v>
      </c>
      <c r="U2881" s="12" t="s">
        <v>2023</v>
      </c>
      <c r="V2881" s="12" t="s">
        <v>10508</v>
      </c>
      <c r="W2881" s="12" t="s">
        <v>118</v>
      </c>
      <c r="X2881" s="13">
        <v>0</v>
      </c>
      <c r="Y2881" s="12" t="s">
        <v>91</v>
      </c>
      <c r="Z2881" s="12" t="s">
        <v>108</v>
      </c>
      <c r="AA2881" s="13">
        <v>0</v>
      </c>
      <c r="AB2881" s="13">
        <v>0</v>
      </c>
      <c r="AC2881" s="15">
        <v>8.1999999999999993</v>
      </c>
      <c r="AD2881" s="15">
        <f>AC2881*AG2881</f>
        <v>8.1999999999999993</v>
      </c>
      <c r="AE2881" s="15">
        <v>18</v>
      </c>
      <c r="AF2881" s="15">
        <f>AE2881*AG2881</f>
        <v>18</v>
      </c>
      <c r="AG2881" s="16">
        <v>1</v>
      </c>
    </row>
    <row r="2882" spans="1:33" ht="15" customHeight="1" x14ac:dyDescent="0.2">
      <c r="A2882" s="11" t="str">
        <f t="shared" si="549"/>
        <v>VN000JEQBLK1</v>
      </c>
      <c r="B2882" s="12" t="s">
        <v>10509</v>
      </c>
      <c r="C2882" s="12" t="s">
        <v>5140</v>
      </c>
      <c r="D2882" s="12" t="s">
        <v>76</v>
      </c>
      <c r="E2882" s="12" t="s">
        <v>10510</v>
      </c>
      <c r="F2882" s="13">
        <v>659</v>
      </c>
      <c r="G2882" s="14"/>
      <c r="H2882" s="12" t="s">
        <v>79</v>
      </c>
      <c r="I2882" s="12" t="s">
        <v>80</v>
      </c>
      <c r="J2882" s="12" t="s">
        <v>171</v>
      </c>
      <c r="K2882" s="12" t="s">
        <v>199</v>
      </c>
      <c r="L2882" s="14"/>
      <c r="M2882" s="12" t="s">
        <v>43</v>
      </c>
      <c r="N2882" s="12" t="s">
        <v>44</v>
      </c>
      <c r="O2882" s="12" t="s">
        <v>10511</v>
      </c>
      <c r="P2882" s="12" t="s">
        <v>86</v>
      </c>
      <c r="Q2882" s="12" t="s">
        <v>141</v>
      </c>
      <c r="R2882" s="12" t="s">
        <v>173</v>
      </c>
      <c r="S2882" s="13">
        <v>197065492359</v>
      </c>
      <c r="T2882" s="12" t="s">
        <v>143</v>
      </c>
      <c r="U2882" s="12" t="s">
        <v>2023</v>
      </c>
      <c r="V2882" s="12" t="s">
        <v>5143</v>
      </c>
      <c r="W2882" s="12" t="s">
        <v>51</v>
      </c>
      <c r="X2882" s="13">
        <v>0</v>
      </c>
      <c r="Y2882" s="12" t="s">
        <v>91</v>
      </c>
      <c r="Z2882" s="12" t="s">
        <v>108</v>
      </c>
      <c r="AA2882" s="13">
        <v>0</v>
      </c>
      <c r="AB2882" s="13">
        <v>0</v>
      </c>
      <c r="AC2882" s="15">
        <v>10</v>
      </c>
      <c r="AD2882" s="15">
        <f>AC2882*AG2882</f>
        <v>10</v>
      </c>
      <c r="AE2882" s="15">
        <v>22</v>
      </c>
      <c r="AF2882" s="15">
        <f>AE2882*AG2882</f>
        <v>22</v>
      </c>
      <c r="AG2882" s="16">
        <v>1</v>
      </c>
    </row>
    <row r="2883" spans="1:33" ht="15" customHeight="1" x14ac:dyDescent="0.2">
      <c r="A2883" s="11" t="str">
        <f>HYPERLINK("https://assets.vans.eu/images/VN000K9YHTG-HERO/1","VN000K9YHTG1")</f>
        <v>VN000K9YHTG1</v>
      </c>
      <c r="B2883" s="12" t="s">
        <v>10512</v>
      </c>
      <c r="C2883" s="12" t="s">
        <v>520</v>
      </c>
      <c r="D2883" s="12" t="s">
        <v>451</v>
      </c>
      <c r="E2883" s="12" t="s">
        <v>10513</v>
      </c>
      <c r="F2883" s="12" t="s">
        <v>78</v>
      </c>
      <c r="G2883" s="14"/>
      <c r="H2883" s="12" t="s">
        <v>79</v>
      </c>
      <c r="I2883" s="12" t="s">
        <v>80</v>
      </c>
      <c r="J2883" s="12" t="s">
        <v>349</v>
      </c>
      <c r="K2883" s="12" t="s">
        <v>199</v>
      </c>
      <c r="L2883" s="14"/>
      <c r="M2883" s="12" t="s">
        <v>43</v>
      </c>
      <c r="N2883" s="12" t="s">
        <v>44</v>
      </c>
      <c r="O2883" s="12" t="s">
        <v>10514</v>
      </c>
      <c r="P2883" s="12" t="s">
        <v>86</v>
      </c>
      <c r="Q2883" s="12" t="s">
        <v>128</v>
      </c>
      <c r="R2883" s="12" t="s">
        <v>352</v>
      </c>
      <c r="S2883" s="13">
        <v>827399398941</v>
      </c>
      <c r="T2883" s="12" t="s">
        <v>130</v>
      </c>
      <c r="U2883" s="12" t="s">
        <v>78</v>
      </c>
      <c r="V2883" s="12" t="s">
        <v>524</v>
      </c>
      <c r="W2883" s="12" t="s">
        <v>455</v>
      </c>
      <c r="X2883" s="13">
        <v>0</v>
      </c>
      <c r="Y2883" s="12" t="s">
        <v>91</v>
      </c>
      <c r="Z2883" s="12" t="s">
        <v>108</v>
      </c>
      <c r="AA2883" s="13">
        <v>0</v>
      </c>
      <c r="AB2883" s="13">
        <v>0</v>
      </c>
      <c r="AC2883" s="15">
        <v>11.85</v>
      </c>
      <c r="AD2883" s="15">
        <f>AC2883*AG2883</f>
        <v>11.85</v>
      </c>
      <c r="AE2883" s="15">
        <v>26</v>
      </c>
      <c r="AF2883" s="15">
        <f>AE2883*AG2883</f>
        <v>26</v>
      </c>
      <c r="AG2883" s="16">
        <v>1</v>
      </c>
    </row>
    <row r="2884" spans="1:33" ht="15" customHeight="1" x14ac:dyDescent="0.2">
      <c r="A2884" s="11" t="str">
        <f>HYPERLINK("https://assets.vans.eu/images/VN000KXQCI2-HERO/1","VN000KXQCI21")</f>
        <v>VN000KXQCI21</v>
      </c>
      <c r="B2884" s="12" t="s">
        <v>10515</v>
      </c>
      <c r="C2884" s="12" t="s">
        <v>10516</v>
      </c>
      <c r="D2884" s="12" t="s">
        <v>2499</v>
      </c>
      <c r="E2884" s="12" t="s">
        <v>10517</v>
      </c>
      <c r="F2884" s="13">
        <v>659</v>
      </c>
      <c r="G2884" s="14"/>
      <c r="H2884" s="12" t="s">
        <v>79</v>
      </c>
      <c r="I2884" s="12" t="s">
        <v>80</v>
      </c>
      <c r="J2884" s="12" t="s">
        <v>171</v>
      </c>
      <c r="K2884" s="12" t="s">
        <v>199</v>
      </c>
      <c r="L2884" s="14"/>
      <c r="M2884" s="12" t="s">
        <v>43</v>
      </c>
      <c r="N2884" s="12" t="s">
        <v>44</v>
      </c>
      <c r="O2884" s="12" t="s">
        <v>10518</v>
      </c>
      <c r="P2884" s="12" t="s">
        <v>86</v>
      </c>
      <c r="Q2884" s="12" t="s">
        <v>141</v>
      </c>
      <c r="R2884" s="12" t="s">
        <v>173</v>
      </c>
      <c r="S2884" s="13">
        <v>197643536475</v>
      </c>
      <c r="T2884" s="12" t="s">
        <v>143</v>
      </c>
      <c r="U2884" s="12" t="s">
        <v>2023</v>
      </c>
      <c r="V2884" s="12" t="s">
        <v>10519</v>
      </c>
      <c r="W2884" s="12" t="s">
        <v>118</v>
      </c>
      <c r="X2884" s="13">
        <v>0</v>
      </c>
      <c r="Y2884" s="12" t="s">
        <v>91</v>
      </c>
      <c r="Z2884" s="12" t="s">
        <v>108</v>
      </c>
      <c r="AA2884" s="13">
        <v>0</v>
      </c>
      <c r="AB2884" s="13">
        <v>0</v>
      </c>
      <c r="AC2884" s="15">
        <v>9.1</v>
      </c>
      <c r="AD2884" s="15">
        <f>AC2884*AG2884</f>
        <v>9.1</v>
      </c>
      <c r="AE2884" s="15">
        <v>20</v>
      </c>
      <c r="AF2884" s="15">
        <f>AE2884*AG2884</f>
        <v>20</v>
      </c>
      <c r="AG2884" s="16">
        <v>1</v>
      </c>
    </row>
    <row r="2885" spans="1:33" ht="15" customHeight="1" x14ac:dyDescent="0.2">
      <c r="A2885" s="11" t="str">
        <f>HYPERLINK("https://assets.vans.eu/images/VN000LC0CVS-HERO/1","VN000LC0CVS1")</f>
        <v>VN000LC0CVS1</v>
      </c>
      <c r="B2885" s="12" t="s">
        <v>10520</v>
      </c>
      <c r="C2885" s="12" t="s">
        <v>712</v>
      </c>
      <c r="D2885" s="12" t="s">
        <v>10521</v>
      </c>
      <c r="E2885" s="12" t="s">
        <v>10522</v>
      </c>
      <c r="F2885" s="12" t="s">
        <v>78</v>
      </c>
      <c r="G2885" s="14"/>
      <c r="H2885" s="12" t="s">
        <v>79</v>
      </c>
      <c r="I2885" s="12" t="s">
        <v>80</v>
      </c>
      <c r="J2885" s="12" t="s">
        <v>99</v>
      </c>
      <c r="K2885" s="12" t="s">
        <v>199</v>
      </c>
      <c r="L2885" s="12" t="s">
        <v>872</v>
      </c>
      <c r="M2885" s="12" t="s">
        <v>43</v>
      </c>
      <c r="N2885" s="12" t="s">
        <v>10523</v>
      </c>
      <c r="O2885" s="12" t="s">
        <v>10524</v>
      </c>
      <c r="P2885" s="12" t="s">
        <v>86</v>
      </c>
      <c r="Q2885" s="12" t="s">
        <v>716</v>
      </c>
      <c r="R2885" s="12" t="s">
        <v>717</v>
      </c>
      <c r="S2885" s="13">
        <v>827399407018</v>
      </c>
      <c r="T2885" s="12" t="s">
        <v>143</v>
      </c>
      <c r="U2885" s="12" t="s">
        <v>78</v>
      </c>
      <c r="V2885" s="13">
        <v>0</v>
      </c>
      <c r="W2885" s="13">
        <v>0</v>
      </c>
      <c r="X2885" s="14"/>
      <c r="Y2885" s="14"/>
      <c r="Z2885" s="14"/>
      <c r="AA2885" s="14"/>
      <c r="AB2885" s="14"/>
      <c r="AC2885" s="15">
        <v>0</v>
      </c>
      <c r="AD2885" s="15">
        <f>AC2885*AG2885</f>
        <v>0</v>
      </c>
      <c r="AE2885" s="15">
        <v>0</v>
      </c>
      <c r="AF2885" s="15">
        <f>AE2885*AG2885</f>
        <v>0</v>
      </c>
      <c r="AG2885" s="16">
        <v>1</v>
      </c>
    </row>
    <row r="2886" spans="1:33" ht="15" customHeight="1" x14ac:dyDescent="0.2">
      <c r="A2886" s="11" t="str">
        <f>HYPERLINK("https://assets.vans.eu/images/VN000LC0E11-HERO/1","VN000LC0E111")</f>
        <v>VN000LC0E111</v>
      </c>
      <c r="B2886" s="12" t="s">
        <v>10525</v>
      </c>
      <c r="C2886" s="12" t="s">
        <v>712</v>
      </c>
      <c r="D2886" s="12" t="s">
        <v>1226</v>
      </c>
      <c r="E2886" s="12" t="s">
        <v>10526</v>
      </c>
      <c r="F2886" s="12" t="s">
        <v>78</v>
      </c>
      <c r="G2886" s="14"/>
      <c r="H2886" s="12" t="s">
        <v>79</v>
      </c>
      <c r="I2886" s="12" t="s">
        <v>80</v>
      </c>
      <c r="J2886" s="12" t="s">
        <v>99</v>
      </c>
      <c r="K2886" s="12" t="s">
        <v>199</v>
      </c>
      <c r="L2886" s="14"/>
      <c r="M2886" s="12" t="s">
        <v>43</v>
      </c>
      <c r="N2886" s="12" t="s">
        <v>84</v>
      </c>
      <c r="O2886" s="12" t="s">
        <v>10527</v>
      </c>
      <c r="P2886" s="12" t="s">
        <v>86</v>
      </c>
      <c r="Q2886" s="12" t="s">
        <v>716</v>
      </c>
      <c r="R2886" s="12" t="s">
        <v>717</v>
      </c>
      <c r="S2886" s="13">
        <v>194114225166</v>
      </c>
      <c r="T2886" s="12" t="s">
        <v>143</v>
      </c>
      <c r="U2886" s="12" t="s">
        <v>78</v>
      </c>
      <c r="V2886" s="12" t="s">
        <v>718</v>
      </c>
      <c r="W2886" s="12" t="s">
        <v>51</v>
      </c>
      <c r="X2886" s="13">
        <v>0</v>
      </c>
      <c r="Y2886" s="12" t="s">
        <v>71</v>
      </c>
      <c r="Z2886" s="12" t="s">
        <v>108</v>
      </c>
      <c r="AA2886" s="13">
        <v>0</v>
      </c>
      <c r="AB2886" s="13">
        <v>0</v>
      </c>
      <c r="AC2886" s="15">
        <v>8.1999999999999993</v>
      </c>
      <c r="AD2886" s="15">
        <f>AC2886*AG2886</f>
        <v>8.1999999999999993</v>
      </c>
      <c r="AE2886" s="15">
        <v>18</v>
      </c>
      <c r="AF2886" s="15">
        <f>AE2886*AG2886</f>
        <v>18</v>
      </c>
      <c r="AG2886" s="16">
        <v>1</v>
      </c>
    </row>
    <row r="2887" spans="1:33" ht="15" customHeight="1" x14ac:dyDescent="0.2">
      <c r="A2887" s="11" t="str">
        <f>HYPERLINK("https://assets.vans.eu/images/VN000LC0FZF-HERO/1","VN000LC0FZF1")</f>
        <v>VN000LC0FZF1</v>
      </c>
      <c r="B2887" s="12" t="s">
        <v>10528</v>
      </c>
      <c r="C2887" s="12" t="s">
        <v>712</v>
      </c>
      <c r="D2887" s="12" t="s">
        <v>10529</v>
      </c>
      <c r="E2887" s="12" t="s">
        <v>10530</v>
      </c>
      <c r="F2887" s="12" t="s">
        <v>78</v>
      </c>
      <c r="G2887" s="14"/>
      <c r="H2887" s="12" t="s">
        <v>79</v>
      </c>
      <c r="I2887" s="12" t="s">
        <v>80</v>
      </c>
      <c r="J2887" s="12" t="s">
        <v>99</v>
      </c>
      <c r="K2887" s="12" t="s">
        <v>199</v>
      </c>
      <c r="L2887" s="12" t="s">
        <v>872</v>
      </c>
      <c r="M2887" s="12" t="s">
        <v>43</v>
      </c>
      <c r="N2887" s="12" t="s">
        <v>10523</v>
      </c>
      <c r="O2887" s="12" t="s">
        <v>10531</v>
      </c>
      <c r="P2887" s="12" t="s">
        <v>86</v>
      </c>
      <c r="Q2887" s="12" t="s">
        <v>716</v>
      </c>
      <c r="R2887" s="12" t="s">
        <v>717</v>
      </c>
      <c r="S2887" s="13">
        <v>700053949010</v>
      </c>
      <c r="T2887" s="12" t="s">
        <v>143</v>
      </c>
      <c r="U2887" s="12" t="s">
        <v>78</v>
      </c>
      <c r="V2887" s="13">
        <v>0</v>
      </c>
      <c r="W2887" s="13">
        <v>0</v>
      </c>
      <c r="X2887" s="14"/>
      <c r="Y2887" s="14"/>
      <c r="Z2887" s="14"/>
      <c r="AA2887" s="14"/>
      <c r="AB2887" s="14"/>
      <c r="AC2887" s="15">
        <v>0</v>
      </c>
      <c r="AD2887" s="15">
        <f>AC2887*AG2887</f>
        <v>0</v>
      </c>
      <c r="AE2887" s="15">
        <v>0</v>
      </c>
      <c r="AF2887" s="15">
        <f>AE2887*AG2887</f>
        <v>0</v>
      </c>
      <c r="AG2887" s="16">
        <v>1</v>
      </c>
    </row>
    <row r="2888" spans="1:33" ht="15" customHeight="1" x14ac:dyDescent="0.2">
      <c r="A2888" s="11" t="str">
        <f>HYPERLINK("https://assets.vans.eu/images/VN000M7X6PH-HERO/1","VN000M7X6PH1")</f>
        <v>VN000M7X6PH1</v>
      </c>
      <c r="B2888" s="12" t="s">
        <v>10532</v>
      </c>
      <c r="C2888" s="12" t="s">
        <v>10533</v>
      </c>
      <c r="D2888" s="12" t="s">
        <v>1878</v>
      </c>
      <c r="E2888" s="12" t="s">
        <v>10534</v>
      </c>
      <c r="F2888" s="13">
        <v>651</v>
      </c>
      <c r="G2888" s="14"/>
      <c r="H2888" s="12" t="s">
        <v>79</v>
      </c>
      <c r="I2888" s="12" t="s">
        <v>80</v>
      </c>
      <c r="J2888" s="12" t="s">
        <v>171</v>
      </c>
      <c r="K2888" s="12" t="s">
        <v>100</v>
      </c>
      <c r="L2888" s="14"/>
      <c r="M2888" s="12" t="s">
        <v>43</v>
      </c>
      <c r="N2888" s="12" t="s">
        <v>44</v>
      </c>
      <c r="O2888" s="12" t="s">
        <v>10535</v>
      </c>
      <c r="P2888" s="12" t="s">
        <v>86</v>
      </c>
      <c r="Q2888" s="12" t="s">
        <v>141</v>
      </c>
      <c r="R2888" s="12" t="s">
        <v>173</v>
      </c>
      <c r="S2888" s="13">
        <v>197643538172</v>
      </c>
      <c r="T2888" s="12" t="s">
        <v>143</v>
      </c>
      <c r="U2888" s="12" t="s">
        <v>800</v>
      </c>
      <c r="V2888" s="12" t="s">
        <v>10536</v>
      </c>
      <c r="W2888" s="12" t="s">
        <v>107</v>
      </c>
      <c r="X2888" s="13">
        <v>0</v>
      </c>
      <c r="Y2888" s="12" t="s">
        <v>91</v>
      </c>
      <c r="Z2888" s="12" t="s">
        <v>108</v>
      </c>
      <c r="AA2888" s="13">
        <v>0</v>
      </c>
      <c r="AB2888" s="13">
        <v>0</v>
      </c>
      <c r="AC2888" s="15">
        <v>9.1</v>
      </c>
      <c r="AD2888" s="15">
        <f>AC2888*AG2888</f>
        <v>9.1</v>
      </c>
      <c r="AE2888" s="15">
        <v>20</v>
      </c>
      <c r="AF2888" s="15">
        <f>AE2888*AG2888</f>
        <v>20</v>
      </c>
      <c r="AG2888" s="16">
        <v>1</v>
      </c>
    </row>
    <row r="2889" spans="1:33" ht="15" customHeight="1" x14ac:dyDescent="0.2">
      <c r="A2889" s="11" t="str">
        <f>HYPERLINK("https://assets.vans.eu/images/VN000MPGBLK-HERO/1","VN000MPGBLK1")</f>
        <v>VN000MPGBLK1</v>
      </c>
      <c r="B2889" s="12" t="s">
        <v>10537</v>
      </c>
      <c r="C2889" s="12" t="s">
        <v>10538</v>
      </c>
      <c r="D2889" s="12" t="s">
        <v>76</v>
      </c>
      <c r="E2889" s="12" t="s">
        <v>10539</v>
      </c>
      <c r="F2889" s="12" t="s">
        <v>78</v>
      </c>
      <c r="G2889" s="14"/>
      <c r="H2889" s="12" t="s">
        <v>79</v>
      </c>
      <c r="I2889" s="12" t="s">
        <v>80</v>
      </c>
      <c r="J2889" s="12" t="s">
        <v>349</v>
      </c>
      <c r="K2889" s="12" t="s">
        <v>82</v>
      </c>
      <c r="L2889" s="14"/>
      <c r="M2889" s="12" t="s">
        <v>43</v>
      </c>
      <c r="N2889" s="12" t="s">
        <v>44</v>
      </c>
      <c r="O2889" s="12" t="s">
        <v>10540</v>
      </c>
      <c r="P2889" s="12" t="s">
        <v>86</v>
      </c>
      <c r="Q2889" s="12" t="s">
        <v>128</v>
      </c>
      <c r="R2889" s="12" t="s">
        <v>352</v>
      </c>
      <c r="S2889" s="13">
        <v>197643467397</v>
      </c>
      <c r="T2889" s="12" t="s">
        <v>235</v>
      </c>
      <c r="U2889" s="12" t="s">
        <v>78</v>
      </c>
      <c r="V2889" s="12" t="s">
        <v>786</v>
      </c>
      <c r="W2889" s="12" t="s">
        <v>51</v>
      </c>
      <c r="X2889" s="13">
        <v>0</v>
      </c>
      <c r="Y2889" s="12" t="s">
        <v>91</v>
      </c>
      <c r="Z2889" s="12" t="s">
        <v>108</v>
      </c>
      <c r="AA2889" s="13">
        <v>0</v>
      </c>
      <c r="AB2889" s="13">
        <v>0</v>
      </c>
      <c r="AC2889" s="15">
        <v>14.55</v>
      </c>
      <c r="AD2889" s="15">
        <f>AC2889*AG2889</f>
        <v>14.55</v>
      </c>
      <c r="AE2889" s="15">
        <v>32</v>
      </c>
      <c r="AF2889" s="15">
        <f>AE2889*AG2889</f>
        <v>32</v>
      </c>
      <c r="AG2889" s="16">
        <v>1</v>
      </c>
    </row>
    <row r="2890" spans="1:33" ht="15" customHeight="1" x14ac:dyDescent="0.2">
      <c r="A2890" s="11" t="str">
        <f t="shared" si="106"/>
        <v>VN000PKT1NU1</v>
      </c>
      <c r="B2890" s="12" t="s">
        <v>10541</v>
      </c>
      <c r="C2890" s="12" t="s">
        <v>1405</v>
      </c>
      <c r="D2890" s="12" t="s">
        <v>783</v>
      </c>
      <c r="E2890" s="12" t="s">
        <v>10542</v>
      </c>
      <c r="F2890" s="12" t="s">
        <v>179</v>
      </c>
      <c r="G2890" s="14"/>
      <c r="H2890" s="12" t="s">
        <v>79</v>
      </c>
      <c r="I2890" s="12" t="s">
        <v>80</v>
      </c>
      <c r="J2890" s="12" t="s">
        <v>171</v>
      </c>
      <c r="K2890" s="12" t="s">
        <v>82</v>
      </c>
      <c r="L2890" s="14"/>
      <c r="M2890" s="12" t="s">
        <v>43</v>
      </c>
      <c r="N2890" s="12" t="s">
        <v>84</v>
      </c>
      <c r="O2890" s="12" t="s">
        <v>10543</v>
      </c>
      <c r="P2890" s="12" t="s">
        <v>86</v>
      </c>
      <c r="Q2890" s="12" t="s">
        <v>141</v>
      </c>
      <c r="R2890" s="12" t="s">
        <v>173</v>
      </c>
      <c r="S2890" s="13">
        <v>197804392698</v>
      </c>
      <c r="T2890" s="12" t="s">
        <v>143</v>
      </c>
      <c r="U2890" s="12" t="s">
        <v>179</v>
      </c>
      <c r="V2890" s="12" t="s">
        <v>1408</v>
      </c>
      <c r="W2890" s="12" t="s">
        <v>186</v>
      </c>
      <c r="X2890" s="14"/>
      <c r="Y2890" s="14"/>
      <c r="Z2890" s="14"/>
      <c r="AA2890" s="14"/>
      <c r="AB2890" s="14"/>
      <c r="AC2890" s="15">
        <v>9.1</v>
      </c>
      <c r="AD2890" s="15">
        <f>AC2890*AG2890</f>
        <v>9.1</v>
      </c>
      <c r="AE2890" s="15">
        <v>20</v>
      </c>
      <c r="AF2890" s="15">
        <f>AE2890*AG2890</f>
        <v>20</v>
      </c>
      <c r="AG2890" s="16">
        <v>1</v>
      </c>
    </row>
    <row r="2891" spans="1:33" ht="15" customHeight="1" x14ac:dyDescent="0.2">
      <c r="A2891" s="11" t="str">
        <f>HYPERLINK("https://assets.vans.eu/images/VN000QA6EN6-HERO/1","VN000QA6EN61")</f>
        <v>VN000QA6EN61</v>
      </c>
      <c r="B2891" s="12" t="s">
        <v>10544</v>
      </c>
      <c r="C2891" s="12" t="s">
        <v>10545</v>
      </c>
      <c r="D2891" s="12" t="s">
        <v>189</v>
      </c>
      <c r="E2891" s="12" t="s">
        <v>10546</v>
      </c>
      <c r="F2891" s="12" t="s">
        <v>78</v>
      </c>
      <c r="G2891" s="14"/>
      <c r="H2891" s="12" t="s">
        <v>79</v>
      </c>
      <c r="I2891" s="12" t="s">
        <v>80</v>
      </c>
      <c r="J2891" s="12" t="s">
        <v>349</v>
      </c>
      <c r="K2891" s="12" t="s">
        <v>82</v>
      </c>
      <c r="L2891" s="14"/>
      <c r="M2891" s="12" t="s">
        <v>43</v>
      </c>
      <c r="N2891" s="12" t="s">
        <v>84</v>
      </c>
      <c r="O2891" s="12" t="s">
        <v>10547</v>
      </c>
      <c r="P2891" s="12" t="s">
        <v>86</v>
      </c>
      <c r="Q2891" s="12" t="s">
        <v>128</v>
      </c>
      <c r="R2891" s="12" t="s">
        <v>352</v>
      </c>
      <c r="S2891" s="13">
        <v>197804374656</v>
      </c>
      <c r="T2891" s="12" t="s">
        <v>143</v>
      </c>
      <c r="U2891" s="12" t="s">
        <v>78</v>
      </c>
      <c r="V2891" s="12" t="s">
        <v>965</v>
      </c>
      <c r="W2891" s="12" t="s">
        <v>118</v>
      </c>
      <c r="X2891" s="14"/>
      <c r="Y2891" s="14"/>
      <c r="Z2891" s="14"/>
      <c r="AA2891" s="14"/>
      <c r="AB2891" s="14"/>
      <c r="AC2891" s="15">
        <v>14.55</v>
      </c>
      <c r="AD2891" s="15">
        <f>AC2891*AG2891</f>
        <v>14.55</v>
      </c>
      <c r="AE2891" s="15">
        <v>32</v>
      </c>
      <c r="AF2891" s="15">
        <f>AE2891*AG2891</f>
        <v>32</v>
      </c>
      <c r="AG2891" s="16">
        <v>1</v>
      </c>
    </row>
    <row r="2892" spans="1:33" ht="15" customHeight="1" x14ac:dyDescent="0.2">
      <c r="A2892" s="11" t="str">
        <f>HYPERLINK("https://assets.vans.eu/images/VN000QA8BLK-HERO/1","VN000QA8BLK1")</f>
        <v>VN000QA8BLK1</v>
      </c>
      <c r="B2892" s="12" t="s">
        <v>10548</v>
      </c>
      <c r="C2892" s="12" t="s">
        <v>10549</v>
      </c>
      <c r="D2892" s="12" t="s">
        <v>76</v>
      </c>
      <c r="E2892" s="12" t="s">
        <v>10550</v>
      </c>
      <c r="F2892" s="12" t="s">
        <v>78</v>
      </c>
      <c r="G2892" s="14"/>
      <c r="H2892" s="12" t="s">
        <v>79</v>
      </c>
      <c r="I2892" s="12" t="s">
        <v>80</v>
      </c>
      <c r="J2892" s="12" t="s">
        <v>349</v>
      </c>
      <c r="K2892" s="12" t="s">
        <v>82</v>
      </c>
      <c r="L2892" s="14"/>
      <c r="M2892" s="12" t="s">
        <v>43</v>
      </c>
      <c r="N2892" s="12" t="s">
        <v>84</v>
      </c>
      <c r="O2892" s="12" t="s">
        <v>10551</v>
      </c>
      <c r="P2892" s="12" t="s">
        <v>86</v>
      </c>
      <c r="Q2892" s="12" t="s">
        <v>128</v>
      </c>
      <c r="R2892" s="12" t="s">
        <v>352</v>
      </c>
      <c r="S2892" s="13">
        <v>197804374571</v>
      </c>
      <c r="T2892" s="12" t="s">
        <v>235</v>
      </c>
      <c r="U2892" s="12" t="s">
        <v>78</v>
      </c>
      <c r="V2892" s="12" t="s">
        <v>965</v>
      </c>
      <c r="W2892" s="12" t="s">
        <v>51</v>
      </c>
      <c r="X2892" s="14"/>
      <c r="Y2892" s="14"/>
      <c r="Z2892" s="14"/>
      <c r="AA2892" s="14"/>
      <c r="AB2892" s="14"/>
      <c r="AC2892" s="15">
        <v>14.55</v>
      </c>
      <c r="AD2892" s="15">
        <f>AC2892*AG2892</f>
        <v>14.55</v>
      </c>
      <c r="AE2892" s="15">
        <v>32</v>
      </c>
      <c r="AF2892" s="15">
        <f>AE2892*AG2892</f>
        <v>32</v>
      </c>
      <c r="AG2892" s="16">
        <v>1</v>
      </c>
    </row>
    <row r="2893" spans="1:33" ht="15" customHeight="1" x14ac:dyDescent="0.2">
      <c r="A2893" s="11" t="str">
        <f>HYPERLINK("https://assets.vans.eu/images/VN000QAFEMP-HERO/1","VN000QAFEMP1")</f>
        <v>VN000QAFEMP1</v>
      </c>
      <c r="B2893" s="12" t="s">
        <v>10552</v>
      </c>
      <c r="C2893" s="12" t="s">
        <v>10553</v>
      </c>
      <c r="D2893" s="12" t="s">
        <v>704</v>
      </c>
      <c r="E2893" s="12" t="s">
        <v>10554</v>
      </c>
      <c r="F2893" s="12" t="s">
        <v>78</v>
      </c>
      <c r="G2893" s="14"/>
      <c r="H2893" s="12" t="s">
        <v>79</v>
      </c>
      <c r="I2893" s="12" t="s">
        <v>80</v>
      </c>
      <c r="J2893" s="12" t="s">
        <v>349</v>
      </c>
      <c r="K2893" s="12" t="s">
        <v>82</v>
      </c>
      <c r="L2893" s="14"/>
      <c r="M2893" s="12" t="s">
        <v>43</v>
      </c>
      <c r="N2893" s="12" t="s">
        <v>84</v>
      </c>
      <c r="O2893" s="12" t="s">
        <v>10555</v>
      </c>
      <c r="P2893" s="12" t="s">
        <v>86</v>
      </c>
      <c r="Q2893" s="12" t="s">
        <v>128</v>
      </c>
      <c r="R2893" s="12" t="s">
        <v>352</v>
      </c>
      <c r="S2893" s="13">
        <v>197804374755</v>
      </c>
      <c r="T2893" s="12" t="s">
        <v>235</v>
      </c>
      <c r="U2893" s="12" t="s">
        <v>78</v>
      </c>
      <c r="V2893" s="12" t="s">
        <v>10556</v>
      </c>
      <c r="W2893" s="12" t="s">
        <v>186</v>
      </c>
      <c r="X2893" s="14"/>
      <c r="Y2893" s="14"/>
      <c r="Z2893" s="14"/>
      <c r="AA2893" s="14"/>
      <c r="AB2893" s="14"/>
      <c r="AC2893" s="15">
        <v>16.399999999999999</v>
      </c>
      <c r="AD2893" s="15">
        <f>AC2893*AG2893</f>
        <v>16.399999999999999</v>
      </c>
      <c r="AE2893" s="15">
        <v>36</v>
      </c>
      <c r="AF2893" s="15">
        <f>AE2893*AG2893</f>
        <v>36</v>
      </c>
      <c r="AG2893" s="16">
        <v>1</v>
      </c>
    </row>
    <row r="2894" spans="1:33" ht="15" customHeight="1" x14ac:dyDescent="0.2">
      <c r="A2894" s="11" t="str">
        <f>HYPERLINK("https://assets.vans.eu/images/VN000QB27WM-HERO/1","VN000QB27WM1")</f>
        <v>VN000QB27WM1</v>
      </c>
      <c r="B2894" s="12" t="s">
        <v>10557</v>
      </c>
      <c r="C2894" s="12" t="s">
        <v>1534</v>
      </c>
      <c r="D2894" s="12" t="s">
        <v>388</v>
      </c>
      <c r="E2894" s="12" t="s">
        <v>10558</v>
      </c>
      <c r="F2894" s="12" t="s">
        <v>78</v>
      </c>
      <c r="G2894" s="14"/>
      <c r="H2894" s="12" t="s">
        <v>79</v>
      </c>
      <c r="I2894" s="12" t="s">
        <v>80</v>
      </c>
      <c r="J2894" s="12" t="s">
        <v>349</v>
      </c>
      <c r="K2894" s="12" t="s">
        <v>82</v>
      </c>
      <c r="L2894" s="14"/>
      <c r="M2894" s="12" t="s">
        <v>43</v>
      </c>
      <c r="N2894" s="12" t="s">
        <v>84</v>
      </c>
      <c r="O2894" s="12" t="s">
        <v>10559</v>
      </c>
      <c r="P2894" s="12" t="s">
        <v>86</v>
      </c>
      <c r="Q2894" s="12" t="s">
        <v>128</v>
      </c>
      <c r="R2894" s="12" t="s">
        <v>352</v>
      </c>
      <c r="S2894" s="13">
        <v>197804375288</v>
      </c>
      <c r="T2894" s="12" t="s">
        <v>130</v>
      </c>
      <c r="U2894" s="12" t="s">
        <v>78</v>
      </c>
      <c r="V2894" s="12" t="s">
        <v>593</v>
      </c>
      <c r="W2894" s="12" t="s">
        <v>284</v>
      </c>
      <c r="X2894" s="14"/>
      <c r="Y2894" s="14"/>
      <c r="Z2894" s="14"/>
      <c r="AA2894" s="14"/>
      <c r="AB2894" s="14"/>
      <c r="AC2894" s="15">
        <v>12.75</v>
      </c>
      <c r="AD2894" s="15">
        <f>AC2894*AG2894</f>
        <v>12.75</v>
      </c>
      <c r="AE2894" s="15">
        <v>28</v>
      </c>
      <c r="AF2894" s="15">
        <f>AE2894*AG2894</f>
        <v>28</v>
      </c>
      <c r="AG2894" s="16">
        <v>1</v>
      </c>
    </row>
    <row r="2895" spans="1:33" ht="15" customHeight="1" x14ac:dyDescent="0.2">
      <c r="A2895" s="11" t="str">
        <f>HYPERLINK("https://assets.vans.eu/images/VN000QBBBLK-HERO/1","VN000QBBBLK1")</f>
        <v>VN000QBBBLK1</v>
      </c>
      <c r="B2895" s="12" t="s">
        <v>10560</v>
      </c>
      <c r="C2895" s="12" t="s">
        <v>10561</v>
      </c>
      <c r="D2895" s="12" t="s">
        <v>76</v>
      </c>
      <c r="E2895" s="12" t="s">
        <v>10562</v>
      </c>
      <c r="F2895" s="12" t="s">
        <v>170</v>
      </c>
      <c r="G2895" s="14"/>
      <c r="H2895" s="12" t="s">
        <v>79</v>
      </c>
      <c r="I2895" s="12" t="s">
        <v>80</v>
      </c>
      <c r="J2895" s="12" t="s">
        <v>171</v>
      </c>
      <c r="K2895" s="12" t="s">
        <v>82</v>
      </c>
      <c r="L2895" s="14"/>
      <c r="M2895" s="12" t="s">
        <v>43</v>
      </c>
      <c r="N2895" s="12" t="s">
        <v>84</v>
      </c>
      <c r="O2895" s="12" t="s">
        <v>10563</v>
      </c>
      <c r="P2895" s="12" t="s">
        <v>86</v>
      </c>
      <c r="Q2895" s="12" t="s">
        <v>141</v>
      </c>
      <c r="R2895" s="12" t="s">
        <v>173</v>
      </c>
      <c r="S2895" s="13">
        <v>197804394432</v>
      </c>
      <c r="T2895" s="12" t="s">
        <v>143</v>
      </c>
      <c r="U2895" s="12" t="s">
        <v>170</v>
      </c>
      <c r="V2895" s="12" t="s">
        <v>10564</v>
      </c>
      <c r="W2895" s="12" t="s">
        <v>51</v>
      </c>
      <c r="X2895" s="14"/>
      <c r="Y2895" s="14"/>
      <c r="Z2895" s="14"/>
      <c r="AA2895" s="14"/>
      <c r="AB2895" s="14"/>
      <c r="AC2895" s="15">
        <v>7.3</v>
      </c>
      <c r="AD2895" s="15">
        <f>AC2895*AG2895</f>
        <v>7.3</v>
      </c>
      <c r="AE2895" s="15">
        <v>16</v>
      </c>
      <c r="AF2895" s="15">
        <f>AE2895*AG2895</f>
        <v>16</v>
      </c>
      <c r="AG2895" s="16">
        <v>1</v>
      </c>
    </row>
    <row r="2896" spans="1:33" ht="15" customHeight="1" x14ac:dyDescent="0.2">
      <c r="A2896" s="11" t="str">
        <f>HYPERLINK("https://assets.vans.eu/images/VN000QBM7UG-HERO/1","VN000QBM7UG1")</f>
        <v>VN000QBM7UG1</v>
      </c>
      <c r="B2896" s="12" t="s">
        <v>10565</v>
      </c>
      <c r="C2896" s="12" t="s">
        <v>332</v>
      </c>
      <c r="D2896" s="12" t="s">
        <v>333</v>
      </c>
      <c r="E2896" s="12" t="s">
        <v>10566</v>
      </c>
      <c r="F2896" s="12" t="s">
        <v>170</v>
      </c>
      <c r="G2896" s="14"/>
      <c r="H2896" s="12" t="s">
        <v>79</v>
      </c>
      <c r="I2896" s="12" t="s">
        <v>80</v>
      </c>
      <c r="J2896" s="12" t="s">
        <v>171</v>
      </c>
      <c r="K2896" s="12" t="s">
        <v>82</v>
      </c>
      <c r="L2896" s="14"/>
      <c r="M2896" s="12" t="s">
        <v>43</v>
      </c>
      <c r="N2896" s="12" t="s">
        <v>84</v>
      </c>
      <c r="O2896" s="12" t="s">
        <v>10567</v>
      </c>
      <c r="P2896" s="12" t="s">
        <v>86</v>
      </c>
      <c r="Q2896" s="12" t="s">
        <v>141</v>
      </c>
      <c r="R2896" s="12" t="s">
        <v>173</v>
      </c>
      <c r="S2896" s="13">
        <v>197804394777</v>
      </c>
      <c r="T2896" s="12" t="s">
        <v>143</v>
      </c>
      <c r="U2896" s="12" t="s">
        <v>170</v>
      </c>
      <c r="V2896" s="12" t="s">
        <v>336</v>
      </c>
      <c r="W2896" s="12" t="s">
        <v>186</v>
      </c>
      <c r="X2896" s="14"/>
      <c r="Y2896" s="14"/>
      <c r="Z2896" s="14"/>
      <c r="AA2896" s="14"/>
      <c r="AB2896" s="14"/>
      <c r="AC2896" s="15">
        <v>8.1999999999999993</v>
      </c>
      <c r="AD2896" s="15">
        <f>AC2896*AG2896</f>
        <v>8.1999999999999993</v>
      </c>
      <c r="AE2896" s="15">
        <v>18</v>
      </c>
      <c r="AF2896" s="15">
        <f>AE2896*AG2896</f>
        <v>18</v>
      </c>
      <c r="AG2896" s="16">
        <v>1</v>
      </c>
    </row>
    <row r="2897" spans="1:33" ht="15" customHeight="1" x14ac:dyDescent="0.2">
      <c r="A2897" s="11" t="str">
        <f>HYPERLINK("https://assets.vans.eu/images/VN000QBPWHT-HERO/1","VN000QBPWHT1")</f>
        <v>VN000QBPWHT1</v>
      </c>
      <c r="B2897" s="12" t="s">
        <v>10568</v>
      </c>
      <c r="C2897" s="12" t="s">
        <v>364</v>
      </c>
      <c r="D2897" s="12" t="s">
        <v>168</v>
      </c>
      <c r="E2897" s="12" t="s">
        <v>10569</v>
      </c>
      <c r="F2897" s="12" t="s">
        <v>403</v>
      </c>
      <c r="G2897" s="14"/>
      <c r="H2897" s="12" t="s">
        <v>79</v>
      </c>
      <c r="I2897" s="12" t="s">
        <v>80</v>
      </c>
      <c r="J2897" s="12" t="s">
        <v>171</v>
      </c>
      <c r="K2897" s="12" t="s">
        <v>82</v>
      </c>
      <c r="L2897" s="14"/>
      <c r="M2897" s="12" t="s">
        <v>43</v>
      </c>
      <c r="N2897" s="12" t="s">
        <v>84</v>
      </c>
      <c r="O2897" s="12" t="s">
        <v>10570</v>
      </c>
      <c r="P2897" s="12" t="s">
        <v>86</v>
      </c>
      <c r="Q2897" s="12" t="s">
        <v>141</v>
      </c>
      <c r="R2897" s="12" t="s">
        <v>173</v>
      </c>
      <c r="S2897" s="13">
        <v>197804395217</v>
      </c>
      <c r="T2897" s="12" t="s">
        <v>143</v>
      </c>
      <c r="U2897" s="12" t="s">
        <v>403</v>
      </c>
      <c r="V2897" s="12" t="s">
        <v>367</v>
      </c>
      <c r="W2897" s="12" t="s">
        <v>175</v>
      </c>
      <c r="X2897" s="14"/>
      <c r="Y2897" s="14"/>
      <c r="Z2897" s="14"/>
      <c r="AA2897" s="14"/>
      <c r="AB2897" s="14"/>
      <c r="AC2897" s="15">
        <v>7.3</v>
      </c>
      <c r="AD2897" s="15">
        <f>AC2897*AG2897</f>
        <v>7.3</v>
      </c>
      <c r="AE2897" s="15">
        <v>16</v>
      </c>
      <c r="AF2897" s="15">
        <f>AE2897*AG2897</f>
        <v>16</v>
      </c>
      <c r="AG2897" s="16">
        <v>1</v>
      </c>
    </row>
    <row r="2898" spans="1:33" ht="15" customHeight="1" x14ac:dyDescent="0.2">
      <c r="A2898" s="11" t="str">
        <f>HYPERLINK("https://assets.vans.eu/images/VN000QBWJDU-HERO/1","VN000QBWJDU1")</f>
        <v>VN000QBWJDU1</v>
      </c>
      <c r="B2898" s="12" t="s">
        <v>10571</v>
      </c>
      <c r="C2898" s="12" t="s">
        <v>481</v>
      </c>
      <c r="D2898" s="12" t="s">
        <v>814</v>
      </c>
      <c r="E2898" s="12" t="s">
        <v>10572</v>
      </c>
      <c r="F2898" s="12" t="s">
        <v>60</v>
      </c>
      <c r="G2898" s="14"/>
      <c r="H2898" s="12" t="s">
        <v>79</v>
      </c>
      <c r="I2898" s="12" t="s">
        <v>80</v>
      </c>
      <c r="J2898" s="12" t="s">
        <v>171</v>
      </c>
      <c r="K2898" s="12" t="s">
        <v>82</v>
      </c>
      <c r="L2898" s="14"/>
      <c r="M2898" s="12" t="s">
        <v>43</v>
      </c>
      <c r="N2898" s="12" t="s">
        <v>84</v>
      </c>
      <c r="O2898" s="12" t="s">
        <v>10573</v>
      </c>
      <c r="P2898" s="12" t="s">
        <v>86</v>
      </c>
      <c r="Q2898" s="12" t="s">
        <v>141</v>
      </c>
      <c r="R2898" s="12" t="s">
        <v>173</v>
      </c>
      <c r="S2898" s="13">
        <v>197804583911</v>
      </c>
      <c r="T2898" s="12" t="s">
        <v>143</v>
      </c>
      <c r="U2898" s="12" t="s">
        <v>60</v>
      </c>
      <c r="V2898" s="12" t="s">
        <v>484</v>
      </c>
      <c r="W2898" s="12" t="s">
        <v>284</v>
      </c>
      <c r="X2898" s="14"/>
      <c r="Y2898" s="14"/>
      <c r="Z2898" s="14"/>
      <c r="AA2898" s="14"/>
      <c r="AB2898" s="14"/>
      <c r="AC2898" s="15">
        <v>9.1</v>
      </c>
      <c r="AD2898" s="15">
        <f>AC2898*AG2898</f>
        <v>9.1</v>
      </c>
      <c r="AE2898" s="15">
        <v>20</v>
      </c>
      <c r="AF2898" s="15">
        <f>AE2898*AG2898</f>
        <v>20</v>
      </c>
      <c r="AG2898" s="16">
        <v>1</v>
      </c>
    </row>
    <row r="2899" spans="1:33" ht="15" customHeight="1" x14ac:dyDescent="0.2">
      <c r="A2899" s="11" t="str">
        <f>HYPERLINK("https://assets.vans.eu/images/VN000R98BLK-HERO/1","VN000R98BLK1")</f>
        <v>VN000R98BLK1</v>
      </c>
      <c r="B2899" s="12" t="s">
        <v>10574</v>
      </c>
      <c r="C2899" s="12" t="s">
        <v>10575</v>
      </c>
      <c r="D2899" s="12" t="s">
        <v>76</v>
      </c>
      <c r="E2899" s="12" t="s">
        <v>10576</v>
      </c>
      <c r="F2899" s="12" t="s">
        <v>78</v>
      </c>
      <c r="G2899" s="14"/>
      <c r="H2899" s="12" t="s">
        <v>79</v>
      </c>
      <c r="I2899" s="12" t="s">
        <v>80</v>
      </c>
      <c r="J2899" s="12" t="s">
        <v>349</v>
      </c>
      <c r="K2899" s="12" t="s">
        <v>82</v>
      </c>
      <c r="L2899" s="12" t="s">
        <v>83</v>
      </c>
      <c r="M2899" s="12" t="s">
        <v>43</v>
      </c>
      <c r="N2899" s="12" t="s">
        <v>84</v>
      </c>
      <c r="O2899" s="12" t="s">
        <v>10577</v>
      </c>
      <c r="P2899" s="12" t="s">
        <v>86</v>
      </c>
      <c r="Q2899" s="12" t="s">
        <v>128</v>
      </c>
      <c r="R2899" s="12" t="s">
        <v>352</v>
      </c>
      <c r="S2899" s="13">
        <v>197804371082</v>
      </c>
      <c r="T2899" s="12" t="s">
        <v>569</v>
      </c>
      <c r="U2899" s="12" t="s">
        <v>78</v>
      </c>
      <c r="V2899" s="12" t="s">
        <v>570</v>
      </c>
      <c r="W2899" s="12" t="s">
        <v>51</v>
      </c>
      <c r="X2899" s="14"/>
      <c r="Y2899" s="14"/>
      <c r="Z2899" s="14"/>
      <c r="AA2899" s="14"/>
      <c r="AB2899" s="14"/>
      <c r="AC2899" s="15">
        <v>18.2</v>
      </c>
      <c r="AD2899" s="15">
        <f>AC2899*AG2899</f>
        <v>18.2</v>
      </c>
      <c r="AE2899" s="15">
        <v>40</v>
      </c>
      <c r="AF2899" s="15">
        <f>AE2899*AG2899</f>
        <v>40</v>
      </c>
      <c r="AG2899" s="16">
        <v>1</v>
      </c>
    </row>
    <row r="2900" spans="1:33" ht="15" customHeight="1" x14ac:dyDescent="0.2">
      <c r="A2900" s="11" t="str">
        <f>HYPERLINK("https://assets.vans.eu/images/VN000TL5WHT-HERO/1","VN000TL5WHT1")</f>
        <v>VN000TL5WHT1</v>
      </c>
      <c r="B2900" s="12" t="s">
        <v>10578</v>
      </c>
      <c r="C2900" s="12" t="s">
        <v>10579</v>
      </c>
      <c r="D2900" s="12" t="s">
        <v>168</v>
      </c>
      <c r="E2900" s="12" t="s">
        <v>10580</v>
      </c>
      <c r="F2900" s="12" t="s">
        <v>78</v>
      </c>
      <c r="G2900" s="14"/>
      <c r="H2900" s="12" t="s">
        <v>79</v>
      </c>
      <c r="I2900" s="12" t="s">
        <v>80</v>
      </c>
      <c r="J2900" s="12" t="s">
        <v>171</v>
      </c>
      <c r="K2900" s="12" t="s">
        <v>199</v>
      </c>
      <c r="L2900" s="12" t="s">
        <v>350</v>
      </c>
      <c r="M2900" s="12" t="s">
        <v>43</v>
      </c>
      <c r="N2900" s="12" t="s">
        <v>161</v>
      </c>
      <c r="O2900" s="12" t="s">
        <v>10581</v>
      </c>
      <c r="P2900" s="12" t="s">
        <v>86</v>
      </c>
      <c r="Q2900" s="12" t="s">
        <v>141</v>
      </c>
      <c r="R2900" s="12" t="s">
        <v>173</v>
      </c>
      <c r="S2900" s="13">
        <v>32546406152</v>
      </c>
      <c r="T2900" s="12" t="s">
        <v>69</v>
      </c>
      <c r="U2900" s="12" t="s">
        <v>78</v>
      </c>
      <c r="V2900" s="12" t="s">
        <v>10582</v>
      </c>
      <c r="W2900" s="12" t="s">
        <v>175</v>
      </c>
      <c r="X2900" s="13">
        <v>0</v>
      </c>
      <c r="Y2900" s="12" t="s">
        <v>71</v>
      </c>
      <c r="Z2900" s="12" t="s">
        <v>92</v>
      </c>
      <c r="AA2900" s="12" t="s">
        <v>354</v>
      </c>
      <c r="AB2900" s="12" t="s">
        <v>355</v>
      </c>
      <c r="AC2900" s="15">
        <v>9.1</v>
      </c>
      <c r="AD2900" s="15">
        <f>AC2900*AG2900</f>
        <v>9.1</v>
      </c>
      <c r="AE2900" s="15">
        <v>20</v>
      </c>
      <c r="AF2900" s="15">
        <f>AE2900*AG2900</f>
        <v>20</v>
      </c>
      <c r="AG2900" s="16">
        <v>1</v>
      </c>
    </row>
    <row r="2901" spans="1:33" ht="15" customHeight="1" x14ac:dyDescent="0.2">
      <c r="A2901" s="11" t="str">
        <f>HYPERLINK("https://assets.vans.eu/images/VN000Y5XPNK-HERO/1","VN000Y5XPNK1")</f>
        <v>VN000Y5XPNK1</v>
      </c>
      <c r="B2901" s="12" t="s">
        <v>10583</v>
      </c>
      <c r="C2901" s="12" t="s">
        <v>197</v>
      </c>
      <c r="D2901" s="12" t="s">
        <v>3984</v>
      </c>
      <c r="E2901" s="12" t="s">
        <v>10584</v>
      </c>
      <c r="F2901" s="12" t="s">
        <v>78</v>
      </c>
      <c r="G2901" s="14"/>
      <c r="H2901" s="12" t="s">
        <v>79</v>
      </c>
      <c r="I2901" s="12" t="s">
        <v>80</v>
      </c>
      <c r="J2901" s="12" t="s">
        <v>81</v>
      </c>
      <c r="K2901" s="12" t="s">
        <v>199</v>
      </c>
      <c r="L2901" s="14"/>
      <c r="M2901" s="12" t="s">
        <v>43</v>
      </c>
      <c r="N2901" s="12" t="s">
        <v>10585</v>
      </c>
      <c r="O2901" s="12" t="s">
        <v>10586</v>
      </c>
      <c r="P2901" s="12" t="s">
        <v>86</v>
      </c>
      <c r="Q2901" s="12" t="s">
        <v>87</v>
      </c>
      <c r="R2901" s="12" t="s">
        <v>88</v>
      </c>
      <c r="S2901" s="13">
        <v>193391112954</v>
      </c>
      <c r="T2901" s="12" t="s">
        <v>89</v>
      </c>
      <c r="U2901" s="12" t="s">
        <v>78</v>
      </c>
      <c r="V2901" s="12" t="s">
        <v>90</v>
      </c>
      <c r="W2901" s="12" t="s">
        <v>299</v>
      </c>
      <c r="X2901" s="14"/>
      <c r="Y2901" s="12" t="s">
        <v>91</v>
      </c>
      <c r="Z2901" s="12" t="s">
        <v>2600</v>
      </c>
      <c r="AA2901" s="14"/>
      <c r="AB2901" s="13">
        <v>0</v>
      </c>
      <c r="AC2901" s="15">
        <v>2.2999999999999998</v>
      </c>
      <c r="AD2901" s="15">
        <f>AC2901*AG2901</f>
        <v>2.2999999999999998</v>
      </c>
      <c r="AE2901" s="15">
        <v>5</v>
      </c>
      <c r="AF2901" s="15">
        <f>AE2901*AG2901</f>
        <v>5</v>
      </c>
      <c r="AG2901" s="16">
        <v>1</v>
      </c>
    </row>
    <row r="2902" spans="1:33" ht="15" customHeight="1" x14ac:dyDescent="0.2">
      <c r="A2902" s="11" t="str">
        <f>HYPERLINK("https://assets.vans.eu/images/VN0A311PBLK-HERO/1","VN0A311PBLK1")</f>
        <v>VN0A311PBLK1</v>
      </c>
      <c r="B2902" s="12" t="s">
        <v>10587</v>
      </c>
      <c r="C2902" s="12" t="s">
        <v>10588</v>
      </c>
      <c r="D2902" s="12" t="s">
        <v>76</v>
      </c>
      <c r="E2902" s="12" t="s">
        <v>10589</v>
      </c>
      <c r="F2902" s="12" t="s">
        <v>78</v>
      </c>
      <c r="G2902" s="14"/>
      <c r="H2902" s="12" t="s">
        <v>79</v>
      </c>
      <c r="I2902" s="12" t="s">
        <v>80</v>
      </c>
      <c r="J2902" s="12" t="s">
        <v>171</v>
      </c>
      <c r="K2902" s="12" t="s">
        <v>199</v>
      </c>
      <c r="L2902" s="14"/>
      <c r="M2902" s="12" t="s">
        <v>43</v>
      </c>
      <c r="N2902" s="12" t="s">
        <v>101</v>
      </c>
      <c r="O2902" s="12" t="s">
        <v>10590</v>
      </c>
      <c r="P2902" s="12" t="s">
        <v>86</v>
      </c>
      <c r="Q2902" s="12" t="s">
        <v>141</v>
      </c>
      <c r="R2902" s="12" t="s">
        <v>173</v>
      </c>
      <c r="S2902" s="13">
        <v>190289727429</v>
      </c>
      <c r="T2902" s="12" t="s">
        <v>143</v>
      </c>
      <c r="U2902" s="12" t="s">
        <v>78</v>
      </c>
      <c r="V2902" s="12" t="s">
        <v>10591</v>
      </c>
      <c r="W2902" s="12" t="s">
        <v>51</v>
      </c>
      <c r="X2902" s="13">
        <v>0</v>
      </c>
      <c r="Y2902" s="12" t="s">
        <v>91</v>
      </c>
      <c r="Z2902" s="12" t="s">
        <v>108</v>
      </c>
      <c r="AA2902" s="13">
        <v>0</v>
      </c>
      <c r="AB2902" s="13">
        <v>0</v>
      </c>
      <c r="AC2902" s="15">
        <v>10</v>
      </c>
      <c r="AD2902" s="15">
        <f>AC2902*AG2902</f>
        <v>10</v>
      </c>
      <c r="AE2902" s="15">
        <v>22</v>
      </c>
      <c r="AF2902" s="15">
        <f>AE2902*AG2902</f>
        <v>22</v>
      </c>
      <c r="AG2902" s="16">
        <v>1</v>
      </c>
    </row>
    <row r="2903" spans="1:33" ht="15" customHeight="1" x14ac:dyDescent="0.2">
      <c r="A2903" s="11" t="str">
        <f>HYPERLINK("https://assets.vans.eu/images/VN0A31J6BLK-HERO/1","VN0A31J6BLK1")</f>
        <v>VN0A31J6BLK1</v>
      </c>
      <c r="B2903" s="12" t="s">
        <v>10592</v>
      </c>
      <c r="C2903" s="12" t="s">
        <v>2662</v>
      </c>
      <c r="D2903" s="12" t="s">
        <v>76</v>
      </c>
      <c r="E2903" s="12" t="s">
        <v>10593</v>
      </c>
      <c r="F2903" s="13">
        <v>38</v>
      </c>
      <c r="G2903" s="14"/>
      <c r="H2903" s="12" t="s">
        <v>79</v>
      </c>
      <c r="I2903" s="12" t="s">
        <v>80</v>
      </c>
      <c r="J2903" s="12" t="s">
        <v>99</v>
      </c>
      <c r="K2903" s="12" t="s">
        <v>199</v>
      </c>
      <c r="L2903" s="14"/>
      <c r="M2903" s="12" t="s">
        <v>43</v>
      </c>
      <c r="N2903" s="12" t="s">
        <v>467</v>
      </c>
      <c r="O2903" s="12" t="s">
        <v>10594</v>
      </c>
      <c r="P2903" s="12" t="s">
        <v>86</v>
      </c>
      <c r="Q2903" s="12" t="s">
        <v>103</v>
      </c>
      <c r="R2903" s="12" t="s">
        <v>104</v>
      </c>
      <c r="S2903" s="13">
        <v>191163132759</v>
      </c>
      <c r="T2903" s="12" t="s">
        <v>49</v>
      </c>
      <c r="U2903" s="13">
        <v>38</v>
      </c>
      <c r="V2903" s="12" t="s">
        <v>2666</v>
      </c>
      <c r="W2903" s="12" t="s">
        <v>51</v>
      </c>
      <c r="X2903" s="13">
        <v>0</v>
      </c>
      <c r="Y2903" s="12" t="s">
        <v>71</v>
      </c>
      <c r="Z2903" s="12" t="s">
        <v>1180</v>
      </c>
      <c r="AA2903" s="13">
        <v>0</v>
      </c>
      <c r="AB2903" s="13">
        <v>0</v>
      </c>
      <c r="AC2903" s="15">
        <v>16.399999999999999</v>
      </c>
      <c r="AD2903" s="15">
        <f>AC2903*AG2903</f>
        <v>16.399999999999999</v>
      </c>
      <c r="AE2903" s="15">
        <v>36</v>
      </c>
      <c r="AF2903" s="15">
        <f>AE2903*AG2903</f>
        <v>36</v>
      </c>
      <c r="AG2903" s="16">
        <v>1</v>
      </c>
    </row>
    <row r="2904" spans="1:33" ht="15" customHeight="1" x14ac:dyDescent="0.2">
      <c r="A2904" s="11" t="str">
        <f>HYPERLINK("https://assets.vans.eu/images/VN0A3H47PNO-HERO/1","VN0A3H47PNO1")</f>
        <v>VN0A3H47PNO1</v>
      </c>
      <c r="B2904" s="12" t="s">
        <v>10595</v>
      </c>
      <c r="C2904" s="12" t="s">
        <v>10596</v>
      </c>
      <c r="D2904" s="12" t="s">
        <v>10597</v>
      </c>
      <c r="E2904" s="12" t="s">
        <v>10598</v>
      </c>
      <c r="F2904" s="12" t="s">
        <v>78</v>
      </c>
      <c r="G2904" s="14"/>
      <c r="H2904" s="12" t="s">
        <v>79</v>
      </c>
      <c r="I2904" s="12" t="s">
        <v>10599</v>
      </c>
      <c r="J2904" s="12" t="s">
        <v>10600</v>
      </c>
      <c r="K2904" s="12" t="s">
        <v>64</v>
      </c>
      <c r="L2904" s="12" t="s">
        <v>10601</v>
      </c>
      <c r="M2904" s="12" t="s">
        <v>43</v>
      </c>
      <c r="N2904" s="12" t="s">
        <v>10602</v>
      </c>
      <c r="O2904" s="12" t="s">
        <v>10603</v>
      </c>
      <c r="P2904" s="12" t="s">
        <v>86</v>
      </c>
      <c r="Q2904" s="12" t="s">
        <v>716</v>
      </c>
      <c r="R2904" s="12" t="s">
        <v>5188</v>
      </c>
      <c r="S2904" s="13">
        <v>191475681716</v>
      </c>
      <c r="T2904" s="12" t="s">
        <v>143</v>
      </c>
      <c r="U2904" s="12" t="s">
        <v>78</v>
      </c>
      <c r="V2904" s="12" t="s">
        <v>10604</v>
      </c>
      <c r="W2904" s="12" t="s">
        <v>175</v>
      </c>
      <c r="X2904" s="14"/>
      <c r="Y2904" s="14"/>
      <c r="Z2904" s="14"/>
      <c r="AA2904" s="14"/>
      <c r="AB2904" s="14"/>
      <c r="AC2904" s="15">
        <v>5.5</v>
      </c>
      <c r="AD2904" s="15">
        <f>AC2904*AG2904</f>
        <v>5.5</v>
      </c>
      <c r="AE2904" s="15">
        <v>12</v>
      </c>
      <c r="AF2904" s="15">
        <f>AE2904*AG2904</f>
        <v>12</v>
      </c>
      <c r="AG2904" s="16">
        <v>1</v>
      </c>
    </row>
    <row r="2905" spans="1:33" ht="15" customHeight="1" x14ac:dyDescent="0.2">
      <c r="A2905" s="11" t="str">
        <f>HYPERLINK("https://assets.vans.eu/images/VN0A47XCBLK-HERO/1","VN0A47XCBLK1")</f>
        <v>VN0A47XCBLK1</v>
      </c>
      <c r="B2905" s="12" t="s">
        <v>10605</v>
      </c>
      <c r="C2905" s="12" t="s">
        <v>10606</v>
      </c>
      <c r="D2905" s="12" t="s">
        <v>76</v>
      </c>
      <c r="E2905" s="12" t="s">
        <v>10607</v>
      </c>
      <c r="F2905" s="12" t="s">
        <v>78</v>
      </c>
      <c r="G2905" s="14"/>
      <c r="H2905" s="12" t="s">
        <v>79</v>
      </c>
      <c r="I2905" s="12" t="s">
        <v>10608</v>
      </c>
      <c r="J2905" s="12" t="s">
        <v>10609</v>
      </c>
      <c r="K2905" s="12" t="s">
        <v>100</v>
      </c>
      <c r="L2905" s="14"/>
      <c r="M2905" s="12" t="s">
        <v>43</v>
      </c>
      <c r="N2905" s="12" t="s">
        <v>10610</v>
      </c>
      <c r="O2905" s="12" t="s">
        <v>10611</v>
      </c>
      <c r="P2905" s="12" t="s">
        <v>86</v>
      </c>
      <c r="Q2905" s="12" t="s">
        <v>103</v>
      </c>
      <c r="R2905" s="12" t="s">
        <v>10612</v>
      </c>
      <c r="S2905" s="13">
        <v>193391171074</v>
      </c>
      <c r="T2905" s="12" t="s">
        <v>143</v>
      </c>
      <c r="U2905" s="12" t="s">
        <v>78</v>
      </c>
      <c r="V2905" s="12" t="s">
        <v>10613</v>
      </c>
      <c r="W2905" s="12" t="s">
        <v>51</v>
      </c>
      <c r="X2905" s="14"/>
      <c r="Y2905" s="12" t="s">
        <v>53</v>
      </c>
      <c r="Z2905" s="12" t="s">
        <v>376</v>
      </c>
      <c r="AA2905" s="14"/>
      <c r="AB2905" s="13">
        <v>0</v>
      </c>
      <c r="AC2905" s="15">
        <v>6.85</v>
      </c>
      <c r="AD2905" s="15">
        <f>AC2905*AG2905</f>
        <v>6.85</v>
      </c>
      <c r="AE2905" s="15">
        <v>0</v>
      </c>
      <c r="AF2905" s="15">
        <f>AE2905*AG2905</f>
        <v>0</v>
      </c>
      <c r="AG2905" s="16">
        <v>1</v>
      </c>
    </row>
    <row r="2906" spans="1:33" ht="15" customHeight="1" x14ac:dyDescent="0.2">
      <c r="A2906" s="11" t="str">
        <f>HYPERLINK("https://assets.vans.eu/images/VN0A48HJ448-HERO/1","VN0A48HJ4481")</f>
        <v>VN0A48HJ4481</v>
      </c>
      <c r="B2906" s="12" t="s">
        <v>10614</v>
      </c>
      <c r="C2906" s="12" t="s">
        <v>10615</v>
      </c>
      <c r="D2906" s="12" t="s">
        <v>3898</v>
      </c>
      <c r="E2906" s="12" t="s">
        <v>10616</v>
      </c>
      <c r="F2906" s="12" t="s">
        <v>78</v>
      </c>
      <c r="G2906" s="14"/>
      <c r="H2906" s="12" t="s">
        <v>79</v>
      </c>
      <c r="I2906" s="12" t="s">
        <v>80</v>
      </c>
      <c r="J2906" s="12" t="s">
        <v>171</v>
      </c>
      <c r="K2906" s="12" t="s">
        <v>100</v>
      </c>
      <c r="L2906" s="14"/>
      <c r="M2906" s="12" t="s">
        <v>43</v>
      </c>
      <c r="N2906" s="12" t="s">
        <v>2457</v>
      </c>
      <c r="O2906" s="12" t="s">
        <v>10617</v>
      </c>
      <c r="P2906" s="12" t="s">
        <v>86</v>
      </c>
      <c r="Q2906" s="12" t="s">
        <v>141</v>
      </c>
      <c r="R2906" s="12" t="s">
        <v>173</v>
      </c>
      <c r="S2906" s="13">
        <v>192828413800</v>
      </c>
      <c r="T2906" s="12" t="s">
        <v>69</v>
      </c>
      <c r="U2906" s="12" t="s">
        <v>78</v>
      </c>
      <c r="V2906" s="12" t="s">
        <v>10618</v>
      </c>
      <c r="W2906" s="12" t="s">
        <v>175</v>
      </c>
      <c r="X2906" s="13">
        <v>0</v>
      </c>
      <c r="Y2906" s="12" t="s">
        <v>91</v>
      </c>
      <c r="Z2906" s="12" t="s">
        <v>108</v>
      </c>
      <c r="AA2906" s="13">
        <v>0</v>
      </c>
      <c r="AB2906" s="13">
        <v>0</v>
      </c>
      <c r="AC2906" s="15">
        <v>9.1</v>
      </c>
      <c r="AD2906" s="15">
        <f>AC2906*AG2906</f>
        <v>9.1</v>
      </c>
      <c r="AE2906" s="15">
        <v>20</v>
      </c>
      <c r="AF2906" s="15">
        <f>AE2906*AG2906</f>
        <v>20</v>
      </c>
      <c r="AG2906" s="16">
        <v>1</v>
      </c>
    </row>
    <row r="2907" spans="1:33" ht="15" customHeight="1" x14ac:dyDescent="0.2">
      <c r="A2907" s="11" t="str">
        <f>HYPERLINK("https://assets.vans.eu/images/VN0A542NRKZ-HERO/1","VN0A542NRKZ1")</f>
        <v>VN0A542NRKZ1</v>
      </c>
      <c r="B2907" s="12" t="s">
        <v>10619</v>
      </c>
      <c r="C2907" s="12" t="s">
        <v>10620</v>
      </c>
      <c r="D2907" s="12" t="s">
        <v>6701</v>
      </c>
      <c r="E2907" s="12" t="s">
        <v>10621</v>
      </c>
      <c r="F2907" s="12" t="s">
        <v>78</v>
      </c>
      <c r="G2907" s="14"/>
      <c r="H2907" s="12" t="s">
        <v>79</v>
      </c>
      <c r="I2907" s="12" t="s">
        <v>10622</v>
      </c>
      <c r="J2907" s="12" t="s">
        <v>10623</v>
      </c>
      <c r="K2907" s="12" t="s">
        <v>199</v>
      </c>
      <c r="L2907" s="12" t="s">
        <v>42</v>
      </c>
      <c r="M2907" s="12" t="s">
        <v>43</v>
      </c>
      <c r="N2907" s="12" t="s">
        <v>10624</v>
      </c>
      <c r="O2907" s="12" t="s">
        <v>10625</v>
      </c>
      <c r="P2907" s="12" t="s">
        <v>86</v>
      </c>
      <c r="Q2907" s="12" t="s">
        <v>141</v>
      </c>
      <c r="R2907" s="12" t="s">
        <v>10626</v>
      </c>
      <c r="S2907" s="13">
        <v>194905533494</v>
      </c>
      <c r="T2907" s="12" t="s">
        <v>143</v>
      </c>
      <c r="U2907" s="12" t="s">
        <v>78</v>
      </c>
      <c r="V2907" s="12" t="s">
        <v>10627</v>
      </c>
      <c r="W2907" s="12" t="s">
        <v>455</v>
      </c>
      <c r="X2907" s="14"/>
      <c r="Y2907" s="12" t="s">
        <v>91</v>
      </c>
      <c r="Z2907" s="12" t="s">
        <v>1462</v>
      </c>
      <c r="AA2907" s="12" t="s">
        <v>10628</v>
      </c>
      <c r="AB2907" s="13">
        <v>0</v>
      </c>
      <c r="AC2907" s="15">
        <v>5.5</v>
      </c>
      <c r="AD2907" s="15">
        <f>AC2907*AG2907</f>
        <v>5.5</v>
      </c>
      <c r="AE2907" s="15">
        <v>12</v>
      </c>
      <c r="AF2907" s="15">
        <f>AE2907*AG2907</f>
        <v>12</v>
      </c>
      <c r="AG2907" s="16">
        <v>1</v>
      </c>
    </row>
    <row r="2908" spans="1:33" ht="15" customHeight="1" x14ac:dyDescent="0.2">
      <c r="A2908" s="11" t="str">
        <f>HYPERLINK("https://assets.vans.eu/images/VN0A5LGXDJR-HERO/1","VN0A5LGXDJR1")</f>
        <v>VN0A5LGXDJR1</v>
      </c>
      <c r="B2908" s="12" t="s">
        <v>10629</v>
      </c>
      <c r="C2908" s="12" t="s">
        <v>10630</v>
      </c>
      <c r="D2908" s="12" t="s">
        <v>2829</v>
      </c>
      <c r="E2908" s="12" t="s">
        <v>10631</v>
      </c>
      <c r="F2908" s="12" t="s">
        <v>78</v>
      </c>
      <c r="G2908" s="14"/>
      <c r="H2908" s="12" t="s">
        <v>79</v>
      </c>
      <c r="I2908" s="12" t="s">
        <v>80</v>
      </c>
      <c r="J2908" s="12" t="s">
        <v>171</v>
      </c>
      <c r="K2908" s="12" t="s">
        <v>100</v>
      </c>
      <c r="L2908" s="14"/>
      <c r="M2908" s="12" t="s">
        <v>43</v>
      </c>
      <c r="N2908" s="12" t="s">
        <v>2457</v>
      </c>
      <c r="O2908" s="12" t="s">
        <v>10632</v>
      </c>
      <c r="P2908" s="12" t="s">
        <v>86</v>
      </c>
      <c r="Q2908" s="12" t="s">
        <v>141</v>
      </c>
      <c r="R2908" s="12" t="s">
        <v>173</v>
      </c>
      <c r="S2908" s="13">
        <v>196574922807</v>
      </c>
      <c r="T2908" s="12" t="s">
        <v>143</v>
      </c>
      <c r="U2908" s="12" t="s">
        <v>78</v>
      </c>
      <c r="V2908" s="12" t="s">
        <v>10633</v>
      </c>
      <c r="W2908" s="12" t="s">
        <v>175</v>
      </c>
      <c r="X2908" s="13">
        <v>0</v>
      </c>
      <c r="Y2908" s="12" t="s">
        <v>91</v>
      </c>
      <c r="Z2908" s="12" t="s">
        <v>108</v>
      </c>
      <c r="AA2908" s="13">
        <v>0</v>
      </c>
      <c r="AB2908" s="13">
        <v>0</v>
      </c>
      <c r="AC2908" s="15">
        <v>8.1999999999999993</v>
      </c>
      <c r="AD2908" s="15">
        <f>AC2908*AG2908</f>
        <v>8.1999999999999993</v>
      </c>
      <c r="AE2908" s="15">
        <v>18</v>
      </c>
      <c r="AF2908" s="15">
        <f>AE2908*AG2908</f>
        <v>18</v>
      </c>
      <c r="AG2908" s="16">
        <v>1</v>
      </c>
    </row>
    <row r="2909" spans="1:33" ht="15" customHeight="1" x14ac:dyDescent="0.2">
      <c r="A2909" s="11" t="str">
        <f>HYPERLINK("https://assets.vans.eu/images/VN0A7PQZY28-HERO/1","VN0A7PQZY281")</f>
        <v>VN0A7PQZY281</v>
      </c>
      <c r="B2909" s="12" t="s">
        <v>10634</v>
      </c>
      <c r="C2909" s="12" t="s">
        <v>1323</v>
      </c>
      <c r="D2909" s="12" t="s">
        <v>58</v>
      </c>
      <c r="E2909" s="12" t="s">
        <v>10635</v>
      </c>
      <c r="F2909" s="12" t="s">
        <v>78</v>
      </c>
      <c r="G2909" s="14"/>
      <c r="H2909" s="12" t="s">
        <v>79</v>
      </c>
      <c r="I2909" s="12" t="s">
        <v>80</v>
      </c>
      <c r="J2909" s="12" t="s">
        <v>99</v>
      </c>
      <c r="K2909" s="12" t="s">
        <v>199</v>
      </c>
      <c r="L2909" s="14"/>
      <c r="M2909" s="12" t="s">
        <v>43</v>
      </c>
      <c r="N2909" s="12" t="s">
        <v>161</v>
      </c>
      <c r="O2909" s="12" t="s">
        <v>10636</v>
      </c>
      <c r="P2909" s="12" t="s">
        <v>86</v>
      </c>
      <c r="Q2909" s="12" t="s">
        <v>716</v>
      </c>
      <c r="R2909" s="12" t="s">
        <v>717</v>
      </c>
      <c r="S2909" s="13">
        <v>196571437700</v>
      </c>
      <c r="T2909" s="12" t="s">
        <v>143</v>
      </c>
      <c r="U2909" s="12" t="s">
        <v>78</v>
      </c>
      <c r="V2909" s="12" t="s">
        <v>718</v>
      </c>
      <c r="W2909" s="12" t="s">
        <v>51</v>
      </c>
      <c r="X2909" s="13">
        <v>0</v>
      </c>
      <c r="Y2909" s="12" t="s">
        <v>91</v>
      </c>
      <c r="Z2909" s="12" t="s">
        <v>108</v>
      </c>
      <c r="AA2909" s="13">
        <v>0</v>
      </c>
      <c r="AB2909" s="13">
        <v>0</v>
      </c>
      <c r="AC2909" s="15">
        <v>12.75</v>
      </c>
      <c r="AD2909" s="15">
        <f>AC2909*AG2909</f>
        <v>12.75</v>
      </c>
      <c r="AE2909" s="15">
        <v>28</v>
      </c>
      <c r="AF2909" s="15">
        <f>AE2909*AG2909</f>
        <v>28</v>
      </c>
      <c r="AG2909" s="16">
        <v>1</v>
      </c>
    </row>
    <row r="2910" spans="1:33" ht="15" customHeight="1" x14ac:dyDescent="0.2">
      <c r="A2910" s="11" t="str">
        <f>HYPERLINK("https://assets.vans.eu/images/VN0A7PR1PA9-HERO/1","VN0A7PR1PA91")</f>
        <v>VN0A7PR1PA91</v>
      </c>
      <c r="B2910" s="12" t="s">
        <v>10637</v>
      </c>
      <c r="C2910" s="12" t="s">
        <v>3661</v>
      </c>
      <c r="D2910" s="12" t="s">
        <v>713</v>
      </c>
      <c r="E2910" s="12" t="s">
        <v>10638</v>
      </c>
      <c r="F2910" s="12" t="s">
        <v>78</v>
      </c>
      <c r="G2910" s="14"/>
      <c r="H2910" s="12" t="s">
        <v>79</v>
      </c>
      <c r="I2910" s="12" t="s">
        <v>80</v>
      </c>
      <c r="J2910" s="12" t="s">
        <v>99</v>
      </c>
      <c r="K2910" s="12" t="s">
        <v>199</v>
      </c>
      <c r="L2910" s="14"/>
      <c r="M2910" s="12" t="s">
        <v>43</v>
      </c>
      <c r="N2910" s="12" t="s">
        <v>44</v>
      </c>
      <c r="O2910" s="12" t="s">
        <v>10639</v>
      </c>
      <c r="P2910" s="12" t="s">
        <v>86</v>
      </c>
      <c r="Q2910" s="12" t="s">
        <v>716</v>
      </c>
      <c r="R2910" s="12" t="s">
        <v>717</v>
      </c>
      <c r="S2910" s="13">
        <v>196571451492</v>
      </c>
      <c r="T2910" s="12" t="s">
        <v>143</v>
      </c>
      <c r="U2910" s="12" t="s">
        <v>78</v>
      </c>
      <c r="V2910" s="12" t="s">
        <v>718</v>
      </c>
      <c r="W2910" s="12" t="s">
        <v>186</v>
      </c>
      <c r="X2910" s="13">
        <v>0</v>
      </c>
      <c r="Y2910" s="12" t="s">
        <v>91</v>
      </c>
      <c r="Z2910" s="12" t="s">
        <v>108</v>
      </c>
      <c r="AA2910" s="13">
        <v>0</v>
      </c>
      <c r="AB2910" s="13">
        <v>0</v>
      </c>
      <c r="AC2910" s="15">
        <v>12.75</v>
      </c>
      <c r="AD2910" s="15">
        <f>AC2910*AG2910</f>
        <v>12.75</v>
      </c>
      <c r="AE2910" s="15">
        <v>28</v>
      </c>
      <c r="AF2910" s="15">
        <f>AE2910*AG2910</f>
        <v>28</v>
      </c>
      <c r="AG2910" s="16">
        <v>1</v>
      </c>
    </row>
    <row r="2911" spans="1:33" ht="15" customHeight="1" x14ac:dyDescent="0.2">
      <c r="A2911" s="11" t="str">
        <f>HYPERLINK("https://assets.vans.eu/images/VN0A7S96BLK-HERO/1","VN0A7S96BLK1")</f>
        <v>VN0A7S96BLK1</v>
      </c>
      <c r="B2911" s="12" t="s">
        <v>10640</v>
      </c>
      <c r="C2911" s="12" t="s">
        <v>6215</v>
      </c>
      <c r="D2911" s="12" t="s">
        <v>76</v>
      </c>
      <c r="E2911" s="12" t="s">
        <v>10641</v>
      </c>
      <c r="F2911" s="12" t="s">
        <v>491</v>
      </c>
      <c r="G2911" s="14"/>
      <c r="H2911" s="12" t="s">
        <v>79</v>
      </c>
      <c r="I2911" s="12" t="s">
        <v>80</v>
      </c>
      <c r="J2911" s="12" t="s">
        <v>349</v>
      </c>
      <c r="K2911" s="12" t="s">
        <v>199</v>
      </c>
      <c r="L2911" s="14"/>
      <c r="M2911" s="12" t="s">
        <v>43</v>
      </c>
      <c r="N2911" s="12" t="s">
        <v>44</v>
      </c>
      <c r="O2911" s="12" t="s">
        <v>10642</v>
      </c>
      <c r="P2911" s="12" t="s">
        <v>86</v>
      </c>
      <c r="Q2911" s="12" t="s">
        <v>128</v>
      </c>
      <c r="R2911" s="12" t="s">
        <v>352</v>
      </c>
      <c r="S2911" s="13">
        <v>196014151415</v>
      </c>
      <c r="T2911" s="12" t="s">
        <v>164</v>
      </c>
      <c r="U2911" s="12" t="s">
        <v>491</v>
      </c>
      <c r="V2911" s="12" t="s">
        <v>1179</v>
      </c>
      <c r="W2911" s="12" t="s">
        <v>51</v>
      </c>
      <c r="X2911" s="13">
        <v>0</v>
      </c>
      <c r="Y2911" s="12" t="s">
        <v>91</v>
      </c>
      <c r="Z2911" s="12" t="s">
        <v>108</v>
      </c>
      <c r="AA2911" s="13">
        <v>0</v>
      </c>
      <c r="AB2911" s="13">
        <v>0</v>
      </c>
      <c r="AC2911" s="15">
        <v>19.100000000000001</v>
      </c>
      <c r="AD2911" s="15">
        <f>AC2911*AG2911</f>
        <v>19.100000000000001</v>
      </c>
      <c r="AE2911" s="15">
        <v>42</v>
      </c>
      <c r="AF2911" s="15">
        <f>AE2911*AG2911</f>
        <v>42</v>
      </c>
      <c r="AG2911" s="16">
        <v>1</v>
      </c>
    </row>
    <row r="2912" spans="1:33" ht="15" customHeight="1" x14ac:dyDescent="0.2">
      <c r="A2912" s="11" t="str">
        <f t="shared" si="838"/>
        <v>VN000389BQC1</v>
      </c>
      <c r="B2912" s="12" t="s">
        <v>10643</v>
      </c>
      <c r="C2912" s="12" t="s">
        <v>7709</v>
      </c>
      <c r="D2912" s="12" t="s">
        <v>7710</v>
      </c>
      <c r="E2912" s="12" t="s">
        <v>10644</v>
      </c>
      <c r="F2912" s="12" t="s">
        <v>60</v>
      </c>
      <c r="G2912" s="14"/>
      <c r="H2912" s="12" t="s">
        <v>61</v>
      </c>
      <c r="I2912" s="12" t="s">
        <v>289</v>
      </c>
      <c r="J2912" s="12" t="s">
        <v>706</v>
      </c>
      <c r="K2912" s="12" t="s">
        <v>100</v>
      </c>
      <c r="L2912" s="14"/>
      <c r="M2912" s="12" t="s">
        <v>43</v>
      </c>
      <c r="N2912" s="12" t="s">
        <v>467</v>
      </c>
      <c r="O2912" s="12" t="s">
        <v>10645</v>
      </c>
      <c r="P2912" s="12" t="s">
        <v>66</v>
      </c>
      <c r="Q2912" s="12" t="s">
        <v>67</v>
      </c>
      <c r="R2912" s="12" t="s">
        <v>1200</v>
      </c>
      <c r="S2912" s="13">
        <v>196571636967</v>
      </c>
      <c r="T2912" s="12" t="s">
        <v>105</v>
      </c>
      <c r="U2912" s="12" t="s">
        <v>60</v>
      </c>
      <c r="V2912" s="12" t="s">
        <v>7713</v>
      </c>
      <c r="W2912" s="12" t="s">
        <v>284</v>
      </c>
      <c r="X2912" s="13">
        <v>0</v>
      </c>
      <c r="Y2912" s="12" t="s">
        <v>53</v>
      </c>
      <c r="Z2912" s="12" t="s">
        <v>6135</v>
      </c>
      <c r="AA2912" s="13">
        <v>0</v>
      </c>
      <c r="AB2912" s="13">
        <v>0</v>
      </c>
      <c r="AC2912" s="15">
        <v>22.75</v>
      </c>
      <c r="AD2912" s="15">
        <f>AC2912*AG2912</f>
        <v>22.75</v>
      </c>
      <c r="AE2912" s="15">
        <v>50</v>
      </c>
      <c r="AF2912" s="15">
        <f>AE2912*AG2912</f>
        <v>50</v>
      </c>
      <c r="AG2912" s="16">
        <v>1</v>
      </c>
    </row>
    <row r="2913" spans="1:33" ht="15" customHeight="1" x14ac:dyDescent="0.2">
      <c r="A2913" s="11" t="str">
        <f>HYPERLINK("https://assets.vans.eu/images/VN000389BQC-HERO/1","VN000389BQC1")</f>
        <v>VN000389BQC1</v>
      </c>
      <c r="B2913" s="12" t="s">
        <v>10646</v>
      </c>
      <c r="C2913" s="12" t="s">
        <v>7709</v>
      </c>
      <c r="D2913" s="12" t="s">
        <v>7710</v>
      </c>
      <c r="E2913" s="12" t="s">
        <v>10647</v>
      </c>
      <c r="F2913" s="12" t="s">
        <v>153</v>
      </c>
      <c r="G2913" s="14"/>
      <c r="H2913" s="12" t="s">
        <v>61</v>
      </c>
      <c r="I2913" s="12" t="s">
        <v>289</v>
      </c>
      <c r="J2913" s="12" t="s">
        <v>706</v>
      </c>
      <c r="K2913" s="12" t="s">
        <v>100</v>
      </c>
      <c r="L2913" s="14"/>
      <c r="M2913" s="12" t="s">
        <v>43</v>
      </c>
      <c r="N2913" s="12" t="s">
        <v>467</v>
      </c>
      <c r="O2913" s="12" t="s">
        <v>10648</v>
      </c>
      <c r="P2913" s="12" t="s">
        <v>66</v>
      </c>
      <c r="Q2913" s="12" t="s">
        <v>67</v>
      </c>
      <c r="R2913" s="12" t="s">
        <v>1200</v>
      </c>
      <c r="S2913" s="13">
        <v>196571637117</v>
      </c>
      <c r="T2913" s="12" t="s">
        <v>105</v>
      </c>
      <c r="U2913" s="12" t="s">
        <v>153</v>
      </c>
      <c r="V2913" s="12" t="s">
        <v>7713</v>
      </c>
      <c r="W2913" s="12" t="s">
        <v>284</v>
      </c>
      <c r="X2913" s="13">
        <v>0</v>
      </c>
      <c r="Y2913" s="12" t="s">
        <v>53</v>
      </c>
      <c r="Z2913" s="12" t="s">
        <v>6135</v>
      </c>
      <c r="AA2913" s="13">
        <v>0</v>
      </c>
      <c r="AB2913" s="13">
        <v>0</v>
      </c>
      <c r="AC2913" s="15">
        <v>22.75</v>
      </c>
      <c r="AD2913" s="15">
        <f>AC2913*AG2913</f>
        <v>22.75</v>
      </c>
      <c r="AE2913" s="15">
        <v>50</v>
      </c>
      <c r="AF2913" s="15">
        <f>AE2913*AG2913</f>
        <v>50</v>
      </c>
      <c r="AG2913" s="16">
        <v>1</v>
      </c>
    </row>
    <row r="2914" spans="1:33" ht="15" customHeight="1" x14ac:dyDescent="0.2">
      <c r="A2914" s="11" t="str">
        <f t="shared" si="839"/>
        <v>VN000395WHT1</v>
      </c>
      <c r="B2914" s="12" t="s">
        <v>10649</v>
      </c>
      <c r="C2914" s="12" t="s">
        <v>7715</v>
      </c>
      <c r="D2914" s="12" t="s">
        <v>168</v>
      </c>
      <c r="E2914" s="12" t="s">
        <v>10650</v>
      </c>
      <c r="F2914" s="12" t="s">
        <v>60</v>
      </c>
      <c r="G2914" s="14"/>
      <c r="H2914" s="12" t="s">
        <v>61</v>
      </c>
      <c r="I2914" s="12" t="s">
        <v>289</v>
      </c>
      <c r="J2914" s="12" t="s">
        <v>290</v>
      </c>
      <c r="K2914" s="12" t="s">
        <v>100</v>
      </c>
      <c r="L2914" s="12" t="s">
        <v>350</v>
      </c>
      <c r="M2914" s="12" t="s">
        <v>43</v>
      </c>
      <c r="N2914" s="12" t="s">
        <v>274</v>
      </c>
      <c r="O2914" s="12" t="s">
        <v>10651</v>
      </c>
      <c r="P2914" s="12" t="s">
        <v>66</v>
      </c>
      <c r="Q2914" s="12" t="s">
        <v>233</v>
      </c>
      <c r="R2914" s="12" t="s">
        <v>664</v>
      </c>
      <c r="S2914" s="13">
        <v>196571420146</v>
      </c>
      <c r="T2914" s="12" t="s">
        <v>143</v>
      </c>
      <c r="U2914" s="12" t="s">
        <v>60</v>
      </c>
      <c r="V2914" s="12" t="s">
        <v>7718</v>
      </c>
      <c r="W2914" s="12" t="s">
        <v>175</v>
      </c>
      <c r="X2914" s="13">
        <v>0</v>
      </c>
      <c r="Y2914" s="12" t="s">
        <v>71</v>
      </c>
      <c r="Z2914" s="12" t="s">
        <v>92</v>
      </c>
      <c r="AA2914" s="12" t="s">
        <v>354</v>
      </c>
      <c r="AB2914" s="12" t="s">
        <v>355</v>
      </c>
      <c r="AC2914" s="15">
        <v>34.1</v>
      </c>
      <c r="AD2914" s="15">
        <f>AC2914*AG2914</f>
        <v>34.1</v>
      </c>
      <c r="AE2914" s="15">
        <v>75</v>
      </c>
      <c r="AF2914" s="15">
        <f>AE2914*AG2914</f>
        <v>75</v>
      </c>
      <c r="AG2914" s="16">
        <v>1</v>
      </c>
    </row>
    <row r="2915" spans="1:33" ht="15" customHeight="1" x14ac:dyDescent="0.2">
      <c r="A2915" s="11" t="str">
        <f>HYPERLINK("https://assets.vans.eu/images/VN000395WHT-HERO/1","VN000395WHT1")</f>
        <v>VN000395WHT1</v>
      </c>
      <c r="B2915" s="12" t="s">
        <v>10652</v>
      </c>
      <c r="C2915" s="12" t="s">
        <v>7715</v>
      </c>
      <c r="D2915" s="12" t="s">
        <v>168</v>
      </c>
      <c r="E2915" s="12" t="s">
        <v>10653</v>
      </c>
      <c r="F2915" s="12" t="s">
        <v>138</v>
      </c>
      <c r="G2915" s="14"/>
      <c r="H2915" s="12" t="s">
        <v>61</v>
      </c>
      <c r="I2915" s="12" t="s">
        <v>289</v>
      </c>
      <c r="J2915" s="12" t="s">
        <v>290</v>
      </c>
      <c r="K2915" s="12" t="s">
        <v>100</v>
      </c>
      <c r="L2915" s="12" t="s">
        <v>350</v>
      </c>
      <c r="M2915" s="12" t="s">
        <v>43</v>
      </c>
      <c r="N2915" s="12" t="s">
        <v>274</v>
      </c>
      <c r="O2915" s="12" t="s">
        <v>10654</v>
      </c>
      <c r="P2915" s="12" t="s">
        <v>66</v>
      </c>
      <c r="Q2915" s="12" t="s">
        <v>233</v>
      </c>
      <c r="R2915" s="12" t="s">
        <v>664</v>
      </c>
      <c r="S2915" s="13">
        <v>196571420177</v>
      </c>
      <c r="T2915" s="12" t="s">
        <v>143</v>
      </c>
      <c r="U2915" s="12" t="s">
        <v>138</v>
      </c>
      <c r="V2915" s="12" t="s">
        <v>7718</v>
      </c>
      <c r="W2915" s="12" t="s">
        <v>175</v>
      </c>
      <c r="X2915" s="13">
        <v>0</v>
      </c>
      <c r="Y2915" s="12" t="s">
        <v>71</v>
      </c>
      <c r="Z2915" s="12" t="s">
        <v>92</v>
      </c>
      <c r="AA2915" s="12" t="s">
        <v>354</v>
      </c>
      <c r="AB2915" s="12" t="s">
        <v>355</v>
      </c>
      <c r="AC2915" s="15">
        <v>34.1</v>
      </c>
      <c r="AD2915" s="15">
        <f>AC2915*AG2915</f>
        <v>34.1</v>
      </c>
      <c r="AE2915" s="15">
        <v>75</v>
      </c>
      <c r="AF2915" s="15">
        <f>AE2915*AG2915</f>
        <v>75</v>
      </c>
      <c r="AG2915" s="16">
        <v>1</v>
      </c>
    </row>
    <row r="2916" spans="1:33" ht="15" customHeight="1" x14ac:dyDescent="0.2">
      <c r="A2916" s="11" t="str">
        <f>HYPERLINK("https://assets.vans.eu/images/VN0003P3ATA-HERO/1","VN0003P3ATA1")</f>
        <v>VN0003P3ATA1</v>
      </c>
      <c r="B2916" s="12" t="s">
        <v>10655</v>
      </c>
      <c r="C2916" s="12" t="s">
        <v>7720</v>
      </c>
      <c r="D2916" s="12" t="s">
        <v>10656</v>
      </c>
      <c r="E2916" s="12" t="s">
        <v>10657</v>
      </c>
      <c r="F2916" s="12" t="s">
        <v>403</v>
      </c>
      <c r="G2916" s="14"/>
      <c r="H2916" s="12" t="s">
        <v>61</v>
      </c>
      <c r="I2916" s="12" t="s">
        <v>62</v>
      </c>
      <c r="J2916" s="12" t="s">
        <v>63</v>
      </c>
      <c r="K2916" s="12" t="s">
        <v>64</v>
      </c>
      <c r="L2916" s="14"/>
      <c r="M2916" s="12" t="s">
        <v>43</v>
      </c>
      <c r="N2916" s="12" t="s">
        <v>10585</v>
      </c>
      <c r="O2916" s="12" t="s">
        <v>10658</v>
      </c>
      <c r="P2916" s="12" t="s">
        <v>66</v>
      </c>
      <c r="Q2916" s="12" t="s">
        <v>67</v>
      </c>
      <c r="R2916" s="12" t="s">
        <v>68</v>
      </c>
      <c r="S2916" s="13">
        <v>193391155401</v>
      </c>
      <c r="T2916" s="12" t="s">
        <v>10659</v>
      </c>
      <c r="U2916" s="12" t="s">
        <v>403</v>
      </c>
      <c r="V2916" s="12" t="s">
        <v>70</v>
      </c>
      <c r="W2916" s="12" t="s">
        <v>175</v>
      </c>
      <c r="X2916" s="14"/>
      <c r="Y2916" s="12" t="s">
        <v>71</v>
      </c>
      <c r="Z2916" s="12" t="s">
        <v>2600</v>
      </c>
      <c r="AA2916" s="14"/>
      <c r="AB2916" s="13">
        <v>0</v>
      </c>
      <c r="AC2916" s="15">
        <v>12.75</v>
      </c>
      <c r="AD2916" s="15">
        <f>AC2916*AG2916</f>
        <v>12.75</v>
      </c>
      <c r="AE2916" s="15">
        <v>28</v>
      </c>
      <c r="AF2916" s="15">
        <f>AE2916*AG2916</f>
        <v>28</v>
      </c>
      <c r="AG2916" s="16">
        <v>1</v>
      </c>
    </row>
    <row r="2917" spans="1:33" ht="15" customHeight="1" x14ac:dyDescent="0.2">
      <c r="A2917" s="11" t="str">
        <f>HYPERLINK("https://assets.vans.eu/images/VN00045DBQL-HERO/1","VN00045DBQL1")</f>
        <v>VN00045DBQL1</v>
      </c>
      <c r="B2917" s="12" t="s">
        <v>10660</v>
      </c>
      <c r="C2917" s="12" t="s">
        <v>10661</v>
      </c>
      <c r="D2917" s="12" t="s">
        <v>10662</v>
      </c>
      <c r="E2917" s="12" t="s">
        <v>10663</v>
      </c>
      <c r="F2917" s="12" t="s">
        <v>179</v>
      </c>
      <c r="G2917" s="14"/>
      <c r="H2917" s="12" t="s">
        <v>61</v>
      </c>
      <c r="I2917" s="12" t="s">
        <v>289</v>
      </c>
      <c r="J2917" s="12" t="s">
        <v>706</v>
      </c>
      <c r="K2917" s="12" t="s">
        <v>100</v>
      </c>
      <c r="L2917" s="14"/>
      <c r="M2917" s="12" t="s">
        <v>43</v>
      </c>
      <c r="N2917" s="12" t="s">
        <v>101</v>
      </c>
      <c r="O2917" s="12" t="s">
        <v>10664</v>
      </c>
      <c r="P2917" s="12" t="s">
        <v>66</v>
      </c>
      <c r="Q2917" s="12" t="s">
        <v>67</v>
      </c>
      <c r="R2917" s="12" t="s">
        <v>708</v>
      </c>
      <c r="S2917" s="13">
        <v>196573898738</v>
      </c>
      <c r="T2917" s="12" t="s">
        <v>69</v>
      </c>
      <c r="U2917" s="12" t="s">
        <v>179</v>
      </c>
      <c r="V2917" s="12" t="s">
        <v>70</v>
      </c>
      <c r="W2917" s="12" t="s">
        <v>299</v>
      </c>
      <c r="X2917" s="13">
        <v>0</v>
      </c>
      <c r="Y2917" s="12" t="s">
        <v>53</v>
      </c>
      <c r="Z2917" s="12" t="s">
        <v>108</v>
      </c>
      <c r="AA2917" s="13">
        <v>0</v>
      </c>
      <c r="AB2917" s="13">
        <v>0</v>
      </c>
      <c r="AC2917" s="15">
        <v>38.65</v>
      </c>
      <c r="AD2917" s="15">
        <f>AC2917*AG2917</f>
        <v>38.65</v>
      </c>
      <c r="AE2917" s="15">
        <v>85</v>
      </c>
      <c r="AF2917" s="15">
        <f>AE2917*AG2917</f>
        <v>85</v>
      </c>
      <c r="AG2917" s="16">
        <v>1</v>
      </c>
    </row>
    <row r="2918" spans="1:33" ht="15" customHeight="1" x14ac:dyDescent="0.2">
      <c r="A2918" s="11" t="str">
        <f>HYPERLINK("https://assets.vans.eu/images/VN000508BKA-HERO/1","VN000508BKA1")</f>
        <v>VN000508BKA1</v>
      </c>
      <c r="B2918" s="12" t="s">
        <v>10665</v>
      </c>
      <c r="C2918" s="12" t="s">
        <v>10666</v>
      </c>
      <c r="D2918" s="12" t="s">
        <v>252</v>
      </c>
      <c r="E2918" s="12" t="s">
        <v>10667</v>
      </c>
      <c r="F2918" s="12" t="s">
        <v>153</v>
      </c>
      <c r="G2918" s="14"/>
      <c r="H2918" s="12" t="s">
        <v>61</v>
      </c>
      <c r="I2918" s="12" t="s">
        <v>289</v>
      </c>
      <c r="J2918" s="12" t="s">
        <v>706</v>
      </c>
      <c r="K2918" s="12" t="s">
        <v>100</v>
      </c>
      <c r="L2918" s="12" t="s">
        <v>350</v>
      </c>
      <c r="M2918" s="12" t="s">
        <v>43</v>
      </c>
      <c r="N2918" s="12" t="s">
        <v>84</v>
      </c>
      <c r="O2918" s="12" t="s">
        <v>10668</v>
      </c>
      <c r="P2918" s="12" t="s">
        <v>66</v>
      </c>
      <c r="Q2918" s="12" t="s">
        <v>67</v>
      </c>
      <c r="R2918" s="12" t="s">
        <v>708</v>
      </c>
      <c r="S2918" s="13">
        <v>196575214093</v>
      </c>
      <c r="T2918" s="12" t="s">
        <v>69</v>
      </c>
      <c r="U2918" s="12" t="s">
        <v>153</v>
      </c>
      <c r="V2918" s="12" t="s">
        <v>10669</v>
      </c>
      <c r="W2918" s="12" t="s">
        <v>51</v>
      </c>
      <c r="X2918" s="13">
        <v>0</v>
      </c>
      <c r="Y2918" s="12" t="s">
        <v>71</v>
      </c>
      <c r="Z2918" s="12" t="s">
        <v>92</v>
      </c>
      <c r="AA2918" s="12" t="s">
        <v>354</v>
      </c>
      <c r="AB2918" s="12" t="s">
        <v>355</v>
      </c>
      <c r="AC2918" s="15">
        <v>32.75</v>
      </c>
      <c r="AD2918" s="15">
        <f>AC2918*AG2918</f>
        <v>32.75</v>
      </c>
      <c r="AE2918" s="15">
        <v>72</v>
      </c>
      <c r="AF2918" s="15">
        <f>AE2918*AG2918</f>
        <v>72</v>
      </c>
      <c r="AG2918" s="16">
        <v>1</v>
      </c>
    </row>
    <row r="2919" spans="1:33" ht="15" customHeight="1" x14ac:dyDescent="0.2">
      <c r="A2919" s="11" t="str">
        <f>HYPERLINK("https://assets.vans.eu/images/VN00065PG5O-HERO/1","VN00065PG5O1")</f>
        <v>VN00065PG5O1</v>
      </c>
      <c r="B2919" s="12" t="s">
        <v>10670</v>
      </c>
      <c r="C2919" s="12" t="s">
        <v>10671</v>
      </c>
      <c r="D2919" s="12" t="s">
        <v>6228</v>
      </c>
      <c r="E2919" s="12" t="s">
        <v>10672</v>
      </c>
      <c r="F2919" s="12" t="s">
        <v>60</v>
      </c>
      <c r="G2919" s="14"/>
      <c r="H2919" s="12" t="s">
        <v>61</v>
      </c>
      <c r="I2919" s="12" t="s">
        <v>62</v>
      </c>
      <c r="J2919" s="12" t="s">
        <v>63</v>
      </c>
      <c r="K2919" s="12" t="s">
        <v>64</v>
      </c>
      <c r="L2919" s="14"/>
      <c r="M2919" s="12" t="s">
        <v>43</v>
      </c>
      <c r="N2919" s="12" t="s">
        <v>467</v>
      </c>
      <c r="O2919" s="12" t="s">
        <v>10673</v>
      </c>
      <c r="P2919" s="12" t="s">
        <v>66</v>
      </c>
      <c r="Q2919" s="12" t="s">
        <v>67</v>
      </c>
      <c r="R2919" s="12" t="s">
        <v>730</v>
      </c>
      <c r="S2919" s="13">
        <v>196571426025</v>
      </c>
      <c r="T2919" s="12" t="s">
        <v>49</v>
      </c>
      <c r="U2919" s="12" t="s">
        <v>60</v>
      </c>
      <c r="V2919" s="12" t="s">
        <v>10674</v>
      </c>
      <c r="W2919" s="12" t="s">
        <v>284</v>
      </c>
      <c r="X2919" s="13">
        <v>0</v>
      </c>
      <c r="Y2919" s="12" t="s">
        <v>91</v>
      </c>
      <c r="Z2919" s="12" t="s">
        <v>108</v>
      </c>
      <c r="AA2919" s="13">
        <v>0</v>
      </c>
      <c r="AB2919" s="13">
        <v>0</v>
      </c>
      <c r="AC2919" s="15">
        <v>31.85</v>
      </c>
      <c r="AD2919" s="15">
        <f>AC2919*AG2919</f>
        <v>31.85</v>
      </c>
      <c r="AE2919" s="15">
        <v>70</v>
      </c>
      <c r="AF2919" s="15">
        <f>AE2919*AG2919</f>
        <v>70</v>
      </c>
      <c r="AG2919" s="16">
        <v>1</v>
      </c>
    </row>
    <row r="2920" spans="1:33" ht="15" customHeight="1" x14ac:dyDescent="0.2">
      <c r="A2920" s="11" t="str">
        <f>HYPERLINK("https://assets.vans.eu/images/VN00074MBYP-HERO/1","VN00074MBYP1")</f>
        <v>VN00074MBYP1</v>
      </c>
      <c r="B2920" s="12" t="s">
        <v>10675</v>
      </c>
      <c r="C2920" s="12" t="s">
        <v>7727</v>
      </c>
      <c r="D2920" s="12" t="s">
        <v>183</v>
      </c>
      <c r="E2920" s="12" t="s">
        <v>10676</v>
      </c>
      <c r="F2920" s="12" t="s">
        <v>170</v>
      </c>
      <c r="G2920" s="14"/>
      <c r="H2920" s="12" t="s">
        <v>61</v>
      </c>
      <c r="I2920" s="12" t="s">
        <v>289</v>
      </c>
      <c r="J2920" s="12" t="s">
        <v>706</v>
      </c>
      <c r="K2920" s="12" t="s">
        <v>100</v>
      </c>
      <c r="L2920" s="14"/>
      <c r="M2920" s="12" t="s">
        <v>43</v>
      </c>
      <c r="N2920" s="12" t="s">
        <v>101</v>
      </c>
      <c r="O2920" s="12" t="s">
        <v>10677</v>
      </c>
      <c r="P2920" s="12" t="s">
        <v>66</v>
      </c>
      <c r="Q2920" s="12" t="s">
        <v>67</v>
      </c>
      <c r="R2920" s="12" t="s">
        <v>1200</v>
      </c>
      <c r="S2920" s="13">
        <v>196573555242</v>
      </c>
      <c r="T2920" s="12" t="s">
        <v>1517</v>
      </c>
      <c r="U2920" s="12" t="s">
        <v>170</v>
      </c>
      <c r="V2920" s="12" t="s">
        <v>70</v>
      </c>
      <c r="W2920" s="12" t="s">
        <v>186</v>
      </c>
      <c r="X2920" s="13">
        <v>0</v>
      </c>
      <c r="Y2920" s="12" t="s">
        <v>91</v>
      </c>
      <c r="Z2920" s="12" t="s">
        <v>108</v>
      </c>
      <c r="AA2920" s="13">
        <v>0</v>
      </c>
      <c r="AB2920" s="13">
        <v>0</v>
      </c>
      <c r="AC2920" s="15">
        <v>36.4</v>
      </c>
      <c r="AD2920" s="15">
        <f>AC2920*AG2920</f>
        <v>36.4</v>
      </c>
      <c r="AE2920" s="15">
        <v>80</v>
      </c>
      <c r="AF2920" s="15">
        <f>AE2920*AG2920</f>
        <v>80</v>
      </c>
      <c r="AG2920" s="16">
        <v>1</v>
      </c>
    </row>
    <row r="2921" spans="1:33" ht="15" customHeight="1" x14ac:dyDescent="0.2">
      <c r="A2921" s="11" t="str">
        <f>HYPERLINK("https://assets.vans.eu/images/VN0007Z5G5O-HERO/1","VN0007Z5G5O1")</f>
        <v>VN0007Z5G5O1</v>
      </c>
      <c r="B2921" s="12" t="s">
        <v>10678</v>
      </c>
      <c r="C2921" s="12" t="s">
        <v>10679</v>
      </c>
      <c r="D2921" s="12" t="s">
        <v>6228</v>
      </c>
      <c r="E2921" s="12" t="s">
        <v>10680</v>
      </c>
      <c r="F2921" s="12" t="s">
        <v>170</v>
      </c>
      <c r="G2921" s="14"/>
      <c r="H2921" s="12" t="s">
        <v>61</v>
      </c>
      <c r="I2921" s="12" t="s">
        <v>62</v>
      </c>
      <c r="J2921" s="12" t="s">
        <v>972</v>
      </c>
      <c r="K2921" s="12" t="s">
        <v>64</v>
      </c>
      <c r="L2921" s="14"/>
      <c r="M2921" s="12" t="s">
        <v>43</v>
      </c>
      <c r="N2921" s="12" t="s">
        <v>467</v>
      </c>
      <c r="O2921" s="12" t="s">
        <v>10681</v>
      </c>
      <c r="P2921" s="12" t="s">
        <v>66</v>
      </c>
      <c r="Q2921" s="12" t="s">
        <v>233</v>
      </c>
      <c r="R2921" s="12" t="s">
        <v>1024</v>
      </c>
      <c r="S2921" s="13">
        <v>196571435010</v>
      </c>
      <c r="T2921" s="12" t="s">
        <v>49</v>
      </c>
      <c r="U2921" s="12" t="s">
        <v>170</v>
      </c>
      <c r="V2921" s="12" t="s">
        <v>10674</v>
      </c>
      <c r="W2921" s="12" t="s">
        <v>284</v>
      </c>
      <c r="X2921" s="13">
        <v>0</v>
      </c>
      <c r="Y2921" s="12" t="s">
        <v>91</v>
      </c>
      <c r="Z2921" s="12" t="s">
        <v>108</v>
      </c>
      <c r="AA2921" s="13">
        <v>0</v>
      </c>
      <c r="AB2921" s="13">
        <v>0</v>
      </c>
      <c r="AC2921" s="15">
        <v>22.75</v>
      </c>
      <c r="AD2921" s="15">
        <f>AC2921*AG2921</f>
        <v>22.75</v>
      </c>
      <c r="AE2921" s="15">
        <v>50</v>
      </c>
      <c r="AF2921" s="15">
        <f>AE2921*AG2921</f>
        <v>50</v>
      </c>
      <c r="AG2921" s="16">
        <v>1</v>
      </c>
    </row>
    <row r="2922" spans="1:33" ht="15" customHeight="1" x14ac:dyDescent="0.2">
      <c r="A2922" s="11" t="str">
        <f>HYPERLINK("https://assets.vans.eu/images/VN00087WBLK-HERO/1","VN00087WBLK1")</f>
        <v>VN00087WBLK1</v>
      </c>
      <c r="B2922" s="12" t="s">
        <v>10682</v>
      </c>
      <c r="C2922" s="12" t="s">
        <v>10683</v>
      </c>
      <c r="D2922" s="12" t="s">
        <v>76</v>
      </c>
      <c r="E2922" s="12" t="s">
        <v>10684</v>
      </c>
      <c r="F2922" s="12" t="s">
        <v>60</v>
      </c>
      <c r="G2922" s="14"/>
      <c r="H2922" s="12" t="s">
        <v>61</v>
      </c>
      <c r="I2922" s="12" t="s">
        <v>62</v>
      </c>
      <c r="J2922" s="12" t="s">
        <v>63</v>
      </c>
      <c r="K2922" s="12" t="s">
        <v>64</v>
      </c>
      <c r="L2922" s="12" t="s">
        <v>83</v>
      </c>
      <c r="M2922" s="12" t="s">
        <v>43</v>
      </c>
      <c r="N2922" s="12" t="s">
        <v>84</v>
      </c>
      <c r="O2922" s="12" t="s">
        <v>10685</v>
      </c>
      <c r="P2922" s="12" t="s">
        <v>66</v>
      </c>
      <c r="Q2922" s="12" t="s">
        <v>67</v>
      </c>
      <c r="R2922" s="12" t="s">
        <v>730</v>
      </c>
      <c r="S2922" s="13">
        <v>196573899599</v>
      </c>
      <c r="T2922" s="12" t="s">
        <v>69</v>
      </c>
      <c r="U2922" s="12" t="s">
        <v>60</v>
      </c>
      <c r="V2922" s="12" t="s">
        <v>1378</v>
      </c>
      <c r="W2922" s="12" t="s">
        <v>51</v>
      </c>
      <c r="X2922" s="13">
        <v>0</v>
      </c>
      <c r="Y2922" s="12" t="s">
        <v>71</v>
      </c>
      <c r="Z2922" s="12" t="s">
        <v>92</v>
      </c>
      <c r="AA2922" s="12" t="s">
        <v>354</v>
      </c>
      <c r="AB2922" s="12" t="s">
        <v>355</v>
      </c>
      <c r="AC2922" s="15">
        <v>29.55</v>
      </c>
      <c r="AD2922" s="15">
        <f>AC2922*AG2922</f>
        <v>29.55</v>
      </c>
      <c r="AE2922" s="15">
        <v>65</v>
      </c>
      <c r="AF2922" s="15">
        <f>AE2922*AG2922</f>
        <v>65</v>
      </c>
      <c r="AG2922" s="16">
        <v>1</v>
      </c>
    </row>
    <row r="2923" spans="1:33" ht="15" customHeight="1" x14ac:dyDescent="0.2">
      <c r="A2923" s="11" t="str">
        <f>HYPERLINK("https://assets.vans.eu/images/VN0008BJBLK-HERO/1","VN0008BJBLK1")</f>
        <v>VN0008BJBLK1</v>
      </c>
      <c r="B2923" s="12" t="s">
        <v>10686</v>
      </c>
      <c r="C2923" s="12" t="s">
        <v>10687</v>
      </c>
      <c r="D2923" s="12" t="s">
        <v>76</v>
      </c>
      <c r="E2923" s="12" t="s">
        <v>10688</v>
      </c>
      <c r="F2923" s="12" t="s">
        <v>403</v>
      </c>
      <c r="G2923" s="14"/>
      <c r="H2923" s="12" t="s">
        <v>61</v>
      </c>
      <c r="I2923" s="12" t="s">
        <v>62</v>
      </c>
      <c r="J2923" s="12" t="s">
        <v>63</v>
      </c>
      <c r="K2923" s="12" t="s">
        <v>64</v>
      </c>
      <c r="L2923" s="14"/>
      <c r="M2923" s="12" t="s">
        <v>43</v>
      </c>
      <c r="N2923" s="12" t="s">
        <v>161</v>
      </c>
      <c r="O2923" s="12" t="s">
        <v>10689</v>
      </c>
      <c r="P2923" s="12" t="s">
        <v>66</v>
      </c>
      <c r="Q2923" s="12" t="s">
        <v>67</v>
      </c>
      <c r="R2923" s="12" t="s">
        <v>730</v>
      </c>
      <c r="S2923" s="13">
        <v>196573899926</v>
      </c>
      <c r="T2923" s="12" t="s">
        <v>69</v>
      </c>
      <c r="U2923" s="12" t="s">
        <v>403</v>
      </c>
      <c r="V2923" s="12" t="s">
        <v>70</v>
      </c>
      <c r="W2923" s="12" t="s">
        <v>51</v>
      </c>
      <c r="X2923" s="13">
        <v>0</v>
      </c>
      <c r="Y2923" s="12" t="s">
        <v>71</v>
      </c>
      <c r="Z2923" s="12" t="s">
        <v>92</v>
      </c>
      <c r="AA2923" s="12" t="s">
        <v>354</v>
      </c>
      <c r="AB2923" s="13">
        <v>0</v>
      </c>
      <c r="AC2923" s="15">
        <v>27.3</v>
      </c>
      <c r="AD2923" s="15">
        <f>AC2923*AG2923</f>
        <v>27.3</v>
      </c>
      <c r="AE2923" s="15">
        <v>60</v>
      </c>
      <c r="AF2923" s="15">
        <f>AE2923*AG2923</f>
        <v>60</v>
      </c>
      <c r="AG2923" s="16">
        <v>1</v>
      </c>
    </row>
    <row r="2924" spans="1:33" ht="15" customHeight="1" x14ac:dyDescent="0.2">
      <c r="A2924" s="11" t="str">
        <f>HYPERLINK("https://assets.vans.eu/images/VN0008C6589-HERO/1","VN0008C65891")</f>
        <v>VN0008C65891</v>
      </c>
      <c r="B2924" s="12" t="s">
        <v>10690</v>
      </c>
      <c r="C2924" s="12" t="s">
        <v>10691</v>
      </c>
      <c r="D2924" s="12" t="s">
        <v>10692</v>
      </c>
      <c r="E2924" s="12" t="s">
        <v>10693</v>
      </c>
      <c r="F2924" s="12" t="s">
        <v>179</v>
      </c>
      <c r="G2924" s="14"/>
      <c r="H2924" s="12" t="s">
        <v>61</v>
      </c>
      <c r="I2924" s="12" t="s">
        <v>62</v>
      </c>
      <c r="J2924" s="12" t="s">
        <v>63</v>
      </c>
      <c r="K2924" s="12" t="s">
        <v>64</v>
      </c>
      <c r="L2924" s="14"/>
      <c r="M2924" s="12" t="s">
        <v>43</v>
      </c>
      <c r="N2924" s="12" t="s">
        <v>101</v>
      </c>
      <c r="O2924" s="12" t="s">
        <v>10694</v>
      </c>
      <c r="P2924" s="12" t="s">
        <v>66</v>
      </c>
      <c r="Q2924" s="12" t="s">
        <v>67</v>
      </c>
      <c r="R2924" s="12" t="s">
        <v>730</v>
      </c>
      <c r="S2924" s="13">
        <v>196573899704</v>
      </c>
      <c r="T2924" s="12" t="s">
        <v>7784</v>
      </c>
      <c r="U2924" s="12" t="s">
        <v>179</v>
      </c>
      <c r="V2924" s="12" t="s">
        <v>70</v>
      </c>
      <c r="W2924" s="12" t="s">
        <v>118</v>
      </c>
      <c r="X2924" s="13">
        <v>0</v>
      </c>
      <c r="Y2924" s="12" t="s">
        <v>91</v>
      </c>
      <c r="Z2924" s="12" t="s">
        <v>108</v>
      </c>
      <c r="AA2924" s="13">
        <v>0</v>
      </c>
      <c r="AB2924" s="13">
        <v>0</v>
      </c>
      <c r="AC2924" s="15">
        <v>27.3</v>
      </c>
      <c r="AD2924" s="15">
        <f>AC2924*AG2924</f>
        <v>27.3</v>
      </c>
      <c r="AE2924" s="15">
        <v>60</v>
      </c>
      <c r="AF2924" s="15">
        <f>AE2924*AG2924</f>
        <v>60</v>
      </c>
      <c r="AG2924" s="16">
        <v>1</v>
      </c>
    </row>
    <row r="2925" spans="1:33" ht="15" customHeight="1" x14ac:dyDescent="0.2">
      <c r="A2925" s="11" t="str">
        <f>HYPERLINK("https://assets.vans.eu/images/VN0008C7BLK-HERO/1","VN0008C7BLK1")</f>
        <v>VN0008C7BLK1</v>
      </c>
      <c r="B2925" s="12" t="s">
        <v>10695</v>
      </c>
      <c r="C2925" s="12" t="s">
        <v>10696</v>
      </c>
      <c r="D2925" s="12" t="s">
        <v>76</v>
      </c>
      <c r="E2925" s="12" t="s">
        <v>10697</v>
      </c>
      <c r="F2925" s="12" t="s">
        <v>403</v>
      </c>
      <c r="G2925" s="14"/>
      <c r="H2925" s="12" t="s">
        <v>61</v>
      </c>
      <c r="I2925" s="12" t="s">
        <v>62</v>
      </c>
      <c r="J2925" s="12" t="s">
        <v>63</v>
      </c>
      <c r="K2925" s="12" t="s">
        <v>64</v>
      </c>
      <c r="L2925" s="14"/>
      <c r="M2925" s="12" t="s">
        <v>43</v>
      </c>
      <c r="N2925" s="12" t="s">
        <v>274</v>
      </c>
      <c r="O2925" s="12" t="s">
        <v>10698</v>
      </c>
      <c r="P2925" s="12" t="s">
        <v>66</v>
      </c>
      <c r="Q2925" s="12" t="s">
        <v>67</v>
      </c>
      <c r="R2925" s="12" t="s">
        <v>730</v>
      </c>
      <c r="S2925" s="13">
        <v>196573900196</v>
      </c>
      <c r="T2925" s="12" t="s">
        <v>69</v>
      </c>
      <c r="U2925" s="12" t="s">
        <v>403</v>
      </c>
      <c r="V2925" s="12" t="s">
        <v>1378</v>
      </c>
      <c r="W2925" s="12" t="s">
        <v>51</v>
      </c>
      <c r="X2925" s="13">
        <v>0</v>
      </c>
      <c r="Y2925" s="12" t="s">
        <v>91</v>
      </c>
      <c r="Z2925" s="12" t="s">
        <v>108</v>
      </c>
      <c r="AA2925" s="13">
        <v>0</v>
      </c>
      <c r="AB2925" s="13">
        <v>0</v>
      </c>
      <c r="AC2925" s="15">
        <v>27.3</v>
      </c>
      <c r="AD2925" s="15">
        <f>AC2925*AG2925</f>
        <v>27.3</v>
      </c>
      <c r="AE2925" s="15">
        <v>60</v>
      </c>
      <c r="AF2925" s="15">
        <f>AE2925*AG2925</f>
        <v>60</v>
      </c>
      <c r="AG2925" s="16">
        <v>1</v>
      </c>
    </row>
    <row r="2926" spans="1:33" ht="15" customHeight="1" x14ac:dyDescent="0.2">
      <c r="A2926" s="11" t="str">
        <f t="shared" ref="A2926:A2927" si="1146">HYPERLINK("https://assets.vans.eu/images/VN0008CABLK-HERO/1","VN0008CABLK1")</f>
        <v>VN0008CABLK1</v>
      </c>
      <c r="B2926" s="12" t="s">
        <v>10699</v>
      </c>
      <c r="C2926" s="12" t="s">
        <v>10700</v>
      </c>
      <c r="D2926" s="12" t="s">
        <v>76</v>
      </c>
      <c r="E2926" s="12" t="s">
        <v>10701</v>
      </c>
      <c r="F2926" s="12" t="s">
        <v>179</v>
      </c>
      <c r="G2926" s="14"/>
      <c r="H2926" s="12" t="s">
        <v>61</v>
      </c>
      <c r="I2926" s="12" t="s">
        <v>62</v>
      </c>
      <c r="J2926" s="12" t="s">
        <v>63</v>
      </c>
      <c r="K2926" s="12" t="s">
        <v>64</v>
      </c>
      <c r="L2926" s="14"/>
      <c r="M2926" s="12" t="s">
        <v>43</v>
      </c>
      <c r="N2926" s="12" t="s">
        <v>274</v>
      </c>
      <c r="O2926" s="12" t="s">
        <v>10702</v>
      </c>
      <c r="P2926" s="12" t="s">
        <v>66</v>
      </c>
      <c r="Q2926" s="12" t="s">
        <v>67</v>
      </c>
      <c r="R2926" s="12" t="s">
        <v>730</v>
      </c>
      <c r="S2926" s="13">
        <v>196573900523</v>
      </c>
      <c r="T2926" s="12" t="s">
        <v>7784</v>
      </c>
      <c r="U2926" s="12" t="s">
        <v>179</v>
      </c>
      <c r="V2926" s="12" t="s">
        <v>70</v>
      </c>
      <c r="W2926" s="12" t="s">
        <v>51</v>
      </c>
      <c r="X2926" s="13">
        <v>0</v>
      </c>
      <c r="Y2926" s="12" t="s">
        <v>91</v>
      </c>
      <c r="Z2926" s="12" t="s">
        <v>108</v>
      </c>
      <c r="AA2926" s="13">
        <v>0</v>
      </c>
      <c r="AB2926" s="13">
        <v>0</v>
      </c>
      <c r="AC2926" s="15">
        <v>25</v>
      </c>
      <c r="AD2926" s="15">
        <f>AC2926*AG2926</f>
        <v>25</v>
      </c>
      <c r="AE2926" s="15">
        <v>55</v>
      </c>
      <c r="AF2926" s="15">
        <f>AE2926*AG2926</f>
        <v>55</v>
      </c>
      <c r="AG2926" s="16">
        <v>1</v>
      </c>
    </row>
    <row r="2927" spans="1:33" ht="15" customHeight="1" x14ac:dyDescent="0.2">
      <c r="A2927" s="11" t="str">
        <f t="shared" si="1146"/>
        <v>VN0008CABLK1</v>
      </c>
      <c r="B2927" s="12" t="s">
        <v>10703</v>
      </c>
      <c r="C2927" s="12" t="s">
        <v>10700</v>
      </c>
      <c r="D2927" s="12" t="s">
        <v>76</v>
      </c>
      <c r="E2927" s="12" t="s">
        <v>10704</v>
      </c>
      <c r="F2927" s="12" t="s">
        <v>403</v>
      </c>
      <c r="G2927" s="14"/>
      <c r="H2927" s="12" t="s">
        <v>61</v>
      </c>
      <c r="I2927" s="12" t="s">
        <v>62</v>
      </c>
      <c r="J2927" s="12" t="s">
        <v>63</v>
      </c>
      <c r="K2927" s="12" t="s">
        <v>64</v>
      </c>
      <c r="L2927" s="14"/>
      <c r="M2927" s="12" t="s">
        <v>43</v>
      </c>
      <c r="N2927" s="12" t="s">
        <v>274</v>
      </c>
      <c r="O2927" s="12" t="s">
        <v>10705</v>
      </c>
      <c r="P2927" s="12" t="s">
        <v>66</v>
      </c>
      <c r="Q2927" s="12" t="s">
        <v>67</v>
      </c>
      <c r="R2927" s="12" t="s">
        <v>730</v>
      </c>
      <c r="S2927" s="13">
        <v>196573900554</v>
      </c>
      <c r="T2927" s="12" t="s">
        <v>7784</v>
      </c>
      <c r="U2927" s="12" t="s">
        <v>403</v>
      </c>
      <c r="V2927" s="12" t="s">
        <v>70</v>
      </c>
      <c r="W2927" s="12" t="s">
        <v>51</v>
      </c>
      <c r="X2927" s="13">
        <v>0</v>
      </c>
      <c r="Y2927" s="12" t="s">
        <v>91</v>
      </c>
      <c r="Z2927" s="12" t="s">
        <v>108</v>
      </c>
      <c r="AA2927" s="13">
        <v>0</v>
      </c>
      <c r="AB2927" s="13">
        <v>0</v>
      </c>
      <c r="AC2927" s="15">
        <v>25</v>
      </c>
      <c r="AD2927" s="15">
        <f>AC2927*AG2927</f>
        <v>25</v>
      </c>
      <c r="AE2927" s="15">
        <v>55</v>
      </c>
      <c r="AF2927" s="15">
        <f>AE2927*AG2927</f>
        <v>55</v>
      </c>
      <c r="AG2927" s="16">
        <v>1</v>
      </c>
    </row>
    <row r="2928" spans="1:33" ht="15" customHeight="1" x14ac:dyDescent="0.2">
      <c r="A2928" s="11" t="str">
        <f>HYPERLINK("https://assets.vans.eu/images/VN0008HTBLK-HERO/1","VN0008HTBLK1")</f>
        <v>VN0008HTBLK1</v>
      </c>
      <c r="B2928" s="12" t="s">
        <v>10706</v>
      </c>
      <c r="C2928" s="12" t="s">
        <v>10707</v>
      </c>
      <c r="D2928" s="12" t="s">
        <v>76</v>
      </c>
      <c r="E2928" s="12" t="s">
        <v>10708</v>
      </c>
      <c r="F2928" s="12" t="s">
        <v>153</v>
      </c>
      <c r="G2928" s="14"/>
      <c r="H2928" s="12" t="s">
        <v>61</v>
      </c>
      <c r="I2928" s="12" t="s">
        <v>230</v>
      </c>
      <c r="J2928" s="12" t="s">
        <v>762</v>
      </c>
      <c r="K2928" s="12" t="s">
        <v>199</v>
      </c>
      <c r="L2928" s="14"/>
      <c r="M2928" s="12" t="s">
        <v>43</v>
      </c>
      <c r="N2928" s="12" t="s">
        <v>161</v>
      </c>
      <c r="O2928" s="12" t="s">
        <v>10709</v>
      </c>
      <c r="P2928" s="12" t="s">
        <v>66</v>
      </c>
      <c r="Q2928" s="12" t="s">
        <v>764</v>
      </c>
      <c r="R2928" s="12" t="s">
        <v>765</v>
      </c>
      <c r="S2928" s="13">
        <v>197065451059</v>
      </c>
      <c r="T2928" s="12" t="s">
        <v>49</v>
      </c>
      <c r="U2928" s="12" t="s">
        <v>153</v>
      </c>
      <c r="V2928" s="12" t="s">
        <v>10710</v>
      </c>
      <c r="W2928" s="12" t="s">
        <v>51</v>
      </c>
      <c r="X2928" s="13">
        <v>0</v>
      </c>
      <c r="Y2928" s="12" t="s">
        <v>53</v>
      </c>
      <c r="Z2928" s="12" t="s">
        <v>108</v>
      </c>
      <c r="AA2928" s="13">
        <v>0</v>
      </c>
      <c r="AB2928" s="13">
        <v>0</v>
      </c>
      <c r="AC2928" s="15">
        <v>70.5</v>
      </c>
      <c r="AD2928" s="15">
        <f>AC2928*AG2928</f>
        <v>70.5</v>
      </c>
      <c r="AE2928" s="15">
        <v>155</v>
      </c>
      <c r="AF2928" s="15">
        <f>AE2928*AG2928</f>
        <v>155</v>
      </c>
      <c r="AG2928" s="16">
        <v>1</v>
      </c>
    </row>
    <row r="2929" spans="1:33" ht="15" customHeight="1" x14ac:dyDescent="0.2">
      <c r="A2929" s="11" t="str">
        <f>HYPERLINK("https://assets.vans.eu/images/VN0008J9BZ0-HERO/1","VN0008J9BZ01")</f>
        <v>VN0008J9BZ01</v>
      </c>
      <c r="B2929" s="12" t="s">
        <v>10711</v>
      </c>
      <c r="C2929" s="12" t="s">
        <v>10712</v>
      </c>
      <c r="D2929" s="12" t="s">
        <v>6083</v>
      </c>
      <c r="E2929" s="12" t="s">
        <v>10713</v>
      </c>
      <c r="F2929" s="12" t="s">
        <v>153</v>
      </c>
      <c r="G2929" s="14"/>
      <c r="H2929" s="12" t="s">
        <v>61</v>
      </c>
      <c r="I2929" s="12" t="s">
        <v>230</v>
      </c>
      <c r="J2929" s="12" t="s">
        <v>762</v>
      </c>
      <c r="K2929" s="12" t="s">
        <v>199</v>
      </c>
      <c r="L2929" s="12" t="s">
        <v>115</v>
      </c>
      <c r="M2929" s="12" t="s">
        <v>43</v>
      </c>
      <c r="N2929" s="12" t="s">
        <v>2457</v>
      </c>
      <c r="O2929" s="12" t="s">
        <v>10714</v>
      </c>
      <c r="P2929" s="12" t="s">
        <v>66</v>
      </c>
      <c r="Q2929" s="12" t="s">
        <v>764</v>
      </c>
      <c r="R2929" s="12" t="s">
        <v>765</v>
      </c>
      <c r="S2929" s="13">
        <v>197063415749</v>
      </c>
      <c r="T2929" s="12" t="s">
        <v>49</v>
      </c>
      <c r="U2929" s="12" t="s">
        <v>153</v>
      </c>
      <c r="V2929" s="12" t="s">
        <v>1811</v>
      </c>
      <c r="W2929" s="12" t="s">
        <v>118</v>
      </c>
      <c r="X2929" s="13">
        <v>0</v>
      </c>
      <c r="Y2929" s="12" t="s">
        <v>91</v>
      </c>
      <c r="Z2929" s="12" t="s">
        <v>92</v>
      </c>
      <c r="AA2929" s="12" t="s">
        <v>93</v>
      </c>
      <c r="AB2929" s="12" t="s">
        <v>94</v>
      </c>
      <c r="AC2929" s="15">
        <v>81.849999999999994</v>
      </c>
      <c r="AD2929" s="15">
        <f>AC2929*AG2929</f>
        <v>81.849999999999994</v>
      </c>
      <c r="AE2929" s="15">
        <v>180</v>
      </c>
      <c r="AF2929" s="15">
        <f>AE2929*AG2929</f>
        <v>180</v>
      </c>
      <c r="AG2929" s="16">
        <v>1</v>
      </c>
    </row>
    <row r="2930" spans="1:33" ht="15" customHeight="1" x14ac:dyDescent="0.2">
      <c r="A2930" s="11" t="str">
        <f t="shared" si="841"/>
        <v>VN0008KUJDU1</v>
      </c>
      <c r="B2930" s="12" t="s">
        <v>10715</v>
      </c>
      <c r="C2930" s="12" t="s">
        <v>554</v>
      </c>
      <c r="D2930" s="12" t="s">
        <v>814</v>
      </c>
      <c r="E2930" s="12" t="s">
        <v>10716</v>
      </c>
      <c r="F2930" s="12" t="s">
        <v>153</v>
      </c>
      <c r="G2930" s="14"/>
      <c r="H2930" s="12" t="s">
        <v>61</v>
      </c>
      <c r="I2930" s="12" t="s">
        <v>230</v>
      </c>
      <c r="J2930" s="12" t="s">
        <v>557</v>
      </c>
      <c r="K2930" s="12" t="s">
        <v>199</v>
      </c>
      <c r="L2930" s="14"/>
      <c r="M2930" s="12" t="s">
        <v>43</v>
      </c>
      <c r="N2930" s="12" t="s">
        <v>44</v>
      </c>
      <c r="O2930" s="12" t="s">
        <v>10717</v>
      </c>
      <c r="P2930" s="12" t="s">
        <v>66</v>
      </c>
      <c r="Q2930" s="12" t="s">
        <v>559</v>
      </c>
      <c r="R2930" s="12" t="s">
        <v>560</v>
      </c>
      <c r="S2930" s="13">
        <v>197643553649</v>
      </c>
      <c r="T2930" s="12" t="s">
        <v>49</v>
      </c>
      <c r="U2930" s="12" t="s">
        <v>153</v>
      </c>
      <c r="V2930" s="12" t="s">
        <v>561</v>
      </c>
      <c r="W2930" s="12" t="s">
        <v>284</v>
      </c>
      <c r="X2930" s="13">
        <v>0</v>
      </c>
      <c r="Y2930" s="12" t="s">
        <v>53</v>
      </c>
      <c r="Z2930" s="12" t="s">
        <v>108</v>
      </c>
      <c r="AA2930" s="13">
        <v>0</v>
      </c>
      <c r="AB2930" s="13">
        <v>0</v>
      </c>
      <c r="AC2930" s="15">
        <v>25</v>
      </c>
      <c r="AD2930" s="15">
        <f>AC2930*AG2930</f>
        <v>25</v>
      </c>
      <c r="AE2930" s="15">
        <v>55</v>
      </c>
      <c r="AF2930" s="15">
        <f>AE2930*AG2930</f>
        <v>55</v>
      </c>
      <c r="AG2930" s="16">
        <v>1</v>
      </c>
    </row>
    <row r="2931" spans="1:33" ht="15" customHeight="1" x14ac:dyDescent="0.2">
      <c r="A2931" s="11" t="str">
        <f>HYPERLINK("https://assets.vans.eu/images/VN0008KUJDU-HERO/1","VN0008KUJDU1")</f>
        <v>VN0008KUJDU1</v>
      </c>
      <c r="B2931" s="12" t="s">
        <v>10718</v>
      </c>
      <c r="C2931" s="12" t="s">
        <v>554</v>
      </c>
      <c r="D2931" s="12" t="s">
        <v>814</v>
      </c>
      <c r="E2931" s="12" t="s">
        <v>10719</v>
      </c>
      <c r="F2931" s="12" t="s">
        <v>621</v>
      </c>
      <c r="G2931" s="14"/>
      <c r="H2931" s="12" t="s">
        <v>61</v>
      </c>
      <c r="I2931" s="12" t="s">
        <v>230</v>
      </c>
      <c r="J2931" s="12" t="s">
        <v>557</v>
      </c>
      <c r="K2931" s="12" t="s">
        <v>199</v>
      </c>
      <c r="L2931" s="14"/>
      <c r="M2931" s="12" t="s">
        <v>43</v>
      </c>
      <c r="N2931" s="12" t="s">
        <v>44</v>
      </c>
      <c r="O2931" s="12" t="s">
        <v>10720</v>
      </c>
      <c r="P2931" s="12" t="s">
        <v>66</v>
      </c>
      <c r="Q2931" s="12" t="s">
        <v>559</v>
      </c>
      <c r="R2931" s="12" t="s">
        <v>560</v>
      </c>
      <c r="S2931" s="13">
        <v>197643553670</v>
      </c>
      <c r="T2931" s="12" t="s">
        <v>49</v>
      </c>
      <c r="U2931" s="12" t="s">
        <v>621</v>
      </c>
      <c r="V2931" s="12" t="s">
        <v>561</v>
      </c>
      <c r="W2931" s="12" t="s">
        <v>284</v>
      </c>
      <c r="X2931" s="13">
        <v>0</v>
      </c>
      <c r="Y2931" s="12" t="s">
        <v>53</v>
      </c>
      <c r="Z2931" s="12" t="s">
        <v>108</v>
      </c>
      <c r="AA2931" s="13">
        <v>0</v>
      </c>
      <c r="AB2931" s="13">
        <v>0</v>
      </c>
      <c r="AC2931" s="15">
        <v>25</v>
      </c>
      <c r="AD2931" s="15">
        <f>AC2931*AG2931</f>
        <v>25</v>
      </c>
      <c r="AE2931" s="15">
        <v>55</v>
      </c>
      <c r="AF2931" s="15">
        <f>AE2931*AG2931</f>
        <v>55</v>
      </c>
      <c r="AG2931" s="16">
        <v>1</v>
      </c>
    </row>
    <row r="2932" spans="1:33" ht="15" customHeight="1" x14ac:dyDescent="0.2">
      <c r="A2932" s="11" t="str">
        <f t="shared" si="664"/>
        <v>VN0008N5CR61</v>
      </c>
      <c r="B2932" s="12" t="s">
        <v>10721</v>
      </c>
      <c r="C2932" s="12" t="s">
        <v>6233</v>
      </c>
      <c r="D2932" s="12" t="s">
        <v>6234</v>
      </c>
      <c r="E2932" s="12" t="s">
        <v>10722</v>
      </c>
      <c r="F2932" s="13">
        <v>30</v>
      </c>
      <c r="G2932" s="14"/>
      <c r="H2932" s="12" t="s">
        <v>61</v>
      </c>
      <c r="I2932" s="12" t="s">
        <v>230</v>
      </c>
      <c r="J2932" s="12" t="s">
        <v>231</v>
      </c>
      <c r="K2932" s="12" t="s">
        <v>199</v>
      </c>
      <c r="L2932" s="14"/>
      <c r="M2932" s="12" t="s">
        <v>43</v>
      </c>
      <c r="N2932" s="12" t="s">
        <v>274</v>
      </c>
      <c r="O2932" s="12" t="s">
        <v>10723</v>
      </c>
      <c r="P2932" s="12" t="s">
        <v>66</v>
      </c>
      <c r="Q2932" s="12" t="s">
        <v>233</v>
      </c>
      <c r="R2932" s="12" t="s">
        <v>361</v>
      </c>
      <c r="S2932" s="13">
        <v>197063453086</v>
      </c>
      <c r="T2932" s="12" t="s">
        <v>1517</v>
      </c>
      <c r="U2932" s="13">
        <v>30</v>
      </c>
      <c r="V2932" s="12" t="s">
        <v>665</v>
      </c>
      <c r="W2932" s="12" t="s">
        <v>186</v>
      </c>
      <c r="X2932" s="13">
        <v>0</v>
      </c>
      <c r="Y2932" s="12" t="s">
        <v>53</v>
      </c>
      <c r="Z2932" s="12" t="s">
        <v>108</v>
      </c>
      <c r="AA2932" s="13">
        <v>0</v>
      </c>
      <c r="AB2932" s="13">
        <v>0</v>
      </c>
      <c r="AC2932" s="15">
        <v>40.950000000000003</v>
      </c>
      <c r="AD2932" s="15">
        <f>AC2932*AG2932</f>
        <v>40.950000000000003</v>
      </c>
      <c r="AE2932" s="15">
        <v>90</v>
      </c>
      <c r="AF2932" s="15">
        <f>AE2932*AG2932</f>
        <v>90</v>
      </c>
      <c r="AG2932" s="16">
        <v>1</v>
      </c>
    </row>
    <row r="2933" spans="1:33" ht="15" customHeight="1" x14ac:dyDescent="0.2">
      <c r="A2933" s="11" t="str">
        <f t="shared" si="842"/>
        <v>VN0008N6BLK1</v>
      </c>
      <c r="B2933" s="12" t="s">
        <v>10724</v>
      </c>
      <c r="C2933" s="12" t="s">
        <v>2042</v>
      </c>
      <c r="D2933" s="12" t="s">
        <v>76</v>
      </c>
      <c r="E2933" s="12" t="s">
        <v>10725</v>
      </c>
      <c r="F2933" s="13">
        <v>40</v>
      </c>
      <c r="G2933" s="14"/>
      <c r="H2933" s="12" t="s">
        <v>61</v>
      </c>
      <c r="I2933" s="12" t="s">
        <v>230</v>
      </c>
      <c r="J2933" s="12" t="s">
        <v>231</v>
      </c>
      <c r="K2933" s="12" t="s">
        <v>199</v>
      </c>
      <c r="L2933" s="14"/>
      <c r="M2933" s="12" t="s">
        <v>43</v>
      </c>
      <c r="N2933" s="12" t="s">
        <v>84</v>
      </c>
      <c r="O2933" s="12" t="s">
        <v>10726</v>
      </c>
      <c r="P2933" s="12" t="s">
        <v>66</v>
      </c>
      <c r="Q2933" s="12" t="s">
        <v>233</v>
      </c>
      <c r="R2933" s="12" t="s">
        <v>361</v>
      </c>
      <c r="S2933" s="13">
        <v>197063495048</v>
      </c>
      <c r="T2933" s="12" t="s">
        <v>235</v>
      </c>
      <c r="U2933" s="13">
        <v>35</v>
      </c>
      <c r="V2933" s="12" t="s">
        <v>665</v>
      </c>
      <c r="W2933" s="12" t="s">
        <v>51</v>
      </c>
      <c r="X2933" s="13">
        <v>0</v>
      </c>
      <c r="Y2933" s="12" t="s">
        <v>91</v>
      </c>
      <c r="Z2933" s="12" t="s">
        <v>108</v>
      </c>
      <c r="AA2933" s="13">
        <v>0</v>
      </c>
      <c r="AB2933" s="13">
        <v>0</v>
      </c>
      <c r="AC2933" s="15">
        <v>36.4</v>
      </c>
      <c r="AD2933" s="15">
        <f>AC2933*AG2933</f>
        <v>36.4</v>
      </c>
      <c r="AE2933" s="15">
        <v>80</v>
      </c>
      <c r="AF2933" s="15">
        <f>AE2933*AG2933</f>
        <v>80</v>
      </c>
      <c r="AG2933" s="16">
        <v>1</v>
      </c>
    </row>
    <row r="2934" spans="1:33" ht="15" customHeight="1" x14ac:dyDescent="0.2">
      <c r="A2934" s="11" t="str">
        <f t="shared" si="843"/>
        <v>VN0008N6EMU1</v>
      </c>
      <c r="B2934" s="12" t="s">
        <v>10727</v>
      </c>
      <c r="C2934" s="12" t="s">
        <v>2042</v>
      </c>
      <c r="D2934" s="12" t="s">
        <v>1319</v>
      </c>
      <c r="E2934" s="12" t="s">
        <v>10728</v>
      </c>
      <c r="F2934" s="13">
        <v>28</v>
      </c>
      <c r="G2934" s="14"/>
      <c r="H2934" s="12" t="s">
        <v>61</v>
      </c>
      <c r="I2934" s="12" t="s">
        <v>230</v>
      </c>
      <c r="J2934" s="12" t="s">
        <v>231</v>
      </c>
      <c r="K2934" s="12" t="s">
        <v>199</v>
      </c>
      <c r="L2934" s="14"/>
      <c r="M2934" s="12" t="s">
        <v>43</v>
      </c>
      <c r="N2934" s="12" t="s">
        <v>84</v>
      </c>
      <c r="O2934" s="12" t="s">
        <v>10729</v>
      </c>
      <c r="P2934" s="12" t="s">
        <v>66</v>
      </c>
      <c r="Q2934" s="12" t="s">
        <v>233</v>
      </c>
      <c r="R2934" s="12" t="s">
        <v>361</v>
      </c>
      <c r="S2934" s="13">
        <v>197804384457</v>
      </c>
      <c r="T2934" s="12" t="s">
        <v>235</v>
      </c>
      <c r="U2934" s="13">
        <v>28</v>
      </c>
      <c r="V2934" s="12" t="s">
        <v>665</v>
      </c>
      <c r="W2934" s="12" t="s">
        <v>118</v>
      </c>
      <c r="X2934" s="14"/>
      <c r="Y2934" s="14"/>
      <c r="Z2934" s="14"/>
      <c r="AA2934" s="14"/>
      <c r="AB2934" s="14"/>
      <c r="AC2934" s="15">
        <v>36.4</v>
      </c>
      <c r="AD2934" s="15">
        <f>AC2934*AG2934</f>
        <v>36.4</v>
      </c>
      <c r="AE2934" s="15">
        <v>80</v>
      </c>
      <c r="AF2934" s="15">
        <f>AE2934*AG2934</f>
        <v>80</v>
      </c>
      <c r="AG2934" s="16">
        <v>1</v>
      </c>
    </row>
    <row r="2935" spans="1:33" ht="15" customHeight="1" x14ac:dyDescent="0.2">
      <c r="A2935" s="11" t="str">
        <f>HYPERLINK("https://assets.vans.eu/images/VN0008N6EMU-HERO/1","VN0008N6EMU1")</f>
        <v>VN0008N6EMU1</v>
      </c>
      <c r="B2935" s="12" t="s">
        <v>10730</v>
      </c>
      <c r="C2935" s="12" t="s">
        <v>2042</v>
      </c>
      <c r="D2935" s="12" t="s">
        <v>1319</v>
      </c>
      <c r="E2935" s="12" t="s">
        <v>10731</v>
      </c>
      <c r="F2935" s="13">
        <v>38</v>
      </c>
      <c r="G2935" s="14"/>
      <c r="H2935" s="12" t="s">
        <v>61</v>
      </c>
      <c r="I2935" s="12" t="s">
        <v>230</v>
      </c>
      <c r="J2935" s="12" t="s">
        <v>231</v>
      </c>
      <c r="K2935" s="12" t="s">
        <v>199</v>
      </c>
      <c r="L2935" s="14"/>
      <c r="M2935" s="12" t="s">
        <v>43</v>
      </c>
      <c r="N2935" s="12" t="s">
        <v>84</v>
      </c>
      <c r="O2935" s="12" t="s">
        <v>10732</v>
      </c>
      <c r="P2935" s="12" t="s">
        <v>66</v>
      </c>
      <c r="Q2935" s="12" t="s">
        <v>233</v>
      </c>
      <c r="R2935" s="12" t="s">
        <v>361</v>
      </c>
      <c r="S2935" s="13">
        <v>197804384686</v>
      </c>
      <c r="T2935" s="12" t="s">
        <v>235</v>
      </c>
      <c r="U2935" s="13">
        <v>38</v>
      </c>
      <c r="V2935" s="12" t="s">
        <v>665</v>
      </c>
      <c r="W2935" s="12" t="s">
        <v>118</v>
      </c>
      <c r="X2935" s="14"/>
      <c r="Y2935" s="14"/>
      <c r="Z2935" s="14"/>
      <c r="AA2935" s="14"/>
      <c r="AB2935" s="14"/>
      <c r="AC2935" s="15">
        <v>36.4</v>
      </c>
      <c r="AD2935" s="15">
        <f>AC2935*AG2935</f>
        <v>36.4</v>
      </c>
      <c r="AE2935" s="15">
        <v>80</v>
      </c>
      <c r="AF2935" s="15">
        <f>AE2935*AG2935</f>
        <v>80</v>
      </c>
      <c r="AG2935" s="16">
        <v>1</v>
      </c>
    </row>
    <row r="2936" spans="1:33" ht="15" customHeight="1" x14ac:dyDescent="0.2">
      <c r="A2936" s="11" t="str">
        <f t="shared" ref="A2936:A2937" si="1147">HYPERLINK("https://assets.vans.eu/images/VN0008NAE90-HERO/1","VN0008NAE901")</f>
        <v>VN0008NAE901</v>
      </c>
      <c r="B2936" s="12" t="s">
        <v>10733</v>
      </c>
      <c r="C2936" s="12" t="s">
        <v>2477</v>
      </c>
      <c r="D2936" s="12" t="s">
        <v>2922</v>
      </c>
      <c r="E2936" s="12" t="s">
        <v>10734</v>
      </c>
      <c r="F2936" s="13">
        <v>25</v>
      </c>
      <c r="G2936" s="14"/>
      <c r="H2936" s="12" t="s">
        <v>61</v>
      </c>
      <c r="I2936" s="12" t="s">
        <v>230</v>
      </c>
      <c r="J2936" s="12" t="s">
        <v>231</v>
      </c>
      <c r="K2936" s="12" t="s">
        <v>199</v>
      </c>
      <c r="L2936" s="14"/>
      <c r="M2936" s="12" t="s">
        <v>43</v>
      </c>
      <c r="N2936" s="12" t="s">
        <v>44</v>
      </c>
      <c r="O2936" s="12" t="s">
        <v>10735</v>
      </c>
      <c r="P2936" s="12" t="s">
        <v>66</v>
      </c>
      <c r="Q2936" s="12" t="s">
        <v>233</v>
      </c>
      <c r="R2936" s="12" t="s">
        <v>361</v>
      </c>
      <c r="S2936" s="13">
        <v>197643456858</v>
      </c>
      <c r="T2936" s="12" t="s">
        <v>235</v>
      </c>
      <c r="U2936" s="13">
        <v>25</v>
      </c>
      <c r="V2936" s="12" t="s">
        <v>665</v>
      </c>
      <c r="W2936" s="12" t="s">
        <v>598</v>
      </c>
      <c r="X2936" s="13">
        <v>0</v>
      </c>
      <c r="Y2936" s="12" t="s">
        <v>53</v>
      </c>
      <c r="Z2936" s="12" t="s">
        <v>108</v>
      </c>
      <c r="AA2936" s="13">
        <v>0</v>
      </c>
      <c r="AB2936" s="13">
        <v>0</v>
      </c>
      <c r="AC2936" s="15">
        <v>36.4</v>
      </c>
      <c r="AD2936" s="15">
        <f>AC2936*AG2936</f>
        <v>36.4</v>
      </c>
      <c r="AE2936" s="15">
        <v>80</v>
      </c>
      <c r="AF2936" s="15">
        <f>AE2936*AG2936</f>
        <v>80</v>
      </c>
      <c r="AG2936" s="16">
        <v>1</v>
      </c>
    </row>
    <row r="2937" spans="1:33" ht="15" customHeight="1" x14ac:dyDescent="0.2">
      <c r="A2937" s="11" t="str">
        <f t="shared" si="1147"/>
        <v>VN0008NAE901</v>
      </c>
      <c r="B2937" s="12" t="s">
        <v>10736</v>
      </c>
      <c r="C2937" s="12" t="s">
        <v>2477</v>
      </c>
      <c r="D2937" s="12" t="s">
        <v>2922</v>
      </c>
      <c r="E2937" s="12" t="s">
        <v>10737</v>
      </c>
      <c r="F2937" s="13">
        <v>28</v>
      </c>
      <c r="G2937" s="14"/>
      <c r="H2937" s="12" t="s">
        <v>61</v>
      </c>
      <c r="I2937" s="12" t="s">
        <v>230</v>
      </c>
      <c r="J2937" s="12" t="s">
        <v>231</v>
      </c>
      <c r="K2937" s="12" t="s">
        <v>199</v>
      </c>
      <c r="L2937" s="14"/>
      <c r="M2937" s="12" t="s">
        <v>43</v>
      </c>
      <c r="N2937" s="12" t="s">
        <v>44</v>
      </c>
      <c r="O2937" s="12" t="s">
        <v>10738</v>
      </c>
      <c r="P2937" s="12" t="s">
        <v>66</v>
      </c>
      <c r="Q2937" s="12" t="s">
        <v>233</v>
      </c>
      <c r="R2937" s="12" t="s">
        <v>361</v>
      </c>
      <c r="S2937" s="13">
        <v>197643457176</v>
      </c>
      <c r="T2937" s="12" t="s">
        <v>235</v>
      </c>
      <c r="U2937" s="13">
        <v>28</v>
      </c>
      <c r="V2937" s="12" t="s">
        <v>665</v>
      </c>
      <c r="W2937" s="12" t="s">
        <v>598</v>
      </c>
      <c r="X2937" s="13">
        <v>0</v>
      </c>
      <c r="Y2937" s="12" t="s">
        <v>53</v>
      </c>
      <c r="Z2937" s="12" t="s">
        <v>108</v>
      </c>
      <c r="AA2937" s="13">
        <v>0</v>
      </c>
      <c r="AB2937" s="13">
        <v>0</v>
      </c>
      <c r="AC2937" s="15">
        <v>36.4</v>
      </c>
      <c r="AD2937" s="15">
        <f>AC2937*AG2937</f>
        <v>36.4</v>
      </c>
      <c r="AE2937" s="15">
        <v>80</v>
      </c>
      <c r="AF2937" s="15">
        <f>AE2937*AG2937</f>
        <v>80</v>
      </c>
      <c r="AG2937" s="16">
        <v>1</v>
      </c>
    </row>
    <row r="2938" spans="1:33" ht="15" customHeight="1" x14ac:dyDescent="0.2">
      <c r="A2938" s="11" t="str">
        <f>HYPERLINK("https://assets.vans.eu/images/VN0008TKATJ-HERO/1","VN0008TKATJ1")</f>
        <v>VN0008TKATJ1</v>
      </c>
      <c r="B2938" s="12" t="s">
        <v>10739</v>
      </c>
      <c r="C2938" s="12" t="s">
        <v>6241</v>
      </c>
      <c r="D2938" s="12" t="s">
        <v>10740</v>
      </c>
      <c r="E2938" s="12" t="s">
        <v>10741</v>
      </c>
      <c r="F2938" s="12" t="s">
        <v>153</v>
      </c>
      <c r="G2938" s="14"/>
      <c r="H2938" s="12" t="s">
        <v>61</v>
      </c>
      <c r="I2938" s="12" t="s">
        <v>230</v>
      </c>
      <c r="J2938" s="12" t="s">
        <v>419</v>
      </c>
      <c r="K2938" s="12" t="s">
        <v>199</v>
      </c>
      <c r="L2938" s="12" t="s">
        <v>350</v>
      </c>
      <c r="M2938" s="12" t="s">
        <v>43</v>
      </c>
      <c r="N2938" s="12" t="s">
        <v>44</v>
      </c>
      <c r="O2938" s="12" t="s">
        <v>10742</v>
      </c>
      <c r="P2938" s="12" t="s">
        <v>66</v>
      </c>
      <c r="Q2938" s="12" t="s">
        <v>67</v>
      </c>
      <c r="R2938" s="12" t="s">
        <v>421</v>
      </c>
      <c r="S2938" s="13">
        <v>197063507536</v>
      </c>
      <c r="T2938" s="12" t="s">
        <v>69</v>
      </c>
      <c r="U2938" s="12" t="s">
        <v>153</v>
      </c>
      <c r="V2938" s="12" t="s">
        <v>10743</v>
      </c>
      <c r="W2938" s="12" t="s">
        <v>455</v>
      </c>
      <c r="X2938" s="13">
        <v>0</v>
      </c>
      <c r="Y2938" s="12" t="s">
        <v>91</v>
      </c>
      <c r="Z2938" s="12" t="s">
        <v>108</v>
      </c>
      <c r="AA2938" s="13">
        <v>0</v>
      </c>
      <c r="AB2938" s="13">
        <v>0</v>
      </c>
      <c r="AC2938" s="15">
        <v>14.55</v>
      </c>
      <c r="AD2938" s="15">
        <f>AC2938*AG2938</f>
        <v>14.55</v>
      </c>
      <c r="AE2938" s="15">
        <v>32</v>
      </c>
      <c r="AF2938" s="15">
        <f>AE2938*AG2938</f>
        <v>32</v>
      </c>
      <c r="AG2938" s="16">
        <v>1</v>
      </c>
    </row>
    <row r="2939" spans="1:33" ht="15" customHeight="1" x14ac:dyDescent="0.2">
      <c r="A2939" s="11" t="str">
        <f>HYPERLINK("https://assets.vans.eu/images/VN000AT9BLK-HERO/1","VN000AT9BLK1")</f>
        <v>VN000AT9BLK1</v>
      </c>
      <c r="B2939" s="12" t="s">
        <v>10744</v>
      </c>
      <c r="C2939" s="12" t="s">
        <v>10745</v>
      </c>
      <c r="D2939" s="12" t="s">
        <v>76</v>
      </c>
      <c r="E2939" s="12" t="s">
        <v>10746</v>
      </c>
      <c r="F2939" s="13">
        <v>8</v>
      </c>
      <c r="G2939" s="14"/>
      <c r="H2939" s="12" t="s">
        <v>61</v>
      </c>
      <c r="I2939" s="12" t="s">
        <v>62</v>
      </c>
      <c r="J2939" s="12" t="s">
        <v>972</v>
      </c>
      <c r="K2939" s="12" t="s">
        <v>64</v>
      </c>
      <c r="L2939" s="12" t="s">
        <v>350</v>
      </c>
      <c r="M2939" s="12" t="s">
        <v>43</v>
      </c>
      <c r="N2939" s="12" t="s">
        <v>274</v>
      </c>
      <c r="O2939" s="12" t="s">
        <v>10747</v>
      </c>
      <c r="P2939" s="12" t="s">
        <v>66</v>
      </c>
      <c r="Q2939" s="12" t="s">
        <v>233</v>
      </c>
      <c r="R2939" s="12" t="s">
        <v>974</v>
      </c>
      <c r="S2939" s="13">
        <v>196573017467</v>
      </c>
      <c r="T2939" s="12" t="s">
        <v>235</v>
      </c>
      <c r="U2939" s="13">
        <v>8</v>
      </c>
      <c r="V2939" s="12" t="s">
        <v>10748</v>
      </c>
      <c r="W2939" s="12" t="s">
        <v>51</v>
      </c>
      <c r="X2939" s="13">
        <v>0</v>
      </c>
      <c r="Y2939" s="12" t="s">
        <v>71</v>
      </c>
      <c r="Z2939" s="12" t="s">
        <v>92</v>
      </c>
      <c r="AA2939" s="12" t="s">
        <v>354</v>
      </c>
      <c r="AB2939" s="12" t="s">
        <v>355</v>
      </c>
      <c r="AC2939" s="15">
        <v>25</v>
      </c>
      <c r="AD2939" s="15">
        <f>AC2939*AG2939</f>
        <v>25</v>
      </c>
      <c r="AE2939" s="15">
        <v>55</v>
      </c>
      <c r="AF2939" s="15">
        <f>AE2939*AG2939</f>
        <v>55</v>
      </c>
      <c r="AG2939" s="16">
        <v>1</v>
      </c>
    </row>
    <row r="2940" spans="1:33" ht="15" customHeight="1" x14ac:dyDescent="0.2">
      <c r="A2940" s="11" t="str">
        <f t="shared" si="665"/>
        <v>VN000EUMDSB1</v>
      </c>
      <c r="B2940" s="12" t="s">
        <v>10749</v>
      </c>
      <c r="C2940" s="12" t="s">
        <v>6253</v>
      </c>
      <c r="D2940" s="12" t="s">
        <v>6254</v>
      </c>
      <c r="E2940" s="12" t="s">
        <v>10750</v>
      </c>
      <c r="F2940" s="13">
        <v>3</v>
      </c>
      <c r="G2940" s="14"/>
      <c r="H2940" s="12" t="s">
        <v>61</v>
      </c>
      <c r="I2940" s="12" t="s">
        <v>1340</v>
      </c>
      <c r="J2940" s="12" t="s">
        <v>1341</v>
      </c>
      <c r="K2940" s="12" t="s">
        <v>64</v>
      </c>
      <c r="L2940" s="12" t="s">
        <v>350</v>
      </c>
      <c r="M2940" s="12" t="s">
        <v>43</v>
      </c>
      <c r="N2940" s="12" t="s">
        <v>44</v>
      </c>
      <c r="O2940" s="12" t="s">
        <v>10751</v>
      </c>
      <c r="P2940" s="12" t="s">
        <v>66</v>
      </c>
      <c r="Q2940" s="12" t="s">
        <v>67</v>
      </c>
      <c r="R2940" s="12" t="s">
        <v>68</v>
      </c>
      <c r="S2940" s="13">
        <v>197063396291</v>
      </c>
      <c r="T2940" s="12" t="s">
        <v>422</v>
      </c>
      <c r="U2940" s="13">
        <v>3</v>
      </c>
      <c r="V2940" s="12" t="s">
        <v>423</v>
      </c>
      <c r="W2940" s="12" t="s">
        <v>284</v>
      </c>
      <c r="X2940" s="13">
        <v>0</v>
      </c>
      <c r="Y2940" s="12" t="s">
        <v>91</v>
      </c>
      <c r="Z2940" s="12" t="s">
        <v>108</v>
      </c>
      <c r="AA2940" s="13">
        <v>0</v>
      </c>
      <c r="AB2940" s="13">
        <v>0</v>
      </c>
      <c r="AC2940" s="15">
        <v>10.95</v>
      </c>
      <c r="AD2940" s="15">
        <f>AC2940*AG2940</f>
        <v>10.95</v>
      </c>
      <c r="AE2940" s="15">
        <v>24</v>
      </c>
      <c r="AF2940" s="15">
        <f>AE2940*AG2940</f>
        <v>24</v>
      </c>
      <c r="AG2940" s="16">
        <v>1</v>
      </c>
    </row>
    <row r="2941" spans="1:33" ht="15" customHeight="1" x14ac:dyDescent="0.2">
      <c r="A2941" s="11" t="str">
        <f>HYPERLINK("https://assets.vans.eu/images/VN000FVH4MG-HERO/1","VN000FVH4MG1")</f>
        <v>VN000FVH4MG1</v>
      </c>
      <c r="B2941" s="12" t="s">
        <v>10752</v>
      </c>
      <c r="C2941" s="12" t="s">
        <v>2481</v>
      </c>
      <c r="D2941" s="12" t="s">
        <v>7051</v>
      </c>
      <c r="E2941" s="12" t="s">
        <v>10753</v>
      </c>
      <c r="F2941" s="13">
        <v>24</v>
      </c>
      <c r="G2941" s="14"/>
      <c r="H2941" s="12" t="s">
        <v>61</v>
      </c>
      <c r="I2941" s="12" t="s">
        <v>289</v>
      </c>
      <c r="J2941" s="12" t="s">
        <v>290</v>
      </c>
      <c r="K2941" s="12" t="s">
        <v>100</v>
      </c>
      <c r="L2941" s="14"/>
      <c r="M2941" s="12" t="s">
        <v>43</v>
      </c>
      <c r="N2941" s="12" t="s">
        <v>44</v>
      </c>
      <c r="O2941" s="12" t="s">
        <v>10754</v>
      </c>
      <c r="P2941" s="12" t="s">
        <v>66</v>
      </c>
      <c r="Q2941" s="12" t="s">
        <v>233</v>
      </c>
      <c r="R2941" s="12" t="s">
        <v>664</v>
      </c>
      <c r="S2941" s="13">
        <v>197643456957</v>
      </c>
      <c r="T2941" s="12" t="s">
        <v>235</v>
      </c>
      <c r="U2941" s="13">
        <v>24</v>
      </c>
      <c r="V2941" s="12" t="s">
        <v>665</v>
      </c>
      <c r="W2941" s="12" t="s">
        <v>51</v>
      </c>
      <c r="X2941" s="13">
        <v>0</v>
      </c>
      <c r="Y2941" s="12" t="s">
        <v>91</v>
      </c>
      <c r="Z2941" s="12" t="s">
        <v>108</v>
      </c>
      <c r="AA2941" s="13">
        <v>0</v>
      </c>
      <c r="AB2941" s="13">
        <v>0</v>
      </c>
      <c r="AC2941" s="15">
        <v>30.95</v>
      </c>
      <c r="AD2941" s="15">
        <f>AC2941*AG2941</f>
        <v>30.95</v>
      </c>
      <c r="AE2941" s="15">
        <v>68</v>
      </c>
      <c r="AF2941" s="15">
        <f>AE2941*AG2941</f>
        <v>68</v>
      </c>
      <c r="AG2941" s="16">
        <v>1</v>
      </c>
    </row>
    <row r="2942" spans="1:33" ht="15" customHeight="1" x14ac:dyDescent="0.2">
      <c r="A2942" s="11" t="str">
        <f>HYPERLINK("https://assets.vans.eu/images/VN000FWFCR6-HERO/1","VN000FWFCR61")</f>
        <v>VN000FWFCR61</v>
      </c>
      <c r="B2942" s="12" t="s">
        <v>10755</v>
      </c>
      <c r="C2942" s="12" t="s">
        <v>10756</v>
      </c>
      <c r="D2942" s="12" t="s">
        <v>6234</v>
      </c>
      <c r="E2942" s="12" t="s">
        <v>10757</v>
      </c>
      <c r="F2942" s="12" t="s">
        <v>403</v>
      </c>
      <c r="G2942" s="14"/>
      <c r="H2942" s="12" t="s">
        <v>61</v>
      </c>
      <c r="I2942" s="12" t="s">
        <v>230</v>
      </c>
      <c r="J2942" s="12" t="s">
        <v>762</v>
      </c>
      <c r="K2942" s="12" t="s">
        <v>199</v>
      </c>
      <c r="L2942" s="14"/>
      <c r="M2942" s="12" t="s">
        <v>43</v>
      </c>
      <c r="N2942" s="12" t="s">
        <v>84</v>
      </c>
      <c r="O2942" s="12" t="s">
        <v>10758</v>
      </c>
      <c r="P2942" s="12" t="s">
        <v>66</v>
      </c>
      <c r="Q2942" s="12" t="s">
        <v>764</v>
      </c>
      <c r="R2942" s="12" t="s">
        <v>765</v>
      </c>
      <c r="S2942" s="13">
        <v>197063396796</v>
      </c>
      <c r="T2942" s="12" t="s">
        <v>235</v>
      </c>
      <c r="U2942" s="12" t="s">
        <v>403</v>
      </c>
      <c r="V2942" s="12" t="s">
        <v>665</v>
      </c>
      <c r="W2942" s="12" t="s">
        <v>186</v>
      </c>
      <c r="X2942" s="13">
        <v>0</v>
      </c>
      <c r="Y2942" s="12" t="s">
        <v>91</v>
      </c>
      <c r="Z2942" s="12" t="s">
        <v>92</v>
      </c>
      <c r="AA2942" s="13">
        <v>0</v>
      </c>
      <c r="AB2942" s="12" t="s">
        <v>55</v>
      </c>
      <c r="AC2942" s="15">
        <v>54.55</v>
      </c>
      <c r="AD2942" s="15">
        <f>AC2942*AG2942</f>
        <v>54.55</v>
      </c>
      <c r="AE2942" s="15">
        <v>120</v>
      </c>
      <c r="AF2942" s="15">
        <f>AE2942*AG2942</f>
        <v>120</v>
      </c>
      <c r="AG2942" s="16">
        <v>1</v>
      </c>
    </row>
    <row r="2943" spans="1:33" ht="15" customHeight="1" x14ac:dyDescent="0.2">
      <c r="A2943" s="11" t="str">
        <f>HYPERLINK("https://assets.vans.eu/images/VN000G3JCHF-HERO/1","VN000G3JCHF1")</f>
        <v>VN000G3JCHF1</v>
      </c>
      <c r="B2943" s="12" t="s">
        <v>10759</v>
      </c>
      <c r="C2943" s="12" t="s">
        <v>1788</v>
      </c>
      <c r="D2943" s="12" t="s">
        <v>10760</v>
      </c>
      <c r="E2943" s="12" t="s">
        <v>10761</v>
      </c>
      <c r="F2943" s="12" t="s">
        <v>138</v>
      </c>
      <c r="G2943" s="14"/>
      <c r="H2943" s="12" t="s">
        <v>61</v>
      </c>
      <c r="I2943" s="12" t="s">
        <v>289</v>
      </c>
      <c r="J2943" s="12" t="s">
        <v>706</v>
      </c>
      <c r="K2943" s="12" t="s">
        <v>100</v>
      </c>
      <c r="L2943" s="14"/>
      <c r="M2943" s="12" t="s">
        <v>43</v>
      </c>
      <c r="N2943" s="12" t="s">
        <v>274</v>
      </c>
      <c r="O2943" s="12" t="s">
        <v>10762</v>
      </c>
      <c r="P2943" s="12" t="s">
        <v>66</v>
      </c>
      <c r="Q2943" s="12" t="s">
        <v>67</v>
      </c>
      <c r="R2943" s="12" t="s">
        <v>1200</v>
      </c>
      <c r="S2943" s="13">
        <v>197063397540</v>
      </c>
      <c r="T2943" s="12" t="s">
        <v>49</v>
      </c>
      <c r="U2943" s="12" t="s">
        <v>138</v>
      </c>
      <c r="V2943" s="12" t="s">
        <v>665</v>
      </c>
      <c r="W2943" s="12" t="s">
        <v>118</v>
      </c>
      <c r="X2943" s="13">
        <v>0</v>
      </c>
      <c r="Y2943" s="12" t="s">
        <v>91</v>
      </c>
      <c r="Z2943" s="12" t="s">
        <v>108</v>
      </c>
      <c r="AA2943" s="13">
        <v>0</v>
      </c>
      <c r="AB2943" s="13">
        <v>0</v>
      </c>
      <c r="AC2943" s="15">
        <v>18.2</v>
      </c>
      <c r="AD2943" s="15">
        <f>AC2943*AG2943</f>
        <v>18.2</v>
      </c>
      <c r="AE2943" s="15">
        <v>40</v>
      </c>
      <c r="AF2943" s="15">
        <f>AE2943*AG2943</f>
        <v>40</v>
      </c>
      <c r="AG2943" s="16">
        <v>1</v>
      </c>
    </row>
    <row r="2944" spans="1:33" ht="15" customHeight="1" x14ac:dyDescent="0.2">
      <c r="A2944" s="11" t="str">
        <f>HYPERLINK("https://assets.vans.eu/images/VN000G3JCR3-HERO/1","VN000G3JCR31")</f>
        <v>VN000G3JCR31</v>
      </c>
      <c r="B2944" s="12" t="s">
        <v>10763</v>
      </c>
      <c r="C2944" s="12" t="s">
        <v>1788</v>
      </c>
      <c r="D2944" s="12" t="s">
        <v>10764</v>
      </c>
      <c r="E2944" s="12" t="s">
        <v>10765</v>
      </c>
      <c r="F2944" s="12" t="s">
        <v>138</v>
      </c>
      <c r="G2944" s="14"/>
      <c r="H2944" s="12" t="s">
        <v>61</v>
      </c>
      <c r="I2944" s="12" t="s">
        <v>289</v>
      </c>
      <c r="J2944" s="12" t="s">
        <v>706</v>
      </c>
      <c r="K2944" s="12" t="s">
        <v>100</v>
      </c>
      <c r="L2944" s="14"/>
      <c r="M2944" s="12" t="s">
        <v>43</v>
      </c>
      <c r="N2944" s="12" t="s">
        <v>274</v>
      </c>
      <c r="O2944" s="12" t="s">
        <v>10766</v>
      </c>
      <c r="P2944" s="12" t="s">
        <v>66</v>
      </c>
      <c r="Q2944" s="12" t="s">
        <v>67</v>
      </c>
      <c r="R2944" s="12" t="s">
        <v>1200</v>
      </c>
      <c r="S2944" s="13">
        <v>197063397502</v>
      </c>
      <c r="T2944" s="12" t="s">
        <v>49</v>
      </c>
      <c r="U2944" s="12" t="s">
        <v>138</v>
      </c>
      <c r="V2944" s="12" t="s">
        <v>665</v>
      </c>
      <c r="W2944" s="12" t="s">
        <v>107</v>
      </c>
      <c r="X2944" s="13">
        <v>0</v>
      </c>
      <c r="Y2944" s="12" t="s">
        <v>91</v>
      </c>
      <c r="Z2944" s="12" t="s">
        <v>108</v>
      </c>
      <c r="AA2944" s="13">
        <v>0</v>
      </c>
      <c r="AB2944" s="13">
        <v>0</v>
      </c>
      <c r="AC2944" s="15">
        <v>18.2</v>
      </c>
      <c r="AD2944" s="15">
        <f>AC2944*AG2944</f>
        <v>18.2</v>
      </c>
      <c r="AE2944" s="15">
        <v>40</v>
      </c>
      <c r="AF2944" s="15">
        <f>AE2944*AG2944</f>
        <v>40</v>
      </c>
      <c r="AG2944" s="16">
        <v>1</v>
      </c>
    </row>
    <row r="2945" spans="1:33" ht="15" customHeight="1" x14ac:dyDescent="0.2">
      <c r="A2945" s="11" t="str">
        <f t="shared" ref="A2945:A2946" si="1148">HYPERLINK("https://assets.vans.eu/images/VN000G3JD3Z-HERO/1","VN000G3JD3Z1")</f>
        <v>VN000G3JD3Z1</v>
      </c>
      <c r="B2945" s="12" t="s">
        <v>10767</v>
      </c>
      <c r="C2945" s="12" t="s">
        <v>1788</v>
      </c>
      <c r="D2945" s="12" t="s">
        <v>4721</v>
      </c>
      <c r="E2945" s="12" t="s">
        <v>10768</v>
      </c>
      <c r="F2945" s="12" t="s">
        <v>179</v>
      </c>
      <c r="G2945" s="14"/>
      <c r="H2945" s="12" t="s">
        <v>61</v>
      </c>
      <c r="I2945" s="12" t="s">
        <v>289</v>
      </c>
      <c r="J2945" s="12" t="s">
        <v>706</v>
      </c>
      <c r="K2945" s="12" t="s">
        <v>100</v>
      </c>
      <c r="L2945" s="14"/>
      <c r="M2945" s="12" t="s">
        <v>43</v>
      </c>
      <c r="N2945" s="12" t="s">
        <v>161</v>
      </c>
      <c r="O2945" s="12" t="s">
        <v>10769</v>
      </c>
      <c r="P2945" s="12" t="s">
        <v>66</v>
      </c>
      <c r="Q2945" s="12" t="s">
        <v>67</v>
      </c>
      <c r="R2945" s="12" t="s">
        <v>1200</v>
      </c>
      <c r="S2945" s="13">
        <v>197065706364</v>
      </c>
      <c r="T2945" s="12" t="s">
        <v>49</v>
      </c>
      <c r="U2945" s="12" t="s">
        <v>179</v>
      </c>
      <c r="V2945" s="12" t="s">
        <v>665</v>
      </c>
      <c r="W2945" s="12" t="s">
        <v>118</v>
      </c>
      <c r="X2945" s="13">
        <v>0</v>
      </c>
      <c r="Y2945" s="12" t="s">
        <v>91</v>
      </c>
      <c r="Z2945" s="12" t="s">
        <v>108</v>
      </c>
      <c r="AA2945" s="13">
        <v>0</v>
      </c>
      <c r="AB2945" s="13">
        <v>0</v>
      </c>
      <c r="AC2945" s="15">
        <v>17.3</v>
      </c>
      <c r="AD2945" s="15">
        <f>AC2945*AG2945</f>
        <v>17.3</v>
      </c>
      <c r="AE2945" s="15">
        <v>38</v>
      </c>
      <c r="AF2945" s="15">
        <f>AE2945*AG2945</f>
        <v>38</v>
      </c>
      <c r="AG2945" s="16">
        <v>1</v>
      </c>
    </row>
    <row r="2946" spans="1:33" ht="15" customHeight="1" x14ac:dyDescent="0.2">
      <c r="A2946" s="11" t="str">
        <f t="shared" si="1148"/>
        <v>VN000G3JD3Z1</v>
      </c>
      <c r="B2946" s="12" t="s">
        <v>10770</v>
      </c>
      <c r="C2946" s="12" t="s">
        <v>1788</v>
      </c>
      <c r="D2946" s="12" t="s">
        <v>4721</v>
      </c>
      <c r="E2946" s="12" t="s">
        <v>10771</v>
      </c>
      <c r="F2946" s="12" t="s">
        <v>60</v>
      </c>
      <c r="G2946" s="14"/>
      <c r="H2946" s="12" t="s">
        <v>61</v>
      </c>
      <c r="I2946" s="12" t="s">
        <v>289</v>
      </c>
      <c r="J2946" s="12" t="s">
        <v>706</v>
      </c>
      <c r="K2946" s="12" t="s">
        <v>100</v>
      </c>
      <c r="L2946" s="14"/>
      <c r="M2946" s="12" t="s">
        <v>43</v>
      </c>
      <c r="N2946" s="12" t="s">
        <v>161</v>
      </c>
      <c r="O2946" s="12" t="s">
        <v>10772</v>
      </c>
      <c r="P2946" s="12" t="s">
        <v>66</v>
      </c>
      <c r="Q2946" s="12" t="s">
        <v>67</v>
      </c>
      <c r="R2946" s="12" t="s">
        <v>1200</v>
      </c>
      <c r="S2946" s="13">
        <v>197065706746</v>
      </c>
      <c r="T2946" s="12" t="s">
        <v>49</v>
      </c>
      <c r="U2946" s="12" t="s">
        <v>60</v>
      </c>
      <c r="V2946" s="12" t="s">
        <v>665</v>
      </c>
      <c r="W2946" s="12" t="s">
        <v>118</v>
      </c>
      <c r="X2946" s="13">
        <v>0</v>
      </c>
      <c r="Y2946" s="12" t="s">
        <v>91</v>
      </c>
      <c r="Z2946" s="12" t="s">
        <v>108</v>
      </c>
      <c r="AA2946" s="13">
        <v>0</v>
      </c>
      <c r="AB2946" s="13">
        <v>0</v>
      </c>
      <c r="AC2946" s="15">
        <v>17.3</v>
      </c>
      <c r="AD2946" s="15">
        <f>AC2946*AG2946</f>
        <v>17.3</v>
      </c>
      <c r="AE2946" s="15">
        <v>38</v>
      </c>
      <c r="AF2946" s="15">
        <f>AE2946*AG2946</f>
        <v>38</v>
      </c>
      <c r="AG2946" s="16">
        <v>1</v>
      </c>
    </row>
    <row r="2947" spans="1:33" ht="15" customHeight="1" x14ac:dyDescent="0.2">
      <c r="A2947" s="11" t="str">
        <f>HYPERLINK("https://assets.vans.eu/images/VN000G3W1CI-HERO/1","VN000G3W1CI1")</f>
        <v>VN000G3W1CI1</v>
      </c>
      <c r="B2947" s="12" t="s">
        <v>10773</v>
      </c>
      <c r="C2947" s="12" t="s">
        <v>10774</v>
      </c>
      <c r="D2947" s="12" t="s">
        <v>884</v>
      </c>
      <c r="E2947" s="12" t="s">
        <v>10775</v>
      </c>
      <c r="F2947" s="12" t="s">
        <v>621</v>
      </c>
      <c r="G2947" s="14"/>
      <c r="H2947" s="12" t="s">
        <v>61</v>
      </c>
      <c r="I2947" s="12" t="s">
        <v>230</v>
      </c>
      <c r="J2947" s="12" t="s">
        <v>419</v>
      </c>
      <c r="K2947" s="12" t="s">
        <v>199</v>
      </c>
      <c r="L2947" s="14"/>
      <c r="M2947" s="12" t="s">
        <v>43</v>
      </c>
      <c r="N2947" s="12" t="s">
        <v>161</v>
      </c>
      <c r="O2947" s="12" t="s">
        <v>10776</v>
      </c>
      <c r="P2947" s="12" t="s">
        <v>66</v>
      </c>
      <c r="Q2947" s="12" t="s">
        <v>67</v>
      </c>
      <c r="R2947" s="12" t="s">
        <v>421</v>
      </c>
      <c r="S2947" s="13">
        <v>197065706890</v>
      </c>
      <c r="T2947" s="12" t="s">
        <v>89</v>
      </c>
      <c r="U2947" s="12" t="s">
        <v>621</v>
      </c>
      <c r="V2947" s="12" t="s">
        <v>10777</v>
      </c>
      <c r="W2947" s="12" t="s">
        <v>51</v>
      </c>
      <c r="X2947" s="13">
        <v>0</v>
      </c>
      <c r="Y2947" s="12" t="s">
        <v>91</v>
      </c>
      <c r="Z2947" s="12" t="s">
        <v>108</v>
      </c>
      <c r="AA2947" s="13">
        <v>0</v>
      </c>
      <c r="AB2947" s="13">
        <v>0</v>
      </c>
      <c r="AC2947" s="15">
        <v>18.2</v>
      </c>
      <c r="AD2947" s="15">
        <f>AC2947*AG2947</f>
        <v>18.2</v>
      </c>
      <c r="AE2947" s="15">
        <v>40</v>
      </c>
      <c r="AF2947" s="15">
        <f>AE2947*AG2947</f>
        <v>40</v>
      </c>
      <c r="AG2947" s="16">
        <v>1</v>
      </c>
    </row>
    <row r="2948" spans="1:33" ht="15" customHeight="1" x14ac:dyDescent="0.2">
      <c r="A2948" s="11" t="str">
        <f>HYPERLINK("https://assets.vans.eu/images/VN000G3WBLK-HERO/1","VN000G3WBLK1")</f>
        <v>VN000G3WBLK1</v>
      </c>
      <c r="B2948" s="12" t="s">
        <v>10778</v>
      </c>
      <c r="C2948" s="12" t="s">
        <v>10774</v>
      </c>
      <c r="D2948" s="12" t="s">
        <v>76</v>
      </c>
      <c r="E2948" s="12" t="s">
        <v>10779</v>
      </c>
      <c r="F2948" s="12" t="s">
        <v>153</v>
      </c>
      <c r="G2948" s="14"/>
      <c r="H2948" s="12" t="s">
        <v>61</v>
      </c>
      <c r="I2948" s="12" t="s">
        <v>230</v>
      </c>
      <c r="J2948" s="12" t="s">
        <v>419</v>
      </c>
      <c r="K2948" s="12" t="s">
        <v>199</v>
      </c>
      <c r="L2948" s="12" t="s">
        <v>350</v>
      </c>
      <c r="M2948" s="12" t="s">
        <v>43</v>
      </c>
      <c r="N2948" s="12" t="s">
        <v>44</v>
      </c>
      <c r="O2948" s="12" t="s">
        <v>10780</v>
      </c>
      <c r="P2948" s="12" t="s">
        <v>66</v>
      </c>
      <c r="Q2948" s="12" t="s">
        <v>67</v>
      </c>
      <c r="R2948" s="12" t="s">
        <v>421</v>
      </c>
      <c r="S2948" s="13">
        <v>197063398066</v>
      </c>
      <c r="T2948" s="12" t="s">
        <v>89</v>
      </c>
      <c r="U2948" s="12" t="s">
        <v>153</v>
      </c>
      <c r="V2948" s="12" t="s">
        <v>10777</v>
      </c>
      <c r="W2948" s="12" t="s">
        <v>51</v>
      </c>
      <c r="X2948" s="13">
        <v>0</v>
      </c>
      <c r="Y2948" s="12" t="s">
        <v>91</v>
      </c>
      <c r="Z2948" s="12" t="s">
        <v>108</v>
      </c>
      <c r="AA2948" s="13">
        <v>0</v>
      </c>
      <c r="AB2948" s="13">
        <v>0</v>
      </c>
      <c r="AC2948" s="15">
        <v>18.2</v>
      </c>
      <c r="AD2948" s="15">
        <f>AC2948*AG2948</f>
        <v>18.2</v>
      </c>
      <c r="AE2948" s="15">
        <v>40</v>
      </c>
      <c r="AF2948" s="15">
        <f>AE2948*AG2948</f>
        <v>40</v>
      </c>
      <c r="AG2948" s="16">
        <v>1</v>
      </c>
    </row>
    <row r="2949" spans="1:33" ht="15" customHeight="1" x14ac:dyDescent="0.2">
      <c r="A2949" s="11" t="str">
        <f>HYPERLINK("https://assets.vans.eu/images/VN000G3WWHT-HERO/1","VN000G3WWHT1")</f>
        <v>VN000G3WWHT1</v>
      </c>
      <c r="B2949" s="12" t="s">
        <v>10781</v>
      </c>
      <c r="C2949" s="12" t="s">
        <v>10774</v>
      </c>
      <c r="D2949" s="12" t="s">
        <v>168</v>
      </c>
      <c r="E2949" s="12" t="s">
        <v>10782</v>
      </c>
      <c r="F2949" s="12" t="s">
        <v>621</v>
      </c>
      <c r="G2949" s="14"/>
      <c r="H2949" s="12" t="s">
        <v>61</v>
      </c>
      <c r="I2949" s="12" t="s">
        <v>230</v>
      </c>
      <c r="J2949" s="12" t="s">
        <v>419</v>
      </c>
      <c r="K2949" s="12" t="s">
        <v>199</v>
      </c>
      <c r="L2949" s="12" t="s">
        <v>350</v>
      </c>
      <c r="M2949" s="12" t="s">
        <v>43</v>
      </c>
      <c r="N2949" s="12" t="s">
        <v>44</v>
      </c>
      <c r="O2949" s="12" t="s">
        <v>10783</v>
      </c>
      <c r="P2949" s="12" t="s">
        <v>66</v>
      </c>
      <c r="Q2949" s="12" t="s">
        <v>67</v>
      </c>
      <c r="R2949" s="12" t="s">
        <v>421</v>
      </c>
      <c r="S2949" s="13">
        <v>197063398349</v>
      </c>
      <c r="T2949" s="12" t="s">
        <v>89</v>
      </c>
      <c r="U2949" s="12" t="s">
        <v>621</v>
      </c>
      <c r="V2949" s="12" t="s">
        <v>10777</v>
      </c>
      <c r="W2949" s="12" t="s">
        <v>175</v>
      </c>
      <c r="X2949" s="13">
        <v>0</v>
      </c>
      <c r="Y2949" s="12" t="s">
        <v>91</v>
      </c>
      <c r="Z2949" s="12" t="s">
        <v>108</v>
      </c>
      <c r="AA2949" s="13">
        <v>0</v>
      </c>
      <c r="AB2949" s="13">
        <v>0</v>
      </c>
      <c r="AC2949" s="15">
        <v>18.2</v>
      </c>
      <c r="AD2949" s="15">
        <f>AC2949*AG2949</f>
        <v>18.2</v>
      </c>
      <c r="AE2949" s="15">
        <v>40</v>
      </c>
      <c r="AF2949" s="15">
        <f>AE2949*AG2949</f>
        <v>40</v>
      </c>
      <c r="AG2949" s="16">
        <v>1</v>
      </c>
    </row>
    <row r="2950" spans="1:33" ht="15" customHeight="1" x14ac:dyDescent="0.2">
      <c r="A2950" s="11" t="str">
        <f>HYPERLINK("https://assets.vans.eu/images/VN000G4JFS8-HERO/1","VN000G4JFS81")</f>
        <v>VN000G4JFS81</v>
      </c>
      <c r="B2950" s="12" t="s">
        <v>10784</v>
      </c>
      <c r="C2950" s="12" t="s">
        <v>10785</v>
      </c>
      <c r="D2950" s="12" t="s">
        <v>239</v>
      </c>
      <c r="E2950" s="12" t="s">
        <v>10786</v>
      </c>
      <c r="F2950" s="12" t="s">
        <v>60</v>
      </c>
      <c r="G2950" s="14"/>
      <c r="H2950" s="12" t="s">
        <v>61</v>
      </c>
      <c r="I2950" s="12" t="s">
        <v>230</v>
      </c>
      <c r="J2950" s="12" t="s">
        <v>419</v>
      </c>
      <c r="K2950" s="12" t="s">
        <v>199</v>
      </c>
      <c r="L2950" s="12" t="s">
        <v>350</v>
      </c>
      <c r="M2950" s="12" t="s">
        <v>43</v>
      </c>
      <c r="N2950" s="12" t="s">
        <v>44</v>
      </c>
      <c r="O2950" s="12" t="s">
        <v>10787</v>
      </c>
      <c r="P2950" s="12" t="s">
        <v>66</v>
      </c>
      <c r="Q2950" s="12" t="s">
        <v>67</v>
      </c>
      <c r="R2950" s="12" t="s">
        <v>421</v>
      </c>
      <c r="S2950" s="13">
        <v>197063399483</v>
      </c>
      <c r="T2950" s="12" t="s">
        <v>69</v>
      </c>
      <c r="U2950" s="12" t="s">
        <v>60</v>
      </c>
      <c r="V2950" s="12" t="s">
        <v>70</v>
      </c>
      <c r="W2950" s="12" t="s">
        <v>175</v>
      </c>
      <c r="X2950" s="13">
        <v>0</v>
      </c>
      <c r="Y2950" s="12" t="s">
        <v>91</v>
      </c>
      <c r="Z2950" s="12" t="s">
        <v>108</v>
      </c>
      <c r="AA2950" s="13">
        <v>0</v>
      </c>
      <c r="AB2950" s="13">
        <v>0</v>
      </c>
      <c r="AC2950" s="15">
        <v>17.3</v>
      </c>
      <c r="AD2950" s="15">
        <f>AC2950*AG2950</f>
        <v>17.3</v>
      </c>
      <c r="AE2950" s="15">
        <v>38</v>
      </c>
      <c r="AF2950" s="15">
        <f>AE2950*AG2950</f>
        <v>38</v>
      </c>
      <c r="AG2950" s="16">
        <v>1</v>
      </c>
    </row>
    <row r="2951" spans="1:33" ht="15" customHeight="1" x14ac:dyDescent="0.2">
      <c r="A2951" s="11" t="str">
        <f>HYPERLINK("https://assets.vans.eu/images/VN000G56BLK-HERO/1","VN000G56BLK1")</f>
        <v>VN000G56BLK1</v>
      </c>
      <c r="B2951" s="12" t="s">
        <v>10788</v>
      </c>
      <c r="C2951" s="12" t="s">
        <v>10789</v>
      </c>
      <c r="D2951" s="12" t="s">
        <v>76</v>
      </c>
      <c r="E2951" s="12" t="s">
        <v>10790</v>
      </c>
      <c r="F2951" s="12" t="s">
        <v>179</v>
      </c>
      <c r="G2951" s="14"/>
      <c r="H2951" s="12" t="s">
        <v>61</v>
      </c>
      <c r="I2951" s="12" t="s">
        <v>230</v>
      </c>
      <c r="J2951" s="12" t="s">
        <v>419</v>
      </c>
      <c r="K2951" s="12" t="s">
        <v>199</v>
      </c>
      <c r="L2951" s="12" t="s">
        <v>350</v>
      </c>
      <c r="M2951" s="12" t="s">
        <v>43</v>
      </c>
      <c r="N2951" s="12" t="s">
        <v>44</v>
      </c>
      <c r="O2951" s="12" t="s">
        <v>10791</v>
      </c>
      <c r="P2951" s="12" t="s">
        <v>66</v>
      </c>
      <c r="Q2951" s="12" t="s">
        <v>67</v>
      </c>
      <c r="R2951" s="12" t="s">
        <v>421</v>
      </c>
      <c r="S2951" s="13">
        <v>197063400073</v>
      </c>
      <c r="T2951" s="12" t="s">
        <v>422</v>
      </c>
      <c r="U2951" s="12" t="s">
        <v>179</v>
      </c>
      <c r="V2951" s="12" t="s">
        <v>70</v>
      </c>
      <c r="W2951" s="12" t="s">
        <v>51</v>
      </c>
      <c r="X2951" s="13">
        <v>0</v>
      </c>
      <c r="Y2951" s="12" t="s">
        <v>91</v>
      </c>
      <c r="Z2951" s="12" t="s">
        <v>108</v>
      </c>
      <c r="AA2951" s="13">
        <v>0</v>
      </c>
      <c r="AB2951" s="13">
        <v>0</v>
      </c>
      <c r="AC2951" s="15">
        <v>17.3</v>
      </c>
      <c r="AD2951" s="15">
        <f>AC2951*AG2951</f>
        <v>17.3</v>
      </c>
      <c r="AE2951" s="15">
        <v>38</v>
      </c>
      <c r="AF2951" s="15">
        <f>AE2951*AG2951</f>
        <v>38</v>
      </c>
      <c r="AG2951" s="16">
        <v>1</v>
      </c>
    </row>
    <row r="2952" spans="1:33" ht="15" customHeight="1" x14ac:dyDescent="0.2">
      <c r="A2952" s="11" t="str">
        <f>HYPERLINK("https://assets.vans.eu/images/VN000G56FS8-HERO/1","VN000G56FS81")</f>
        <v>VN000G56FS81</v>
      </c>
      <c r="B2952" s="12" t="s">
        <v>10792</v>
      </c>
      <c r="C2952" s="12" t="s">
        <v>10789</v>
      </c>
      <c r="D2952" s="12" t="s">
        <v>239</v>
      </c>
      <c r="E2952" s="12" t="s">
        <v>10793</v>
      </c>
      <c r="F2952" s="12" t="s">
        <v>60</v>
      </c>
      <c r="G2952" s="14"/>
      <c r="H2952" s="12" t="s">
        <v>61</v>
      </c>
      <c r="I2952" s="12" t="s">
        <v>230</v>
      </c>
      <c r="J2952" s="12" t="s">
        <v>419</v>
      </c>
      <c r="K2952" s="12" t="s">
        <v>199</v>
      </c>
      <c r="L2952" s="12" t="s">
        <v>350</v>
      </c>
      <c r="M2952" s="12" t="s">
        <v>43</v>
      </c>
      <c r="N2952" s="12" t="s">
        <v>44</v>
      </c>
      <c r="O2952" s="12" t="s">
        <v>10794</v>
      </c>
      <c r="P2952" s="12" t="s">
        <v>66</v>
      </c>
      <c r="Q2952" s="12" t="s">
        <v>67</v>
      </c>
      <c r="R2952" s="12" t="s">
        <v>421</v>
      </c>
      <c r="S2952" s="13">
        <v>197063400523</v>
      </c>
      <c r="T2952" s="12" t="s">
        <v>422</v>
      </c>
      <c r="U2952" s="12" t="s">
        <v>60</v>
      </c>
      <c r="V2952" s="12" t="s">
        <v>70</v>
      </c>
      <c r="W2952" s="12" t="s">
        <v>175</v>
      </c>
      <c r="X2952" s="13">
        <v>0</v>
      </c>
      <c r="Y2952" s="12" t="s">
        <v>91</v>
      </c>
      <c r="Z2952" s="12" t="s">
        <v>108</v>
      </c>
      <c r="AA2952" s="13">
        <v>0</v>
      </c>
      <c r="AB2952" s="13">
        <v>0</v>
      </c>
      <c r="AC2952" s="15">
        <v>17.3</v>
      </c>
      <c r="AD2952" s="15">
        <f>AC2952*AG2952</f>
        <v>17.3</v>
      </c>
      <c r="AE2952" s="15">
        <v>38</v>
      </c>
      <c r="AF2952" s="15">
        <f>AE2952*AG2952</f>
        <v>38</v>
      </c>
      <c r="AG2952" s="16">
        <v>1</v>
      </c>
    </row>
    <row r="2953" spans="1:33" ht="15" customHeight="1" x14ac:dyDescent="0.2">
      <c r="A2953" s="11" t="str">
        <f t="shared" si="845"/>
        <v>VN000G6MBDX1</v>
      </c>
      <c r="B2953" s="12" t="s">
        <v>10795</v>
      </c>
      <c r="C2953" s="12" t="s">
        <v>7762</v>
      </c>
      <c r="D2953" s="12" t="s">
        <v>7763</v>
      </c>
      <c r="E2953" s="12" t="s">
        <v>10796</v>
      </c>
      <c r="F2953" s="12" t="s">
        <v>179</v>
      </c>
      <c r="G2953" s="14"/>
      <c r="H2953" s="12" t="s">
        <v>61</v>
      </c>
      <c r="I2953" s="12" t="s">
        <v>230</v>
      </c>
      <c r="J2953" s="12" t="s">
        <v>419</v>
      </c>
      <c r="K2953" s="12" t="s">
        <v>199</v>
      </c>
      <c r="L2953" s="14"/>
      <c r="M2953" s="12" t="s">
        <v>43</v>
      </c>
      <c r="N2953" s="12" t="s">
        <v>274</v>
      </c>
      <c r="O2953" s="12" t="s">
        <v>10797</v>
      </c>
      <c r="P2953" s="12" t="s">
        <v>66</v>
      </c>
      <c r="Q2953" s="12" t="s">
        <v>67</v>
      </c>
      <c r="R2953" s="12" t="s">
        <v>1490</v>
      </c>
      <c r="S2953" s="13">
        <v>197063402404</v>
      </c>
      <c r="T2953" s="12" t="s">
        <v>143</v>
      </c>
      <c r="U2953" s="12" t="s">
        <v>179</v>
      </c>
      <c r="V2953" s="12" t="s">
        <v>7766</v>
      </c>
      <c r="W2953" s="12" t="s">
        <v>118</v>
      </c>
      <c r="X2953" s="13">
        <v>0</v>
      </c>
      <c r="Y2953" s="12" t="s">
        <v>91</v>
      </c>
      <c r="Z2953" s="12" t="s">
        <v>108</v>
      </c>
      <c r="AA2953" s="13">
        <v>0</v>
      </c>
      <c r="AB2953" s="13">
        <v>0</v>
      </c>
      <c r="AC2953" s="15">
        <v>40.950000000000003</v>
      </c>
      <c r="AD2953" s="15">
        <f>AC2953*AG2953</f>
        <v>40.950000000000003</v>
      </c>
      <c r="AE2953" s="15">
        <v>90</v>
      </c>
      <c r="AF2953" s="15">
        <f>AE2953*AG2953</f>
        <v>90</v>
      </c>
      <c r="AG2953" s="16">
        <v>1</v>
      </c>
    </row>
    <row r="2954" spans="1:33" ht="15" customHeight="1" x14ac:dyDescent="0.2">
      <c r="A2954" s="11" t="str">
        <f>HYPERLINK("https://assets.vans.eu/images/VN000G6MBDX-HERO/1","VN000G6MBDX1")</f>
        <v>VN000G6MBDX1</v>
      </c>
      <c r="B2954" s="12" t="s">
        <v>10798</v>
      </c>
      <c r="C2954" s="12" t="s">
        <v>7762</v>
      </c>
      <c r="D2954" s="12" t="s">
        <v>7763</v>
      </c>
      <c r="E2954" s="12" t="s">
        <v>10799</v>
      </c>
      <c r="F2954" s="12" t="s">
        <v>60</v>
      </c>
      <c r="G2954" s="14"/>
      <c r="H2954" s="12" t="s">
        <v>61</v>
      </c>
      <c r="I2954" s="12" t="s">
        <v>230</v>
      </c>
      <c r="J2954" s="12" t="s">
        <v>419</v>
      </c>
      <c r="K2954" s="12" t="s">
        <v>199</v>
      </c>
      <c r="L2954" s="14"/>
      <c r="M2954" s="12" t="s">
        <v>43</v>
      </c>
      <c r="N2954" s="12" t="s">
        <v>274</v>
      </c>
      <c r="O2954" s="12" t="s">
        <v>10800</v>
      </c>
      <c r="P2954" s="12" t="s">
        <v>66</v>
      </c>
      <c r="Q2954" s="12" t="s">
        <v>67</v>
      </c>
      <c r="R2954" s="12" t="s">
        <v>1490</v>
      </c>
      <c r="S2954" s="13">
        <v>197063402749</v>
      </c>
      <c r="T2954" s="12" t="s">
        <v>143</v>
      </c>
      <c r="U2954" s="12" t="s">
        <v>60</v>
      </c>
      <c r="V2954" s="12" t="s">
        <v>7766</v>
      </c>
      <c r="W2954" s="12" t="s">
        <v>118</v>
      </c>
      <c r="X2954" s="13">
        <v>0</v>
      </c>
      <c r="Y2954" s="12" t="s">
        <v>91</v>
      </c>
      <c r="Z2954" s="12" t="s">
        <v>108</v>
      </c>
      <c r="AA2954" s="13">
        <v>0</v>
      </c>
      <c r="AB2954" s="13">
        <v>0</v>
      </c>
      <c r="AC2954" s="15">
        <v>40.950000000000003</v>
      </c>
      <c r="AD2954" s="15">
        <f>AC2954*AG2954</f>
        <v>40.950000000000003</v>
      </c>
      <c r="AE2954" s="15">
        <v>90</v>
      </c>
      <c r="AF2954" s="15">
        <f>AE2954*AG2954</f>
        <v>90</v>
      </c>
      <c r="AG2954" s="16">
        <v>1</v>
      </c>
    </row>
    <row r="2955" spans="1:33" ht="15" customHeight="1" x14ac:dyDescent="0.2">
      <c r="A2955" s="11" t="str">
        <f t="shared" si="160"/>
        <v>VN000G756PH1</v>
      </c>
      <c r="B2955" s="12" t="s">
        <v>10801</v>
      </c>
      <c r="C2955" s="12" t="s">
        <v>1188</v>
      </c>
      <c r="D2955" s="12" t="s">
        <v>1878</v>
      </c>
      <c r="E2955" s="12" t="s">
        <v>10802</v>
      </c>
      <c r="F2955" s="12" t="s">
        <v>153</v>
      </c>
      <c r="G2955" s="14"/>
      <c r="H2955" s="12" t="s">
        <v>61</v>
      </c>
      <c r="I2955" s="12" t="s">
        <v>230</v>
      </c>
      <c r="J2955" s="12" t="s">
        <v>557</v>
      </c>
      <c r="K2955" s="12" t="s">
        <v>199</v>
      </c>
      <c r="L2955" s="14"/>
      <c r="M2955" s="12" t="s">
        <v>43</v>
      </c>
      <c r="N2955" s="12" t="s">
        <v>44</v>
      </c>
      <c r="O2955" s="12" t="s">
        <v>10803</v>
      </c>
      <c r="P2955" s="12" t="s">
        <v>66</v>
      </c>
      <c r="Q2955" s="12" t="s">
        <v>559</v>
      </c>
      <c r="R2955" s="12" t="s">
        <v>560</v>
      </c>
      <c r="S2955" s="13">
        <v>197643554387</v>
      </c>
      <c r="T2955" s="12" t="s">
        <v>49</v>
      </c>
      <c r="U2955" s="12" t="s">
        <v>153</v>
      </c>
      <c r="V2955" s="12" t="s">
        <v>1191</v>
      </c>
      <c r="W2955" s="12" t="s">
        <v>107</v>
      </c>
      <c r="X2955" s="12" t="s">
        <v>500</v>
      </c>
      <c r="Y2955" s="12" t="s">
        <v>91</v>
      </c>
      <c r="Z2955" s="12" t="s">
        <v>108</v>
      </c>
      <c r="AA2955" s="13">
        <v>0</v>
      </c>
      <c r="AB2955" s="13">
        <v>0</v>
      </c>
      <c r="AC2955" s="15">
        <v>25</v>
      </c>
      <c r="AD2955" s="15">
        <f>AC2955*AG2955</f>
        <v>25</v>
      </c>
      <c r="AE2955" s="15">
        <v>55</v>
      </c>
      <c r="AF2955" s="15">
        <f>AE2955*AG2955</f>
        <v>55</v>
      </c>
      <c r="AG2955" s="16">
        <v>1</v>
      </c>
    </row>
    <row r="2956" spans="1:33" ht="15" customHeight="1" x14ac:dyDescent="0.2">
      <c r="A2956" s="11" t="str">
        <f>HYPERLINK("https://assets.vans.eu/images/VN000G75BLK-HERO/1","VN000G75BLK1")</f>
        <v>VN000G75BLK1</v>
      </c>
      <c r="B2956" s="12" t="s">
        <v>10804</v>
      </c>
      <c r="C2956" s="12" t="s">
        <v>1188</v>
      </c>
      <c r="D2956" s="12" t="s">
        <v>76</v>
      </c>
      <c r="E2956" s="12" t="s">
        <v>10805</v>
      </c>
      <c r="F2956" s="12" t="s">
        <v>153</v>
      </c>
      <c r="G2956" s="14"/>
      <c r="H2956" s="12" t="s">
        <v>61</v>
      </c>
      <c r="I2956" s="12" t="s">
        <v>230</v>
      </c>
      <c r="J2956" s="12" t="s">
        <v>557</v>
      </c>
      <c r="K2956" s="12" t="s">
        <v>199</v>
      </c>
      <c r="L2956" s="14"/>
      <c r="M2956" s="12" t="s">
        <v>43</v>
      </c>
      <c r="N2956" s="12" t="s">
        <v>84</v>
      </c>
      <c r="O2956" s="12" t="s">
        <v>10806</v>
      </c>
      <c r="P2956" s="12" t="s">
        <v>66</v>
      </c>
      <c r="Q2956" s="12" t="s">
        <v>559</v>
      </c>
      <c r="R2956" s="12" t="s">
        <v>560</v>
      </c>
      <c r="S2956" s="13">
        <v>197063446798</v>
      </c>
      <c r="T2956" s="12" t="s">
        <v>49</v>
      </c>
      <c r="U2956" s="12" t="s">
        <v>153</v>
      </c>
      <c r="V2956" s="12" t="s">
        <v>1191</v>
      </c>
      <c r="W2956" s="12" t="s">
        <v>51</v>
      </c>
      <c r="X2956" s="13">
        <v>0</v>
      </c>
      <c r="Y2956" s="12" t="s">
        <v>91</v>
      </c>
      <c r="Z2956" s="12" t="s">
        <v>108</v>
      </c>
      <c r="AA2956" s="13">
        <v>0</v>
      </c>
      <c r="AB2956" s="13">
        <v>0</v>
      </c>
      <c r="AC2956" s="15">
        <v>25</v>
      </c>
      <c r="AD2956" s="15">
        <f>AC2956*AG2956</f>
        <v>25</v>
      </c>
      <c r="AE2956" s="15">
        <v>55</v>
      </c>
      <c r="AF2956" s="15">
        <f>AE2956*AG2956</f>
        <v>55</v>
      </c>
      <c r="AG2956" s="16">
        <v>1</v>
      </c>
    </row>
    <row r="2957" spans="1:33" ht="15" customHeight="1" x14ac:dyDescent="0.2">
      <c r="A2957" s="11" t="str">
        <f>HYPERLINK("https://assets.vans.eu/images/VN000G7U1O7-HERO/1","VN000G7U1O71")</f>
        <v>VN000G7U1O71</v>
      </c>
      <c r="B2957" s="12" t="s">
        <v>10807</v>
      </c>
      <c r="C2957" s="12" t="s">
        <v>10808</v>
      </c>
      <c r="D2957" s="12" t="s">
        <v>637</v>
      </c>
      <c r="E2957" s="12" t="s">
        <v>10809</v>
      </c>
      <c r="F2957" s="13">
        <v>36</v>
      </c>
      <c r="G2957" s="14"/>
      <c r="H2957" s="12" t="s">
        <v>61</v>
      </c>
      <c r="I2957" s="12" t="s">
        <v>230</v>
      </c>
      <c r="J2957" s="12" t="s">
        <v>557</v>
      </c>
      <c r="K2957" s="12" t="s">
        <v>199</v>
      </c>
      <c r="L2957" s="14"/>
      <c r="M2957" s="12" t="s">
        <v>43</v>
      </c>
      <c r="N2957" s="12" t="s">
        <v>274</v>
      </c>
      <c r="O2957" s="12" t="s">
        <v>10810</v>
      </c>
      <c r="P2957" s="12" t="s">
        <v>66</v>
      </c>
      <c r="Q2957" s="12" t="s">
        <v>559</v>
      </c>
      <c r="R2957" s="12" t="s">
        <v>560</v>
      </c>
      <c r="S2957" s="13">
        <v>197063448198</v>
      </c>
      <c r="T2957" s="12" t="s">
        <v>49</v>
      </c>
      <c r="U2957" s="13">
        <v>36</v>
      </c>
      <c r="V2957" s="12" t="s">
        <v>10811</v>
      </c>
      <c r="W2957" s="12" t="s">
        <v>455</v>
      </c>
      <c r="X2957" s="13">
        <v>0</v>
      </c>
      <c r="Y2957" s="12" t="s">
        <v>53</v>
      </c>
      <c r="Z2957" s="12" t="s">
        <v>108</v>
      </c>
      <c r="AA2957" s="13">
        <v>0</v>
      </c>
      <c r="AB2957" s="13">
        <v>0</v>
      </c>
      <c r="AC2957" s="15">
        <v>31.85</v>
      </c>
      <c r="AD2957" s="15">
        <f>AC2957*AG2957</f>
        <v>31.85</v>
      </c>
      <c r="AE2957" s="15">
        <v>70</v>
      </c>
      <c r="AF2957" s="15">
        <f>AE2957*AG2957</f>
        <v>70</v>
      </c>
      <c r="AG2957" s="16">
        <v>1</v>
      </c>
    </row>
    <row r="2958" spans="1:33" ht="15" customHeight="1" x14ac:dyDescent="0.2">
      <c r="A2958" s="11" t="str">
        <f>HYPERLINK("https://assets.vans.eu/images/VN000G8AP8X-HERO/1","VN000G8AP8X1")</f>
        <v>VN000G8AP8X1</v>
      </c>
      <c r="B2958" s="12" t="s">
        <v>10812</v>
      </c>
      <c r="C2958" s="12" t="s">
        <v>10813</v>
      </c>
      <c r="D2958" s="12" t="s">
        <v>10814</v>
      </c>
      <c r="E2958" s="12" t="s">
        <v>10815</v>
      </c>
      <c r="F2958" s="12" t="s">
        <v>179</v>
      </c>
      <c r="G2958" s="14"/>
      <c r="H2958" s="12" t="s">
        <v>61</v>
      </c>
      <c r="I2958" s="12" t="s">
        <v>230</v>
      </c>
      <c r="J2958" s="12" t="s">
        <v>762</v>
      </c>
      <c r="K2958" s="12" t="s">
        <v>199</v>
      </c>
      <c r="L2958" s="14"/>
      <c r="M2958" s="12" t="s">
        <v>43</v>
      </c>
      <c r="N2958" s="12" t="s">
        <v>274</v>
      </c>
      <c r="O2958" s="12" t="s">
        <v>10816</v>
      </c>
      <c r="P2958" s="12" t="s">
        <v>66</v>
      </c>
      <c r="Q2958" s="12" t="s">
        <v>764</v>
      </c>
      <c r="R2958" s="12" t="s">
        <v>765</v>
      </c>
      <c r="S2958" s="13">
        <v>197063454533</v>
      </c>
      <c r="T2958" s="12" t="s">
        <v>49</v>
      </c>
      <c r="U2958" s="12" t="s">
        <v>179</v>
      </c>
      <c r="V2958" s="12" t="s">
        <v>1811</v>
      </c>
      <c r="W2958" s="12" t="s">
        <v>284</v>
      </c>
      <c r="X2958" s="13">
        <v>0</v>
      </c>
      <c r="Y2958" s="12" t="s">
        <v>53</v>
      </c>
      <c r="Z2958" s="12" t="s">
        <v>108</v>
      </c>
      <c r="AA2958" s="13">
        <v>0</v>
      </c>
      <c r="AB2958" s="13">
        <v>0</v>
      </c>
      <c r="AC2958" s="15">
        <v>50</v>
      </c>
      <c r="AD2958" s="15">
        <f>AC2958*AG2958</f>
        <v>50</v>
      </c>
      <c r="AE2958" s="15">
        <v>110</v>
      </c>
      <c r="AF2958" s="15">
        <f>AE2958*AG2958</f>
        <v>110</v>
      </c>
      <c r="AG2958" s="16">
        <v>1</v>
      </c>
    </row>
    <row r="2959" spans="1:33" ht="15" customHeight="1" x14ac:dyDescent="0.2">
      <c r="A2959" s="11" t="str">
        <f>HYPERLINK("https://assets.vans.eu/images/VN000G8CCHN-HERO/1","VN000G8CCHN1")</f>
        <v>VN000G8CCHN1</v>
      </c>
      <c r="B2959" s="12" t="s">
        <v>10817</v>
      </c>
      <c r="C2959" s="12" t="s">
        <v>10818</v>
      </c>
      <c r="D2959" s="12" t="s">
        <v>6113</v>
      </c>
      <c r="E2959" s="12" t="s">
        <v>10819</v>
      </c>
      <c r="F2959" s="12" t="s">
        <v>403</v>
      </c>
      <c r="G2959" s="14"/>
      <c r="H2959" s="12" t="s">
        <v>61</v>
      </c>
      <c r="I2959" s="12" t="s">
        <v>62</v>
      </c>
      <c r="J2959" s="12" t="s">
        <v>63</v>
      </c>
      <c r="K2959" s="12" t="s">
        <v>1022</v>
      </c>
      <c r="L2959" s="14"/>
      <c r="M2959" s="12" t="s">
        <v>43</v>
      </c>
      <c r="N2959" s="12" t="s">
        <v>274</v>
      </c>
      <c r="O2959" s="12" t="s">
        <v>10820</v>
      </c>
      <c r="P2959" s="12" t="s">
        <v>66</v>
      </c>
      <c r="Q2959" s="12" t="s">
        <v>67</v>
      </c>
      <c r="R2959" s="12" t="s">
        <v>730</v>
      </c>
      <c r="S2959" s="13">
        <v>197063412281</v>
      </c>
      <c r="T2959" s="12" t="s">
        <v>49</v>
      </c>
      <c r="U2959" s="12" t="s">
        <v>403</v>
      </c>
      <c r="V2959" s="12" t="s">
        <v>1726</v>
      </c>
      <c r="W2959" s="12" t="s">
        <v>299</v>
      </c>
      <c r="X2959" s="13">
        <v>0</v>
      </c>
      <c r="Y2959" s="12" t="s">
        <v>91</v>
      </c>
      <c r="Z2959" s="12" t="s">
        <v>108</v>
      </c>
      <c r="AA2959" s="13">
        <v>0</v>
      </c>
      <c r="AB2959" s="13">
        <v>0</v>
      </c>
      <c r="AC2959" s="15">
        <v>29.55</v>
      </c>
      <c r="AD2959" s="15">
        <f>AC2959*AG2959</f>
        <v>29.55</v>
      </c>
      <c r="AE2959" s="15">
        <v>65</v>
      </c>
      <c r="AF2959" s="15">
        <f>AE2959*AG2959</f>
        <v>65</v>
      </c>
      <c r="AG2959" s="16">
        <v>1</v>
      </c>
    </row>
    <row r="2960" spans="1:33" ht="15" customHeight="1" x14ac:dyDescent="0.2">
      <c r="A2960" s="11" t="str">
        <f>HYPERLINK("https://assets.vans.eu/images/VN000G8DDSB-HERO/1","VN000G8DDSB1")</f>
        <v>VN000G8DDSB1</v>
      </c>
      <c r="B2960" s="12" t="s">
        <v>10821</v>
      </c>
      <c r="C2960" s="12" t="s">
        <v>10822</v>
      </c>
      <c r="D2960" s="12" t="s">
        <v>6254</v>
      </c>
      <c r="E2960" s="12" t="s">
        <v>10823</v>
      </c>
      <c r="F2960" s="12" t="s">
        <v>403</v>
      </c>
      <c r="G2960" s="14"/>
      <c r="H2960" s="12" t="s">
        <v>61</v>
      </c>
      <c r="I2960" s="12" t="s">
        <v>62</v>
      </c>
      <c r="J2960" s="12" t="s">
        <v>63</v>
      </c>
      <c r="K2960" s="12" t="s">
        <v>1022</v>
      </c>
      <c r="L2960" s="14"/>
      <c r="M2960" s="12" t="s">
        <v>43</v>
      </c>
      <c r="N2960" s="12" t="s">
        <v>274</v>
      </c>
      <c r="O2960" s="12" t="s">
        <v>10824</v>
      </c>
      <c r="P2960" s="12" t="s">
        <v>66</v>
      </c>
      <c r="Q2960" s="12" t="s">
        <v>67</v>
      </c>
      <c r="R2960" s="12" t="s">
        <v>730</v>
      </c>
      <c r="S2960" s="13">
        <v>197063412236</v>
      </c>
      <c r="T2960" s="12" t="s">
        <v>69</v>
      </c>
      <c r="U2960" s="12" t="s">
        <v>403</v>
      </c>
      <c r="V2960" s="12" t="s">
        <v>1378</v>
      </c>
      <c r="W2960" s="12" t="s">
        <v>284</v>
      </c>
      <c r="X2960" s="13">
        <v>0</v>
      </c>
      <c r="Y2960" s="12" t="s">
        <v>91</v>
      </c>
      <c r="Z2960" s="12" t="s">
        <v>108</v>
      </c>
      <c r="AA2960" s="13">
        <v>0</v>
      </c>
      <c r="AB2960" s="13">
        <v>0</v>
      </c>
      <c r="AC2960" s="15">
        <v>29.55</v>
      </c>
      <c r="AD2960" s="15">
        <f>AC2960*AG2960</f>
        <v>29.55</v>
      </c>
      <c r="AE2960" s="15">
        <v>65</v>
      </c>
      <c r="AF2960" s="15">
        <f>AE2960*AG2960</f>
        <v>65</v>
      </c>
      <c r="AG2960" s="16">
        <v>1</v>
      </c>
    </row>
    <row r="2961" spans="1:33" ht="15" customHeight="1" x14ac:dyDescent="0.2">
      <c r="A2961" s="11" t="str">
        <f>HYPERLINK("https://assets.vans.eu/images/VN000G8ECJL-HERO/1","VN000G8ECJL1")</f>
        <v>VN000G8ECJL1</v>
      </c>
      <c r="B2961" s="12" t="s">
        <v>10825</v>
      </c>
      <c r="C2961" s="12" t="s">
        <v>10826</v>
      </c>
      <c r="D2961" s="12" t="s">
        <v>6270</v>
      </c>
      <c r="E2961" s="12" t="s">
        <v>10827</v>
      </c>
      <c r="F2961" s="12" t="s">
        <v>403</v>
      </c>
      <c r="G2961" s="14"/>
      <c r="H2961" s="12" t="s">
        <v>61</v>
      </c>
      <c r="I2961" s="12" t="s">
        <v>62</v>
      </c>
      <c r="J2961" s="12" t="s">
        <v>63</v>
      </c>
      <c r="K2961" s="12" t="s">
        <v>1022</v>
      </c>
      <c r="L2961" s="14"/>
      <c r="M2961" s="12" t="s">
        <v>43</v>
      </c>
      <c r="N2961" s="12" t="s">
        <v>274</v>
      </c>
      <c r="O2961" s="12" t="s">
        <v>10828</v>
      </c>
      <c r="P2961" s="12" t="s">
        <v>66</v>
      </c>
      <c r="Q2961" s="12" t="s">
        <v>67</v>
      </c>
      <c r="R2961" s="12" t="s">
        <v>730</v>
      </c>
      <c r="S2961" s="13">
        <v>197063412434</v>
      </c>
      <c r="T2961" s="12" t="s">
        <v>49</v>
      </c>
      <c r="U2961" s="12" t="s">
        <v>403</v>
      </c>
      <c r="V2961" s="12" t="s">
        <v>10829</v>
      </c>
      <c r="W2961" s="12" t="s">
        <v>118</v>
      </c>
      <c r="X2961" s="13">
        <v>0</v>
      </c>
      <c r="Y2961" s="12" t="s">
        <v>91</v>
      </c>
      <c r="Z2961" s="12" t="s">
        <v>108</v>
      </c>
      <c r="AA2961" s="13">
        <v>0</v>
      </c>
      <c r="AB2961" s="13">
        <v>0</v>
      </c>
      <c r="AC2961" s="15">
        <v>30.95</v>
      </c>
      <c r="AD2961" s="15">
        <f>AC2961*AG2961</f>
        <v>30.95</v>
      </c>
      <c r="AE2961" s="15">
        <v>68</v>
      </c>
      <c r="AF2961" s="15">
        <f>AE2961*AG2961</f>
        <v>68</v>
      </c>
      <c r="AG2961" s="16">
        <v>1</v>
      </c>
    </row>
    <row r="2962" spans="1:33" ht="15" customHeight="1" x14ac:dyDescent="0.2">
      <c r="A2962" s="11" t="str">
        <f>HYPERLINK("https://assets.vans.eu/images/VN000G9S7VJ-HERO/1","VN000G9S7VJ1")</f>
        <v>VN000G9S7VJ1</v>
      </c>
      <c r="B2962" s="12" t="s">
        <v>10830</v>
      </c>
      <c r="C2962" s="12" t="s">
        <v>10831</v>
      </c>
      <c r="D2962" s="12" t="s">
        <v>2647</v>
      </c>
      <c r="E2962" s="12" t="s">
        <v>10832</v>
      </c>
      <c r="F2962" s="12" t="s">
        <v>170</v>
      </c>
      <c r="G2962" s="14"/>
      <c r="H2962" s="12" t="s">
        <v>61</v>
      </c>
      <c r="I2962" s="12" t="s">
        <v>289</v>
      </c>
      <c r="J2962" s="12" t="s">
        <v>900</v>
      </c>
      <c r="K2962" s="12" t="s">
        <v>100</v>
      </c>
      <c r="L2962" s="14"/>
      <c r="M2962" s="12" t="s">
        <v>43</v>
      </c>
      <c r="N2962" s="12" t="s">
        <v>274</v>
      </c>
      <c r="O2962" s="12" t="s">
        <v>10833</v>
      </c>
      <c r="P2962" s="12" t="s">
        <v>66</v>
      </c>
      <c r="Q2962" s="12" t="s">
        <v>233</v>
      </c>
      <c r="R2962" s="12" t="s">
        <v>902</v>
      </c>
      <c r="S2962" s="13">
        <v>197063476153</v>
      </c>
      <c r="T2962" s="12" t="s">
        <v>235</v>
      </c>
      <c r="U2962" s="12" t="s">
        <v>170</v>
      </c>
      <c r="V2962" s="12" t="s">
        <v>665</v>
      </c>
      <c r="W2962" s="12" t="s">
        <v>175</v>
      </c>
      <c r="X2962" s="13">
        <v>0</v>
      </c>
      <c r="Y2962" s="12" t="s">
        <v>53</v>
      </c>
      <c r="Z2962" s="12" t="s">
        <v>108</v>
      </c>
      <c r="AA2962" s="13">
        <v>0</v>
      </c>
      <c r="AB2962" s="13">
        <v>0</v>
      </c>
      <c r="AC2962" s="15">
        <v>56.85</v>
      </c>
      <c r="AD2962" s="15">
        <f>AC2962*AG2962</f>
        <v>56.85</v>
      </c>
      <c r="AE2962" s="15">
        <v>125</v>
      </c>
      <c r="AF2962" s="15">
        <f>AE2962*AG2962</f>
        <v>125</v>
      </c>
      <c r="AG2962" s="16">
        <v>1</v>
      </c>
    </row>
    <row r="2963" spans="1:33" ht="15" customHeight="1" x14ac:dyDescent="0.2">
      <c r="A2963" s="11" t="str">
        <f t="shared" si="846"/>
        <v>VN000GA0D3Z1</v>
      </c>
      <c r="B2963" s="12" t="s">
        <v>10834</v>
      </c>
      <c r="C2963" s="12" t="s">
        <v>6264</v>
      </c>
      <c r="D2963" s="12" t="s">
        <v>4721</v>
      </c>
      <c r="E2963" s="12" t="s">
        <v>10835</v>
      </c>
      <c r="F2963" s="13">
        <v>26</v>
      </c>
      <c r="G2963" s="14"/>
      <c r="H2963" s="12" t="s">
        <v>61</v>
      </c>
      <c r="I2963" s="12" t="s">
        <v>289</v>
      </c>
      <c r="J2963" s="12" t="s">
        <v>290</v>
      </c>
      <c r="K2963" s="12" t="s">
        <v>100</v>
      </c>
      <c r="L2963" s="14"/>
      <c r="M2963" s="12" t="s">
        <v>43</v>
      </c>
      <c r="N2963" s="12" t="s">
        <v>161</v>
      </c>
      <c r="O2963" s="12" t="s">
        <v>10836</v>
      </c>
      <c r="P2963" s="12" t="s">
        <v>66</v>
      </c>
      <c r="Q2963" s="12" t="s">
        <v>233</v>
      </c>
      <c r="R2963" s="12" t="s">
        <v>664</v>
      </c>
      <c r="S2963" s="13">
        <v>197065709686</v>
      </c>
      <c r="T2963" s="12" t="s">
        <v>235</v>
      </c>
      <c r="U2963" s="13">
        <v>26</v>
      </c>
      <c r="V2963" s="12" t="s">
        <v>6267</v>
      </c>
      <c r="W2963" s="12" t="s">
        <v>118</v>
      </c>
      <c r="X2963" s="13">
        <v>0</v>
      </c>
      <c r="Y2963" s="12" t="s">
        <v>53</v>
      </c>
      <c r="Z2963" s="12" t="s">
        <v>108</v>
      </c>
      <c r="AA2963" s="13">
        <v>0</v>
      </c>
      <c r="AB2963" s="13">
        <v>0</v>
      </c>
      <c r="AC2963" s="15">
        <v>36.4</v>
      </c>
      <c r="AD2963" s="15">
        <f>AC2963*AG2963</f>
        <v>36.4</v>
      </c>
      <c r="AE2963" s="15">
        <v>80</v>
      </c>
      <c r="AF2963" s="15">
        <f>AE2963*AG2963</f>
        <v>80</v>
      </c>
      <c r="AG2963" s="16">
        <v>1</v>
      </c>
    </row>
    <row r="2964" spans="1:33" ht="15" customHeight="1" x14ac:dyDescent="0.2">
      <c r="A2964" s="11" t="str">
        <f>HYPERLINK("https://assets.vans.eu/images/VN000GA0D3Z-HERO/1","VN000GA0D3Z1")</f>
        <v>VN000GA0D3Z1</v>
      </c>
      <c r="B2964" s="12" t="s">
        <v>10837</v>
      </c>
      <c r="C2964" s="12" t="s">
        <v>6264</v>
      </c>
      <c r="D2964" s="12" t="s">
        <v>4721</v>
      </c>
      <c r="E2964" s="12" t="s">
        <v>10838</v>
      </c>
      <c r="F2964" s="13">
        <v>28</v>
      </c>
      <c r="G2964" s="14"/>
      <c r="H2964" s="12" t="s">
        <v>61</v>
      </c>
      <c r="I2964" s="12" t="s">
        <v>289</v>
      </c>
      <c r="J2964" s="12" t="s">
        <v>290</v>
      </c>
      <c r="K2964" s="12" t="s">
        <v>100</v>
      </c>
      <c r="L2964" s="14"/>
      <c r="M2964" s="12" t="s">
        <v>43</v>
      </c>
      <c r="N2964" s="12" t="s">
        <v>161</v>
      </c>
      <c r="O2964" s="12" t="s">
        <v>10839</v>
      </c>
      <c r="P2964" s="12" t="s">
        <v>66</v>
      </c>
      <c r="Q2964" s="12" t="s">
        <v>233</v>
      </c>
      <c r="R2964" s="12" t="s">
        <v>664</v>
      </c>
      <c r="S2964" s="13">
        <v>197065709945</v>
      </c>
      <c r="T2964" s="12" t="s">
        <v>235</v>
      </c>
      <c r="U2964" s="13">
        <v>28</v>
      </c>
      <c r="V2964" s="12" t="s">
        <v>6267</v>
      </c>
      <c r="W2964" s="12" t="s">
        <v>118</v>
      </c>
      <c r="X2964" s="13">
        <v>0</v>
      </c>
      <c r="Y2964" s="12" t="s">
        <v>53</v>
      </c>
      <c r="Z2964" s="12" t="s">
        <v>108</v>
      </c>
      <c r="AA2964" s="13">
        <v>0</v>
      </c>
      <c r="AB2964" s="13">
        <v>0</v>
      </c>
      <c r="AC2964" s="15">
        <v>36.4</v>
      </c>
      <c r="AD2964" s="15">
        <f>AC2964*AG2964</f>
        <v>36.4</v>
      </c>
      <c r="AE2964" s="15">
        <v>80</v>
      </c>
      <c r="AF2964" s="15">
        <f>AE2964*AG2964</f>
        <v>80</v>
      </c>
      <c r="AG2964" s="16">
        <v>1</v>
      </c>
    </row>
    <row r="2965" spans="1:33" ht="15" customHeight="1" x14ac:dyDescent="0.2">
      <c r="A2965" s="11" t="str">
        <f>HYPERLINK("https://assets.vans.eu/images/VN000GB4BLK-HERO/1","VN000GB4BLK1")</f>
        <v>VN000GB4BLK1</v>
      </c>
      <c r="B2965" s="12" t="s">
        <v>10840</v>
      </c>
      <c r="C2965" s="12" t="s">
        <v>10841</v>
      </c>
      <c r="D2965" s="12" t="s">
        <v>76</v>
      </c>
      <c r="E2965" s="12" t="s">
        <v>10842</v>
      </c>
      <c r="F2965" s="12" t="s">
        <v>153</v>
      </c>
      <c r="G2965" s="14"/>
      <c r="H2965" s="12" t="s">
        <v>61</v>
      </c>
      <c r="I2965" s="12" t="s">
        <v>289</v>
      </c>
      <c r="J2965" s="12" t="s">
        <v>900</v>
      </c>
      <c r="K2965" s="12" t="s">
        <v>100</v>
      </c>
      <c r="L2965" s="14"/>
      <c r="M2965" s="12" t="s">
        <v>43</v>
      </c>
      <c r="N2965" s="12" t="s">
        <v>274</v>
      </c>
      <c r="O2965" s="12" t="s">
        <v>10843</v>
      </c>
      <c r="P2965" s="12" t="s">
        <v>66</v>
      </c>
      <c r="Q2965" s="12" t="s">
        <v>233</v>
      </c>
      <c r="R2965" s="12" t="s">
        <v>902</v>
      </c>
      <c r="S2965" s="13">
        <v>197063461425</v>
      </c>
      <c r="T2965" s="12" t="s">
        <v>49</v>
      </c>
      <c r="U2965" s="12" t="s">
        <v>153</v>
      </c>
      <c r="V2965" s="12" t="s">
        <v>10844</v>
      </c>
      <c r="W2965" s="12" t="s">
        <v>51</v>
      </c>
      <c r="X2965" s="13">
        <v>0</v>
      </c>
      <c r="Y2965" s="12" t="s">
        <v>91</v>
      </c>
      <c r="Z2965" s="12" t="s">
        <v>108</v>
      </c>
      <c r="AA2965" s="13">
        <v>0</v>
      </c>
      <c r="AB2965" s="13">
        <v>0</v>
      </c>
      <c r="AC2965" s="15">
        <v>21.85</v>
      </c>
      <c r="AD2965" s="15">
        <f>AC2965*AG2965</f>
        <v>21.85</v>
      </c>
      <c r="AE2965" s="15">
        <v>48</v>
      </c>
      <c r="AF2965" s="15">
        <f>AE2965*AG2965</f>
        <v>48</v>
      </c>
      <c r="AG2965" s="16">
        <v>1</v>
      </c>
    </row>
    <row r="2966" spans="1:33" ht="15" customHeight="1" x14ac:dyDescent="0.2">
      <c r="A2966" s="11" t="str">
        <f>HYPERLINK("https://assets.vans.eu/images/VN000GBKCJL-HERO/1","VN000GBKCJL1")</f>
        <v>VN000GBKCJL1</v>
      </c>
      <c r="B2966" s="12" t="s">
        <v>10845</v>
      </c>
      <c r="C2966" s="12" t="s">
        <v>10846</v>
      </c>
      <c r="D2966" s="12" t="s">
        <v>6270</v>
      </c>
      <c r="E2966" s="12" t="s">
        <v>10847</v>
      </c>
      <c r="F2966" s="12" t="s">
        <v>179</v>
      </c>
      <c r="G2966" s="14"/>
      <c r="H2966" s="12" t="s">
        <v>61</v>
      </c>
      <c r="I2966" s="12" t="s">
        <v>62</v>
      </c>
      <c r="J2966" s="12" t="s">
        <v>63</v>
      </c>
      <c r="K2966" s="12" t="s">
        <v>64</v>
      </c>
      <c r="L2966" s="14"/>
      <c r="M2966" s="12" t="s">
        <v>43</v>
      </c>
      <c r="N2966" s="12" t="s">
        <v>274</v>
      </c>
      <c r="O2966" s="12" t="s">
        <v>10848</v>
      </c>
      <c r="P2966" s="12" t="s">
        <v>66</v>
      </c>
      <c r="Q2966" s="12" t="s">
        <v>67</v>
      </c>
      <c r="R2966" s="12" t="s">
        <v>68</v>
      </c>
      <c r="S2966" s="13">
        <v>197063454670</v>
      </c>
      <c r="T2966" s="12" t="s">
        <v>1517</v>
      </c>
      <c r="U2966" s="12" t="s">
        <v>179</v>
      </c>
      <c r="V2966" s="12" t="s">
        <v>665</v>
      </c>
      <c r="W2966" s="12" t="s">
        <v>118</v>
      </c>
      <c r="X2966" s="13">
        <v>0</v>
      </c>
      <c r="Y2966" s="12" t="s">
        <v>91</v>
      </c>
      <c r="Z2966" s="12" t="s">
        <v>108</v>
      </c>
      <c r="AA2966" s="13">
        <v>0</v>
      </c>
      <c r="AB2966" s="13">
        <v>0</v>
      </c>
      <c r="AC2966" s="15">
        <v>14.55</v>
      </c>
      <c r="AD2966" s="15">
        <f>AC2966*AG2966</f>
        <v>14.55</v>
      </c>
      <c r="AE2966" s="15">
        <v>32</v>
      </c>
      <c r="AF2966" s="15">
        <f>AE2966*AG2966</f>
        <v>32</v>
      </c>
      <c r="AG2966" s="16">
        <v>1</v>
      </c>
    </row>
    <row r="2967" spans="1:33" ht="15" customHeight="1" x14ac:dyDescent="0.2">
      <c r="A2967" s="11" t="str">
        <f>HYPERLINK("https://assets.vans.eu/images/VN000GCBBLK-HERO/1","VN000GCBBLK1")</f>
        <v>VN000GCBBLK1</v>
      </c>
      <c r="B2967" s="12" t="s">
        <v>10849</v>
      </c>
      <c r="C2967" s="12" t="s">
        <v>10850</v>
      </c>
      <c r="D2967" s="12" t="s">
        <v>76</v>
      </c>
      <c r="E2967" s="12" t="s">
        <v>10851</v>
      </c>
      <c r="F2967" s="12" t="s">
        <v>403</v>
      </c>
      <c r="G2967" s="14"/>
      <c r="H2967" s="12" t="s">
        <v>61</v>
      </c>
      <c r="I2967" s="12" t="s">
        <v>62</v>
      </c>
      <c r="J2967" s="12" t="s">
        <v>63</v>
      </c>
      <c r="K2967" s="12" t="s">
        <v>64</v>
      </c>
      <c r="L2967" s="14"/>
      <c r="M2967" s="12" t="s">
        <v>43</v>
      </c>
      <c r="N2967" s="12" t="s">
        <v>274</v>
      </c>
      <c r="O2967" s="12" t="s">
        <v>10852</v>
      </c>
      <c r="P2967" s="12" t="s">
        <v>66</v>
      </c>
      <c r="Q2967" s="12" t="s">
        <v>67</v>
      </c>
      <c r="R2967" s="12" t="s">
        <v>730</v>
      </c>
      <c r="S2967" s="13">
        <v>197063455035</v>
      </c>
      <c r="T2967" s="12" t="s">
        <v>69</v>
      </c>
      <c r="U2967" s="12" t="s">
        <v>403</v>
      </c>
      <c r="V2967" s="12" t="s">
        <v>70</v>
      </c>
      <c r="W2967" s="12" t="s">
        <v>51</v>
      </c>
      <c r="X2967" s="13">
        <v>0</v>
      </c>
      <c r="Y2967" s="12" t="s">
        <v>91</v>
      </c>
      <c r="Z2967" s="12" t="s">
        <v>108</v>
      </c>
      <c r="AA2967" s="13">
        <v>0</v>
      </c>
      <c r="AB2967" s="13">
        <v>0</v>
      </c>
      <c r="AC2967" s="15">
        <v>29.55</v>
      </c>
      <c r="AD2967" s="15">
        <f>AC2967*AG2967</f>
        <v>29.55</v>
      </c>
      <c r="AE2967" s="15">
        <v>65</v>
      </c>
      <c r="AF2967" s="15">
        <f>AE2967*AG2967</f>
        <v>65</v>
      </c>
      <c r="AG2967" s="16">
        <v>1</v>
      </c>
    </row>
    <row r="2968" spans="1:33" ht="15" customHeight="1" x14ac:dyDescent="0.2">
      <c r="A2968" s="11" t="str">
        <f t="shared" ref="A2968:A2969" si="1149">HYPERLINK("https://assets.vans.eu/images/VN000GCECJL-HERO/1","VN000GCECJL1")</f>
        <v>VN000GCECJL1</v>
      </c>
      <c r="B2968" s="12" t="s">
        <v>10853</v>
      </c>
      <c r="C2968" s="12" t="s">
        <v>10854</v>
      </c>
      <c r="D2968" s="12" t="s">
        <v>6270</v>
      </c>
      <c r="E2968" s="12" t="s">
        <v>10855</v>
      </c>
      <c r="F2968" s="12" t="s">
        <v>403</v>
      </c>
      <c r="G2968" s="14"/>
      <c r="H2968" s="12" t="s">
        <v>61</v>
      </c>
      <c r="I2968" s="12" t="s">
        <v>62</v>
      </c>
      <c r="J2968" s="12" t="s">
        <v>63</v>
      </c>
      <c r="K2968" s="12" t="s">
        <v>64</v>
      </c>
      <c r="L2968" s="14"/>
      <c r="M2968" s="12" t="s">
        <v>43</v>
      </c>
      <c r="N2968" s="12" t="s">
        <v>274</v>
      </c>
      <c r="O2968" s="12" t="s">
        <v>10856</v>
      </c>
      <c r="P2968" s="12" t="s">
        <v>66</v>
      </c>
      <c r="Q2968" s="12" t="s">
        <v>67</v>
      </c>
      <c r="R2968" s="12" t="s">
        <v>730</v>
      </c>
      <c r="S2968" s="13">
        <v>197063518693</v>
      </c>
      <c r="T2968" s="12" t="s">
        <v>69</v>
      </c>
      <c r="U2968" s="12" t="s">
        <v>403</v>
      </c>
      <c r="V2968" s="12" t="s">
        <v>1378</v>
      </c>
      <c r="W2968" s="12" t="s">
        <v>118</v>
      </c>
      <c r="X2968" s="13">
        <v>0</v>
      </c>
      <c r="Y2968" s="12" t="s">
        <v>91</v>
      </c>
      <c r="Z2968" s="12" t="s">
        <v>108</v>
      </c>
      <c r="AA2968" s="13">
        <v>0</v>
      </c>
      <c r="AB2968" s="13">
        <v>0</v>
      </c>
      <c r="AC2968" s="15">
        <v>29.55</v>
      </c>
      <c r="AD2968" s="15">
        <f>AC2968*AG2968</f>
        <v>29.55</v>
      </c>
      <c r="AE2968" s="15">
        <v>65</v>
      </c>
      <c r="AF2968" s="15">
        <f>AE2968*AG2968</f>
        <v>65</v>
      </c>
      <c r="AG2968" s="16">
        <v>1</v>
      </c>
    </row>
    <row r="2969" spans="1:33" ht="15" customHeight="1" x14ac:dyDescent="0.2">
      <c r="A2969" s="11" t="str">
        <f t="shared" si="1149"/>
        <v>VN000GCECJL1</v>
      </c>
      <c r="B2969" s="12" t="s">
        <v>10857</v>
      </c>
      <c r="C2969" s="12" t="s">
        <v>10854</v>
      </c>
      <c r="D2969" s="12" t="s">
        <v>6270</v>
      </c>
      <c r="E2969" s="12" t="s">
        <v>10858</v>
      </c>
      <c r="F2969" s="12" t="s">
        <v>60</v>
      </c>
      <c r="G2969" s="14"/>
      <c r="H2969" s="12" t="s">
        <v>61</v>
      </c>
      <c r="I2969" s="12" t="s">
        <v>62</v>
      </c>
      <c r="J2969" s="12" t="s">
        <v>63</v>
      </c>
      <c r="K2969" s="12" t="s">
        <v>64</v>
      </c>
      <c r="L2969" s="14"/>
      <c r="M2969" s="12" t="s">
        <v>43</v>
      </c>
      <c r="N2969" s="12" t="s">
        <v>274</v>
      </c>
      <c r="O2969" s="12" t="s">
        <v>10859</v>
      </c>
      <c r="P2969" s="12" t="s">
        <v>66</v>
      </c>
      <c r="Q2969" s="12" t="s">
        <v>67</v>
      </c>
      <c r="R2969" s="12" t="s">
        <v>730</v>
      </c>
      <c r="S2969" s="13">
        <v>197063518853</v>
      </c>
      <c r="T2969" s="12" t="s">
        <v>69</v>
      </c>
      <c r="U2969" s="12" t="s">
        <v>60</v>
      </c>
      <c r="V2969" s="12" t="s">
        <v>1378</v>
      </c>
      <c r="W2969" s="12" t="s">
        <v>118</v>
      </c>
      <c r="X2969" s="13">
        <v>0</v>
      </c>
      <c r="Y2969" s="12" t="s">
        <v>91</v>
      </c>
      <c r="Z2969" s="12" t="s">
        <v>108</v>
      </c>
      <c r="AA2969" s="13">
        <v>0</v>
      </c>
      <c r="AB2969" s="13">
        <v>0</v>
      </c>
      <c r="AC2969" s="15">
        <v>29.55</v>
      </c>
      <c r="AD2969" s="15">
        <f>AC2969*AG2969</f>
        <v>29.55</v>
      </c>
      <c r="AE2969" s="15">
        <v>65</v>
      </c>
      <c r="AF2969" s="15">
        <f>AE2969*AG2969</f>
        <v>65</v>
      </c>
      <c r="AG2969" s="16">
        <v>1</v>
      </c>
    </row>
    <row r="2970" spans="1:33" ht="15" customHeight="1" x14ac:dyDescent="0.2">
      <c r="A2970" s="11" t="str">
        <f>HYPERLINK("https://assets.vans.eu/images/VN000GCSYJ2-HERO/1","VN000GCSYJ21")</f>
        <v>VN000GCSYJ21</v>
      </c>
      <c r="B2970" s="12" t="s">
        <v>10860</v>
      </c>
      <c r="C2970" s="12" t="s">
        <v>10861</v>
      </c>
      <c r="D2970" s="12" t="s">
        <v>10862</v>
      </c>
      <c r="E2970" s="12" t="s">
        <v>10863</v>
      </c>
      <c r="F2970" s="12" t="s">
        <v>153</v>
      </c>
      <c r="G2970" s="14"/>
      <c r="H2970" s="12" t="s">
        <v>61</v>
      </c>
      <c r="I2970" s="12" t="s">
        <v>289</v>
      </c>
      <c r="J2970" s="12" t="s">
        <v>706</v>
      </c>
      <c r="K2970" s="12" t="s">
        <v>100</v>
      </c>
      <c r="L2970" s="14"/>
      <c r="M2970" s="12" t="s">
        <v>43</v>
      </c>
      <c r="N2970" s="12" t="s">
        <v>274</v>
      </c>
      <c r="O2970" s="12" t="s">
        <v>10864</v>
      </c>
      <c r="P2970" s="12" t="s">
        <v>66</v>
      </c>
      <c r="Q2970" s="12" t="s">
        <v>67</v>
      </c>
      <c r="R2970" s="12" t="s">
        <v>1146</v>
      </c>
      <c r="S2970" s="13">
        <v>197063404767</v>
      </c>
      <c r="T2970" s="12" t="s">
        <v>69</v>
      </c>
      <c r="U2970" s="12" t="s">
        <v>153</v>
      </c>
      <c r="V2970" s="12" t="s">
        <v>70</v>
      </c>
      <c r="W2970" s="12" t="s">
        <v>186</v>
      </c>
      <c r="X2970" s="13">
        <v>0</v>
      </c>
      <c r="Y2970" s="12" t="s">
        <v>91</v>
      </c>
      <c r="Z2970" s="12" t="s">
        <v>108</v>
      </c>
      <c r="AA2970" s="13">
        <v>0</v>
      </c>
      <c r="AB2970" s="13">
        <v>0</v>
      </c>
      <c r="AC2970" s="15">
        <v>17.3</v>
      </c>
      <c r="AD2970" s="15">
        <f>AC2970*AG2970</f>
        <v>17.3</v>
      </c>
      <c r="AE2970" s="15">
        <v>38</v>
      </c>
      <c r="AF2970" s="15">
        <f>AE2970*AG2970</f>
        <v>38</v>
      </c>
      <c r="AG2970" s="16">
        <v>1</v>
      </c>
    </row>
    <row r="2971" spans="1:33" ht="15" customHeight="1" x14ac:dyDescent="0.2">
      <c r="A2971" s="11" t="str">
        <f>HYPERLINK("https://assets.vans.eu/images/VN000GDFBLK-HERO/1","VN000GDFBLK1")</f>
        <v>VN000GDFBLK1</v>
      </c>
      <c r="B2971" s="12" t="s">
        <v>10865</v>
      </c>
      <c r="C2971" s="12" t="s">
        <v>6279</v>
      </c>
      <c r="D2971" s="12" t="s">
        <v>76</v>
      </c>
      <c r="E2971" s="12" t="s">
        <v>10866</v>
      </c>
      <c r="F2971" s="12" t="s">
        <v>60</v>
      </c>
      <c r="G2971" s="14"/>
      <c r="H2971" s="12" t="s">
        <v>61</v>
      </c>
      <c r="I2971" s="12" t="s">
        <v>62</v>
      </c>
      <c r="J2971" s="12" t="s">
        <v>63</v>
      </c>
      <c r="K2971" s="12" t="s">
        <v>64</v>
      </c>
      <c r="L2971" s="12" t="s">
        <v>350</v>
      </c>
      <c r="M2971" s="12" t="s">
        <v>43</v>
      </c>
      <c r="N2971" s="12" t="s">
        <v>44</v>
      </c>
      <c r="O2971" s="12" t="s">
        <v>10867</v>
      </c>
      <c r="P2971" s="12" t="s">
        <v>66</v>
      </c>
      <c r="Q2971" s="12" t="s">
        <v>67</v>
      </c>
      <c r="R2971" s="12" t="s">
        <v>68</v>
      </c>
      <c r="S2971" s="13">
        <v>197063404859</v>
      </c>
      <c r="T2971" s="12" t="s">
        <v>422</v>
      </c>
      <c r="U2971" s="12" t="s">
        <v>60</v>
      </c>
      <c r="V2971" s="12" t="s">
        <v>70</v>
      </c>
      <c r="W2971" s="12" t="s">
        <v>51</v>
      </c>
      <c r="X2971" s="13">
        <v>0</v>
      </c>
      <c r="Y2971" s="12" t="s">
        <v>91</v>
      </c>
      <c r="Z2971" s="12" t="s">
        <v>108</v>
      </c>
      <c r="AA2971" s="13">
        <v>0</v>
      </c>
      <c r="AB2971" s="13">
        <v>0</v>
      </c>
      <c r="AC2971" s="15">
        <v>17.3</v>
      </c>
      <c r="AD2971" s="15">
        <f>AC2971*AG2971</f>
        <v>17.3</v>
      </c>
      <c r="AE2971" s="15">
        <v>38</v>
      </c>
      <c r="AF2971" s="15">
        <f>AE2971*AG2971</f>
        <v>38</v>
      </c>
      <c r="AG2971" s="16">
        <v>1</v>
      </c>
    </row>
    <row r="2972" spans="1:33" ht="15" customHeight="1" x14ac:dyDescent="0.2">
      <c r="A2972" s="11" t="str">
        <f>HYPERLINK("https://assets.vans.eu/images/VN000GDPY28-HERO/1","VN000GDPY281")</f>
        <v>VN000GDPY281</v>
      </c>
      <c r="B2972" s="12" t="s">
        <v>10868</v>
      </c>
      <c r="C2972" s="12" t="s">
        <v>10869</v>
      </c>
      <c r="D2972" s="12" t="s">
        <v>58</v>
      </c>
      <c r="E2972" s="12" t="s">
        <v>10870</v>
      </c>
      <c r="F2972" s="12" t="s">
        <v>60</v>
      </c>
      <c r="G2972" s="14"/>
      <c r="H2972" s="12" t="s">
        <v>61</v>
      </c>
      <c r="I2972" s="12" t="s">
        <v>289</v>
      </c>
      <c r="J2972" s="12" t="s">
        <v>706</v>
      </c>
      <c r="K2972" s="12" t="s">
        <v>100</v>
      </c>
      <c r="L2972" s="12" t="s">
        <v>350</v>
      </c>
      <c r="M2972" s="12" t="s">
        <v>43</v>
      </c>
      <c r="N2972" s="12" t="s">
        <v>84</v>
      </c>
      <c r="O2972" s="12" t="s">
        <v>10871</v>
      </c>
      <c r="P2972" s="12" t="s">
        <v>66</v>
      </c>
      <c r="Q2972" s="12" t="s">
        <v>67</v>
      </c>
      <c r="R2972" s="12" t="s">
        <v>1146</v>
      </c>
      <c r="S2972" s="13">
        <v>197063519454</v>
      </c>
      <c r="T2972" s="12" t="s">
        <v>499</v>
      </c>
      <c r="U2972" s="12" t="s">
        <v>60</v>
      </c>
      <c r="V2972" s="12" t="s">
        <v>70</v>
      </c>
      <c r="W2972" s="12" t="s">
        <v>51</v>
      </c>
      <c r="X2972" s="13">
        <v>0</v>
      </c>
      <c r="Y2972" s="12" t="s">
        <v>91</v>
      </c>
      <c r="Z2972" s="12" t="s">
        <v>108</v>
      </c>
      <c r="AA2972" s="13">
        <v>0</v>
      </c>
      <c r="AB2972" s="13">
        <v>0</v>
      </c>
      <c r="AC2972" s="15">
        <v>19.100000000000001</v>
      </c>
      <c r="AD2972" s="15">
        <f>AC2972*AG2972</f>
        <v>19.100000000000001</v>
      </c>
      <c r="AE2972" s="15">
        <v>42</v>
      </c>
      <c r="AF2972" s="15">
        <f>AE2972*AG2972</f>
        <v>42</v>
      </c>
      <c r="AG2972" s="16">
        <v>1</v>
      </c>
    </row>
    <row r="2973" spans="1:33" ht="15" customHeight="1" x14ac:dyDescent="0.2">
      <c r="A2973" s="11" t="str">
        <f>HYPERLINK("https://assets.vans.eu/images/VN000GE8BLK-HERO/1","VN000GE8BLK1")</f>
        <v>VN000GE8BLK1</v>
      </c>
      <c r="B2973" s="12" t="s">
        <v>10872</v>
      </c>
      <c r="C2973" s="12" t="s">
        <v>10873</v>
      </c>
      <c r="D2973" s="12" t="s">
        <v>76</v>
      </c>
      <c r="E2973" s="12" t="s">
        <v>10874</v>
      </c>
      <c r="F2973" s="12" t="s">
        <v>403</v>
      </c>
      <c r="G2973" s="14"/>
      <c r="H2973" s="12" t="s">
        <v>61</v>
      </c>
      <c r="I2973" s="12" t="s">
        <v>230</v>
      </c>
      <c r="J2973" s="12" t="s">
        <v>419</v>
      </c>
      <c r="K2973" s="12" t="s">
        <v>199</v>
      </c>
      <c r="L2973" s="14"/>
      <c r="M2973" s="12" t="s">
        <v>43</v>
      </c>
      <c r="N2973" s="12" t="s">
        <v>161</v>
      </c>
      <c r="O2973" s="12" t="s">
        <v>10875</v>
      </c>
      <c r="P2973" s="12" t="s">
        <v>66</v>
      </c>
      <c r="Q2973" s="12" t="s">
        <v>67</v>
      </c>
      <c r="R2973" s="12" t="s">
        <v>623</v>
      </c>
      <c r="S2973" s="13">
        <v>197063495017</v>
      </c>
      <c r="T2973" s="12" t="s">
        <v>49</v>
      </c>
      <c r="U2973" s="12" t="s">
        <v>403</v>
      </c>
      <c r="V2973" s="12" t="s">
        <v>4579</v>
      </c>
      <c r="W2973" s="12" t="s">
        <v>51</v>
      </c>
      <c r="X2973" s="13">
        <v>0</v>
      </c>
      <c r="Y2973" s="12" t="s">
        <v>53</v>
      </c>
      <c r="Z2973" s="12" t="s">
        <v>108</v>
      </c>
      <c r="AA2973" s="13">
        <v>0</v>
      </c>
      <c r="AB2973" s="13">
        <v>0</v>
      </c>
      <c r="AC2973" s="15">
        <v>36.4</v>
      </c>
      <c r="AD2973" s="15">
        <f>AC2973*AG2973</f>
        <v>36.4</v>
      </c>
      <c r="AE2973" s="15">
        <v>80</v>
      </c>
      <c r="AF2973" s="15">
        <f>AE2973*AG2973</f>
        <v>80</v>
      </c>
      <c r="AG2973" s="16">
        <v>1</v>
      </c>
    </row>
    <row r="2974" spans="1:33" ht="15" customHeight="1" x14ac:dyDescent="0.2">
      <c r="A2974" s="11" t="str">
        <f>HYPERLINK("https://assets.vans.eu/images/VN000GF7WHT-HERO/1","VN000GF7WHT1")</f>
        <v>VN000GF7WHT1</v>
      </c>
      <c r="B2974" s="12" t="s">
        <v>10876</v>
      </c>
      <c r="C2974" s="12" t="s">
        <v>10877</v>
      </c>
      <c r="D2974" s="12" t="s">
        <v>168</v>
      </c>
      <c r="E2974" s="12" t="s">
        <v>10878</v>
      </c>
      <c r="F2974" s="12" t="s">
        <v>60</v>
      </c>
      <c r="G2974" s="14"/>
      <c r="H2974" s="12" t="s">
        <v>61</v>
      </c>
      <c r="I2974" s="12" t="s">
        <v>62</v>
      </c>
      <c r="J2974" s="12" t="s">
        <v>63</v>
      </c>
      <c r="K2974" s="12" t="s">
        <v>64</v>
      </c>
      <c r="L2974" s="14"/>
      <c r="M2974" s="12" t="s">
        <v>43</v>
      </c>
      <c r="N2974" s="12" t="s">
        <v>274</v>
      </c>
      <c r="O2974" s="12" t="s">
        <v>10879</v>
      </c>
      <c r="P2974" s="12" t="s">
        <v>66</v>
      </c>
      <c r="Q2974" s="12" t="s">
        <v>67</v>
      </c>
      <c r="R2974" s="12" t="s">
        <v>68</v>
      </c>
      <c r="S2974" s="13">
        <v>197063405894</v>
      </c>
      <c r="T2974" s="12" t="s">
        <v>69</v>
      </c>
      <c r="U2974" s="12" t="s">
        <v>60</v>
      </c>
      <c r="V2974" s="12" t="s">
        <v>70</v>
      </c>
      <c r="W2974" s="12" t="s">
        <v>175</v>
      </c>
      <c r="X2974" s="13">
        <v>0</v>
      </c>
      <c r="Y2974" s="12" t="s">
        <v>91</v>
      </c>
      <c r="Z2974" s="12" t="s">
        <v>108</v>
      </c>
      <c r="AA2974" s="13">
        <v>0</v>
      </c>
      <c r="AB2974" s="13">
        <v>0</v>
      </c>
      <c r="AC2974" s="15">
        <v>13.65</v>
      </c>
      <c r="AD2974" s="15">
        <f>AC2974*AG2974</f>
        <v>13.65</v>
      </c>
      <c r="AE2974" s="15">
        <v>30</v>
      </c>
      <c r="AF2974" s="15">
        <f>AE2974*AG2974</f>
        <v>30</v>
      </c>
      <c r="AG2974" s="16">
        <v>1</v>
      </c>
    </row>
    <row r="2975" spans="1:33" ht="15" customHeight="1" x14ac:dyDescent="0.2">
      <c r="A2975" s="11" t="str">
        <f t="shared" si="847"/>
        <v>VN000GF8WHT1</v>
      </c>
      <c r="B2975" s="12" t="s">
        <v>10880</v>
      </c>
      <c r="C2975" s="12" t="s">
        <v>7789</v>
      </c>
      <c r="D2975" s="12" t="s">
        <v>168</v>
      </c>
      <c r="E2975" s="12" t="s">
        <v>10881</v>
      </c>
      <c r="F2975" s="12" t="s">
        <v>403</v>
      </c>
      <c r="G2975" s="14"/>
      <c r="H2975" s="12" t="s">
        <v>61</v>
      </c>
      <c r="I2975" s="12" t="s">
        <v>62</v>
      </c>
      <c r="J2975" s="12" t="s">
        <v>63</v>
      </c>
      <c r="K2975" s="12" t="s">
        <v>64</v>
      </c>
      <c r="L2975" s="14"/>
      <c r="M2975" s="12" t="s">
        <v>43</v>
      </c>
      <c r="N2975" s="12" t="s">
        <v>274</v>
      </c>
      <c r="O2975" s="12" t="s">
        <v>10882</v>
      </c>
      <c r="P2975" s="12" t="s">
        <v>66</v>
      </c>
      <c r="Q2975" s="12" t="s">
        <v>67</v>
      </c>
      <c r="R2975" s="12" t="s">
        <v>68</v>
      </c>
      <c r="S2975" s="13">
        <v>197063508403</v>
      </c>
      <c r="T2975" s="12" t="s">
        <v>69</v>
      </c>
      <c r="U2975" s="12" t="s">
        <v>403</v>
      </c>
      <c r="V2975" s="12" t="s">
        <v>70</v>
      </c>
      <c r="W2975" s="12" t="s">
        <v>175</v>
      </c>
      <c r="X2975" s="13">
        <v>0</v>
      </c>
      <c r="Y2975" s="12" t="s">
        <v>91</v>
      </c>
      <c r="Z2975" s="12" t="s">
        <v>108</v>
      </c>
      <c r="AA2975" s="13">
        <v>0</v>
      </c>
      <c r="AB2975" s="13">
        <v>0</v>
      </c>
      <c r="AC2975" s="15">
        <v>13.65</v>
      </c>
      <c r="AD2975" s="15">
        <f>AC2975*AG2975</f>
        <v>13.65</v>
      </c>
      <c r="AE2975" s="15">
        <v>30</v>
      </c>
      <c r="AF2975" s="15">
        <f>AE2975*AG2975</f>
        <v>30</v>
      </c>
      <c r="AG2975" s="16">
        <v>1</v>
      </c>
    </row>
    <row r="2976" spans="1:33" ht="15" customHeight="1" x14ac:dyDescent="0.2">
      <c r="A2976" s="11" t="str">
        <f t="shared" si="348"/>
        <v>VN000GFFWHT1</v>
      </c>
      <c r="B2976" s="12" t="s">
        <v>10883</v>
      </c>
      <c r="C2976" s="12" t="s">
        <v>3366</v>
      </c>
      <c r="D2976" s="12" t="s">
        <v>168</v>
      </c>
      <c r="E2976" s="12" t="s">
        <v>10884</v>
      </c>
      <c r="F2976" s="12" t="s">
        <v>179</v>
      </c>
      <c r="G2976" s="14"/>
      <c r="H2976" s="12" t="s">
        <v>61</v>
      </c>
      <c r="I2976" s="12" t="s">
        <v>289</v>
      </c>
      <c r="J2976" s="12" t="s">
        <v>706</v>
      </c>
      <c r="K2976" s="12" t="s">
        <v>100</v>
      </c>
      <c r="L2976" s="12" t="s">
        <v>83</v>
      </c>
      <c r="M2976" s="12" t="s">
        <v>43</v>
      </c>
      <c r="N2976" s="12" t="s">
        <v>44</v>
      </c>
      <c r="O2976" s="12" t="s">
        <v>10885</v>
      </c>
      <c r="P2976" s="12" t="s">
        <v>66</v>
      </c>
      <c r="Q2976" s="12" t="s">
        <v>67</v>
      </c>
      <c r="R2976" s="12" t="s">
        <v>1146</v>
      </c>
      <c r="S2976" s="13">
        <v>197063516750</v>
      </c>
      <c r="T2976" s="12" t="s">
        <v>422</v>
      </c>
      <c r="U2976" s="12" t="s">
        <v>179</v>
      </c>
      <c r="V2976" s="12" t="s">
        <v>70</v>
      </c>
      <c r="W2976" s="12" t="s">
        <v>175</v>
      </c>
      <c r="X2976" s="13">
        <v>0</v>
      </c>
      <c r="Y2976" s="12" t="s">
        <v>91</v>
      </c>
      <c r="Z2976" s="12" t="s">
        <v>108</v>
      </c>
      <c r="AA2976" s="13">
        <v>0</v>
      </c>
      <c r="AB2976" s="13">
        <v>0</v>
      </c>
      <c r="AC2976" s="15">
        <v>12.75</v>
      </c>
      <c r="AD2976" s="15">
        <f>AC2976*AG2976</f>
        <v>12.75</v>
      </c>
      <c r="AE2976" s="15">
        <v>28</v>
      </c>
      <c r="AF2976" s="15">
        <f>AE2976*AG2976</f>
        <v>28</v>
      </c>
      <c r="AG2976" s="16">
        <v>1</v>
      </c>
    </row>
    <row r="2977" spans="1:33" ht="15" customHeight="1" x14ac:dyDescent="0.2">
      <c r="A2977" s="11" t="str">
        <f>HYPERLINK("https://assets.vans.eu/images/VN000GFFWHT-HERO/1","VN000GFFWHT1")</f>
        <v>VN000GFFWHT1</v>
      </c>
      <c r="B2977" s="12" t="s">
        <v>10886</v>
      </c>
      <c r="C2977" s="12" t="s">
        <v>3366</v>
      </c>
      <c r="D2977" s="12" t="s">
        <v>168</v>
      </c>
      <c r="E2977" s="12" t="s">
        <v>10887</v>
      </c>
      <c r="F2977" s="12" t="s">
        <v>60</v>
      </c>
      <c r="G2977" s="14"/>
      <c r="H2977" s="12" t="s">
        <v>61</v>
      </c>
      <c r="I2977" s="12" t="s">
        <v>289</v>
      </c>
      <c r="J2977" s="12" t="s">
        <v>706</v>
      </c>
      <c r="K2977" s="12" t="s">
        <v>100</v>
      </c>
      <c r="L2977" s="12" t="s">
        <v>83</v>
      </c>
      <c r="M2977" s="12" t="s">
        <v>43</v>
      </c>
      <c r="N2977" s="12" t="s">
        <v>44</v>
      </c>
      <c r="O2977" s="12" t="s">
        <v>10888</v>
      </c>
      <c r="P2977" s="12" t="s">
        <v>66</v>
      </c>
      <c r="Q2977" s="12" t="s">
        <v>67</v>
      </c>
      <c r="R2977" s="12" t="s">
        <v>1146</v>
      </c>
      <c r="S2977" s="13">
        <v>197063517269</v>
      </c>
      <c r="T2977" s="12" t="s">
        <v>422</v>
      </c>
      <c r="U2977" s="12" t="s">
        <v>60</v>
      </c>
      <c r="V2977" s="12" t="s">
        <v>70</v>
      </c>
      <c r="W2977" s="12" t="s">
        <v>175</v>
      </c>
      <c r="X2977" s="13">
        <v>0</v>
      </c>
      <c r="Y2977" s="12" t="s">
        <v>91</v>
      </c>
      <c r="Z2977" s="12" t="s">
        <v>108</v>
      </c>
      <c r="AA2977" s="13">
        <v>0</v>
      </c>
      <c r="AB2977" s="13">
        <v>0</v>
      </c>
      <c r="AC2977" s="15">
        <v>12.75</v>
      </c>
      <c r="AD2977" s="15">
        <f>AC2977*AG2977</f>
        <v>12.75</v>
      </c>
      <c r="AE2977" s="15">
        <v>28</v>
      </c>
      <c r="AF2977" s="15">
        <f>AE2977*AG2977</f>
        <v>28</v>
      </c>
      <c r="AG2977" s="16">
        <v>1</v>
      </c>
    </row>
    <row r="2978" spans="1:33" ht="15" customHeight="1" x14ac:dyDescent="0.2">
      <c r="A2978" s="11" t="str">
        <f>HYPERLINK("https://assets.vans.eu/images/VN000GGGEAY-HERO/1","VN000GGGEAY1")</f>
        <v>VN000GGGEAY1</v>
      </c>
      <c r="B2978" s="12" t="s">
        <v>10889</v>
      </c>
      <c r="C2978" s="12" t="s">
        <v>3095</v>
      </c>
      <c r="D2978" s="12" t="s">
        <v>5212</v>
      </c>
      <c r="E2978" s="12" t="s">
        <v>10890</v>
      </c>
      <c r="F2978" s="12" t="s">
        <v>621</v>
      </c>
      <c r="G2978" s="14"/>
      <c r="H2978" s="12" t="s">
        <v>61</v>
      </c>
      <c r="I2978" s="12" t="s">
        <v>230</v>
      </c>
      <c r="J2978" s="12" t="s">
        <v>419</v>
      </c>
      <c r="K2978" s="12" t="s">
        <v>199</v>
      </c>
      <c r="L2978" s="14"/>
      <c r="M2978" s="12" t="s">
        <v>43</v>
      </c>
      <c r="N2978" s="12" t="s">
        <v>44</v>
      </c>
      <c r="O2978" s="12" t="s">
        <v>10891</v>
      </c>
      <c r="P2978" s="12" t="s">
        <v>66</v>
      </c>
      <c r="Q2978" s="12" t="s">
        <v>67</v>
      </c>
      <c r="R2978" s="12" t="s">
        <v>421</v>
      </c>
      <c r="S2978" s="13">
        <v>197643456629</v>
      </c>
      <c r="T2978" s="12" t="s">
        <v>422</v>
      </c>
      <c r="U2978" s="12" t="s">
        <v>621</v>
      </c>
      <c r="V2978" s="12" t="s">
        <v>70</v>
      </c>
      <c r="W2978" s="12" t="s">
        <v>625</v>
      </c>
      <c r="X2978" s="12" t="s">
        <v>500</v>
      </c>
      <c r="Y2978" s="12" t="s">
        <v>91</v>
      </c>
      <c r="Z2978" s="12" t="s">
        <v>108</v>
      </c>
      <c r="AA2978" s="13">
        <v>0</v>
      </c>
      <c r="AB2978" s="13">
        <v>0</v>
      </c>
      <c r="AC2978" s="15">
        <v>14.55</v>
      </c>
      <c r="AD2978" s="15">
        <f>AC2978*AG2978</f>
        <v>14.55</v>
      </c>
      <c r="AE2978" s="15">
        <v>32</v>
      </c>
      <c r="AF2978" s="15">
        <f>AE2978*AG2978</f>
        <v>32</v>
      </c>
      <c r="AG2978" s="16">
        <v>1</v>
      </c>
    </row>
    <row r="2979" spans="1:33" ht="15" customHeight="1" x14ac:dyDescent="0.2">
      <c r="A2979" s="11" t="str">
        <f>HYPERLINK("https://assets.vans.eu/images/VN000GGGY28-HERO/1","VN000GGGY281")</f>
        <v>VN000GGGY281</v>
      </c>
      <c r="B2979" s="12" t="s">
        <v>10892</v>
      </c>
      <c r="C2979" s="12" t="s">
        <v>3095</v>
      </c>
      <c r="D2979" s="12" t="s">
        <v>58</v>
      </c>
      <c r="E2979" s="12" t="s">
        <v>10893</v>
      </c>
      <c r="F2979" s="12" t="s">
        <v>179</v>
      </c>
      <c r="G2979" s="14"/>
      <c r="H2979" s="12" t="s">
        <v>61</v>
      </c>
      <c r="I2979" s="12" t="s">
        <v>230</v>
      </c>
      <c r="J2979" s="12" t="s">
        <v>419</v>
      </c>
      <c r="K2979" s="12" t="s">
        <v>199</v>
      </c>
      <c r="L2979" s="14"/>
      <c r="M2979" s="12" t="s">
        <v>43</v>
      </c>
      <c r="N2979" s="12" t="s">
        <v>44</v>
      </c>
      <c r="O2979" s="12" t="s">
        <v>10894</v>
      </c>
      <c r="P2979" s="12" t="s">
        <v>66</v>
      </c>
      <c r="Q2979" s="12" t="s">
        <v>67</v>
      </c>
      <c r="R2979" s="12" t="s">
        <v>421</v>
      </c>
      <c r="S2979" s="13">
        <v>732075992774</v>
      </c>
      <c r="T2979" s="12" t="s">
        <v>422</v>
      </c>
      <c r="U2979" s="12" t="s">
        <v>179</v>
      </c>
      <c r="V2979" s="12" t="s">
        <v>70</v>
      </c>
      <c r="W2979" s="12" t="s">
        <v>51</v>
      </c>
      <c r="X2979" s="13">
        <v>0</v>
      </c>
      <c r="Y2979" s="12" t="s">
        <v>91</v>
      </c>
      <c r="Z2979" s="12" t="s">
        <v>108</v>
      </c>
      <c r="AA2979" s="13">
        <v>0</v>
      </c>
      <c r="AB2979" s="13">
        <v>0</v>
      </c>
      <c r="AC2979" s="15">
        <v>14.55</v>
      </c>
      <c r="AD2979" s="15">
        <f>AC2979*AG2979</f>
        <v>14.55</v>
      </c>
      <c r="AE2979" s="15">
        <v>32</v>
      </c>
      <c r="AF2979" s="15">
        <f>AE2979*AG2979</f>
        <v>32</v>
      </c>
      <c r="AG2979" s="16">
        <v>1</v>
      </c>
    </row>
    <row r="2980" spans="1:33" ht="15" customHeight="1" x14ac:dyDescent="0.2">
      <c r="A2980" s="11" t="str">
        <f>HYPERLINK("https://assets.vans.eu/images/VN000GGGY28-HERO/1","VN000GGGY281")</f>
        <v>VN000GGGY281</v>
      </c>
      <c r="B2980" s="12" t="s">
        <v>10895</v>
      </c>
      <c r="C2980" s="12" t="s">
        <v>3095</v>
      </c>
      <c r="D2980" s="12" t="s">
        <v>58</v>
      </c>
      <c r="E2980" s="12" t="s">
        <v>10896</v>
      </c>
      <c r="F2980" s="12" t="s">
        <v>153</v>
      </c>
      <c r="G2980" s="14"/>
      <c r="H2980" s="12" t="s">
        <v>61</v>
      </c>
      <c r="I2980" s="12" t="s">
        <v>230</v>
      </c>
      <c r="J2980" s="12" t="s">
        <v>419</v>
      </c>
      <c r="K2980" s="12" t="s">
        <v>199</v>
      </c>
      <c r="L2980" s="14"/>
      <c r="M2980" s="12" t="s">
        <v>43</v>
      </c>
      <c r="N2980" s="12" t="s">
        <v>44</v>
      </c>
      <c r="O2980" s="12" t="s">
        <v>10897</v>
      </c>
      <c r="P2980" s="12" t="s">
        <v>66</v>
      </c>
      <c r="Q2980" s="12" t="s">
        <v>67</v>
      </c>
      <c r="R2980" s="12" t="s">
        <v>421</v>
      </c>
      <c r="S2980" s="13">
        <v>700054508872</v>
      </c>
      <c r="T2980" s="12" t="s">
        <v>422</v>
      </c>
      <c r="U2980" s="12" t="s">
        <v>153</v>
      </c>
      <c r="V2980" s="12" t="s">
        <v>70</v>
      </c>
      <c r="W2980" s="12" t="s">
        <v>51</v>
      </c>
      <c r="X2980" s="13">
        <v>0</v>
      </c>
      <c r="Y2980" s="12" t="s">
        <v>91</v>
      </c>
      <c r="Z2980" s="12" t="s">
        <v>108</v>
      </c>
      <c r="AA2980" s="13">
        <v>0</v>
      </c>
      <c r="AB2980" s="13">
        <v>0</v>
      </c>
      <c r="AC2980" s="15">
        <v>14.55</v>
      </c>
      <c r="AD2980" s="15">
        <f>AC2980*AG2980</f>
        <v>14.55</v>
      </c>
      <c r="AE2980" s="15">
        <v>32</v>
      </c>
      <c r="AF2980" s="15">
        <f>AE2980*AG2980</f>
        <v>32</v>
      </c>
      <c r="AG2980" s="16">
        <v>1</v>
      </c>
    </row>
    <row r="2981" spans="1:33" ht="15" customHeight="1" x14ac:dyDescent="0.2">
      <c r="A2981" s="11" t="str">
        <f t="shared" si="848"/>
        <v>VN000GJ6BLK1</v>
      </c>
      <c r="B2981" s="12" t="s">
        <v>10898</v>
      </c>
      <c r="C2981" s="12" t="s">
        <v>7800</v>
      </c>
      <c r="D2981" s="12" t="s">
        <v>76</v>
      </c>
      <c r="E2981" s="12" t="s">
        <v>10899</v>
      </c>
      <c r="F2981" s="12" t="s">
        <v>403</v>
      </c>
      <c r="G2981" s="14"/>
      <c r="H2981" s="12" t="s">
        <v>61</v>
      </c>
      <c r="I2981" s="12" t="s">
        <v>289</v>
      </c>
      <c r="J2981" s="12" t="s">
        <v>706</v>
      </c>
      <c r="K2981" s="12" t="s">
        <v>100</v>
      </c>
      <c r="L2981" s="14"/>
      <c r="M2981" s="12" t="s">
        <v>43</v>
      </c>
      <c r="N2981" s="12" t="s">
        <v>274</v>
      </c>
      <c r="O2981" s="12" t="s">
        <v>10900</v>
      </c>
      <c r="P2981" s="12" t="s">
        <v>66</v>
      </c>
      <c r="Q2981" s="12" t="s">
        <v>67</v>
      </c>
      <c r="R2981" s="12" t="s">
        <v>1146</v>
      </c>
      <c r="S2981" s="13">
        <v>197063413301</v>
      </c>
      <c r="T2981" s="12" t="s">
        <v>49</v>
      </c>
      <c r="U2981" s="12" t="s">
        <v>403</v>
      </c>
      <c r="V2981" s="12" t="s">
        <v>7803</v>
      </c>
      <c r="W2981" s="12" t="s">
        <v>51</v>
      </c>
      <c r="X2981" s="13">
        <v>0</v>
      </c>
      <c r="Y2981" s="12" t="s">
        <v>53</v>
      </c>
      <c r="Z2981" s="12" t="s">
        <v>108</v>
      </c>
      <c r="AA2981" s="13">
        <v>0</v>
      </c>
      <c r="AB2981" s="13">
        <v>0</v>
      </c>
      <c r="AC2981" s="15">
        <v>20.5</v>
      </c>
      <c r="AD2981" s="15">
        <f>AC2981*AG2981</f>
        <v>20.5</v>
      </c>
      <c r="AE2981" s="15">
        <v>45</v>
      </c>
      <c r="AF2981" s="15">
        <f>AE2981*AG2981</f>
        <v>45</v>
      </c>
      <c r="AG2981" s="16">
        <v>1</v>
      </c>
    </row>
    <row r="2982" spans="1:33" ht="15" customHeight="1" x14ac:dyDescent="0.2">
      <c r="A2982" s="11" t="str">
        <f>HYPERLINK("https://assets.vans.eu/images/VN000GJ6BLK-HERO/1","VN000GJ6BLK1")</f>
        <v>VN000GJ6BLK1</v>
      </c>
      <c r="B2982" s="12" t="s">
        <v>10901</v>
      </c>
      <c r="C2982" s="12" t="s">
        <v>7800</v>
      </c>
      <c r="D2982" s="12" t="s">
        <v>76</v>
      </c>
      <c r="E2982" s="12" t="s">
        <v>10902</v>
      </c>
      <c r="F2982" s="12" t="s">
        <v>60</v>
      </c>
      <c r="G2982" s="14"/>
      <c r="H2982" s="12" t="s">
        <v>61</v>
      </c>
      <c r="I2982" s="12" t="s">
        <v>289</v>
      </c>
      <c r="J2982" s="12" t="s">
        <v>706</v>
      </c>
      <c r="K2982" s="12" t="s">
        <v>100</v>
      </c>
      <c r="L2982" s="14"/>
      <c r="M2982" s="12" t="s">
        <v>43</v>
      </c>
      <c r="N2982" s="12" t="s">
        <v>274</v>
      </c>
      <c r="O2982" s="12" t="s">
        <v>10903</v>
      </c>
      <c r="P2982" s="12" t="s">
        <v>66</v>
      </c>
      <c r="Q2982" s="12" t="s">
        <v>67</v>
      </c>
      <c r="R2982" s="12" t="s">
        <v>1146</v>
      </c>
      <c r="S2982" s="13">
        <v>197063413356</v>
      </c>
      <c r="T2982" s="12" t="s">
        <v>49</v>
      </c>
      <c r="U2982" s="12" t="s">
        <v>60</v>
      </c>
      <c r="V2982" s="12" t="s">
        <v>7803</v>
      </c>
      <c r="W2982" s="12" t="s">
        <v>51</v>
      </c>
      <c r="X2982" s="13">
        <v>0</v>
      </c>
      <c r="Y2982" s="12" t="s">
        <v>53</v>
      </c>
      <c r="Z2982" s="12" t="s">
        <v>108</v>
      </c>
      <c r="AA2982" s="13">
        <v>0</v>
      </c>
      <c r="AB2982" s="13">
        <v>0</v>
      </c>
      <c r="AC2982" s="15">
        <v>20.5</v>
      </c>
      <c r="AD2982" s="15">
        <f>AC2982*AG2982</f>
        <v>20.5</v>
      </c>
      <c r="AE2982" s="15">
        <v>45</v>
      </c>
      <c r="AF2982" s="15">
        <f>AE2982*AG2982</f>
        <v>45</v>
      </c>
      <c r="AG2982" s="16">
        <v>1</v>
      </c>
    </row>
    <row r="2983" spans="1:33" ht="15" customHeight="1" x14ac:dyDescent="0.2">
      <c r="A2983" s="11" t="str">
        <f t="shared" ref="A2983:A2984" si="1150">HYPERLINK("https://assets.vans.eu/images/VN000GVF0E0-HERO/1","VN000GVF0E01")</f>
        <v>VN000GVF0E01</v>
      </c>
      <c r="B2983" s="12" t="s">
        <v>10904</v>
      </c>
      <c r="C2983" s="12" t="s">
        <v>10905</v>
      </c>
      <c r="D2983" s="12" t="s">
        <v>4588</v>
      </c>
      <c r="E2983" s="12" t="s">
        <v>10906</v>
      </c>
      <c r="F2983" s="12" t="s">
        <v>403</v>
      </c>
      <c r="G2983" s="14"/>
      <c r="H2983" s="12" t="s">
        <v>61</v>
      </c>
      <c r="I2983" s="12" t="s">
        <v>230</v>
      </c>
      <c r="J2983" s="12" t="s">
        <v>231</v>
      </c>
      <c r="K2983" s="12" t="s">
        <v>199</v>
      </c>
      <c r="L2983" s="14"/>
      <c r="M2983" s="12" t="s">
        <v>43</v>
      </c>
      <c r="N2983" s="12" t="s">
        <v>44</v>
      </c>
      <c r="O2983" s="12" t="s">
        <v>10907</v>
      </c>
      <c r="P2983" s="12" t="s">
        <v>66</v>
      </c>
      <c r="Q2983" s="12" t="s">
        <v>233</v>
      </c>
      <c r="R2983" s="12" t="s">
        <v>234</v>
      </c>
      <c r="S2983" s="13">
        <v>197643456667</v>
      </c>
      <c r="T2983" s="12" t="s">
        <v>235</v>
      </c>
      <c r="U2983" s="12" t="s">
        <v>403</v>
      </c>
      <c r="V2983" s="12" t="s">
        <v>665</v>
      </c>
      <c r="W2983" s="12" t="s">
        <v>299</v>
      </c>
      <c r="X2983" s="13">
        <v>0</v>
      </c>
      <c r="Y2983" s="12" t="s">
        <v>91</v>
      </c>
      <c r="Z2983" s="12" t="s">
        <v>108</v>
      </c>
      <c r="AA2983" s="13">
        <v>0</v>
      </c>
      <c r="AB2983" s="13">
        <v>0</v>
      </c>
      <c r="AC2983" s="15">
        <v>31.85</v>
      </c>
      <c r="AD2983" s="15">
        <f>AC2983*AG2983</f>
        <v>31.85</v>
      </c>
      <c r="AE2983" s="15">
        <v>70</v>
      </c>
      <c r="AF2983" s="15">
        <f>AE2983*AG2983</f>
        <v>70</v>
      </c>
      <c r="AG2983" s="16">
        <v>1</v>
      </c>
    </row>
    <row r="2984" spans="1:33" ht="15" customHeight="1" x14ac:dyDescent="0.2">
      <c r="A2984" s="11" t="str">
        <f t="shared" si="1150"/>
        <v>VN000GVF0E01</v>
      </c>
      <c r="B2984" s="12" t="s">
        <v>10908</v>
      </c>
      <c r="C2984" s="12" t="s">
        <v>10905</v>
      </c>
      <c r="D2984" s="12" t="s">
        <v>4588</v>
      </c>
      <c r="E2984" s="12" t="s">
        <v>10909</v>
      </c>
      <c r="F2984" s="12" t="s">
        <v>153</v>
      </c>
      <c r="G2984" s="14"/>
      <c r="H2984" s="12" t="s">
        <v>61</v>
      </c>
      <c r="I2984" s="12" t="s">
        <v>230</v>
      </c>
      <c r="J2984" s="12" t="s">
        <v>231</v>
      </c>
      <c r="K2984" s="12" t="s">
        <v>199</v>
      </c>
      <c r="L2984" s="14"/>
      <c r="M2984" s="12" t="s">
        <v>43</v>
      </c>
      <c r="N2984" s="12" t="s">
        <v>44</v>
      </c>
      <c r="O2984" s="12" t="s">
        <v>10910</v>
      </c>
      <c r="P2984" s="12" t="s">
        <v>66</v>
      </c>
      <c r="Q2984" s="12" t="s">
        <v>233</v>
      </c>
      <c r="R2984" s="12" t="s">
        <v>234</v>
      </c>
      <c r="S2984" s="13">
        <v>197643456773</v>
      </c>
      <c r="T2984" s="12" t="s">
        <v>235</v>
      </c>
      <c r="U2984" s="12" t="s">
        <v>153</v>
      </c>
      <c r="V2984" s="12" t="s">
        <v>665</v>
      </c>
      <c r="W2984" s="12" t="s">
        <v>299</v>
      </c>
      <c r="X2984" s="13">
        <v>0</v>
      </c>
      <c r="Y2984" s="12" t="s">
        <v>91</v>
      </c>
      <c r="Z2984" s="12" t="s">
        <v>108</v>
      </c>
      <c r="AA2984" s="13">
        <v>0</v>
      </c>
      <c r="AB2984" s="13">
        <v>0</v>
      </c>
      <c r="AC2984" s="15">
        <v>31.85</v>
      </c>
      <c r="AD2984" s="15">
        <f>AC2984*AG2984</f>
        <v>31.85</v>
      </c>
      <c r="AE2984" s="15">
        <v>70</v>
      </c>
      <c r="AF2984" s="15">
        <f>AE2984*AG2984</f>
        <v>70</v>
      </c>
      <c r="AG2984" s="16">
        <v>1</v>
      </c>
    </row>
    <row r="2985" spans="1:33" ht="15" customHeight="1" x14ac:dyDescent="0.2">
      <c r="A2985" s="11" t="str">
        <f t="shared" si="668"/>
        <v>VN000GWNBLK1</v>
      </c>
      <c r="B2985" s="12" t="s">
        <v>10911</v>
      </c>
      <c r="C2985" s="12" t="s">
        <v>6299</v>
      </c>
      <c r="D2985" s="12" t="s">
        <v>76</v>
      </c>
      <c r="E2985" s="12" t="s">
        <v>10912</v>
      </c>
      <c r="F2985" s="12" t="s">
        <v>138</v>
      </c>
      <c r="G2985" s="14"/>
      <c r="H2985" s="12" t="s">
        <v>61</v>
      </c>
      <c r="I2985" s="12" t="s">
        <v>289</v>
      </c>
      <c r="J2985" s="12" t="s">
        <v>290</v>
      </c>
      <c r="K2985" s="12" t="s">
        <v>100</v>
      </c>
      <c r="L2985" s="14"/>
      <c r="M2985" s="12" t="s">
        <v>43</v>
      </c>
      <c r="N2985" s="12" t="s">
        <v>161</v>
      </c>
      <c r="O2985" s="12" t="s">
        <v>10913</v>
      </c>
      <c r="P2985" s="12" t="s">
        <v>66</v>
      </c>
      <c r="Q2985" s="12" t="s">
        <v>233</v>
      </c>
      <c r="R2985" s="12" t="s">
        <v>664</v>
      </c>
      <c r="S2985" s="13">
        <v>196574971577</v>
      </c>
      <c r="T2985" s="12" t="s">
        <v>235</v>
      </c>
      <c r="U2985" s="12" t="s">
        <v>138</v>
      </c>
      <c r="V2985" s="12" t="s">
        <v>665</v>
      </c>
      <c r="W2985" s="12" t="s">
        <v>51</v>
      </c>
      <c r="X2985" s="13">
        <v>0</v>
      </c>
      <c r="Y2985" s="12" t="s">
        <v>53</v>
      </c>
      <c r="Z2985" s="12" t="s">
        <v>108</v>
      </c>
      <c r="AA2985" s="13">
        <v>0</v>
      </c>
      <c r="AB2985" s="13">
        <v>0</v>
      </c>
      <c r="AC2985" s="15">
        <v>36.4</v>
      </c>
      <c r="AD2985" s="15">
        <f>AC2985*AG2985</f>
        <v>36.4</v>
      </c>
      <c r="AE2985" s="15">
        <v>80</v>
      </c>
      <c r="AF2985" s="15">
        <f>AE2985*AG2985</f>
        <v>80</v>
      </c>
      <c r="AG2985" s="16">
        <v>1</v>
      </c>
    </row>
    <row r="2986" spans="1:33" ht="15" customHeight="1" x14ac:dyDescent="0.2">
      <c r="A2986" s="11" t="str">
        <f>HYPERLINK("https://assets.vans.eu/images/VN000GX6BLK-HERO/1","VN000GX6BLK1")</f>
        <v>VN000GX6BLK1</v>
      </c>
      <c r="B2986" s="12" t="s">
        <v>10914</v>
      </c>
      <c r="C2986" s="12" t="s">
        <v>10915</v>
      </c>
      <c r="D2986" s="12" t="s">
        <v>76</v>
      </c>
      <c r="E2986" s="12" t="s">
        <v>10916</v>
      </c>
      <c r="F2986" s="12" t="s">
        <v>403</v>
      </c>
      <c r="G2986" s="14"/>
      <c r="H2986" s="12" t="s">
        <v>61</v>
      </c>
      <c r="I2986" s="12" t="s">
        <v>62</v>
      </c>
      <c r="J2986" s="12" t="s">
        <v>63</v>
      </c>
      <c r="K2986" s="12" t="s">
        <v>64</v>
      </c>
      <c r="L2986" s="14"/>
      <c r="M2986" s="12" t="s">
        <v>43</v>
      </c>
      <c r="N2986" s="12" t="s">
        <v>274</v>
      </c>
      <c r="O2986" s="12" t="s">
        <v>10917</v>
      </c>
      <c r="P2986" s="12" t="s">
        <v>66</v>
      </c>
      <c r="Q2986" s="12" t="s">
        <v>67</v>
      </c>
      <c r="R2986" s="12" t="s">
        <v>730</v>
      </c>
      <c r="S2986" s="13">
        <v>197063508731</v>
      </c>
      <c r="T2986" s="12" t="s">
        <v>69</v>
      </c>
      <c r="U2986" s="12" t="s">
        <v>403</v>
      </c>
      <c r="V2986" s="12" t="s">
        <v>1378</v>
      </c>
      <c r="W2986" s="12" t="s">
        <v>51</v>
      </c>
      <c r="X2986" s="13">
        <v>0</v>
      </c>
      <c r="Y2986" s="12" t="s">
        <v>91</v>
      </c>
      <c r="Z2986" s="12" t="s">
        <v>108</v>
      </c>
      <c r="AA2986" s="13">
        <v>0</v>
      </c>
      <c r="AB2986" s="13">
        <v>0</v>
      </c>
      <c r="AC2986" s="15">
        <v>26.4</v>
      </c>
      <c r="AD2986" s="15">
        <f>AC2986*AG2986</f>
        <v>26.4</v>
      </c>
      <c r="AE2986" s="15">
        <v>58</v>
      </c>
      <c r="AF2986" s="15">
        <f>AE2986*AG2986</f>
        <v>58</v>
      </c>
      <c r="AG2986" s="16">
        <v>1</v>
      </c>
    </row>
    <row r="2987" spans="1:33" ht="15" customHeight="1" x14ac:dyDescent="0.2">
      <c r="A2987" s="11" t="str">
        <f t="shared" ref="A2987:A2988" si="1151">HYPERLINK("https://assets.vans.eu/images/VN000H2AKF1-HERO/1","VN000H2AKF11")</f>
        <v>VN000H2AKF11</v>
      </c>
      <c r="B2987" s="12" t="s">
        <v>10918</v>
      </c>
      <c r="C2987" s="12" t="s">
        <v>2871</v>
      </c>
      <c r="D2987" s="12" t="s">
        <v>10919</v>
      </c>
      <c r="E2987" s="12" t="s">
        <v>10920</v>
      </c>
      <c r="F2987" s="12" t="s">
        <v>153</v>
      </c>
      <c r="G2987" s="14"/>
      <c r="H2987" s="12" t="s">
        <v>61</v>
      </c>
      <c r="I2987" s="12" t="s">
        <v>289</v>
      </c>
      <c r="J2987" s="12" t="s">
        <v>706</v>
      </c>
      <c r="K2987" s="12" t="s">
        <v>100</v>
      </c>
      <c r="L2987" s="12" t="s">
        <v>83</v>
      </c>
      <c r="M2987" s="12" t="s">
        <v>43</v>
      </c>
      <c r="N2987" s="12" t="s">
        <v>84</v>
      </c>
      <c r="O2987" s="12" t="s">
        <v>10921</v>
      </c>
      <c r="P2987" s="12" t="s">
        <v>66</v>
      </c>
      <c r="Q2987" s="12" t="s">
        <v>67</v>
      </c>
      <c r="R2987" s="12" t="s">
        <v>708</v>
      </c>
      <c r="S2987" s="13">
        <v>197065828189</v>
      </c>
      <c r="T2987" s="12" t="s">
        <v>69</v>
      </c>
      <c r="U2987" s="12" t="s">
        <v>153</v>
      </c>
      <c r="V2987" s="12" t="s">
        <v>1378</v>
      </c>
      <c r="W2987" s="12" t="s">
        <v>284</v>
      </c>
      <c r="X2987" s="13">
        <v>0</v>
      </c>
      <c r="Y2987" s="12" t="s">
        <v>91</v>
      </c>
      <c r="Z2987" s="12" t="s">
        <v>108</v>
      </c>
      <c r="AA2987" s="13">
        <v>0</v>
      </c>
      <c r="AB2987" s="12" t="s">
        <v>616</v>
      </c>
      <c r="AC2987" s="15">
        <v>34.1</v>
      </c>
      <c r="AD2987" s="15">
        <f>AC2987*AG2987</f>
        <v>34.1</v>
      </c>
      <c r="AE2987" s="15">
        <v>75</v>
      </c>
      <c r="AF2987" s="15">
        <f>AE2987*AG2987</f>
        <v>75</v>
      </c>
      <c r="AG2987" s="16">
        <v>1</v>
      </c>
    </row>
    <row r="2988" spans="1:33" ht="15" customHeight="1" x14ac:dyDescent="0.2">
      <c r="A2988" s="11" t="str">
        <f t="shared" si="1151"/>
        <v>VN000H2AKF11</v>
      </c>
      <c r="B2988" s="12" t="s">
        <v>10922</v>
      </c>
      <c r="C2988" s="12" t="s">
        <v>2871</v>
      </c>
      <c r="D2988" s="12" t="s">
        <v>10919</v>
      </c>
      <c r="E2988" s="12" t="s">
        <v>10923</v>
      </c>
      <c r="F2988" s="12" t="s">
        <v>621</v>
      </c>
      <c r="G2988" s="14"/>
      <c r="H2988" s="12" t="s">
        <v>61</v>
      </c>
      <c r="I2988" s="12" t="s">
        <v>289</v>
      </c>
      <c r="J2988" s="12" t="s">
        <v>706</v>
      </c>
      <c r="K2988" s="12" t="s">
        <v>100</v>
      </c>
      <c r="L2988" s="12" t="s">
        <v>83</v>
      </c>
      <c r="M2988" s="12" t="s">
        <v>43</v>
      </c>
      <c r="N2988" s="12" t="s">
        <v>84</v>
      </c>
      <c r="O2988" s="12" t="s">
        <v>10924</v>
      </c>
      <c r="P2988" s="12" t="s">
        <v>66</v>
      </c>
      <c r="Q2988" s="12" t="s">
        <v>67</v>
      </c>
      <c r="R2988" s="12" t="s">
        <v>708</v>
      </c>
      <c r="S2988" s="13">
        <v>197065828271</v>
      </c>
      <c r="T2988" s="12" t="s">
        <v>69</v>
      </c>
      <c r="U2988" s="12" t="s">
        <v>621</v>
      </c>
      <c r="V2988" s="12" t="s">
        <v>1378</v>
      </c>
      <c r="W2988" s="12" t="s">
        <v>284</v>
      </c>
      <c r="X2988" s="13">
        <v>0</v>
      </c>
      <c r="Y2988" s="12" t="s">
        <v>91</v>
      </c>
      <c r="Z2988" s="12" t="s">
        <v>108</v>
      </c>
      <c r="AA2988" s="13">
        <v>0</v>
      </c>
      <c r="AB2988" s="12" t="s">
        <v>616</v>
      </c>
      <c r="AC2988" s="15">
        <v>34.1</v>
      </c>
      <c r="AD2988" s="15">
        <f>AC2988*AG2988</f>
        <v>34.1</v>
      </c>
      <c r="AE2988" s="15">
        <v>75</v>
      </c>
      <c r="AF2988" s="15">
        <f>AE2988*AG2988</f>
        <v>75</v>
      </c>
      <c r="AG2988" s="16">
        <v>1</v>
      </c>
    </row>
    <row r="2989" spans="1:33" ht="15" customHeight="1" x14ac:dyDescent="0.2">
      <c r="A2989" s="11" t="str">
        <f t="shared" si="849"/>
        <v>VN000HANCDX1</v>
      </c>
      <c r="B2989" s="12" t="s">
        <v>10925</v>
      </c>
      <c r="C2989" s="12" t="s">
        <v>7805</v>
      </c>
      <c r="D2989" s="12" t="s">
        <v>760</v>
      </c>
      <c r="E2989" s="12" t="s">
        <v>10926</v>
      </c>
      <c r="F2989" s="13">
        <v>26</v>
      </c>
      <c r="G2989" s="14"/>
      <c r="H2989" s="12" t="s">
        <v>61</v>
      </c>
      <c r="I2989" s="12" t="s">
        <v>230</v>
      </c>
      <c r="J2989" s="12" t="s">
        <v>231</v>
      </c>
      <c r="K2989" s="12" t="s">
        <v>199</v>
      </c>
      <c r="L2989" s="14"/>
      <c r="M2989" s="12" t="s">
        <v>43</v>
      </c>
      <c r="N2989" s="12" t="s">
        <v>44</v>
      </c>
      <c r="O2989" s="12" t="s">
        <v>10927</v>
      </c>
      <c r="P2989" s="12" t="s">
        <v>66</v>
      </c>
      <c r="Q2989" s="12" t="s">
        <v>233</v>
      </c>
      <c r="R2989" s="12" t="s">
        <v>361</v>
      </c>
      <c r="S2989" s="13">
        <v>197643457800</v>
      </c>
      <c r="T2989" s="12" t="s">
        <v>235</v>
      </c>
      <c r="U2989" s="13">
        <v>26</v>
      </c>
      <c r="V2989" s="12" t="s">
        <v>665</v>
      </c>
      <c r="W2989" s="12" t="s">
        <v>284</v>
      </c>
      <c r="X2989" s="13">
        <v>0</v>
      </c>
      <c r="Y2989" s="12" t="s">
        <v>53</v>
      </c>
      <c r="Z2989" s="12" t="s">
        <v>108</v>
      </c>
      <c r="AA2989" s="13">
        <v>0</v>
      </c>
      <c r="AB2989" s="13">
        <v>0</v>
      </c>
      <c r="AC2989" s="15">
        <v>40.950000000000003</v>
      </c>
      <c r="AD2989" s="15">
        <f>AC2989*AG2989</f>
        <v>40.950000000000003</v>
      </c>
      <c r="AE2989" s="15">
        <v>90</v>
      </c>
      <c r="AF2989" s="15">
        <f>AE2989*AG2989</f>
        <v>90</v>
      </c>
      <c r="AG2989" s="16">
        <v>1</v>
      </c>
    </row>
    <row r="2990" spans="1:33" ht="15" customHeight="1" x14ac:dyDescent="0.2">
      <c r="A2990" s="11" t="str">
        <f t="shared" si="669"/>
        <v>VN000HAWBLK1</v>
      </c>
      <c r="B2990" s="12" t="s">
        <v>10928</v>
      </c>
      <c r="C2990" s="12" t="s">
        <v>6307</v>
      </c>
      <c r="D2990" s="12" t="s">
        <v>76</v>
      </c>
      <c r="E2990" s="12" t="s">
        <v>10929</v>
      </c>
      <c r="F2990" s="12" t="s">
        <v>403</v>
      </c>
      <c r="G2990" s="14"/>
      <c r="H2990" s="12" t="s">
        <v>61</v>
      </c>
      <c r="I2990" s="12" t="s">
        <v>230</v>
      </c>
      <c r="J2990" s="12" t="s">
        <v>231</v>
      </c>
      <c r="K2990" s="12" t="s">
        <v>199</v>
      </c>
      <c r="L2990" s="14"/>
      <c r="M2990" s="12" t="s">
        <v>43</v>
      </c>
      <c r="N2990" s="12" t="s">
        <v>161</v>
      </c>
      <c r="O2990" s="12" t="s">
        <v>10930</v>
      </c>
      <c r="P2990" s="12" t="s">
        <v>66</v>
      </c>
      <c r="Q2990" s="12" t="s">
        <v>233</v>
      </c>
      <c r="R2990" s="12" t="s">
        <v>361</v>
      </c>
      <c r="S2990" s="13">
        <v>197065482220</v>
      </c>
      <c r="T2990" s="12" t="s">
        <v>105</v>
      </c>
      <c r="U2990" s="12" t="s">
        <v>403</v>
      </c>
      <c r="V2990" s="12" t="s">
        <v>90</v>
      </c>
      <c r="W2990" s="12" t="s">
        <v>51</v>
      </c>
      <c r="X2990" s="13">
        <v>0</v>
      </c>
      <c r="Y2990" s="12" t="s">
        <v>91</v>
      </c>
      <c r="Z2990" s="12" t="s">
        <v>108</v>
      </c>
      <c r="AA2990" s="13">
        <v>0</v>
      </c>
      <c r="AB2990" s="13">
        <v>0</v>
      </c>
      <c r="AC2990" s="15">
        <v>50</v>
      </c>
      <c r="AD2990" s="15">
        <f>AC2990*AG2990</f>
        <v>50</v>
      </c>
      <c r="AE2990" s="15">
        <v>110</v>
      </c>
      <c r="AF2990" s="15">
        <f>AE2990*AG2990</f>
        <v>110</v>
      </c>
      <c r="AG2990" s="16">
        <v>1</v>
      </c>
    </row>
    <row r="2991" spans="1:33" ht="15" customHeight="1" x14ac:dyDescent="0.2">
      <c r="A2991" s="11" t="str">
        <f>HYPERLINK("https://assets.vans.eu/images/VN000HDUBLK-HERO/1","VN000HDUBLK1")</f>
        <v>VN000HDUBLK1</v>
      </c>
      <c r="B2991" s="12" t="s">
        <v>10931</v>
      </c>
      <c r="C2991" s="12" t="s">
        <v>10932</v>
      </c>
      <c r="D2991" s="12" t="s">
        <v>76</v>
      </c>
      <c r="E2991" s="12" t="s">
        <v>10933</v>
      </c>
      <c r="F2991" s="12" t="s">
        <v>403</v>
      </c>
      <c r="G2991" s="14"/>
      <c r="H2991" s="12" t="s">
        <v>61</v>
      </c>
      <c r="I2991" s="12" t="s">
        <v>230</v>
      </c>
      <c r="J2991" s="12" t="s">
        <v>419</v>
      </c>
      <c r="K2991" s="12" t="s">
        <v>199</v>
      </c>
      <c r="L2991" s="14"/>
      <c r="M2991" s="12" t="s">
        <v>43</v>
      </c>
      <c r="N2991" s="12" t="s">
        <v>161</v>
      </c>
      <c r="O2991" s="12" t="s">
        <v>10934</v>
      </c>
      <c r="P2991" s="12" t="s">
        <v>66</v>
      </c>
      <c r="Q2991" s="12" t="s">
        <v>67</v>
      </c>
      <c r="R2991" s="12" t="s">
        <v>1500</v>
      </c>
      <c r="S2991" s="13">
        <v>197065452285</v>
      </c>
      <c r="T2991" s="12" t="s">
        <v>49</v>
      </c>
      <c r="U2991" s="12" t="s">
        <v>403</v>
      </c>
      <c r="V2991" s="12" t="s">
        <v>90</v>
      </c>
      <c r="W2991" s="12" t="s">
        <v>51</v>
      </c>
      <c r="X2991" s="13">
        <v>0</v>
      </c>
      <c r="Y2991" s="12" t="s">
        <v>53</v>
      </c>
      <c r="Z2991" s="12" t="s">
        <v>108</v>
      </c>
      <c r="AA2991" s="13">
        <v>0</v>
      </c>
      <c r="AB2991" s="13">
        <v>0</v>
      </c>
      <c r="AC2991" s="15">
        <v>27.3</v>
      </c>
      <c r="AD2991" s="15">
        <f>AC2991*AG2991</f>
        <v>27.3</v>
      </c>
      <c r="AE2991" s="15">
        <v>60</v>
      </c>
      <c r="AF2991" s="15">
        <f>AE2991*AG2991</f>
        <v>60</v>
      </c>
      <c r="AG2991" s="16">
        <v>1</v>
      </c>
    </row>
    <row r="2992" spans="1:33" ht="15" customHeight="1" x14ac:dyDescent="0.2">
      <c r="A2992" s="11" t="str">
        <f>HYPERLINK("https://assets.vans.eu/images/VN000HDVM8I-HERO/1","VN000HDVM8I1")</f>
        <v>VN000HDVM8I1</v>
      </c>
      <c r="B2992" s="12" t="s">
        <v>10935</v>
      </c>
      <c r="C2992" s="12" t="s">
        <v>1486</v>
      </c>
      <c r="D2992" s="12" t="s">
        <v>1487</v>
      </c>
      <c r="E2992" s="12" t="s">
        <v>10936</v>
      </c>
      <c r="F2992" s="12" t="s">
        <v>403</v>
      </c>
      <c r="G2992" s="14"/>
      <c r="H2992" s="12" t="s">
        <v>61</v>
      </c>
      <c r="I2992" s="12" t="s">
        <v>230</v>
      </c>
      <c r="J2992" s="12" t="s">
        <v>419</v>
      </c>
      <c r="K2992" s="12" t="s">
        <v>199</v>
      </c>
      <c r="L2992" s="14"/>
      <c r="M2992" s="12" t="s">
        <v>43</v>
      </c>
      <c r="N2992" s="12" t="s">
        <v>161</v>
      </c>
      <c r="O2992" s="12" t="s">
        <v>10937</v>
      </c>
      <c r="P2992" s="12" t="s">
        <v>66</v>
      </c>
      <c r="Q2992" s="12" t="s">
        <v>67</v>
      </c>
      <c r="R2992" s="12" t="s">
        <v>1490</v>
      </c>
      <c r="S2992" s="13">
        <v>197065482237</v>
      </c>
      <c r="T2992" s="12" t="s">
        <v>143</v>
      </c>
      <c r="U2992" s="12" t="s">
        <v>403</v>
      </c>
      <c r="V2992" s="12" t="s">
        <v>1491</v>
      </c>
      <c r="W2992" s="12" t="s">
        <v>118</v>
      </c>
      <c r="X2992" s="13">
        <v>0</v>
      </c>
      <c r="Y2992" s="12" t="s">
        <v>91</v>
      </c>
      <c r="Z2992" s="12" t="s">
        <v>108</v>
      </c>
      <c r="AA2992" s="13">
        <v>0</v>
      </c>
      <c r="AB2992" s="13">
        <v>0</v>
      </c>
      <c r="AC2992" s="15">
        <v>31.85</v>
      </c>
      <c r="AD2992" s="15">
        <f>AC2992*AG2992</f>
        <v>31.85</v>
      </c>
      <c r="AE2992" s="15">
        <v>70</v>
      </c>
      <c r="AF2992" s="15">
        <f>AE2992*AG2992</f>
        <v>70</v>
      </c>
      <c r="AG2992" s="16">
        <v>1</v>
      </c>
    </row>
    <row r="2993" spans="1:33" ht="15" customHeight="1" x14ac:dyDescent="0.2">
      <c r="A2993" s="11" t="str">
        <f>HYPERLINK("https://assets.vans.eu/images/VN000HE2KOU-HERO/1","VN000HE2KOU1")</f>
        <v>VN000HE2KOU1</v>
      </c>
      <c r="B2993" s="12" t="s">
        <v>10938</v>
      </c>
      <c r="C2993" s="12" t="s">
        <v>10939</v>
      </c>
      <c r="D2993" s="12" t="s">
        <v>4469</v>
      </c>
      <c r="E2993" s="12" t="s">
        <v>10940</v>
      </c>
      <c r="F2993" s="12" t="s">
        <v>403</v>
      </c>
      <c r="G2993" s="14"/>
      <c r="H2993" s="12" t="s">
        <v>61</v>
      </c>
      <c r="I2993" s="12" t="s">
        <v>230</v>
      </c>
      <c r="J2993" s="12" t="s">
        <v>419</v>
      </c>
      <c r="K2993" s="12" t="s">
        <v>199</v>
      </c>
      <c r="L2993" s="14"/>
      <c r="M2993" s="12" t="s">
        <v>43</v>
      </c>
      <c r="N2993" s="12" t="s">
        <v>161</v>
      </c>
      <c r="O2993" s="12" t="s">
        <v>10941</v>
      </c>
      <c r="P2993" s="12" t="s">
        <v>66</v>
      </c>
      <c r="Q2993" s="12" t="s">
        <v>67</v>
      </c>
      <c r="R2993" s="12" t="s">
        <v>421</v>
      </c>
      <c r="S2993" s="13">
        <v>197065453107</v>
      </c>
      <c r="T2993" s="12" t="s">
        <v>105</v>
      </c>
      <c r="U2993" s="12" t="s">
        <v>403</v>
      </c>
      <c r="V2993" s="12" t="s">
        <v>665</v>
      </c>
      <c r="W2993" s="12" t="s">
        <v>51</v>
      </c>
      <c r="X2993" s="13">
        <v>0</v>
      </c>
      <c r="Y2993" s="12" t="s">
        <v>53</v>
      </c>
      <c r="Z2993" s="12" t="s">
        <v>108</v>
      </c>
      <c r="AA2993" s="13">
        <v>0</v>
      </c>
      <c r="AB2993" s="13">
        <v>0</v>
      </c>
      <c r="AC2993" s="15">
        <v>29.55</v>
      </c>
      <c r="AD2993" s="15">
        <f>AC2993*AG2993</f>
        <v>29.55</v>
      </c>
      <c r="AE2993" s="15">
        <v>65</v>
      </c>
      <c r="AF2993" s="15">
        <f>AE2993*AG2993</f>
        <v>65</v>
      </c>
      <c r="AG2993" s="16">
        <v>1</v>
      </c>
    </row>
    <row r="2994" spans="1:33" ht="15" customHeight="1" x14ac:dyDescent="0.2">
      <c r="A2994" s="11" t="str">
        <f>HYPERLINK("https://assets.vans.eu/images/VN000HEUBLK-HERO/1","VN000HEUBLK1")</f>
        <v>VN000HEUBLK1</v>
      </c>
      <c r="B2994" s="12" t="s">
        <v>10942</v>
      </c>
      <c r="C2994" s="12" t="s">
        <v>10943</v>
      </c>
      <c r="D2994" s="12" t="s">
        <v>76</v>
      </c>
      <c r="E2994" s="12" t="s">
        <v>10944</v>
      </c>
      <c r="F2994" s="12" t="s">
        <v>621</v>
      </c>
      <c r="G2994" s="14"/>
      <c r="H2994" s="12" t="s">
        <v>61</v>
      </c>
      <c r="I2994" s="12" t="s">
        <v>230</v>
      </c>
      <c r="J2994" s="12" t="s">
        <v>419</v>
      </c>
      <c r="K2994" s="12" t="s">
        <v>199</v>
      </c>
      <c r="L2994" s="12" t="s">
        <v>42</v>
      </c>
      <c r="M2994" s="12" t="s">
        <v>43</v>
      </c>
      <c r="N2994" s="12" t="s">
        <v>84</v>
      </c>
      <c r="O2994" s="12" t="s">
        <v>10945</v>
      </c>
      <c r="P2994" s="12" t="s">
        <v>66</v>
      </c>
      <c r="Q2994" s="12" t="s">
        <v>67</v>
      </c>
      <c r="R2994" s="12" t="s">
        <v>421</v>
      </c>
      <c r="S2994" s="13">
        <v>197065453299</v>
      </c>
      <c r="T2994" s="12" t="s">
        <v>422</v>
      </c>
      <c r="U2994" s="12" t="s">
        <v>621</v>
      </c>
      <c r="V2994" s="12" t="s">
        <v>70</v>
      </c>
      <c r="W2994" s="12" t="s">
        <v>51</v>
      </c>
      <c r="X2994" s="13">
        <v>0</v>
      </c>
      <c r="Y2994" s="12" t="s">
        <v>53</v>
      </c>
      <c r="Z2994" s="12" t="s">
        <v>92</v>
      </c>
      <c r="AA2994" s="12" t="s">
        <v>615</v>
      </c>
      <c r="AB2994" s="12" t="s">
        <v>55</v>
      </c>
      <c r="AC2994" s="15">
        <v>25</v>
      </c>
      <c r="AD2994" s="15">
        <f>AC2994*AG2994</f>
        <v>25</v>
      </c>
      <c r="AE2994" s="15">
        <v>55</v>
      </c>
      <c r="AF2994" s="15">
        <f>AE2994*AG2994</f>
        <v>55</v>
      </c>
      <c r="AG2994" s="16">
        <v>1</v>
      </c>
    </row>
    <row r="2995" spans="1:33" ht="15" customHeight="1" x14ac:dyDescent="0.2">
      <c r="A2995" s="11" t="str">
        <f>HYPERLINK("https://assets.vans.eu/images/VN000HEUFS8-HERO/1","VN000HEUFS81")</f>
        <v>VN000HEUFS81</v>
      </c>
      <c r="B2995" s="12" t="s">
        <v>10946</v>
      </c>
      <c r="C2995" s="12" t="s">
        <v>10943</v>
      </c>
      <c r="D2995" s="12" t="s">
        <v>239</v>
      </c>
      <c r="E2995" s="12" t="s">
        <v>10947</v>
      </c>
      <c r="F2995" s="12" t="s">
        <v>60</v>
      </c>
      <c r="G2995" s="14"/>
      <c r="H2995" s="12" t="s">
        <v>61</v>
      </c>
      <c r="I2995" s="12" t="s">
        <v>230</v>
      </c>
      <c r="J2995" s="12" t="s">
        <v>419</v>
      </c>
      <c r="K2995" s="12" t="s">
        <v>199</v>
      </c>
      <c r="L2995" s="12" t="s">
        <v>42</v>
      </c>
      <c r="M2995" s="12" t="s">
        <v>43</v>
      </c>
      <c r="N2995" s="12" t="s">
        <v>84</v>
      </c>
      <c r="O2995" s="12" t="s">
        <v>10948</v>
      </c>
      <c r="P2995" s="12" t="s">
        <v>66</v>
      </c>
      <c r="Q2995" s="12" t="s">
        <v>67</v>
      </c>
      <c r="R2995" s="12" t="s">
        <v>421</v>
      </c>
      <c r="S2995" s="13">
        <v>197065453381</v>
      </c>
      <c r="T2995" s="12" t="s">
        <v>422</v>
      </c>
      <c r="U2995" s="12" t="s">
        <v>60</v>
      </c>
      <c r="V2995" s="12" t="s">
        <v>70</v>
      </c>
      <c r="W2995" s="12" t="s">
        <v>175</v>
      </c>
      <c r="X2995" s="13">
        <v>0</v>
      </c>
      <c r="Y2995" s="12" t="s">
        <v>53</v>
      </c>
      <c r="Z2995" s="12" t="s">
        <v>92</v>
      </c>
      <c r="AA2995" s="12" t="s">
        <v>615</v>
      </c>
      <c r="AB2995" s="12" t="s">
        <v>55</v>
      </c>
      <c r="AC2995" s="15">
        <v>25</v>
      </c>
      <c r="AD2995" s="15">
        <f>AC2995*AG2995</f>
        <v>25</v>
      </c>
      <c r="AE2995" s="15">
        <v>55</v>
      </c>
      <c r="AF2995" s="15">
        <f>AE2995*AG2995</f>
        <v>55</v>
      </c>
      <c r="AG2995" s="16">
        <v>1</v>
      </c>
    </row>
    <row r="2996" spans="1:33" ht="15" customHeight="1" x14ac:dyDescent="0.2">
      <c r="A2996" s="11" t="str">
        <f t="shared" ref="A2996:A2997" si="1152">HYPERLINK("https://assets.vans.eu/images/VN000HF6FS8-HERO/1","VN000HF6FS81")</f>
        <v>VN000HF6FS81</v>
      </c>
      <c r="B2996" s="12" t="s">
        <v>10949</v>
      </c>
      <c r="C2996" s="12" t="s">
        <v>10950</v>
      </c>
      <c r="D2996" s="12" t="s">
        <v>239</v>
      </c>
      <c r="E2996" s="12" t="s">
        <v>10951</v>
      </c>
      <c r="F2996" s="12" t="s">
        <v>179</v>
      </c>
      <c r="G2996" s="14"/>
      <c r="H2996" s="12" t="s">
        <v>61</v>
      </c>
      <c r="I2996" s="12" t="s">
        <v>230</v>
      </c>
      <c r="J2996" s="12" t="s">
        <v>419</v>
      </c>
      <c r="K2996" s="12" t="s">
        <v>199</v>
      </c>
      <c r="L2996" s="12" t="s">
        <v>42</v>
      </c>
      <c r="M2996" s="12" t="s">
        <v>43</v>
      </c>
      <c r="N2996" s="12" t="s">
        <v>161</v>
      </c>
      <c r="O2996" s="12" t="s">
        <v>10952</v>
      </c>
      <c r="P2996" s="12" t="s">
        <v>66</v>
      </c>
      <c r="Q2996" s="12" t="s">
        <v>67</v>
      </c>
      <c r="R2996" s="12" t="s">
        <v>421</v>
      </c>
      <c r="S2996" s="13">
        <v>197065453503</v>
      </c>
      <c r="T2996" s="12" t="s">
        <v>422</v>
      </c>
      <c r="U2996" s="12" t="s">
        <v>179</v>
      </c>
      <c r="V2996" s="12" t="s">
        <v>70</v>
      </c>
      <c r="W2996" s="12" t="s">
        <v>175</v>
      </c>
      <c r="X2996" s="13">
        <v>0</v>
      </c>
      <c r="Y2996" s="12" t="s">
        <v>53</v>
      </c>
      <c r="Z2996" s="12" t="s">
        <v>92</v>
      </c>
      <c r="AA2996" s="12" t="s">
        <v>615</v>
      </c>
      <c r="AB2996" s="12" t="s">
        <v>55</v>
      </c>
      <c r="AC2996" s="15">
        <v>25</v>
      </c>
      <c r="AD2996" s="15">
        <f>AC2996*AG2996</f>
        <v>25</v>
      </c>
      <c r="AE2996" s="15">
        <v>55</v>
      </c>
      <c r="AF2996" s="15">
        <f>AE2996*AG2996</f>
        <v>55</v>
      </c>
      <c r="AG2996" s="16">
        <v>1</v>
      </c>
    </row>
    <row r="2997" spans="1:33" ht="15" customHeight="1" x14ac:dyDescent="0.2">
      <c r="A2997" s="11" t="str">
        <f t="shared" si="1152"/>
        <v>VN000HF6FS81</v>
      </c>
      <c r="B2997" s="12" t="s">
        <v>10953</v>
      </c>
      <c r="C2997" s="12" t="s">
        <v>10950</v>
      </c>
      <c r="D2997" s="12" t="s">
        <v>239</v>
      </c>
      <c r="E2997" s="12" t="s">
        <v>10954</v>
      </c>
      <c r="F2997" s="12" t="s">
        <v>621</v>
      </c>
      <c r="G2997" s="14"/>
      <c r="H2997" s="12" t="s">
        <v>61</v>
      </c>
      <c r="I2997" s="12" t="s">
        <v>230</v>
      </c>
      <c r="J2997" s="12" t="s">
        <v>419</v>
      </c>
      <c r="K2997" s="12" t="s">
        <v>199</v>
      </c>
      <c r="L2997" s="12" t="s">
        <v>42</v>
      </c>
      <c r="M2997" s="12" t="s">
        <v>43</v>
      </c>
      <c r="N2997" s="12" t="s">
        <v>161</v>
      </c>
      <c r="O2997" s="12" t="s">
        <v>10955</v>
      </c>
      <c r="P2997" s="12" t="s">
        <v>66</v>
      </c>
      <c r="Q2997" s="12" t="s">
        <v>67</v>
      </c>
      <c r="R2997" s="12" t="s">
        <v>421</v>
      </c>
      <c r="S2997" s="13">
        <v>197065453558</v>
      </c>
      <c r="T2997" s="12" t="s">
        <v>422</v>
      </c>
      <c r="U2997" s="12" t="s">
        <v>621</v>
      </c>
      <c r="V2997" s="12" t="s">
        <v>70</v>
      </c>
      <c r="W2997" s="12" t="s">
        <v>175</v>
      </c>
      <c r="X2997" s="13">
        <v>0</v>
      </c>
      <c r="Y2997" s="12" t="s">
        <v>53</v>
      </c>
      <c r="Z2997" s="12" t="s">
        <v>92</v>
      </c>
      <c r="AA2997" s="12" t="s">
        <v>615</v>
      </c>
      <c r="AB2997" s="12" t="s">
        <v>55</v>
      </c>
      <c r="AC2997" s="15">
        <v>25</v>
      </c>
      <c r="AD2997" s="15">
        <f>AC2997*AG2997</f>
        <v>25</v>
      </c>
      <c r="AE2997" s="15">
        <v>55</v>
      </c>
      <c r="AF2997" s="15">
        <f>AE2997*AG2997</f>
        <v>55</v>
      </c>
      <c r="AG2997" s="16">
        <v>1</v>
      </c>
    </row>
    <row r="2998" spans="1:33" ht="15" customHeight="1" x14ac:dyDescent="0.2">
      <c r="A2998" s="11" t="str">
        <f>HYPERLINK("https://assets.vans.eu/images/VN000HGE0E0-HERO/1","VN000HGE0E01")</f>
        <v>VN000HGE0E01</v>
      </c>
      <c r="B2998" s="12" t="s">
        <v>10956</v>
      </c>
      <c r="C2998" s="12" t="s">
        <v>10957</v>
      </c>
      <c r="D2998" s="12" t="s">
        <v>4588</v>
      </c>
      <c r="E2998" s="12" t="s">
        <v>10958</v>
      </c>
      <c r="F2998" s="12" t="s">
        <v>60</v>
      </c>
      <c r="G2998" s="14"/>
      <c r="H2998" s="12" t="s">
        <v>61</v>
      </c>
      <c r="I2998" s="12" t="s">
        <v>289</v>
      </c>
      <c r="J2998" s="12" t="s">
        <v>706</v>
      </c>
      <c r="K2998" s="12" t="s">
        <v>100</v>
      </c>
      <c r="L2998" s="14"/>
      <c r="M2998" s="12" t="s">
        <v>43</v>
      </c>
      <c r="N2998" s="12" t="s">
        <v>161</v>
      </c>
      <c r="O2998" s="12" t="s">
        <v>10959</v>
      </c>
      <c r="P2998" s="12" t="s">
        <v>66</v>
      </c>
      <c r="Q2998" s="12" t="s">
        <v>67</v>
      </c>
      <c r="R2998" s="12" t="s">
        <v>1146</v>
      </c>
      <c r="S2998" s="13">
        <v>197065914356</v>
      </c>
      <c r="T2998" s="12" t="s">
        <v>422</v>
      </c>
      <c r="U2998" s="12" t="s">
        <v>60</v>
      </c>
      <c r="V2998" s="12" t="s">
        <v>70</v>
      </c>
      <c r="W2998" s="12" t="s">
        <v>299</v>
      </c>
      <c r="X2998" s="13">
        <v>0</v>
      </c>
      <c r="Y2998" s="12" t="s">
        <v>91</v>
      </c>
      <c r="Z2998" s="12" t="s">
        <v>108</v>
      </c>
      <c r="AA2998" s="13">
        <v>0</v>
      </c>
      <c r="AB2998" s="13">
        <v>0</v>
      </c>
      <c r="AC2998" s="15">
        <v>15.5</v>
      </c>
      <c r="AD2998" s="15">
        <f>AC2998*AG2998</f>
        <v>15.5</v>
      </c>
      <c r="AE2998" s="15">
        <v>34</v>
      </c>
      <c r="AF2998" s="15">
        <f>AE2998*AG2998</f>
        <v>34</v>
      </c>
      <c r="AG2998" s="16">
        <v>1</v>
      </c>
    </row>
    <row r="2999" spans="1:33" ht="15" customHeight="1" x14ac:dyDescent="0.2">
      <c r="A2999" s="11" t="str">
        <f t="shared" si="70"/>
        <v>VN000HGKBLK1</v>
      </c>
      <c r="B2999" s="12" t="s">
        <v>10960</v>
      </c>
      <c r="C2999" s="12" t="s">
        <v>1040</v>
      </c>
      <c r="D2999" s="12" t="s">
        <v>76</v>
      </c>
      <c r="E2999" s="12" t="s">
        <v>10961</v>
      </c>
      <c r="F2999" s="13">
        <v>23</v>
      </c>
      <c r="G2999" s="14"/>
      <c r="H2999" s="12" t="s">
        <v>61</v>
      </c>
      <c r="I2999" s="12" t="s">
        <v>289</v>
      </c>
      <c r="J2999" s="12" t="s">
        <v>290</v>
      </c>
      <c r="K2999" s="12" t="s">
        <v>100</v>
      </c>
      <c r="L2999" s="14"/>
      <c r="M2999" s="12" t="s">
        <v>43</v>
      </c>
      <c r="N2999" s="12" t="s">
        <v>44</v>
      </c>
      <c r="O2999" s="12" t="s">
        <v>10962</v>
      </c>
      <c r="P2999" s="12" t="s">
        <v>66</v>
      </c>
      <c r="Q2999" s="12" t="s">
        <v>233</v>
      </c>
      <c r="R2999" s="12" t="s">
        <v>664</v>
      </c>
      <c r="S2999" s="13">
        <v>197065454142</v>
      </c>
      <c r="T2999" s="12" t="s">
        <v>235</v>
      </c>
      <c r="U2999" s="13">
        <v>23</v>
      </c>
      <c r="V2999" s="12" t="s">
        <v>1043</v>
      </c>
      <c r="W2999" s="12" t="s">
        <v>51</v>
      </c>
      <c r="X2999" s="13">
        <v>0</v>
      </c>
      <c r="Y2999" s="12" t="s">
        <v>91</v>
      </c>
      <c r="Z2999" s="12" t="s">
        <v>108</v>
      </c>
      <c r="AA2999" s="13">
        <v>0</v>
      </c>
      <c r="AB2999" s="13">
        <v>0</v>
      </c>
      <c r="AC2999" s="15">
        <v>29.55</v>
      </c>
      <c r="AD2999" s="15">
        <f>AC2999*AG2999</f>
        <v>29.55</v>
      </c>
      <c r="AE2999" s="15">
        <v>65</v>
      </c>
      <c r="AF2999" s="15">
        <f>AE2999*AG2999</f>
        <v>65</v>
      </c>
      <c r="AG2999" s="16">
        <v>1</v>
      </c>
    </row>
    <row r="3000" spans="1:33" ht="15" customHeight="1" x14ac:dyDescent="0.2">
      <c r="A3000" s="11" t="str">
        <f>HYPERLINK("https://assets.vans.eu/images/VN000HHNWHT-HERO/1","VN000HHNWHT1")</f>
        <v>VN000HHNWHT1</v>
      </c>
      <c r="B3000" s="12" t="s">
        <v>10963</v>
      </c>
      <c r="C3000" s="12" t="s">
        <v>10964</v>
      </c>
      <c r="D3000" s="12" t="s">
        <v>168</v>
      </c>
      <c r="E3000" s="12" t="s">
        <v>10965</v>
      </c>
      <c r="F3000" s="12" t="s">
        <v>60</v>
      </c>
      <c r="G3000" s="14"/>
      <c r="H3000" s="12" t="s">
        <v>61</v>
      </c>
      <c r="I3000" s="12" t="s">
        <v>289</v>
      </c>
      <c r="J3000" s="12" t="s">
        <v>706</v>
      </c>
      <c r="K3000" s="12" t="s">
        <v>100</v>
      </c>
      <c r="L3000" s="12" t="s">
        <v>83</v>
      </c>
      <c r="M3000" s="12" t="s">
        <v>43</v>
      </c>
      <c r="N3000" s="12" t="s">
        <v>84</v>
      </c>
      <c r="O3000" s="12" t="s">
        <v>10966</v>
      </c>
      <c r="P3000" s="12" t="s">
        <v>66</v>
      </c>
      <c r="Q3000" s="12" t="s">
        <v>67</v>
      </c>
      <c r="R3000" s="12" t="s">
        <v>1146</v>
      </c>
      <c r="S3000" s="13">
        <v>197641036168</v>
      </c>
      <c r="T3000" s="12" t="s">
        <v>499</v>
      </c>
      <c r="U3000" s="12" t="s">
        <v>60</v>
      </c>
      <c r="V3000" s="12" t="s">
        <v>70</v>
      </c>
      <c r="W3000" s="12" t="s">
        <v>175</v>
      </c>
      <c r="X3000" s="13">
        <v>0</v>
      </c>
      <c r="Y3000" s="12" t="s">
        <v>91</v>
      </c>
      <c r="Z3000" s="12" t="s">
        <v>108</v>
      </c>
      <c r="AA3000" s="13">
        <v>0</v>
      </c>
      <c r="AB3000" s="13">
        <v>0</v>
      </c>
      <c r="AC3000" s="15">
        <v>17.3</v>
      </c>
      <c r="AD3000" s="15">
        <f>AC3000*AG3000</f>
        <v>17.3</v>
      </c>
      <c r="AE3000" s="15">
        <v>38</v>
      </c>
      <c r="AF3000" s="15">
        <f>AE3000*AG3000</f>
        <v>38</v>
      </c>
      <c r="AG3000" s="16">
        <v>1</v>
      </c>
    </row>
    <row r="3001" spans="1:33" ht="15" customHeight="1" x14ac:dyDescent="0.2">
      <c r="A3001" s="11" t="str">
        <f>HYPERLINK("https://assets.vans.eu/images/VN000HJF1CI-HERO/1","VN000HJF1CI1")</f>
        <v>VN000HJF1CI1</v>
      </c>
      <c r="B3001" s="12" t="s">
        <v>10967</v>
      </c>
      <c r="C3001" s="12" t="s">
        <v>10968</v>
      </c>
      <c r="D3001" s="12" t="s">
        <v>884</v>
      </c>
      <c r="E3001" s="12" t="s">
        <v>10969</v>
      </c>
      <c r="F3001" s="12" t="s">
        <v>138</v>
      </c>
      <c r="G3001" s="14"/>
      <c r="H3001" s="12" t="s">
        <v>61</v>
      </c>
      <c r="I3001" s="12" t="s">
        <v>289</v>
      </c>
      <c r="J3001" s="12" t="s">
        <v>984</v>
      </c>
      <c r="K3001" s="12" t="s">
        <v>100</v>
      </c>
      <c r="L3001" s="14"/>
      <c r="M3001" s="12" t="s">
        <v>43</v>
      </c>
      <c r="N3001" s="12" t="s">
        <v>161</v>
      </c>
      <c r="O3001" s="12" t="s">
        <v>10970</v>
      </c>
      <c r="P3001" s="12" t="s">
        <v>66</v>
      </c>
      <c r="Q3001" s="12" t="s">
        <v>764</v>
      </c>
      <c r="R3001" s="12" t="s">
        <v>986</v>
      </c>
      <c r="S3001" s="13">
        <v>197065457112</v>
      </c>
      <c r="T3001" s="12" t="s">
        <v>49</v>
      </c>
      <c r="U3001" s="12" t="s">
        <v>138</v>
      </c>
      <c r="V3001" s="12" t="s">
        <v>1811</v>
      </c>
      <c r="W3001" s="12" t="s">
        <v>51</v>
      </c>
      <c r="X3001" s="13">
        <v>0</v>
      </c>
      <c r="Y3001" s="12" t="s">
        <v>53</v>
      </c>
      <c r="Z3001" s="12" t="s">
        <v>108</v>
      </c>
      <c r="AA3001" s="13">
        <v>0</v>
      </c>
      <c r="AB3001" s="13">
        <v>0</v>
      </c>
      <c r="AC3001" s="15">
        <v>61.4</v>
      </c>
      <c r="AD3001" s="15">
        <f>AC3001*AG3001</f>
        <v>61.4</v>
      </c>
      <c r="AE3001" s="15">
        <v>135</v>
      </c>
      <c r="AF3001" s="15">
        <f>AE3001*AG3001</f>
        <v>135</v>
      </c>
      <c r="AG3001" s="16">
        <v>1</v>
      </c>
    </row>
    <row r="3002" spans="1:33" ht="15" customHeight="1" x14ac:dyDescent="0.2">
      <c r="A3002" s="11" t="str">
        <f>HYPERLINK("https://assets.vans.eu/images/VN000HJRD3Z-HERO/1","VN000HJRD3Z1")</f>
        <v>VN000HJRD3Z1</v>
      </c>
      <c r="B3002" s="12" t="s">
        <v>10971</v>
      </c>
      <c r="C3002" s="12" t="s">
        <v>10972</v>
      </c>
      <c r="D3002" s="12" t="s">
        <v>4721</v>
      </c>
      <c r="E3002" s="12" t="s">
        <v>10973</v>
      </c>
      <c r="F3002" s="12" t="s">
        <v>170</v>
      </c>
      <c r="G3002" s="14"/>
      <c r="H3002" s="12" t="s">
        <v>61</v>
      </c>
      <c r="I3002" s="12" t="s">
        <v>289</v>
      </c>
      <c r="J3002" s="12" t="s">
        <v>984</v>
      </c>
      <c r="K3002" s="12" t="s">
        <v>100</v>
      </c>
      <c r="L3002" s="14"/>
      <c r="M3002" s="12" t="s">
        <v>43</v>
      </c>
      <c r="N3002" s="12" t="s">
        <v>161</v>
      </c>
      <c r="O3002" s="12" t="s">
        <v>10974</v>
      </c>
      <c r="P3002" s="12" t="s">
        <v>66</v>
      </c>
      <c r="Q3002" s="12" t="s">
        <v>764</v>
      </c>
      <c r="R3002" s="12" t="s">
        <v>986</v>
      </c>
      <c r="S3002" s="13">
        <v>197065457549</v>
      </c>
      <c r="T3002" s="12" t="s">
        <v>235</v>
      </c>
      <c r="U3002" s="12" t="s">
        <v>170</v>
      </c>
      <c r="V3002" s="12" t="s">
        <v>423</v>
      </c>
      <c r="W3002" s="12" t="s">
        <v>118</v>
      </c>
      <c r="X3002" s="13">
        <v>0</v>
      </c>
      <c r="Y3002" s="12" t="s">
        <v>91</v>
      </c>
      <c r="Z3002" s="12" t="s">
        <v>108</v>
      </c>
      <c r="AA3002" s="13">
        <v>0</v>
      </c>
      <c r="AB3002" s="13">
        <v>0</v>
      </c>
      <c r="AC3002" s="15">
        <v>40.950000000000003</v>
      </c>
      <c r="AD3002" s="15">
        <f>AC3002*AG3002</f>
        <v>40.950000000000003</v>
      </c>
      <c r="AE3002" s="15">
        <v>90</v>
      </c>
      <c r="AF3002" s="15">
        <f>AE3002*AG3002</f>
        <v>90</v>
      </c>
      <c r="AG3002" s="16">
        <v>1</v>
      </c>
    </row>
    <row r="3003" spans="1:33" ht="15" customHeight="1" x14ac:dyDescent="0.2">
      <c r="A3003" s="11" t="str">
        <f>HYPERLINK("https://assets.vans.eu/images/VN000HJTBLK-HERO/1","VN000HJTBLK1")</f>
        <v>VN000HJTBLK1</v>
      </c>
      <c r="B3003" s="12" t="s">
        <v>10975</v>
      </c>
      <c r="C3003" s="12" t="s">
        <v>10976</v>
      </c>
      <c r="D3003" s="12" t="s">
        <v>76</v>
      </c>
      <c r="E3003" s="12" t="s">
        <v>10977</v>
      </c>
      <c r="F3003" s="12" t="s">
        <v>153</v>
      </c>
      <c r="G3003" s="14"/>
      <c r="H3003" s="12" t="s">
        <v>61</v>
      </c>
      <c r="I3003" s="12" t="s">
        <v>289</v>
      </c>
      <c r="J3003" s="12" t="s">
        <v>984</v>
      </c>
      <c r="K3003" s="12" t="s">
        <v>100</v>
      </c>
      <c r="L3003" s="14"/>
      <c r="M3003" s="12" t="s">
        <v>43</v>
      </c>
      <c r="N3003" s="12" t="s">
        <v>84</v>
      </c>
      <c r="O3003" s="12" t="s">
        <v>10978</v>
      </c>
      <c r="P3003" s="12" t="s">
        <v>66</v>
      </c>
      <c r="Q3003" s="12" t="s">
        <v>764</v>
      </c>
      <c r="R3003" s="12" t="s">
        <v>986</v>
      </c>
      <c r="S3003" s="13">
        <v>197065457679</v>
      </c>
      <c r="T3003" s="12" t="s">
        <v>235</v>
      </c>
      <c r="U3003" s="12" t="s">
        <v>153</v>
      </c>
      <c r="V3003" s="12" t="s">
        <v>90</v>
      </c>
      <c r="W3003" s="12" t="s">
        <v>51</v>
      </c>
      <c r="X3003" s="13">
        <v>0</v>
      </c>
      <c r="Y3003" s="12" t="s">
        <v>91</v>
      </c>
      <c r="Z3003" s="12" t="s">
        <v>108</v>
      </c>
      <c r="AA3003" s="13">
        <v>0</v>
      </c>
      <c r="AB3003" s="13">
        <v>0</v>
      </c>
      <c r="AC3003" s="15">
        <v>45.5</v>
      </c>
      <c r="AD3003" s="15">
        <f>AC3003*AG3003</f>
        <v>45.5</v>
      </c>
      <c r="AE3003" s="15">
        <v>100</v>
      </c>
      <c r="AF3003" s="15">
        <f>AE3003*AG3003</f>
        <v>100</v>
      </c>
      <c r="AG3003" s="16">
        <v>1</v>
      </c>
    </row>
    <row r="3004" spans="1:33" ht="15" customHeight="1" x14ac:dyDescent="0.2">
      <c r="A3004" s="11" t="str">
        <f>HYPERLINK("https://assets.vans.eu/images/VN000HMNBLK-HERO/1","VN000HMNBLK1")</f>
        <v>VN000HMNBLK1</v>
      </c>
      <c r="B3004" s="12" t="s">
        <v>10979</v>
      </c>
      <c r="C3004" s="12" t="s">
        <v>10980</v>
      </c>
      <c r="D3004" s="12" t="s">
        <v>76</v>
      </c>
      <c r="E3004" s="12" t="s">
        <v>10981</v>
      </c>
      <c r="F3004" s="12" t="s">
        <v>153</v>
      </c>
      <c r="G3004" s="14"/>
      <c r="H3004" s="12" t="s">
        <v>61</v>
      </c>
      <c r="I3004" s="12" t="s">
        <v>230</v>
      </c>
      <c r="J3004" s="12" t="s">
        <v>762</v>
      </c>
      <c r="K3004" s="12" t="s">
        <v>199</v>
      </c>
      <c r="L3004" s="14"/>
      <c r="M3004" s="12" t="s">
        <v>43</v>
      </c>
      <c r="N3004" s="12" t="s">
        <v>161</v>
      </c>
      <c r="O3004" s="12" t="s">
        <v>10982</v>
      </c>
      <c r="P3004" s="12" t="s">
        <v>66</v>
      </c>
      <c r="Q3004" s="12" t="s">
        <v>764</v>
      </c>
      <c r="R3004" s="12" t="s">
        <v>765</v>
      </c>
      <c r="S3004" s="13">
        <v>197065459185</v>
      </c>
      <c r="T3004" s="12" t="s">
        <v>49</v>
      </c>
      <c r="U3004" s="12" t="s">
        <v>153</v>
      </c>
      <c r="V3004" s="12" t="s">
        <v>4101</v>
      </c>
      <c r="W3004" s="12" t="s">
        <v>51</v>
      </c>
      <c r="X3004" s="13">
        <v>0</v>
      </c>
      <c r="Y3004" s="12" t="s">
        <v>53</v>
      </c>
      <c r="Z3004" s="12" t="s">
        <v>108</v>
      </c>
      <c r="AA3004" s="13">
        <v>0</v>
      </c>
      <c r="AB3004" s="13">
        <v>0</v>
      </c>
      <c r="AC3004" s="15">
        <v>63.65</v>
      </c>
      <c r="AD3004" s="15">
        <f>AC3004*AG3004</f>
        <v>63.65</v>
      </c>
      <c r="AE3004" s="15">
        <v>140</v>
      </c>
      <c r="AF3004" s="15">
        <f>AE3004*AG3004</f>
        <v>140</v>
      </c>
      <c r="AG3004" s="16">
        <v>1</v>
      </c>
    </row>
    <row r="3005" spans="1:33" ht="15" customHeight="1" x14ac:dyDescent="0.2">
      <c r="A3005" s="11" t="str">
        <f t="shared" si="850"/>
        <v>VN000HMQJDU1</v>
      </c>
      <c r="B3005" s="12" t="s">
        <v>10983</v>
      </c>
      <c r="C3005" s="12" t="s">
        <v>6317</v>
      </c>
      <c r="D3005" s="12" t="s">
        <v>814</v>
      </c>
      <c r="E3005" s="12" t="s">
        <v>10984</v>
      </c>
      <c r="F3005" s="12" t="s">
        <v>403</v>
      </c>
      <c r="G3005" s="14"/>
      <c r="H3005" s="12" t="s">
        <v>61</v>
      </c>
      <c r="I3005" s="12" t="s">
        <v>230</v>
      </c>
      <c r="J3005" s="12" t="s">
        <v>762</v>
      </c>
      <c r="K3005" s="12" t="s">
        <v>199</v>
      </c>
      <c r="L3005" s="14"/>
      <c r="M3005" s="12" t="s">
        <v>43</v>
      </c>
      <c r="N3005" s="12" t="s">
        <v>44</v>
      </c>
      <c r="O3005" s="12" t="s">
        <v>10985</v>
      </c>
      <c r="P3005" s="12" t="s">
        <v>66</v>
      </c>
      <c r="Q3005" s="12" t="s">
        <v>764</v>
      </c>
      <c r="R3005" s="12" t="s">
        <v>765</v>
      </c>
      <c r="S3005" s="13">
        <v>197643458494</v>
      </c>
      <c r="T3005" s="12" t="s">
        <v>235</v>
      </c>
      <c r="U3005" s="12" t="s">
        <v>403</v>
      </c>
      <c r="V3005" s="12" t="s">
        <v>1811</v>
      </c>
      <c r="W3005" s="12" t="s">
        <v>284</v>
      </c>
      <c r="X3005" s="13">
        <v>0</v>
      </c>
      <c r="Y3005" s="12" t="s">
        <v>91</v>
      </c>
      <c r="Z3005" s="12" t="s">
        <v>108</v>
      </c>
      <c r="AA3005" s="13">
        <v>0</v>
      </c>
      <c r="AB3005" s="13">
        <v>0</v>
      </c>
      <c r="AC3005" s="15">
        <v>59.1</v>
      </c>
      <c r="AD3005" s="15">
        <f>AC3005*AG3005</f>
        <v>59.1</v>
      </c>
      <c r="AE3005" s="15">
        <v>130</v>
      </c>
      <c r="AF3005" s="15">
        <f>AE3005*AG3005</f>
        <v>130</v>
      </c>
      <c r="AG3005" s="16">
        <v>1</v>
      </c>
    </row>
    <row r="3006" spans="1:33" ht="15" customHeight="1" x14ac:dyDescent="0.2">
      <c r="A3006" s="11" t="str">
        <f>HYPERLINK("https://assets.vans.eu/images/VN000HMQJDU-HERO/1","VN000HMQJDU1")</f>
        <v>VN000HMQJDU1</v>
      </c>
      <c r="B3006" s="12" t="s">
        <v>10986</v>
      </c>
      <c r="C3006" s="12" t="s">
        <v>6317</v>
      </c>
      <c r="D3006" s="12" t="s">
        <v>814</v>
      </c>
      <c r="E3006" s="12" t="s">
        <v>10987</v>
      </c>
      <c r="F3006" s="12" t="s">
        <v>621</v>
      </c>
      <c r="G3006" s="14"/>
      <c r="H3006" s="12" t="s">
        <v>61</v>
      </c>
      <c r="I3006" s="12" t="s">
        <v>230</v>
      </c>
      <c r="J3006" s="12" t="s">
        <v>762</v>
      </c>
      <c r="K3006" s="12" t="s">
        <v>199</v>
      </c>
      <c r="L3006" s="14"/>
      <c r="M3006" s="12" t="s">
        <v>43</v>
      </c>
      <c r="N3006" s="12" t="s">
        <v>44</v>
      </c>
      <c r="O3006" s="12" t="s">
        <v>10988</v>
      </c>
      <c r="P3006" s="12" t="s">
        <v>66</v>
      </c>
      <c r="Q3006" s="12" t="s">
        <v>764</v>
      </c>
      <c r="R3006" s="12" t="s">
        <v>765</v>
      </c>
      <c r="S3006" s="13">
        <v>197643458760</v>
      </c>
      <c r="T3006" s="12" t="s">
        <v>235</v>
      </c>
      <c r="U3006" s="12" t="s">
        <v>621</v>
      </c>
      <c r="V3006" s="12" t="s">
        <v>1811</v>
      </c>
      <c r="W3006" s="12" t="s">
        <v>284</v>
      </c>
      <c r="X3006" s="13">
        <v>0</v>
      </c>
      <c r="Y3006" s="12" t="s">
        <v>91</v>
      </c>
      <c r="Z3006" s="12" t="s">
        <v>108</v>
      </c>
      <c r="AA3006" s="13">
        <v>0</v>
      </c>
      <c r="AB3006" s="13">
        <v>0</v>
      </c>
      <c r="AC3006" s="15">
        <v>59.1</v>
      </c>
      <c r="AD3006" s="15">
        <f>AC3006*AG3006</f>
        <v>59.1</v>
      </c>
      <c r="AE3006" s="15">
        <v>130</v>
      </c>
      <c r="AF3006" s="15">
        <f>AE3006*AG3006</f>
        <v>130</v>
      </c>
      <c r="AG3006" s="16">
        <v>1</v>
      </c>
    </row>
    <row r="3007" spans="1:33" ht="15" customHeight="1" x14ac:dyDescent="0.2">
      <c r="A3007" s="11" t="str">
        <f>HYPERLINK("https://assets.vans.eu/images/VN000HMYKCZ-HERO/1","VN000HMYKCZ1")</f>
        <v>VN000HMYKCZ1</v>
      </c>
      <c r="B3007" s="12" t="s">
        <v>10989</v>
      </c>
      <c r="C3007" s="12" t="s">
        <v>10990</v>
      </c>
      <c r="D3007" s="12" t="s">
        <v>1109</v>
      </c>
      <c r="E3007" s="12" t="s">
        <v>10991</v>
      </c>
      <c r="F3007" s="13">
        <v>34</v>
      </c>
      <c r="G3007" s="14"/>
      <c r="H3007" s="12" t="s">
        <v>61</v>
      </c>
      <c r="I3007" s="12" t="s">
        <v>230</v>
      </c>
      <c r="J3007" s="12" t="s">
        <v>231</v>
      </c>
      <c r="K3007" s="12" t="s">
        <v>199</v>
      </c>
      <c r="L3007" s="14"/>
      <c r="M3007" s="12" t="s">
        <v>43</v>
      </c>
      <c r="N3007" s="12" t="s">
        <v>161</v>
      </c>
      <c r="O3007" s="12" t="s">
        <v>10992</v>
      </c>
      <c r="P3007" s="12" t="s">
        <v>66</v>
      </c>
      <c r="Q3007" s="12" t="s">
        <v>233</v>
      </c>
      <c r="R3007" s="12" t="s">
        <v>361</v>
      </c>
      <c r="S3007" s="13">
        <v>197065821180</v>
      </c>
      <c r="T3007" s="12" t="s">
        <v>235</v>
      </c>
      <c r="U3007" s="13">
        <v>34</v>
      </c>
      <c r="V3007" s="12" t="s">
        <v>665</v>
      </c>
      <c r="W3007" s="12" t="s">
        <v>118</v>
      </c>
      <c r="X3007" s="13">
        <v>0</v>
      </c>
      <c r="Y3007" s="12" t="s">
        <v>1011</v>
      </c>
      <c r="Z3007" s="12" t="s">
        <v>6135</v>
      </c>
      <c r="AA3007" s="13">
        <v>0</v>
      </c>
      <c r="AB3007" s="13">
        <v>0</v>
      </c>
      <c r="AC3007" s="15">
        <v>68.2</v>
      </c>
      <c r="AD3007" s="15">
        <f>AC3007*AG3007</f>
        <v>68.2</v>
      </c>
      <c r="AE3007" s="15">
        <v>150</v>
      </c>
      <c r="AF3007" s="15">
        <f>AE3007*AG3007</f>
        <v>150</v>
      </c>
      <c r="AG3007" s="16">
        <v>1</v>
      </c>
    </row>
    <row r="3008" spans="1:33" ht="15" customHeight="1" x14ac:dyDescent="0.2">
      <c r="A3008" s="11" t="str">
        <f t="shared" si="851"/>
        <v>VN000HN197I1</v>
      </c>
      <c r="B3008" s="12" t="s">
        <v>10993</v>
      </c>
      <c r="C3008" s="12" t="s">
        <v>7824</v>
      </c>
      <c r="D3008" s="12" t="s">
        <v>1990</v>
      </c>
      <c r="E3008" s="12" t="s">
        <v>10994</v>
      </c>
      <c r="F3008" s="12" t="s">
        <v>170</v>
      </c>
      <c r="G3008" s="14"/>
      <c r="H3008" s="12" t="s">
        <v>61</v>
      </c>
      <c r="I3008" s="12" t="s">
        <v>230</v>
      </c>
      <c r="J3008" s="12" t="s">
        <v>419</v>
      </c>
      <c r="K3008" s="12" t="s">
        <v>199</v>
      </c>
      <c r="L3008" s="14"/>
      <c r="M3008" s="12" t="s">
        <v>43</v>
      </c>
      <c r="N3008" s="12" t="s">
        <v>161</v>
      </c>
      <c r="O3008" s="12" t="s">
        <v>10995</v>
      </c>
      <c r="P3008" s="12" t="s">
        <v>66</v>
      </c>
      <c r="Q3008" s="12" t="s">
        <v>67</v>
      </c>
      <c r="R3008" s="12" t="s">
        <v>623</v>
      </c>
      <c r="S3008" s="13">
        <v>197065820503</v>
      </c>
      <c r="T3008" s="12" t="s">
        <v>49</v>
      </c>
      <c r="U3008" s="12" t="s">
        <v>170</v>
      </c>
      <c r="V3008" s="12" t="s">
        <v>90</v>
      </c>
      <c r="W3008" s="12" t="s">
        <v>51</v>
      </c>
      <c r="X3008" s="13">
        <v>0</v>
      </c>
      <c r="Y3008" s="12" t="s">
        <v>1011</v>
      </c>
      <c r="Z3008" s="12" t="s">
        <v>6135</v>
      </c>
      <c r="AA3008" s="13">
        <v>0</v>
      </c>
      <c r="AB3008" s="13">
        <v>0</v>
      </c>
      <c r="AC3008" s="15">
        <v>50</v>
      </c>
      <c r="AD3008" s="15">
        <f>AC3008*AG3008</f>
        <v>50</v>
      </c>
      <c r="AE3008" s="15">
        <v>110</v>
      </c>
      <c r="AF3008" s="15">
        <f>AE3008*AG3008</f>
        <v>110</v>
      </c>
      <c r="AG3008" s="16">
        <v>1</v>
      </c>
    </row>
    <row r="3009" spans="1:33" ht="15" customHeight="1" x14ac:dyDescent="0.2">
      <c r="A3009" s="11" t="str">
        <f>HYPERLINK("https://assets.vans.eu/images/VN000HN7D4C-HERO/1","VN000HN7D4C1")</f>
        <v>VN000HN7D4C1</v>
      </c>
      <c r="B3009" s="12" t="s">
        <v>10996</v>
      </c>
      <c r="C3009" s="12" t="s">
        <v>10997</v>
      </c>
      <c r="D3009" s="12" t="s">
        <v>1454</v>
      </c>
      <c r="E3009" s="12" t="s">
        <v>10998</v>
      </c>
      <c r="F3009" s="12" t="s">
        <v>153</v>
      </c>
      <c r="G3009" s="14"/>
      <c r="H3009" s="12" t="s">
        <v>61</v>
      </c>
      <c r="I3009" s="12" t="s">
        <v>230</v>
      </c>
      <c r="J3009" s="12" t="s">
        <v>762</v>
      </c>
      <c r="K3009" s="12" t="s">
        <v>199</v>
      </c>
      <c r="L3009" s="14"/>
      <c r="M3009" s="12" t="s">
        <v>43</v>
      </c>
      <c r="N3009" s="12" t="s">
        <v>161</v>
      </c>
      <c r="O3009" s="12" t="s">
        <v>10999</v>
      </c>
      <c r="P3009" s="12" t="s">
        <v>66</v>
      </c>
      <c r="Q3009" s="12" t="s">
        <v>764</v>
      </c>
      <c r="R3009" s="12" t="s">
        <v>765</v>
      </c>
      <c r="S3009" s="13">
        <v>197065503598</v>
      </c>
      <c r="T3009" s="12" t="s">
        <v>49</v>
      </c>
      <c r="U3009" s="12" t="s">
        <v>153</v>
      </c>
      <c r="V3009" s="12" t="s">
        <v>90</v>
      </c>
      <c r="W3009" s="12" t="s">
        <v>186</v>
      </c>
      <c r="X3009" s="13">
        <v>0</v>
      </c>
      <c r="Y3009" s="12" t="s">
        <v>91</v>
      </c>
      <c r="Z3009" s="12" t="s">
        <v>108</v>
      </c>
      <c r="AA3009" s="13">
        <v>0</v>
      </c>
      <c r="AB3009" s="13">
        <v>0</v>
      </c>
      <c r="AC3009" s="15">
        <v>56.85</v>
      </c>
      <c r="AD3009" s="15">
        <f>AC3009*AG3009</f>
        <v>56.85</v>
      </c>
      <c r="AE3009" s="15">
        <v>125</v>
      </c>
      <c r="AF3009" s="15">
        <f>AE3009*AG3009</f>
        <v>125</v>
      </c>
      <c r="AG3009" s="16">
        <v>1</v>
      </c>
    </row>
    <row r="3010" spans="1:33" ht="15" customHeight="1" x14ac:dyDescent="0.2">
      <c r="A3010" s="11" t="str">
        <f t="shared" si="852"/>
        <v>VN000HN9DRJ1</v>
      </c>
      <c r="B3010" s="12" t="s">
        <v>11000</v>
      </c>
      <c r="C3010" s="12" t="s">
        <v>7828</v>
      </c>
      <c r="D3010" s="12" t="s">
        <v>7829</v>
      </c>
      <c r="E3010" s="12" t="s">
        <v>11001</v>
      </c>
      <c r="F3010" s="12" t="s">
        <v>170</v>
      </c>
      <c r="G3010" s="14"/>
      <c r="H3010" s="12" t="s">
        <v>61</v>
      </c>
      <c r="I3010" s="12" t="s">
        <v>230</v>
      </c>
      <c r="J3010" s="12" t="s">
        <v>762</v>
      </c>
      <c r="K3010" s="12" t="s">
        <v>199</v>
      </c>
      <c r="L3010" s="14"/>
      <c r="M3010" s="12" t="s">
        <v>43</v>
      </c>
      <c r="N3010" s="12" t="s">
        <v>161</v>
      </c>
      <c r="O3010" s="12" t="s">
        <v>11002</v>
      </c>
      <c r="P3010" s="12" t="s">
        <v>66</v>
      </c>
      <c r="Q3010" s="12" t="s">
        <v>764</v>
      </c>
      <c r="R3010" s="12" t="s">
        <v>765</v>
      </c>
      <c r="S3010" s="13">
        <v>197065459697</v>
      </c>
      <c r="T3010" s="12" t="s">
        <v>235</v>
      </c>
      <c r="U3010" s="12" t="s">
        <v>170</v>
      </c>
      <c r="V3010" s="12" t="s">
        <v>1811</v>
      </c>
      <c r="W3010" s="12" t="s">
        <v>51</v>
      </c>
      <c r="X3010" s="13">
        <v>0</v>
      </c>
      <c r="Y3010" s="12" t="s">
        <v>91</v>
      </c>
      <c r="Z3010" s="12" t="s">
        <v>108</v>
      </c>
      <c r="AA3010" s="13">
        <v>0</v>
      </c>
      <c r="AB3010" s="13">
        <v>0</v>
      </c>
      <c r="AC3010" s="15">
        <v>100</v>
      </c>
      <c r="AD3010" s="15">
        <f>AC3010*AG3010</f>
        <v>100</v>
      </c>
      <c r="AE3010" s="15">
        <v>220</v>
      </c>
      <c r="AF3010" s="15">
        <f>AE3010*AG3010</f>
        <v>220</v>
      </c>
      <c r="AG3010" s="16">
        <v>1</v>
      </c>
    </row>
    <row r="3011" spans="1:33" ht="15" customHeight="1" x14ac:dyDescent="0.2">
      <c r="A3011" s="11" t="str">
        <f>HYPERLINK("https://assets.vans.eu/images/VN000HNEBLK-HERO/1","VN000HNEBLK1")</f>
        <v>VN000HNEBLK1</v>
      </c>
      <c r="B3011" s="12" t="s">
        <v>11003</v>
      </c>
      <c r="C3011" s="12" t="s">
        <v>6321</v>
      </c>
      <c r="D3011" s="12" t="s">
        <v>76</v>
      </c>
      <c r="E3011" s="12" t="s">
        <v>11004</v>
      </c>
      <c r="F3011" s="12" t="s">
        <v>153</v>
      </c>
      <c r="G3011" s="14"/>
      <c r="H3011" s="12" t="s">
        <v>61</v>
      </c>
      <c r="I3011" s="12" t="s">
        <v>230</v>
      </c>
      <c r="J3011" s="12" t="s">
        <v>762</v>
      </c>
      <c r="K3011" s="12" t="s">
        <v>199</v>
      </c>
      <c r="L3011" s="14"/>
      <c r="M3011" s="12" t="s">
        <v>43</v>
      </c>
      <c r="N3011" s="12" t="s">
        <v>161</v>
      </c>
      <c r="O3011" s="12" t="s">
        <v>11005</v>
      </c>
      <c r="P3011" s="12" t="s">
        <v>66</v>
      </c>
      <c r="Q3011" s="12" t="s">
        <v>764</v>
      </c>
      <c r="R3011" s="12" t="s">
        <v>765</v>
      </c>
      <c r="S3011" s="13">
        <v>197065460532</v>
      </c>
      <c r="T3011" s="12" t="s">
        <v>49</v>
      </c>
      <c r="U3011" s="12" t="s">
        <v>153</v>
      </c>
      <c r="V3011" s="12" t="s">
        <v>1811</v>
      </c>
      <c r="W3011" s="12" t="s">
        <v>51</v>
      </c>
      <c r="X3011" s="13">
        <v>0</v>
      </c>
      <c r="Y3011" s="12" t="s">
        <v>53</v>
      </c>
      <c r="Z3011" s="12" t="s">
        <v>108</v>
      </c>
      <c r="AA3011" s="13">
        <v>0</v>
      </c>
      <c r="AB3011" s="13">
        <v>0</v>
      </c>
      <c r="AC3011" s="15">
        <v>86.4</v>
      </c>
      <c r="AD3011" s="15">
        <f>AC3011*AG3011</f>
        <v>86.4</v>
      </c>
      <c r="AE3011" s="15">
        <v>190</v>
      </c>
      <c r="AF3011" s="15">
        <f>AE3011*AG3011</f>
        <v>190</v>
      </c>
      <c r="AG3011" s="16">
        <v>1</v>
      </c>
    </row>
    <row r="3012" spans="1:33" ht="15" customHeight="1" x14ac:dyDescent="0.2">
      <c r="A3012" s="11" t="str">
        <f t="shared" si="853"/>
        <v>VN000HNFD401</v>
      </c>
      <c r="B3012" s="12" t="s">
        <v>11006</v>
      </c>
      <c r="C3012" s="12" t="s">
        <v>7833</v>
      </c>
      <c r="D3012" s="12" t="s">
        <v>7834</v>
      </c>
      <c r="E3012" s="12" t="s">
        <v>11007</v>
      </c>
      <c r="F3012" s="12" t="s">
        <v>170</v>
      </c>
      <c r="G3012" s="14"/>
      <c r="H3012" s="12" t="s">
        <v>61</v>
      </c>
      <c r="I3012" s="12" t="s">
        <v>230</v>
      </c>
      <c r="J3012" s="12" t="s">
        <v>762</v>
      </c>
      <c r="K3012" s="12" t="s">
        <v>199</v>
      </c>
      <c r="L3012" s="14"/>
      <c r="M3012" s="12" t="s">
        <v>43</v>
      </c>
      <c r="N3012" s="12" t="s">
        <v>161</v>
      </c>
      <c r="O3012" s="12" t="s">
        <v>11008</v>
      </c>
      <c r="P3012" s="12" t="s">
        <v>66</v>
      </c>
      <c r="Q3012" s="12" t="s">
        <v>764</v>
      </c>
      <c r="R3012" s="12" t="s">
        <v>765</v>
      </c>
      <c r="S3012" s="13">
        <v>197065460099</v>
      </c>
      <c r="T3012" s="12" t="s">
        <v>235</v>
      </c>
      <c r="U3012" s="12" t="s">
        <v>170</v>
      </c>
      <c r="V3012" s="12" t="s">
        <v>7837</v>
      </c>
      <c r="W3012" s="12" t="s">
        <v>933</v>
      </c>
      <c r="X3012" s="13">
        <v>0</v>
      </c>
      <c r="Y3012" s="12" t="s">
        <v>91</v>
      </c>
      <c r="Z3012" s="12" t="s">
        <v>108</v>
      </c>
      <c r="AA3012" s="13">
        <v>0</v>
      </c>
      <c r="AB3012" s="13">
        <v>0</v>
      </c>
      <c r="AC3012" s="15">
        <v>109.1</v>
      </c>
      <c r="AD3012" s="15">
        <f>AC3012*AG3012</f>
        <v>109.1</v>
      </c>
      <c r="AE3012" s="15">
        <v>240</v>
      </c>
      <c r="AF3012" s="15">
        <f>AE3012*AG3012</f>
        <v>240</v>
      </c>
      <c r="AG3012" s="16">
        <v>1</v>
      </c>
    </row>
    <row r="3013" spans="1:33" ht="15" customHeight="1" x14ac:dyDescent="0.2">
      <c r="A3013" s="11" t="str">
        <f t="shared" ref="A3013:A3014" si="1153">HYPERLINK("https://assets.vans.eu/images/VN000HNHDAM-HERO/1","VN000HNHDAM1")</f>
        <v>VN000HNHDAM1</v>
      </c>
      <c r="B3013" s="12" t="s">
        <v>11009</v>
      </c>
      <c r="C3013" s="12" t="s">
        <v>11010</v>
      </c>
      <c r="D3013" s="12" t="s">
        <v>11011</v>
      </c>
      <c r="E3013" s="12" t="s">
        <v>11012</v>
      </c>
      <c r="F3013" s="12" t="s">
        <v>170</v>
      </c>
      <c r="G3013" s="14"/>
      <c r="H3013" s="12" t="s">
        <v>61</v>
      </c>
      <c r="I3013" s="12" t="s">
        <v>230</v>
      </c>
      <c r="J3013" s="12" t="s">
        <v>419</v>
      </c>
      <c r="K3013" s="12" t="s">
        <v>199</v>
      </c>
      <c r="L3013" s="14"/>
      <c r="M3013" s="12" t="s">
        <v>43</v>
      </c>
      <c r="N3013" s="12" t="s">
        <v>84</v>
      </c>
      <c r="O3013" s="12" t="s">
        <v>11013</v>
      </c>
      <c r="P3013" s="12" t="s">
        <v>66</v>
      </c>
      <c r="Q3013" s="12" t="s">
        <v>67</v>
      </c>
      <c r="R3013" s="12" t="s">
        <v>1500</v>
      </c>
      <c r="S3013" s="13">
        <v>197065503321</v>
      </c>
      <c r="T3013" s="12" t="s">
        <v>235</v>
      </c>
      <c r="U3013" s="12" t="s">
        <v>170</v>
      </c>
      <c r="V3013" s="12" t="s">
        <v>665</v>
      </c>
      <c r="W3013" s="12" t="s">
        <v>118</v>
      </c>
      <c r="X3013" s="13">
        <v>0</v>
      </c>
      <c r="Y3013" s="12" t="s">
        <v>91</v>
      </c>
      <c r="Z3013" s="12" t="s">
        <v>108</v>
      </c>
      <c r="AA3013" s="13">
        <v>0</v>
      </c>
      <c r="AB3013" s="13">
        <v>0</v>
      </c>
      <c r="AC3013" s="15">
        <v>30.95</v>
      </c>
      <c r="AD3013" s="15">
        <f>AC3013*AG3013</f>
        <v>30.95</v>
      </c>
      <c r="AE3013" s="15">
        <v>68</v>
      </c>
      <c r="AF3013" s="15">
        <f>AE3013*AG3013</f>
        <v>68</v>
      </c>
      <c r="AG3013" s="16">
        <v>1</v>
      </c>
    </row>
    <row r="3014" spans="1:33" ht="15" customHeight="1" x14ac:dyDescent="0.2">
      <c r="A3014" s="11" t="str">
        <f t="shared" si="1153"/>
        <v>VN000HNHDAM1</v>
      </c>
      <c r="B3014" s="12" t="s">
        <v>11014</v>
      </c>
      <c r="C3014" s="12" t="s">
        <v>11010</v>
      </c>
      <c r="D3014" s="12" t="s">
        <v>11011</v>
      </c>
      <c r="E3014" s="12" t="s">
        <v>11015</v>
      </c>
      <c r="F3014" s="12" t="s">
        <v>403</v>
      </c>
      <c r="G3014" s="14"/>
      <c r="H3014" s="12" t="s">
        <v>61</v>
      </c>
      <c r="I3014" s="12" t="s">
        <v>230</v>
      </c>
      <c r="J3014" s="12" t="s">
        <v>419</v>
      </c>
      <c r="K3014" s="12" t="s">
        <v>199</v>
      </c>
      <c r="L3014" s="14"/>
      <c r="M3014" s="12" t="s">
        <v>43</v>
      </c>
      <c r="N3014" s="12" t="s">
        <v>84</v>
      </c>
      <c r="O3014" s="12" t="s">
        <v>11016</v>
      </c>
      <c r="P3014" s="12" t="s">
        <v>66</v>
      </c>
      <c r="Q3014" s="12" t="s">
        <v>67</v>
      </c>
      <c r="R3014" s="12" t="s">
        <v>1500</v>
      </c>
      <c r="S3014" s="13">
        <v>197065503505</v>
      </c>
      <c r="T3014" s="12" t="s">
        <v>235</v>
      </c>
      <c r="U3014" s="12" t="s">
        <v>403</v>
      </c>
      <c r="V3014" s="12" t="s">
        <v>665</v>
      </c>
      <c r="W3014" s="12" t="s">
        <v>118</v>
      </c>
      <c r="X3014" s="13">
        <v>0</v>
      </c>
      <c r="Y3014" s="12" t="s">
        <v>91</v>
      </c>
      <c r="Z3014" s="12" t="s">
        <v>108</v>
      </c>
      <c r="AA3014" s="13">
        <v>0</v>
      </c>
      <c r="AB3014" s="13">
        <v>0</v>
      </c>
      <c r="AC3014" s="15">
        <v>30.95</v>
      </c>
      <c r="AD3014" s="15">
        <f>AC3014*AG3014</f>
        <v>30.95</v>
      </c>
      <c r="AE3014" s="15">
        <v>68</v>
      </c>
      <c r="AF3014" s="15">
        <f>AE3014*AG3014</f>
        <v>68</v>
      </c>
      <c r="AG3014" s="16">
        <v>1</v>
      </c>
    </row>
    <row r="3015" spans="1:33" ht="15" customHeight="1" x14ac:dyDescent="0.2">
      <c r="A3015" s="11" t="str">
        <f>HYPERLINK("https://assets.vans.eu/images/VN000HNJDBA-HERO/1","VN000HNJDBA1")</f>
        <v>VN000HNJDBA1</v>
      </c>
      <c r="B3015" s="12" t="s">
        <v>11017</v>
      </c>
      <c r="C3015" s="12" t="s">
        <v>11018</v>
      </c>
      <c r="D3015" s="12" t="s">
        <v>11019</v>
      </c>
      <c r="E3015" s="12" t="s">
        <v>11020</v>
      </c>
      <c r="F3015" s="12" t="s">
        <v>403</v>
      </c>
      <c r="G3015" s="14"/>
      <c r="H3015" s="12" t="s">
        <v>61</v>
      </c>
      <c r="I3015" s="12" t="s">
        <v>230</v>
      </c>
      <c r="J3015" s="12" t="s">
        <v>419</v>
      </c>
      <c r="K3015" s="12" t="s">
        <v>199</v>
      </c>
      <c r="L3015" s="14"/>
      <c r="M3015" s="12" t="s">
        <v>43</v>
      </c>
      <c r="N3015" s="12" t="s">
        <v>84</v>
      </c>
      <c r="O3015" s="12" t="s">
        <v>11021</v>
      </c>
      <c r="P3015" s="12" t="s">
        <v>66</v>
      </c>
      <c r="Q3015" s="12" t="s">
        <v>67</v>
      </c>
      <c r="R3015" s="12" t="s">
        <v>1500</v>
      </c>
      <c r="S3015" s="13">
        <v>197065460297</v>
      </c>
      <c r="T3015" s="12" t="s">
        <v>235</v>
      </c>
      <c r="U3015" s="12" t="s">
        <v>403</v>
      </c>
      <c r="V3015" s="12" t="s">
        <v>11022</v>
      </c>
      <c r="W3015" s="12" t="s">
        <v>175</v>
      </c>
      <c r="X3015" s="13">
        <v>0</v>
      </c>
      <c r="Y3015" s="12" t="s">
        <v>91</v>
      </c>
      <c r="Z3015" s="12" t="s">
        <v>108</v>
      </c>
      <c r="AA3015" s="13">
        <v>0</v>
      </c>
      <c r="AB3015" s="13">
        <v>0</v>
      </c>
      <c r="AC3015" s="15">
        <v>27.3</v>
      </c>
      <c r="AD3015" s="15">
        <f>AC3015*AG3015</f>
        <v>27.3</v>
      </c>
      <c r="AE3015" s="15">
        <v>60</v>
      </c>
      <c r="AF3015" s="15">
        <f>AE3015*AG3015</f>
        <v>60</v>
      </c>
      <c r="AG3015" s="16">
        <v>1</v>
      </c>
    </row>
    <row r="3016" spans="1:33" ht="15" customHeight="1" x14ac:dyDescent="0.2">
      <c r="A3016" s="11" t="str">
        <f t="shared" si="552"/>
        <v>VN000HNTDAD1</v>
      </c>
      <c r="B3016" s="12" t="s">
        <v>11023</v>
      </c>
      <c r="C3016" s="12" t="s">
        <v>5222</v>
      </c>
      <c r="D3016" s="12" t="s">
        <v>5223</v>
      </c>
      <c r="E3016" s="12" t="s">
        <v>11024</v>
      </c>
      <c r="F3016" s="12" t="s">
        <v>621</v>
      </c>
      <c r="G3016" s="14"/>
      <c r="H3016" s="12" t="s">
        <v>61</v>
      </c>
      <c r="I3016" s="12" t="s">
        <v>230</v>
      </c>
      <c r="J3016" s="12" t="s">
        <v>419</v>
      </c>
      <c r="K3016" s="12" t="s">
        <v>199</v>
      </c>
      <c r="L3016" s="14"/>
      <c r="M3016" s="12" t="s">
        <v>43</v>
      </c>
      <c r="N3016" s="12" t="s">
        <v>84</v>
      </c>
      <c r="O3016" s="12" t="s">
        <v>11025</v>
      </c>
      <c r="P3016" s="12" t="s">
        <v>66</v>
      </c>
      <c r="Q3016" s="12" t="s">
        <v>67</v>
      </c>
      <c r="R3016" s="12" t="s">
        <v>1500</v>
      </c>
      <c r="S3016" s="13">
        <v>197065504083</v>
      </c>
      <c r="T3016" s="12" t="s">
        <v>235</v>
      </c>
      <c r="U3016" s="12" t="s">
        <v>621</v>
      </c>
      <c r="V3016" s="12" t="s">
        <v>665</v>
      </c>
      <c r="W3016" s="12" t="s">
        <v>51</v>
      </c>
      <c r="X3016" s="13">
        <v>0</v>
      </c>
      <c r="Y3016" s="12" t="s">
        <v>91</v>
      </c>
      <c r="Z3016" s="12" t="s">
        <v>108</v>
      </c>
      <c r="AA3016" s="13">
        <v>0</v>
      </c>
      <c r="AB3016" s="13">
        <v>0</v>
      </c>
      <c r="AC3016" s="15">
        <v>34.1</v>
      </c>
      <c r="AD3016" s="15">
        <f>AC3016*AG3016</f>
        <v>34.1</v>
      </c>
      <c r="AE3016" s="15">
        <v>75</v>
      </c>
      <c r="AF3016" s="15">
        <f>AE3016*AG3016</f>
        <v>75</v>
      </c>
      <c r="AG3016" s="16">
        <v>1</v>
      </c>
    </row>
    <row r="3017" spans="1:33" ht="15" customHeight="1" x14ac:dyDescent="0.2">
      <c r="A3017" s="11" t="str">
        <f>HYPERLINK("https://assets.vans.eu/images/VN000HNX4MG-HERO/1","VN000HNX4MG1")</f>
        <v>VN000HNX4MG1</v>
      </c>
      <c r="B3017" s="12" t="s">
        <v>11026</v>
      </c>
      <c r="C3017" s="12" t="s">
        <v>11027</v>
      </c>
      <c r="D3017" s="12" t="s">
        <v>7051</v>
      </c>
      <c r="E3017" s="12" t="s">
        <v>11028</v>
      </c>
      <c r="F3017" s="12" t="s">
        <v>170</v>
      </c>
      <c r="G3017" s="14"/>
      <c r="H3017" s="12" t="s">
        <v>61</v>
      </c>
      <c r="I3017" s="12" t="s">
        <v>230</v>
      </c>
      <c r="J3017" s="12" t="s">
        <v>419</v>
      </c>
      <c r="K3017" s="12" t="s">
        <v>199</v>
      </c>
      <c r="L3017" s="12" t="s">
        <v>83</v>
      </c>
      <c r="M3017" s="12" t="s">
        <v>43</v>
      </c>
      <c r="N3017" s="12" t="s">
        <v>161</v>
      </c>
      <c r="O3017" s="12" t="s">
        <v>11029</v>
      </c>
      <c r="P3017" s="12" t="s">
        <v>66</v>
      </c>
      <c r="Q3017" s="12" t="s">
        <v>67</v>
      </c>
      <c r="R3017" s="12" t="s">
        <v>623</v>
      </c>
      <c r="S3017" s="13">
        <v>197065812065</v>
      </c>
      <c r="T3017" s="12" t="s">
        <v>499</v>
      </c>
      <c r="U3017" s="12" t="s">
        <v>170</v>
      </c>
      <c r="V3017" s="12" t="s">
        <v>70</v>
      </c>
      <c r="W3017" s="12" t="s">
        <v>51</v>
      </c>
      <c r="X3017" s="13">
        <v>0</v>
      </c>
      <c r="Y3017" s="12" t="s">
        <v>91</v>
      </c>
      <c r="Z3017" s="12" t="s">
        <v>108</v>
      </c>
      <c r="AA3017" s="13">
        <v>0</v>
      </c>
      <c r="AB3017" s="12" t="s">
        <v>616</v>
      </c>
      <c r="AC3017" s="15">
        <v>34.1</v>
      </c>
      <c r="AD3017" s="15">
        <f>AC3017*AG3017</f>
        <v>34.1</v>
      </c>
      <c r="AE3017" s="15">
        <v>75</v>
      </c>
      <c r="AF3017" s="15">
        <f>AE3017*AG3017</f>
        <v>75</v>
      </c>
      <c r="AG3017" s="16">
        <v>1</v>
      </c>
    </row>
    <row r="3018" spans="1:33" ht="15" customHeight="1" x14ac:dyDescent="0.2">
      <c r="A3018" s="11" t="str">
        <f>HYPERLINK("https://assets.vans.eu/images/VN000HNZBLK-HERO/1","VN000HNZBLK1")</f>
        <v>VN000HNZBLK1</v>
      </c>
      <c r="B3018" s="12" t="s">
        <v>11030</v>
      </c>
      <c r="C3018" s="12" t="s">
        <v>11031</v>
      </c>
      <c r="D3018" s="12" t="s">
        <v>76</v>
      </c>
      <c r="E3018" s="12" t="s">
        <v>11032</v>
      </c>
      <c r="F3018" s="12" t="s">
        <v>170</v>
      </c>
      <c r="G3018" s="14"/>
      <c r="H3018" s="12" t="s">
        <v>61</v>
      </c>
      <c r="I3018" s="12" t="s">
        <v>230</v>
      </c>
      <c r="J3018" s="12" t="s">
        <v>419</v>
      </c>
      <c r="K3018" s="12" t="s">
        <v>199</v>
      </c>
      <c r="L3018" s="14"/>
      <c r="M3018" s="12" t="s">
        <v>43</v>
      </c>
      <c r="N3018" s="12" t="s">
        <v>44</v>
      </c>
      <c r="O3018" s="12" t="s">
        <v>11033</v>
      </c>
      <c r="P3018" s="12" t="s">
        <v>66</v>
      </c>
      <c r="Q3018" s="12" t="s">
        <v>67</v>
      </c>
      <c r="R3018" s="12" t="s">
        <v>623</v>
      </c>
      <c r="S3018" s="13">
        <v>197065273866</v>
      </c>
      <c r="T3018" s="12" t="s">
        <v>499</v>
      </c>
      <c r="U3018" s="12" t="s">
        <v>170</v>
      </c>
      <c r="V3018" s="12" t="s">
        <v>70</v>
      </c>
      <c r="W3018" s="12" t="s">
        <v>51</v>
      </c>
      <c r="X3018" s="13">
        <v>0</v>
      </c>
      <c r="Y3018" s="12" t="s">
        <v>91</v>
      </c>
      <c r="Z3018" s="12" t="s">
        <v>108</v>
      </c>
      <c r="AA3018" s="13">
        <v>0</v>
      </c>
      <c r="AB3018" s="13">
        <v>0</v>
      </c>
      <c r="AC3018" s="15">
        <v>34.1</v>
      </c>
      <c r="AD3018" s="15">
        <f>AC3018*AG3018</f>
        <v>34.1</v>
      </c>
      <c r="AE3018" s="15">
        <v>75</v>
      </c>
      <c r="AF3018" s="15">
        <f>AE3018*AG3018</f>
        <v>75</v>
      </c>
      <c r="AG3018" s="16">
        <v>1</v>
      </c>
    </row>
    <row r="3019" spans="1:33" ht="15" customHeight="1" x14ac:dyDescent="0.2">
      <c r="A3019" s="11" t="str">
        <f>HYPERLINK("https://assets.vans.eu/images/VN000HP602F-HERO/1","VN000HP602F1")</f>
        <v>VN000HP602F1</v>
      </c>
      <c r="B3019" s="12" t="s">
        <v>11034</v>
      </c>
      <c r="C3019" s="12" t="s">
        <v>11035</v>
      </c>
      <c r="D3019" s="12" t="s">
        <v>857</v>
      </c>
      <c r="E3019" s="12" t="s">
        <v>11036</v>
      </c>
      <c r="F3019" s="12" t="s">
        <v>179</v>
      </c>
      <c r="G3019" s="14"/>
      <c r="H3019" s="12" t="s">
        <v>61</v>
      </c>
      <c r="I3019" s="12" t="s">
        <v>230</v>
      </c>
      <c r="J3019" s="12" t="s">
        <v>419</v>
      </c>
      <c r="K3019" s="12" t="s">
        <v>199</v>
      </c>
      <c r="L3019" s="14"/>
      <c r="M3019" s="12" t="s">
        <v>43</v>
      </c>
      <c r="N3019" s="12" t="s">
        <v>161</v>
      </c>
      <c r="O3019" s="12" t="s">
        <v>11037</v>
      </c>
      <c r="P3019" s="12" t="s">
        <v>66</v>
      </c>
      <c r="Q3019" s="12" t="s">
        <v>67</v>
      </c>
      <c r="R3019" s="12" t="s">
        <v>623</v>
      </c>
      <c r="S3019" s="13">
        <v>197065486860</v>
      </c>
      <c r="T3019" s="12" t="s">
        <v>499</v>
      </c>
      <c r="U3019" s="12" t="s">
        <v>179</v>
      </c>
      <c r="V3019" s="12" t="s">
        <v>1378</v>
      </c>
      <c r="W3019" s="12" t="s">
        <v>455</v>
      </c>
      <c r="X3019" s="13">
        <v>0</v>
      </c>
      <c r="Y3019" s="12" t="s">
        <v>91</v>
      </c>
      <c r="Z3019" s="12" t="s">
        <v>108</v>
      </c>
      <c r="AA3019" s="13">
        <v>0</v>
      </c>
      <c r="AB3019" s="13">
        <v>0</v>
      </c>
      <c r="AC3019" s="15">
        <v>38.65</v>
      </c>
      <c r="AD3019" s="15">
        <f>AC3019*AG3019</f>
        <v>38.65</v>
      </c>
      <c r="AE3019" s="15">
        <v>85</v>
      </c>
      <c r="AF3019" s="15">
        <f>AE3019*AG3019</f>
        <v>85</v>
      </c>
      <c r="AG3019" s="16">
        <v>1</v>
      </c>
    </row>
    <row r="3020" spans="1:33" ht="15" customHeight="1" x14ac:dyDescent="0.2">
      <c r="A3020" s="11" t="str">
        <f>HYPERLINK("https://assets.vans.eu/images/VN000HPABLK-HERO/1","VN000HPABLK1")</f>
        <v>VN000HPABLK1</v>
      </c>
      <c r="B3020" s="12" t="s">
        <v>11038</v>
      </c>
      <c r="C3020" s="12" t="s">
        <v>11039</v>
      </c>
      <c r="D3020" s="12" t="s">
        <v>76</v>
      </c>
      <c r="E3020" s="12" t="s">
        <v>11040</v>
      </c>
      <c r="F3020" s="12" t="s">
        <v>403</v>
      </c>
      <c r="G3020" s="14"/>
      <c r="H3020" s="12" t="s">
        <v>61</v>
      </c>
      <c r="I3020" s="12" t="s">
        <v>230</v>
      </c>
      <c r="J3020" s="12" t="s">
        <v>419</v>
      </c>
      <c r="K3020" s="12" t="s">
        <v>199</v>
      </c>
      <c r="L3020" s="14"/>
      <c r="M3020" s="12" t="s">
        <v>43</v>
      </c>
      <c r="N3020" s="12" t="s">
        <v>84</v>
      </c>
      <c r="O3020" s="12" t="s">
        <v>11041</v>
      </c>
      <c r="P3020" s="12" t="s">
        <v>66</v>
      </c>
      <c r="Q3020" s="12" t="s">
        <v>67</v>
      </c>
      <c r="R3020" s="12" t="s">
        <v>623</v>
      </c>
      <c r="S3020" s="13">
        <v>197065487508</v>
      </c>
      <c r="T3020" s="12" t="s">
        <v>499</v>
      </c>
      <c r="U3020" s="12" t="s">
        <v>403</v>
      </c>
      <c r="V3020" s="12" t="s">
        <v>70</v>
      </c>
      <c r="W3020" s="12" t="s">
        <v>51</v>
      </c>
      <c r="X3020" s="13">
        <v>0</v>
      </c>
      <c r="Y3020" s="12" t="s">
        <v>91</v>
      </c>
      <c r="Z3020" s="12" t="s">
        <v>108</v>
      </c>
      <c r="AA3020" s="13">
        <v>0</v>
      </c>
      <c r="AB3020" s="13">
        <v>0</v>
      </c>
      <c r="AC3020" s="15">
        <v>36.4</v>
      </c>
      <c r="AD3020" s="15">
        <f>AC3020*AG3020</f>
        <v>36.4</v>
      </c>
      <c r="AE3020" s="15">
        <v>80</v>
      </c>
      <c r="AF3020" s="15">
        <f>AE3020*AG3020</f>
        <v>80</v>
      </c>
      <c r="AG3020" s="16">
        <v>1</v>
      </c>
    </row>
    <row r="3021" spans="1:33" ht="15" customHeight="1" x14ac:dyDescent="0.2">
      <c r="A3021" s="11" t="str">
        <f t="shared" si="426"/>
        <v>VN000HPFFS81</v>
      </c>
      <c r="B3021" s="12" t="s">
        <v>11042</v>
      </c>
      <c r="C3021" s="12" t="s">
        <v>4103</v>
      </c>
      <c r="D3021" s="12" t="s">
        <v>239</v>
      </c>
      <c r="E3021" s="12" t="s">
        <v>11043</v>
      </c>
      <c r="F3021" s="12" t="s">
        <v>60</v>
      </c>
      <c r="G3021" s="14"/>
      <c r="H3021" s="12" t="s">
        <v>61</v>
      </c>
      <c r="I3021" s="12" t="s">
        <v>230</v>
      </c>
      <c r="J3021" s="12" t="s">
        <v>419</v>
      </c>
      <c r="K3021" s="12" t="s">
        <v>199</v>
      </c>
      <c r="L3021" s="14"/>
      <c r="M3021" s="12" t="s">
        <v>43</v>
      </c>
      <c r="N3021" s="12" t="s">
        <v>161</v>
      </c>
      <c r="O3021" s="12" t="s">
        <v>11044</v>
      </c>
      <c r="P3021" s="12" t="s">
        <v>66</v>
      </c>
      <c r="Q3021" s="12" t="s">
        <v>67</v>
      </c>
      <c r="R3021" s="12" t="s">
        <v>623</v>
      </c>
      <c r="S3021" s="13">
        <v>197065488055</v>
      </c>
      <c r="T3021" s="12" t="s">
        <v>49</v>
      </c>
      <c r="U3021" s="12" t="s">
        <v>60</v>
      </c>
      <c r="V3021" s="12" t="s">
        <v>90</v>
      </c>
      <c r="W3021" s="12" t="s">
        <v>175</v>
      </c>
      <c r="X3021" s="13">
        <v>0</v>
      </c>
      <c r="Y3021" s="12" t="s">
        <v>91</v>
      </c>
      <c r="Z3021" s="12" t="s">
        <v>108</v>
      </c>
      <c r="AA3021" s="13">
        <v>0</v>
      </c>
      <c r="AB3021" s="13">
        <v>0</v>
      </c>
      <c r="AC3021" s="15">
        <v>40.950000000000003</v>
      </c>
      <c r="AD3021" s="15">
        <f>AC3021*AG3021</f>
        <v>40.950000000000003</v>
      </c>
      <c r="AE3021" s="15">
        <v>90</v>
      </c>
      <c r="AF3021" s="15">
        <f>AE3021*AG3021</f>
        <v>90</v>
      </c>
      <c r="AG3021" s="16">
        <v>1</v>
      </c>
    </row>
    <row r="3022" spans="1:33" ht="15" customHeight="1" x14ac:dyDescent="0.2">
      <c r="A3022" s="11" t="str">
        <f>HYPERLINK("https://assets.vans.eu/images/VN000HPFFS8-HERO/1","VN000HPFFS81")</f>
        <v>VN000HPFFS81</v>
      </c>
      <c r="B3022" s="12" t="s">
        <v>11045</v>
      </c>
      <c r="C3022" s="12" t="s">
        <v>4103</v>
      </c>
      <c r="D3022" s="12" t="s">
        <v>239</v>
      </c>
      <c r="E3022" s="12" t="s">
        <v>11046</v>
      </c>
      <c r="F3022" s="12" t="s">
        <v>621</v>
      </c>
      <c r="G3022" s="14"/>
      <c r="H3022" s="12" t="s">
        <v>61</v>
      </c>
      <c r="I3022" s="12" t="s">
        <v>230</v>
      </c>
      <c r="J3022" s="12" t="s">
        <v>419</v>
      </c>
      <c r="K3022" s="12" t="s">
        <v>199</v>
      </c>
      <c r="L3022" s="14"/>
      <c r="M3022" s="12" t="s">
        <v>43</v>
      </c>
      <c r="N3022" s="12" t="s">
        <v>161</v>
      </c>
      <c r="O3022" s="12" t="s">
        <v>11047</v>
      </c>
      <c r="P3022" s="12" t="s">
        <v>66</v>
      </c>
      <c r="Q3022" s="12" t="s">
        <v>67</v>
      </c>
      <c r="R3022" s="12" t="s">
        <v>623</v>
      </c>
      <c r="S3022" s="13">
        <v>197065488291</v>
      </c>
      <c r="T3022" s="12" t="s">
        <v>49</v>
      </c>
      <c r="U3022" s="12" t="s">
        <v>621</v>
      </c>
      <c r="V3022" s="12" t="s">
        <v>90</v>
      </c>
      <c r="W3022" s="12" t="s">
        <v>175</v>
      </c>
      <c r="X3022" s="13">
        <v>0</v>
      </c>
      <c r="Y3022" s="12" t="s">
        <v>91</v>
      </c>
      <c r="Z3022" s="12" t="s">
        <v>108</v>
      </c>
      <c r="AA3022" s="13">
        <v>0</v>
      </c>
      <c r="AB3022" s="13">
        <v>0</v>
      </c>
      <c r="AC3022" s="15">
        <v>40.950000000000003</v>
      </c>
      <c r="AD3022" s="15">
        <f>AC3022*AG3022</f>
        <v>40.950000000000003</v>
      </c>
      <c r="AE3022" s="15">
        <v>90</v>
      </c>
      <c r="AF3022" s="15">
        <f>AE3022*AG3022</f>
        <v>90</v>
      </c>
      <c r="AG3022" s="16">
        <v>1</v>
      </c>
    </row>
    <row r="3023" spans="1:33" ht="15" customHeight="1" x14ac:dyDescent="0.2">
      <c r="A3023" s="11" t="str">
        <f t="shared" ref="A3023:A3024" si="1154">HYPERLINK("https://assets.vans.eu/images/VN000HPQ02F-HERO/1","VN000HPQ02F1")</f>
        <v>VN000HPQ02F1</v>
      </c>
      <c r="B3023" s="12" t="s">
        <v>11048</v>
      </c>
      <c r="C3023" s="12" t="s">
        <v>11049</v>
      </c>
      <c r="D3023" s="12" t="s">
        <v>857</v>
      </c>
      <c r="E3023" s="12" t="s">
        <v>11050</v>
      </c>
      <c r="F3023" s="12" t="s">
        <v>403</v>
      </c>
      <c r="G3023" s="14"/>
      <c r="H3023" s="12" t="s">
        <v>61</v>
      </c>
      <c r="I3023" s="12" t="s">
        <v>230</v>
      </c>
      <c r="J3023" s="12" t="s">
        <v>419</v>
      </c>
      <c r="K3023" s="12" t="s">
        <v>199</v>
      </c>
      <c r="L3023" s="12" t="s">
        <v>83</v>
      </c>
      <c r="M3023" s="12" t="s">
        <v>43</v>
      </c>
      <c r="N3023" s="12" t="s">
        <v>84</v>
      </c>
      <c r="O3023" s="12" t="s">
        <v>11051</v>
      </c>
      <c r="P3023" s="12" t="s">
        <v>66</v>
      </c>
      <c r="Q3023" s="12" t="s">
        <v>67</v>
      </c>
      <c r="R3023" s="12" t="s">
        <v>623</v>
      </c>
      <c r="S3023" s="13">
        <v>197065488574</v>
      </c>
      <c r="T3023" s="12" t="s">
        <v>499</v>
      </c>
      <c r="U3023" s="12" t="s">
        <v>403</v>
      </c>
      <c r="V3023" s="12" t="s">
        <v>1378</v>
      </c>
      <c r="W3023" s="12" t="s">
        <v>455</v>
      </c>
      <c r="X3023" s="13">
        <v>0</v>
      </c>
      <c r="Y3023" s="12" t="s">
        <v>91</v>
      </c>
      <c r="Z3023" s="12" t="s">
        <v>108</v>
      </c>
      <c r="AA3023" s="13">
        <v>0</v>
      </c>
      <c r="AB3023" s="13">
        <v>0</v>
      </c>
      <c r="AC3023" s="15">
        <v>31.85</v>
      </c>
      <c r="AD3023" s="15">
        <f>AC3023*AG3023</f>
        <v>31.85</v>
      </c>
      <c r="AE3023" s="15">
        <v>70</v>
      </c>
      <c r="AF3023" s="15">
        <f>AE3023*AG3023</f>
        <v>70</v>
      </c>
      <c r="AG3023" s="16">
        <v>1</v>
      </c>
    </row>
    <row r="3024" spans="1:33" ht="15" customHeight="1" x14ac:dyDescent="0.2">
      <c r="A3024" s="11" t="str">
        <f t="shared" si="1154"/>
        <v>VN000HPQ02F1</v>
      </c>
      <c r="B3024" s="12" t="s">
        <v>11052</v>
      </c>
      <c r="C3024" s="12" t="s">
        <v>11049</v>
      </c>
      <c r="D3024" s="12" t="s">
        <v>857</v>
      </c>
      <c r="E3024" s="12" t="s">
        <v>11053</v>
      </c>
      <c r="F3024" s="12" t="s">
        <v>153</v>
      </c>
      <c r="G3024" s="14"/>
      <c r="H3024" s="12" t="s">
        <v>61</v>
      </c>
      <c r="I3024" s="12" t="s">
        <v>230</v>
      </c>
      <c r="J3024" s="12" t="s">
        <v>419</v>
      </c>
      <c r="K3024" s="12" t="s">
        <v>199</v>
      </c>
      <c r="L3024" s="12" t="s">
        <v>83</v>
      </c>
      <c r="M3024" s="12" t="s">
        <v>43</v>
      </c>
      <c r="N3024" s="12" t="s">
        <v>84</v>
      </c>
      <c r="O3024" s="12" t="s">
        <v>11054</v>
      </c>
      <c r="P3024" s="12" t="s">
        <v>66</v>
      </c>
      <c r="Q3024" s="12" t="s">
        <v>67</v>
      </c>
      <c r="R3024" s="12" t="s">
        <v>623</v>
      </c>
      <c r="S3024" s="13">
        <v>197065488710</v>
      </c>
      <c r="T3024" s="12" t="s">
        <v>499</v>
      </c>
      <c r="U3024" s="12" t="s">
        <v>153</v>
      </c>
      <c r="V3024" s="12" t="s">
        <v>1378</v>
      </c>
      <c r="W3024" s="12" t="s">
        <v>455</v>
      </c>
      <c r="X3024" s="13">
        <v>0</v>
      </c>
      <c r="Y3024" s="12" t="s">
        <v>91</v>
      </c>
      <c r="Z3024" s="12" t="s">
        <v>108</v>
      </c>
      <c r="AA3024" s="13">
        <v>0</v>
      </c>
      <c r="AB3024" s="13">
        <v>0</v>
      </c>
      <c r="AC3024" s="15">
        <v>31.85</v>
      </c>
      <c r="AD3024" s="15">
        <f>AC3024*AG3024</f>
        <v>31.85</v>
      </c>
      <c r="AE3024" s="15">
        <v>70</v>
      </c>
      <c r="AF3024" s="15">
        <f>AE3024*AG3024</f>
        <v>70</v>
      </c>
      <c r="AG3024" s="16">
        <v>1</v>
      </c>
    </row>
    <row r="3025" spans="1:33" ht="15" customHeight="1" x14ac:dyDescent="0.2">
      <c r="A3025" s="11" t="str">
        <f>HYPERLINK("https://assets.vans.eu/images/VN000HQC7W6-HERO/1","VN000HQC7W61")</f>
        <v>VN000HQC7W61</v>
      </c>
      <c r="B3025" s="12" t="s">
        <v>11055</v>
      </c>
      <c r="C3025" s="12" t="s">
        <v>11056</v>
      </c>
      <c r="D3025" s="12" t="s">
        <v>7900</v>
      </c>
      <c r="E3025" s="12" t="s">
        <v>11057</v>
      </c>
      <c r="F3025" s="13">
        <v>28</v>
      </c>
      <c r="G3025" s="14"/>
      <c r="H3025" s="12" t="s">
        <v>61</v>
      </c>
      <c r="I3025" s="12" t="s">
        <v>289</v>
      </c>
      <c r="J3025" s="12" t="s">
        <v>290</v>
      </c>
      <c r="K3025" s="12" t="s">
        <v>100</v>
      </c>
      <c r="L3025" s="14"/>
      <c r="M3025" s="12" t="s">
        <v>43</v>
      </c>
      <c r="N3025" s="12" t="s">
        <v>161</v>
      </c>
      <c r="O3025" s="12" t="s">
        <v>11058</v>
      </c>
      <c r="P3025" s="12" t="s">
        <v>66</v>
      </c>
      <c r="Q3025" s="12" t="s">
        <v>233</v>
      </c>
      <c r="R3025" s="12" t="s">
        <v>2073</v>
      </c>
      <c r="S3025" s="13">
        <v>197065797164</v>
      </c>
      <c r="T3025" s="12" t="s">
        <v>235</v>
      </c>
      <c r="U3025" s="13">
        <v>28</v>
      </c>
      <c r="V3025" s="12" t="s">
        <v>665</v>
      </c>
      <c r="W3025" s="12" t="s">
        <v>175</v>
      </c>
      <c r="X3025" s="13">
        <v>0</v>
      </c>
      <c r="Y3025" s="12" t="s">
        <v>53</v>
      </c>
      <c r="Z3025" s="12" t="s">
        <v>108</v>
      </c>
      <c r="AA3025" s="13">
        <v>0</v>
      </c>
      <c r="AB3025" s="13">
        <v>0</v>
      </c>
      <c r="AC3025" s="15">
        <v>30.95</v>
      </c>
      <c r="AD3025" s="15">
        <f>AC3025*AG3025</f>
        <v>30.95</v>
      </c>
      <c r="AE3025" s="15">
        <v>68</v>
      </c>
      <c r="AF3025" s="15">
        <f>AE3025*AG3025</f>
        <v>68</v>
      </c>
      <c r="AG3025" s="16">
        <v>1</v>
      </c>
    </row>
    <row r="3026" spans="1:33" ht="15" customHeight="1" x14ac:dyDescent="0.2">
      <c r="A3026" s="11" t="str">
        <f t="shared" si="854"/>
        <v>VN000HU0QID1</v>
      </c>
      <c r="B3026" s="12" t="s">
        <v>11059</v>
      </c>
      <c r="C3026" s="12" t="s">
        <v>4107</v>
      </c>
      <c r="D3026" s="12" t="s">
        <v>347</v>
      </c>
      <c r="E3026" s="12" t="s">
        <v>11060</v>
      </c>
      <c r="F3026" s="12" t="s">
        <v>403</v>
      </c>
      <c r="G3026" s="14"/>
      <c r="H3026" s="12" t="s">
        <v>61</v>
      </c>
      <c r="I3026" s="12" t="s">
        <v>289</v>
      </c>
      <c r="J3026" s="12" t="s">
        <v>706</v>
      </c>
      <c r="K3026" s="12" t="s">
        <v>100</v>
      </c>
      <c r="L3026" s="14"/>
      <c r="M3026" s="12" t="s">
        <v>43</v>
      </c>
      <c r="N3026" s="12" t="s">
        <v>161</v>
      </c>
      <c r="O3026" s="12" t="s">
        <v>11061</v>
      </c>
      <c r="P3026" s="12" t="s">
        <v>66</v>
      </c>
      <c r="Q3026" s="12" t="s">
        <v>67</v>
      </c>
      <c r="R3026" s="12" t="s">
        <v>708</v>
      </c>
      <c r="S3026" s="13">
        <v>197064863402</v>
      </c>
      <c r="T3026" s="12" t="s">
        <v>49</v>
      </c>
      <c r="U3026" s="12" t="s">
        <v>403</v>
      </c>
      <c r="V3026" s="12" t="s">
        <v>1726</v>
      </c>
      <c r="W3026" s="12" t="s">
        <v>299</v>
      </c>
      <c r="X3026" s="13">
        <v>0</v>
      </c>
      <c r="Y3026" s="12" t="s">
        <v>71</v>
      </c>
      <c r="Z3026" s="12" t="s">
        <v>72</v>
      </c>
      <c r="AA3026" s="12" t="s">
        <v>73</v>
      </c>
      <c r="AB3026" s="13">
        <v>0</v>
      </c>
      <c r="AC3026" s="15">
        <v>35.5</v>
      </c>
      <c r="AD3026" s="15">
        <f>AC3026*AG3026</f>
        <v>35.5</v>
      </c>
      <c r="AE3026" s="15">
        <v>78</v>
      </c>
      <c r="AF3026" s="15">
        <f>AE3026*AG3026</f>
        <v>78</v>
      </c>
      <c r="AG3026" s="16">
        <v>1</v>
      </c>
    </row>
    <row r="3027" spans="1:33" ht="15" customHeight="1" x14ac:dyDescent="0.2">
      <c r="A3027" s="11" t="str">
        <f>HYPERLINK("https://assets.vans.eu/images/VN000HUH2N1-HERO/1","VN000HUH2N11")</f>
        <v>VN000HUH2N11</v>
      </c>
      <c r="B3027" s="12" t="s">
        <v>11062</v>
      </c>
      <c r="C3027" s="12" t="s">
        <v>11063</v>
      </c>
      <c r="D3027" s="12" t="s">
        <v>1082</v>
      </c>
      <c r="E3027" s="12" t="s">
        <v>11064</v>
      </c>
      <c r="F3027" s="12" t="s">
        <v>403</v>
      </c>
      <c r="G3027" s="14"/>
      <c r="H3027" s="12" t="s">
        <v>61</v>
      </c>
      <c r="I3027" s="12" t="s">
        <v>230</v>
      </c>
      <c r="J3027" s="12" t="s">
        <v>419</v>
      </c>
      <c r="K3027" s="12" t="s">
        <v>199</v>
      </c>
      <c r="L3027" s="12" t="s">
        <v>350</v>
      </c>
      <c r="M3027" s="12" t="s">
        <v>43</v>
      </c>
      <c r="N3027" s="12" t="s">
        <v>161</v>
      </c>
      <c r="O3027" s="12" t="s">
        <v>11065</v>
      </c>
      <c r="P3027" s="12" t="s">
        <v>66</v>
      </c>
      <c r="Q3027" s="12" t="s">
        <v>67</v>
      </c>
      <c r="R3027" s="12" t="s">
        <v>1500</v>
      </c>
      <c r="S3027" s="13">
        <v>197064864690</v>
      </c>
      <c r="T3027" s="12" t="s">
        <v>235</v>
      </c>
      <c r="U3027" s="12" t="s">
        <v>403</v>
      </c>
      <c r="V3027" s="12" t="s">
        <v>11066</v>
      </c>
      <c r="W3027" s="12" t="s">
        <v>580</v>
      </c>
      <c r="X3027" s="13">
        <v>0</v>
      </c>
      <c r="Y3027" s="12" t="s">
        <v>71</v>
      </c>
      <c r="Z3027" s="12" t="s">
        <v>92</v>
      </c>
      <c r="AA3027" s="12" t="s">
        <v>354</v>
      </c>
      <c r="AB3027" s="12" t="s">
        <v>355</v>
      </c>
      <c r="AC3027" s="15">
        <v>22.75</v>
      </c>
      <c r="AD3027" s="15">
        <f>AC3027*AG3027</f>
        <v>22.75</v>
      </c>
      <c r="AE3027" s="15">
        <v>50</v>
      </c>
      <c r="AF3027" s="15">
        <f>AE3027*AG3027</f>
        <v>50</v>
      </c>
      <c r="AG3027" s="16">
        <v>1</v>
      </c>
    </row>
    <row r="3028" spans="1:33" ht="15" customHeight="1" x14ac:dyDescent="0.2">
      <c r="A3028" s="11" t="str">
        <f t="shared" si="553"/>
        <v>VN000HZADZ91</v>
      </c>
      <c r="B3028" s="12" t="s">
        <v>11067</v>
      </c>
      <c r="C3028" s="12" t="s">
        <v>1413</v>
      </c>
      <c r="D3028" s="12" t="s">
        <v>510</v>
      </c>
      <c r="E3028" s="12" t="s">
        <v>11068</v>
      </c>
      <c r="F3028" s="13">
        <v>36</v>
      </c>
      <c r="G3028" s="14"/>
      <c r="H3028" s="12" t="s">
        <v>61</v>
      </c>
      <c r="I3028" s="12" t="s">
        <v>230</v>
      </c>
      <c r="J3028" s="12" t="s">
        <v>231</v>
      </c>
      <c r="K3028" s="12" t="s">
        <v>199</v>
      </c>
      <c r="L3028" s="14"/>
      <c r="M3028" s="12" t="s">
        <v>43</v>
      </c>
      <c r="N3028" s="12" t="s">
        <v>84</v>
      </c>
      <c r="O3028" s="12" t="s">
        <v>11069</v>
      </c>
      <c r="P3028" s="12" t="s">
        <v>66</v>
      </c>
      <c r="Q3028" s="12" t="s">
        <v>233</v>
      </c>
      <c r="R3028" s="12" t="s">
        <v>361</v>
      </c>
      <c r="S3028" s="13">
        <v>197065840679</v>
      </c>
      <c r="T3028" s="12" t="s">
        <v>235</v>
      </c>
      <c r="U3028" s="13">
        <v>36</v>
      </c>
      <c r="V3028" s="12" t="s">
        <v>1416</v>
      </c>
      <c r="W3028" s="12" t="s">
        <v>186</v>
      </c>
      <c r="X3028" s="13">
        <v>0</v>
      </c>
      <c r="Y3028" s="12" t="s">
        <v>91</v>
      </c>
      <c r="Z3028" s="12" t="s">
        <v>108</v>
      </c>
      <c r="AA3028" s="13">
        <v>0</v>
      </c>
      <c r="AB3028" s="13">
        <v>0</v>
      </c>
      <c r="AC3028" s="15">
        <v>34.1</v>
      </c>
      <c r="AD3028" s="15">
        <f>AC3028*AG3028</f>
        <v>34.1</v>
      </c>
      <c r="AE3028" s="15">
        <v>75</v>
      </c>
      <c r="AF3028" s="15">
        <f>AE3028*AG3028</f>
        <v>75</v>
      </c>
      <c r="AG3028" s="16">
        <v>1</v>
      </c>
    </row>
    <row r="3029" spans="1:33" ht="15" customHeight="1" x14ac:dyDescent="0.2">
      <c r="A3029" s="11" t="str">
        <f>HYPERLINK("https://assets.vans.eu/images/VN000HZB0E0-HERO/1","VN000HZB0E01")</f>
        <v>VN000HZB0E01</v>
      </c>
      <c r="B3029" s="12" t="s">
        <v>11070</v>
      </c>
      <c r="C3029" s="12" t="s">
        <v>357</v>
      </c>
      <c r="D3029" s="12" t="s">
        <v>4588</v>
      </c>
      <c r="E3029" s="12" t="s">
        <v>11071</v>
      </c>
      <c r="F3029" s="13">
        <v>30</v>
      </c>
      <c r="G3029" s="14"/>
      <c r="H3029" s="12" t="s">
        <v>61</v>
      </c>
      <c r="I3029" s="12" t="s">
        <v>230</v>
      </c>
      <c r="J3029" s="12" t="s">
        <v>231</v>
      </c>
      <c r="K3029" s="12" t="s">
        <v>199</v>
      </c>
      <c r="L3029" s="14"/>
      <c r="M3029" s="12" t="s">
        <v>43</v>
      </c>
      <c r="N3029" s="12" t="s">
        <v>44</v>
      </c>
      <c r="O3029" s="12" t="s">
        <v>11072</v>
      </c>
      <c r="P3029" s="12" t="s">
        <v>66</v>
      </c>
      <c r="Q3029" s="12" t="s">
        <v>233</v>
      </c>
      <c r="R3029" s="12" t="s">
        <v>361</v>
      </c>
      <c r="S3029" s="13">
        <v>197643460336</v>
      </c>
      <c r="T3029" s="12" t="s">
        <v>235</v>
      </c>
      <c r="U3029" s="13">
        <v>30</v>
      </c>
      <c r="V3029" s="12" t="s">
        <v>11073</v>
      </c>
      <c r="W3029" s="12" t="s">
        <v>299</v>
      </c>
      <c r="X3029" s="13">
        <v>0</v>
      </c>
      <c r="Y3029" s="12" t="s">
        <v>91</v>
      </c>
      <c r="Z3029" s="12" t="s">
        <v>108</v>
      </c>
      <c r="AA3029" s="13">
        <v>0</v>
      </c>
      <c r="AB3029" s="13">
        <v>0</v>
      </c>
      <c r="AC3029" s="15">
        <v>32.75</v>
      </c>
      <c r="AD3029" s="15">
        <f>AC3029*AG3029</f>
        <v>32.75</v>
      </c>
      <c r="AE3029" s="15">
        <v>72</v>
      </c>
      <c r="AF3029" s="15">
        <f>AE3029*AG3029</f>
        <v>72</v>
      </c>
      <c r="AG3029" s="16">
        <v>1</v>
      </c>
    </row>
    <row r="3030" spans="1:33" ht="15" customHeight="1" x14ac:dyDescent="0.2">
      <c r="A3030" s="11" t="str">
        <f>HYPERLINK("https://assets.vans.eu/images/VN000HZBEMP-HERO/1","VN000HZBEMP1")</f>
        <v>VN000HZBEMP1</v>
      </c>
      <c r="B3030" s="12" t="s">
        <v>11074</v>
      </c>
      <c r="C3030" s="12" t="s">
        <v>357</v>
      </c>
      <c r="D3030" s="12" t="s">
        <v>704</v>
      </c>
      <c r="E3030" s="12" t="s">
        <v>11075</v>
      </c>
      <c r="F3030" s="13">
        <v>27</v>
      </c>
      <c r="G3030" s="14"/>
      <c r="H3030" s="12" t="s">
        <v>61</v>
      </c>
      <c r="I3030" s="12" t="s">
        <v>230</v>
      </c>
      <c r="J3030" s="12" t="s">
        <v>231</v>
      </c>
      <c r="K3030" s="12" t="s">
        <v>199</v>
      </c>
      <c r="L3030" s="14"/>
      <c r="M3030" s="12" t="s">
        <v>43</v>
      </c>
      <c r="N3030" s="12" t="s">
        <v>84</v>
      </c>
      <c r="O3030" s="12" t="s">
        <v>11076</v>
      </c>
      <c r="P3030" s="12" t="s">
        <v>66</v>
      </c>
      <c r="Q3030" s="12" t="s">
        <v>233</v>
      </c>
      <c r="R3030" s="12" t="s">
        <v>361</v>
      </c>
      <c r="S3030" s="13">
        <v>197804385645</v>
      </c>
      <c r="T3030" s="12" t="s">
        <v>235</v>
      </c>
      <c r="U3030" s="13">
        <v>27</v>
      </c>
      <c r="V3030" s="12" t="s">
        <v>362</v>
      </c>
      <c r="W3030" s="12" t="s">
        <v>186</v>
      </c>
      <c r="X3030" s="14"/>
      <c r="Y3030" s="14"/>
      <c r="Z3030" s="14"/>
      <c r="AA3030" s="14"/>
      <c r="AB3030" s="14"/>
      <c r="AC3030" s="15">
        <v>34.1</v>
      </c>
      <c r="AD3030" s="15">
        <f>AC3030*AG3030</f>
        <v>34.1</v>
      </c>
      <c r="AE3030" s="15">
        <v>75</v>
      </c>
      <c r="AF3030" s="15">
        <f>AE3030*AG3030</f>
        <v>75</v>
      </c>
      <c r="AG3030" s="16">
        <v>1</v>
      </c>
    </row>
    <row r="3031" spans="1:33" ht="15" customHeight="1" x14ac:dyDescent="0.2">
      <c r="A3031" s="11" t="str">
        <f t="shared" si="855"/>
        <v>VN000HZBKCZ1</v>
      </c>
      <c r="B3031" s="12" t="s">
        <v>11077</v>
      </c>
      <c r="C3031" s="12" t="s">
        <v>357</v>
      </c>
      <c r="D3031" s="12" t="s">
        <v>1109</v>
      </c>
      <c r="E3031" s="12" t="s">
        <v>11078</v>
      </c>
      <c r="F3031" s="13">
        <v>40</v>
      </c>
      <c r="G3031" s="14"/>
      <c r="H3031" s="12" t="s">
        <v>61</v>
      </c>
      <c r="I3031" s="12" t="s">
        <v>230</v>
      </c>
      <c r="J3031" s="12" t="s">
        <v>231</v>
      </c>
      <c r="K3031" s="12" t="s">
        <v>199</v>
      </c>
      <c r="L3031" s="14"/>
      <c r="M3031" s="12" t="s">
        <v>43</v>
      </c>
      <c r="N3031" s="12" t="s">
        <v>84</v>
      </c>
      <c r="O3031" s="12" t="s">
        <v>11079</v>
      </c>
      <c r="P3031" s="12" t="s">
        <v>66</v>
      </c>
      <c r="Q3031" s="12" t="s">
        <v>233</v>
      </c>
      <c r="R3031" s="12" t="s">
        <v>361</v>
      </c>
      <c r="S3031" s="13">
        <v>197804387700</v>
      </c>
      <c r="T3031" s="12" t="s">
        <v>235</v>
      </c>
      <c r="U3031" s="13">
        <v>35</v>
      </c>
      <c r="V3031" s="12" t="s">
        <v>362</v>
      </c>
      <c r="W3031" s="12" t="s">
        <v>118</v>
      </c>
      <c r="X3031" s="14"/>
      <c r="Y3031" s="14"/>
      <c r="Z3031" s="14"/>
      <c r="AA3031" s="14"/>
      <c r="AB3031" s="14"/>
      <c r="AC3031" s="15">
        <v>34.1</v>
      </c>
      <c r="AD3031" s="15">
        <f>AC3031*AG3031</f>
        <v>34.1</v>
      </c>
      <c r="AE3031" s="15">
        <v>75</v>
      </c>
      <c r="AF3031" s="15">
        <f>AE3031*AG3031</f>
        <v>75</v>
      </c>
      <c r="AG3031" s="16">
        <v>1</v>
      </c>
    </row>
    <row r="3032" spans="1:33" ht="15" customHeight="1" x14ac:dyDescent="0.2">
      <c r="A3032" s="11" t="str">
        <f t="shared" ref="A3032:A3033" si="1155">HYPERLINK("https://assets.vans.eu/images/VN000HZBKCZ-HERO/1","VN000HZBKCZ1")</f>
        <v>VN000HZBKCZ1</v>
      </c>
      <c r="B3032" s="12" t="s">
        <v>11080</v>
      </c>
      <c r="C3032" s="12" t="s">
        <v>357</v>
      </c>
      <c r="D3032" s="12" t="s">
        <v>1109</v>
      </c>
      <c r="E3032" s="12" t="s">
        <v>11081</v>
      </c>
      <c r="F3032" s="13">
        <v>30</v>
      </c>
      <c r="G3032" s="14"/>
      <c r="H3032" s="12" t="s">
        <v>61</v>
      </c>
      <c r="I3032" s="12" t="s">
        <v>230</v>
      </c>
      <c r="J3032" s="12" t="s">
        <v>231</v>
      </c>
      <c r="K3032" s="12" t="s">
        <v>199</v>
      </c>
      <c r="L3032" s="14"/>
      <c r="M3032" s="12" t="s">
        <v>43</v>
      </c>
      <c r="N3032" s="12" t="s">
        <v>84</v>
      </c>
      <c r="O3032" s="12" t="s">
        <v>11082</v>
      </c>
      <c r="P3032" s="12" t="s">
        <v>66</v>
      </c>
      <c r="Q3032" s="12" t="s">
        <v>233</v>
      </c>
      <c r="R3032" s="12" t="s">
        <v>361</v>
      </c>
      <c r="S3032" s="13">
        <v>197804385935</v>
      </c>
      <c r="T3032" s="12" t="s">
        <v>235</v>
      </c>
      <c r="U3032" s="13">
        <v>30</v>
      </c>
      <c r="V3032" s="12" t="s">
        <v>362</v>
      </c>
      <c r="W3032" s="12" t="s">
        <v>118</v>
      </c>
      <c r="X3032" s="14"/>
      <c r="Y3032" s="14"/>
      <c r="Z3032" s="14"/>
      <c r="AA3032" s="14"/>
      <c r="AB3032" s="14"/>
      <c r="AC3032" s="15">
        <v>34.1</v>
      </c>
      <c r="AD3032" s="15">
        <f>AC3032*AG3032</f>
        <v>34.1</v>
      </c>
      <c r="AE3032" s="15">
        <v>75</v>
      </c>
      <c r="AF3032" s="15">
        <f>AE3032*AG3032</f>
        <v>75</v>
      </c>
      <c r="AG3032" s="16">
        <v>1</v>
      </c>
    </row>
    <row r="3033" spans="1:33" ht="15" customHeight="1" x14ac:dyDescent="0.2">
      <c r="A3033" s="11" t="str">
        <f t="shared" si="1155"/>
        <v>VN000HZBKCZ1</v>
      </c>
      <c r="B3033" s="12" t="s">
        <v>11083</v>
      </c>
      <c r="C3033" s="12" t="s">
        <v>357</v>
      </c>
      <c r="D3033" s="12" t="s">
        <v>1109</v>
      </c>
      <c r="E3033" s="12" t="s">
        <v>11084</v>
      </c>
      <c r="F3033" s="13">
        <v>31</v>
      </c>
      <c r="G3033" s="14"/>
      <c r="H3033" s="12" t="s">
        <v>61</v>
      </c>
      <c r="I3033" s="12" t="s">
        <v>230</v>
      </c>
      <c r="J3033" s="12" t="s">
        <v>231</v>
      </c>
      <c r="K3033" s="12" t="s">
        <v>199</v>
      </c>
      <c r="L3033" s="14"/>
      <c r="M3033" s="12" t="s">
        <v>43</v>
      </c>
      <c r="N3033" s="12" t="s">
        <v>84</v>
      </c>
      <c r="O3033" s="12" t="s">
        <v>11085</v>
      </c>
      <c r="P3033" s="12" t="s">
        <v>66</v>
      </c>
      <c r="Q3033" s="12" t="s">
        <v>233</v>
      </c>
      <c r="R3033" s="12" t="s">
        <v>361</v>
      </c>
      <c r="S3033" s="13">
        <v>197804386369</v>
      </c>
      <c r="T3033" s="12" t="s">
        <v>235</v>
      </c>
      <c r="U3033" s="13">
        <v>31</v>
      </c>
      <c r="V3033" s="12" t="s">
        <v>362</v>
      </c>
      <c r="W3033" s="12" t="s">
        <v>118</v>
      </c>
      <c r="X3033" s="14"/>
      <c r="Y3033" s="14"/>
      <c r="Z3033" s="14"/>
      <c r="AA3033" s="14"/>
      <c r="AB3033" s="14"/>
      <c r="AC3033" s="15">
        <v>34.1</v>
      </c>
      <c r="AD3033" s="15">
        <f>AC3033*AG3033</f>
        <v>34.1</v>
      </c>
      <c r="AE3033" s="15">
        <v>75</v>
      </c>
      <c r="AF3033" s="15">
        <f>AE3033*AG3033</f>
        <v>75</v>
      </c>
      <c r="AG3033" s="16">
        <v>1</v>
      </c>
    </row>
    <row r="3034" spans="1:33" ht="15" customHeight="1" x14ac:dyDescent="0.2">
      <c r="A3034" s="11" t="str">
        <f>HYPERLINK("https://assets.vans.eu/images/VN000HZBYEH-HERO/1","VN000HZBYEH1")</f>
        <v>VN000HZBYEH1</v>
      </c>
      <c r="B3034" s="12" t="s">
        <v>11086</v>
      </c>
      <c r="C3034" s="12" t="s">
        <v>357</v>
      </c>
      <c r="D3034" s="12" t="s">
        <v>358</v>
      </c>
      <c r="E3034" s="12" t="s">
        <v>11087</v>
      </c>
      <c r="F3034" s="13">
        <v>32</v>
      </c>
      <c r="G3034" s="14"/>
      <c r="H3034" s="12" t="s">
        <v>61</v>
      </c>
      <c r="I3034" s="12" t="s">
        <v>230</v>
      </c>
      <c r="J3034" s="12" t="s">
        <v>231</v>
      </c>
      <c r="K3034" s="12" t="s">
        <v>199</v>
      </c>
      <c r="L3034" s="14"/>
      <c r="M3034" s="12" t="s">
        <v>43</v>
      </c>
      <c r="N3034" s="12" t="s">
        <v>84</v>
      </c>
      <c r="O3034" s="12" t="s">
        <v>11088</v>
      </c>
      <c r="P3034" s="12" t="s">
        <v>66</v>
      </c>
      <c r="Q3034" s="12" t="s">
        <v>233</v>
      </c>
      <c r="R3034" s="12" t="s">
        <v>361</v>
      </c>
      <c r="S3034" s="13">
        <v>197065840013</v>
      </c>
      <c r="T3034" s="12" t="s">
        <v>235</v>
      </c>
      <c r="U3034" s="13">
        <v>32</v>
      </c>
      <c r="V3034" s="12" t="s">
        <v>362</v>
      </c>
      <c r="W3034" s="12" t="s">
        <v>186</v>
      </c>
      <c r="X3034" s="13">
        <v>0</v>
      </c>
      <c r="Y3034" s="12" t="s">
        <v>91</v>
      </c>
      <c r="Z3034" s="12" t="s">
        <v>108</v>
      </c>
      <c r="AA3034" s="13">
        <v>0</v>
      </c>
      <c r="AB3034" s="13">
        <v>0</v>
      </c>
      <c r="AC3034" s="15">
        <v>34.1</v>
      </c>
      <c r="AD3034" s="15">
        <f>AC3034*AG3034</f>
        <v>34.1</v>
      </c>
      <c r="AE3034" s="15">
        <v>75</v>
      </c>
      <c r="AF3034" s="15">
        <f>AE3034*AG3034</f>
        <v>75</v>
      </c>
      <c r="AG3034" s="16">
        <v>1</v>
      </c>
    </row>
    <row r="3035" spans="1:33" ht="15" customHeight="1" x14ac:dyDescent="0.2">
      <c r="A3035" s="11" t="str">
        <f t="shared" ref="A3035:A3038" si="1156">HYPERLINK("https://assets.vans.eu/images/VN000HZCBLK-HERO/1","VN000HZCBLK1")</f>
        <v>VN000HZCBLK1</v>
      </c>
      <c r="B3035" s="12" t="s">
        <v>11089</v>
      </c>
      <c r="C3035" s="12" t="s">
        <v>1567</v>
      </c>
      <c r="D3035" s="12" t="s">
        <v>76</v>
      </c>
      <c r="E3035" s="12" t="s">
        <v>11090</v>
      </c>
      <c r="F3035" s="13">
        <v>26</v>
      </c>
      <c r="G3035" s="14"/>
      <c r="H3035" s="12" t="s">
        <v>61</v>
      </c>
      <c r="I3035" s="12" t="s">
        <v>230</v>
      </c>
      <c r="J3035" s="12" t="s">
        <v>231</v>
      </c>
      <c r="K3035" s="12" t="s">
        <v>199</v>
      </c>
      <c r="L3035" s="14"/>
      <c r="M3035" s="12" t="s">
        <v>43</v>
      </c>
      <c r="N3035" s="12" t="s">
        <v>84</v>
      </c>
      <c r="O3035" s="12" t="s">
        <v>11091</v>
      </c>
      <c r="P3035" s="12" t="s">
        <v>66</v>
      </c>
      <c r="Q3035" s="12" t="s">
        <v>233</v>
      </c>
      <c r="R3035" s="12" t="s">
        <v>361</v>
      </c>
      <c r="S3035" s="13">
        <v>197065838645</v>
      </c>
      <c r="T3035" s="12" t="s">
        <v>235</v>
      </c>
      <c r="U3035" s="13">
        <v>26</v>
      </c>
      <c r="V3035" s="12" t="s">
        <v>1570</v>
      </c>
      <c r="W3035" s="12" t="s">
        <v>51</v>
      </c>
      <c r="X3035" s="13">
        <v>0</v>
      </c>
      <c r="Y3035" s="12" t="s">
        <v>91</v>
      </c>
      <c r="Z3035" s="12" t="s">
        <v>108</v>
      </c>
      <c r="AA3035" s="13">
        <v>0</v>
      </c>
      <c r="AB3035" s="13">
        <v>0</v>
      </c>
      <c r="AC3035" s="15">
        <v>34.1</v>
      </c>
      <c r="AD3035" s="15">
        <f>AC3035*AG3035</f>
        <v>34.1</v>
      </c>
      <c r="AE3035" s="15">
        <v>75</v>
      </c>
      <c r="AF3035" s="15">
        <f>AE3035*AG3035</f>
        <v>75</v>
      </c>
      <c r="AG3035" s="16">
        <v>1</v>
      </c>
    </row>
    <row r="3036" spans="1:33" ht="15" customHeight="1" x14ac:dyDescent="0.2">
      <c r="A3036" s="11" t="str">
        <f t="shared" si="1156"/>
        <v>VN000HZCBLK1</v>
      </c>
      <c r="B3036" s="12" t="s">
        <v>11092</v>
      </c>
      <c r="C3036" s="12" t="s">
        <v>1567</v>
      </c>
      <c r="D3036" s="12" t="s">
        <v>76</v>
      </c>
      <c r="E3036" s="12" t="s">
        <v>11093</v>
      </c>
      <c r="F3036" s="13">
        <v>27</v>
      </c>
      <c r="G3036" s="14"/>
      <c r="H3036" s="12" t="s">
        <v>61</v>
      </c>
      <c r="I3036" s="12" t="s">
        <v>230</v>
      </c>
      <c r="J3036" s="12" t="s">
        <v>231</v>
      </c>
      <c r="K3036" s="12" t="s">
        <v>199</v>
      </c>
      <c r="L3036" s="14"/>
      <c r="M3036" s="12" t="s">
        <v>43</v>
      </c>
      <c r="N3036" s="12" t="s">
        <v>84</v>
      </c>
      <c r="O3036" s="12" t="s">
        <v>11094</v>
      </c>
      <c r="P3036" s="12" t="s">
        <v>66</v>
      </c>
      <c r="Q3036" s="12" t="s">
        <v>233</v>
      </c>
      <c r="R3036" s="12" t="s">
        <v>361</v>
      </c>
      <c r="S3036" s="13">
        <v>197065838805</v>
      </c>
      <c r="T3036" s="12" t="s">
        <v>235</v>
      </c>
      <c r="U3036" s="13">
        <v>27</v>
      </c>
      <c r="V3036" s="12" t="s">
        <v>1570</v>
      </c>
      <c r="W3036" s="12" t="s">
        <v>51</v>
      </c>
      <c r="X3036" s="13">
        <v>0</v>
      </c>
      <c r="Y3036" s="12" t="s">
        <v>91</v>
      </c>
      <c r="Z3036" s="12" t="s">
        <v>108</v>
      </c>
      <c r="AA3036" s="13">
        <v>0</v>
      </c>
      <c r="AB3036" s="13">
        <v>0</v>
      </c>
      <c r="AC3036" s="15">
        <v>34.1</v>
      </c>
      <c r="AD3036" s="15">
        <f>AC3036*AG3036</f>
        <v>34.1</v>
      </c>
      <c r="AE3036" s="15">
        <v>75</v>
      </c>
      <c r="AF3036" s="15">
        <f>AE3036*AG3036</f>
        <v>75</v>
      </c>
      <c r="AG3036" s="16">
        <v>1</v>
      </c>
    </row>
    <row r="3037" spans="1:33" ht="15" customHeight="1" x14ac:dyDescent="0.2">
      <c r="A3037" s="11" t="str">
        <f t="shared" si="1156"/>
        <v>VN000HZCBLK1</v>
      </c>
      <c r="B3037" s="12" t="s">
        <v>11095</v>
      </c>
      <c r="C3037" s="12" t="s">
        <v>1567</v>
      </c>
      <c r="D3037" s="12" t="s">
        <v>76</v>
      </c>
      <c r="E3037" s="12" t="s">
        <v>11096</v>
      </c>
      <c r="F3037" s="13">
        <v>28</v>
      </c>
      <c r="G3037" s="14"/>
      <c r="H3037" s="12" t="s">
        <v>61</v>
      </c>
      <c r="I3037" s="12" t="s">
        <v>230</v>
      </c>
      <c r="J3037" s="12" t="s">
        <v>231</v>
      </c>
      <c r="K3037" s="12" t="s">
        <v>199</v>
      </c>
      <c r="L3037" s="14"/>
      <c r="M3037" s="12" t="s">
        <v>43</v>
      </c>
      <c r="N3037" s="12" t="s">
        <v>84</v>
      </c>
      <c r="O3037" s="12" t="s">
        <v>11097</v>
      </c>
      <c r="P3037" s="12" t="s">
        <v>66</v>
      </c>
      <c r="Q3037" s="12" t="s">
        <v>233</v>
      </c>
      <c r="R3037" s="12" t="s">
        <v>361</v>
      </c>
      <c r="S3037" s="13">
        <v>197065838904</v>
      </c>
      <c r="T3037" s="12" t="s">
        <v>235</v>
      </c>
      <c r="U3037" s="13">
        <v>28</v>
      </c>
      <c r="V3037" s="12" t="s">
        <v>1570</v>
      </c>
      <c r="W3037" s="12" t="s">
        <v>51</v>
      </c>
      <c r="X3037" s="13">
        <v>0</v>
      </c>
      <c r="Y3037" s="12" t="s">
        <v>91</v>
      </c>
      <c r="Z3037" s="12" t="s">
        <v>108</v>
      </c>
      <c r="AA3037" s="13">
        <v>0</v>
      </c>
      <c r="AB3037" s="13">
        <v>0</v>
      </c>
      <c r="AC3037" s="15">
        <v>34.1</v>
      </c>
      <c r="AD3037" s="15">
        <f>AC3037*AG3037</f>
        <v>34.1</v>
      </c>
      <c r="AE3037" s="15">
        <v>75</v>
      </c>
      <c r="AF3037" s="15">
        <f>AE3037*AG3037</f>
        <v>75</v>
      </c>
      <c r="AG3037" s="16">
        <v>1</v>
      </c>
    </row>
    <row r="3038" spans="1:33" ht="15" customHeight="1" x14ac:dyDescent="0.2">
      <c r="A3038" s="11" t="str">
        <f t="shared" si="1156"/>
        <v>VN000HZCBLK1</v>
      </c>
      <c r="B3038" s="12" t="s">
        <v>11098</v>
      </c>
      <c r="C3038" s="12" t="s">
        <v>1567</v>
      </c>
      <c r="D3038" s="12" t="s">
        <v>76</v>
      </c>
      <c r="E3038" s="12" t="s">
        <v>11099</v>
      </c>
      <c r="F3038" s="13">
        <v>36</v>
      </c>
      <c r="G3038" s="14"/>
      <c r="H3038" s="12" t="s">
        <v>61</v>
      </c>
      <c r="I3038" s="12" t="s">
        <v>230</v>
      </c>
      <c r="J3038" s="12" t="s">
        <v>231</v>
      </c>
      <c r="K3038" s="12" t="s">
        <v>199</v>
      </c>
      <c r="L3038" s="14"/>
      <c r="M3038" s="12" t="s">
        <v>43</v>
      </c>
      <c r="N3038" s="12" t="s">
        <v>84</v>
      </c>
      <c r="O3038" s="12" t="s">
        <v>11100</v>
      </c>
      <c r="P3038" s="12" t="s">
        <v>66</v>
      </c>
      <c r="Q3038" s="12" t="s">
        <v>233</v>
      </c>
      <c r="R3038" s="12" t="s">
        <v>361</v>
      </c>
      <c r="S3038" s="13">
        <v>197065841027</v>
      </c>
      <c r="T3038" s="12" t="s">
        <v>235</v>
      </c>
      <c r="U3038" s="13">
        <v>36</v>
      </c>
      <c r="V3038" s="12" t="s">
        <v>1570</v>
      </c>
      <c r="W3038" s="12" t="s">
        <v>51</v>
      </c>
      <c r="X3038" s="13">
        <v>0</v>
      </c>
      <c r="Y3038" s="12" t="s">
        <v>91</v>
      </c>
      <c r="Z3038" s="12" t="s">
        <v>108</v>
      </c>
      <c r="AA3038" s="13">
        <v>0</v>
      </c>
      <c r="AB3038" s="13">
        <v>0</v>
      </c>
      <c r="AC3038" s="15">
        <v>34.1</v>
      </c>
      <c r="AD3038" s="15">
        <f>AC3038*AG3038</f>
        <v>34.1</v>
      </c>
      <c r="AE3038" s="15">
        <v>75</v>
      </c>
      <c r="AF3038" s="15">
        <f>AE3038*AG3038</f>
        <v>75</v>
      </c>
      <c r="AG3038" s="16">
        <v>1</v>
      </c>
    </row>
    <row r="3039" spans="1:33" ht="15" customHeight="1" x14ac:dyDescent="0.2">
      <c r="A3039" s="11" t="str">
        <f>HYPERLINK("https://assets.vans.eu/images/VN000HZD2N1-HERO/1","VN000HZD2N11")</f>
        <v>VN000HZD2N11</v>
      </c>
      <c r="B3039" s="12" t="s">
        <v>11101</v>
      </c>
      <c r="C3039" s="12" t="s">
        <v>11102</v>
      </c>
      <c r="D3039" s="12" t="s">
        <v>1082</v>
      </c>
      <c r="E3039" s="12" t="s">
        <v>11103</v>
      </c>
      <c r="F3039" s="13">
        <v>31</v>
      </c>
      <c r="G3039" s="14"/>
      <c r="H3039" s="12" t="s">
        <v>61</v>
      </c>
      <c r="I3039" s="12" t="s">
        <v>230</v>
      </c>
      <c r="J3039" s="12" t="s">
        <v>231</v>
      </c>
      <c r="K3039" s="12" t="s">
        <v>199</v>
      </c>
      <c r="L3039" s="14"/>
      <c r="M3039" s="12" t="s">
        <v>43</v>
      </c>
      <c r="N3039" s="12" t="s">
        <v>44</v>
      </c>
      <c r="O3039" s="12" t="s">
        <v>11104</v>
      </c>
      <c r="P3039" s="12" t="s">
        <v>66</v>
      </c>
      <c r="Q3039" s="12" t="s">
        <v>233</v>
      </c>
      <c r="R3039" s="12" t="s">
        <v>361</v>
      </c>
      <c r="S3039" s="13">
        <v>197643460664</v>
      </c>
      <c r="T3039" s="12" t="s">
        <v>235</v>
      </c>
      <c r="U3039" s="13">
        <v>31</v>
      </c>
      <c r="V3039" s="12" t="s">
        <v>665</v>
      </c>
      <c r="W3039" s="12" t="s">
        <v>580</v>
      </c>
      <c r="X3039" s="13">
        <v>0</v>
      </c>
      <c r="Y3039" s="12" t="s">
        <v>91</v>
      </c>
      <c r="Z3039" s="12" t="s">
        <v>108</v>
      </c>
      <c r="AA3039" s="13">
        <v>0</v>
      </c>
      <c r="AB3039" s="13">
        <v>0</v>
      </c>
      <c r="AC3039" s="15">
        <v>32.75</v>
      </c>
      <c r="AD3039" s="15">
        <f>AC3039*AG3039</f>
        <v>32.75</v>
      </c>
      <c r="AE3039" s="15">
        <v>72</v>
      </c>
      <c r="AF3039" s="15">
        <f>AE3039*AG3039</f>
        <v>72</v>
      </c>
      <c r="AG3039" s="16">
        <v>1</v>
      </c>
    </row>
    <row r="3040" spans="1:33" ht="15" customHeight="1" x14ac:dyDescent="0.2">
      <c r="A3040" s="11" t="str">
        <f t="shared" si="671"/>
        <v>VN000IVEBLK1</v>
      </c>
      <c r="B3040" s="12" t="s">
        <v>11105</v>
      </c>
      <c r="C3040" s="12" t="s">
        <v>4111</v>
      </c>
      <c r="D3040" s="12" t="s">
        <v>76</v>
      </c>
      <c r="E3040" s="12" t="s">
        <v>11106</v>
      </c>
      <c r="F3040" s="12" t="s">
        <v>170</v>
      </c>
      <c r="G3040" s="14"/>
      <c r="H3040" s="12" t="s">
        <v>61</v>
      </c>
      <c r="I3040" s="12" t="s">
        <v>62</v>
      </c>
      <c r="J3040" s="12" t="s">
        <v>63</v>
      </c>
      <c r="K3040" s="12" t="s">
        <v>64</v>
      </c>
      <c r="L3040" s="12" t="s">
        <v>83</v>
      </c>
      <c r="M3040" s="12" t="s">
        <v>43</v>
      </c>
      <c r="N3040" s="12" t="s">
        <v>84</v>
      </c>
      <c r="O3040" s="12" t="s">
        <v>11107</v>
      </c>
      <c r="P3040" s="12" t="s">
        <v>66</v>
      </c>
      <c r="Q3040" s="12" t="s">
        <v>67</v>
      </c>
      <c r="R3040" s="12" t="s">
        <v>68</v>
      </c>
      <c r="S3040" s="13">
        <v>197641026527</v>
      </c>
      <c r="T3040" s="12" t="s">
        <v>422</v>
      </c>
      <c r="U3040" s="12" t="s">
        <v>170</v>
      </c>
      <c r="V3040" s="12" t="s">
        <v>70</v>
      </c>
      <c r="W3040" s="12" t="s">
        <v>51</v>
      </c>
      <c r="X3040" s="13">
        <v>0</v>
      </c>
      <c r="Y3040" s="12" t="s">
        <v>91</v>
      </c>
      <c r="Z3040" s="12" t="s">
        <v>108</v>
      </c>
      <c r="AA3040" s="13">
        <v>0</v>
      </c>
      <c r="AB3040" s="13">
        <v>0</v>
      </c>
      <c r="AC3040" s="15">
        <v>11.4</v>
      </c>
      <c r="AD3040" s="15">
        <f>AC3040*AG3040</f>
        <v>11.4</v>
      </c>
      <c r="AE3040" s="15">
        <v>25</v>
      </c>
      <c r="AF3040" s="15">
        <f>AE3040*AG3040</f>
        <v>25</v>
      </c>
      <c r="AG3040" s="16">
        <v>1</v>
      </c>
    </row>
    <row r="3041" spans="1:33" ht="15" customHeight="1" x14ac:dyDescent="0.2">
      <c r="A3041" s="11" t="str">
        <f>HYPERLINK("https://assets.vans.eu/images/VN000IVECJL-HERO/1","VN000IVECJL1")</f>
        <v>VN000IVECJL1</v>
      </c>
      <c r="B3041" s="12" t="s">
        <v>11108</v>
      </c>
      <c r="C3041" s="12" t="s">
        <v>4111</v>
      </c>
      <c r="D3041" s="12" t="s">
        <v>6270</v>
      </c>
      <c r="E3041" s="12" t="s">
        <v>11109</v>
      </c>
      <c r="F3041" s="12" t="s">
        <v>60</v>
      </c>
      <c r="G3041" s="14"/>
      <c r="H3041" s="12" t="s">
        <v>61</v>
      </c>
      <c r="I3041" s="12" t="s">
        <v>62</v>
      </c>
      <c r="J3041" s="12" t="s">
        <v>63</v>
      </c>
      <c r="K3041" s="12" t="s">
        <v>64</v>
      </c>
      <c r="L3041" s="12" t="s">
        <v>350</v>
      </c>
      <c r="M3041" s="12" t="s">
        <v>43</v>
      </c>
      <c r="N3041" s="12" t="s">
        <v>44</v>
      </c>
      <c r="O3041" s="12" t="s">
        <v>11110</v>
      </c>
      <c r="P3041" s="12" t="s">
        <v>66</v>
      </c>
      <c r="Q3041" s="12" t="s">
        <v>67</v>
      </c>
      <c r="R3041" s="12" t="s">
        <v>68</v>
      </c>
      <c r="S3041" s="13">
        <v>197063510697</v>
      </c>
      <c r="T3041" s="12" t="s">
        <v>422</v>
      </c>
      <c r="U3041" s="12" t="s">
        <v>60</v>
      </c>
      <c r="V3041" s="12" t="s">
        <v>423</v>
      </c>
      <c r="W3041" s="12" t="s">
        <v>118</v>
      </c>
      <c r="X3041" s="13">
        <v>0</v>
      </c>
      <c r="Y3041" s="12" t="s">
        <v>91</v>
      </c>
      <c r="Z3041" s="12" t="s">
        <v>108</v>
      </c>
      <c r="AA3041" s="13">
        <v>0</v>
      </c>
      <c r="AB3041" s="13">
        <v>0</v>
      </c>
      <c r="AC3041" s="15">
        <v>10.95</v>
      </c>
      <c r="AD3041" s="15">
        <f>AC3041*AG3041</f>
        <v>10.95</v>
      </c>
      <c r="AE3041" s="15">
        <v>24</v>
      </c>
      <c r="AF3041" s="15">
        <f>AE3041*AG3041</f>
        <v>24</v>
      </c>
      <c r="AG3041" s="16">
        <v>1</v>
      </c>
    </row>
    <row r="3042" spans="1:33" ht="15" customHeight="1" x14ac:dyDescent="0.2">
      <c r="A3042" s="11" t="str">
        <f t="shared" si="672"/>
        <v>VN000IVEWHT1</v>
      </c>
      <c r="B3042" s="12" t="s">
        <v>11111</v>
      </c>
      <c r="C3042" s="12" t="s">
        <v>4111</v>
      </c>
      <c r="D3042" s="12" t="s">
        <v>168</v>
      </c>
      <c r="E3042" s="12" t="s">
        <v>11112</v>
      </c>
      <c r="F3042" s="12" t="s">
        <v>403</v>
      </c>
      <c r="G3042" s="14"/>
      <c r="H3042" s="12" t="s">
        <v>61</v>
      </c>
      <c r="I3042" s="12" t="s">
        <v>62</v>
      </c>
      <c r="J3042" s="12" t="s">
        <v>63</v>
      </c>
      <c r="K3042" s="12" t="s">
        <v>64</v>
      </c>
      <c r="L3042" s="12" t="s">
        <v>83</v>
      </c>
      <c r="M3042" s="12" t="s">
        <v>43</v>
      </c>
      <c r="N3042" s="12" t="s">
        <v>84</v>
      </c>
      <c r="O3042" s="12" t="s">
        <v>11113</v>
      </c>
      <c r="P3042" s="12" t="s">
        <v>66</v>
      </c>
      <c r="Q3042" s="12" t="s">
        <v>67</v>
      </c>
      <c r="R3042" s="12" t="s">
        <v>68</v>
      </c>
      <c r="S3042" s="13">
        <v>197641026633</v>
      </c>
      <c r="T3042" s="12" t="s">
        <v>422</v>
      </c>
      <c r="U3042" s="12" t="s">
        <v>403</v>
      </c>
      <c r="V3042" s="12" t="s">
        <v>70</v>
      </c>
      <c r="W3042" s="12" t="s">
        <v>175</v>
      </c>
      <c r="X3042" s="13">
        <v>0</v>
      </c>
      <c r="Y3042" s="12" t="s">
        <v>91</v>
      </c>
      <c r="Z3042" s="12" t="s">
        <v>108</v>
      </c>
      <c r="AA3042" s="13">
        <v>0</v>
      </c>
      <c r="AB3042" s="13">
        <v>0</v>
      </c>
      <c r="AC3042" s="15">
        <v>11.4</v>
      </c>
      <c r="AD3042" s="15">
        <f>AC3042*AG3042</f>
        <v>11.4</v>
      </c>
      <c r="AE3042" s="15">
        <v>25</v>
      </c>
      <c r="AF3042" s="15">
        <f>AE3042*AG3042</f>
        <v>25</v>
      </c>
      <c r="AG3042" s="16">
        <v>1</v>
      </c>
    </row>
    <row r="3043" spans="1:33" ht="15" customHeight="1" x14ac:dyDescent="0.2">
      <c r="A3043" s="11" t="str">
        <f>HYPERLINK("https://assets.vans.eu/images/VN000IVEWHT-HERO/1","VN000IVEWHT1")</f>
        <v>VN000IVEWHT1</v>
      </c>
      <c r="B3043" s="12" t="s">
        <v>11114</v>
      </c>
      <c r="C3043" s="12" t="s">
        <v>4111</v>
      </c>
      <c r="D3043" s="12" t="s">
        <v>168</v>
      </c>
      <c r="E3043" s="12" t="s">
        <v>11115</v>
      </c>
      <c r="F3043" s="12" t="s">
        <v>60</v>
      </c>
      <c r="G3043" s="14"/>
      <c r="H3043" s="12" t="s">
        <v>61</v>
      </c>
      <c r="I3043" s="12" t="s">
        <v>62</v>
      </c>
      <c r="J3043" s="12" t="s">
        <v>63</v>
      </c>
      <c r="K3043" s="12" t="s">
        <v>64</v>
      </c>
      <c r="L3043" s="12" t="s">
        <v>83</v>
      </c>
      <c r="M3043" s="12" t="s">
        <v>43</v>
      </c>
      <c r="N3043" s="12" t="s">
        <v>84</v>
      </c>
      <c r="O3043" s="12" t="s">
        <v>11116</v>
      </c>
      <c r="P3043" s="12" t="s">
        <v>66</v>
      </c>
      <c r="Q3043" s="12" t="s">
        <v>67</v>
      </c>
      <c r="R3043" s="12" t="s">
        <v>68</v>
      </c>
      <c r="S3043" s="13">
        <v>197641026640</v>
      </c>
      <c r="T3043" s="12" t="s">
        <v>422</v>
      </c>
      <c r="U3043" s="12" t="s">
        <v>60</v>
      </c>
      <c r="V3043" s="12" t="s">
        <v>70</v>
      </c>
      <c r="W3043" s="12" t="s">
        <v>175</v>
      </c>
      <c r="X3043" s="13">
        <v>0</v>
      </c>
      <c r="Y3043" s="12" t="s">
        <v>91</v>
      </c>
      <c r="Z3043" s="12" t="s">
        <v>108</v>
      </c>
      <c r="AA3043" s="13">
        <v>0</v>
      </c>
      <c r="AB3043" s="13">
        <v>0</v>
      </c>
      <c r="AC3043" s="15">
        <v>11.4</v>
      </c>
      <c r="AD3043" s="15">
        <f>AC3043*AG3043</f>
        <v>11.4</v>
      </c>
      <c r="AE3043" s="15">
        <v>25</v>
      </c>
      <c r="AF3043" s="15">
        <f>AE3043*AG3043</f>
        <v>25</v>
      </c>
      <c r="AG3043" s="16">
        <v>1</v>
      </c>
    </row>
    <row r="3044" spans="1:33" ht="15" customHeight="1" x14ac:dyDescent="0.2">
      <c r="A3044" s="11" t="str">
        <f t="shared" ref="A3044:A3045" si="1157">HYPERLINK("https://assets.vans.eu/images/VN000IVEY28-HERO/1","VN000IVEY281")</f>
        <v>VN000IVEY281</v>
      </c>
      <c r="B3044" s="12" t="s">
        <v>11117</v>
      </c>
      <c r="C3044" s="12" t="s">
        <v>4111</v>
      </c>
      <c r="D3044" s="12" t="s">
        <v>58</v>
      </c>
      <c r="E3044" s="12" t="s">
        <v>11118</v>
      </c>
      <c r="F3044" s="12" t="s">
        <v>403</v>
      </c>
      <c r="G3044" s="14"/>
      <c r="H3044" s="12" t="s">
        <v>61</v>
      </c>
      <c r="I3044" s="12" t="s">
        <v>62</v>
      </c>
      <c r="J3044" s="12" t="s">
        <v>63</v>
      </c>
      <c r="K3044" s="12" t="s">
        <v>64</v>
      </c>
      <c r="L3044" s="14"/>
      <c r="M3044" s="12" t="s">
        <v>43</v>
      </c>
      <c r="N3044" s="12" t="s">
        <v>274</v>
      </c>
      <c r="O3044" s="12" t="s">
        <v>11119</v>
      </c>
      <c r="P3044" s="12" t="s">
        <v>66</v>
      </c>
      <c r="Q3044" s="12" t="s">
        <v>67</v>
      </c>
      <c r="R3044" s="12" t="s">
        <v>68</v>
      </c>
      <c r="S3044" s="13">
        <v>757969006993</v>
      </c>
      <c r="T3044" s="12" t="s">
        <v>422</v>
      </c>
      <c r="U3044" s="12" t="s">
        <v>403</v>
      </c>
      <c r="V3044" s="12" t="s">
        <v>70</v>
      </c>
      <c r="W3044" s="12" t="s">
        <v>51</v>
      </c>
      <c r="X3044" s="13">
        <v>0</v>
      </c>
      <c r="Y3044" s="12" t="s">
        <v>91</v>
      </c>
      <c r="Z3044" s="12" t="s">
        <v>108</v>
      </c>
      <c r="AA3044" s="13">
        <v>0</v>
      </c>
      <c r="AB3044" s="13">
        <v>0</v>
      </c>
      <c r="AC3044" s="15">
        <v>10.95</v>
      </c>
      <c r="AD3044" s="15">
        <f>AC3044*AG3044</f>
        <v>10.95</v>
      </c>
      <c r="AE3044" s="15">
        <v>24</v>
      </c>
      <c r="AF3044" s="15">
        <f>AE3044*AG3044</f>
        <v>24</v>
      </c>
      <c r="AG3044" s="16">
        <v>1</v>
      </c>
    </row>
    <row r="3045" spans="1:33" ht="15" customHeight="1" x14ac:dyDescent="0.2">
      <c r="A3045" s="11" t="str">
        <f t="shared" si="1157"/>
        <v>VN000IVEY281</v>
      </c>
      <c r="B3045" s="12" t="s">
        <v>11120</v>
      </c>
      <c r="C3045" s="12" t="s">
        <v>4111</v>
      </c>
      <c r="D3045" s="12" t="s">
        <v>58</v>
      </c>
      <c r="E3045" s="12" t="s">
        <v>11121</v>
      </c>
      <c r="F3045" s="12" t="s">
        <v>60</v>
      </c>
      <c r="G3045" s="14"/>
      <c r="H3045" s="12" t="s">
        <v>61</v>
      </c>
      <c r="I3045" s="12" t="s">
        <v>62</v>
      </c>
      <c r="J3045" s="12" t="s">
        <v>63</v>
      </c>
      <c r="K3045" s="12" t="s">
        <v>64</v>
      </c>
      <c r="L3045" s="14"/>
      <c r="M3045" s="12" t="s">
        <v>43</v>
      </c>
      <c r="N3045" s="12" t="s">
        <v>274</v>
      </c>
      <c r="O3045" s="12" t="s">
        <v>11122</v>
      </c>
      <c r="P3045" s="12" t="s">
        <v>66</v>
      </c>
      <c r="Q3045" s="12" t="s">
        <v>67</v>
      </c>
      <c r="R3045" s="12" t="s">
        <v>68</v>
      </c>
      <c r="S3045" s="13">
        <v>757969007020</v>
      </c>
      <c r="T3045" s="12" t="s">
        <v>422</v>
      </c>
      <c r="U3045" s="12" t="s">
        <v>60</v>
      </c>
      <c r="V3045" s="12" t="s">
        <v>70</v>
      </c>
      <c r="W3045" s="12" t="s">
        <v>51</v>
      </c>
      <c r="X3045" s="13">
        <v>0</v>
      </c>
      <c r="Y3045" s="12" t="s">
        <v>91</v>
      </c>
      <c r="Z3045" s="12" t="s">
        <v>108</v>
      </c>
      <c r="AA3045" s="13">
        <v>0</v>
      </c>
      <c r="AB3045" s="13">
        <v>0</v>
      </c>
      <c r="AC3045" s="15">
        <v>10.95</v>
      </c>
      <c r="AD3045" s="15">
        <f>AC3045*AG3045</f>
        <v>10.95</v>
      </c>
      <c r="AE3045" s="15">
        <v>24</v>
      </c>
      <c r="AF3045" s="15">
        <f>AE3045*AG3045</f>
        <v>24</v>
      </c>
      <c r="AG3045" s="16">
        <v>1</v>
      </c>
    </row>
    <row r="3046" spans="1:33" ht="15" customHeight="1" x14ac:dyDescent="0.2">
      <c r="A3046" s="11" t="str">
        <f>HYPERLINK("https://assets.vans.eu/images/VN000IVFBL2-HERO/1","VN000IVFBL21")</f>
        <v>VN000IVFBL21</v>
      </c>
      <c r="B3046" s="12" t="s">
        <v>11123</v>
      </c>
      <c r="C3046" s="12" t="s">
        <v>572</v>
      </c>
      <c r="D3046" s="12" t="s">
        <v>686</v>
      </c>
      <c r="E3046" s="12" t="s">
        <v>11124</v>
      </c>
      <c r="F3046" s="12" t="s">
        <v>403</v>
      </c>
      <c r="G3046" s="14"/>
      <c r="H3046" s="12" t="s">
        <v>61</v>
      </c>
      <c r="I3046" s="12" t="s">
        <v>62</v>
      </c>
      <c r="J3046" s="12" t="s">
        <v>63</v>
      </c>
      <c r="K3046" s="12" t="s">
        <v>64</v>
      </c>
      <c r="L3046" s="14"/>
      <c r="M3046" s="12" t="s">
        <v>43</v>
      </c>
      <c r="N3046" s="12" t="s">
        <v>44</v>
      </c>
      <c r="O3046" s="12" t="s">
        <v>11125</v>
      </c>
      <c r="P3046" s="12" t="s">
        <v>66</v>
      </c>
      <c r="Q3046" s="12" t="s">
        <v>67</v>
      </c>
      <c r="R3046" s="12" t="s">
        <v>68</v>
      </c>
      <c r="S3046" s="13">
        <v>197803398899</v>
      </c>
      <c r="T3046" s="12" t="s">
        <v>422</v>
      </c>
      <c r="U3046" s="12" t="s">
        <v>403</v>
      </c>
      <c r="V3046" s="12" t="s">
        <v>70</v>
      </c>
      <c r="W3046" s="12" t="s">
        <v>186</v>
      </c>
      <c r="X3046" s="12" t="s">
        <v>500</v>
      </c>
      <c r="Y3046" s="12" t="s">
        <v>91</v>
      </c>
      <c r="Z3046" s="12" t="s">
        <v>108</v>
      </c>
      <c r="AA3046" s="13">
        <v>0</v>
      </c>
      <c r="AB3046" s="13">
        <v>0</v>
      </c>
      <c r="AC3046" s="15">
        <v>10.95</v>
      </c>
      <c r="AD3046" s="15">
        <f>AC3046*AG3046</f>
        <v>10.95</v>
      </c>
      <c r="AE3046" s="15">
        <v>24</v>
      </c>
      <c r="AF3046" s="15">
        <f>AE3046*AG3046</f>
        <v>24</v>
      </c>
      <c r="AG3046" s="16">
        <v>1</v>
      </c>
    </row>
    <row r="3047" spans="1:33" ht="15" customHeight="1" x14ac:dyDescent="0.2">
      <c r="A3047" s="11" t="str">
        <f>HYPERLINK("https://assets.vans.eu/images/VN000IVFC9L-HERO/1","VN000IVFC9L1")</f>
        <v>VN000IVFC9L1</v>
      </c>
      <c r="B3047" s="12" t="s">
        <v>11126</v>
      </c>
      <c r="C3047" s="12" t="s">
        <v>572</v>
      </c>
      <c r="D3047" s="12" t="s">
        <v>890</v>
      </c>
      <c r="E3047" s="12" t="s">
        <v>11127</v>
      </c>
      <c r="F3047" s="12" t="s">
        <v>170</v>
      </c>
      <c r="G3047" s="14"/>
      <c r="H3047" s="12" t="s">
        <v>61</v>
      </c>
      <c r="I3047" s="12" t="s">
        <v>62</v>
      </c>
      <c r="J3047" s="12" t="s">
        <v>63</v>
      </c>
      <c r="K3047" s="12" t="s">
        <v>64</v>
      </c>
      <c r="L3047" s="14"/>
      <c r="M3047" s="12" t="s">
        <v>43</v>
      </c>
      <c r="N3047" s="12" t="s">
        <v>44</v>
      </c>
      <c r="O3047" s="12" t="s">
        <v>11128</v>
      </c>
      <c r="P3047" s="12" t="s">
        <v>66</v>
      </c>
      <c r="Q3047" s="12" t="s">
        <v>67</v>
      </c>
      <c r="R3047" s="12" t="s">
        <v>68</v>
      </c>
      <c r="S3047" s="13">
        <v>197803419389</v>
      </c>
      <c r="T3047" s="12" t="s">
        <v>422</v>
      </c>
      <c r="U3047" s="12" t="s">
        <v>170</v>
      </c>
      <c r="V3047" s="12" t="s">
        <v>70</v>
      </c>
      <c r="W3047" s="12" t="s">
        <v>262</v>
      </c>
      <c r="X3047" s="12" t="s">
        <v>500</v>
      </c>
      <c r="Y3047" s="12" t="s">
        <v>91</v>
      </c>
      <c r="Z3047" s="12" t="s">
        <v>108</v>
      </c>
      <c r="AA3047" s="13">
        <v>0</v>
      </c>
      <c r="AB3047" s="13">
        <v>0</v>
      </c>
      <c r="AC3047" s="15">
        <v>10.95</v>
      </c>
      <c r="AD3047" s="15">
        <f>AC3047*AG3047</f>
        <v>10.95</v>
      </c>
      <c r="AE3047" s="15">
        <v>24</v>
      </c>
      <c r="AF3047" s="15">
        <f>AE3047*AG3047</f>
        <v>24</v>
      </c>
      <c r="AG3047" s="16">
        <v>1</v>
      </c>
    </row>
    <row r="3048" spans="1:33" ht="15" customHeight="1" x14ac:dyDescent="0.2">
      <c r="A3048" s="11" t="str">
        <f>HYPERLINK("https://assets.vans.eu/images/VN000J5VBLK-HERO/1","VN000J5VBLK1")</f>
        <v>VN000J5VBLK1</v>
      </c>
      <c r="B3048" s="12" t="s">
        <v>11129</v>
      </c>
      <c r="C3048" s="12" t="s">
        <v>11130</v>
      </c>
      <c r="D3048" s="12" t="s">
        <v>76</v>
      </c>
      <c r="E3048" s="12" t="s">
        <v>11131</v>
      </c>
      <c r="F3048" s="12" t="s">
        <v>170</v>
      </c>
      <c r="G3048" s="14"/>
      <c r="H3048" s="12" t="s">
        <v>61</v>
      </c>
      <c r="I3048" s="12" t="s">
        <v>62</v>
      </c>
      <c r="J3048" s="12" t="s">
        <v>63</v>
      </c>
      <c r="K3048" s="12" t="s">
        <v>64</v>
      </c>
      <c r="L3048" s="12" t="s">
        <v>350</v>
      </c>
      <c r="M3048" s="12" t="s">
        <v>43</v>
      </c>
      <c r="N3048" s="12" t="s">
        <v>161</v>
      </c>
      <c r="O3048" s="12" t="s">
        <v>11132</v>
      </c>
      <c r="P3048" s="12" t="s">
        <v>66</v>
      </c>
      <c r="Q3048" s="12" t="s">
        <v>67</v>
      </c>
      <c r="R3048" s="12" t="s">
        <v>68</v>
      </c>
      <c r="S3048" s="13">
        <v>197065111274</v>
      </c>
      <c r="T3048" s="12" t="s">
        <v>422</v>
      </c>
      <c r="U3048" s="12" t="s">
        <v>170</v>
      </c>
      <c r="V3048" s="12" t="s">
        <v>70</v>
      </c>
      <c r="W3048" s="12" t="s">
        <v>51</v>
      </c>
      <c r="X3048" s="13">
        <v>0</v>
      </c>
      <c r="Y3048" s="12" t="s">
        <v>71</v>
      </c>
      <c r="Z3048" s="12" t="s">
        <v>92</v>
      </c>
      <c r="AA3048" s="12" t="s">
        <v>354</v>
      </c>
      <c r="AB3048" s="12" t="s">
        <v>355</v>
      </c>
      <c r="AC3048" s="15">
        <v>12.75</v>
      </c>
      <c r="AD3048" s="15">
        <f>AC3048*AG3048</f>
        <v>12.75</v>
      </c>
      <c r="AE3048" s="15">
        <v>28</v>
      </c>
      <c r="AF3048" s="15">
        <f>AE3048*AG3048</f>
        <v>28</v>
      </c>
      <c r="AG3048" s="16">
        <v>1</v>
      </c>
    </row>
    <row r="3049" spans="1:33" ht="15" customHeight="1" x14ac:dyDescent="0.2">
      <c r="A3049" s="11" t="str">
        <f>HYPERLINK("https://assets.vans.eu/images/VN000J7GBLK-HERO/1","VN000J7GBLK1")</f>
        <v>VN000J7GBLK1</v>
      </c>
      <c r="B3049" s="12" t="s">
        <v>11133</v>
      </c>
      <c r="C3049" s="12" t="s">
        <v>11134</v>
      </c>
      <c r="D3049" s="12" t="s">
        <v>76</v>
      </c>
      <c r="E3049" s="12" t="s">
        <v>11135</v>
      </c>
      <c r="F3049" s="12" t="s">
        <v>170</v>
      </c>
      <c r="G3049" s="14"/>
      <c r="H3049" s="12" t="s">
        <v>61</v>
      </c>
      <c r="I3049" s="12" t="s">
        <v>62</v>
      </c>
      <c r="J3049" s="12" t="s">
        <v>2938</v>
      </c>
      <c r="K3049" s="12" t="s">
        <v>1022</v>
      </c>
      <c r="L3049" s="14"/>
      <c r="M3049" s="12" t="s">
        <v>43</v>
      </c>
      <c r="N3049" s="12" t="s">
        <v>161</v>
      </c>
      <c r="O3049" s="12" t="s">
        <v>11136</v>
      </c>
      <c r="P3049" s="12" t="s">
        <v>66</v>
      </c>
      <c r="Q3049" s="12" t="s">
        <v>764</v>
      </c>
      <c r="R3049" s="12" t="s">
        <v>2940</v>
      </c>
      <c r="S3049" s="13">
        <v>197065462888</v>
      </c>
      <c r="T3049" s="12" t="s">
        <v>235</v>
      </c>
      <c r="U3049" s="12" t="s">
        <v>170</v>
      </c>
      <c r="V3049" s="12" t="s">
        <v>90</v>
      </c>
      <c r="W3049" s="12" t="s">
        <v>51</v>
      </c>
      <c r="X3049" s="13">
        <v>0</v>
      </c>
      <c r="Y3049" s="12" t="s">
        <v>71</v>
      </c>
      <c r="Z3049" s="12" t="s">
        <v>108</v>
      </c>
      <c r="AA3049" s="13">
        <v>0</v>
      </c>
      <c r="AB3049" s="13">
        <v>0</v>
      </c>
      <c r="AC3049" s="15">
        <v>43.2</v>
      </c>
      <c r="AD3049" s="15">
        <f>AC3049*AG3049</f>
        <v>43.2</v>
      </c>
      <c r="AE3049" s="15">
        <v>95</v>
      </c>
      <c r="AF3049" s="15">
        <f>AE3049*AG3049</f>
        <v>95</v>
      </c>
      <c r="AG3049" s="16">
        <v>1</v>
      </c>
    </row>
    <row r="3050" spans="1:33" ht="15" customHeight="1" x14ac:dyDescent="0.2">
      <c r="A3050" s="11" t="str">
        <f t="shared" si="856"/>
        <v>VN000J9JZR61</v>
      </c>
      <c r="B3050" s="12" t="s">
        <v>11137</v>
      </c>
      <c r="C3050" s="12" t="s">
        <v>5233</v>
      </c>
      <c r="D3050" s="12" t="s">
        <v>5234</v>
      </c>
      <c r="E3050" s="12" t="s">
        <v>11138</v>
      </c>
      <c r="F3050" s="13">
        <v>31</v>
      </c>
      <c r="G3050" s="14"/>
      <c r="H3050" s="12" t="s">
        <v>61</v>
      </c>
      <c r="I3050" s="12" t="s">
        <v>230</v>
      </c>
      <c r="J3050" s="12" t="s">
        <v>231</v>
      </c>
      <c r="K3050" s="12" t="s">
        <v>199</v>
      </c>
      <c r="L3050" s="14"/>
      <c r="M3050" s="12" t="s">
        <v>43</v>
      </c>
      <c r="N3050" s="12" t="s">
        <v>161</v>
      </c>
      <c r="O3050" s="12" t="s">
        <v>11139</v>
      </c>
      <c r="P3050" s="12" t="s">
        <v>66</v>
      </c>
      <c r="Q3050" s="12" t="s">
        <v>233</v>
      </c>
      <c r="R3050" s="12" t="s">
        <v>361</v>
      </c>
      <c r="S3050" s="13">
        <v>197065491901</v>
      </c>
      <c r="T3050" s="12" t="s">
        <v>235</v>
      </c>
      <c r="U3050" s="13">
        <v>31</v>
      </c>
      <c r="V3050" s="12" t="s">
        <v>665</v>
      </c>
      <c r="W3050" s="12" t="s">
        <v>186</v>
      </c>
      <c r="X3050" s="13">
        <v>0</v>
      </c>
      <c r="Y3050" s="12" t="s">
        <v>53</v>
      </c>
      <c r="Z3050" s="12" t="s">
        <v>108</v>
      </c>
      <c r="AA3050" s="13">
        <v>0</v>
      </c>
      <c r="AB3050" s="13">
        <v>0</v>
      </c>
      <c r="AC3050" s="15">
        <v>38.65</v>
      </c>
      <c r="AD3050" s="15">
        <f>AC3050*AG3050</f>
        <v>38.65</v>
      </c>
      <c r="AE3050" s="15">
        <v>85</v>
      </c>
      <c r="AF3050" s="15">
        <f>AE3050*AG3050</f>
        <v>85</v>
      </c>
      <c r="AG3050" s="16">
        <v>1</v>
      </c>
    </row>
    <row r="3051" spans="1:33" ht="15" customHeight="1" x14ac:dyDescent="0.2">
      <c r="A3051" s="11" t="str">
        <f t="shared" si="857"/>
        <v>VN000JBK02F1</v>
      </c>
      <c r="B3051" s="12" t="s">
        <v>11140</v>
      </c>
      <c r="C3051" s="12" t="s">
        <v>6360</v>
      </c>
      <c r="D3051" s="12" t="s">
        <v>857</v>
      </c>
      <c r="E3051" s="12" t="s">
        <v>11141</v>
      </c>
      <c r="F3051" s="12" t="s">
        <v>179</v>
      </c>
      <c r="G3051" s="14"/>
      <c r="H3051" s="12" t="s">
        <v>61</v>
      </c>
      <c r="I3051" s="12" t="s">
        <v>62</v>
      </c>
      <c r="J3051" s="12" t="s">
        <v>63</v>
      </c>
      <c r="K3051" s="12" t="s">
        <v>64</v>
      </c>
      <c r="L3051" s="14"/>
      <c r="M3051" s="12" t="s">
        <v>43</v>
      </c>
      <c r="N3051" s="12" t="s">
        <v>161</v>
      </c>
      <c r="O3051" s="12" t="s">
        <v>11142</v>
      </c>
      <c r="P3051" s="12" t="s">
        <v>66</v>
      </c>
      <c r="Q3051" s="12" t="s">
        <v>67</v>
      </c>
      <c r="R3051" s="12" t="s">
        <v>730</v>
      </c>
      <c r="S3051" s="13">
        <v>197641035680</v>
      </c>
      <c r="T3051" s="12" t="s">
        <v>69</v>
      </c>
      <c r="U3051" s="12" t="s">
        <v>179</v>
      </c>
      <c r="V3051" s="12" t="s">
        <v>6363</v>
      </c>
      <c r="W3051" s="12" t="s">
        <v>455</v>
      </c>
      <c r="X3051" s="13">
        <v>0</v>
      </c>
      <c r="Y3051" s="12" t="s">
        <v>91</v>
      </c>
      <c r="Z3051" s="12" t="s">
        <v>108</v>
      </c>
      <c r="AA3051" s="13">
        <v>0</v>
      </c>
      <c r="AB3051" s="13">
        <v>0</v>
      </c>
      <c r="AC3051" s="15">
        <v>29.55</v>
      </c>
      <c r="AD3051" s="15">
        <f>AC3051*AG3051</f>
        <v>29.55</v>
      </c>
      <c r="AE3051" s="15">
        <v>65</v>
      </c>
      <c r="AF3051" s="15">
        <f>AE3051*AG3051</f>
        <v>65</v>
      </c>
      <c r="AG3051" s="16">
        <v>1</v>
      </c>
    </row>
    <row r="3052" spans="1:33" ht="15" customHeight="1" x14ac:dyDescent="0.2">
      <c r="A3052" s="11" t="str">
        <f t="shared" si="858"/>
        <v>VN000JBMCIB1</v>
      </c>
      <c r="B3052" s="12" t="s">
        <v>11143</v>
      </c>
      <c r="C3052" s="12" t="s">
        <v>3379</v>
      </c>
      <c r="D3052" s="12" t="s">
        <v>7870</v>
      </c>
      <c r="E3052" s="12" t="s">
        <v>11144</v>
      </c>
      <c r="F3052" s="12" t="s">
        <v>403</v>
      </c>
      <c r="G3052" s="14"/>
      <c r="H3052" s="12" t="s">
        <v>61</v>
      </c>
      <c r="I3052" s="12" t="s">
        <v>62</v>
      </c>
      <c r="J3052" s="12" t="s">
        <v>63</v>
      </c>
      <c r="K3052" s="12" t="s">
        <v>64</v>
      </c>
      <c r="L3052" s="12" t="s">
        <v>83</v>
      </c>
      <c r="M3052" s="12" t="s">
        <v>43</v>
      </c>
      <c r="N3052" s="12" t="s">
        <v>84</v>
      </c>
      <c r="O3052" s="12" t="s">
        <v>11145</v>
      </c>
      <c r="P3052" s="12" t="s">
        <v>66</v>
      </c>
      <c r="Q3052" s="12" t="s">
        <v>67</v>
      </c>
      <c r="R3052" s="12" t="s">
        <v>730</v>
      </c>
      <c r="S3052" s="13">
        <v>197065713546</v>
      </c>
      <c r="T3052" s="12" t="s">
        <v>499</v>
      </c>
      <c r="U3052" s="12" t="s">
        <v>403</v>
      </c>
      <c r="V3052" s="12" t="s">
        <v>1378</v>
      </c>
      <c r="W3052" s="12" t="s">
        <v>118</v>
      </c>
      <c r="X3052" s="13">
        <v>0</v>
      </c>
      <c r="Y3052" s="12" t="s">
        <v>91</v>
      </c>
      <c r="Z3052" s="12" t="s">
        <v>108</v>
      </c>
      <c r="AA3052" s="13">
        <v>0</v>
      </c>
      <c r="AB3052" s="13">
        <v>0</v>
      </c>
      <c r="AC3052" s="15">
        <v>27.3</v>
      </c>
      <c r="AD3052" s="15">
        <f>AC3052*AG3052</f>
        <v>27.3</v>
      </c>
      <c r="AE3052" s="15">
        <v>60</v>
      </c>
      <c r="AF3052" s="15">
        <f>AE3052*AG3052</f>
        <v>60</v>
      </c>
      <c r="AG3052" s="16">
        <v>1</v>
      </c>
    </row>
    <row r="3053" spans="1:33" ht="15" customHeight="1" x14ac:dyDescent="0.2">
      <c r="A3053" s="11" t="str">
        <f t="shared" ref="A3053:A3054" si="1158">HYPERLINK("https://assets.vans.eu/images/VN000JBN7WM-HERO/1","VN000JBN7WM1")</f>
        <v>VN000JBN7WM1</v>
      </c>
      <c r="B3053" s="12" t="s">
        <v>11146</v>
      </c>
      <c r="C3053" s="12" t="s">
        <v>11147</v>
      </c>
      <c r="D3053" s="12" t="s">
        <v>388</v>
      </c>
      <c r="E3053" s="12" t="s">
        <v>11148</v>
      </c>
      <c r="F3053" s="12" t="s">
        <v>179</v>
      </c>
      <c r="G3053" s="14"/>
      <c r="H3053" s="12" t="s">
        <v>61</v>
      </c>
      <c r="I3053" s="12" t="s">
        <v>62</v>
      </c>
      <c r="J3053" s="12" t="s">
        <v>63</v>
      </c>
      <c r="K3053" s="12" t="s">
        <v>64</v>
      </c>
      <c r="L3053" s="12" t="s">
        <v>83</v>
      </c>
      <c r="M3053" s="12" t="s">
        <v>43</v>
      </c>
      <c r="N3053" s="12" t="s">
        <v>84</v>
      </c>
      <c r="O3053" s="12" t="s">
        <v>11149</v>
      </c>
      <c r="P3053" s="12" t="s">
        <v>66</v>
      </c>
      <c r="Q3053" s="12" t="s">
        <v>67</v>
      </c>
      <c r="R3053" s="12" t="s">
        <v>730</v>
      </c>
      <c r="S3053" s="13">
        <v>197065464448</v>
      </c>
      <c r="T3053" s="12" t="s">
        <v>69</v>
      </c>
      <c r="U3053" s="12" t="s">
        <v>179</v>
      </c>
      <c r="V3053" s="12" t="s">
        <v>1378</v>
      </c>
      <c r="W3053" s="12" t="s">
        <v>284</v>
      </c>
      <c r="X3053" s="13">
        <v>0</v>
      </c>
      <c r="Y3053" s="12" t="s">
        <v>91</v>
      </c>
      <c r="Z3053" s="12" t="s">
        <v>108</v>
      </c>
      <c r="AA3053" s="13">
        <v>0</v>
      </c>
      <c r="AB3053" s="13">
        <v>0</v>
      </c>
      <c r="AC3053" s="15">
        <v>29.55</v>
      </c>
      <c r="AD3053" s="15">
        <f>AC3053*AG3053</f>
        <v>29.55</v>
      </c>
      <c r="AE3053" s="15">
        <v>65</v>
      </c>
      <c r="AF3053" s="15">
        <f>AE3053*AG3053</f>
        <v>65</v>
      </c>
      <c r="AG3053" s="16">
        <v>1</v>
      </c>
    </row>
    <row r="3054" spans="1:33" ht="15" customHeight="1" x14ac:dyDescent="0.2">
      <c r="A3054" s="11" t="str">
        <f t="shared" si="1158"/>
        <v>VN000JBN7WM1</v>
      </c>
      <c r="B3054" s="12" t="s">
        <v>11150</v>
      </c>
      <c r="C3054" s="12" t="s">
        <v>11147</v>
      </c>
      <c r="D3054" s="12" t="s">
        <v>388</v>
      </c>
      <c r="E3054" s="12" t="s">
        <v>11151</v>
      </c>
      <c r="F3054" s="12" t="s">
        <v>403</v>
      </c>
      <c r="G3054" s="14"/>
      <c r="H3054" s="12" t="s">
        <v>61</v>
      </c>
      <c r="I3054" s="12" t="s">
        <v>62</v>
      </c>
      <c r="J3054" s="12" t="s">
        <v>63</v>
      </c>
      <c r="K3054" s="12" t="s">
        <v>64</v>
      </c>
      <c r="L3054" s="12" t="s">
        <v>83</v>
      </c>
      <c r="M3054" s="12" t="s">
        <v>43</v>
      </c>
      <c r="N3054" s="12" t="s">
        <v>84</v>
      </c>
      <c r="O3054" s="12" t="s">
        <v>11152</v>
      </c>
      <c r="P3054" s="12" t="s">
        <v>66</v>
      </c>
      <c r="Q3054" s="12" t="s">
        <v>67</v>
      </c>
      <c r="R3054" s="12" t="s">
        <v>730</v>
      </c>
      <c r="S3054" s="13">
        <v>197065464660</v>
      </c>
      <c r="T3054" s="12" t="s">
        <v>69</v>
      </c>
      <c r="U3054" s="12" t="s">
        <v>403</v>
      </c>
      <c r="V3054" s="12" t="s">
        <v>1378</v>
      </c>
      <c r="W3054" s="12" t="s">
        <v>284</v>
      </c>
      <c r="X3054" s="13">
        <v>0</v>
      </c>
      <c r="Y3054" s="12" t="s">
        <v>91</v>
      </c>
      <c r="Z3054" s="12" t="s">
        <v>108</v>
      </c>
      <c r="AA3054" s="13">
        <v>0</v>
      </c>
      <c r="AB3054" s="13">
        <v>0</v>
      </c>
      <c r="AC3054" s="15">
        <v>29.55</v>
      </c>
      <c r="AD3054" s="15">
        <f>AC3054*AG3054</f>
        <v>29.55</v>
      </c>
      <c r="AE3054" s="15">
        <v>65</v>
      </c>
      <c r="AF3054" s="15">
        <f>AE3054*AG3054</f>
        <v>65</v>
      </c>
      <c r="AG3054" s="16">
        <v>1</v>
      </c>
    </row>
    <row r="3055" spans="1:33" ht="15" customHeight="1" x14ac:dyDescent="0.2">
      <c r="A3055" s="11" t="str">
        <f>HYPERLINK("https://assets.vans.eu/images/VN000JBRBR1-HERO/1","VN000JBRBR11")</f>
        <v>VN000JBRBR11</v>
      </c>
      <c r="B3055" s="12" t="s">
        <v>11153</v>
      </c>
      <c r="C3055" s="12" t="s">
        <v>1723</v>
      </c>
      <c r="D3055" s="12" t="s">
        <v>496</v>
      </c>
      <c r="E3055" s="12" t="s">
        <v>11154</v>
      </c>
      <c r="F3055" s="12" t="s">
        <v>179</v>
      </c>
      <c r="G3055" s="14"/>
      <c r="H3055" s="12" t="s">
        <v>61</v>
      </c>
      <c r="I3055" s="12" t="s">
        <v>62</v>
      </c>
      <c r="J3055" s="12" t="s">
        <v>63</v>
      </c>
      <c r="K3055" s="12" t="s">
        <v>64</v>
      </c>
      <c r="L3055" s="14"/>
      <c r="M3055" s="12" t="s">
        <v>43</v>
      </c>
      <c r="N3055" s="12" t="s">
        <v>44</v>
      </c>
      <c r="O3055" s="12" t="s">
        <v>11155</v>
      </c>
      <c r="P3055" s="12" t="s">
        <v>66</v>
      </c>
      <c r="Q3055" s="12" t="s">
        <v>67</v>
      </c>
      <c r="R3055" s="12" t="s">
        <v>730</v>
      </c>
      <c r="S3055" s="13">
        <v>197643459866</v>
      </c>
      <c r="T3055" s="12" t="s">
        <v>499</v>
      </c>
      <c r="U3055" s="12" t="s">
        <v>179</v>
      </c>
      <c r="V3055" s="12" t="s">
        <v>70</v>
      </c>
      <c r="W3055" s="12" t="s">
        <v>118</v>
      </c>
      <c r="X3055" s="13">
        <v>0</v>
      </c>
      <c r="Y3055" s="12" t="s">
        <v>91</v>
      </c>
      <c r="Z3055" s="12" t="s">
        <v>108</v>
      </c>
      <c r="AA3055" s="13">
        <v>0</v>
      </c>
      <c r="AB3055" s="13">
        <v>0</v>
      </c>
      <c r="AC3055" s="15">
        <v>29.55</v>
      </c>
      <c r="AD3055" s="15">
        <f>AC3055*AG3055</f>
        <v>29.55</v>
      </c>
      <c r="AE3055" s="15">
        <v>65</v>
      </c>
      <c r="AF3055" s="15">
        <f>AE3055*AG3055</f>
        <v>65</v>
      </c>
      <c r="AG3055" s="16">
        <v>1</v>
      </c>
    </row>
    <row r="3056" spans="1:33" ht="15" customHeight="1" x14ac:dyDescent="0.2">
      <c r="A3056" s="11" t="str">
        <f t="shared" si="476"/>
        <v>VN000JBRZBF1</v>
      </c>
      <c r="B3056" s="12" t="s">
        <v>11156</v>
      </c>
      <c r="C3056" s="12" t="s">
        <v>1723</v>
      </c>
      <c r="D3056" s="12" t="s">
        <v>680</v>
      </c>
      <c r="E3056" s="12" t="s">
        <v>11157</v>
      </c>
      <c r="F3056" s="12" t="s">
        <v>403</v>
      </c>
      <c r="G3056" s="14"/>
      <c r="H3056" s="12" t="s">
        <v>61</v>
      </c>
      <c r="I3056" s="12" t="s">
        <v>62</v>
      </c>
      <c r="J3056" s="12" t="s">
        <v>63</v>
      </c>
      <c r="K3056" s="12" t="s">
        <v>64</v>
      </c>
      <c r="L3056" s="14"/>
      <c r="M3056" s="12" t="s">
        <v>43</v>
      </c>
      <c r="N3056" s="12" t="s">
        <v>84</v>
      </c>
      <c r="O3056" s="12" t="s">
        <v>11158</v>
      </c>
      <c r="P3056" s="12" t="s">
        <v>66</v>
      </c>
      <c r="Q3056" s="12" t="s">
        <v>67</v>
      </c>
      <c r="R3056" s="12" t="s">
        <v>730</v>
      </c>
      <c r="S3056" s="13">
        <v>197065464776</v>
      </c>
      <c r="T3056" s="12" t="s">
        <v>105</v>
      </c>
      <c r="U3056" s="12" t="s">
        <v>403</v>
      </c>
      <c r="V3056" s="12" t="s">
        <v>1726</v>
      </c>
      <c r="W3056" s="12" t="s">
        <v>118</v>
      </c>
      <c r="X3056" s="13">
        <v>0</v>
      </c>
      <c r="Y3056" s="12" t="s">
        <v>91</v>
      </c>
      <c r="Z3056" s="12" t="s">
        <v>108</v>
      </c>
      <c r="AA3056" s="13">
        <v>0</v>
      </c>
      <c r="AB3056" s="13">
        <v>0</v>
      </c>
      <c r="AC3056" s="15">
        <v>29.55</v>
      </c>
      <c r="AD3056" s="15">
        <f>AC3056*AG3056</f>
        <v>29.55</v>
      </c>
      <c r="AE3056" s="15">
        <v>65</v>
      </c>
      <c r="AF3056" s="15">
        <f>AE3056*AG3056</f>
        <v>65</v>
      </c>
      <c r="AG3056" s="16">
        <v>1</v>
      </c>
    </row>
    <row r="3057" spans="1:33" ht="15" customHeight="1" x14ac:dyDescent="0.2">
      <c r="A3057" s="11" t="str">
        <f>HYPERLINK("https://assets.vans.eu/images/VN000JBWJ5F-HERO/1","VN000JBWJ5F1")</f>
        <v>VN000JBWJ5F1</v>
      </c>
      <c r="B3057" s="12" t="s">
        <v>11159</v>
      </c>
      <c r="C3057" s="12" t="s">
        <v>11160</v>
      </c>
      <c r="D3057" s="12" t="s">
        <v>1703</v>
      </c>
      <c r="E3057" s="12" t="s">
        <v>11161</v>
      </c>
      <c r="F3057" s="12" t="s">
        <v>60</v>
      </c>
      <c r="G3057" s="14"/>
      <c r="H3057" s="12" t="s">
        <v>61</v>
      </c>
      <c r="I3057" s="12" t="s">
        <v>62</v>
      </c>
      <c r="J3057" s="12" t="s">
        <v>63</v>
      </c>
      <c r="K3057" s="12" t="s">
        <v>64</v>
      </c>
      <c r="L3057" s="14"/>
      <c r="M3057" s="12" t="s">
        <v>43</v>
      </c>
      <c r="N3057" s="12" t="s">
        <v>161</v>
      </c>
      <c r="O3057" s="12" t="s">
        <v>11162</v>
      </c>
      <c r="P3057" s="12" t="s">
        <v>66</v>
      </c>
      <c r="Q3057" s="12" t="s">
        <v>67</v>
      </c>
      <c r="R3057" s="12" t="s">
        <v>730</v>
      </c>
      <c r="S3057" s="13">
        <v>197641024295</v>
      </c>
      <c r="T3057" s="12" t="s">
        <v>69</v>
      </c>
      <c r="U3057" s="12" t="s">
        <v>60</v>
      </c>
      <c r="V3057" s="12" t="s">
        <v>1378</v>
      </c>
      <c r="W3057" s="12" t="s">
        <v>118</v>
      </c>
      <c r="X3057" s="13">
        <v>0</v>
      </c>
      <c r="Y3057" s="12" t="s">
        <v>91</v>
      </c>
      <c r="Z3057" s="12" t="s">
        <v>108</v>
      </c>
      <c r="AA3057" s="13">
        <v>0</v>
      </c>
      <c r="AB3057" s="13">
        <v>0</v>
      </c>
      <c r="AC3057" s="15">
        <v>30.95</v>
      </c>
      <c r="AD3057" s="15">
        <f>AC3057*AG3057</f>
        <v>30.95</v>
      </c>
      <c r="AE3057" s="15">
        <v>68</v>
      </c>
      <c r="AF3057" s="15">
        <f>AE3057*AG3057</f>
        <v>68</v>
      </c>
      <c r="AG3057" s="16">
        <v>1</v>
      </c>
    </row>
    <row r="3058" spans="1:33" ht="15" customHeight="1" x14ac:dyDescent="0.2">
      <c r="A3058" s="11" t="str">
        <f t="shared" si="859"/>
        <v>VN000JC0J5F1</v>
      </c>
      <c r="B3058" s="12" t="s">
        <v>11163</v>
      </c>
      <c r="C3058" s="12" t="s">
        <v>7877</v>
      </c>
      <c r="D3058" s="12" t="s">
        <v>1703</v>
      </c>
      <c r="E3058" s="12" t="s">
        <v>11164</v>
      </c>
      <c r="F3058" s="12" t="s">
        <v>170</v>
      </c>
      <c r="G3058" s="14"/>
      <c r="H3058" s="12" t="s">
        <v>61</v>
      </c>
      <c r="I3058" s="12" t="s">
        <v>62</v>
      </c>
      <c r="J3058" s="12" t="s">
        <v>63</v>
      </c>
      <c r="K3058" s="12" t="s">
        <v>64</v>
      </c>
      <c r="L3058" s="14"/>
      <c r="M3058" s="12" t="s">
        <v>43</v>
      </c>
      <c r="N3058" s="12" t="s">
        <v>84</v>
      </c>
      <c r="O3058" s="12" t="s">
        <v>11165</v>
      </c>
      <c r="P3058" s="12" t="s">
        <v>66</v>
      </c>
      <c r="Q3058" s="12" t="s">
        <v>67</v>
      </c>
      <c r="R3058" s="12" t="s">
        <v>730</v>
      </c>
      <c r="S3058" s="13">
        <v>197065465018</v>
      </c>
      <c r="T3058" s="12" t="s">
        <v>89</v>
      </c>
      <c r="U3058" s="12" t="s">
        <v>170</v>
      </c>
      <c r="V3058" s="12" t="s">
        <v>7880</v>
      </c>
      <c r="W3058" s="12" t="s">
        <v>118</v>
      </c>
      <c r="X3058" s="13">
        <v>0</v>
      </c>
      <c r="Y3058" s="12" t="s">
        <v>91</v>
      </c>
      <c r="Z3058" s="12" t="s">
        <v>108</v>
      </c>
      <c r="AA3058" s="13">
        <v>0</v>
      </c>
      <c r="AB3058" s="13">
        <v>0</v>
      </c>
      <c r="AC3058" s="15">
        <v>29.55</v>
      </c>
      <c r="AD3058" s="15">
        <f>AC3058*AG3058</f>
        <v>29.55</v>
      </c>
      <c r="AE3058" s="15">
        <v>65</v>
      </c>
      <c r="AF3058" s="15">
        <f>AE3058*AG3058</f>
        <v>65</v>
      </c>
      <c r="AG3058" s="16">
        <v>1</v>
      </c>
    </row>
    <row r="3059" spans="1:33" ht="15" customHeight="1" x14ac:dyDescent="0.2">
      <c r="A3059" s="11" t="str">
        <f>HYPERLINK("https://assets.vans.eu/images/VN000JC1BLK-HERO/1","VN000JC1BLK1")</f>
        <v>VN000JC1BLK1</v>
      </c>
      <c r="B3059" s="12" t="s">
        <v>11166</v>
      </c>
      <c r="C3059" s="12" t="s">
        <v>11167</v>
      </c>
      <c r="D3059" s="12" t="s">
        <v>76</v>
      </c>
      <c r="E3059" s="12" t="s">
        <v>11168</v>
      </c>
      <c r="F3059" s="12" t="s">
        <v>60</v>
      </c>
      <c r="G3059" s="14"/>
      <c r="H3059" s="12" t="s">
        <v>61</v>
      </c>
      <c r="I3059" s="12" t="s">
        <v>62</v>
      </c>
      <c r="J3059" s="12" t="s">
        <v>63</v>
      </c>
      <c r="K3059" s="12" t="s">
        <v>64</v>
      </c>
      <c r="L3059" s="14"/>
      <c r="M3059" s="12" t="s">
        <v>43</v>
      </c>
      <c r="N3059" s="12" t="s">
        <v>84</v>
      </c>
      <c r="O3059" s="12" t="s">
        <v>11169</v>
      </c>
      <c r="P3059" s="12" t="s">
        <v>66</v>
      </c>
      <c r="Q3059" s="12" t="s">
        <v>67</v>
      </c>
      <c r="R3059" s="12" t="s">
        <v>730</v>
      </c>
      <c r="S3059" s="13">
        <v>197065465100</v>
      </c>
      <c r="T3059" s="12" t="s">
        <v>49</v>
      </c>
      <c r="U3059" s="12" t="s">
        <v>60</v>
      </c>
      <c r="V3059" s="12" t="s">
        <v>1726</v>
      </c>
      <c r="W3059" s="12" t="s">
        <v>51</v>
      </c>
      <c r="X3059" s="13">
        <v>0</v>
      </c>
      <c r="Y3059" s="12" t="s">
        <v>91</v>
      </c>
      <c r="Z3059" s="12" t="s">
        <v>108</v>
      </c>
      <c r="AA3059" s="13">
        <v>0</v>
      </c>
      <c r="AB3059" s="13">
        <v>0</v>
      </c>
      <c r="AC3059" s="15">
        <v>26.4</v>
      </c>
      <c r="AD3059" s="15">
        <f>AC3059*AG3059</f>
        <v>26.4</v>
      </c>
      <c r="AE3059" s="15">
        <v>58</v>
      </c>
      <c r="AF3059" s="15">
        <f>AE3059*AG3059</f>
        <v>58</v>
      </c>
      <c r="AG3059" s="16">
        <v>1</v>
      </c>
    </row>
    <row r="3060" spans="1:33" ht="15" customHeight="1" x14ac:dyDescent="0.2">
      <c r="A3060" s="11" t="str">
        <f>HYPERLINK("https://assets.vans.eu/images/VN000JC4BLK-HERO/1","VN000JC4BLK1")</f>
        <v>VN000JC4BLK1</v>
      </c>
      <c r="B3060" s="12" t="s">
        <v>11170</v>
      </c>
      <c r="C3060" s="12" t="s">
        <v>11171</v>
      </c>
      <c r="D3060" s="12" t="s">
        <v>76</v>
      </c>
      <c r="E3060" s="12" t="s">
        <v>11172</v>
      </c>
      <c r="F3060" s="12" t="s">
        <v>60</v>
      </c>
      <c r="G3060" s="14"/>
      <c r="H3060" s="12" t="s">
        <v>61</v>
      </c>
      <c r="I3060" s="12" t="s">
        <v>62</v>
      </c>
      <c r="J3060" s="12" t="s">
        <v>63</v>
      </c>
      <c r="K3060" s="12" t="s">
        <v>64</v>
      </c>
      <c r="L3060" s="14"/>
      <c r="M3060" s="12" t="s">
        <v>43</v>
      </c>
      <c r="N3060" s="12" t="s">
        <v>161</v>
      </c>
      <c r="O3060" s="12" t="s">
        <v>11173</v>
      </c>
      <c r="P3060" s="12" t="s">
        <v>66</v>
      </c>
      <c r="Q3060" s="12" t="s">
        <v>67</v>
      </c>
      <c r="R3060" s="12" t="s">
        <v>68</v>
      </c>
      <c r="S3060" s="13">
        <v>197065465216</v>
      </c>
      <c r="T3060" s="12" t="s">
        <v>915</v>
      </c>
      <c r="U3060" s="12" t="s">
        <v>60</v>
      </c>
      <c r="V3060" s="12" t="s">
        <v>11174</v>
      </c>
      <c r="W3060" s="12" t="s">
        <v>51</v>
      </c>
      <c r="X3060" s="13">
        <v>0</v>
      </c>
      <c r="Y3060" s="12" t="s">
        <v>91</v>
      </c>
      <c r="Z3060" s="12" t="s">
        <v>108</v>
      </c>
      <c r="AA3060" s="13">
        <v>0</v>
      </c>
      <c r="AB3060" s="13">
        <v>0</v>
      </c>
      <c r="AC3060" s="15">
        <v>13.65</v>
      </c>
      <c r="AD3060" s="15">
        <f>AC3060*AG3060</f>
        <v>13.65</v>
      </c>
      <c r="AE3060" s="15">
        <v>30</v>
      </c>
      <c r="AF3060" s="15">
        <f>AE3060*AG3060</f>
        <v>30</v>
      </c>
      <c r="AG3060" s="16">
        <v>1</v>
      </c>
    </row>
    <row r="3061" spans="1:33" ht="15" customHeight="1" x14ac:dyDescent="0.2">
      <c r="A3061" s="11" t="str">
        <f>HYPERLINK("https://assets.vans.eu/images/VN000JC5LKZ-HERO/1","VN000JC5LKZ1")</f>
        <v>VN000JC5LKZ1</v>
      </c>
      <c r="B3061" s="12" t="s">
        <v>11175</v>
      </c>
      <c r="C3061" s="12" t="s">
        <v>6368</v>
      </c>
      <c r="D3061" s="12" t="s">
        <v>1213</v>
      </c>
      <c r="E3061" s="12" t="s">
        <v>11176</v>
      </c>
      <c r="F3061" s="12" t="s">
        <v>170</v>
      </c>
      <c r="G3061" s="14"/>
      <c r="H3061" s="12" t="s">
        <v>61</v>
      </c>
      <c r="I3061" s="12" t="s">
        <v>62</v>
      </c>
      <c r="J3061" s="12" t="s">
        <v>63</v>
      </c>
      <c r="K3061" s="12" t="s">
        <v>64</v>
      </c>
      <c r="L3061" s="14"/>
      <c r="M3061" s="12" t="s">
        <v>43</v>
      </c>
      <c r="N3061" s="12" t="s">
        <v>161</v>
      </c>
      <c r="O3061" s="12" t="s">
        <v>11177</v>
      </c>
      <c r="P3061" s="12" t="s">
        <v>66</v>
      </c>
      <c r="Q3061" s="12" t="s">
        <v>67</v>
      </c>
      <c r="R3061" s="12" t="s">
        <v>68</v>
      </c>
      <c r="S3061" s="13">
        <v>197065465308</v>
      </c>
      <c r="T3061" s="12" t="s">
        <v>915</v>
      </c>
      <c r="U3061" s="12" t="s">
        <v>170</v>
      </c>
      <c r="V3061" s="12" t="s">
        <v>1028</v>
      </c>
      <c r="W3061" s="12" t="s">
        <v>284</v>
      </c>
      <c r="X3061" s="13">
        <v>0</v>
      </c>
      <c r="Y3061" s="12" t="s">
        <v>91</v>
      </c>
      <c r="Z3061" s="12" t="s">
        <v>108</v>
      </c>
      <c r="AA3061" s="13">
        <v>0</v>
      </c>
      <c r="AB3061" s="13">
        <v>0</v>
      </c>
      <c r="AC3061" s="15">
        <v>15.95</v>
      </c>
      <c r="AD3061" s="15">
        <f>AC3061*AG3061</f>
        <v>15.95</v>
      </c>
      <c r="AE3061" s="15">
        <v>35</v>
      </c>
      <c r="AF3061" s="15">
        <f>AE3061*AG3061</f>
        <v>35</v>
      </c>
      <c r="AG3061" s="16">
        <v>1</v>
      </c>
    </row>
    <row r="3062" spans="1:33" ht="15" customHeight="1" x14ac:dyDescent="0.2">
      <c r="A3062" s="11" t="str">
        <f>HYPERLINK("https://assets.vans.eu/images/VN000JF5BLK-HERO/1","VN000JF5BLK1")</f>
        <v>VN000JF5BLK1</v>
      </c>
      <c r="B3062" s="12" t="s">
        <v>11178</v>
      </c>
      <c r="C3062" s="12" t="s">
        <v>4562</v>
      </c>
      <c r="D3062" s="12" t="s">
        <v>76</v>
      </c>
      <c r="E3062" s="12" t="s">
        <v>11179</v>
      </c>
      <c r="F3062" s="12" t="s">
        <v>621</v>
      </c>
      <c r="G3062" s="14"/>
      <c r="H3062" s="12" t="s">
        <v>61</v>
      </c>
      <c r="I3062" s="12" t="s">
        <v>289</v>
      </c>
      <c r="J3062" s="12" t="s">
        <v>706</v>
      </c>
      <c r="K3062" s="12" t="s">
        <v>100</v>
      </c>
      <c r="L3062" s="12" t="s">
        <v>83</v>
      </c>
      <c r="M3062" s="12" t="s">
        <v>43</v>
      </c>
      <c r="N3062" s="12" t="s">
        <v>44</v>
      </c>
      <c r="O3062" s="12" t="s">
        <v>11180</v>
      </c>
      <c r="P3062" s="12" t="s">
        <v>66</v>
      </c>
      <c r="Q3062" s="12" t="s">
        <v>67</v>
      </c>
      <c r="R3062" s="12" t="s">
        <v>708</v>
      </c>
      <c r="S3062" s="13">
        <v>197063678298</v>
      </c>
      <c r="T3062" s="12" t="s">
        <v>69</v>
      </c>
      <c r="U3062" s="12" t="s">
        <v>621</v>
      </c>
      <c r="V3062" s="12" t="s">
        <v>1378</v>
      </c>
      <c r="W3062" s="12" t="s">
        <v>51</v>
      </c>
      <c r="X3062" s="13">
        <v>0</v>
      </c>
      <c r="Y3062" s="12" t="s">
        <v>91</v>
      </c>
      <c r="Z3062" s="12" t="s">
        <v>108</v>
      </c>
      <c r="AA3062" s="13">
        <v>0</v>
      </c>
      <c r="AB3062" s="12" t="s">
        <v>616</v>
      </c>
      <c r="AC3062" s="15">
        <v>25</v>
      </c>
      <c r="AD3062" s="15">
        <f>AC3062*AG3062</f>
        <v>25</v>
      </c>
      <c r="AE3062" s="15">
        <v>55</v>
      </c>
      <c r="AF3062" s="15">
        <f>AE3062*AG3062</f>
        <v>55</v>
      </c>
      <c r="AG3062" s="16">
        <v>1</v>
      </c>
    </row>
    <row r="3063" spans="1:33" ht="15" customHeight="1" x14ac:dyDescent="0.2">
      <c r="A3063" s="11" t="str">
        <f>HYPERLINK("https://assets.vans.eu/images/VN000JF6CFL-HERO/1","VN000JF6CFL1")</f>
        <v>VN000JF6CFL1</v>
      </c>
      <c r="B3063" s="12" t="s">
        <v>11181</v>
      </c>
      <c r="C3063" s="12" t="s">
        <v>11182</v>
      </c>
      <c r="D3063" s="12" t="s">
        <v>1258</v>
      </c>
      <c r="E3063" s="12" t="s">
        <v>11183</v>
      </c>
      <c r="F3063" s="12" t="s">
        <v>179</v>
      </c>
      <c r="G3063" s="14"/>
      <c r="H3063" s="12" t="s">
        <v>61</v>
      </c>
      <c r="I3063" s="12" t="s">
        <v>289</v>
      </c>
      <c r="J3063" s="12" t="s">
        <v>706</v>
      </c>
      <c r="K3063" s="12" t="s">
        <v>100</v>
      </c>
      <c r="L3063" s="12" t="s">
        <v>83</v>
      </c>
      <c r="M3063" s="12" t="s">
        <v>43</v>
      </c>
      <c r="N3063" s="12" t="s">
        <v>44</v>
      </c>
      <c r="O3063" s="12" t="s">
        <v>11184</v>
      </c>
      <c r="P3063" s="12" t="s">
        <v>66</v>
      </c>
      <c r="Q3063" s="12" t="s">
        <v>67</v>
      </c>
      <c r="R3063" s="12" t="s">
        <v>708</v>
      </c>
      <c r="S3063" s="13">
        <v>197803398660</v>
      </c>
      <c r="T3063" s="12" t="s">
        <v>69</v>
      </c>
      <c r="U3063" s="12" t="s">
        <v>179</v>
      </c>
      <c r="V3063" s="12" t="s">
        <v>1378</v>
      </c>
      <c r="W3063" s="12" t="s">
        <v>284</v>
      </c>
      <c r="X3063" s="13">
        <v>0</v>
      </c>
      <c r="Y3063" s="12" t="s">
        <v>91</v>
      </c>
      <c r="Z3063" s="12" t="s">
        <v>108</v>
      </c>
      <c r="AA3063" s="13">
        <v>0</v>
      </c>
      <c r="AB3063" s="12" t="s">
        <v>616</v>
      </c>
      <c r="AC3063" s="15">
        <v>27.3</v>
      </c>
      <c r="AD3063" s="15">
        <f>AC3063*AG3063</f>
        <v>27.3</v>
      </c>
      <c r="AE3063" s="15">
        <v>60</v>
      </c>
      <c r="AF3063" s="15">
        <f>AE3063*AG3063</f>
        <v>60</v>
      </c>
      <c r="AG3063" s="16">
        <v>1</v>
      </c>
    </row>
    <row r="3064" spans="1:33" ht="15" customHeight="1" x14ac:dyDescent="0.2">
      <c r="A3064" s="11" t="str">
        <f t="shared" ref="A3064:A3065" si="1159">HYPERLINK("https://assets.vans.eu/images/VN000JGPD3Z-HERO/1","VN000JGPD3Z1")</f>
        <v>VN000JGPD3Z1</v>
      </c>
      <c r="B3064" s="12" t="s">
        <v>11185</v>
      </c>
      <c r="C3064" s="12" t="s">
        <v>6372</v>
      </c>
      <c r="D3064" s="12" t="s">
        <v>4721</v>
      </c>
      <c r="E3064" s="12" t="s">
        <v>11186</v>
      </c>
      <c r="F3064" s="12" t="s">
        <v>179</v>
      </c>
      <c r="G3064" s="14"/>
      <c r="H3064" s="12" t="s">
        <v>61</v>
      </c>
      <c r="I3064" s="12" t="s">
        <v>289</v>
      </c>
      <c r="J3064" s="12" t="s">
        <v>900</v>
      </c>
      <c r="K3064" s="12" t="s">
        <v>100</v>
      </c>
      <c r="L3064" s="12" t="s">
        <v>260</v>
      </c>
      <c r="M3064" s="12" t="s">
        <v>43</v>
      </c>
      <c r="N3064" s="12" t="s">
        <v>161</v>
      </c>
      <c r="O3064" s="12" t="s">
        <v>11187</v>
      </c>
      <c r="P3064" s="12" t="s">
        <v>66</v>
      </c>
      <c r="Q3064" s="12" t="s">
        <v>233</v>
      </c>
      <c r="R3064" s="12" t="s">
        <v>902</v>
      </c>
      <c r="S3064" s="13">
        <v>197642376164</v>
      </c>
      <c r="T3064" s="12" t="s">
        <v>49</v>
      </c>
      <c r="U3064" s="12" t="s">
        <v>179</v>
      </c>
      <c r="V3064" s="12" t="s">
        <v>6375</v>
      </c>
      <c r="W3064" s="12" t="s">
        <v>118</v>
      </c>
      <c r="X3064" s="13">
        <v>0</v>
      </c>
      <c r="Y3064" s="12" t="s">
        <v>91</v>
      </c>
      <c r="Z3064" s="12" t="s">
        <v>108</v>
      </c>
      <c r="AA3064" s="13">
        <v>0</v>
      </c>
      <c r="AB3064" s="12" t="s">
        <v>264</v>
      </c>
      <c r="AC3064" s="15">
        <v>21.85</v>
      </c>
      <c r="AD3064" s="15">
        <f>AC3064*AG3064</f>
        <v>21.85</v>
      </c>
      <c r="AE3064" s="15">
        <v>48</v>
      </c>
      <c r="AF3064" s="15">
        <f>AE3064*AG3064</f>
        <v>48</v>
      </c>
      <c r="AG3064" s="16">
        <v>1</v>
      </c>
    </row>
    <row r="3065" spans="1:33" ht="15" customHeight="1" x14ac:dyDescent="0.2">
      <c r="A3065" s="11" t="str">
        <f t="shared" si="1159"/>
        <v>VN000JGPD3Z1</v>
      </c>
      <c r="B3065" s="12" t="s">
        <v>11188</v>
      </c>
      <c r="C3065" s="12" t="s">
        <v>6372</v>
      </c>
      <c r="D3065" s="12" t="s">
        <v>4721</v>
      </c>
      <c r="E3065" s="12" t="s">
        <v>11189</v>
      </c>
      <c r="F3065" s="12" t="s">
        <v>138</v>
      </c>
      <c r="G3065" s="14"/>
      <c r="H3065" s="12" t="s">
        <v>61</v>
      </c>
      <c r="I3065" s="12" t="s">
        <v>289</v>
      </c>
      <c r="J3065" s="12" t="s">
        <v>900</v>
      </c>
      <c r="K3065" s="12" t="s">
        <v>100</v>
      </c>
      <c r="L3065" s="12" t="s">
        <v>260</v>
      </c>
      <c r="M3065" s="12" t="s">
        <v>43</v>
      </c>
      <c r="N3065" s="12" t="s">
        <v>161</v>
      </c>
      <c r="O3065" s="12" t="s">
        <v>11190</v>
      </c>
      <c r="P3065" s="12" t="s">
        <v>66</v>
      </c>
      <c r="Q3065" s="12" t="s">
        <v>233</v>
      </c>
      <c r="R3065" s="12" t="s">
        <v>902</v>
      </c>
      <c r="S3065" s="13">
        <v>197642376225</v>
      </c>
      <c r="T3065" s="12" t="s">
        <v>49</v>
      </c>
      <c r="U3065" s="12" t="s">
        <v>138</v>
      </c>
      <c r="V3065" s="12" t="s">
        <v>6375</v>
      </c>
      <c r="W3065" s="12" t="s">
        <v>118</v>
      </c>
      <c r="X3065" s="13">
        <v>0</v>
      </c>
      <c r="Y3065" s="12" t="s">
        <v>91</v>
      </c>
      <c r="Z3065" s="12" t="s">
        <v>108</v>
      </c>
      <c r="AA3065" s="13">
        <v>0</v>
      </c>
      <c r="AB3065" s="12" t="s">
        <v>264</v>
      </c>
      <c r="AC3065" s="15">
        <v>21.85</v>
      </c>
      <c r="AD3065" s="15">
        <f>AC3065*AG3065</f>
        <v>21.85</v>
      </c>
      <c r="AE3065" s="15">
        <v>48</v>
      </c>
      <c r="AF3065" s="15">
        <f>AE3065*AG3065</f>
        <v>48</v>
      </c>
      <c r="AG3065" s="16">
        <v>1</v>
      </c>
    </row>
    <row r="3066" spans="1:33" ht="15" customHeight="1" x14ac:dyDescent="0.2">
      <c r="A3066" s="11" t="str">
        <f>HYPERLINK("https://assets.vans.eu/images/VN000JGT02F-HERO/1","VN000JGT02F1")</f>
        <v>VN000JGT02F1</v>
      </c>
      <c r="B3066" s="12" t="s">
        <v>11191</v>
      </c>
      <c r="C3066" s="12" t="s">
        <v>11192</v>
      </c>
      <c r="D3066" s="12" t="s">
        <v>857</v>
      </c>
      <c r="E3066" s="12" t="s">
        <v>11193</v>
      </c>
      <c r="F3066" s="12" t="s">
        <v>179</v>
      </c>
      <c r="G3066" s="14"/>
      <c r="H3066" s="12" t="s">
        <v>61</v>
      </c>
      <c r="I3066" s="12" t="s">
        <v>62</v>
      </c>
      <c r="J3066" s="12" t="s">
        <v>63</v>
      </c>
      <c r="K3066" s="12" t="s">
        <v>64</v>
      </c>
      <c r="L3066" s="12" t="s">
        <v>350</v>
      </c>
      <c r="M3066" s="12" t="s">
        <v>43</v>
      </c>
      <c r="N3066" s="12" t="s">
        <v>44</v>
      </c>
      <c r="O3066" s="12" t="s">
        <v>11194</v>
      </c>
      <c r="P3066" s="12" t="s">
        <v>66</v>
      </c>
      <c r="Q3066" s="12" t="s">
        <v>67</v>
      </c>
      <c r="R3066" s="12" t="s">
        <v>730</v>
      </c>
      <c r="S3066" s="13">
        <v>197063690283</v>
      </c>
      <c r="T3066" s="12" t="s">
        <v>499</v>
      </c>
      <c r="U3066" s="12" t="s">
        <v>179</v>
      </c>
      <c r="V3066" s="12" t="s">
        <v>1378</v>
      </c>
      <c r="W3066" s="12" t="s">
        <v>455</v>
      </c>
      <c r="X3066" s="13">
        <v>0</v>
      </c>
      <c r="Y3066" s="12" t="s">
        <v>91</v>
      </c>
      <c r="Z3066" s="12" t="s">
        <v>108</v>
      </c>
      <c r="AA3066" s="13">
        <v>0</v>
      </c>
      <c r="AB3066" s="12" t="s">
        <v>616</v>
      </c>
      <c r="AC3066" s="15">
        <v>30.95</v>
      </c>
      <c r="AD3066" s="15">
        <f>AC3066*AG3066</f>
        <v>30.95</v>
      </c>
      <c r="AE3066" s="15">
        <v>68</v>
      </c>
      <c r="AF3066" s="15">
        <f>AE3066*AG3066</f>
        <v>68</v>
      </c>
      <c r="AG3066" s="16">
        <v>1</v>
      </c>
    </row>
    <row r="3067" spans="1:33" ht="15" customHeight="1" x14ac:dyDescent="0.2">
      <c r="A3067" s="11" t="str">
        <f>HYPERLINK("https://assets.vans.eu/images/VN000JPNBLK-HERO/1","VN000JPNBLK1")</f>
        <v>VN000JPNBLK1</v>
      </c>
      <c r="B3067" s="12" t="s">
        <v>11195</v>
      </c>
      <c r="C3067" s="12" t="s">
        <v>11196</v>
      </c>
      <c r="D3067" s="12" t="s">
        <v>76</v>
      </c>
      <c r="E3067" s="12" t="s">
        <v>11197</v>
      </c>
      <c r="F3067" s="12" t="s">
        <v>179</v>
      </c>
      <c r="G3067" s="14"/>
      <c r="H3067" s="12" t="s">
        <v>61</v>
      </c>
      <c r="I3067" s="12" t="s">
        <v>62</v>
      </c>
      <c r="J3067" s="12" t="s">
        <v>63</v>
      </c>
      <c r="K3067" s="12" t="s">
        <v>64</v>
      </c>
      <c r="L3067" s="14"/>
      <c r="M3067" s="12" t="s">
        <v>43</v>
      </c>
      <c r="N3067" s="12" t="s">
        <v>161</v>
      </c>
      <c r="O3067" s="12" t="s">
        <v>11198</v>
      </c>
      <c r="P3067" s="12" t="s">
        <v>66</v>
      </c>
      <c r="Q3067" s="12" t="s">
        <v>67</v>
      </c>
      <c r="R3067" s="12" t="s">
        <v>68</v>
      </c>
      <c r="S3067" s="13">
        <v>197065113735</v>
      </c>
      <c r="T3067" s="12" t="s">
        <v>422</v>
      </c>
      <c r="U3067" s="12" t="s">
        <v>179</v>
      </c>
      <c r="V3067" s="12" t="s">
        <v>70</v>
      </c>
      <c r="W3067" s="12" t="s">
        <v>51</v>
      </c>
      <c r="X3067" s="13">
        <v>0</v>
      </c>
      <c r="Y3067" s="12" t="s">
        <v>71</v>
      </c>
      <c r="Z3067" s="12" t="s">
        <v>72</v>
      </c>
      <c r="AA3067" s="12" t="s">
        <v>73</v>
      </c>
      <c r="AB3067" s="13">
        <v>0</v>
      </c>
      <c r="AC3067" s="15">
        <v>12.75</v>
      </c>
      <c r="AD3067" s="15">
        <f>AC3067*AG3067</f>
        <v>12.75</v>
      </c>
      <c r="AE3067" s="15">
        <v>28</v>
      </c>
      <c r="AF3067" s="15">
        <f>AE3067*AG3067</f>
        <v>28</v>
      </c>
      <c r="AG3067" s="16">
        <v>1</v>
      </c>
    </row>
    <row r="3068" spans="1:33" ht="15" customHeight="1" x14ac:dyDescent="0.2">
      <c r="A3068" s="11" t="str">
        <f>HYPERLINK("https://assets.vans.eu/images/VN000JQ5CCB-HERO/1","VN000JQ5CCB1")</f>
        <v>VN000JQ5CCB1</v>
      </c>
      <c r="B3068" s="12" t="s">
        <v>11199</v>
      </c>
      <c r="C3068" s="12" t="s">
        <v>11200</v>
      </c>
      <c r="D3068" s="12" t="s">
        <v>11201</v>
      </c>
      <c r="E3068" s="12" t="s">
        <v>11202</v>
      </c>
      <c r="F3068" s="12" t="s">
        <v>179</v>
      </c>
      <c r="G3068" s="14"/>
      <c r="H3068" s="12" t="s">
        <v>61</v>
      </c>
      <c r="I3068" s="12" t="s">
        <v>62</v>
      </c>
      <c r="J3068" s="12" t="s">
        <v>63</v>
      </c>
      <c r="K3068" s="12" t="s">
        <v>64</v>
      </c>
      <c r="L3068" s="14"/>
      <c r="M3068" s="12" t="s">
        <v>43</v>
      </c>
      <c r="N3068" s="12" t="s">
        <v>84</v>
      </c>
      <c r="O3068" s="12" t="s">
        <v>11203</v>
      </c>
      <c r="P3068" s="12" t="s">
        <v>66</v>
      </c>
      <c r="Q3068" s="12" t="s">
        <v>67</v>
      </c>
      <c r="R3068" s="12" t="s">
        <v>730</v>
      </c>
      <c r="S3068" s="13">
        <v>197065467227</v>
      </c>
      <c r="T3068" s="12" t="s">
        <v>49</v>
      </c>
      <c r="U3068" s="12" t="s">
        <v>179</v>
      </c>
      <c r="V3068" s="12" t="s">
        <v>1726</v>
      </c>
      <c r="W3068" s="12" t="s">
        <v>51</v>
      </c>
      <c r="X3068" s="13">
        <v>0</v>
      </c>
      <c r="Y3068" s="12" t="s">
        <v>53</v>
      </c>
      <c r="Z3068" s="12" t="s">
        <v>108</v>
      </c>
      <c r="AA3068" s="13">
        <v>0</v>
      </c>
      <c r="AB3068" s="13">
        <v>0</v>
      </c>
      <c r="AC3068" s="15">
        <v>36.4</v>
      </c>
      <c r="AD3068" s="15">
        <f>AC3068*AG3068</f>
        <v>36.4</v>
      </c>
      <c r="AE3068" s="15">
        <v>80</v>
      </c>
      <c r="AF3068" s="15">
        <f>AE3068*AG3068</f>
        <v>80</v>
      </c>
      <c r="AG3068" s="16">
        <v>1</v>
      </c>
    </row>
    <row r="3069" spans="1:33" ht="15" customHeight="1" x14ac:dyDescent="0.2">
      <c r="A3069" s="11" t="str">
        <f>HYPERLINK("https://assets.vans.eu/images/VN000JQP9JC-HERO/1","VN000JQP9JC1")</f>
        <v>VN000JQP9JC1</v>
      </c>
      <c r="B3069" s="12" t="s">
        <v>11204</v>
      </c>
      <c r="C3069" s="12" t="s">
        <v>7895</v>
      </c>
      <c r="D3069" s="12" t="s">
        <v>4481</v>
      </c>
      <c r="E3069" s="12" t="s">
        <v>11205</v>
      </c>
      <c r="F3069" s="12" t="s">
        <v>179</v>
      </c>
      <c r="G3069" s="14"/>
      <c r="H3069" s="12" t="s">
        <v>61</v>
      </c>
      <c r="I3069" s="12" t="s">
        <v>230</v>
      </c>
      <c r="J3069" s="12" t="s">
        <v>419</v>
      </c>
      <c r="K3069" s="12" t="s">
        <v>199</v>
      </c>
      <c r="L3069" s="14"/>
      <c r="M3069" s="12" t="s">
        <v>43</v>
      </c>
      <c r="N3069" s="12" t="s">
        <v>161</v>
      </c>
      <c r="O3069" s="12" t="s">
        <v>11206</v>
      </c>
      <c r="P3069" s="12" t="s">
        <v>66</v>
      </c>
      <c r="Q3069" s="12" t="s">
        <v>67</v>
      </c>
      <c r="R3069" s="12" t="s">
        <v>421</v>
      </c>
      <c r="S3069" s="13">
        <v>197065493271</v>
      </c>
      <c r="T3069" s="12" t="s">
        <v>49</v>
      </c>
      <c r="U3069" s="12" t="s">
        <v>179</v>
      </c>
      <c r="V3069" s="12" t="s">
        <v>70</v>
      </c>
      <c r="W3069" s="12" t="s">
        <v>186</v>
      </c>
      <c r="X3069" s="13">
        <v>0</v>
      </c>
      <c r="Y3069" s="12" t="s">
        <v>91</v>
      </c>
      <c r="Z3069" s="12" t="s">
        <v>108</v>
      </c>
      <c r="AA3069" s="13">
        <v>0</v>
      </c>
      <c r="AB3069" s="13">
        <v>0</v>
      </c>
      <c r="AC3069" s="15">
        <v>25</v>
      </c>
      <c r="AD3069" s="15">
        <f>AC3069*AG3069</f>
        <v>25</v>
      </c>
      <c r="AE3069" s="15">
        <v>55</v>
      </c>
      <c r="AF3069" s="15">
        <f>AE3069*AG3069</f>
        <v>55</v>
      </c>
      <c r="AG3069" s="16">
        <v>1</v>
      </c>
    </row>
    <row r="3070" spans="1:33" ht="15" customHeight="1" x14ac:dyDescent="0.2">
      <c r="A3070" s="11" t="str">
        <f>HYPERLINK("https://assets.vans.eu/images/VN000JQPBLK-HERO/1","VN000JQPBLK1")</f>
        <v>VN000JQPBLK1</v>
      </c>
      <c r="B3070" s="12" t="s">
        <v>11207</v>
      </c>
      <c r="C3070" s="12" t="s">
        <v>7895</v>
      </c>
      <c r="D3070" s="12" t="s">
        <v>76</v>
      </c>
      <c r="E3070" s="12" t="s">
        <v>11208</v>
      </c>
      <c r="F3070" s="12" t="s">
        <v>403</v>
      </c>
      <c r="G3070" s="14"/>
      <c r="H3070" s="12" t="s">
        <v>61</v>
      </c>
      <c r="I3070" s="12" t="s">
        <v>230</v>
      </c>
      <c r="J3070" s="12" t="s">
        <v>419</v>
      </c>
      <c r="K3070" s="12" t="s">
        <v>199</v>
      </c>
      <c r="L3070" s="14"/>
      <c r="M3070" s="12" t="s">
        <v>43</v>
      </c>
      <c r="N3070" s="12" t="s">
        <v>161</v>
      </c>
      <c r="O3070" s="12" t="s">
        <v>11209</v>
      </c>
      <c r="P3070" s="12" t="s">
        <v>66</v>
      </c>
      <c r="Q3070" s="12" t="s">
        <v>67</v>
      </c>
      <c r="R3070" s="12" t="s">
        <v>421</v>
      </c>
      <c r="S3070" s="13">
        <v>197065493493</v>
      </c>
      <c r="T3070" s="12" t="s">
        <v>49</v>
      </c>
      <c r="U3070" s="12" t="s">
        <v>403</v>
      </c>
      <c r="V3070" s="12" t="s">
        <v>70</v>
      </c>
      <c r="W3070" s="12" t="s">
        <v>51</v>
      </c>
      <c r="X3070" s="13">
        <v>0</v>
      </c>
      <c r="Y3070" s="12" t="s">
        <v>91</v>
      </c>
      <c r="Z3070" s="12" t="s">
        <v>108</v>
      </c>
      <c r="AA3070" s="13">
        <v>0</v>
      </c>
      <c r="AB3070" s="13">
        <v>0</v>
      </c>
      <c r="AC3070" s="15">
        <v>25</v>
      </c>
      <c r="AD3070" s="15">
        <f>AC3070*AG3070</f>
        <v>25</v>
      </c>
      <c r="AE3070" s="15">
        <v>55</v>
      </c>
      <c r="AF3070" s="15">
        <f>AE3070*AG3070</f>
        <v>55</v>
      </c>
      <c r="AG3070" s="16">
        <v>1</v>
      </c>
    </row>
    <row r="3071" spans="1:33" ht="15" customHeight="1" x14ac:dyDescent="0.2">
      <c r="A3071" s="11" t="str">
        <f>HYPERLINK("https://assets.vans.eu/images/VN000JQPC9F-HERO/1","VN000JQPC9F1")</f>
        <v>VN000JQPC9F1</v>
      </c>
      <c r="B3071" s="12" t="s">
        <v>11210</v>
      </c>
      <c r="C3071" s="12" t="s">
        <v>7895</v>
      </c>
      <c r="D3071" s="12" t="s">
        <v>2056</v>
      </c>
      <c r="E3071" s="12" t="s">
        <v>11211</v>
      </c>
      <c r="F3071" s="12" t="s">
        <v>403</v>
      </c>
      <c r="G3071" s="14"/>
      <c r="H3071" s="12" t="s">
        <v>61</v>
      </c>
      <c r="I3071" s="12" t="s">
        <v>230</v>
      </c>
      <c r="J3071" s="12" t="s">
        <v>419</v>
      </c>
      <c r="K3071" s="12" t="s">
        <v>199</v>
      </c>
      <c r="L3071" s="14"/>
      <c r="M3071" s="12" t="s">
        <v>43</v>
      </c>
      <c r="N3071" s="12" t="s">
        <v>44</v>
      </c>
      <c r="O3071" s="12" t="s">
        <v>11212</v>
      </c>
      <c r="P3071" s="12" t="s">
        <v>66</v>
      </c>
      <c r="Q3071" s="12" t="s">
        <v>67</v>
      </c>
      <c r="R3071" s="12" t="s">
        <v>421</v>
      </c>
      <c r="S3071" s="13">
        <v>197643460688</v>
      </c>
      <c r="T3071" s="12" t="s">
        <v>49</v>
      </c>
      <c r="U3071" s="12" t="s">
        <v>403</v>
      </c>
      <c r="V3071" s="12" t="s">
        <v>665</v>
      </c>
      <c r="W3071" s="12" t="s">
        <v>175</v>
      </c>
      <c r="X3071" s="13">
        <v>0</v>
      </c>
      <c r="Y3071" s="12" t="s">
        <v>91</v>
      </c>
      <c r="Z3071" s="12" t="s">
        <v>108</v>
      </c>
      <c r="AA3071" s="13">
        <v>0</v>
      </c>
      <c r="AB3071" s="13">
        <v>0</v>
      </c>
      <c r="AC3071" s="15">
        <v>25</v>
      </c>
      <c r="AD3071" s="15">
        <f>AC3071*AG3071</f>
        <v>25</v>
      </c>
      <c r="AE3071" s="15">
        <v>55</v>
      </c>
      <c r="AF3071" s="15">
        <f>AE3071*AG3071</f>
        <v>55</v>
      </c>
      <c r="AG3071" s="16">
        <v>1</v>
      </c>
    </row>
    <row r="3072" spans="1:33" ht="15" customHeight="1" x14ac:dyDescent="0.2">
      <c r="A3072" s="11" t="str">
        <f>HYPERLINK("https://assets.vans.eu/images/VN000JSN7YO-HERO/1","VN000JSN7YO1")</f>
        <v>VN000JSN7YO1</v>
      </c>
      <c r="B3072" s="12" t="s">
        <v>11213</v>
      </c>
      <c r="C3072" s="12" t="s">
        <v>11214</v>
      </c>
      <c r="D3072" s="12" t="s">
        <v>2353</v>
      </c>
      <c r="E3072" s="12" t="s">
        <v>11215</v>
      </c>
      <c r="F3072" s="12" t="s">
        <v>403</v>
      </c>
      <c r="G3072" s="14"/>
      <c r="H3072" s="12" t="s">
        <v>61</v>
      </c>
      <c r="I3072" s="12" t="s">
        <v>230</v>
      </c>
      <c r="J3072" s="12" t="s">
        <v>419</v>
      </c>
      <c r="K3072" s="12" t="s">
        <v>199</v>
      </c>
      <c r="L3072" s="12" t="s">
        <v>83</v>
      </c>
      <c r="M3072" s="12" t="s">
        <v>43</v>
      </c>
      <c r="N3072" s="12" t="s">
        <v>84</v>
      </c>
      <c r="O3072" s="12" t="s">
        <v>11216</v>
      </c>
      <c r="P3072" s="12" t="s">
        <v>66</v>
      </c>
      <c r="Q3072" s="12" t="s">
        <v>67</v>
      </c>
      <c r="R3072" s="12" t="s">
        <v>623</v>
      </c>
      <c r="S3072" s="13">
        <v>197065829193</v>
      </c>
      <c r="T3072" s="12" t="s">
        <v>499</v>
      </c>
      <c r="U3072" s="12" t="s">
        <v>403</v>
      </c>
      <c r="V3072" s="12" t="s">
        <v>70</v>
      </c>
      <c r="W3072" s="12" t="s">
        <v>186</v>
      </c>
      <c r="X3072" s="13">
        <v>0</v>
      </c>
      <c r="Y3072" s="12" t="s">
        <v>91</v>
      </c>
      <c r="Z3072" s="12" t="s">
        <v>108</v>
      </c>
      <c r="AA3072" s="13">
        <v>0</v>
      </c>
      <c r="AB3072" s="12" t="s">
        <v>616</v>
      </c>
      <c r="AC3072" s="15">
        <v>36.4</v>
      </c>
      <c r="AD3072" s="15">
        <f>AC3072*AG3072</f>
        <v>36.4</v>
      </c>
      <c r="AE3072" s="15">
        <v>80</v>
      </c>
      <c r="AF3072" s="15">
        <f>AE3072*AG3072</f>
        <v>80</v>
      </c>
      <c r="AG3072" s="16">
        <v>1</v>
      </c>
    </row>
    <row r="3073" spans="1:33" ht="15" customHeight="1" x14ac:dyDescent="0.2">
      <c r="A3073" s="11" t="str">
        <f t="shared" ref="A3073:A3074" si="1160">HYPERLINK("https://assets.vans.eu/images/VN000JT37W6-HERO/1","VN000JT37W61")</f>
        <v>VN000JT37W61</v>
      </c>
      <c r="B3073" s="12" t="s">
        <v>11217</v>
      </c>
      <c r="C3073" s="12" t="s">
        <v>7899</v>
      </c>
      <c r="D3073" s="12" t="s">
        <v>7900</v>
      </c>
      <c r="E3073" s="12" t="s">
        <v>11218</v>
      </c>
      <c r="F3073" s="12" t="s">
        <v>403</v>
      </c>
      <c r="G3073" s="14"/>
      <c r="H3073" s="12" t="s">
        <v>61</v>
      </c>
      <c r="I3073" s="12" t="s">
        <v>289</v>
      </c>
      <c r="J3073" s="12" t="s">
        <v>706</v>
      </c>
      <c r="K3073" s="12" t="s">
        <v>100</v>
      </c>
      <c r="L3073" s="14"/>
      <c r="M3073" s="12" t="s">
        <v>43</v>
      </c>
      <c r="N3073" s="12" t="s">
        <v>161</v>
      </c>
      <c r="O3073" s="12" t="s">
        <v>11219</v>
      </c>
      <c r="P3073" s="12" t="s">
        <v>66</v>
      </c>
      <c r="Q3073" s="12" t="s">
        <v>67</v>
      </c>
      <c r="R3073" s="12" t="s">
        <v>1200</v>
      </c>
      <c r="S3073" s="13">
        <v>197065468545</v>
      </c>
      <c r="T3073" s="12" t="s">
        <v>235</v>
      </c>
      <c r="U3073" s="12" t="s">
        <v>403</v>
      </c>
      <c r="V3073" s="12" t="s">
        <v>665</v>
      </c>
      <c r="W3073" s="12" t="s">
        <v>175</v>
      </c>
      <c r="X3073" s="13">
        <v>0</v>
      </c>
      <c r="Y3073" s="12" t="s">
        <v>91</v>
      </c>
      <c r="Z3073" s="12" t="s">
        <v>108</v>
      </c>
      <c r="AA3073" s="13">
        <v>0</v>
      </c>
      <c r="AB3073" s="13">
        <v>0</v>
      </c>
      <c r="AC3073" s="15">
        <v>29.55</v>
      </c>
      <c r="AD3073" s="15">
        <f>AC3073*AG3073</f>
        <v>29.55</v>
      </c>
      <c r="AE3073" s="15">
        <v>65</v>
      </c>
      <c r="AF3073" s="15">
        <f>AE3073*AG3073</f>
        <v>65</v>
      </c>
      <c r="AG3073" s="16">
        <v>1</v>
      </c>
    </row>
    <row r="3074" spans="1:33" ht="15" customHeight="1" x14ac:dyDescent="0.2">
      <c r="A3074" s="11" t="str">
        <f t="shared" si="1160"/>
        <v>VN000JT37W61</v>
      </c>
      <c r="B3074" s="12" t="s">
        <v>11220</v>
      </c>
      <c r="C3074" s="12" t="s">
        <v>7899</v>
      </c>
      <c r="D3074" s="12" t="s">
        <v>7900</v>
      </c>
      <c r="E3074" s="12" t="s">
        <v>11221</v>
      </c>
      <c r="F3074" s="12" t="s">
        <v>153</v>
      </c>
      <c r="G3074" s="14"/>
      <c r="H3074" s="12" t="s">
        <v>61</v>
      </c>
      <c r="I3074" s="12" t="s">
        <v>289</v>
      </c>
      <c r="J3074" s="12" t="s">
        <v>706</v>
      </c>
      <c r="K3074" s="12" t="s">
        <v>100</v>
      </c>
      <c r="L3074" s="14"/>
      <c r="M3074" s="12" t="s">
        <v>43</v>
      </c>
      <c r="N3074" s="12" t="s">
        <v>161</v>
      </c>
      <c r="O3074" s="12" t="s">
        <v>11222</v>
      </c>
      <c r="P3074" s="12" t="s">
        <v>66</v>
      </c>
      <c r="Q3074" s="12" t="s">
        <v>67</v>
      </c>
      <c r="R3074" s="12" t="s">
        <v>1200</v>
      </c>
      <c r="S3074" s="13">
        <v>197065468712</v>
      </c>
      <c r="T3074" s="12" t="s">
        <v>235</v>
      </c>
      <c r="U3074" s="12" t="s">
        <v>153</v>
      </c>
      <c r="V3074" s="12" t="s">
        <v>665</v>
      </c>
      <c r="W3074" s="12" t="s">
        <v>175</v>
      </c>
      <c r="X3074" s="13">
        <v>0</v>
      </c>
      <c r="Y3074" s="12" t="s">
        <v>91</v>
      </c>
      <c r="Z3074" s="12" t="s">
        <v>108</v>
      </c>
      <c r="AA3074" s="13">
        <v>0</v>
      </c>
      <c r="AB3074" s="13">
        <v>0</v>
      </c>
      <c r="AC3074" s="15">
        <v>29.55</v>
      </c>
      <c r="AD3074" s="15">
        <f>AC3074*AG3074</f>
        <v>29.55</v>
      </c>
      <c r="AE3074" s="15">
        <v>65</v>
      </c>
      <c r="AF3074" s="15">
        <f>AE3074*AG3074</f>
        <v>65</v>
      </c>
      <c r="AG3074" s="16">
        <v>1</v>
      </c>
    </row>
    <row r="3075" spans="1:33" ht="15" customHeight="1" x14ac:dyDescent="0.2">
      <c r="A3075" s="11" t="str">
        <f>HYPERLINK("https://assets.vans.eu/images/VN000JY1KOU-HERO/1","VN000JY1KOU1")</f>
        <v>VN000JY1KOU1</v>
      </c>
      <c r="B3075" s="12" t="s">
        <v>11223</v>
      </c>
      <c r="C3075" s="12" t="s">
        <v>11224</v>
      </c>
      <c r="D3075" s="12" t="s">
        <v>4469</v>
      </c>
      <c r="E3075" s="12" t="s">
        <v>11225</v>
      </c>
      <c r="F3075" s="12" t="s">
        <v>60</v>
      </c>
      <c r="G3075" s="14"/>
      <c r="H3075" s="12" t="s">
        <v>61</v>
      </c>
      <c r="I3075" s="12" t="s">
        <v>230</v>
      </c>
      <c r="J3075" s="12" t="s">
        <v>762</v>
      </c>
      <c r="K3075" s="12" t="s">
        <v>199</v>
      </c>
      <c r="L3075" s="14"/>
      <c r="M3075" s="12" t="s">
        <v>43</v>
      </c>
      <c r="N3075" s="12" t="s">
        <v>161</v>
      </c>
      <c r="O3075" s="12" t="s">
        <v>11226</v>
      </c>
      <c r="P3075" s="12" t="s">
        <v>66</v>
      </c>
      <c r="Q3075" s="12" t="s">
        <v>764</v>
      </c>
      <c r="R3075" s="12" t="s">
        <v>765</v>
      </c>
      <c r="S3075" s="13">
        <v>197065471255</v>
      </c>
      <c r="T3075" s="12" t="s">
        <v>49</v>
      </c>
      <c r="U3075" s="12" t="s">
        <v>60</v>
      </c>
      <c r="V3075" s="12" t="s">
        <v>1811</v>
      </c>
      <c r="W3075" s="12" t="s">
        <v>51</v>
      </c>
      <c r="X3075" s="13">
        <v>0</v>
      </c>
      <c r="Y3075" s="12" t="s">
        <v>53</v>
      </c>
      <c r="Z3075" s="12" t="s">
        <v>108</v>
      </c>
      <c r="AA3075" s="13">
        <v>0</v>
      </c>
      <c r="AB3075" s="13">
        <v>0</v>
      </c>
      <c r="AC3075" s="15">
        <v>63.65</v>
      </c>
      <c r="AD3075" s="15">
        <f>AC3075*AG3075</f>
        <v>63.65</v>
      </c>
      <c r="AE3075" s="15">
        <v>140</v>
      </c>
      <c r="AF3075" s="15">
        <f>AE3075*AG3075</f>
        <v>140</v>
      </c>
      <c r="AG3075" s="16">
        <v>1</v>
      </c>
    </row>
    <row r="3076" spans="1:33" ht="15" customHeight="1" x14ac:dyDescent="0.2">
      <c r="A3076" s="11" t="str">
        <f t="shared" si="862"/>
        <v>VN000JY412S1</v>
      </c>
      <c r="B3076" s="12" t="s">
        <v>11227</v>
      </c>
      <c r="C3076" s="12" t="s">
        <v>7907</v>
      </c>
      <c r="D3076" s="12" t="s">
        <v>5837</v>
      </c>
      <c r="E3076" s="12" t="s">
        <v>11228</v>
      </c>
      <c r="F3076" s="12" t="s">
        <v>170</v>
      </c>
      <c r="G3076" s="14"/>
      <c r="H3076" s="12" t="s">
        <v>61</v>
      </c>
      <c r="I3076" s="12" t="s">
        <v>230</v>
      </c>
      <c r="J3076" s="12" t="s">
        <v>419</v>
      </c>
      <c r="K3076" s="12" t="s">
        <v>199</v>
      </c>
      <c r="L3076" s="14"/>
      <c r="M3076" s="12" t="s">
        <v>43</v>
      </c>
      <c r="N3076" s="12" t="s">
        <v>161</v>
      </c>
      <c r="O3076" s="12" t="s">
        <v>11229</v>
      </c>
      <c r="P3076" s="12" t="s">
        <v>66</v>
      </c>
      <c r="Q3076" s="12" t="s">
        <v>67</v>
      </c>
      <c r="R3076" s="12" t="s">
        <v>623</v>
      </c>
      <c r="S3076" s="13">
        <v>197065494483</v>
      </c>
      <c r="T3076" s="12" t="s">
        <v>105</v>
      </c>
      <c r="U3076" s="12" t="s">
        <v>170</v>
      </c>
      <c r="V3076" s="12" t="s">
        <v>90</v>
      </c>
      <c r="W3076" s="12" t="s">
        <v>284</v>
      </c>
      <c r="X3076" s="13">
        <v>0</v>
      </c>
      <c r="Y3076" s="12" t="s">
        <v>91</v>
      </c>
      <c r="Z3076" s="12" t="s">
        <v>108</v>
      </c>
      <c r="AA3076" s="13">
        <v>0</v>
      </c>
      <c r="AB3076" s="13">
        <v>0</v>
      </c>
      <c r="AC3076" s="15">
        <v>45.5</v>
      </c>
      <c r="AD3076" s="15">
        <f>AC3076*AG3076</f>
        <v>45.5</v>
      </c>
      <c r="AE3076" s="15">
        <v>100</v>
      </c>
      <c r="AF3076" s="15">
        <f>AE3076*AG3076</f>
        <v>100</v>
      </c>
      <c r="AG3076" s="16">
        <v>1</v>
      </c>
    </row>
    <row r="3077" spans="1:33" ht="15" customHeight="1" x14ac:dyDescent="0.2">
      <c r="A3077" s="11" t="str">
        <f>HYPERLINK("https://assets.vans.eu/images/VN000JY412S-HERO/1","VN000JY412S1")</f>
        <v>VN000JY412S1</v>
      </c>
      <c r="B3077" s="12" t="s">
        <v>11230</v>
      </c>
      <c r="C3077" s="12" t="s">
        <v>7907</v>
      </c>
      <c r="D3077" s="12" t="s">
        <v>5837</v>
      </c>
      <c r="E3077" s="12" t="s">
        <v>11231</v>
      </c>
      <c r="F3077" s="12" t="s">
        <v>403</v>
      </c>
      <c r="G3077" s="14"/>
      <c r="H3077" s="12" t="s">
        <v>61</v>
      </c>
      <c r="I3077" s="12" t="s">
        <v>230</v>
      </c>
      <c r="J3077" s="12" t="s">
        <v>419</v>
      </c>
      <c r="K3077" s="12" t="s">
        <v>199</v>
      </c>
      <c r="L3077" s="14"/>
      <c r="M3077" s="12" t="s">
        <v>43</v>
      </c>
      <c r="N3077" s="12" t="s">
        <v>161</v>
      </c>
      <c r="O3077" s="12" t="s">
        <v>11232</v>
      </c>
      <c r="P3077" s="12" t="s">
        <v>66</v>
      </c>
      <c r="Q3077" s="12" t="s">
        <v>67</v>
      </c>
      <c r="R3077" s="12" t="s">
        <v>623</v>
      </c>
      <c r="S3077" s="13">
        <v>197065494629</v>
      </c>
      <c r="T3077" s="12" t="s">
        <v>105</v>
      </c>
      <c r="U3077" s="12" t="s">
        <v>403</v>
      </c>
      <c r="V3077" s="12" t="s">
        <v>90</v>
      </c>
      <c r="W3077" s="12" t="s">
        <v>284</v>
      </c>
      <c r="X3077" s="13">
        <v>0</v>
      </c>
      <c r="Y3077" s="12" t="s">
        <v>91</v>
      </c>
      <c r="Z3077" s="12" t="s">
        <v>108</v>
      </c>
      <c r="AA3077" s="13">
        <v>0</v>
      </c>
      <c r="AB3077" s="13">
        <v>0</v>
      </c>
      <c r="AC3077" s="15">
        <v>45.5</v>
      </c>
      <c r="AD3077" s="15">
        <f>AC3077*AG3077</f>
        <v>45.5</v>
      </c>
      <c r="AE3077" s="15">
        <v>100</v>
      </c>
      <c r="AF3077" s="15">
        <f>AE3077*AG3077</f>
        <v>100</v>
      </c>
      <c r="AG3077" s="16">
        <v>1</v>
      </c>
    </row>
    <row r="3078" spans="1:33" ht="15" customHeight="1" x14ac:dyDescent="0.2">
      <c r="A3078" s="11" t="str">
        <f t="shared" si="863"/>
        <v>VN000JY4BLK1</v>
      </c>
      <c r="B3078" s="12" t="s">
        <v>11233</v>
      </c>
      <c r="C3078" s="12" t="s">
        <v>7907</v>
      </c>
      <c r="D3078" s="12" t="s">
        <v>76</v>
      </c>
      <c r="E3078" s="12" t="s">
        <v>11234</v>
      </c>
      <c r="F3078" s="12" t="s">
        <v>60</v>
      </c>
      <c r="G3078" s="14"/>
      <c r="H3078" s="12" t="s">
        <v>61</v>
      </c>
      <c r="I3078" s="12" t="s">
        <v>230</v>
      </c>
      <c r="J3078" s="12" t="s">
        <v>419</v>
      </c>
      <c r="K3078" s="12" t="s">
        <v>199</v>
      </c>
      <c r="L3078" s="14"/>
      <c r="M3078" s="12" t="s">
        <v>43</v>
      </c>
      <c r="N3078" s="12" t="s">
        <v>161</v>
      </c>
      <c r="O3078" s="12" t="s">
        <v>11235</v>
      </c>
      <c r="P3078" s="12" t="s">
        <v>66</v>
      </c>
      <c r="Q3078" s="12" t="s">
        <v>67</v>
      </c>
      <c r="R3078" s="12" t="s">
        <v>623</v>
      </c>
      <c r="S3078" s="13">
        <v>197065494650</v>
      </c>
      <c r="T3078" s="12" t="s">
        <v>105</v>
      </c>
      <c r="U3078" s="12" t="s">
        <v>60</v>
      </c>
      <c r="V3078" s="12" t="s">
        <v>90</v>
      </c>
      <c r="W3078" s="12" t="s">
        <v>51</v>
      </c>
      <c r="X3078" s="13">
        <v>0</v>
      </c>
      <c r="Y3078" s="12" t="s">
        <v>91</v>
      </c>
      <c r="Z3078" s="12" t="s">
        <v>108</v>
      </c>
      <c r="AA3078" s="13">
        <v>0</v>
      </c>
      <c r="AB3078" s="13">
        <v>0</v>
      </c>
      <c r="AC3078" s="15">
        <v>45.5</v>
      </c>
      <c r="AD3078" s="15">
        <f>AC3078*AG3078</f>
        <v>45.5</v>
      </c>
      <c r="AE3078" s="15">
        <v>100</v>
      </c>
      <c r="AF3078" s="15">
        <f>AE3078*AG3078</f>
        <v>100</v>
      </c>
      <c r="AG3078" s="16">
        <v>1</v>
      </c>
    </row>
    <row r="3079" spans="1:33" ht="15" customHeight="1" x14ac:dyDescent="0.2">
      <c r="A3079" s="11" t="str">
        <f t="shared" ref="A3079:A3080" si="1161">HYPERLINK("https://assets.vans.eu/images/VN000JYB4OU-HERO/1","VN000JYB4OU1")</f>
        <v>VN000JYB4OU1</v>
      </c>
      <c r="B3079" s="12" t="s">
        <v>11236</v>
      </c>
      <c r="C3079" s="12" t="s">
        <v>11237</v>
      </c>
      <c r="D3079" s="12" t="s">
        <v>2087</v>
      </c>
      <c r="E3079" s="12" t="s">
        <v>11238</v>
      </c>
      <c r="F3079" s="12" t="s">
        <v>179</v>
      </c>
      <c r="G3079" s="14"/>
      <c r="H3079" s="12" t="s">
        <v>61</v>
      </c>
      <c r="I3079" s="12" t="s">
        <v>62</v>
      </c>
      <c r="J3079" s="12" t="s">
        <v>63</v>
      </c>
      <c r="K3079" s="12" t="s">
        <v>64</v>
      </c>
      <c r="L3079" s="12" t="s">
        <v>83</v>
      </c>
      <c r="M3079" s="12" t="s">
        <v>43</v>
      </c>
      <c r="N3079" s="12" t="s">
        <v>44</v>
      </c>
      <c r="O3079" s="12" t="s">
        <v>11239</v>
      </c>
      <c r="P3079" s="12" t="s">
        <v>66</v>
      </c>
      <c r="Q3079" s="12" t="s">
        <v>67</v>
      </c>
      <c r="R3079" s="12" t="s">
        <v>730</v>
      </c>
      <c r="S3079" s="13">
        <v>197803497233</v>
      </c>
      <c r="T3079" s="12" t="s">
        <v>499</v>
      </c>
      <c r="U3079" s="12" t="s">
        <v>179</v>
      </c>
      <c r="V3079" s="12" t="s">
        <v>1378</v>
      </c>
      <c r="W3079" s="12" t="s">
        <v>455</v>
      </c>
      <c r="X3079" s="12" t="s">
        <v>500</v>
      </c>
      <c r="Y3079" s="12" t="s">
        <v>91</v>
      </c>
      <c r="Z3079" s="12" t="s">
        <v>108</v>
      </c>
      <c r="AA3079" s="13">
        <v>0</v>
      </c>
      <c r="AB3079" s="12" t="s">
        <v>616</v>
      </c>
      <c r="AC3079" s="15">
        <v>29.55</v>
      </c>
      <c r="AD3079" s="15">
        <f>AC3079*AG3079</f>
        <v>29.55</v>
      </c>
      <c r="AE3079" s="15">
        <v>65</v>
      </c>
      <c r="AF3079" s="15">
        <f>AE3079*AG3079</f>
        <v>65</v>
      </c>
      <c r="AG3079" s="16">
        <v>1</v>
      </c>
    </row>
    <row r="3080" spans="1:33" ht="15" customHeight="1" x14ac:dyDescent="0.2">
      <c r="A3080" s="11" t="str">
        <f t="shared" si="1161"/>
        <v>VN000JYB4OU1</v>
      </c>
      <c r="B3080" s="12" t="s">
        <v>11240</v>
      </c>
      <c r="C3080" s="12" t="s">
        <v>11237</v>
      </c>
      <c r="D3080" s="12" t="s">
        <v>2087</v>
      </c>
      <c r="E3080" s="12" t="s">
        <v>11241</v>
      </c>
      <c r="F3080" s="12" t="s">
        <v>170</v>
      </c>
      <c r="G3080" s="14"/>
      <c r="H3080" s="12" t="s">
        <v>61</v>
      </c>
      <c r="I3080" s="12" t="s">
        <v>62</v>
      </c>
      <c r="J3080" s="12" t="s">
        <v>63</v>
      </c>
      <c r="K3080" s="12" t="s">
        <v>64</v>
      </c>
      <c r="L3080" s="12" t="s">
        <v>83</v>
      </c>
      <c r="M3080" s="12" t="s">
        <v>43</v>
      </c>
      <c r="N3080" s="12" t="s">
        <v>44</v>
      </c>
      <c r="O3080" s="12" t="s">
        <v>11242</v>
      </c>
      <c r="P3080" s="12" t="s">
        <v>66</v>
      </c>
      <c r="Q3080" s="12" t="s">
        <v>67</v>
      </c>
      <c r="R3080" s="12" t="s">
        <v>730</v>
      </c>
      <c r="S3080" s="13">
        <v>197803497523</v>
      </c>
      <c r="T3080" s="12" t="s">
        <v>499</v>
      </c>
      <c r="U3080" s="12" t="s">
        <v>170</v>
      </c>
      <c r="V3080" s="12" t="s">
        <v>1378</v>
      </c>
      <c r="W3080" s="12" t="s">
        <v>455</v>
      </c>
      <c r="X3080" s="12" t="s">
        <v>500</v>
      </c>
      <c r="Y3080" s="12" t="s">
        <v>91</v>
      </c>
      <c r="Z3080" s="12" t="s">
        <v>108</v>
      </c>
      <c r="AA3080" s="13">
        <v>0</v>
      </c>
      <c r="AB3080" s="12" t="s">
        <v>616</v>
      </c>
      <c r="AC3080" s="15">
        <v>29.55</v>
      </c>
      <c r="AD3080" s="15">
        <f>AC3080*AG3080</f>
        <v>29.55</v>
      </c>
      <c r="AE3080" s="15">
        <v>65</v>
      </c>
      <c r="AF3080" s="15">
        <f>AE3080*AG3080</f>
        <v>65</v>
      </c>
      <c r="AG3080" s="16">
        <v>1</v>
      </c>
    </row>
    <row r="3081" spans="1:33" ht="15" customHeight="1" x14ac:dyDescent="0.2">
      <c r="A3081" s="11" t="str">
        <f>HYPERLINK("https://assets.vans.eu/images/VN000JYD14A-HERO/1","VN000JYD14A1")</f>
        <v>VN000JYD14A1</v>
      </c>
      <c r="B3081" s="12" t="s">
        <v>11243</v>
      </c>
      <c r="C3081" s="12" t="s">
        <v>7914</v>
      </c>
      <c r="D3081" s="12" t="s">
        <v>1932</v>
      </c>
      <c r="E3081" s="12" t="s">
        <v>11244</v>
      </c>
      <c r="F3081" s="12" t="s">
        <v>403</v>
      </c>
      <c r="G3081" s="14"/>
      <c r="H3081" s="12" t="s">
        <v>61</v>
      </c>
      <c r="I3081" s="12" t="s">
        <v>62</v>
      </c>
      <c r="J3081" s="12" t="s">
        <v>63</v>
      </c>
      <c r="K3081" s="12" t="s">
        <v>64</v>
      </c>
      <c r="L3081" s="12" t="s">
        <v>83</v>
      </c>
      <c r="M3081" s="12" t="s">
        <v>43</v>
      </c>
      <c r="N3081" s="12" t="s">
        <v>84</v>
      </c>
      <c r="O3081" s="12" t="s">
        <v>11245</v>
      </c>
      <c r="P3081" s="12" t="s">
        <v>66</v>
      </c>
      <c r="Q3081" s="12" t="s">
        <v>67</v>
      </c>
      <c r="R3081" s="12" t="s">
        <v>730</v>
      </c>
      <c r="S3081" s="13">
        <v>197804294558</v>
      </c>
      <c r="T3081" s="12" t="s">
        <v>69</v>
      </c>
      <c r="U3081" s="12" t="s">
        <v>403</v>
      </c>
      <c r="V3081" s="12" t="s">
        <v>1378</v>
      </c>
      <c r="W3081" s="12" t="s">
        <v>262</v>
      </c>
      <c r="X3081" s="14"/>
      <c r="Y3081" s="14"/>
      <c r="Z3081" s="14"/>
      <c r="AA3081" s="14"/>
      <c r="AB3081" s="14"/>
      <c r="AC3081" s="15">
        <v>27.3</v>
      </c>
      <c r="AD3081" s="15">
        <f>AC3081*AG3081</f>
        <v>27.3</v>
      </c>
      <c r="AE3081" s="15">
        <v>60</v>
      </c>
      <c r="AF3081" s="15">
        <f>AE3081*AG3081</f>
        <v>60</v>
      </c>
      <c r="AG3081" s="16">
        <v>1</v>
      </c>
    </row>
    <row r="3082" spans="1:33" ht="15" customHeight="1" x14ac:dyDescent="0.2">
      <c r="A3082" s="11" t="str">
        <f>HYPERLINK("https://assets.vans.eu/images/VN000JYDE2W-HERO/1","VN000JYDE2W1")</f>
        <v>VN000JYDE2W1</v>
      </c>
      <c r="B3082" s="12" t="s">
        <v>11246</v>
      </c>
      <c r="C3082" s="12" t="s">
        <v>7914</v>
      </c>
      <c r="D3082" s="12" t="s">
        <v>1476</v>
      </c>
      <c r="E3082" s="12" t="s">
        <v>11247</v>
      </c>
      <c r="F3082" s="12" t="s">
        <v>403</v>
      </c>
      <c r="G3082" s="14"/>
      <c r="H3082" s="12" t="s">
        <v>61</v>
      </c>
      <c r="I3082" s="12" t="s">
        <v>62</v>
      </c>
      <c r="J3082" s="12" t="s">
        <v>63</v>
      </c>
      <c r="K3082" s="12" t="s">
        <v>64</v>
      </c>
      <c r="L3082" s="12" t="s">
        <v>83</v>
      </c>
      <c r="M3082" s="12" t="s">
        <v>43</v>
      </c>
      <c r="N3082" s="12" t="s">
        <v>44</v>
      </c>
      <c r="O3082" s="12" t="s">
        <v>11248</v>
      </c>
      <c r="P3082" s="12" t="s">
        <v>66</v>
      </c>
      <c r="Q3082" s="12" t="s">
        <v>67</v>
      </c>
      <c r="R3082" s="12" t="s">
        <v>730</v>
      </c>
      <c r="S3082" s="13">
        <v>197803426219</v>
      </c>
      <c r="T3082" s="12" t="s">
        <v>69</v>
      </c>
      <c r="U3082" s="12" t="s">
        <v>403</v>
      </c>
      <c r="V3082" s="12" t="s">
        <v>1378</v>
      </c>
      <c r="W3082" s="12" t="s">
        <v>284</v>
      </c>
      <c r="X3082" s="13">
        <v>0</v>
      </c>
      <c r="Y3082" s="12" t="s">
        <v>91</v>
      </c>
      <c r="Z3082" s="12" t="s">
        <v>108</v>
      </c>
      <c r="AA3082" s="13">
        <v>0</v>
      </c>
      <c r="AB3082" s="12" t="s">
        <v>616</v>
      </c>
      <c r="AC3082" s="15">
        <v>27.3</v>
      </c>
      <c r="AD3082" s="15">
        <f>AC3082*AG3082</f>
        <v>27.3</v>
      </c>
      <c r="AE3082" s="15">
        <v>60</v>
      </c>
      <c r="AF3082" s="15">
        <f>AE3082*AG3082</f>
        <v>60</v>
      </c>
      <c r="AG3082" s="16">
        <v>1</v>
      </c>
    </row>
    <row r="3083" spans="1:33" ht="15" customHeight="1" x14ac:dyDescent="0.2">
      <c r="A3083" s="11" t="str">
        <f>HYPERLINK("https://assets.vans.eu/images/VN000K04BLK-HERO/1","VN000K04BLK1")</f>
        <v>VN000K04BLK1</v>
      </c>
      <c r="B3083" s="12" t="s">
        <v>11249</v>
      </c>
      <c r="C3083" s="12" t="s">
        <v>11250</v>
      </c>
      <c r="D3083" s="12" t="s">
        <v>76</v>
      </c>
      <c r="E3083" s="12" t="s">
        <v>11251</v>
      </c>
      <c r="F3083" s="12" t="s">
        <v>403</v>
      </c>
      <c r="G3083" s="14"/>
      <c r="H3083" s="12" t="s">
        <v>61</v>
      </c>
      <c r="I3083" s="12" t="s">
        <v>62</v>
      </c>
      <c r="J3083" s="12" t="s">
        <v>63</v>
      </c>
      <c r="K3083" s="12" t="s">
        <v>64</v>
      </c>
      <c r="L3083" s="12" t="s">
        <v>115</v>
      </c>
      <c r="M3083" s="12" t="s">
        <v>43</v>
      </c>
      <c r="N3083" s="12" t="s">
        <v>2457</v>
      </c>
      <c r="O3083" s="12" t="s">
        <v>11252</v>
      </c>
      <c r="P3083" s="12" t="s">
        <v>66</v>
      </c>
      <c r="Q3083" s="12" t="s">
        <v>67</v>
      </c>
      <c r="R3083" s="12" t="s">
        <v>68</v>
      </c>
      <c r="S3083" s="13">
        <v>197064588909</v>
      </c>
      <c r="T3083" s="12" t="s">
        <v>69</v>
      </c>
      <c r="U3083" s="12" t="s">
        <v>403</v>
      </c>
      <c r="V3083" s="12" t="s">
        <v>423</v>
      </c>
      <c r="W3083" s="12" t="s">
        <v>51</v>
      </c>
      <c r="X3083" s="13">
        <v>0</v>
      </c>
      <c r="Y3083" s="12" t="s">
        <v>91</v>
      </c>
      <c r="Z3083" s="12" t="s">
        <v>92</v>
      </c>
      <c r="AA3083" s="12" t="s">
        <v>93</v>
      </c>
      <c r="AB3083" s="12" t="s">
        <v>94</v>
      </c>
      <c r="AC3083" s="15">
        <v>18.2</v>
      </c>
      <c r="AD3083" s="15">
        <f>AC3083*AG3083</f>
        <v>18.2</v>
      </c>
      <c r="AE3083" s="15">
        <v>40</v>
      </c>
      <c r="AF3083" s="15">
        <f>AE3083*AG3083</f>
        <v>40</v>
      </c>
      <c r="AG3083" s="16">
        <v>1</v>
      </c>
    </row>
    <row r="3084" spans="1:33" ht="15" customHeight="1" x14ac:dyDescent="0.2">
      <c r="A3084" s="11" t="str">
        <f>HYPERLINK("https://assets.vans.eu/images/VN000K0BBLK-HERO/1","VN000K0BBLK1")</f>
        <v>VN000K0BBLK1</v>
      </c>
      <c r="B3084" s="12" t="s">
        <v>11253</v>
      </c>
      <c r="C3084" s="12" t="s">
        <v>11254</v>
      </c>
      <c r="D3084" s="12" t="s">
        <v>76</v>
      </c>
      <c r="E3084" s="12" t="s">
        <v>11255</v>
      </c>
      <c r="F3084" s="12" t="s">
        <v>403</v>
      </c>
      <c r="G3084" s="14"/>
      <c r="H3084" s="12" t="s">
        <v>61</v>
      </c>
      <c r="I3084" s="12" t="s">
        <v>62</v>
      </c>
      <c r="J3084" s="12" t="s">
        <v>63</v>
      </c>
      <c r="K3084" s="12" t="s">
        <v>64</v>
      </c>
      <c r="L3084" s="12" t="s">
        <v>42</v>
      </c>
      <c r="M3084" s="12" t="s">
        <v>43</v>
      </c>
      <c r="N3084" s="12" t="s">
        <v>161</v>
      </c>
      <c r="O3084" s="12" t="s">
        <v>11256</v>
      </c>
      <c r="P3084" s="12" t="s">
        <v>66</v>
      </c>
      <c r="Q3084" s="12" t="s">
        <v>67</v>
      </c>
      <c r="R3084" s="12" t="s">
        <v>68</v>
      </c>
      <c r="S3084" s="13">
        <v>197065471576</v>
      </c>
      <c r="T3084" s="12" t="s">
        <v>422</v>
      </c>
      <c r="U3084" s="12" t="s">
        <v>403</v>
      </c>
      <c r="V3084" s="12" t="s">
        <v>70</v>
      </c>
      <c r="W3084" s="12" t="s">
        <v>51</v>
      </c>
      <c r="X3084" s="13">
        <v>0</v>
      </c>
      <c r="Y3084" s="12" t="s">
        <v>91</v>
      </c>
      <c r="Z3084" s="12" t="s">
        <v>92</v>
      </c>
      <c r="AA3084" s="12" t="s">
        <v>615</v>
      </c>
      <c r="AB3084" s="12" t="s">
        <v>55</v>
      </c>
      <c r="AC3084" s="15">
        <v>13.65</v>
      </c>
      <c r="AD3084" s="15">
        <f>AC3084*AG3084</f>
        <v>13.65</v>
      </c>
      <c r="AE3084" s="15">
        <v>30</v>
      </c>
      <c r="AF3084" s="15">
        <f>AE3084*AG3084</f>
        <v>30</v>
      </c>
      <c r="AG3084" s="16">
        <v>1</v>
      </c>
    </row>
    <row r="3085" spans="1:33" ht="15" customHeight="1" x14ac:dyDescent="0.2">
      <c r="A3085" s="11" t="str">
        <f>HYPERLINK("https://assets.vans.eu/images/VN000K0C4MG-HERO/1","VN000K0C4MG1")</f>
        <v>VN000K0C4MG1</v>
      </c>
      <c r="B3085" s="12" t="s">
        <v>11257</v>
      </c>
      <c r="C3085" s="12" t="s">
        <v>11258</v>
      </c>
      <c r="D3085" s="12" t="s">
        <v>7051</v>
      </c>
      <c r="E3085" s="12" t="s">
        <v>11259</v>
      </c>
      <c r="F3085" s="13">
        <v>6</v>
      </c>
      <c r="G3085" s="14"/>
      <c r="H3085" s="12" t="s">
        <v>61</v>
      </c>
      <c r="I3085" s="12" t="s">
        <v>1340</v>
      </c>
      <c r="J3085" s="12" t="s">
        <v>1376</v>
      </c>
      <c r="K3085" s="12" t="s">
        <v>1022</v>
      </c>
      <c r="L3085" s="14"/>
      <c r="M3085" s="12" t="s">
        <v>43</v>
      </c>
      <c r="N3085" s="12" t="s">
        <v>161</v>
      </c>
      <c r="O3085" s="12" t="s">
        <v>11260</v>
      </c>
      <c r="P3085" s="12" t="s">
        <v>66</v>
      </c>
      <c r="Q3085" s="12" t="s">
        <v>233</v>
      </c>
      <c r="R3085" s="12" t="s">
        <v>974</v>
      </c>
      <c r="S3085" s="13">
        <v>197065471774</v>
      </c>
      <c r="T3085" s="12" t="s">
        <v>49</v>
      </c>
      <c r="U3085" s="13">
        <v>6</v>
      </c>
      <c r="V3085" s="12" t="s">
        <v>1726</v>
      </c>
      <c r="W3085" s="12" t="s">
        <v>51</v>
      </c>
      <c r="X3085" s="13">
        <v>0</v>
      </c>
      <c r="Y3085" s="12" t="s">
        <v>91</v>
      </c>
      <c r="Z3085" s="12" t="s">
        <v>108</v>
      </c>
      <c r="AA3085" s="13">
        <v>0</v>
      </c>
      <c r="AB3085" s="13">
        <v>0</v>
      </c>
      <c r="AC3085" s="15">
        <v>18.2</v>
      </c>
      <c r="AD3085" s="15">
        <f>AC3085*AG3085</f>
        <v>18.2</v>
      </c>
      <c r="AE3085" s="15">
        <v>40</v>
      </c>
      <c r="AF3085" s="15">
        <f>AE3085*AG3085</f>
        <v>40</v>
      </c>
      <c r="AG3085" s="16">
        <v>1</v>
      </c>
    </row>
    <row r="3086" spans="1:33" ht="15" customHeight="1" x14ac:dyDescent="0.2">
      <c r="A3086" s="11" t="str">
        <f>HYPERLINK("https://assets.vans.eu/images/VN000K0VBLK-HERO/1","VN000K0VBLK1")</f>
        <v>VN000K0VBLK1</v>
      </c>
      <c r="B3086" s="12" t="s">
        <v>11261</v>
      </c>
      <c r="C3086" s="12" t="s">
        <v>11262</v>
      </c>
      <c r="D3086" s="12" t="s">
        <v>76</v>
      </c>
      <c r="E3086" s="12" t="s">
        <v>11263</v>
      </c>
      <c r="F3086" s="12" t="s">
        <v>403</v>
      </c>
      <c r="G3086" s="14"/>
      <c r="H3086" s="12" t="s">
        <v>61</v>
      </c>
      <c r="I3086" s="12" t="s">
        <v>62</v>
      </c>
      <c r="J3086" s="12" t="s">
        <v>63</v>
      </c>
      <c r="K3086" s="12" t="s">
        <v>64</v>
      </c>
      <c r="L3086" s="12" t="s">
        <v>42</v>
      </c>
      <c r="M3086" s="12" t="s">
        <v>43</v>
      </c>
      <c r="N3086" s="12" t="s">
        <v>161</v>
      </c>
      <c r="O3086" s="12" t="s">
        <v>11264</v>
      </c>
      <c r="P3086" s="12" t="s">
        <v>66</v>
      </c>
      <c r="Q3086" s="12" t="s">
        <v>67</v>
      </c>
      <c r="R3086" s="12" t="s">
        <v>730</v>
      </c>
      <c r="S3086" s="13">
        <v>197065472047</v>
      </c>
      <c r="T3086" s="12" t="s">
        <v>499</v>
      </c>
      <c r="U3086" s="12" t="s">
        <v>403</v>
      </c>
      <c r="V3086" s="12" t="s">
        <v>70</v>
      </c>
      <c r="W3086" s="12" t="s">
        <v>51</v>
      </c>
      <c r="X3086" s="13">
        <v>0</v>
      </c>
      <c r="Y3086" s="12" t="s">
        <v>91</v>
      </c>
      <c r="Z3086" s="12" t="s">
        <v>92</v>
      </c>
      <c r="AA3086" s="12" t="s">
        <v>615</v>
      </c>
      <c r="AB3086" s="12" t="s">
        <v>55</v>
      </c>
      <c r="AC3086" s="15">
        <v>29.55</v>
      </c>
      <c r="AD3086" s="15">
        <f>AC3086*AG3086</f>
        <v>29.55</v>
      </c>
      <c r="AE3086" s="15">
        <v>65</v>
      </c>
      <c r="AF3086" s="15">
        <f>AE3086*AG3086</f>
        <v>65</v>
      </c>
      <c r="AG3086" s="16">
        <v>1</v>
      </c>
    </row>
    <row r="3087" spans="1:33" ht="15" customHeight="1" x14ac:dyDescent="0.2">
      <c r="A3087" s="11" t="str">
        <f t="shared" si="678"/>
        <v>VN000K420411</v>
      </c>
      <c r="B3087" s="12" t="s">
        <v>11265</v>
      </c>
      <c r="C3087" s="12" t="s">
        <v>3687</v>
      </c>
      <c r="D3087" s="12" t="s">
        <v>3688</v>
      </c>
      <c r="E3087" s="12" t="s">
        <v>11266</v>
      </c>
      <c r="F3087" s="12" t="s">
        <v>153</v>
      </c>
      <c r="G3087" s="14"/>
      <c r="H3087" s="12" t="s">
        <v>61</v>
      </c>
      <c r="I3087" s="12" t="s">
        <v>230</v>
      </c>
      <c r="J3087" s="12" t="s">
        <v>419</v>
      </c>
      <c r="K3087" s="12" t="s">
        <v>199</v>
      </c>
      <c r="L3087" s="12" t="s">
        <v>350</v>
      </c>
      <c r="M3087" s="12" t="s">
        <v>43</v>
      </c>
      <c r="N3087" s="12" t="s">
        <v>44</v>
      </c>
      <c r="O3087" s="12" t="s">
        <v>11267</v>
      </c>
      <c r="P3087" s="12" t="s">
        <v>66</v>
      </c>
      <c r="Q3087" s="12" t="s">
        <v>67</v>
      </c>
      <c r="R3087" s="12" t="s">
        <v>421</v>
      </c>
      <c r="S3087" s="13">
        <v>197064681532</v>
      </c>
      <c r="T3087" s="12" t="s">
        <v>69</v>
      </c>
      <c r="U3087" s="12" t="s">
        <v>153</v>
      </c>
      <c r="V3087" s="12" t="s">
        <v>70</v>
      </c>
      <c r="W3087" s="12" t="s">
        <v>118</v>
      </c>
      <c r="X3087" s="13">
        <v>0</v>
      </c>
      <c r="Y3087" s="12" t="s">
        <v>53</v>
      </c>
      <c r="Z3087" s="12" t="s">
        <v>108</v>
      </c>
      <c r="AA3087" s="13">
        <v>0</v>
      </c>
      <c r="AB3087" s="12" t="s">
        <v>264</v>
      </c>
      <c r="AC3087" s="15">
        <v>19.100000000000001</v>
      </c>
      <c r="AD3087" s="15">
        <f>AC3087*AG3087</f>
        <v>19.100000000000001</v>
      </c>
      <c r="AE3087" s="15">
        <v>42</v>
      </c>
      <c r="AF3087" s="15">
        <f>AE3087*AG3087</f>
        <v>42</v>
      </c>
      <c r="AG3087" s="16">
        <v>1</v>
      </c>
    </row>
    <row r="3088" spans="1:33" ht="15" customHeight="1" x14ac:dyDescent="0.2">
      <c r="A3088" s="11" t="str">
        <f>HYPERLINK("https://assets.vans.eu/images/VN000K8PFS8-HERO/1","VN000K8PFS81")</f>
        <v>VN000K8PFS81</v>
      </c>
      <c r="B3088" s="12" t="s">
        <v>11268</v>
      </c>
      <c r="C3088" s="12" t="s">
        <v>11269</v>
      </c>
      <c r="D3088" s="12" t="s">
        <v>239</v>
      </c>
      <c r="E3088" s="12" t="s">
        <v>11270</v>
      </c>
      <c r="F3088" s="12" t="s">
        <v>60</v>
      </c>
      <c r="G3088" s="14"/>
      <c r="H3088" s="12" t="s">
        <v>61</v>
      </c>
      <c r="I3088" s="12" t="s">
        <v>62</v>
      </c>
      <c r="J3088" s="12" t="s">
        <v>63</v>
      </c>
      <c r="K3088" s="12" t="s">
        <v>1022</v>
      </c>
      <c r="L3088" s="12" t="s">
        <v>83</v>
      </c>
      <c r="M3088" s="12" t="s">
        <v>43</v>
      </c>
      <c r="N3088" s="12" t="s">
        <v>84</v>
      </c>
      <c r="O3088" s="12" t="s">
        <v>11271</v>
      </c>
      <c r="P3088" s="12" t="s">
        <v>66</v>
      </c>
      <c r="Q3088" s="12" t="s">
        <v>67</v>
      </c>
      <c r="R3088" s="12" t="s">
        <v>730</v>
      </c>
      <c r="S3088" s="13">
        <v>197065813260</v>
      </c>
      <c r="T3088" s="12" t="s">
        <v>69</v>
      </c>
      <c r="U3088" s="12" t="s">
        <v>60</v>
      </c>
      <c r="V3088" s="12" t="s">
        <v>1378</v>
      </c>
      <c r="W3088" s="12" t="s">
        <v>175</v>
      </c>
      <c r="X3088" s="13">
        <v>0</v>
      </c>
      <c r="Y3088" s="12" t="s">
        <v>71</v>
      </c>
      <c r="Z3088" s="12" t="s">
        <v>108</v>
      </c>
      <c r="AA3088" s="13">
        <v>0</v>
      </c>
      <c r="AB3088" s="12" t="s">
        <v>616</v>
      </c>
      <c r="AC3088" s="15">
        <v>29.55</v>
      </c>
      <c r="AD3088" s="15">
        <f>AC3088*AG3088</f>
        <v>29.55</v>
      </c>
      <c r="AE3088" s="15">
        <v>65</v>
      </c>
      <c r="AF3088" s="15">
        <f>AE3088*AG3088</f>
        <v>65</v>
      </c>
      <c r="AG3088" s="16">
        <v>1</v>
      </c>
    </row>
    <row r="3089" spans="1:33" ht="15" customHeight="1" x14ac:dyDescent="0.2">
      <c r="A3089" s="11" t="str">
        <f t="shared" si="865"/>
        <v>VN000K98BLK1</v>
      </c>
      <c r="B3089" s="12" t="s">
        <v>11272</v>
      </c>
      <c r="C3089" s="12" t="s">
        <v>7934</v>
      </c>
      <c r="D3089" s="12" t="s">
        <v>76</v>
      </c>
      <c r="E3089" s="12" t="s">
        <v>11273</v>
      </c>
      <c r="F3089" s="12" t="s">
        <v>179</v>
      </c>
      <c r="G3089" s="14"/>
      <c r="H3089" s="12" t="s">
        <v>61</v>
      </c>
      <c r="I3089" s="12" t="s">
        <v>62</v>
      </c>
      <c r="J3089" s="12" t="s">
        <v>63</v>
      </c>
      <c r="K3089" s="12" t="s">
        <v>64</v>
      </c>
      <c r="L3089" s="12" t="s">
        <v>83</v>
      </c>
      <c r="M3089" s="12" t="s">
        <v>43</v>
      </c>
      <c r="N3089" s="12" t="s">
        <v>84</v>
      </c>
      <c r="O3089" s="12" t="s">
        <v>11274</v>
      </c>
      <c r="P3089" s="12" t="s">
        <v>66</v>
      </c>
      <c r="Q3089" s="12" t="s">
        <v>67</v>
      </c>
      <c r="R3089" s="12" t="s">
        <v>730</v>
      </c>
      <c r="S3089" s="13">
        <v>197641025223</v>
      </c>
      <c r="T3089" s="12" t="s">
        <v>69</v>
      </c>
      <c r="U3089" s="12" t="s">
        <v>179</v>
      </c>
      <c r="V3089" s="12" t="s">
        <v>1378</v>
      </c>
      <c r="W3089" s="12" t="s">
        <v>51</v>
      </c>
      <c r="X3089" s="13">
        <v>0</v>
      </c>
      <c r="Y3089" s="12" t="s">
        <v>91</v>
      </c>
      <c r="Z3089" s="12" t="s">
        <v>108</v>
      </c>
      <c r="AA3089" s="13">
        <v>0</v>
      </c>
      <c r="AB3089" s="12" t="s">
        <v>616</v>
      </c>
      <c r="AC3089" s="15">
        <v>25</v>
      </c>
      <c r="AD3089" s="15">
        <f>AC3089*AG3089</f>
        <v>25</v>
      </c>
      <c r="AE3089" s="15">
        <v>55</v>
      </c>
      <c r="AF3089" s="15">
        <f>AE3089*AG3089</f>
        <v>55</v>
      </c>
      <c r="AG3089" s="16">
        <v>1</v>
      </c>
    </row>
    <row r="3090" spans="1:33" ht="15" customHeight="1" x14ac:dyDescent="0.2">
      <c r="A3090" s="11" t="str">
        <f>HYPERLINK("https://assets.vans.eu/images/VN000K98BLK-HERO/1","VN000K98BLK1")</f>
        <v>VN000K98BLK1</v>
      </c>
      <c r="B3090" s="12" t="s">
        <v>11275</v>
      </c>
      <c r="C3090" s="12" t="s">
        <v>7934</v>
      </c>
      <c r="D3090" s="12" t="s">
        <v>76</v>
      </c>
      <c r="E3090" s="12" t="s">
        <v>11276</v>
      </c>
      <c r="F3090" s="12" t="s">
        <v>403</v>
      </c>
      <c r="G3090" s="14"/>
      <c r="H3090" s="12" t="s">
        <v>61</v>
      </c>
      <c r="I3090" s="12" t="s">
        <v>62</v>
      </c>
      <c r="J3090" s="12" t="s">
        <v>63</v>
      </c>
      <c r="K3090" s="12" t="s">
        <v>64</v>
      </c>
      <c r="L3090" s="12" t="s">
        <v>83</v>
      </c>
      <c r="M3090" s="12" t="s">
        <v>43</v>
      </c>
      <c r="N3090" s="12" t="s">
        <v>84</v>
      </c>
      <c r="O3090" s="12" t="s">
        <v>11277</v>
      </c>
      <c r="P3090" s="12" t="s">
        <v>66</v>
      </c>
      <c r="Q3090" s="12" t="s">
        <v>67</v>
      </c>
      <c r="R3090" s="12" t="s">
        <v>730</v>
      </c>
      <c r="S3090" s="13">
        <v>197641025261</v>
      </c>
      <c r="T3090" s="12" t="s">
        <v>69</v>
      </c>
      <c r="U3090" s="12" t="s">
        <v>403</v>
      </c>
      <c r="V3090" s="12" t="s">
        <v>1378</v>
      </c>
      <c r="W3090" s="12" t="s">
        <v>51</v>
      </c>
      <c r="X3090" s="13">
        <v>0</v>
      </c>
      <c r="Y3090" s="12" t="s">
        <v>91</v>
      </c>
      <c r="Z3090" s="12" t="s">
        <v>108</v>
      </c>
      <c r="AA3090" s="13">
        <v>0</v>
      </c>
      <c r="AB3090" s="12" t="s">
        <v>616</v>
      </c>
      <c r="AC3090" s="15">
        <v>25</v>
      </c>
      <c r="AD3090" s="15">
        <f>AC3090*AG3090</f>
        <v>25</v>
      </c>
      <c r="AE3090" s="15">
        <v>55</v>
      </c>
      <c r="AF3090" s="15">
        <f>AE3090*AG3090</f>
        <v>55</v>
      </c>
      <c r="AG3090" s="16">
        <v>1</v>
      </c>
    </row>
    <row r="3091" spans="1:33" ht="15" customHeight="1" x14ac:dyDescent="0.2">
      <c r="A3091" s="11" t="str">
        <f t="shared" si="866"/>
        <v>VN000K98EN61</v>
      </c>
      <c r="B3091" s="12" t="s">
        <v>11278</v>
      </c>
      <c r="C3091" s="12" t="s">
        <v>7934</v>
      </c>
      <c r="D3091" s="12" t="s">
        <v>189</v>
      </c>
      <c r="E3091" s="12" t="s">
        <v>11279</v>
      </c>
      <c r="F3091" s="12" t="s">
        <v>170</v>
      </c>
      <c r="G3091" s="14"/>
      <c r="H3091" s="12" t="s">
        <v>61</v>
      </c>
      <c r="I3091" s="12" t="s">
        <v>62</v>
      </c>
      <c r="J3091" s="12" t="s">
        <v>63</v>
      </c>
      <c r="K3091" s="12" t="s">
        <v>64</v>
      </c>
      <c r="L3091" s="12" t="s">
        <v>83</v>
      </c>
      <c r="M3091" s="12" t="s">
        <v>43</v>
      </c>
      <c r="N3091" s="12" t="s">
        <v>84</v>
      </c>
      <c r="O3091" s="12" t="s">
        <v>11280</v>
      </c>
      <c r="P3091" s="12" t="s">
        <v>66</v>
      </c>
      <c r="Q3091" s="12" t="s">
        <v>67</v>
      </c>
      <c r="R3091" s="12" t="s">
        <v>730</v>
      </c>
      <c r="S3091" s="13">
        <v>197804294275</v>
      </c>
      <c r="T3091" s="12" t="s">
        <v>69</v>
      </c>
      <c r="U3091" s="12" t="s">
        <v>170</v>
      </c>
      <c r="V3091" s="12" t="s">
        <v>1378</v>
      </c>
      <c r="W3091" s="12" t="s">
        <v>118</v>
      </c>
      <c r="X3091" s="14"/>
      <c r="Y3091" s="14"/>
      <c r="Z3091" s="14"/>
      <c r="AA3091" s="14"/>
      <c r="AB3091" s="14"/>
      <c r="AC3091" s="15">
        <v>25</v>
      </c>
      <c r="AD3091" s="15">
        <f>AC3091*AG3091</f>
        <v>25</v>
      </c>
      <c r="AE3091" s="15">
        <v>55</v>
      </c>
      <c r="AF3091" s="15">
        <f>AE3091*AG3091</f>
        <v>55</v>
      </c>
      <c r="AG3091" s="16">
        <v>1</v>
      </c>
    </row>
    <row r="3092" spans="1:33" ht="15" customHeight="1" x14ac:dyDescent="0.2">
      <c r="A3092" s="11" t="str">
        <f>HYPERLINK("https://assets.vans.eu/images/VN000KASBLK-HERO/1","VN000KASBLK1")</f>
        <v>VN000KASBLK1</v>
      </c>
      <c r="B3092" s="12" t="s">
        <v>11281</v>
      </c>
      <c r="C3092" s="12" t="s">
        <v>2210</v>
      </c>
      <c r="D3092" s="12" t="s">
        <v>76</v>
      </c>
      <c r="E3092" s="12" t="s">
        <v>11282</v>
      </c>
      <c r="F3092" s="12" t="s">
        <v>403</v>
      </c>
      <c r="G3092" s="14"/>
      <c r="H3092" s="12" t="s">
        <v>61</v>
      </c>
      <c r="I3092" s="12" t="s">
        <v>230</v>
      </c>
      <c r="J3092" s="12" t="s">
        <v>419</v>
      </c>
      <c r="K3092" s="12" t="s">
        <v>199</v>
      </c>
      <c r="L3092" s="14"/>
      <c r="M3092" s="12" t="s">
        <v>43</v>
      </c>
      <c r="N3092" s="12" t="s">
        <v>84</v>
      </c>
      <c r="O3092" s="12" t="s">
        <v>11283</v>
      </c>
      <c r="P3092" s="12" t="s">
        <v>66</v>
      </c>
      <c r="Q3092" s="12" t="s">
        <v>67</v>
      </c>
      <c r="R3092" s="12" t="s">
        <v>421</v>
      </c>
      <c r="S3092" s="13">
        <v>197065205195</v>
      </c>
      <c r="T3092" s="12" t="s">
        <v>49</v>
      </c>
      <c r="U3092" s="12" t="s">
        <v>403</v>
      </c>
      <c r="V3092" s="12" t="s">
        <v>423</v>
      </c>
      <c r="W3092" s="12" t="s">
        <v>51</v>
      </c>
      <c r="X3092" s="13">
        <v>0</v>
      </c>
      <c r="Y3092" s="12" t="s">
        <v>91</v>
      </c>
      <c r="Z3092" s="12" t="s">
        <v>92</v>
      </c>
      <c r="AA3092" s="12" t="s">
        <v>93</v>
      </c>
      <c r="AB3092" s="12" t="s">
        <v>94</v>
      </c>
      <c r="AC3092" s="15">
        <v>22.75</v>
      </c>
      <c r="AD3092" s="15">
        <f>AC3092*AG3092</f>
        <v>22.75</v>
      </c>
      <c r="AE3092" s="15">
        <v>50</v>
      </c>
      <c r="AF3092" s="15">
        <f>AE3092*AG3092</f>
        <v>50</v>
      </c>
      <c r="AG3092" s="16">
        <v>1</v>
      </c>
    </row>
    <row r="3093" spans="1:33" ht="15" customHeight="1" x14ac:dyDescent="0.2">
      <c r="A3093" s="11" t="str">
        <f>HYPERLINK("https://assets.vans.eu/images/VN000KASBN5-HERO/1","VN000KASBN51")</f>
        <v>VN000KASBN51</v>
      </c>
      <c r="B3093" s="12" t="s">
        <v>11284</v>
      </c>
      <c r="C3093" s="12" t="s">
        <v>2210</v>
      </c>
      <c r="D3093" s="12" t="s">
        <v>11285</v>
      </c>
      <c r="E3093" s="12" t="s">
        <v>11286</v>
      </c>
      <c r="F3093" s="12" t="s">
        <v>153</v>
      </c>
      <c r="G3093" s="14"/>
      <c r="H3093" s="12" t="s">
        <v>61</v>
      </c>
      <c r="I3093" s="12" t="s">
        <v>230</v>
      </c>
      <c r="J3093" s="12" t="s">
        <v>419</v>
      </c>
      <c r="K3093" s="12" t="s">
        <v>199</v>
      </c>
      <c r="L3093" s="12" t="s">
        <v>115</v>
      </c>
      <c r="M3093" s="12" t="s">
        <v>43</v>
      </c>
      <c r="N3093" s="12" t="s">
        <v>84</v>
      </c>
      <c r="O3093" s="12" t="s">
        <v>11287</v>
      </c>
      <c r="P3093" s="12" t="s">
        <v>66</v>
      </c>
      <c r="Q3093" s="12" t="s">
        <v>67</v>
      </c>
      <c r="R3093" s="12" t="s">
        <v>421</v>
      </c>
      <c r="S3093" s="13">
        <v>198267176603</v>
      </c>
      <c r="T3093" s="12" t="s">
        <v>69</v>
      </c>
      <c r="U3093" s="12" t="s">
        <v>153</v>
      </c>
      <c r="V3093" s="12" t="s">
        <v>423</v>
      </c>
      <c r="W3093" s="12" t="s">
        <v>51</v>
      </c>
      <c r="X3093" s="14"/>
      <c r="Y3093" s="14"/>
      <c r="Z3093" s="14"/>
      <c r="AA3093" s="14"/>
      <c r="AB3093" s="14"/>
      <c r="AC3093" s="15">
        <v>22.75</v>
      </c>
      <c r="AD3093" s="15">
        <f>AC3093*AG3093</f>
        <v>22.75</v>
      </c>
      <c r="AE3093" s="15">
        <v>50</v>
      </c>
      <c r="AF3093" s="15">
        <f>AE3093*AG3093</f>
        <v>50</v>
      </c>
      <c r="AG3093" s="16">
        <v>1</v>
      </c>
    </row>
    <row r="3094" spans="1:33" ht="15" customHeight="1" x14ac:dyDescent="0.2">
      <c r="A3094" s="11" t="str">
        <f t="shared" si="199"/>
        <v>VN000KASBTE1</v>
      </c>
      <c r="B3094" s="12" t="s">
        <v>11288</v>
      </c>
      <c r="C3094" s="12" t="s">
        <v>2210</v>
      </c>
      <c r="D3094" s="12" t="s">
        <v>2211</v>
      </c>
      <c r="E3094" s="12" t="s">
        <v>11289</v>
      </c>
      <c r="F3094" s="12" t="s">
        <v>153</v>
      </c>
      <c r="G3094" s="14"/>
      <c r="H3094" s="12" t="s">
        <v>61</v>
      </c>
      <c r="I3094" s="12" t="s">
        <v>230</v>
      </c>
      <c r="J3094" s="12" t="s">
        <v>419</v>
      </c>
      <c r="K3094" s="12" t="s">
        <v>199</v>
      </c>
      <c r="L3094" s="12" t="s">
        <v>115</v>
      </c>
      <c r="M3094" s="12" t="s">
        <v>43</v>
      </c>
      <c r="N3094" s="12" t="s">
        <v>44</v>
      </c>
      <c r="O3094" s="12" t="s">
        <v>11290</v>
      </c>
      <c r="P3094" s="12" t="s">
        <v>66</v>
      </c>
      <c r="Q3094" s="12" t="s">
        <v>67</v>
      </c>
      <c r="R3094" s="12" t="s">
        <v>421</v>
      </c>
      <c r="S3094" s="13">
        <v>197803884736</v>
      </c>
      <c r="T3094" s="12" t="s">
        <v>49</v>
      </c>
      <c r="U3094" s="12" t="s">
        <v>153</v>
      </c>
      <c r="V3094" s="12" t="s">
        <v>70</v>
      </c>
      <c r="W3094" s="12" t="s">
        <v>51</v>
      </c>
      <c r="X3094" s="13">
        <v>0</v>
      </c>
      <c r="Y3094" s="12" t="s">
        <v>91</v>
      </c>
      <c r="Z3094" s="12" t="s">
        <v>92</v>
      </c>
      <c r="AA3094" s="12" t="s">
        <v>2214</v>
      </c>
      <c r="AB3094" s="12" t="s">
        <v>94</v>
      </c>
      <c r="AC3094" s="15">
        <v>22.75</v>
      </c>
      <c r="AD3094" s="15">
        <f>AC3094*AG3094</f>
        <v>22.75</v>
      </c>
      <c r="AE3094" s="15">
        <v>50</v>
      </c>
      <c r="AF3094" s="15">
        <f>AE3094*AG3094</f>
        <v>50</v>
      </c>
      <c r="AG3094" s="16">
        <v>1</v>
      </c>
    </row>
    <row r="3095" spans="1:33" ht="15" customHeight="1" x14ac:dyDescent="0.2">
      <c r="A3095" s="11" t="str">
        <f>HYPERLINK("https://assets.vans.eu/images/VN000KASD3Z-HERO/1","VN000KASD3Z1")</f>
        <v>VN000KASD3Z1</v>
      </c>
      <c r="B3095" s="12" t="s">
        <v>11291</v>
      </c>
      <c r="C3095" s="12" t="s">
        <v>2210</v>
      </c>
      <c r="D3095" s="12" t="s">
        <v>4721</v>
      </c>
      <c r="E3095" s="12" t="s">
        <v>11292</v>
      </c>
      <c r="F3095" s="12" t="s">
        <v>60</v>
      </c>
      <c r="G3095" s="14"/>
      <c r="H3095" s="12" t="s">
        <v>61</v>
      </c>
      <c r="I3095" s="12" t="s">
        <v>230</v>
      </c>
      <c r="J3095" s="12" t="s">
        <v>419</v>
      </c>
      <c r="K3095" s="12" t="s">
        <v>199</v>
      </c>
      <c r="L3095" s="12" t="s">
        <v>115</v>
      </c>
      <c r="M3095" s="12" t="s">
        <v>43</v>
      </c>
      <c r="N3095" s="12" t="s">
        <v>44</v>
      </c>
      <c r="O3095" s="12" t="s">
        <v>11293</v>
      </c>
      <c r="P3095" s="12" t="s">
        <v>66</v>
      </c>
      <c r="Q3095" s="12" t="s">
        <v>67</v>
      </c>
      <c r="R3095" s="12" t="s">
        <v>421</v>
      </c>
      <c r="S3095" s="13">
        <v>197642462270</v>
      </c>
      <c r="T3095" s="12" t="s">
        <v>49</v>
      </c>
      <c r="U3095" s="12" t="s">
        <v>60</v>
      </c>
      <c r="V3095" s="12" t="s">
        <v>70</v>
      </c>
      <c r="W3095" s="12" t="s">
        <v>118</v>
      </c>
      <c r="X3095" s="13">
        <v>0</v>
      </c>
      <c r="Y3095" s="12" t="s">
        <v>91</v>
      </c>
      <c r="Z3095" s="12" t="s">
        <v>92</v>
      </c>
      <c r="AA3095" s="12" t="s">
        <v>93</v>
      </c>
      <c r="AB3095" s="12" t="s">
        <v>94</v>
      </c>
      <c r="AC3095" s="15">
        <v>22.75</v>
      </c>
      <c r="AD3095" s="15">
        <f>AC3095*AG3095</f>
        <v>22.75</v>
      </c>
      <c r="AE3095" s="15">
        <v>50</v>
      </c>
      <c r="AF3095" s="15">
        <f>AE3095*AG3095</f>
        <v>50</v>
      </c>
      <c r="AG3095" s="16">
        <v>1</v>
      </c>
    </row>
    <row r="3096" spans="1:33" ht="15" customHeight="1" x14ac:dyDescent="0.2">
      <c r="A3096" s="11" t="str">
        <f>HYPERLINK("https://assets.vans.eu/images/VN000KASFS8-HERO/1","VN000KASFS81")</f>
        <v>VN000KASFS81</v>
      </c>
      <c r="B3096" s="12" t="s">
        <v>11294</v>
      </c>
      <c r="C3096" s="12" t="s">
        <v>2210</v>
      </c>
      <c r="D3096" s="12" t="s">
        <v>239</v>
      </c>
      <c r="E3096" s="12" t="s">
        <v>11295</v>
      </c>
      <c r="F3096" s="12" t="s">
        <v>60</v>
      </c>
      <c r="G3096" s="14"/>
      <c r="H3096" s="12" t="s">
        <v>61</v>
      </c>
      <c r="I3096" s="12" t="s">
        <v>230</v>
      </c>
      <c r="J3096" s="12" t="s">
        <v>419</v>
      </c>
      <c r="K3096" s="12" t="s">
        <v>199</v>
      </c>
      <c r="L3096" s="14"/>
      <c r="M3096" s="12" t="s">
        <v>43</v>
      </c>
      <c r="N3096" s="12" t="s">
        <v>84</v>
      </c>
      <c r="O3096" s="12" t="s">
        <v>11296</v>
      </c>
      <c r="P3096" s="12" t="s">
        <v>66</v>
      </c>
      <c r="Q3096" s="12" t="s">
        <v>67</v>
      </c>
      <c r="R3096" s="12" t="s">
        <v>421</v>
      </c>
      <c r="S3096" s="13">
        <v>197065205249</v>
      </c>
      <c r="T3096" s="12" t="s">
        <v>49</v>
      </c>
      <c r="U3096" s="12" t="s">
        <v>60</v>
      </c>
      <c r="V3096" s="12" t="s">
        <v>423</v>
      </c>
      <c r="W3096" s="12" t="s">
        <v>175</v>
      </c>
      <c r="X3096" s="13">
        <v>0</v>
      </c>
      <c r="Y3096" s="12" t="s">
        <v>91</v>
      </c>
      <c r="Z3096" s="12" t="s">
        <v>92</v>
      </c>
      <c r="AA3096" s="12" t="s">
        <v>93</v>
      </c>
      <c r="AB3096" s="12" t="s">
        <v>94</v>
      </c>
      <c r="AC3096" s="15">
        <v>22.75</v>
      </c>
      <c r="AD3096" s="15">
        <f>AC3096*AG3096</f>
        <v>22.75</v>
      </c>
      <c r="AE3096" s="15">
        <v>50</v>
      </c>
      <c r="AF3096" s="15">
        <f>AE3096*AG3096</f>
        <v>50</v>
      </c>
      <c r="AG3096" s="16">
        <v>1</v>
      </c>
    </row>
    <row r="3097" spans="1:33" ht="15" customHeight="1" x14ac:dyDescent="0.2">
      <c r="A3097" s="11" t="str">
        <f>HYPERLINK("https://assets.vans.eu/images/VN000KG6BLK-HERO/1","VN000KG6BLK1")</f>
        <v>VN000KG6BLK1</v>
      </c>
      <c r="B3097" s="12" t="s">
        <v>11297</v>
      </c>
      <c r="C3097" s="12" t="s">
        <v>11298</v>
      </c>
      <c r="D3097" s="12" t="s">
        <v>76</v>
      </c>
      <c r="E3097" s="12" t="s">
        <v>11299</v>
      </c>
      <c r="F3097" s="12" t="s">
        <v>170</v>
      </c>
      <c r="G3097" s="14"/>
      <c r="H3097" s="12" t="s">
        <v>61</v>
      </c>
      <c r="I3097" s="12" t="s">
        <v>289</v>
      </c>
      <c r="J3097" s="12" t="s">
        <v>290</v>
      </c>
      <c r="K3097" s="12" t="s">
        <v>100</v>
      </c>
      <c r="L3097" s="14"/>
      <c r="M3097" s="12" t="s">
        <v>43</v>
      </c>
      <c r="N3097" s="12" t="s">
        <v>274</v>
      </c>
      <c r="O3097" s="12" t="s">
        <v>11300</v>
      </c>
      <c r="P3097" s="12" t="s">
        <v>66</v>
      </c>
      <c r="Q3097" s="12" t="s">
        <v>233</v>
      </c>
      <c r="R3097" s="12" t="s">
        <v>2073</v>
      </c>
      <c r="S3097" s="13">
        <v>197641072708</v>
      </c>
      <c r="T3097" s="12" t="s">
        <v>49</v>
      </c>
      <c r="U3097" s="12" t="s">
        <v>170</v>
      </c>
      <c r="V3097" s="12" t="s">
        <v>1811</v>
      </c>
      <c r="W3097" s="12" t="s">
        <v>51</v>
      </c>
      <c r="X3097" s="13">
        <v>0</v>
      </c>
      <c r="Y3097" s="12" t="s">
        <v>91</v>
      </c>
      <c r="Z3097" s="12" t="s">
        <v>108</v>
      </c>
      <c r="AA3097" s="13">
        <v>0</v>
      </c>
      <c r="AB3097" s="13">
        <v>0</v>
      </c>
      <c r="AC3097" s="15">
        <v>22.75</v>
      </c>
      <c r="AD3097" s="15">
        <f>AC3097*AG3097</f>
        <v>22.75</v>
      </c>
      <c r="AE3097" s="15">
        <v>50</v>
      </c>
      <c r="AF3097" s="15">
        <f>AE3097*AG3097</f>
        <v>50</v>
      </c>
      <c r="AG3097" s="16">
        <v>1</v>
      </c>
    </row>
    <row r="3098" spans="1:33" ht="15" customHeight="1" x14ac:dyDescent="0.2">
      <c r="A3098" s="11" t="str">
        <f>HYPERLINK("https://assets.vans.eu/images/VN000KHN7VJ-HERO/1","VN000KHN7VJ1")</f>
        <v>VN000KHN7VJ1</v>
      </c>
      <c r="B3098" s="12" t="s">
        <v>11301</v>
      </c>
      <c r="C3098" s="12" t="s">
        <v>11302</v>
      </c>
      <c r="D3098" s="12" t="s">
        <v>2647</v>
      </c>
      <c r="E3098" s="12" t="s">
        <v>11303</v>
      </c>
      <c r="F3098" s="12" t="s">
        <v>60</v>
      </c>
      <c r="G3098" s="14"/>
      <c r="H3098" s="12" t="s">
        <v>61</v>
      </c>
      <c r="I3098" s="12" t="s">
        <v>230</v>
      </c>
      <c r="J3098" s="12" t="s">
        <v>762</v>
      </c>
      <c r="K3098" s="12" t="s">
        <v>199</v>
      </c>
      <c r="L3098" s="14"/>
      <c r="M3098" s="12" t="s">
        <v>43</v>
      </c>
      <c r="N3098" s="12" t="s">
        <v>44</v>
      </c>
      <c r="O3098" s="12" t="s">
        <v>11304</v>
      </c>
      <c r="P3098" s="12" t="s">
        <v>66</v>
      </c>
      <c r="Q3098" s="12" t="s">
        <v>764</v>
      </c>
      <c r="R3098" s="12" t="s">
        <v>765</v>
      </c>
      <c r="S3098" s="13">
        <v>197643402626</v>
      </c>
      <c r="T3098" s="12" t="s">
        <v>235</v>
      </c>
      <c r="U3098" s="12" t="s">
        <v>60</v>
      </c>
      <c r="V3098" s="12" t="s">
        <v>665</v>
      </c>
      <c r="W3098" s="12" t="s">
        <v>175</v>
      </c>
      <c r="X3098" s="13">
        <v>0</v>
      </c>
      <c r="Y3098" s="12" t="s">
        <v>91</v>
      </c>
      <c r="Z3098" s="12" t="s">
        <v>108</v>
      </c>
      <c r="AA3098" s="13">
        <v>0</v>
      </c>
      <c r="AB3098" s="13">
        <v>0</v>
      </c>
      <c r="AC3098" s="15">
        <v>50</v>
      </c>
      <c r="AD3098" s="15">
        <f>AC3098*AG3098</f>
        <v>50</v>
      </c>
      <c r="AE3098" s="15">
        <v>110</v>
      </c>
      <c r="AF3098" s="15">
        <f>AE3098*AG3098</f>
        <v>110</v>
      </c>
      <c r="AG3098" s="16">
        <v>1</v>
      </c>
    </row>
    <row r="3099" spans="1:33" ht="15" customHeight="1" x14ac:dyDescent="0.2">
      <c r="A3099" s="11" t="str">
        <f>HYPERLINK("https://assets.vans.eu/images/VN000KHYBLK-HERO/1","VN000KHYBLK1")</f>
        <v>VN000KHYBLK1</v>
      </c>
      <c r="B3099" s="12" t="s">
        <v>11305</v>
      </c>
      <c r="C3099" s="12" t="s">
        <v>11306</v>
      </c>
      <c r="D3099" s="12" t="s">
        <v>76</v>
      </c>
      <c r="E3099" s="12" t="s">
        <v>11307</v>
      </c>
      <c r="F3099" s="12" t="s">
        <v>403</v>
      </c>
      <c r="G3099" s="14"/>
      <c r="H3099" s="12" t="s">
        <v>61</v>
      </c>
      <c r="I3099" s="12" t="s">
        <v>230</v>
      </c>
      <c r="J3099" s="12" t="s">
        <v>419</v>
      </c>
      <c r="K3099" s="12" t="s">
        <v>199</v>
      </c>
      <c r="L3099" s="12" t="s">
        <v>83</v>
      </c>
      <c r="M3099" s="12" t="s">
        <v>43</v>
      </c>
      <c r="N3099" s="12" t="s">
        <v>161</v>
      </c>
      <c r="O3099" s="12" t="s">
        <v>11308</v>
      </c>
      <c r="P3099" s="12" t="s">
        <v>66</v>
      </c>
      <c r="Q3099" s="12" t="s">
        <v>67</v>
      </c>
      <c r="R3099" s="12" t="s">
        <v>623</v>
      </c>
      <c r="S3099" s="13">
        <v>197642102473</v>
      </c>
      <c r="T3099" s="12" t="s">
        <v>499</v>
      </c>
      <c r="U3099" s="12" t="s">
        <v>403</v>
      </c>
      <c r="V3099" s="12" t="s">
        <v>70</v>
      </c>
      <c r="W3099" s="12" t="s">
        <v>51</v>
      </c>
      <c r="X3099" s="13">
        <v>0</v>
      </c>
      <c r="Y3099" s="12" t="s">
        <v>91</v>
      </c>
      <c r="Z3099" s="12" t="s">
        <v>108</v>
      </c>
      <c r="AA3099" s="13">
        <v>0</v>
      </c>
      <c r="AB3099" s="12" t="s">
        <v>616</v>
      </c>
      <c r="AC3099" s="15">
        <v>36.4</v>
      </c>
      <c r="AD3099" s="15">
        <f>AC3099*AG3099</f>
        <v>36.4</v>
      </c>
      <c r="AE3099" s="15">
        <v>80</v>
      </c>
      <c r="AF3099" s="15">
        <f>AE3099*AG3099</f>
        <v>80</v>
      </c>
      <c r="AG3099" s="16">
        <v>1</v>
      </c>
    </row>
    <row r="3100" spans="1:33" ht="15" customHeight="1" x14ac:dyDescent="0.2">
      <c r="A3100" s="11" t="str">
        <f>HYPERLINK("https://assets.vans.eu/images/VN000KTABLK-HERO/1","VN000KTABLK1")</f>
        <v>VN000KTABLK1</v>
      </c>
      <c r="B3100" s="12" t="s">
        <v>11309</v>
      </c>
      <c r="C3100" s="12" t="s">
        <v>1943</v>
      </c>
      <c r="D3100" s="12" t="s">
        <v>76</v>
      </c>
      <c r="E3100" s="12" t="s">
        <v>11310</v>
      </c>
      <c r="F3100" s="12" t="s">
        <v>403</v>
      </c>
      <c r="G3100" s="14"/>
      <c r="H3100" s="12" t="s">
        <v>61</v>
      </c>
      <c r="I3100" s="12" t="s">
        <v>230</v>
      </c>
      <c r="J3100" s="12" t="s">
        <v>762</v>
      </c>
      <c r="K3100" s="12" t="s">
        <v>199</v>
      </c>
      <c r="L3100" s="14"/>
      <c r="M3100" s="12" t="s">
        <v>43</v>
      </c>
      <c r="N3100" s="12" t="s">
        <v>44</v>
      </c>
      <c r="O3100" s="12" t="s">
        <v>11311</v>
      </c>
      <c r="P3100" s="12" t="s">
        <v>66</v>
      </c>
      <c r="Q3100" s="12" t="s">
        <v>764</v>
      </c>
      <c r="R3100" s="12" t="s">
        <v>765</v>
      </c>
      <c r="S3100" s="13">
        <v>197643536918</v>
      </c>
      <c r="T3100" s="12" t="s">
        <v>49</v>
      </c>
      <c r="U3100" s="12" t="s">
        <v>403</v>
      </c>
      <c r="V3100" s="12" t="s">
        <v>11312</v>
      </c>
      <c r="W3100" s="12" t="s">
        <v>51</v>
      </c>
      <c r="X3100" s="13">
        <v>0</v>
      </c>
      <c r="Y3100" s="12" t="s">
        <v>53</v>
      </c>
      <c r="Z3100" s="12" t="s">
        <v>108</v>
      </c>
      <c r="AA3100" s="13">
        <v>0</v>
      </c>
      <c r="AB3100" s="13">
        <v>0</v>
      </c>
      <c r="AC3100" s="15">
        <v>54.55</v>
      </c>
      <c r="AD3100" s="15">
        <f>AC3100*AG3100</f>
        <v>54.55</v>
      </c>
      <c r="AE3100" s="15">
        <v>120</v>
      </c>
      <c r="AF3100" s="15">
        <f>AE3100*AG3100</f>
        <v>120</v>
      </c>
      <c r="AG3100" s="16">
        <v>1</v>
      </c>
    </row>
    <row r="3101" spans="1:33" ht="15" customHeight="1" x14ac:dyDescent="0.2">
      <c r="A3101" s="11" t="str">
        <f>HYPERLINK("https://assets.vans.eu/images/VN000KTBBLK-HERO/1","VN000KTBBLK1")</f>
        <v>VN000KTBBLK1</v>
      </c>
      <c r="B3101" s="12" t="s">
        <v>11313</v>
      </c>
      <c r="C3101" s="12" t="s">
        <v>4569</v>
      </c>
      <c r="D3101" s="12" t="s">
        <v>76</v>
      </c>
      <c r="E3101" s="12" t="s">
        <v>11314</v>
      </c>
      <c r="F3101" s="12" t="s">
        <v>621</v>
      </c>
      <c r="G3101" s="14"/>
      <c r="H3101" s="12" t="s">
        <v>61</v>
      </c>
      <c r="I3101" s="12" t="s">
        <v>230</v>
      </c>
      <c r="J3101" s="12" t="s">
        <v>231</v>
      </c>
      <c r="K3101" s="12" t="s">
        <v>199</v>
      </c>
      <c r="L3101" s="14"/>
      <c r="M3101" s="12" t="s">
        <v>43</v>
      </c>
      <c r="N3101" s="12" t="s">
        <v>84</v>
      </c>
      <c r="O3101" s="12" t="s">
        <v>11315</v>
      </c>
      <c r="P3101" s="12" t="s">
        <v>66</v>
      </c>
      <c r="Q3101" s="12" t="s">
        <v>233</v>
      </c>
      <c r="R3101" s="12" t="s">
        <v>361</v>
      </c>
      <c r="S3101" s="13">
        <v>197643403074</v>
      </c>
      <c r="T3101" s="12" t="s">
        <v>235</v>
      </c>
      <c r="U3101" s="12" t="s">
        <v>621</v>
      </c>
      <c r="V3101" s="12" t="s">
        <v>1811</v>
      </c>
      <c r="W3101" s="12" t="s">
        <v>51</v>
      </c>
      <c r="X3101" s="13">
        <v>0</v>
      </c>
      <c r="Y3101" s="12" t="s">
        <v>53</v>
      </c>
      <c r="Z3101" s="12" t="s">
        <v>108</v>
      </c>
      <c r="AA3101" s="13">
        <v>0</v>
      </c>
      <c r="AB3101" s="13">
        <v>0</v>
      </c>
      <c r="AC3101" s="15">
        <v>50</v>
      </c>
      <c r="AD3101" s="15">
        <f>AC3101*AG3101</f>
        <v>50</v>
      </c>
      <c r="AE3101" s="15">
        <v>110</v>
      </c>
      <c r="AF3101" s="15">
        <f>AE3101*AG3101</f>
        <v>110</v>
      </c>
      <c r="AG3101" s="16">
        <v>1</v>
      </c>
    </row>
    <row r="3102" spans="1:33" ht="15" customHeight="1" x14ac:dyDescent="0.2">
      <c r="A3102" s="11" t="str">
        <f t="shared" si="679"/>
        <v>VN000KTBCI21</v>
      </c>
      <c r="B3102" s="12" t="s">
        <v>11316</v>
      </c>
      <c r="C3102" s="12" t="s">
        <v>4569</v>
      </c>
      <c r="D3102" s="12" t="s">
        <v>2499</v>
      </c>
      <c r="E3102" s="12" t="s">
        <v>11317</v>
      </c>
      <c r="F3102" s="12" t="s">
        <v>403</v>
      </c>
      <c r="G3102" s="14"/>
      <c r="H3102" s="12" t="s">
        <v>61</v>
      </c>
      <c r="I3102" s="12" t="s">
        <v>230</v>
      </c>
      <c r="J3102" s="12" t="s">
        <v>231</v>
      </c>
      <c r="K3102" s="12" t="s">
        <v>199</v>
      </c>
      <c r="L3102" s="14"/>
      <c r="M3102" s="12" t="s">
        <v>43</v>
      </c>
      <c r="N3102" s="12" t="s">
        <v>44</v>
      </c>
      <c r="O3102" s="12" t="s">
        <v>11318</v>
      </c>
      <c r="P3102" s="12" t="s">
        <v>66</v>
      </c>
      <c r="Q3102" s="12" t="s">
        <v>233</v>
      </c>
      <c r="R3102" s="12" t="s">
        <v>361</v>
      </c>
      <c r="S3102" s="13">
        <v>197643402282</v>
      </c>
      <c r="T3102" s="12" t="s">
        <v>235</v>
      </c>
      <c r="U3102" s="12" t="s">
        <v>403</v>
      </c>
      <c r="V3102" s="12" t="s">
        <v>1811</v>
      </c>
      <c r="W3102" s="12" t="s">
        <v>118</v>
      </c>
      <c r="X3102" s="13">
        <v>0</v>
      </c>
      <c r="Y3102" s="12" t="s">
        <v>53</v>
      </c>
      <c r="Z3102" s="12" t="s">
        <v>108</v>
      </c>
      <c r="AA3102" s="13">
        <v>0</v>
      </c>
      <c r="AB3102" s="13">
        <v>0</v>
      </c>
      <c r="AC3102" s="15">
        <v>50</v>
      </c>
      <c r="AD3102" s="15">
        <f>AC3102*AG3102</f>
        <v>50</v>
      </c>
      <c r="AE3102" s="15">
        <v>110</v>
      </c>
      <c r="AF3102" s="15">
        <f>AE3102*AG3102</f>
        <v>110</v>
      </c>
      <c r="AG3102" s="16">
        <v>1</v>
      </c>
    </row>
    <row r="3103" spans="1:33" ht="15" customHeight="1" x14ac:dyDescent="0.2">
      <c r="A3103" s="11" t="str">
        <f>HYPERLINK("https://assets.vans.eu/images/VN000KTFM8I-HERO/1","VN000KTFM8I1")</f>
        <v>VN000KTFM8I1</v>
      </c>
      <c r="B3103" s="12" t="s">
        <v>11319</v>
      </c>
      <c r="C3103" s="12" t="s">
        <v>11320</v>
      </c>
      <c r="D3103" s="12" t="s">
        <v>1487</v>
      </c>
      <c r="E3103" s="12" t="s">
        <v>11321</v>
      </c>
      <c r="F3103" s="12" t="s">
        <v>403</v>
      </c>
      <c r="G3103" s="14"/>
      <c r="H3103" s="12" t="s">
        <v>61</v>
      </c>
      <c r="I3103" s="12" t="s">
        <v>230</v>
      </c>
      <c r="J3103" s="12" t="s">
        <v>419</v>
      </c>
      <c r="K3103" s="12" t="s">
        <v>199</v>
      </c>
      <c r="L3103" s="12" t="s">
        <v>83</v>
      </c>
      <c r="M3103" s="12" t="s">
        <v>43</v>
      </c>
      <c r="N3103" s="12" t="s">
        <v>161</v>
      </c>
      <c r="O3103" s="12" t="s">
        <v>11322</v>
      </c>
      <c r="P3103" s="12" t="s">
        <v>66</v>
      </c>
      <c r="Q3103" s="12" t="s">
        <v>67</v>
      </c>
      <c r="R3103" s="12" t="s">
        <v>421</v>
      </c>
      <c r="S3103" s="13">
        <v>197641236834</v>
      </c>
      <c r="T3103" s="12" t="s">
        <v>422</v>
      </c>
      <c r="U3103" s="12" t="s">
        <v>403</v>
      </c>
      <c r="V3103" s="12" t="s">
        <v>423</v>
      </c>
      <c r="W3103" s="12" t="s">
        <v>118</v>
      </c>
      <c r="X3103" s="13">
        <v>0</v>
      </c>
      <c r="Y3103" s="12" t="s">
        <v>53</v>
      </c>
      <c r="Z3103" s="12" t="s">
        <v>108</v>
      </c>
      <c r="AA3103" s="13">
        <v>0</v>
      </c>
      <c r="AB3103" s="12" t="s">
        <v>616</v>
      </c>
      <c r="AC3103" s="15">
        <v>19.100000000000001</v>
      </c>
      <c r="AD3103" s="15">
        <f>AC3103*AG3103</f>
        <v>19.100000000000001</v>
      </c>
      <c r="AE3103" s="15">
        <v>42</v>
      </c>
      <c r="AF3103" s="15">
        <f>AE3103*AG3103</f>
        <v>42</v>
      </c>
      <c r="AG3103" s="16">
        <v>1</v>
      </c>
    </row>
    <row r="3104" spans="1:33" ht="15" customHeight="1" x14ac:dyDescent="0.2">
      <c r="A3104" s="11" t="str">
        <f>HYPERLINK("https://assets.vans.eu/images/VN000KU4BLK-HERO/1","VN000KU4BLK1")</f>
        <v>VN000KU4BLK1</v>
      </c>
      <c r="B3104" s="12" t="s">
        <v>11323</v>
      </c>
      <c r="C3104" s="12" t="s">
        <v>11324</v>
      </c>
      <c r="D3104" s="12" t="s">
        <v>76</v>
      </c>
      <c r="E3104" s="12" t="s">
        <v>11325</v>
      </c>
      <c r="F3104" s="12" t="s">
        <v>403</v>
      </c>
      <c r="G3104" s="14"/>
      <c r="H3104" s="12" t="s">
        <v>61</v>
      </c>
      <c r="I3104" s="12" t="s">
        <v>230</v>
      </c>
      <c r="J3104" s="12" t="s">
        <v>419</v>
      </c>
      <c r="K3104" s="12" t="s">
        <v>199</v>
      </c>
      <c r="L3104" s="12" t="s">
        <v>83</v>
      </c>
      <c r="M3104" s="12" t="s">
        <v>43</v>
      </c>
      <c r="N3104" s="12" t="s">
        <v>161</v>
      </c>
      <c r="O3104" s="12" t="s">
        <v>11326</v>
      </c>
      <c r="P3104" s="12" t="s">
        <v>66</v>
      </c>
      <c r="Q3104" s="12" t="s">
        <v>67</v>
      </c>
      <c r="R3104" s="12" t="s">
        <v>623</v>
      </c>
      <c r="S3104" s="13">
        <v>197641235974</v>
      </c>
      <c r="T3104" s="12" t="s">
        <v>499</v>
      </c>
      <c r="U3104" s="12" t="s">
        <v>403</v>
      </c>
      <c r="V3104" s="12" t="s">
        <v>70</v>
      </c>
      <c r="W3104" s="12" t="s">
        <v>51</v>
      </c>
      <c r="X3104" s="13">
        <v>0</v>
      </c>
      <c r="Y3104" s="12" t="s">
        <v>91</v>
      </c>
      <c r="Z3104" s="12" t="s">
        <v>108</v>
      </c>
      <c r="AA3104" s="13">
        <v>0</v>
      </c>
      <c r="AB3104" s="12" t="s">
        <v>616</v>
      </c>
      <c r="AC3104" s="15">
        <v>31.85</v>
      </c>
      <c r="AD3104" s="15">
        <f>AC3104*AG3104</f>
        <v>31.85</v>
      </c>
      <c r="AE3104" s="15">
        <v>70</v>
      </c>
      <c r="AF3104" s="15">
        <f>AE3104*AG3104</f>
        <v>70</v>
      </c>
      <c r="AG3104" s="16">
        <v>1</v>
      </c>
    </row>
    <row r="3105" spans="1:33" ht="15" customHeight="1" x14ac:dyDescent="0.2">
      <c r="A3105" s="11" t="str">
        <f t="shared" si="867"/>
        <v>VN000KUE02F1</v>
      </c>
      <c r="B3105" s="12" t="s">
        <v>11327</v>
      </c>
      <c r="C3105" s="12" t="s">
        <v>4576</v>
      </c>
      <c r="D3105" s="12" t="s">
        <v>857</v>
      </c>
      <c r="E3105" s="12" t="s">
        <v>11328</v>
      </c>
      <c r="F3105" s="12" t="s">
        <v>170</v>
      </c>
      <c r="G3105" s="14"/>
      <c r="H3105" s="12" t="s">
        <v>61</v>
      </c>
      <c r="I3105" s="12" t="s">
        <v>230</v>
      </c>
      <c r="J3105" s="12" t="s">
        <v>419</v>
      </c>
      <c r="K3105" s="12" t="s">
        <v>199</v>
      </c>
      <c r="L3105" s="14"/>
      <c r="M3105" s="12" t="s">
        <v>43</v>
      </c>
      <c r="N3105" s="12" t="s">
        <v>44</v>
      </c>
      <c r="O3105" s="12" t="s">
        <v>11329</v>
      </c>
      <c r="P3105" s="12" t="s">
        <v>66</v>
      </c>
      <c r="Q3105" s="12" t="s">
        <v>67</v>
      </c>
      <c r="R3105" s="12" t="s">
        <v>1500</v>
      </c>
      <c r="S3105" s="13">
        <v>197643536888</v>
      </c>
      <c r="T3105" s="12" t="s">
        <v>49</v>
      </c>
      <c r="U3105" s="12" t="s">
        <v>170</v>
      </c>
      <c r="V3105" s="12" t="s">
        <v>4579</v>
      </c>
      <c r="W3105" s="12" t="s">
        <v>455</v>
      </c>
      <c r="X3105" s="13">
        <v>0</v>
      </c>
      <c r="Y3105" s="12" t="s">
        <v>91</v>
      </c>
      <c r="Z3105" s="12" t="s">
        <v>108</v>
      </c>
      <c r="AA3105" s="13">
        <v>0</v>
      </c>
      <c r="AB3105" s="13">
        <v>0</v>
      </c>
      <c r="AC3105" s="15">
        <v>25</v>
      </c>
      <c r="AD3105" s="15">
        <f>AC3105*AG3105</f>
        <v>25</v>
      </c>
      <c r="AE3105" s="15">
        <v>55</v>
      </c>
      <c r="AF3105" s="15">
        <f>AE3105*AG3105</f>
        <v>55</v>
      </c>
      <c r="AG3105" s="16">
        <v>1</v>
      </c>
    </row>
    <row r="3106" spans="1:33" ht="15" customHeight="1" x14ac:dyDescent="0.2">
      <c r="A3106" s="11" t="str">
        <f>HYPERLINK("https://assets.vans.eu/images/VN000KUE02F-HERO/1","VN000KUE02F1")</f>
        <v>VN000KUE02F1</v>
      </c>
      <c r="B3106" s="12" t="s">
        <v>11330</v>
      </c>
      <c r="C3106" s="12" t="s">
        <v>4576</v>
      </c>
      <c r="D3106" s="12" t="s">
        <v>857</v>
      </c>
      <c r="E3106" s="12" t="s">
        <v>11331</v>
      </c>
      <c r="F3106" s="12" t="s">
        <v>153</v>
      </c>
      <c r="G3106" s="14"/>
      <c r="H3106" s="12" t="s">
        <v>61</v>
      </c>
      <c r="I3106" s="12" t="s">
        <v>230</v>
      </c>
      <c r="J3106" s="12" t="s">
        <v>419</v>
      </c>
      <c r="K3106" s="12" t="s">
        <v>199</v>
      </c>
      <c r="L3106" s="14"/>
      <c r="M3106" s="12" t="s">
        <v>43</v>
      </c>
      <c r="N3106" s="12" t="s">
        <v>44</v>
      </c>
      <c r="O3106" s="12" t="s">
        <v>11332</v>
      </c>
      <c r="P3106" s="12" t="s">
        <v>66</v>
      </c>
      <c r="Q3106" s="12" t="s">
        <v>67</v>
      </c>
      <c r="R3106" s="12" t="s">
        <v>1500</v>
      </c>
      <c r="S3106" s="13">
        <v>197643537090</v>
      </c>
      <c r="T3106" s="12" t="s">
        <v>49</v>
      </c>
      <c r="U3106" s="12" t="s">
        <v>153</v>
      </c>
      <c r="V3106" s="12" t="s">
        <v>4579</v>
      </c>
      <c r="W3106" s="12" t="s">
        <v>455</v>
      </c>
      <c r="X3106" s="13">
        <v>0</v>
      </c>
      <c r="Y3106" s="12" t="s">
        <v>91</v>
      </c>
      <c r="Z3106" s="12" t="s">
        <v>108</v>
      </c>
      <c r="AA3106" s="13">
        <v>0</v>
      </c>
      <c r="AB3106" s="13">
        <v>0</v>
      </c>
      <c r="AC3106" s="15">
        <v>25</v>
      </c>
      <c r="AD3106" s="15">
        <f>AC3106*AG3106</f>
        <v>25</v>
      </c>
      <c r="AE3106" s="15">
        <v>55</v>
      </c>
      <c r="AF3106" s="15">
        <f>AE3106*AG3106</f>
        <v>55</v>
      </c>
      <c r="AG3106" s="16">
        <v>1</v>
      </c>
    </row>
    <row r="3107" spans="1:33" ht="15" customHeight="1" x14ac:dyDescent="0.2">
      <c r="A3107" s="11" t="str">
        <f t="shared" si="479"/>
        <v>VN000KUEJDU1</v>
      </c>
      <c r="B3107" s="12" t="s">
        <v>11333</v>
      </c>
      <c r="C3107" s="12" t="s">
        <v>4576</v>
      </c>
      <c r="D3107" s="12" t="s">
        <v>814</v>
      </c>
      <c r="E3107" s="12" t="s">
        <v>11334</v>
      </c>
      <c r="F3107" s="12" t="s">
        <v>403</v>
      </c>
      <c r="G3107" s="14"/>
      <c r="H3107" s="12" t="s">
        <v>61</v>
      </c>
      <c r="I3107" s="12" t="s">
        <v>230</v>
      </c>
      <c r="J3107" s="12" t="s">
        <v>419</v>
      </c>
      <c r="K3107" s="12" t="s">
        <v>199</v>
      </c>
      <c r="L3107" s="14"/>
      <c r="M3107" s="12" t="s">
        <v>43</v>
      </c>
      <c r="N3107" s="12" t="s">
        <v>44</v>
      </c>
      <c r="O3107" s="12" t="s">
        <v>11335</v>
      </c>
      <c r="P3107" s="12" t="s">
        <v>66</v>
      </c>
      <c r="Q3107" s="12" t="s">
        <v>67</v>
      </c>
      <c r="R3107" s="12" t="s">
        <v>1500</v>
      </c>
      <c r="S3107" s="13">
        <v>197643536895</v>
      </c>
      <c r="T3107" s="12" t="s">
        <v>49</v>
      </c>
      <c r="U3107" s="12" t="s">
        <v>403</v>
      </c>
      <c r="V3107" s="12" t="s">
        <v>4579</v>
      </c>
      <c r="W3107" s="12" t="s">
        <v>284</v>
      </c>
      <c r="X3107" s="13">
        <v>0</v>
      </c>
      <c r="Y3107" s="12" t="s">
        <v>91</v>
      </c>
      <c r="Z3107" s="12" t="s">
        <v>108</v>
      </c>
      <c r="AA3107" s="13">
        <v>0</v>
      </c>
      <c r="AB3107" s="13">
        <v>0</v>
      </c>
      <c r="AC3107" s="15">
        <v>25</v>
      </c>
      <c r="AD3107" s="15">
        <f>AC3107*AG3107</f>
        <v>25</v>
      </c>
      <c r="AE3107" s="15">
        <v>55</v>
      </c>
      <c r="AF3107" s="15">
        <f>AE3107*AG3107</f>
        <v>55</v>
      </c>
      <c r="AG3107" s="16">
        <v>1</v>
      </c>
    </row>
    <row r="3108" spans="1:33" ht="15" customHeight="1" x14ac:dyDescent="0.2">
      <c r="A3108" s="11" t="str">
        <f>HYPERLINK("https://assets.vans.eu/images/VN000KUQJDU-HERO/1","VN000KUQJDU1")</f>
        <v>VN000KUQJDU1</v>
      </c>
      <c r="B3108" s="12" t="s">
        <v>11336</v>
      </c>
      <c r="C3108" s="12" t="s">
        <v>11337</v>
      </c>
      <c r="D3108" s="12" t="s">
        <v>814</v>
      </c>
      <c r="E3108" s="12" t="s">
        <v>11338</v>
      </c>
      <c r="F3108" s="12" t="s">
        <v>179</v>
      </c>
      <c r="G3108" s="14"/>
      <c r="H3108" s="12" t="s">
        <v>61</v>
      </c>
      <c r="I3108" s="12" t="s">
        <v>230</v>
      </c>
      <c r="J3108" s="12" t="s">
        <v>419</v>
      </c>
      <c r="K3108" s="12" t="s">
        <v>199</v>
      </c>
      <c r="L3108" s="14"/>
      <c r="M3108" s="12" t="s">
        <v>43</v>
      </c>
      <c r="N3108" s="12" t="s">
        <v>44</v>
      </c>
      <c r="O3108" s="12" t="s">
        <v>11339</v>
      </c>
      <c r="P3108" s="12" t="s">
        <v>66</v>
      </c>
      <c r="Q3108" s="12" t="s">
        <v>67</v>
      </c>
      <c r="R3108" s="12" t="s">
        <v>1500</v>
      </c>
      <c r="S3108" s="13">
        <v>197643402244</v>
      </c>
      <c r="T3108" s="12" t="s">
        <v>49</v>
      </c>
      <c r="U3108" s="12" t="s">
        <v>179</v>
      </c>
      <c r="V3108" s="12" t="s">
        <v>90</v>
      </c>
      <c r="W3108" s="12" t="s">
        <v>284</v>
      </c>
      <c r="X3108" s="13">
        <v>0</v>
      </c>
      <c r="Y3108" s="12" t="s">
        <v>91</v>
      </c>
      <c r="Z3108" s="12" t="s">
        <v>108</v>
      </c>
      <c r="AA3108" s="13">
        <v>0</v>
      </c>
      <c r="AB3108" s="13">
        <v>0</v>
      </c>
      <c r="AC3108" s="15">
        <v>25</v>
      </c>
      <c r="AD3108" s="15">
        <f>AC3108*AG3108</f>
        <v>25</v>
      </c>
      <c r="AE3108" s="15">
        <v>55</v>
      </c>
      <c r="AF3108" s="15">
        <f>AE3108*AG3108</f>
        <v>55</v>
      </c>
      <c r="AG3108" s="16">
        <v>1</v>
      </c>
    </row>
    <row r="3109" spans="1:33" ht="15" customHeight="1" x14ac:dyDescent="0.2">
      <c r="A3109" s="11" t="str">
        <f>HYPERLINK("https://assets.vans.eu/images/VN000KUR7WM-HERO/1","VN000KUR7WM1")</f>
        <v>VN000KUR7WM1</v>
      </c>
      <c r="B3109" s="12" t="s">
        <v>11340</v>
      </c>
      <c r="C3109" s="12" t="s">
        <v>1949</v>
      </c>
      <c r="D3109" s="12" t="s">
        <v>388</v>
      </c>
      <c r="E3109" s="12" t="s">
        <v>11341</v>
      </c>
      <c r="F3109" s="12" t="s">
        <v>170</v>
      </c>
      <c r="G3109" s="14"/>
      <c r="H3109" s="12" t="s">
        <v>61</v>
      </c>
      <c r="I3109" s="12" t="s">
        <v>230</v>
      </c>
      <c r="J3109" s="12" t="s">
        <v>419</v>
      </c>
      <c r="K3109" s="12" t="s">
        <v>199</v>
      </c>
      <c r="L3109" s="14"/>
      <c r="M3109" s="12" t="s">
        <v>43</v>
      </c>
      <c r="N3109" s="12" t="s">
        <v>44</v>
      </c>
      <c r="O3109" s="12" t="s">
        <v>11342</v>
      </c>
      <c r="P3109" s="12" t="s">
        <v>66</v>
      </c>
      <c r="Q3109" s="12" t="s">
        <v>67</v>
      </c>
      <c r="R3109" s="12" t="s">
        <v>1490</v>
      </c>
      <c r="S3109" s="13">
        <v>197643402466</v>
      </c>
      <c r="T3109" s="12" t="s">
        <v>105</v>
      </c>
      <c r="U3109" s="12" t="s">
        <v>170</v>
      </c>
      <c r="V3109" s="12" t="s">
        <v>423</v>
      </c>
      <c r="W3109" s="12" t="s">
        <v>284</v>
      </c>
      <c r="X3109" s="13">
        <v>0</v>
      </c>
      <c r="Y3109" s="12" t="s">
        <v>53</v>
      </c>
      <c r="Z3109" s="12" t="s">
        <v>108</v>
      </c>
      <c r="AA3109" s="13">
        <v>0</v>
      </c>
      <c r="AB3109" s="13">
        <v>0</v>
      </c>
      <c r="AC3109" s="15">
        <v>45.5</v>
      </c>
      <c r="AD3109" s="15">
        <f>AC3109*AG3109</f>
        <v>45.5</v>
      </c>
      <c r="AE3109" s="15">
        <v>100</v>
      </c>
      <c r="AF3109" s="15">
        <f>AE3109*AG3109</f>
        <v>100</v>
      </c>
      <c r="AG3109" s="16">
        <v>1</v>
      </c>
    </row>
    <row r="3110" spans="1:33" ht="15" customHeight="1" x14ac:dyDescent="0.2">
      <c r="A3110" s="11" t="str">
        <f>HYPERLINK("https://assets.vans.eu/images/VN000KURBLK-HERO/1","VN000KURBLK1")</f>
        <v>VN000KURBLK1</v>
      </c>
      <c r="B3110" s="12" t="s">
        <v>11343</v>
      </c>
      <c r="C3110" s="12" t="s">
        <v>1949</v>
      </c>
      <c r="D3110" s="12" t="s">
        <v>76</v>
      </c>
      <c r="E3110" s="12" t="s">
        <v>11344</v>
      </c>
      <c r="F3110" s="12" t="s">
        <v>179</v>
      </c>
      <c r="G3110" s="14"/>
      <c r="H3110" s="12" t="s">
        <v>61</v>
      </c>
      <c r="I3110" s="12" t="s">
        <v>230</v>
      </c>
      <c r="J3110" s="12" t="s">
        <v>419</v>
      </c>
      <c r="K3110" s="12" t="s">
        <v>199</v>
      </c>
      <c r="L3110" s="14"/>
      <c r="M3110" s="12" t="s">
        <v>43</v>
      </c>
      <c r="N3110" s="12" t="s">
        <v>44</v>
      </c>
      <c r="O3110" s="12" t="s">
        <v>11345</v>
      </c>
      <c r="P3110" s="12" t="s">
        <v>66</v>
      </c>
      <c r="Q3110" s="12" t="s">
        <v>67</v>
      </c>
      <c r="R3110" s="12" t="s">
        <v>1490</v>
      </c>
      <c r="S3110" s="13">
        <v>197643402114</v>
      </c>
      <c r="T3110" s="12" t="s">
        <v>105</v>
      </c>
      <c r="U3110" s="12" t="s">
        <v>179</v>
      </c>
      <c r="V3110" s="12" t="s">
        <v>423</v>
      </c>
      <c r="W3110" s="12" t="s">
        <v>51</v>
      </c>
      <c r="X3110" s="13">
        <v>0</v>
      </c>
      <c r="Y3110" s="12" t="s">
        <v>53</v>
      </c>
      <c r="Z3110" s="12" t="s">
        <v>108</v>
      </c>
      <c r="AA3110" s="13">
        <v>0</v>
      </c>
      <c r="AB3110" s="13">
        <v>0</v>
      </c>
      <c r="AC3110" s="15">
        <v>45.5</v>
      </c>
      <c r="AD3110" s="15">
        <f>AC3110*AG3110</f>
        <v>45.5</v>
      </c>
      <c r="AE3110" s="15">
        <v>100</v>
      </c>
      <c r="AF3110" s="15">
        <f>AE3110*AG3110</f>
        <v>100</v>
      </c>
      <c r="AG3110" s="16">
        <v>1</v>
      </c>
    </row>
    <row r="3111" spans="1:33" ht="15" customHeight="1" x14ac:dyDescent="0.2">
      <c r="A3111" s="11" t="str">
        <f t="shared" ref="A3111:A3112" si="1162">HYPERLINK("https://assets.vans.eu/images/VN000KV2JDU-HERO/1","VN000KV2JDU1")</f>
        <v>VN000KV2JDU1</v>
      </c>
      <c r="B3111" s="12" t="s">
        <v>11346</v>
      </c>
      <c r="C3111" s="12" t="s">
        <v>7947</v>
      </c>
      <c r="D3111" s="12" t="s">
        <v>814</v>
      </c>
      <c r="E3111" s="12" t="s">
        <v>11347</v>
      </c>
      <c r="F3111" s="12" t="s">
        <v>60</v>
      </c>
      <c r="G3111" s="14"/>
      <c r="H3111" s="12" t="s">
        <v>61</v>
      </c>
      <c r="I3111" s="12" t="s">
        <v>230</v>
      </c>
      <c r="J3111" s="12" t="s">
        <v>762</v>
      </c>
      <c r="K3111" s="12" t="s">
        <v>199</v>
      </c>
      <c r="L3111" s="14"/>
      <c r="M3111" s="12" t="s">
        <v>43</v>
      </c>
      <c r="N3111" s="12" t="s">
        <v>44</v>
      </c>
      <c r="O3111" s="12" t="s">
        <v>11348</v>
      </c>
      <c r="P3111" s="12" t="s">
        <v>66</v>
      </c>
      <c r="Q3111" s="12" t="s">
        <v>764</v>
      </c>
      <c r="R3111" s="12" t="s">
        <v>765</v>
      </c>
      <c r="S3111" s="13">
        <v>197643403937</v>
      </c>
      <c r="T3111" s="12" t="s">
        <v>235</v>
      </c>
      <c r="U3111" s="12" t="s">
        <v>60</v>
      </c>
      <c r="V3111" s="12" t="s">
        <v>665</v>
      </c>
      <c r="W3111" s="12" t="s">
        <v>284</v>
      </c>
      <c r="X3111" s="13">
        <v>0</v>
      </c>
      <c r="Y3111" s="12" t="s">
        <v>91</v>
      </c>
      <c r="Z3111" s="12" t="s">
        <v>108</v>
      </c>
      <c r="AA3111" s="13">
        <v>0</v>
      </c>
      <c r="AB3111" s="13">
        <v>0</v>
      </c>
      <c r="AC3111" s="15">
        <v>43.2</v>
      </c>
      <c r="AD3111" s="15">
        <f>AC3111*AG3111</f>
        <v>43.2</v>
      </c>
      <c r="AE3111" s="15">
        <v>95</v>
      </c>
      <c r="AF3111" s="15">
        <f>AE3111*AG3111</f>
        <v>95</v>
      </c>
      <c r="AG3111" s="16">
        <v>1</v>
      </c>
    </row>
    <row r="3112" spans="1:33" ht="15" customHeight="1" x14ac:dyDescent="0.2">
      <c r="A3112" s="11" t="str">
        <f t="shared" si="1162"/>
        <v>VN000KV2JDU1</v>
      </c>
      <c r="B3112" s="12" t="s">
        <v>11349</v>
      </c>
      <c r="C3112" s="12" t="s">
        <v>7947</v>
      </c>
      <c r="D3112" s="12" t="s">
        <v>814</v>
      </c>
      <c r="E3112" s="12" t="s">
        <v>11350</v>
      </c>
      <c r="F3112" s="12" t="s">
        <v>153</v>
      </c>
      <c r="G3112" s="14"/>
      <c r="H3112" s="12" t="s">
        <v>61</v>
      </c>
      <c r="I3112" s="12" t="s">
        <v>230</v>
      </c>
      <c r="J3112" s="12" t="s">
        <v>762</v>
      </c>
      <c r="K3112" s="12" t="s">
        <v>199</v>
      </c>
      <c r="L3112" s="14"/>
      <c r="M3112" s="12" t="s">
        <v>43</v>
      </c>
      <c r="N3112" s="12" t="s">
        <v>44</v>
      </c>
      <c r="O3112" s="12" t="s">
        <v>11351</v>
      </c>
      <c r="P3112" s="12" t="s">
        <v>66</v>
      </c>
      <c r="Q3112" s="12" t="s">
        <v>764</v>
      </c>
      <c r="R3112" s="12" t="s">
        <v>765</v>
      </c>
      <c r="S3112" s="13">
        <v>197643404125</v>
      </c>
      <c r="T3112" s="12" t="s">
        <v>235</v>
      </c>
      <c r="U3112" s="12" t="s">
        <v>153</v>
      </c>
      <c r="V3112" s="12" t="s">
        <v>665</v>
      </c>
      <c r="W3112" s="12" t="s">
        <v>284</v>
      </c>
      <c r="X3112" s="13">
        <v>0</v>
      </c>
      <c r="Y3112" s="12" t="s">
        <v>91</v>
      </c>
      <c r="Z3112" s="12" t="s">
        <v>108</v>
      </c>
      <c r="AA3112" s="13">
        <v>0</v>
      </c>
      <c r="AB3112" s="13">
        <v>0</v>
      </c>
      <c r="AC3112" s="15">
        <v>43.2</v>
      </c>
      <c r="AD3112" s="15">
        <f>AC3112*AG3112</f>
        <v>43.2</v>
      </c>
      <c r="AE3112" s="15">
        <v>95</v>
      </c>
      <c r="AF3112" s="15">
        <f>AE3112*AG3112</f>
        <v>95</v>
      </c>
      <c r="AG3112" s="16">
        <v>1</v>
      </c>
    </row>
    <row r="3113" spans="1:33" ht="15" customHeight="1" x14ac:dyDescent="0.2">
      <c r="A3113" s="11" t="str">
        <f t="shared" si="680"/>
        <v>VN000KVEBLK1</v>
      </c>
      <c r="B3113" s="12" t="s">
        <v>11352</v>
      </c>
      <c r="C3113" s="12" t="s">
        <v>6404</v>
      </c>
      <c r="D3113" s="12" t="s">
        <v>76</v>
      </c>
      <c r="E3113" s="12" t="s">
        <v>11353</v>
      </c>
      <c r="F3113" s="12" t="s">
        <v>621</v>
      </c>
      <c r="G3113" s="14"/>
      <c r="H3113" s="12" t="s">
        <v>61</v>
      </c>
      <c r="I3113" s="12" t="s">
        <v>230</v>
      </c>
      <c r="J3113" s="12" t="s">
        <v>762</v>
      </c>
      <c r="K3113" s="12" t="s">
        <v>199</v>
      </c>
      <c r="L3113" s="14"/>
      <c r="M3113" s="12" t="s">
        <v>43</v>
      </c>
      <c r="N3113" s="12" t="s">
        <v>44</v>
      </c>
      <c r="O3113" s="12" t="s">
        <v>11354</v>
      </c>
      <c r="P3113" s="12" t="s">
        <v>66</v>
      </c>
      <c r="Q3113" s="12" t="s">
        <v>764</v>
      </c>
      <c r="R3113" s="12" t="s">
        <v>765</v>
      </c>
      <c r="S3113" s="13">
        <v>197643537151</v>
      </c>
      <c r="T3113" s="12" t="s">
        <v>235</v>
      </c>
      <c r="U3113" s="12" t="s">
        <v>621</v>
      </c>
      <c r="V3113" s="12" t="s">
        <v>665</v>
      </c>
      <c r="W3113" s="12" t="s">
        <v>51</v>
      </c>
      <c r="X3113" s="13">
        <v>0</v>
      </c>
      <c r="Y3113" s="12" t="s">
        <v>1011</v>
      </c>
      <c r="Z3113" s="12" t="s">
        <v>6135</v>
      </c>
      <c r="AA3113" s="13">
        <v>0</v>
      </c>
      <c r="AB3113" s="13">
        <v>0</v>
      </c>
      <c r="AC3113" s="15">
        <v>59.1</v>
      </c>
      <c r="AD3113" s="15">
        <f>AC3113*AG3113</f>
        <v>59.1</v>
      </c>
      <c r="AE3113" s="15">
        <v>130</v>
      </c>
      <c r="AF3113" s="15">
        <f>AE3113*AG3113</f>
        <v>130</v>
      </c>
      <c r="AG3113" s="16">
        <v>1</v>
      </c>
    </row>
    <row r="3114" spans="1:33" ht="15" customHeight="1" x14ac:dyDescent="0.2">
      <c r="A3114" s="11" t="str">
        <f>HYPERLINK("https://assets.vans.eu/images/VN000KYPBLK-HERO/1","VN000KYPBLK1")</f>
        <v>VN000KYPBLK1</v>
      </c>
      <c r="B3114" s="12" t="s">
        <v>11355</v>
      </c>
      <c r="C3114" s="12" t="s">
        <v>11356</v>
      </c>
      <c r="D3114" s="12" t="s">
        <v>76</v>
      </c>
      <c r="E3114" s="12" t="s">
        <v>11357</v>
      </c>
      <c r="F3114" s="13">
        <v>34</v>
      </c>
      <c r="G3114" s="14"/>
      <c r="H3114" s="12" t="s">
        <v>61</v>
      </c>
      <c r="I3114" s="12" t="s">
        <v>230</v>
      </c>
      <c r="J3114" s="12" t="s">
        <v>231</v>
      </c>
      <c r="K3114" s="12" t="s">
        <v>199</v>
      </c>
      <c r="L3114" s="14"/>
      <c r="M3114" s="12" t="s">
        <v>43</v>
      </c>
      <c r="N3114" s="12" t="s">
        <v>44</v>
      </c>
      <c r="O3114" s="12" t="s">
        <v>11358</v>
      </c>
      <c r="P3114" s="12" t="s">
        <v>66</v>
      </c>
      <c r="Q3114" s="12" t="s">
        <v>233</v>
      </c>
      <c r="R3114" s="12" t="s">
        <v>361</v>
      </c>
      <c r="S3114" s="13">
        <v>197643405733</v>
      </c>
      <c r="T3114" s="12" t="s">
        <v>235</v>
      </c>
      <c r="U3114" s="13">
        <v>34</v>
      </c>
      <c r="V3114" s="12" t="s">
        <v>665</v>
      </c>
      <c r="W3114" s="12" t="s">
        <v>51</v>
      </c>
      <c r="X3114" s="13">
        <v>0</v>
      </c>
      <c r="Y3114" s="12" t="s">
        <v>91</v>
      </c>
      <c r="Z3114" s="12" t="s">
        <v>108</v>
      </c>
      <c r="AA3114" s="13">
        <v>0</v>
      </c>
      <c r="AB3114" s="13">
        <v>0</v>
      </c>
      <c r="AC3114" s="15">
        <v>34.1</v>
      </c>
      <c r="AD3114" s="15">
        <f>AC3114*AG3114</f>
        <v>34.1</v>
      </c>
      <c r="AE3114" s="15">
        <v>75</v>
      </c>
      <c r="AF3114" s="15">
        <f>AE3114*AG3114</f>
        <v>75</v>
      </c>
      <c r="AG3114" s="16">
        <v>1</v>
      </c>
    </row>
    <row r="3115" spans="1:33" ht="15" customHeight="1" x14ac:dyDescent="0.2">
      <c r="A3115" s="11" t="str">
        <f t="shared" ref="A3115:A3116" si="1163">HYPERLINK("https://assets.vans.eu/images/VN000KYVBYS-HERO/1","VN000KYVBYS1")</f>
        <v>VN000KYVBYS1</v>
      </c>
      <c r="B3115" s="12" t="s">
        <v>11359</v>
      </c>
      <c r="C3115" s="12" t="s">
        <v>11360</v>
      </c>
      <c r="D3115" s="12" t="s">
        <v>3968</v>
      </c>
      <c r="E3115" s="12" t="s">
        <v>11361</v>
      </c>
      <c r="F3115" s="12" t="s">
        <v>170</v>
      </c>
      <c r="G3115" s="14"/>
      <c r="H3115" s="12" t="s">
        <v>61</v>
      </c>
      <c r="I3115" s="12" t="s">
        <v>230</v>
      </c>
      <c r="J3115" s="12" t="s">
        <v>419</v>
      </c>
      <c r="K3115" s="12" t="s">
        <v>199</v>
      </c>
      <c r="L3115" s="14"/>
      <c r="M3115" s="12" t="s">
        <v>43</v>
      </c>
      <c r="N3115" s="12" t="s">
        <v>44</v>
      </c>
      <c r="O3115" s="12" t="s">
        <v>11362</v>
      </c>
      <c r="P3115" s="12" t="s">
        <v>66</v>
      </c>
      <c r="Q3115" s="12" t="s">
        <v>67</v>
      </c>
      <c r="R3115" s="12" t="s">
        <v>1500</v>
      </c>
      <c r="S3115" s="13">
        <v>197643404897</v>
      </c>
      <c r="T3115" s="12" t="s">
        <v>49</v>
      </c>
      <c r="U3115" s="12" t="s">
        <v>170</v>
      </c>
      <c r="V3115" s="12" t="s">
        <v>11363</v>
      </c>
      <c r="W3115" s="12" t="s">
        <v>580</v>
      </c>
      <c r="X3115" s="13">
        <v>0</v>
      </c>
      <c r="Y3115" s="12" t="s">
        <v>91</v>
      </c>
      <c r="Z3115" s="12" t="s">
        <v>108</v>
      </c>
      <c r="AA3115" s="13">
        <v>0</v>
      </c>
      <c r="AB3115" s="13">
        <v>0</v>
      </c>
      <c r="AC3115" s="15">
        <v>19.100000000000001</v>
      </c>
      <c r="AD3115" s="15">
        <f>AC3115*AG3115</f>
        <v>19.100000000000001</v>
      </c>
      <c r="AE3115" s="15">
        <v>42</v>
      </c>
      <c r="AF3115" s="15">
        <f>AE3115*AG3115</f>
        <v>42</v>
      </c>
      <c r="AG3115" s="16">
        <v>1</v>
      </c>
    </row>
    <row r="3116" spans="1:33" ht="15" customHeight="1" x14ac:dyDescent="0.2">
      <c r="A3116" s="11" t="str">
        <f t="shared" si="1163"/>
        <v>VN000KYVBYS1</v>
      </c>
      <c r="B3116" s="12" t="s">
        <v>11364</v>
      </c>
      <c r="C3116" s="12" t="s">
        <v>11360</v>
      </c>
      <c r="D3116" s="12" t="s">
        <v>3968</v>
      </c>
      <c r="E3116" s="12" t="s">
        <v>11365</v>
      </c>
      <c r="F3116" s="12" t="s">
        <v>60</v>
      </c>
      <c r="G3116" s="14"/>
      <c r="H3116" s="12" t="s">
        <v>61</v>
      </c>
      <c r="I3116" s="12" t="s">
        <v>230</v>
      </c>
      <c r="J3116" s="12" t="s">
        <v>419</v>
      </c>
      <c r="K3116" s="12" t="s">
        <v>199</v>
      </c>
      <c r="L3116" s="14"/>
      <c r="M3116" s="12" t="s">
        <v>43</v>
      </c>
      <c r="N3116" s="12" t="s">
        <v>44</v>
      </c>
      <c r="O3116" s="12" t="s">
        <v>11366</v>
      </c>
      <c r="P3116" s="12" t="s">
        <v>66</v>
      </c>
      <c r="Q3116" s="12" t="s">
        <v>67</v>
      </c>
      <c r="R3116" s="12" t="s">
        <v>1500</v>
      </c>
      <c r="S3116" s="13">
        <v>197643405160</v>
      </c>
      <c r="T3116" s="12" t="s">
        <v>49</v>
      </c>
      <c r="U3116" s="12" t="s">
        <v>60</v>
      </c>
      <c r="V3116" s="12" t="s">
        <v>11363</v>
      </c>
      <c r="W3116" s="12" t="s">
        <v>580</v>
      </c>
      <c r="X3116" s="13">
        <v>0</v>
      </c>
      <c r="Y3116" s="12" t="s">
        <v>91</v>
      </c>
      <c r="Z3116" s="12" t="s">
        <v>108</v>
      </c>
      <c r="AA3116" s="13">
        <v>0</v>
      </c>
      <c r="AB3116" s="13">
        <v>0</v>
      </c>
      <c r="AC3116" s="15">
        <v>19.100000000000001</v>
      </c>
      <c r="AD3116" s="15">
        <f>AC3116*AG3116</f>
        <v>19.100000000000001</v>
      </c>
      <c r="AE3116" s="15">
        <v>42</v>
      </c>
      <c r="AF3116" s="15">
        <f>AE3116*AG3116</f>
        <v>42</v>
      </c>
      <c r="AG3116" s="16">
        <v>1</v>
      </c>
    </row>
    <row r="3117" spans="1:33" ht="15" customHeight="1" x14ac:dyDescent="0.2">
      <c r="A3117" s="11" t="str">
        <f>HYPERLINK("https://assets.vans.eu/images/VN000M056PH-HERO/1","VN000M056PH1")</f>
        <v>VN000M056PH1</v>
      </c>
      <c r="B3117" s="12" t="s">
        <v>11367</v>
      </c>
      <c r="C3117" s="12" t="s">
        <v>11368</v>
      </c>
      <c r="D3117" s="12" t="s">
        <v>1878</v>
      </c>
      <c r="E3117" s="12" t="s">
        <v>11369</v>
      </c>
      <c r="F3117" s="12" t="s">
        <v>60</v>
      </c>
      <c r="G3117" s="14"/>
      <c r="H3117" s="12" t="s">
        <v>61</v>
      </c>
      <c r="I3117" s="12" t="s">
        <v>230</v>
      </c>
      <c r="J3117" s="12" t="s">
        <v>419</v>
      </c>
      <c r="K3117" s="12" t="s">
        <v>199</v>
      </c>
      <c r="L3117" s="14"/>
      <c r="M3117" s="12" t="s">
        <v>43</v>
      </c>
      <c r="N3117" s="12" t="s">
        <v>44</v>
      </c>
      <c r="O3117" s="12" t="s">
        <v>11370</v>
      </c>
      <c r="P3117" s="12" t="s">
        <v>66</v>
      </c>
      <c r="Q3117" s="12" t="s">
        <v>67</v>
      </c>
      <c r="R3117" s="12" t="s">
        <v>623</v>
      </c>
      <c r="S3117" s="13">
        <v>197643537380</v>
      </c>
      <c r="T3117" s="12" t="s">
        <v>49</v>
      </c>
      <c r="U3117" s="12" t="s">
        <v>60</v>
      </c>
      <c r="V3117" s="12" t="s">
        <v>1731</v>
      </c>
      <c r="W3117" s="12" t="s">
        <v>107</v>
      </c>
      <c r="X3117" s="13">
        <v>0</v>
      </c>
      <c r="Y3117" s="12" t="s">
        <v>91</v>
      </c>
      <c r="Z3117" s="12" t="s">
        <v>108</v>
      </c>
      <c r="AA3117" s="13">
        <v>0</v>
      </c>
      <c r="AB3117" s="13">
        <v>0</v>
      </c>
      <c r="AC3117" s="15">
        <v>50</v>
      </c>
      <c r="AD3117" s="15">
        <f>AC3117*AG3117</f>
        <v>50</v>
      </c>
      <c r="AE3117" s="15">
        <v>110</v>
      </c>
      <c r="AF3117" s="15">
        <f>AE3117*AG3117</f>
        <v>110</v>
      </c>
      <c r="AG3117" s="16">
        <v>1</v>
      </c>
    </row>
    <row r="3118" spans="1:33" ht="15" customHeight="1" x14ac:dyDescent="0.2">
      <c r="A3118" s="11" t="str">
        <f>HYPERLINK("https://assets.vans.eu/images/VN000M081NU-HERO/1","VN000M081NU1")</f>
        <v>VN000M081NU1</v>
      </c>
      <c r="B3118" s="12" t="s">
        <v>11371</v>
      </c>
      <c r="C3118" s="12" t="s">
        <v>11372</v>
      </c>
      <c r="D3118" s="12" t="s">
        <v>783</v>
      </c>
      <c r="E3118" s="12" t="s">
        <v>11373</v>
      </c>
      <c r="F3118" s="12" t="s">
        <v>621</v>
      </c>
      <c r="G3118" s="14"/>
      <c r="H3118" s="12" t="s">
        <v>61</v>
      </c>
      <c r="I3118" s="12" t="s">
        <v>230</v>
      </c>
      <c r="J3118" s="12" t="s">
        <v>419</v>
      </c>
      <c r="K3118" s="12" t="s">
        <v>199</v>
      </c>
      <c r="L3118" s="14"/>
      <c r="M3118" s="12" t="s">
        <v>43</v>
      </c>
      <c r="N3118" s="12" t="s">
        <v>44</v>
      </c>
      <c r="O3118" s="12" t="s">
        <v>11374</v>
      </c>
      <c r="P3118" s="12" t="s">
        <v>66</v>
      </c>
      <c r="Q3118" s="12" t="s">
        <v>67</v>
      </c>
      <c r="R3118" s="12" t="s">
        <v>623</v>
      </c>
      <c r="S3118" s="13">
        <v>197643537694</v>
      </c>
      <c r="T3118" s="12" t="s">
        <v>49</v>
      </c>
      <c r="U3118" s="12" t="s">
        <v>621</v>
      </c>
      <c r="V3118" s="12" t="s">
        <v>1731</v>
      </c>
      <c r="W3118" s="12" t="s">
        <v>186</v>
      </c>
      <c r="X3118" s="13">
        <v>0</v>
      </c>
      <c r="Y3118" s="12" t="s">
        <v>91</v>
      </c>
      <c r="Z3118" s="12" t="s">
        <v>108</v>
      </c>
      <c r="AA3118" s="13">
        <v>0</v>
      </c>
      <c r="AB3118" s="13">
        <v>0</v>
      </c>
      <c r="AC3118" s="15">
        <v>45.5</v>
      </c>
      <c r="AD3118" s="15">
        <f>AC3118*AG3118</f>
        <v>45.5</v>
      </c>
      <c r="AE3118" s="15">
        <v>100</v>
      </c>
      <c r="AF3118" s="15">
        <f>AE3118*AG3118</f>
        <v>100</v>
      </c>
      <c r="AG3118" s="16">
        <v>1</v>
      </c>
    </row>
    <row r="3119" spans="1:33" ht="15" customHeight="1" x14ac:dyDescent="0.2">
      <c r="A3119" s="11" t="str">
        <f>HYPERLINK("https://assets.vans.eu/images/VN000M0MBLK-HERO/1","VN000M0MBLK1")</f>
        <v>VN000M0MBLK1</v>
      </c>
      <c r="B3119" s="12" t="s">
        <v>11375</v>
      </c>
      <c r="C3119" s="12" t="s">
        <v>11376</v>
      </c>
      <c r="D3119" s="12" t="s">
        <v>76</v>
      </c>
      <c r="E3119" s="12" t="s">
        <v>11377</v>
      </c>
      <c r="F3119" s="12" t="s">
        <v>403</v>
      </c>
      <c r="G3119" s="14"/>
      <c r="H3119" s="12" t="s">
        <v>61</v>
      </c>
      <c r="I3119" s="12" t="s">
        <v>230</v>
      </c>
      <c r="J3119" s="12" t="s">
        <v>419</v>
      </c>
      <c r="K3119" s="12" t="s">
        <v>199</v>
      </c>
      <c r="L3119" s="14"/>
      <c r="M3119" s="12" t="s">
        <v>43</v>
      </c>
      <c r="N3119" s="12" t="s">
        <v>44</v>
      </c>
      <c r="O3119" s="12" t="s">
        <v>11378</v>
      </c>
      <c r="P3119" s="12" t="s">
        <v>66</v>
      </c>
      <c r="Q3119" s="12" t="s">
        <v>67</v>
      </c>
      <c r="R3119" s="12" t="s">
        <v>421</v>
      </c>
      <c r="S3119" s="13">
        <v>197643405375</v>
      </c>
      <c r="T3119" s="12" t="s">
        <v>69</v>
      </c>
      <c r="U3119" s="12" t="s">
        <v>403</v>
      </c>
      <c r="V3119" s="12" t="s">
        <v>70</v>
      </c>
      <c r="W3119" s="12" t="s">
        <v>51</v>
      </c>
      <c r="X3119" s="13">
        <v>0</v>
      </c>
      <c r="Y3119" s="12" t="s">
        <v>91</v>
      </c>
      <c r="Z3119" s="12" t="s">
        <v>108</v>
      </c>
      <c r="AA3119" s="13">
        <v>0</v>
      </c>
      <c r="AB3119" s="13">
        <v>0</v>
      </c>
      <c r="AC3119" s="15">
        <v>19.100000000000001</v>
      </c>
      <c r="AD3119" s="15">
        <f>AC3119*AG3119</f>
        <v>19.100000000000001</v>
      </c>
      <c r="AE3119" s="15">
        <v>42</v>
      </c>
      <c r="AF3119" s="15">
        <f>AE3119*AG3119</f>
        <v>42</v>
      </c>
      <c r="AG3119" s="16">
        <v>1</v>
      </c>
    </row>
    <row r="3120" spans="1:33" ht="15" customHeight="1" x14ac:dyDescent="0.2">
      <c r="A3120" s="11" t="str">
        <f>HYPERLINK("https://assets.vans.eu/images/VN000M0PKCZ-HERO/1","VN000M0PKCZ1")</f>
        <v>VN000M0PKCZ1</v>
      </c>
      <c r="B3120" s="12" t="s">
        <v>11379</v>
      </c>
      <c r="C3120" s="12" t="s">
        <v>11380</v>
      </c>
      <c r="D3120" s="12" t="s">
        <v>1109</v>
      </c>
      <c r="E3120" s="12" t="s">
        <v>11381</v>
      </c>
      <c r="F3120" s="12" t="s">
        <v>60</v>
      </c>
      <c r="G3120" s="14"/>
      <c r="H3120" s="12" t="s">
        <v>61</v>
      </c>
      <c r="I3120" s="12" t="s">
        <v>230</v>
      </c>
      <c r="J3120" s="12" t="s">
        <v>419</v>
      </c>
      <c r="K3120" s="12" t="s">
        <v>199</v>
      </c>
      <c r="L3120" s="14"/>
      <c r="M3120" s="12" t="s">
        <v>43</v>
      </c>
      <c r="N3120" s="12" t="s">
        <v>44</v>
      </c>
      <c r="O3120" s="12" t="s">
        <v>11382</v>
      </c>
      <c r="P3120" s="12" t="s">
        <v>66</v>
      </c>
      <c r="Q3120" s="12" t="s">
        <v>67</v>
      </c>
      <c r="R3120" s="12" t="s">
        <v>421</v>
      </c>
      <c r="S3120" s="13">
        <v>197643405955</v>
      </c>
      <c r="T3120" s="12" t="s">
        <v>69</v>
      </c>
      <c r="U3120" s="12" t="s">
        <v>60</v>
      </c>
      <c r="V3120" s="12" t="s">
        <v>70</v>
      </c>
      <c r="W3120" s="12" t="s">
        <v>118</v>
      </c>
      <c r="X3120" s="13">
        <v>0</v>
      </c>
      <c r="Y3120" s="12" t="s">
        <v>91</v>
      </c>
      <c r="Z3120" s="12" t="s">
        <v>72</v>
      </c>
      <c r="AA3120" s="13">
        <v>0</v>
      </c>
      <c r="AB3120" s="13">
        <v>0</v>
      </c>
      <c r="AC3120" s="15">
        <v>19.100000000000001</v>
      </c>
      <c r="AD3120" s="15">
        <f>AC3120*AG3120</f>
        <v>19.100000000000001</v>
      </c>
      <c r="AE3120" s="15">
        <v>42</v>
      </c>
      <c r="AF3120" s="15">
        <f>AE3120*AG3120</f>
        <v>42</v>
      </c>
      <c r="AG3120" s="16">
        <v>1</v>
      </c>
    </row>
    <row r="3121" spans="1:33" ht="15" customHeight="1" x14ac:dyDescent="0.2">
      <c r="A3121" s="11" t="str">
        <f t="shared" si="480"/>
        <v>VN000M0XKCZ1</v>
      </c>
      <c r="B3121" s="12" t="s">
        <v>11383</v>
      </c>
      <c r="C3121" s="12" t="s">
        <v>4581</v>
      </c>
      <c r="D3121" s="12" t="s">
        <v>1109</v>
      </c>
      <c r="E3121" s="12" t="s">
        <v>11384</v>
      </c>
      <c r="F3121" s="12" t="s">
        <v>179</v>
      </c>
      <c r="G3121" s="14"/>
      <c r="H3121" s="12" t="s">
        <v>61</v>
      </c>
      <c r="I3121" s="12" t="s">
        <v>289</v>
      </c>
      <c r="J3121" s="12" t="s">
        <v>706</v>
      </c>
      <c r="K3121" s="12" t="s">
        <v>100</v>
      </c>
      <c r="L3121" s="14"/>
      <c r="M3121" s="12" t="s">
        <v>43</v>
      </c>
      <c r="N3121" s="12" t="s">
        <v>44</v>
      </c>
      <c r="O3121" s="12" t="s">
        <v>11385</v>
      </c>
      <c r="P3121" s="12" t="s">
        <v>66</v>
      </c>
      <c r="Q3121" s="12" t="s">
        <v>67</v>
      </c>
      <c r="R3121" s="12" t="s">
        <v>708</v>
      </c>
      <c r="S3121" s="13">
        <v>197643537281</v>
      </c>
      <c r="T3121" s="12" t="s">
        <v>49</v>
      </c>
      <c r="U3121" s="12" t="s">
        <v>179</v>
      </c>
      <c r="V3121" s="12" t="s">
        <v>1731</v>
      </c>
      <c r="W3121" s="12" t="s">
        <v>118</v>
      </c>
      <c r="X3121" s="13">
        <v>0</v>
      </c>
      <c r="Y3121" s="12" t="s">
        <v>91</v>
      </c>
      <c r="Z3121" s="12" t="s">
        <v>4584</v>
      </c>
      <c r="AA3121" s="12" t="s">
        <v>4585</v>
      </c>
      <c r="AB3121" s="13">
        <v>0</v>
      </c>
      <c r="AC3121" s="15">
        <v>38.65</v>
      </c>
      <c r="AD3121" s="15">
        <f>AC3121*AG3121</f>
        <v>38.65</v>
      </c>
      <c r="AE3121" s="15">
        <v>85</v>
      </c>
      <c r="AF3121" s="15">
        <f>AE3121*AG3121</f>
        <v>85</v>
      </c>
      <c r="AG3121" s="16">
        <v>1</v>
      </c>
    </row>
    <row r="3122" spans="1:33" ht="15" customHeight="1" x14ac:dyDescent="0.2">
      <c r="A3122" s="11" t="str">
        <f>HYPERLINK("https://assets.vans.eu/images/VN000M0XKCZ-HERO/1","VN000M0XKCZ1")</f>
        <v>VN000M0XKCZ1</v>
      </c>
      <c r="B3122" s="12" t="s">
        <v>11386</v>
      </c>
      <c r="C3122" s="12" t="s">
        <v>4581</v>
      </c>
      <c r="D3122" s="12" t="s">
        <v>1109</v>
      </c>
      <c r="E3122" s="12" t="s">
        <v>11387</v>
      </c>
      <c r="F3122" s="12" t="s">
        <v>170</v>
      </c>
      <c r="G3122" s="14"/>
      <c r="H3122" s="12" t="s">
        <v>61</v>
      </c>
      <c r="I3122" s="12" t="s">
        <v>289</v>
      </c>
      <c r="J3122" s="12" t="s">
        <v>706</v>
      </c>
      <c r="K3122" s="12" t="s">
        <v>100</v>
      </c>
      <c r="L3122" s="14"/>
      <c r="M3122" s="12" t="s">
        <v>43</v>
      </c>
      <c r="N3122" s="12" t="s">
        <v>44</v>
      </c>
      <c r="O3122" s="12" t="s">
        <v>11388</v>
      </c>
      <c r="P3122" s="12" t="s">
        <v>66</v>
      </c>
      <c r="Q3122" s="12" t="s">
        <v>67</v>
      </c>
      <c r="R3122" s="12" t="s">
        <v>708</v>
      </c>
      <c r="S3122" s="13">
        <v>197643537472</v>
      </c>
      <c r="T3122" s="12" t="s">
        <v>49</v>
      </c>
      <c r="U3122" s="12" t="s">
        <v>170</v>
      </c>
      <c r="V3122" s="12" t="s">
        <v>1731</v>
      </c>
      <c r="W3122" s="12" t="s">
        <v>118</v>
      </c>
      <c r="X3122" s="13">
        <v>0</v>
      </c>
      <c r="Y3122" s="12" t="s">
        <v>91</v>
      </c>
      <c r="Z3122" s="12" t="s">
        <v>4584</v>
      </c>
      <c r="AA3122" s="12" t="s">
        <v>4585</v>
      </c>
      <c r="AB3122" s="13">
        <v>0</v>
      </c>
      <c r="AC3122" s="15">
        <v>38.65</v>
      </c>
      <c r="AD3122" s="15">
        <f>AC3122*AG3122</f>
        <v>38.65</v>
      </c>
      <c r="AE3122" s="15">
        <v>85</v>
      </c>
      <c r="AF3122" s="15">
        <f>AE3122*AG3122</f>
        <v>85</v>
      </c>
      <c r="AG3122" s="16">
        <v>1</v>
      </c>
    </row>
    <row r="3123" spans="1:33" ht="15" customHeight="1" x14ac:dyDescent="0.2">
      <c r="A3123" s="11" t="str">
        <f>HYPERLINK("https://assets.vans.eu/images/VN000M15EBF-HERO/1","VN000M15EBF1")</f>
        <v>VN000M15EBF1</v>
      </c>
      <c r="B3123" s="12" t="s">
        <v>11389</v>
      </c>
      <c r="C3123" s="12" t="s">
        <v>11390</v>
      </c>
      <c r="D3123" s="12" t="s">
        <v>11391</v>
      </c>
      <c r="E3123" s="12" t="s">
        <v>11392</v>
      </c>
      <c r="F3123" s="12" t="s">
        <v>621</v>
      </c>
      <c r="G3123" s="14"/>
      <c r="H3123" s="12" t="s">
        <v>61</v>
      </c>
      <c r="I3123" s="12" t="s">
        <v>230</v>
      </c>
      <c r="J3123" s="12" t="s">
        <v>419</v>
      </c>
      <c r="K3123" s="12" t="s">
        <v>199</v>
      </c>
      <c r="L3123" s="14"/>
      <c r="M3123" s="12" t="s">
        <v>43</v>
      </c>
      <c r="N3123" s="12" t="s">
        <v>44</v>
      </c>
      <c r="O3123" s="12" t="s">
        <v>11393</v>
      </c>
      <c r="P3123" s="12" t="s">
        <v>66</v>
      </c>
      <c r="Q3123" s="12" t="s">
        <v>67</v>
      </c>
      <c r="R3123" s="12" t="s">
        <v>1500</v>
      </c>
      <c r="S3123" s="13">
        <v>197643406907</v>
      </c>
      <c r="T3123" s="12" t="s">
        <v>235</v>
      </c>
      <c r="U3123" s="12" t="s">
        <v>621</v>
      </c>
      <c r="V3123" s="12" t="s">
        <v>11394</v>
      </c>
      <c r="W3123" s="12" t="s">
        <v>455</v>
      </c>
      <c r="X3123" s="13">
        <v>0</v>
      </c>
      <c r="Y3123" s="12" t="s">
        <v>91</v>
      </c>
      <c r="Z3123" s="12" t="s">
        <v>108</v>
      </c>
      <c r="AA3123" s="13">
        <v>0</v>
      </c>
      <c r="AB3123" s="13">
        <v>0</v>
      </c>
      <c r="AC3123" s="15">
        <v>27.3</v>
      </c>
      <c r="AD3123" s="15">
        <f>AC3123*AG3123</f>
        <v>27.3</v>
      </c>
      <c r="AE3123" s="15">
        <v>60</v>
      </c>
      <c r="AF3123" s="15">
        <f>AE3123*AG3123</f>
        <v>60</v>
      </c>
      <c r="AG3123" s="16">
        <v>1</v>
      </c>
    </row>
    <row r="3124" spans="1:33" ht="15" customHeight="1" x14ac:dyDescent="0.2">
      <c r="A3124" s="11" t="str">
        <f t="shared" si="681"/>
        <v>VN000M1ABML1</v>
      </c>
      <c r="B3124" s="12" t="s">
        <v>11395</v>
      </c>
      <c r="C3124" s="12" t="s">
        <v>6412</v>
      </c>
      <c r="D3124" s="12" t="s">
        <v>555</v>
      </c>
      <c r="E3124" s="12" t="s">
        <v>11396</v>
      </c>
      <c r="F3124" s="12" t="s">
        <v>60</v>
      </c>
      <c r="G3124" s="14"/>
      <c r="H3124" s="12" t="s">
        <v>61</v>
      </c>
      <c r="I3124" s="12" t="s">
        <v>230</v>
      </c>
      <c r="J3124" s="12" t="s">
        <v>419</v>
      </c>
      <c r="K3124" s="12" t="s">
        <v>199</v>
      </c>
      <c r="L3124" s="14"/>
      <c r="M3124" s="12" t="s">
        <v>43</v>
      </c>
      <c r="N3124" s="12" t="s">
        <v>44</v>
      </c>
      <c r="O3124" s="12" t="s">
        <v>11397</v>
      </c>
      <c r="P3124" s="12" t="s">
        <v>66</v>
      </c>
      <c r="Q3124" s="12" t="s">
        <v>67</v>
      </c>
      <c r="R3124" s="12" t="s">
        <v>1500</v>
      </c>
      <c r="S3124" s="13">
        <v>197643407201</v>
      </c>
      <c r="T3124" s="12" t="s">
        <v>235</v>
      </c>
      <c r="U3124" s="12" t="s">
        <v>60</v>
      </c>
      <c r="V3124" s="12" t="s">
        <v>6262</v>
      </c>
      <c r="W3124" s="12" t="s">
        <v>51</v>
      </c>
      <c r="X3124" s="13">
        <v>0</v>
      </c>
      <c r="Y3124" s="12" t="s">
        <v>53</v>
      </c>
      <c r="Z3124" s="12" t="s">
        <v>108</v>
      </c>
      <c r="AA3124" s="13">
        <v>0</v>
      </c>
      <c r="AB3124" s="13">
        <v>0</v>
      </c>
      <c r="AC3124" s="15">
        <v>31.85</v>
      </c>
      <c r="AD3124" s="15">
        <f>AC3124*AG3124</f>
        <v>31.85</v>
      </c>
      <c r="AE3124" s="15">
        <v>70</v>
      </c>
      <c r="AF3124" s="15">
        <f>AE3124*AG3124</f>
        <v>70</v>
      </c>
      <c r="AG3124" s="16">
        <v>1</v>
      </c>
    </row>
    <row r="3125" spans="1:33" ht="15" customHeight="1" x14ac:dyDescent="0.2">
      <c r="A3125" s="11" t="str">
        <f>HYPERLINK("https://assets.vans.eu/images/VN000M1ABML-HERO/1","VN000M1ABML1")</f>
        <v>VN000M1ABML1</v>
      </c>
      <c r="B3125" s="12" t="s">
        <v>11398</v>
      </c>
      <c r="C3125" s="12" t="s">
        <v>6412</v>
      </c>
      <c r="D3125" s="12" t="s">
        <v>555</v>
      </c>
      <c r="E3125" s="12" t="s">
        <v>11399</v>
      </c>
      <c r="F3125" s="12" t="s">
        <v>153</v>
      </c>
      <c r="G3125" s="14"/>
      <c r="H3125" s="12" t="s">
        <v>61</v>
      </c>
      <c r="I3125" s="12" t="s">
        <v>230</v>
      </c>
      <c r="J3125" s="12" t="s">
        <v>419</v>
      </c>
      <c r="K3125" s="12" t="s">
        <v>199</v>
      </c>
      <c r="L3125" s="14"/>
      <c r="M3125" s="12" t="s">
        <v>43</v>
      </c>
      <c r="N3125" s="12" t="s">
        <v>44</v>
      </c>
      <c r="O3125" s="12" t="s">
        <v>11400</v>
      </c>
      <c r="P3125" s="12" t="s">
        <v>66</v>
      </c>
      <c r="Q3125" s="12" t="s">
        <v>67</v>
      </c>
      <c r="R3125" s="12" t="s">
        <v>1500</v>
      </c>
      <c r="S3125" s="13">
        <v>197643407232</v>
      </c>
      <c r="T3125" s="12" t="s">
        <v>235</v>
      </c>
      <c r="U3125" s="12" t="s">
        <v>153</v>
      </c>
      <c r="V3125" s="12" t="s">
        <v>6262</v>
      </c>
      <c r="W3125" s="12" t="s">
        <v>51</v>
      </c>
      <c r="X3125" s="13">
        <v>0</v>
      </c>
      <c r="Y3125" s="12" t="s">
        <v>53</v>
      </c>
      <c r="Z3125" s="12" t="s">
        <v>108</v>
      </c>
      <c r="AA3125" s="13">
        <v>0</v>
      </c>
      <c r="AB3125" s="13">
        <v>0</v>
      </c>
      <c r="AC3125" s="15">
        <v>31.85</v>
      </c>
      <c r="AD3125" s="15">
        <f>AC3125*AG3125</f>
        <v>31.85</v>
      </c>
      <c r="AE3125" s="15">
        <v>70</v>
      </c>
      <c r="AF3125" s="15">
        <f>AE3125*AG3125</f>
        <v>70</v>
      </c>
      <c r="AG3125" s="16">
        <v>1</v>
      </c>
    </row>
    <row r="3126" spans="1:33" ht="15" customHeight="1" x14ac:dyDescent="0.2">
      <c r="A3126" s="11" t="str">
        <f t="shared" si="557"/>
        <v>VN000M1KBLK1</v>
      </c>
      <c r="B3126" s="12" t="s">
        <v>11401</v>
      </c>
      <c r="C3126" s="12" t="s">
        <v>1733</v>
      </c>
      <c r="D3126" s="12" t="s">
        <v>76</v>
      </c>
      <c r="E3126" s="12" t="s">
        <v>11402</v>
      </c>
      <c r="F3126" s="12" t="s">
        <v>179</v>
      </c>
      <c r="G3126" s="14"/>
      <c r="H3126" s="12" t="s">
        <v>61</v>
      </c>
      <c r="I3126" s="12" t="s">
        <v>230</v>
      </c>
      <c r="J3126" s="12" t="s">
        <v>419</v>
      </c>
      <c r="K3126" s="12" t="s">
        <v>199</v>
      </c>
      <c r="L3126" s="14"/>
      <c r="M3126" s="12" t="s">
        <v>43</v>
      </c>
      <c r="N3126" s="12" t="s">
        <v>44</v>
      </c>
      <c r="O3126" s="12" t="s">
        <v>11403</v>
      </c>
      <c r="P3126" s="12" t="s">
        <v>66</v>
      </c>
      <c r="Q3126" s="12" t="s">
        <v>67</v>
      </c>
      <c r="R3126" s="12" t="s">
        <v>623</v>
      </c>
      <c r="S3126" s="13">
        <v>197643407447</v>
      </c>
      <c r="T3126" s="12" t="s">
        <v>69</v>
      </c>
      <c r="U3126" s="12" t="s">
        <v>179</v>
      </c>
      <c r="V3126" s="12" t="s">
        <v>70</v>
      </c>
      <c r="W3126" s="12" t="s">
        <v>51</v>
      </c>
      <c r="X3126" s="13">
        <v>0</v>
      </c>
      <c r="Y3126" s="12" t="s">
        <v>53</v>
      </c>
      <c r="Z3126" s="12" t="s">
        <v>108</v>
      </c>
      <c r="AA3126" s="13">
        <v>0</v>
      </c>
      <c r="AB3126" s="13">
        <v>0</v>
      </c>
      <c r="AC3126" s="15">
        <v>45.5</v>
      </c>
      <c r="AD3126" s="15">
        <f>AC3126*AG3126</f>
        <v>45.5</v>
      </c>
      <c r="AE3126" s="15">
        <v>100</v>
      </c>
      <c r="AF3126" s="15">
        <f>AE3126*AG3126</f>
        <v>100</v>
      </c>
      <c r="AG3126" s="16">
        <v>1</v>
      </c>
    </row>
    <row r="3127" spans="1:33" ht="15" customHeight="1" x14ac:dyDescent="0.2">
      <c r="A3127" s="11" t="str">
        <f>HYPERLINK("https://assets.vans.eu/images/VN000M1KBLK-HERO/1","VN000M1KBLK1")</f>
        <v>VN000M1KBLK1</v>
      </c>
      <c r="B3127" s="12" t="s">
        <v>11404</v>
      </c>
      <c r="C3127" s="12" t="s">
        <v>1733</v>
      </c>
      <c r="D3127" s="12" t="s">
        <v>76</v>
      </c>
      <c r="E3127" s="12" t="s">
        <v>11405</v>
      </c>
      <c r="F3127" s="12" t="s">
        <v>170</v>
      </c>
      <c r="G3127" s="14"/>
      <c r="H3127" s="12" t="s">
        <v>61</v>
      </c>
      <c r="I3127" s="12" t="s">
        <v>230</v>
      </c>
      <c r="J3127" s="12" t="s">
        <v>419</v>
      </c>
      <c r="K3127" s="12" t="s">
        <v>199</v>
      </c>
      <c r="L3127" s="14"/>
      <c r="M3127" s="12" t="s">
        <v>43</v>
      </c>
      <c r="N3127" s="12" t="s">
        <v>44</v>
      </c>
      <c r="O3127" s="12" t="s">
        <v>11406</v>
      </c>
      <c r="P3127" s="12" t="s">
        <v>66</v>
      </c>
      <c r="Q3127" s="12" t="s">
        <v>67</v>
      </c>
      <c r="R3127" s="12" t="s">
        <v>623</v>
      </c>
      <c r="S3127" s="13">
        <v>197643407621</v>
      </c>
      <c r="T3127" s="12" t="s">
        <v>69</v>
      </c>
      <c r="U3127" s="12" t="s">
        <v>170</v>
      </c>
      <c r="V3127" s="12" t="s">
        <v>70</v>
      </c>
      <c r="W3127" s="12" t="s">
        <v>51</v>
      </c>
      <c r="X3127" s="13">
        <v>0</v>
      </c>
      <c r="Y3127" s="12" t="s">
        <v>53</v>
      </c>
      <c r="Z3127" s="12" t="s">
        <v>108</v>
      </c>
      <c r="AA3127" s="13">
        <v>0</v>
      </c>
      <c r="AB3127" s="13">
        <v>0</v>
      </c>
      <c r="AC3127" s="15">
        <v>45.5</v>
      </c>
      <c r="AD3127" s="15">
        <f>AC3127*AG3127</f>
        <v>45.5</v>
      </c>
      <c r="AE3127" s="15">
        <v>100</v>
      </c>
      <c r="AF3127" s="15">
        <f>AE3127*AG3127</f>
        <v>100</v>
      </c>
      <c r="AG3127" s="16">
        <v>1</v>
      </c>
    </row>
    <row r="3128" spans="1:33" ht="15" customHeight="1" x14ac:dyDescent="0.2">
      <c r="A3128" s="11" t="str">
        <f t="shared" si="871"/>
        <v>VN000M27CFL1</v>
      </c>
      <c r="B3128" s="12" t="s">
        <v>11407</v>
      </c>
      <c r="C3128" s="12" t="s">
        <v>1577</v>
      </c>
      <c r="D3128" s="12" t="s">
        <v>1258</v>
      </c>
      <c r="E3128" s="12" t="s">
        <v>11408</v>
      </c>
      <c r="F3128" s="13">
        <v>26</v>
      </c>
      <c r="G3128" s="14"/>
      <c r="H3128" s="12" t="s">
        <v>61</v>
      </c>
      <c r="I3128" s="12" t="s">
        <v>230</v>
      </c>
      <c r="J3128" s="12" t="s">
        <v>231</v>
      </c>
      <c r="K3128" s="12" t="s">
        <v>199</v>
      </c>
      <c r="L3128" s="14"/>
      <c r="M3128" s="12" t="s">
        <v>43</v>
      </c>
      <c r="N3128" s="12" t="s">
        <v>44</v>
      </c>
      <c r="O3128" s="12" t="s">
        <v>11409</v>
      </c>
      <c r="P3128" s="12" t="s">
        <v>66</v>
      </c>
      <c r="Q3128" s="12" t="s">
        <v>233</v>
      </c>
      <c r="R3128" s="12" t="s">
        <v>361</v>
      </c>
      <c r="S3128" s="13">
        <v>197643408628</v>
      </c>
      <c r="T3128" s="12" t="s">
        <v>235</v>
      </c>
      <c r="U3128" s="13">
        <v>26</v>
      </c>
      <c r="V3128" s="12" t="s">
        <v>665</v>
      </c>
      <c r="W3128" s="12" t="s">
        <v>284</v>
      </c>
      <c r="X3128" s="13">
        <v>0</v>
      </c>
      <c r="Y3128" s="12" t="s">
        <v>53</v>
      </c>
      <c r="Z3128" s="12" t="s">
        <v>108</v>
      </c>
      <c r="AA3128" s="13">
        <v>0</v>
      </c>
      <c r="AB3128" s="13">
        <v>0</v>
      </c>
      <c r="AC3128" s="15">
        <v>36.4</v>
      </c>
      <c r="AD3128" s="15">
        <f>AC3128*AG3128</f>
        <v>36.4</v>
      </c>
      <c r="AE3128" s="15">
        <v>80</v>
      </c>
      <c r="AF3128" s="15">
        <f>AE3128*AG3128</f>
        <v>80</v>
      </c>
      <c r="AG3128" s="16">
        <v>1</v>
      </c>
    </row>
    <row r="3129" spans="1:33" ht="15" customHeight="1" x14ac:dyDescent="0.2">
      <c r="A3129" s="11" t="str">
        <f t="shared" ref="A3129:A3130" si="1164">HYPERLINK("https://assets.vans.eu/images/VN000M27CFL-HERO/1","VN000M27CFL1")</f>
        <v>VN000M27CFL1</v>
      </c>
      <c r="B3129" s="12" t="s">
        <v>11410</v>
      </c>
      <c r="C3129" s="12" t="s">
        <v>1577</v>
      </c>
      <c r="D3129" s="12" t="s">
        <v>1258</v>
      </c>
      <c r="E3129" s="12" t="s">
        <v>11411</v>
      </c>
      <c r="F3129" s="13">
        <v>27</v>
      </c>
      <c r="G3129" s="14"/>
      <c r="H3129" s="12" t="s">
        <v>61</v>
      </c>
      <c r="I3129" s="12" t="s">
        <v>230</v>
      </c>
      <c r="J3129" s="12" t="s">
        <v>231</v>
      </c>
      <c r="K3129" s="12" t="s">
        <v>199</v>
      </c>
      <c r="L3129" s="14"/>
      <c r="M3129" s="12" t="s">
        <v>43</v>
      </c>
      <c r="N3129" s="12" t="s">
        <v>44</v>
      </c>
      <c r="O3129" s="12" t="s">
        <v>11412</v>
      </c>
      <c r="P3129" s="12" t="s">
        <v>66</v>
      </c>
      <c r="Q3129" s="12" t="s">
        <v>233</v>
      </c>
      <c r="R3129" s="12" t="s">
        <v>361</v>
      </c>
      <c r="S3129" s="13">
        <v>197643408680</v>
      </c>
      <c r="T3129" s="12" t="s">
        <v>235</v>
      </c>
      <c r="U3129" s="13">
        <v>27</v>
      </c>
      <c r="V3129" s="12" t="s">
        <v>665</v>
      </c>
      <c r="W3129" s="12" t="s">
        <v>284</v>
      </c>
      <c r="X3129" s="13">
        <v>0</v>
      </c>
      <c r="Y3129" s="12" t="s">
        <v>53</v>
      </c>
      <c r="Z3129" s="12" t="s">
        <v>108</v>
      </c>
      <c r="AA3129" s="13">
        <v>0</v>
      </c>
      <c r="AB3129" s="13">
        <v>0</v>
      </c>
      <c r="AC3129" s="15">
        <v>36.4</v>
      </c>
      <c r="AD3129" s="15">
        <f>AC3129*AG3129</f>
        <v>36.4</v>
      </c>
      <c r="AE3129" s="15">
        <v>80</v>
      </c>
      <c r="AF3129" s="15">
        <f>AE3129*AG3129</f>
        <v>80</v>
      </c>
      <c r="AG3129" s="16">
        <v>1</v>
      </c>
    </row>
    <row r="3130" spans="1:33" ht="15" customHeight="1" x14ac:dyDescent="0.2">
      <c r="A3130" s="11" t="str">
        <f t="shared" si="1164"/>
        <v>VN000M27CFL1</v>
      </c>
      <c r="B3130" s="12" t="s">
        <v>11413</v>
      </c>
      <c r="C3130" s="12" t="s">
        <v>1577</v>
      </c>
      <c r="D3130" s="12" t="s">
        <v>1258</v>
      </c>
      <c r="E3130" s="12" t="s">
        <v>11414</v>
      </c>
      <c r="F3130" s="13">
        <v>30</v>
      </c>
      <c r="G3130" s="14"/>
      <c r="H3130" s="12" t="s">
        <v>61</v>
      </c>
      <c r="I3130" s="12" t="s">
        <v>230</v>
      </c>
      <c r="J3130" s="12" t="s">
        <v>231</v>
      </c>
      <c r="K3130" s="12" t="s">
        <v>199</v>
      </c>
      <c r="L3130" s="14"/>
      <c r="M3130" s="12" t="s">
        <v>43</v>
      </c>
      <c r="N3130" s="12" t="s">
        <v>44</v>
      </c>
      <c r="O3130" s="12" t="s">
        <v>11415</v>
      </c>
      <c r="P3130" s="12" t="s">
        <v>66</v>
      </c>
      <c r="Q3130" s="12" t="s">
        <v>233</v>
      </c>
      <c r="R3130" s="12" t="s">
        <v>361</v>
      </c>
      <c r="S3130" s="13">
        <v>197643409106</v>
      </c>
      <c r="T3130" s="12" t="s">
        <v>235</v>
      </c>
      <c r="U3130" s="13">
        <v>30</v>
      </c>
      <c r="V3130" s="12" t="s">
        <v>665</v>
      </c>
      <c r="W3130" s="12" t="s">
        <v>284</v>
      </c>
      <c r="X3130" s="13">
        <v>0</v>
      </c>
      <c r="Y3130" s="12" t="s">
        <v>53</v>
      </c>
      <c r="Z3130" s="12" t="s">
        <v>108</v>
      </c>
      <c r="AA3130" s="13">
        <v>0</v>
      </c>
      <c r="AB3130" s="13">
        <v>0</v>
      </c>
      <c r="AC3130" s="15">
        <v>36.4</v>
      </c>
      <c r="AD3130" s="15">
        <f>AC3130*AG3130</f>
        <v>36.4</v>
      </c>
      <c r="AE3130" s="15">
        <v>80</v>
      </c>
      <c r="AF3130" s="15">
        <f>AE3130*AG3130</f>
        <v>80</v>
      </c>
      <c r="AG3130" s="16">
        <v>1</v>
      </c>
    </row>
    <row r="3131" spans="1:33" ht="15" customHeight="1" x14ac:dyDescent="0.2">
      <c r="A3131" s="11" t="str">
        <f>HYPERLINK("https://assets.vans.eu/images/VN000M28BR1-HERO/1","VN000M28BR11")</f>
        <v>VN000M28BR11</v>
      </c>
      <c r="B3131" s="12" t="s">
        <v>11416</v>
      </c>
      <c r="C3131" s="12" t="s">
        <v>1281</v>
      </c>
      <c r="D3131" s="12" t="s">
        <v>496</v>
      </c>
      <c r="E3131" s="12" t="s">
        <v>11417</v>
      </c>
      <c r="F3131" s="13">
        <v>31</v>
      </c>
      <c r="G3131" s="14"/>
      <c r="H3131" s="12" t="s">
        <v>61</v>
      </c>
      <c r="I3131" s="12" t="s">
        <v>230</v>
      </c>
      <c r="J3131" s="12" t="s">
        <v>231</v>
      </c>
      <c r="K3131" s="12" t="s">
        <v>199</v>
      </c>
      <c r="L3131" s="14"/>
      <c r="M3131" s="12" t="s">
        <v>43</v>
      </c>
      <c r="N3131" s="12" t="s">
        <v>44</v>
      </c>
      <c r="O3131" s="12" t="s">
        <v>11418</v>
      </c>
      <c r="P3131" s="12" t="s">
        <v>66</v>
      </c>
      <c r="Q3131" s="12" t="s">
        <v>233</v>
      </c>
      <c r="R3131" s="12" t="s">
        <v>361</v>
      </c>
      <c r="S3131" s="13">
        <v>197643409236</v>
      </c>
      <c r="T3131" s="12" t="s">
        <v>235</v>
      </c>
      <c r="U3131" s="13">
        <v>31</v>
      </c>
      <c r="V3131" s="12" t="s">
        <v>665</v>
      </c>
      <c r="W3131" s="12" t="s">
        <v>118</v>
      </c>
      <c r="X3131" s="13">
        <v>0</v>
      </c>
      <c r="Y3131" s="12" t="s">
        <v>53</v>
      </c>
      <c r="Z3131" s="12" t="s">
        <v>108</v>
      </c>
      <c r="AA3131" s="13">
        <v>0</v>
      </c>
      <c r="AB3131" s="13">
        <v>0</v>
      </c>
      <c r="AC3131" s="15">
        <v>36.4</v>
      </c>
      <c r="AD3131" s="15">
        <f>AC3131*AG3131</f>
        <v>36.4</v>
      </c>
      <c r="AE3131" s="15">
        <v>80</v>
      </c>
      <c r="AF3131" s="15">
        <f>AE3131*AG3131</f>
        <v>80</v>
      </c>
      <c r="AG3131" s="16">
        <v>1</v>
      </c>
    </row>
    <row r="3132" spans="1:33" ht="15" customHeight="1" x14ac:dyDescent="0.2">
      <c r="A3132" s="11" t="str">
        <f t="shared" si="872"/>
        <v>VN000M29DDN1</v>
      </c>
      <c r="B3132" s="12" t="s">
        <v>11419</v>
      </c>
      <c r="C3132" s="12" t="s">
        <v>7980</v>
      </c>
      <c r="D3132" s="12" t="s">
        <v>962</v>
      </c>
      <c r="E3132" s="12" t="s">
        <v>11420</v>
      </c>
      <c r="F3132" s="13">
        <v>29</v>
      </c>
      <c r="G3132" s="14"/>
      <c r="H3132" s="12" t="s">
        <v>61</v>
      </c>
      <c r="I3132" s="12" t="s">
        <v>230</v>
      </c>
      <c r="J3132" s="12" t="s">
        <v>231</v>
      </c>
      <c r="K3132" s="12" t="s">
        <v>199</v>
      </c>
      <c r="L3132" s="14"/>
      <c r="M3132" s="12" t="s">
        <v>43</v>
      </c>
      <c r="N3132" s="12" t="s">
        <v>44</v>
      </c>
      <c r="O3132" s="12" t="s">
        <v>11421</v>
      </c>
      <c r="P3132" s="12" t="s">
        <v>66</v>
      </c>
      <c r="Q3132" s="12" t="s">
        <v>233</v>
      </c>
      <c r="R3132" s="12" t="s">
        <v>361</v>
      </c>
      <c r="S3132" s="13">
        <v>197643408956</v>
      </c>
      <c r="T3132" s="12" t="s">
        <v>235</v>
      </c>
      <c r="U3132" s="13">
        <v>29</v>
      </c>
      <c r="V3132" s="12" t="s">
        <v>665</v>
      </c>
      <c r="W3132" s="12" t="s">
        <v>284</v>
      </c>
      <c r="X3132" s="13">
        <v>0</v>
      </c>
      <c r="Y3132" s="12" t="s">
        <v>53</v>
      </c>
      <c r="Z3132" s="12" t="s">
        <v>108</v>
      </c>
      <c r="AA3132" s="13">
        <v>0</v>
      </c>
      <c r="AB3132" s="13">
        <v>0</v>
      </c>
      <c r="AC3132" s="15">
        <v>36.4</v>
      </c>
      <c r="AD3132" s="15">
        <f>AC3132*AG3132</f>
        <v>36.4</v>
      </c>
      <c r="AE3132" s="15">
        <v>80</v>
      </c>
      <c r="AF3132" s="15">
        <f>AE3132*AG3132</f>
        <v>80</v>
      </c>
      <c r="AG3132" s="16">
        <v>1</v>
      </c>
    </row>
    <row r="3133" spans="1:33" ht="15" customHeight="1" x14ac:dyDescent="0.2">
      <c r="A3133" s="11" t="str">
        <f>HYPERLINK("https://assets.vans.eu/images/VN000M2KCI2-HERO/1","VN000M2KCI21")</f>
        <v>VN000M2KCI21</v>
      </c>
      <c r="B3133" s="12" t="s">
        <v>11422</v>
      </c>
      <c r="C3133" s="12" t="s">
        <v>11423</v>
      </c>
      <c r="D3133" s="12" t="s">
        <v>2499</v>
      </c>
      <c r="E3133" s="12" t="s">
        <v>11424</v>
      </c>
      <c r="F3133" s="12" t="s">
        <v>621</v>
      </c>
      <c r="G3133" s="14"/>
      <c r="H3133" s="12" t="s">
        <v>61</v>
      </c>
      <c r="I3133" s="12" t="s">
        <v>230</v>
      </c>
      <c r="J3133" s="12" t="s">
        <v>762</v>
      </c>
      <c r="K3133" s="12" t="s">
        <v>199</v>
      </c>
      <c r="L3133" s="14"/>
      <c r="M3133" s="12" t="s">
        <v>43</v>
      </c>
      <c r="N3133" s="12" t="s">
        <v>44</v>
      </c>
      <c r="O3133" s="12" t="s">
        <v>11425</v>
      </c>
      <c r="P3133" s="12" t="s">
        <v>66</v>
      </c>
      <c r="Q3133" s="12" t="s">
        <v>764</v>
      </c>
      <c r="R3133" s="12" t="s">
        <v>765</v>
      </c>
      <c r="S3133" s="13">
        <v>197643410362</v>
      </c>
      <c r="T3133" s="12" t="s">
        <v>235</v>
      </c>
      <c r="U3133" s="12" t="s">
        <v>621</v>
      </c>
      <c r="V3133" s="12" t="s">
        <v>90</v>
      </c>
      <c r="W3133" s="12" t="s">
        <v>118</v>
      </c>
      <c r="X3133" s="13">
        <v>0</v>
      </c>
      <c r="Y3133" s="12" t="s">
        <v>91</v>
      </c>
      <c r="Z3133" s="12" t="s">
        <v>108</v>
      </c>
      <c r="AA3133" s="13">
        <v>0</v>
      </c>
      <c r="AB3133" s="13">
        <v>0</v>
      </c>
      <c r="AC3133" s="15">
        <v>68.2</v>
      </c>
      <c r="AD3133" s="15">
        <f>AC3133*AG3133</f>
        <v>68.2</v>
      </c>
      <c r="AE3133" s="15">
        <v>150</v>
      </c>
      <c r="AF3133" s="15">
        <f>AE3133*AG3133</f>
        <v>150</v>
      </c>
      <c r="AG3133" s="16">
        <v>1</v>
      </c>
    </row>
    <row r="3134" spans="1:33" ht="15" customHeight="1" x14ac:dyDescent="0.2">
      <c r="A3134" s="11" t="str">
        <f>HYPERLINK("https://assets.vans.eu/images/VN000M39DZ9-HERO/1","VN000M39DZ91")</f>
        <v>VN000M39DZ91</v>
      </c>
      <c r="B3134" s="12" t="s">
        <v>11426</v>
      </c>
      <c r="C3134" s="12" t="s">
        <v>1281</v>
      </c>
      <c r="D3134" s="12" t="s">
        <v>510</v>
      </c>
      <c r="E3134" s="12" t="s">
        <v>11427</v>
      </c>
      <c r="F3134" s="13">
        <v>30</v>
      </c>
      <c r="G3134" s="14"/>
      <c r="H3134" s="12" t="s">
        <v>61</v>
      </c>
      <c r="I3134" s="12" t="s">
        <v>230</v>
      </c>
      <c r="J3134" s="12" t="s">
        <v>231</v>
      </c>
      <c r="K3134" s="12" t="s">
        <v>199</v>
      </c>
      <c r="L3134" s="14"/>
      <c r="M3134" s="12" t="s">
        <v>43</v>
      </c>
      <c r="N3134" s="12" t="s">
        <v>44</v>
      </c>
      <c r="O3134" s="12" t="s">
        <v>11428</v>
      </c>
      <c r="P3134" s="12" t="s">
        <v>66</v>
      </c>
      <c r="Q3134" s="12" t="s">
        <v>233</v>
      </c>
      <c r="R3134" s="12" t="s">
        <v>234</v>
      </c>
      <c r="S3134" s="13">
        <v>197643412588</v>
      </c>
      <c r="T3134" s="12" t="s">
        <v>235</v>
      </c>
      <c r="U3134" s="13">
        <v>30</v>
      </c>
      <c r="V3134" s="12" t="s">
        <v>665</v>
      </c>
      <c r="W3134" s="12" t="s">
        <v>186</v>
      </c>
      <c r="X3134" s="13">
        <v>0</v>
      </c>
      <c r="Y3134" s="12" t="s">
        <v>53</v>
      </c>
      <c r="Z3134" s="12" t="s">
        <v>108</v>
      </c>
      <c r="AA3134" s="13">
        <v>0</v>
      </c>
      <c r="AB3134" s="13">
        <v>0</v>
      </c>
      <c r="AC3134" s="15">
        <v>29.55</v>
      </c>
      <c r="AD3134" s="15">
        <f>AC3134*AG3134</f>
        <v>29.55</v>
      </c>
      <c r="AE3134" s="15">
        <v>65</v>
      </c>
      <c r="AF3134" s="15">
        <f>AE3134*AG3134</f>
        <v>65</v>
      </c>
      <c r="AG3134" s="16">
        <v>1</v>
      </c>
    </row>
    <row r="3135" spans="1:33" ht="15" customHeight="1" x14ac:dyDescent="0.2">
      <c r="A3135" s="11" t="str">
        <f>HYPERLINK("https://assets.vans.eu/images/VN000M3JC9F-HERO/1","VN000M3JC9F1")</f>
        <v>VN000M3JC9F1</v>
      </c>
      <c r="B3135" s="12" t="s">
        <v>11429</v>
      </c>
      <c r="C3135" s="12" t="s">
        <v>11430</v>
      </c>
      <c r="D3135" s="12" t="s">
        <v>2056</v>
      </c>
      <c r="E3135" s="12" t="s">
        <v>11431</v>
      </c>
      <c r="F3135" s="12" t="s">
        <v>170</v>
      </c>
      <c r="G3135" s="14"/>
      <c r="H3135" s="12" t="s">
        <v>61</v>
      </c>
      <c r="I3135" s="12" t="s">
        <v>230</v>
      </c>
      <c r="J3135" s="12" t="s">
        <v>419</v>
      </c>
      <c r="K3135" s="12" t="s">
        <v>199</v>
      </c>
      <c r="L3135" s="14"/>
      <c r="M3135" s="12" t="s">
        <v>43</v>
      </c>
      <c r="N3135" s="12" t="s">
        <v>44</v>
      </c>
      <c r="O3135" s="12" t="s">
        <v>11432</v>
      </c>
      <c r="P3135" s="12" t="s">
        <v>66</v>
      </c>
      <c r="Q3135" s="12" t="s">
        <v>67</v>
      </c>
      <c r="R3135" s="12" t="s">
        <v>1500</v>
      </c>
      <c r="S3135" s="13">
        <v>197643412052</v>
      </c>
      <c r="T3135" s="12" t="s">
        <v>49</v>
      </c>
      <c r="U3135" s="12" t="s">
        <v>170</v>
      </c>
      <c r="V3135" s="12" t="s">
        <v>665</v>
      </c>
      <c r="W3135" s="12" t="s">
        <v>175</v>
      </c>
      <c r="X3135" s="13">
        <v>0</v>
      </c>
      <c r="Y3135" s="12" t="s">
        <v>91</v>
      </c>
      <c r="Z3135" s="12" t="s">
        <v>108</v>
      </c>
      <c r="AA3135" s="13">
        <v>0</v>
      </c>
      <c r="AB3135" s="13">
        <v>0</v>
      </c>
      <c r="AC3135" s="15">
        <v>25</v>
      </c>
      <c r="AD3135" s="15">
        <f>AC3135*AG3135</f>
        <v>25</v>
      </c>
      <c r="AE3135" s="15">
        <v>55</v>
      </c>
      <c r="AF3135" s="15">
        <f>AE3135*AG3135</f>
        <v>55</v>
      </c>
      <c r="AG3135" s="16">
        <v>1</v>
      </c>
    </row>
    <row r="3136" spans="1:33" ht="15" customHeight="1" x14ac:dyDescent="0.2">
      <c r="A3136" s="11" t="str">
        <f t="shared" si="873"/>
        <v>VN000M3VBLK1</v>
      </c>
      <c r="B3136" s="12" t="s">
        <v>11433</v>
      </c>
      <c r="C3136" s="12" t="s">
        <v>8000</v>
      </c>
      <c r="D3136" s="12" t="s">
        <v>76</v>
      </c>
      <c r="E3136" s="12" t="s">
        <v>11434</v>
      </c>
      <c r="F3136" s="12" t="s">
        <v>170</v>
      </c>
      <c r="G3136" s="14"/>
      <c r="H3136" s="12" t="s">
        <v>61</v>
      </c>
      <c r="I3136" s="12" t="s">
        <v>230</v>
      </c>
      <c r="J3136" s="12" t="s">
        <v>419</v>
      </c>
      <c r="K3136" s="12" t="s">
        <v>199</v>
      </c>
      <c r="L3136" s="14"/>
      <c r="M3136" s="12" t="s">
        <v>43</v>
      </c>
      <c r="N3136" s="12" t="s">
        <v>44</v>
      </c>
      <c r="O3136" s="12" t="s">
        <v>11435</v>
      </c>
      <c r="P3136" s="12" t="s">
        <v>66</v>
      </c>
      <c r="Q3136" s="12" t="s">
        <v>67</v>
      </c>
      <c r="R3136" s="12" t="s">
        <v>421</v>
      </c>
      <c r="S3136" s="13">
        <v>197643413370</v>
      </c>
      <c r="T3136" s="12" t="s">
        <v>499</v>
      </c>
      <c r="U3136" s="12" t="s">
        <v>170</v>
      </c>
      <c r="V3136" s="12" t="s">
        <v>70</v>
      </c>
      <c r="W3136" s="12" t="s">
        <v>51</v>
      </c>
      <c r="X3136" s="13">
        <v>0</v>
      </c>
      <c r="Y3136" s="12" t="s">
        <v>91</v>
      </c>
      <c r="Z3136" s="12" t="s">
        <v>108</v>
      </c>
      <c r="AA3136" s="13">
        <v>0</v>
      </c>
      <c r="AB3136" s="13">
        <v>0</v>
      </c>
      <c r="AC3136" s="15">
        <v>17.3</v>
      </c>
      <c r="AD3136" s="15">
        <f>AC3136*AG3136</f>
        <v>17.3</v>
      </c>
      <c r="AE3136" s="15">
        <v>38</v>
      </c>
      <c r="AF3136" s="15">
        <f>AE3136*AG3136</f>
        <v>38</v>
      </c>
      <c r="AG3136" s="16">
        <v>1</v>
      </c>
    </row>
    <row r="3137" spans="1:33" ht="15" customHeight="1" x14ac:dyDescent="0.2">
      <c r="A3137" s="11" t="str">
        <f t="shared" si="258"/>
        <v>VN000M47BLK1</v>
      </c>
      <c r="B3137" s="12" t="s">
        <v>11436</v>
      </c>
      <c r="C3137" s="12" t="s">
        <v>2688</v>
      </c>
      <c r="D3137" s="12" t="s">
        <v>76</v>
      </c>
      <c r="E3137" s="12" t="s">
        <v>11437</v>
      </c>
      <c r="F3137" s="12" t="s">
        <v>403</v>
      </c>
      <c r="G3137" s="14"/>
      <c r="H3137" s="12" t="s">
        <v>61</v>
      </c>
      <c r="I3137" s="12" t="s">
        <v>230</v>
      </c>
      <c r="J3137" s="12" t="s">
        <v>419</v>
      </c>
      <c r="K3137" s="12" t="s">
        <v>199</v>
      </c>
      <c r="L3137" s="14"/>
      <c r="M3137" s="12" t="s">
        <v>43</v>
      </c>
      <c r="N3137" s="12" t="s">
        <v>44</v>
      </c>
      <c r="O3137" s="12" t="s">
        <v>11438</v>
      </c>
      <c r="P3137" s="12" t="s">
        <v>66</v>
      </c>
      <c r="Q3137" s="12" t="s">
        <v>67</v>
      </c>
      <c r="R3137" s="12" t="s">
        <v>421</v>
      </c>
      <c r="S3137" s="13">
        <v>197643414254</v>
      </c>
      <c r="T3137" s="12" t="s">
        <v>422</v>
      </c>
      <c r="U3137" s="12" t="s">
        <v>403</v>
      </c>
      <c r="V3137" s="12" t="s">
        <v>70</v>
      </c>
      <c r="W3137" s="12" t="s">
        <v>51</v>
      </c>
      <c r="X3137" s="13">
        <v>0</v>
      </c>
      <c r="Y3137" s="12" t="s">
        <v>91</v>
      </c>
      <c r="Z3137" s="12" t="s">
        <v>108</v>
      </c>
      <c r="AA3137" s="13">
        <v>0</v>
      </c>
      <c r="AB3137" s="13">
        <v>0</v>
      </c>
      <c r="AC3137" s="15">
        <v>17.3</v>
      </c>
      <c r="AD3137" s="15">
        <f>AC3137*AG3137</f>
        <v>17.3</v>
      </c>
      <c r="AE3137" s="15">
        <v>38</v>
      </c>
      <c r="AF3137" s="15">
        <f>AE3137*AG3137</f>
        <v>38</v>
      </c>
      <c r="AG3137" s="16">
        <v>1</v>
      </c>
    </row>
    <row r="3138" spans="1:33" ht="15" customHeight="1" x14ac:dyDescent="0.2">
      <c r="A3138" s="11" t="str">
        <f>HYPERLINK("https://assets.vans.eu/images/VN000M4DD6Z-HERO/1","VN000M4DD6Z1")</f>
        <v>VN000M4DD6Z1</v>
      </c>
      <c r="B3138" s="12" t="s">
        <v>11439</v>
      </c>
      <c r="C3138" s="12" t="s">
        <v>11440</v>
      </c>
      <c r="D3138" s="12" t="s">
        <v>1277</v>
      </c>
      <c r="E3138" s="12" t="s">
        <v>11441</v>
      </c>
      <c r="F3138" s="12" t="s">
        <v>403</v>
      </c>
      <c r="G3138" s="14"/>
      <c r="H3138" s="12" t="s">
        <v>61</v>
      </c>
      <c r="I3138" s="12" t="s">
        <v>230</v>
      </c>
      <c r="J3138" s="12" t="s">
        <v>419</v>
      </c>
      <c r="K3138" s="12" t="s">
        <v>199</v>
      </c>
      <c r="L3138" s="14"/>
      <c r="M3138" s="12" t="s">
        <v>43</v>
      </c>
      <c r="N3138" s="12" t="s">
        <v>44</v>
      </c>
      <c r="O3138" s="12" t="s">
        <v>11442</v>
      </c>
      <c r="P3138" s="12" t="s">
        <v>66</v>
      </c>
      <c r="Q3138" s="12" t="s">
        <v>67</v>
      </c>
      <c r="R3138" s="12" t="s">
        <v>421</v>
      </c>
      <c r="S3138" s="13">
        <v>197643414926</v>
      </c>
      <c r="T3138" s="12" t="s">
        <v>49</v>
      </c>
      <c r="U3138" s="12" t="s">
        <v>403</v>
      </c>
      <c r="V3138" s="12" t="s">
        <v>665</v>
      </c>
      <c r="W3138" s="12" t="s">
        <v>299</v>
      </c>
      <c r="X3138" s="13">
        <v>0</v>
      </c>
      <c r="Y3138" s="12" t="s">
        <v>53</v>
      </c>
      <c r="Z3138" s="12" t="s">
        <v>108</v>
      </c>
      <c r="AA3138" s="13">
        <v>0</v>
      </c>
      <c r="AB3138" s="13">
        <v>0</v>
      </c>
      <c r="AC3138" s="15">
        <v>20.5</v>
      </c>
      <c r="AD3138" s="15">
        <f>AC3138*AG3138</f>
        <v>20.5</v>
      </c>
      <c r="AE3138" s="15">
        <v>45</v>
      </c>
      <c r="AF3138" s="15">
        <f>AE3138*AG3138</f>
        <v>45</v>
      </c>
      <c r="AG3138" s="16">
        <v>1</v>
      </c>
    </row>
    <row r="3139" spans="1:33" ht="15" customHeight="1" x14ac:dyDescent="0.2">
      <c r="A3139" s="11" t="str">
        <f>HYPERLINK("https://assets.vans.eu/images/VN000M4DJDU-HERO/1","VN000M4DJDU1")</f>
        <v>VN000M4DJDU1</v>
      </c>
      <c r="B3139" s="12" t="s">
        <v>11443</v>
      </c>
      <c r="C3139" s="12" t="s">
        <v>11440</v>
      </c>
      <c r="D3139" s="12" t="s">
        <v>814</v>
      </c>
      <c r="E3139" s="12" t="s">
        <v>11444</v>
      </c>
      <c r="F3139" s="12" t="s">
        <v>60</v>
      </c>
      <c r="G3139" s="14"/>
      <c r="H3139" s="12" t="s">
        <v>61</v>
      </c>
      <c r="I3139" s="12" t="s">
        <v>230</v>
      </c>
      <c r="J3139" s="12" t="s">
        <v>419</v>
      </c>
      <c r="K3139" s="12" t="s">
        <v>199</v>
      </c>
      <c r="L3139" s="14"/>
      <c r="M3139" s="12" t="s">
        <v>43</v>
      </c>
      <c r="N3139" s="12" t="s">
        <v>44</v>
      </c>
      <c r="O3139" s="12" t="s">
        <v>11445</v>
      </c>
      <c r="P3139" s="12" t="s">
        <v>66</v>
      </c>
      <c r="Q3139" s="12" t="s">
        <v>67</v>
      </c>
      <c r="R3139" s="12" t="s">
        <v>421</v>
      </c>
      <c r="S3139" s="13">
        <v>197643415077</v>
      </c>
      <c r="T3139" s="12" t="s">
        <v>49</v>
      </c>
      <c r="U3139" s="12" t="s">
        <v>60</v>
      </c>
      <c r="V3139" s="12" t="s">
        <v>665</v>
      </c>
      <c r="W3139" s="12" t="s">
        <v>284</v>
      </c>
      <c r="X3139" s="13">
        <v>0</v>
      </c>
      <c r="Y3139" s="12" t="s">
        <v>53</v>
      </c>
      <c r="Z3139" s="12" t="s">
        <v>108</v>
      </c>
      <c r="AA3139" s="13">
        <v>0</v>
      </c>
      <c r="AB3139" s="13">
        <v>0</v>
      </c>
      <c r="AC3139" s="15">
        <v>20.5</v>
      </c>
      <c r="AD3139" s="15">
        <f>AC3139*AG3139</f>
        <v>20.5</v>
      </c>
      <c r="AE3139" s="15">
        <v>45</v>
      </c>
      <c r="AF3139" s="15">
        <f>AE3139*AG3139</f>
        <v>45</v>
      </c>
      <c r="AG3139" s="16">
        <v>1</v>
      </c>
    </row>
    <row r="3140" spans="1:33" ht="15" customHeight="1" x14ac:dyDescent="0.2">
      <c r="A3140" s="11" t="str">
        <f>HYPERLINK("https://assets.vans.eu/images/VN000M4M4T1-HERO/1","VN000M4M4T11")</f>
        <v>VN000M4M4T11</v>
      </c>
      <c r="B3140" s="12" t="s">
        <v>11446</v>
      </c>
      <c r="C3140" s="12" t="s">
        <v>11447</v>
      </c>
      <c r="D3140" s="12" t="s">
        <v>11448</v>
      </c>
      <c r="E3140" s="12" t="s">
        <v>11449</v>
      </c>
      <c r="F3140" s="12" t="s">
        <v>403</v>
      </c>
      <c r="G3140" s="14"/>
      <c r="H3140" s="12" t="s">
        <v>61</v>
      </c>
      <c r="I3140" s="12" t="s">
        <v>11450</v>
      </c>
      <c r="J3140" s="12" t="s">
        <v>11451</v>
      </c>
      <c r="K3140" s="12" t="s">
        <v>100</v>
      </c>
      <c r="L3140" s="12" t="s">
        <v>872</v>
      </c>
      <c r="M3140" s="12" t="s">
        <v>43</v>
      </c>
      <c r="N3140" s="12" t="s">
        <v>6424</v>
      </c>
      <c r="O3140" s="12" t="s">
        <v>11452</v>
      </c>
      <c r="P3140" s="12" t="s">
        <v>66</v>
      </c>
      <c r="Q3140" s="12" t="s">
        <v>233</v>
      </c>
      <c r="R3140" s="12" t="s">
        <v>664</v>
      </c>
      <c r="S3140" s="13">
        <v>885928416085</v>
      </c>
      <c r="T3140" s="12" t="s">
        <v>143</v>
      </c>
      <c r="U3140" s="12" t="s">
        <v>403</v>
      </c>
      <c r="V3140" s="13">
        <v>0</v>
      </c>
      <c r="W3140" s="12" t="s">
        <v>455</v>
      </c>
      <c r="X3140" s="14"/>
      <c r="Y3140" s="14"/>
      <c r="Z3140" s="14"/>
      <c r="AA3140" s="14"/>
      <c r="AB3140" s="14"/>
      <c r="AC3140" s="15">
        <v>93.35</v>
      </c>
      <c r="AD3140" s="15">
        <f>AC3140*AG3140</f>
        <v>93.35</v>
      </c>
      <c r="AE3140" s="15">
        <v>210</v>
      </c>
      <c r="AF3140" s="15">
        <f>AE3140*AG3140</f>
        <v>210</v>
      </c>
      <c r="AG3140" s="16">
        <v>1</v>
      </c>
    </row>
    <row r="3141" spans="1:33" ht="15" customHeight="1" x14ac:dyDescent="0.2">
      <c r="A3141" s="11" t="str">
        <f>HYPERLINK("https://assets.vans.eu/images/VN000M4W4SN-HERO/1","VN000M4W4SN1")</f>
        <v>VN000M4W4SN1</v>
      </c>
      <c r="B3141" s="12" t="s">
        <v>11453</v>
      </c>
      <c r="C3141" s="12" t="s">
        <v>6419</v>
      </c>
      <c r="D3141" s="12" t="s">
        <v>11454</v>
      </c>
      <c r="E3141" s="12" t="s">
        <v>11455</v>
      </c>
      <c r="F3141" s="12" t="s">
        <v>621</v>
      </c>
      <c r="G3141" s="14"/>
      <c r="H3141" s="12" t="s">
        <v>61</v>
      </c>
      <c r="I3141" s="12" t="s">
        <v>6422</v>
      </c>
      <c r="J3141" s="12" t="s">
        <v>6423</v>
      </c>
      <c r="K3141" s="12" t="s">
        <v>199</v>
      </c>
      <c r="L3141" s="12" t="s">
        <v>872</v>
      </c>
      <c r="M3141" s="12" t="s">
        <v>43</v>
      </c>
      <c r="N3141" s="12" t="s">
        <v>6424</v>
      </c>
      <c r="O3141" s="12" t="s">
        <v>11456</v>
      </c>
      <c r="P3141" s="12" t="s">
        <v>66</v>
      </c>
      <c r="Q3141" s="12" t="s">
        <v>233</v>
      </c>
      <c r="R3141" s="12" t="s">
        <v>361</v>
      </c>
      <c r="S3141" s="13">
        <v>885928414913</v>
      </c>
      <c r="T3141" s="12" t="s">
        <v>130</v>
      </c>
      <c r="U3141" s="12" t="s">
        <v>621</v>
      </c>
      <c r="V3141" s="13">
        <v>0</v>
      </c>
      <c r="W3141" s="13">
        <v>0</v>
      </c>
      <c r="X3141" s="14"/>
      <c r="Y3141" s="14"/>
      <c r="Z3141" s="14"/>
      <c r="AA3141" s="14"/>
      <c r="AB3141" s="14"/>
      <c r="AC3141" s="15">
        <v>93.35</v>
      </c>
      <c r="AD3141" s="15">
        <f>AC3141*AG3141</f>
        <v>93.35</v>
      </c>
      <c r="AE3141" s="15">
        <v>210</v>
      </c>
      <c r="AF3141" s="15">
        <f>AE3141*AG3141</f>
        <v>210</v>
      </c>
      <c r="AG3141" s="16">
        <v>1</v>
      </c>
    </row>
    <row r="3142" spans="1:33" ht="15" customHeight="1" x14ac:dyDescent="0.2">
      <c r="A3142" s="11" t="str">
        <f>HYPERLINK("https://assets.vans.eu/images/VN000M5JCLH-HERO/1","VN000M5JCLH1")</f>
        <v>VN000M5JCLH1</v>
      </c>
      <c r="B3142" s="12" t="s">
        <v>11457</v>
      </c>
      <c r="C3142" s="12" t="s">
        <v>11458</v>
      </c>
      <c r="D3142" s="12" t="s">
        <v>838</v>
      </c>
      <c r="E3142" s="12" t="s">
        <v>11459</v>
      </c>
      <c r="F3142" s="12" t="s">
        <v>60</v>
      </c>
      <c r="G3142" s="14"/>
      <c r="H3142" s="12" t="s">
        <v>61</v>
      </c>
      <c r="I3142" s="12" t="s">
        <v>230</v>
      </c>
      <c r="J3142" s="12" t="s">
        <v>419</v>
      </c>
      <c r="K3142" s="12" t="s">
        <v>199</v>
      </c>
      <c r="L3142" s="14"/>
      <c r="M3142" s="12" t="s">
        <v>43</v>
      </c>
      <c r="N3142" s="12" t="s">
        <v>44</v>
      </c>
      <c r="O3142" s="12" t="s">
        <v>11460</v>
      </c>
      <c r="P3142" s="12" t="s">
        <v>66</v>
      </c>
      <c r="Q3142" s="12" t="s">
        <v>67</v>
      </c>
      <c r="R3142" s="12" t="s">
        <v>421</v>
      </c>
      <c r="S3142" s="13">
        <v>197803421887</v>
      </c>
      <c r="T3142" s="12" t="s">
        <v>422</v>
      </c>
      <c r="U3142" s="12" t="s">
        <v>60</v>
      </c>
      <c r="V3142" s="12" t="s">
        <v>70</v>
      </c>
      <c r="W3142" s="12" t="s">
        <v>118</v>
      </c>
      <c r="X3142" s="13">
        <v>0</v>
      </c>
      <c r="Y3142" s="12" t="s">
        <v>91</v>
      </c>
      <c r="Z3142" s="12" t="s">
        <v>108</v>
      </c>
      <c r="AA3142" s="13">
        <v>0</v>
      </c>
      <c r="AB3142" s="13">
        <v>0</v>
      </c>
      <c r="AC3142" s="15">
        <v>17.3</v>
      </c>
      <c r="AD3142" s="15">
        <f>AC3142*AG3142</f>
        <v>17.3</v>
      </c>
      <c r="AE3142" s="15">
        <v>38</v>
      </c>
      <c r="AF3142" s="15">
        <f>AE3142*AG3142</f>
        <v>38</v>
      </c>
      <c r="AG3142" s="16">
        <v>1</v>
      </c>
    </row>
    <row r="3143" spans="1:33" ht="15" customHeight="1" x14ac:dyDescent="0.2">
      <c r="A3143" s="11" t="str">
        <f t="shared" ref="A3143:A3145" si="1165">HYPERLINK("https://assets.vans.eu/images/VN000M6RWHT-HERO/1","VN000M6RWHT1")</f>
        <v>VN000M6RWHT1</v>
      </c>
      <c r="B3143" s="12" t="s">
        <v>11461</v>
      </c>
      <c r="C3143" s="12" t="s">
        <v>8161</v>
      </c>
      <c r="D3143" s="12" t="s">
        <v>168</v>
      </c>
      <c r="E3143" s="12" t="s">
        <v>11462</v>
      </c>
      <c r="F3143" s="12" t="s">
        <v>170</v>
      </c>
      <c r="G3143" s="14"/>
      <c r="H3143" s="12" t="s">
        <v>61</v>
      </c>
      <c r="I3143" s="12" t="s">
        <v>230</v>
      </c>
      <c r="J3143" s="12" t="s">
        <v>419</v>
      </c>
      <c r="K3143" s="12" t="s">
        <v>199</v>
      </c>
      <c r="L3143" s="14"/>
      <c r="M3143" s="12" t="s">
        <v>43</v>
      </c>
      <c r="N3143" s="12" t="s">
        <v>44</v>
      </c>
      <c r="O3143" s="12" t="s">
        <v>11463</v>
      </c>
      <c r="P3143" s="12" t="s">
        <v>66</v>
      </c>
      <c r="Q3143" s="12" t="s">
        <v>67</v>
      </c>
      <c r="R3143" s="12" t="s">
        <v>421</v>
      </c>
      <c r="S3143" s="13">
        <v>197643419433</v>
      </c>
      <c r="T3143" s="12" t="s">
        <v>422</v>
      </c>
      <c r="U3143" s="12" t="s">
        <v>170</v>
      </c>
      <c r="V3143" s="12" t="s">
        <v>70</v>
      </c>
      <c r="W3143" s="12" t="s">
        <v>175</v>
      </c>
      <c r="X3143" s="12" t="s">
        <v>500</v>
      </c>
      <c r="Y3143" s="12" t="s">
        <v>91</v>
      </c>
      <c r="Z3143" s="12" t="s">
        <v>108</v>
      </c>
      <c r="AA3143" s="13">
        <v>0</v>
      </c>
      <c r="AB3143" s="13">
        <v>0</v>
      </c>
      <c r="AC3143" s="15">
        <v>17.3</v>
      </c>
      <c r="AD3143" s="15">
        <f>AC3143*AG3143</f>
        <v>17.3</v>
      </c>
      <c r="AE3143" s="15">
        <v>38</v>
      </c>
      <c r="AF3143" s="15">
        <f>AE3143*AG3143</f>
        <v>38</v>
      </c>
      <c r="AG3143" s="16">
        <v>1</v>
      </c>
    </row>
    <row r="3144" spans="1:33" ht="15" customHeight="1" x14ac:dyDescent="0.2">
      <c r="A3144" s="11" t="str">
        <f t="shared" si="1165"/>
        <v>VN000M6RWHT1</v>
      </c>
      <c r="B3144" s="12" t="s">
        <v>11464</v>
      </c>
      <c r="C3144" s="12" t="s">
        <v>8161</v>
      </c>
      <c r="D3144" s="12" t="s">
        <v>168</v>
      </c>
      <c r="E3144" s="12" t="s">
        <v>11465</v>
      </c>
      <c r="F3144" s="12" t="s">
        <v>60</v>
      </c>
      <c r="G3144" s="14"/>
      <c r="H3144" s="12" t="s">
        <v>61</v>
      </c>
      <c r="I3144" s="12" t="s">
        <v>230</v>
      </c>
      <c r="J3144" s="12" t="s">
        <v>419</v>
      </c>
      <c r="K3144" s="12" t="s">
        <v>199</v>
      </c>
      <c r="L3144" s="14"/>
      <c r="M3144" s="12" t="s">
        <v>43</v>
      </c>
      <c r="N3144" s="12" t="s">
        <v>44</v>
      </c>
      <c r="O3144" s="12" t="s">
        <v>11466</v>
      </c>
      <c r="P3144" s="12" t="s">
        <v>66</v>
      </c>
      <c r="Q3144" s="12" t="s">
        <v>67</v>
      </c>
      <c r="R3144" s="12" t="s">
        <v>421</v>
      </c>
      <c r="S3144" s="13">
        <v>197643419617</v>
      </c>
      <c r="T3144" s="12" t="s">
        <v>422</v>
      </c>
      <c r="U3144" s="12" t="s">
        <v>60</v>
      </c>
      <c r="V3144" s="12" t="s">
        <v>70</v>
      </c>
      <c r="W3144" s="12" t="s">
        <v>175</v>
      </c>
      <c r="X3144" s="12" t="s">
        <v>500</v>
      </c>
      <c r="Y3144" s="12" t="s">
        <v>91</v>
      </c>
      <c r="Z3144" s="12" t="s">
        <v>108</v>
      </c>
      <c r="AA3144" s="13">
        <v>0</v>
      </c>
      <c r="AB3144" s="13">
        <v>0</v>
      </c>
      <c r="AC3144" s="15">
        <v>17.3</v>
      </c>
      <c r="AD3144" s="15">
        <f>AC3144*AG3144</f>
        <v>17.3</v>
      </c>
      <c r="AE3144" s="15">
        <v>38</v>
      </c>
      <c r="AF3144" s="15">
        <f>AE3144*AG3144</f>
        <v>38</v>
      </c>
      <c r="AG3144" s="16">
        <v>1</v>
      </c>
    </row>
    <row r="3145" spans="1:33" ht="15" customHeight="1" x14ac:dyDescent="0.2">
      <c r="A3145" s="11" t="str">
        <f t="shared" si="1165"/>
        <v>VN000M6RWHT1</v>
      </c>
      <c r="B3145" s="12" t="s">
        <v>11467</v>
      </c>
      <c r="C3145" s="12" t="s">
        <v>8161</v>
      </c>
      <c r="D3145" s="12" t="s">
        <v>168</v>
      </c>
      <c r="E3145" s="12" t="s">
        <v>11468</v>
      </c>
      <c r="F3145" s="12" t="s">
        <v>621</v>
      </c>
      <c r="G3145" s="14"/>
      <c r="H3145" s="12" t="s">
        <v>61</v>
      </c>
      <c r="I3145" s="12" t="s">
        <v>230</v>
      </c>
      <c r="J3145" s="12" t="s">
        <v>419</v>
      </c>
      <c r="K3145" s="12" t="s">
        <v>199</v>
      </c>
      <c r="L3145" s="14"/>
      <c r="M3145" s="12" t="s">
        <v>43</v>
      </c>
      <c r="N3145" s="12" t="s">
        <v>44</v>
      </c>
      <c r="O3145" s="12" t="s">
        <v>11469</v>
      </c>
      <c r="P3145" s="12" t="s">
        <v>66</v>
      </c>
      <c r="Q3145" s="12" t="s">
        <v>67</v>
      </c>
      <c r="R3145" s="12" t="s">
        <v>421</v>
      </c>
      <c r="S3145" s="13">
        <v>197643419655</v>
      </c>
      <c r="T3145" s="12" t="s">
        <v>422</v>
      </c>
      <c r="U3145" s="12" t="s">
        <v>621</v>
      </c>
      <c r="V3145" s="12" t="s">
        <v>70</v>
      </c>
      <c r="W3145" s="12" t="s">
        <v>175</v>
      </c>
      <c r="X3145" s="12" t="s">
        <v>500</v>
      </c>
      <c r="Y3145" s="12" t="s">
        <v>91</v>
      </c>
      <c r="Z3145" s="12" t="s">
        <v>108</v>
      </c>
      <c r="AA3145" s="13">
        <v>0</v>
      </c>
      <c r="AB3145" s="13">
        <v>0</v>
      </c>
      <c r="AC3145" s="15">
        <v>17.3</v>
      </c>
      <c r="AD3145" s="15">
        <f>AC3145*AG3145</f>
        <v>17.3</v>
      </c>
      <c r="AE3145" s="15">
        <v>38</v>
      </c>
      <c r="AF3145" s="15">
        <f>AE3145*AG3145</f>
        <v>38</v>
      </c>
      <c r="AG3145" s="16">
        <v>1</v>
      </c>
    </row>
    <row r="3146" spans="1:33" ht="15" customHeight="1" x14ac:dyDescent="0.2">
      <c r="A3146" s="11" t="str">
        <f t="shared" si="684"/>
        <v>VN000M6XEMW1</v>
      </c>
      <c r="B3146" s="12" t="s">
        <v>11470</v>
      </c>
      <c r="C3146" s="12" t="s">
        <v>2055</v>
      </c>
      <c r="D3146" s="12" t="s">
        <v>147</v>
      </c>
      <c r="E3146" s="12" t="s">
        <v>11471</v>
      </c>
      <c r="F3146" s="12" t="s">
        <v>179</v>
      </c>
      <c r="G3146" s="14"/>
      <c r="H3146" s="12" t="s">
        <v>61</v>
      </c>
      <c r="I3146" s="12" t="s">
        <v>289</v>
      </c>
      <c r="J3146" s="12" t="s">
        <v>290</v>
      </c>
      <c r="K3146" s="12" t="s">
        <v>100</v>
      </c>
      <c r="L3146" s="14"/>
      <c r="M3146" s="12" t="s">
        <v>43</v>
      </c>
      <c r="N3146" s="12" t="s">
        <v>84</v>
      </c>
      <c r="O3146" s="12" t="s">
        <v>11472</v>
      </c>
      <c r="P3146" s="12" t="s">
        <v>66</v>
      </c>
      <c r="Q3146" s="12" t="s">
        <v>233</v>
      </c>
      <c r="R3146" s="12" t="s">
        <v>664</v>
      </c>
      <c r="S3146" s="13">
        <v>197804386109</v>
      </c>
      <c r="T3146" s="12" t="s">
        <v>235</v>
      </c>
      <c r="U3146" s="12" t="s">
        <v>179</v>
      </c>
      <c r="V3146" s="12" t="s">
        <v>1811</v>
      </c>
      <c r="W3146" s="12" t="s">
        <v>118</v>
      </c>
      <c r="X3146" s="14"/>
      <c r="Y3146" s="14"/>
      <c r="Z3146" s="14"/>
      <c r="AA3146" s="14"/>
      <c r="AB3146" s="14"/>
      <c r="AC3146" s="15">
        <v>45.5</v>
      </c>
      <c r="AD3146" s="15">
        <f>AC3146*AG3146</f>
        <v>45.5</v>
      </c>
      <c r="AE3146" s="15">
        <v>100</v>
      </c>
      <c r="AF3146" s="15">
        <f>AE3146*AG3146</f>
        <v>100</v>
      </c>
      <c r="AG3146" s="16">
        <v>1</v>
      </c>
    </row>
    <row r="3147" spans="1:33" ht="15" customHeight="1" x14ac:dyDescent="0.2">
      <c r="A3147" s="11" t="str">
        <f>HYPERLINK("https://assets.vans.eu/images/VN000M6ZZBF-HERO/1","VN000M6ZZBF1")</f>
        <v>VN000M6ZZBF1</v>
      </c>
      <c r="B3147" s="12" t="s">
        <v>11473</v>
      </c>
      <c r="C3147" s="12" t="s">
        <v>679</v>
      </c>
      <c r="D3147" s="12" t="s">
        <v>680</v>
      </c>
      <c r="E3147" s="12" t="s">
        <v>11474</v>
      </c>
      <c r="F3147" s="12" t="s">
        <v>179</v>
      </c>
      <c r="G3147" s="14"/>
      <c r="H3147" s="12" t="s">
        <v>61</v>
      </c>
      <c r="I3147" s="12" t="s">
        <v>289</v>
      </c>
      <c r="J3147" s="12" t="s">
        <v>290</v>
      </c>
      <c r="K3147" s="12" t="s">
        <v>100</v>
      </c>
      <c r="L3147" s="14"/>
      <c r="M3147" s="12" t="s">
        <v>43</v>
      </c>
      <c r="N3147" s="12" t="s">
        <v>44</v>
      </c>
      <c r="O3147" s="12" t="s">
        <v>11475</v>
      </c>
      <c r="P3147" s="12" t="s">
        <v>66</v>
      </c>
      <c r="Q3147" s="12" t="s">
        <v>233</v>
      </c>
      <c r="R3147" s="12" t="s">
        <v>664</v>
      </c>
      <c r="S3147" s="13">
        <v>197643360537</v>
      </c>
      <c r="T3147" s="12" t="s">
        <v>235</v>
      </c>
      <c r="U3147" s="12" t="s">
        <v>179</v>
      </c>
      <c r="V3147" s="12" t="s">
        <v>683</v>
      </c>
      <c r="W3147" s="12" t="s">
        <v>118</v>
      </c>
      <c r="X3147" s="13">
        <v>0</v>
      </c>
      <c r="Y3147" s="12" t="s">
        <v>91</v>
      </c>
      <c r="Z3147" s="12" t="s">
        <v>108</v>
      </c>
      <c r="AA3147" s="13">
        <v>0</v>
      </c>
      <c r="AB3147" s="13">
        <v>0</v>
      </c>
      <c r="AC3147" s="15">
        <v>38.65</v>
      </c>
      <c r="AD3147" s="15">
        <f>AC3147*AG3147</f>
        <v>38.65</v>
      </c>
      <c r="AE3147" s="15">
        <v>85</v>
      </c>
      <c r="AF3147" s="15">
        <f>AE3147*AG3147</f>
        <v>85</v>
      </c>
      <c r="AG3147" s="16">
        <v>1</v>
      </c>
    </row>
    <row r="3148" spans="1:33" ht="15" customHeight="1" x14ac:dyDescent="0.2">
      <c r="A3148" s="11" t="str">
        <f>HYPERLINK("https://assets.vans.eu/images/VN000M75BLK-HERO/1","VN000M75BLK1")</f>
        <v>VN000M75BLK1</v>
      </c>
      <c r="B3148" s="12" t="s">
        <v>11476</v>
      </c>
      <c r="C3148" s="12" t="s">
        <v>11477</v>
      </c>
      <c r="D3148" s="12" t="s">
        <v>76</v>
      </c>
      <c r="E3148" s="12" t="s">
        <v>11478</v>
      </c>
      <c r="F3148" s="12" t="s">
        <v>170</v>
      </c>
      <c r="G3148" s="14"/>
      <c r="H3148" s="12" t="s">
        <v>61</v>
      </c>
      <c r="I3148" s="12" t="s">
        <v>289</v>
      </c>
      <c r="J3148" s="12" t="s">
        <v>290</v>
      </c>
      <c r="K3148" s="12" t="s">
        <v>100</v>
      </c>
      <c r="L3148" s="14"/>
      <c r="M3148" s="12" t="s">
        <v>43</v>
      </c>
      <c r="N3148" s="12" t="s">
        <v>44</v>
      </c>
      <c r="O3148" s="12" t="s">
        <v>11479</v>
      </c>
      <c r="P3148" s="12" t="s">
        <v>66</v>
      </c>
      <c r="Q3148" s="12" t="s">
        <v>233</v>
      </c>
      <c r="R3148" s="12" t="s">
        <v>292</v>
      </c>
      <c r="S3148" s="13">
        <v>197643360674</v>
      </c>
      <c r="T3148" s="12" t="s">
        <v>235</v>
      </c>
      <c r="U3148" s="12" t="s">
        <v>170</v>
      </c>
      <c r="V3148" s="12" t="s">
        <v>1811</v>
      </c>
      <c r="W3148" s="12" t="s">
        <v>51</v>
      </c>
      <c r="X3148" s="13">
        <v>0</v>
      </c>
      <c r="Y3148" s="12" t="s">
        <v>53</v>
      </c>
      <c r="Z3148" s="12" t="s">
        <v>108</v>
      </c>
      <c r="AA3148" s="13">
        <v>0</v>
      </c>
      <c r="AB3148" s="13">
        <v>0</v>
      </c>
      <c r="AC3148" s="15">
        <v>36.4</v>
      </c>
      <c r="AD3148" s="15">
        <f>AC3148*AG3148</f>
        <v>36.4</v>
      </c>
      <c r="AE3148" s="15">
        <v>80</v>
      </c>
      <c r="AF3148" s="15">
        <f>AE3148*AG3148</f>
        <v>80</v>
      </c>
      <c r="AG3148" s="16">
        <v>1</v>
      </c>
    </row>
    <row r="3149" spans="1:33" ht="15" customHeight="1" x14ac:dyDescent="0.2">
      <c r="A3149" s="11" t="str">
        <f>HYPERLINK("https://assets.vans.eu/images/VN000M77C9F-HERO/1","VN000M77C9F1")</f>
        <v>VN000M77C9F1</v>
      </c>
      <c r="B3149" s="12" t="s">
        <v>11480</v>
      </c>
      <c r="C3149" s="12" t="s">
        <v>1796</v>
      </c>
      <c r="D3149" s="12" t="s">
        <v>2056</v>
      </c>
      <c r="E3149" s="12" t="s">
        <v>11481</v>
      </c>
      <c r="F3149" s="12" t="s">
        <v>170</v>
      </c>
      <c r="G3149" s="14"/>
      <c r="H3149" s="12" t="s">
        <v>61</v>
      </c>
      <c r="I3149" s="12" t="s">
        <v>289</v>
      </c>
      <c r="J3149" s="12" t="s">
        <v>706</v>
      </c>
      <c r="K3149" s="12" t="s">
        <v>100</v>
      </c>
      <c r="L3149" s="14"/>
      <c r="M3149" s="12" t="s">
        <v>43</v>
      </c>
      <c r="N3149" s="12" t="s">
        <v>44</v>
      </c>
      <c r="O3149" s="12" t="s">
        <v>11482</v>
      </c>
      <c r="P3149" s="12" t="s">
        <v>66</v>
      </c>
      <c r="Q3149" s="12" t="s">
        <v>67</v>
      </c>
      <c r="R3149" s="12" t="s">
        <v>1200</v>
      </c>
      <c r="S3149" s="13">
        <v>197643360971</v>
      </c>
      <c r="T3149" s="12" t="s">
        <v>49</v>
      </c>
      <c r="U3149" s="12" t="s">
        <v>170</v>
      </c>
      <c r="V3149" s="12" t="s">
        <v>70</v>
      </c>
      <c r="W3149" s="12" t="s">
        <v>175</v>
      </c>
      <c r="X3149" s="13">
        <v>0</v>
      </c>
      <c r="Y3149" s="12" t="s">
        <v>91</v>
      </c>
      <c r="Z3149" s="12" t="s">
        <v>108</v>
      </c>
      <c r="AA3149" s="13">
        <v>0</v>
      </c>
      <c r="AB3149" s="13">
        <v>0</v>
      </c>
      <c r="AC3149" s="15">
        <v>14.55</v>
      </c>
      <c r="AD3149" s="15">
        <f>AC3149*AG3149</f>
        <v>14.55</v>
      </c>
      <c r="AE3149" s="15">
        <v>32</v>
      </c>
      <c r="AF3149" s="15">
        <f>AE3149*AG3149</f>
        <v>32</v>
      </c>
      <c r="AG3149" s="16">
        <v>1</v>
      </c>
    </row>
    <row r="3150" spans="1:33" ht="15" customHeight="1" x14ac:dyDescent="0.2">
      <c r="A3150" s="11" t="str">
        <f t="shared" si="874"/>
        <v>VN000M8EBL21</v>
      </c>
      <c r="B3150" s="12" t="s">
        <v>11483</v>
      </c>
      <c r="C3150" s="12" t="s">
        <v>685</v>
      </c>
      <c r="D3150" s="12" t="s">
        <v>686</v>
      </c>
      <c r="E3150" s="12" t="s">
        <v>11484</v>
      </c>
      <c r="F3150" s="13">
        <v>28</v>
      </c>
      <c r="G3150" s="14"/>
      <c r="H3150" s="12" t="s">
        <v>61</v>
      </c>
      <c r="I3150" s="12" t="s">
        <v>230</v>
      </c>
      <c r="J3150" s="12" t="s">
        <v>557</v>
      </c>
      <c r="K3150" s="12" t="s">
        <v>199</v>
      </c>
      <c r="L3150" s="14"/>
      <c r="M3150" s="12" t="s">
        <v>43</v>
      </c>
      <c r="N3150" s="12" t="s">
        <v>44</v>
      </c>
      <c r="O3150" s="12" t="s">
        <v>11485</v>
      </c>
      <c r="P3150" s="12" t="s">
        <v>66</v>
      </c>
      <c r="Q3150" s="12" t="s">
        <v>559</v>
      </c>
      <c r="R3150" s="12" t="s">
        <v>560</v>
      </c>
      <c r="S3150" s="13">
        <v>197643538264</v>
      </c>
      <c r="T3150" s="12" t="s">
        <v>49</v>
      </c>
      <c r="U3150" s="13">
        <v>28</v>
      </c>
      <c r="V3150" s="12" t="s">
        <v>689</v>
      </c>
      <c r="W3150" s="12" t="s">
        <v>186</v>
      </c>
      <c r="X3150" s="13">
        <v>0</v>
      </c>
      <c r="Y3150" s="12" t="s">
        <v>53</v>
      </c>
      <c r="Z3150" s="12" t="s">
        <v>108</v>
      </c>
      <c r="AA3150" s="13">
        <v>0</v>
      </c>
      <c r="AB3150" s="13">
        <v>0</v>
      </c>
      <c r="AC3150" s="15">
        <v>29.55</v>
      </c>
      <c r="AD3150" s="15">
        <f>AC3150*AG3150</f>
        <v>29.55</v>
      </c>
      <c r="AE3150" s="15">
        <v>65</v>
      </c>
      <c r="AF3150" s="15">
        <f>AE3150*AG3150</f>
        <v>65</v>
      </c>
      <c r="AG3150" s="16">
        <v>1</v>
      </c>
    </row>
    <row r="3151" spans="1:33" ht="15" customHeight="1" x14ac:dyDescent="0.2">
      <c r="A3151" s="11" t="str">
        <f>HYPERLINK("https://assets.vans.eu/images/VN000M8EKCZ-HERO/1","VN000M8EKCZ1")</f>
        <v>VN000M8EKCZ1</v>
      </c>
      <c r="B3151" s="12" t="s">
        <v>11486</v>
      </c>
      <c r="C3151" s="12" t="s">
        <v>685</v>
      </c>
      <c r="D3151" s="12" t="s">
        <v>1109</v>
      </c>
      <c r="E3151" s="12" t="s">
        <v>11487</v>
      </c>
      <c r="F3151" s="13">
        <v>28</v>
      </c>
      <c r="G3151" s="14"/>
      <c r="H3151" s="12" t="s">
        <v>61</v>
      </c>
      <c r="I3151" s="12" t="s">
        <v>230</v>
      </c>
      <c r="J3151" s="12" t="s">
        <v>557</v>
      </c>
      <c r="K3151" s="12" t="s">
        <v>199</v>
      </c>
      <c r="L3151" s="14"/>
      <c r="M3151" s="12" t="s">
        <v>43</v>
      </c>
      <c r="N3151" s="12" t="s">
        <v>44</v>
      </c>
      <c r="O3151" s="12" t="s">
        <v>11488</v>
      </c>
      <c r="P3151" s="12" t="s">
        <v>66</v>
      </c>
      <c r="Q3151" s="12" t="s">
        <v>559</v>
      </c>
      <c r="R3151" s="12" t="s">
        <v>560</v>
      </c>
      <c r="S3151" s="13">
        <v>197643538196</v>
      </c>
      <c r="T3151" s="12" t="s">
        <v>49</v>
      </c>
      <c r="U3151" s="13">
        <v>28</v>
      </c>
      <c r="V3151" s="12" t="s">
        <v>689</v>
      </c>
      <c r="W3151" s="12" t="s">
        <v>118</v>
      </c>
      <c r="X3151" s="13">
        <v>0</v>
      </c>
      <c r="Y3151" s="12" t="s">
        <v>53</v>
      </c>
      <c r="Z3151" s="12" t="s">
        <v>108</v>
      </c>
      <c r="AA3151" s="13">
        <v>0</v>
      </c>
      <c r="AB3151" s="13">
        <v>0</v>
      </c>
      <c r="AC3151" s="15">
        <v>29.55</v>
      </c>
      <c r="AD3151" s="15">
        <f>AC3151*AG3151</f>
        <v>29.55</v>
      </c>
      <c r="AE3151" s="15">
        <v>65</v>
      </c>
      <c r="AF3151" s="15">
        <f>AE3151*AG3151</f>
        <v>65</v>
      </c>
      <c r="AG3151" s="16">
        <v>1</v>
      </c>
    </row>
    <row r="3152" spans="1:33" ht="15" customHeight="1" x14ac:dyDescent="0.2">
      <c r="A3152" s="11" t="str">
        <f t="shared" ref="A3152:A3154" si="1166">HYPERLINK("https://assets.vans.eu/images/VN000M8FKCZ-HERO/1","VN000M8FKCZ1")</f>
        <v>VN000M8FKCZ1</v>
      </c>
      <c r="B3152" s="12" t="s">
        <v>11489</v>
      </c>
      <c r="C3152" s="12" t="s">
        <v>11490</v>
      </c>
      <c r="D3152" s="12" t="s">
        <v>1109</v>
      </c>
      <c r="E3152" s="12" t="s">
        <v>11491</v>
      </c>
      <c r="F3152" s="13">
        <v>28</v>
      </c>
      <c r="G3152" s="14"/>
      <c r="H3152" s="12" t="s">
        <v>61</v>
      </c>
      <c r="I3152" s="12" t="s">
        <v>230</v>
      </c>
      <c r="J3152" s="12" t="s">
        <v>557</v>
      </c>
      <c r="K3152" s="12" t="s">
        <v>199</v>
      </c>
      <c r="L3152" s="14"/>
      <c r="M3152" s="12" t="s">
        <v>43</v>
      </c>
      <c r="N3152" s="12" t="s">
        <v>44</v>
      </c>
      <c r="O3152" s="12" t="s">
        <v>11492</v>
      </c>
      <c r="P3152" s="12" t="s">
        <v>66</v>
      </c>
      <c r="Q3152" s="12" t="s">
        <v>559</v>
      </c>
      <c r="R3152" s="12" t="s">
        <v>560</v>
      </c>
      <c r="S3152" s="13">
        <v>197643538400</v>
      </c>
      <c r="T3152" s="12" t="s">
        <v>49</v>
      </c>
      <c r="U3152" s="13">
        <v>28</v>
      </c>
      <c r="V3152" s="12" t="s">
        <v>5306</v>
      </c>
      <c r="W3152" s="12" t="s">
        <v>118</v>
      </c>
      <c r="X3152" s="13">
        <v>0</v>
      </c>
      <c r="Y3152" s="12" t="s">
        <v>53</v>
      </c>
      <c r="Z3152" s="12" t="s">
        <v>108</v>
      </c>
      <c r="AA3152" s="13">
        <v>0</v>
      </c>
      <c r="AB3152" s="13">
        <v>0</v>
      </c>
      <c r="AC3152" s="15">
        <v>31.85</v>
      </c>
      <c r="AD3152" s="15">
        <f>AC3152*AG3152</f>
        <v>31.85</v>
      </c>
      <c r="AE3152" s="15">
        <v>70</v>
      </c>
      <c r="AF3152" s="15">
        <f>AE3152*AG3152</f>
        <v>70</v>
      </c>
      <c r="AG3152" s="16">
        <v>1</v>
      </c>
    </row>
    <row r="3153" spans="1:33" ht="15" customHeight="1" x14ac:dyDescent="0.2">
      <c r="A3153" s="11" t="str">
        <f t="shared" si="1166"/>
        <v>VN000M8FKCZ1</v>
      </c>
      <c r="B3153" s="12" t="s">
        <v>11493</v>
      </c>
      <c r="C3153" s="12" t="s">
        <v>11490</v>
      </c>
      <c r="D3153" s="12" t="s">
        <v>1109</v>
      </c>
      <c r="E3153" s="12" t="s">
        <v>11494</v>
      </c>
      <c r="F3153" s="13">
        <v>29</v>
      </c>
      <c r="G3153" s="14"/>
      <c r="H3153" s="12" t="s">
        <v>61</v>
      </c>
      <c r="I3153" s="12" t="s">
        <v>230</v>
      </c>
      <c r="J3153" s="12" t="s">
        <v>557</v>
      </c>
      <c r="K3153" s="12" t="s">
        <v>199</v>
      </c>
      <c r="L3153" s="14"/>
      <c r="M3153" s="12" t="s">
        <v>43</v>
      </c>
      <c r="N3153" s="12" t="s">
        <v>44</v>
      </c>
      <c r="O3153" s="12" t="s">
        <v>11495</v>
      </c>
      <c r="P3153" s="12" t="s">
        <v>66</v>
      </c>
      <c r="Q3153" s="12" t="s">
        <v>559</v>
      </c>
      <c r="R3153" s="12" t="s">
        <v>560</v>
      </c>
      <c r="S3153" s="13">
        <v>197643538448</v>
      </c>
      <c r="T3153" s="12" t="s">
        <v>49</v>
      </c>
      <c r="U3153" s="13">
        <v>29</v>
      </c>
      <c r="V3153" s="12" t="s">
        <v>5306</v>
      </c>
      <c r="W3153" s="12" t="s">
        <v>118</v>
      </c>
      <c r="X3153" s="13">
        <v>0</v>
      </c>
      <c r="Y3153" s="12" t="s">
        <v>53</v>
      </c>
      <c r="Z3153" s="12" t="s">
        <v>108</v>
      </c>
      <c r="AA3153" s="13">
        <v>0</v>
      </c>
      <c r="AB3153" s="13">
        <v>0</v>
      </c>
      <c r="AC3153" s="15">
        <v>31.85</v>
      </c>
      <c r="AD3153" s="15">
        <f>AC3153*AG3153</f>
        <v>31.85</v>
      </c>
      <c r="AE3153" s="15">
        <v>70</v>
      </c>
      <c r="AF3153" s="15">
        <f>AE3153*AG3153</f>
        <v>70</v>
      </c>
      <c r="AG3153" s="16">
        <v>1</v>
      </c>
    </row>
    <row r="3154" spans="1:33" ht="15" customHeight="1" x14ac:dyDescent="0.2">
      <c r="A3154" s="11" t="str">
        <f t="shared" si="1166"/>
        <v>VN000M8FKCZ1</v>
      </c>
      <c r="B3154" s="12" t="s">
        <v>11496</v>
      </c>
      <c r="C3154" s="12" t="s">
        <v>11490</v>
      </c>
      <c r="D3154" s="12" t="s">
        <v>1109</v>
      </c>
      <c r="E3154" s="12" t="s">
        <v>11497</v>
      </c>
      <c r="F3154" s="13">
        <v>32</v>
      </c>
      <c r="G3154" s="14"/>
      <c r="H3154" s="12" t="s">
        <v>61</v>
      </c>
      <c r="I3154" s="12" t="s">
        <v>230</v>
      </c>
      <c r="J3154" s="12" t="s">
        <v>557</v>
      </c>
      <c r="K3154" s="12" t="s">
        <v>199</v>
      </c>
      <c r="L3154" s="14"/>
      <c r="M3154" s="12" t="s">
        <v>43</v>
      </c>
      <c r="N3154" s="12" t="s">
        <v>44</v>
      </c>
      <c r="O3154" s="12" t="s">
        <v>11498</v>
      </c>
      <c r="P3154" s="12" t="s">
        <v>66</v>
      </c>
      <c r="Q3154" s="12" t="s">
        <v>559</v>
      </c>
      <c r="R3154" s="12" t="s">
        <v>560</v>
      </c>
      <c r="S3154" s="13">
        <v>197643538844</v>
      </c>
      <c r="T3154" s="12" t="s">
        <v>49</v>
      </c>
      <c r="U3154" s="13">
        <v>32</v>
      </c>
      <c r="V3154" s="12" t="s">
        <v>5306</v>
      </c>
      <c r="W3154" s="12" t="s">
        <v>118</v>
      </c>
      <c r="X3154" s="13">
        <v>0</v>
      </c>
      <c r="Y3154" s="12" t="s">
        <v>53</v>
      </c>
      <c r="Z3154" s="12" t="s">
        <v>108</v>
      </c>
      <c r="AA3154" s="13">
        <v>0</v>
      </c>
      <c r="AB3154" s="13">
        <v>0</v>
      </c>
      <c r="AC3154" s="15">
        <v>31.85</v>
      </c>
      <c r="AD3154" s="15">
        <f>AC3154*AG3154</f>
        <v>31.85</v>
      </c>
      <c r="AE3154" s="15">
        <v>70</v>
      </c>
      <c r="AF3154" s="15">
        <f>AE3154*AG3154</f>
        <v>70</v>
      </c>
      <c r="AG3154" s="16">
        <v>1</v>
      </c>
    </row>
    <row r="3155" spans="1:33" ht="15" customHeight="1" x14ac:dyDescent="0.2">
      <c r="A3155" s="11" t="str">
        <f>HYPERLINK("https://assets.vans.eu/images/VN000M8G1O7-HERO/1","VN000M8G1O71")</f>
        <v>VN000M8G1O71</v>
      </c>
      <c r="B3155" s="12" t="s">
        <v>11499</v>
      </c>
      <c r="C3155" s="12" t="s">
        <v>5303</v>
      </c>
      <c r="D3155" s="12" t="s">
        <v>637</v>
      </c>
      <c r="E3155" s="12" t="s">
        <v>11500</v>
      </c>
      <c r="F3155" s="13">
        <v>28</v>
      </c>
      <c r="G3155" s="14"/>
      <c r="H3155" s="12" t="s">
        <v>61</v>
      </c>
      <c r="I3155" s="12" t="s">
        <v>230</v>
      </c>
      <c r="J3155" s="12" t="s">
        <v>557</v>
      </c>
      <c r="K3155" s="12" t="s">
        <v>199</v>
      </c>
      <c r="L3155" s="14"/>
      <c r="M3155" s="12" t="s">
        <v>43</v>
      </c>
      <c r="N3155" s="12" t="s">
        <v>44</v>
      </c>
      <c r="O3155" s="12" t="s">
        <v>11501</v>
      </c>
      <c r="P3155" s="12" t="s">
        <v>66</v>
      </c>
      <c r="Q3155" s="12" t="s">
        <v>559</v>
      </c>
      <c r="R3155" s="12" t="s">
        <v>560</v>
      </c>
      <c r="S3155" s="13">
        <v>197643565598</v>
      </c>
      <c r="T3155" s="12" t="s">
        <v>49</v>
      </c>
      <c r="U3155" s="13">
        <v>28</v>
      </c>
      <c r="V3155" s="12" t="s">
        <v>5306</v>
      </c>
      <c r="W3155" s="12" t="s">
        <v>455</v>
      </c>
      <c r="X3155" s="13">
        <v>0</v>
      </c>
      <c r="Y3155" s="12" t="s">
        <v>91</v>
      </c>
      <c r="Z3155" s="12" t="s">
        <v>108</v>
      </c>
      <c r="AA3155" s="13">
        <v>0</v>
      </c>
      <c r="AB3155" s="13">
        <v>0</v>
      </c>
      <c r="AC3155" s="15">
        <v>29.55</v>
      </c>
      <c r="AD3155" s="15">
        <f>AC3155*AG3155</f>
        <v>29.55</v>
      </c>
      <c r="AE3155" s="15">
        <v>65</v>
      </c>
      <c r="AF3155" s="15">
        <f>AE3155*AG3155</f>
        <v>65</v>
      </c>
      <c r="AG3155" s="16">
        <v>1</v>
      </c>
    </row>
    <row r="3156" spans="1:33" ht="15" customHeight="1" x14ac:dyDescent="0.2">
      <c r="A3156" s="11" t="str">
        <f>HYPERLINK("https://assets.vans.eu/images/VN000M8JY28-HERO/1","VN000M8JY281")</f>
        <v>VN000M8JY281</v>
      </c>
      <c r="B3156" s="12" t="s">
        <v>11502</v>
      </c>
      <c r="C3156" s="12" t="s">
        <v>4602</v>
      </c>
      <c r="D3156" s="12" t="s">
        <v>58</v>
      </c>
      <c r="E3156" s="12" t="s">
        <v>11503</v>
      </c>
      <c r="F3156" s="13">
        <v>29</v>
      </c>
      <c r="G3156" s="14"/>
      <c r="H3156" s="12" t="s">
        <v>61</v>
      </c>
      <c r="I3156" s="12" t="s">
        <v>230</v>
      </c>
      <c r="J3156" s="12" t="s">
        <v>557</v>
      </c>
      <c r="K3156" s="12" t="s">
        <v>199</v>
      </c>
      <c r="L3156" s="14"/>
      <c r="M3156" s="12" t="s">
        <v>43</v>
      </c>
      <c r="N3156" s="12" t="s">
        <v>44</v>
      </c>
      <c r="O3156" s="12" t="s">
        <v>11504</v>
      </c>
      <c r="P3156" s="12" t="s">
        <v>66</v>
      </c>
      <c r="Q3156" s="12" t="s">
        <v>559</v>
      </c>
      <c r="R3156" s="12" t="s">
        <v>560</v>
      </c>
      <c r="S3156" s="13">
        <v>197643538394</v>
      </c>
      <c r="T3156" s="12" t="s">
        <v>49</v>
      </c>
      <c r="U3156" s="13">
        <v>29</v>
      </c>
      <c r="V3156" s="12" t="s">
        <v>4605</v>
      </c>
      <c r="W3156" s="12" t="s">
        <v>51</v>
      </c>
      <c r="X3156" s="13">
        <v>0</v>
      </c>
      <c r="Y3156" s="12" t="s">
        <v>53</v>
      </c>
      <c r="Z3156" s="12" t="s">
        <v>108</v>
      </c>
      <c r="AA3156" s="13">
        <v>0</v>
      </c>
      <c r="AB3156" s="13">
        <v>0</v>
      </c>
      <c r="AC3156" s="15">
        <v>34.1</v>
      </c>
      <c r="AD3156" s="15">
        <f>AC3156*AG3156</f>
        <v>34.1</v>
      </c>
      <c r="AE3156" s="15">
        <v>75</v>
      </c>
      <c r="AF3156" s="15">
        <f>AE3156*AG3156</f>
        <v>75</v>
      </c>
      <c r="AG3156" s="16">
        <v>1</v>
      </c>
    </row>
    <row r="3157" spans="1:33" ht="15" customHeight="1" x14ac:dyDescent="0.2">
      <c r="A3157" s="11" t="str">
        <f t="shared" si="686"/>
        <v>VN000M8NUUI1</v>
      </c>
      <c r="B3157" s="12" t="s">
        <v>11505</v>
      </c>
      <c r="C3157" s="12" t="s">
        <v>6445</v>
      </c>
      <c r="D3157" s="12" t="s">
        <v>723</v>
      </c>
      <c r="E3157" s="12" t="s">
        <v>11506</v>
      </c>
      <c r="F3157" s="12" t="s">
        <v>60</v>
      </c>
      <c r="G3157" s="14"/>
      <c r="H3157" s="12" t="s">
        <v>61</v>
      </c>
      <c r="I3157" s="12" t="s">
        <v>62</v>
      </c>
      <c r="J3157" s="12" t="s">
        <v>63</v>
      </c>
      <c r="K3157" s="12" t="s">
        <v>1022</v>
      </c>
      <c r="L3157" s="14"/>
      <c r="M3157" s="12" t="s">
        <v>43</v>
      </c>
      <c r="N3157" s="12" t="s">
        <v>44</v>
      </c>
      <c r="O3157" s="12" t="s">
        <v>11507</v>
      </c>
      <c r="P3157" s="12" t="s">
        <v>66</v>
      </c>
      <c r="Q3157" s="12" t="s">
        <v>67</v>
      </c>
      <c r="R3157" s="12" t="s">
        <v>730</v>
      </c>
      <c r="S3157" s="13">
        <v>197643361961</v>
      </c>
      <c r="T3157" s="12" t="s">
        <v>69</v>
      </c>
      <c r="U3157" s="12" t="s">
        <v>60</v>
      </c>
      <c r="V3157" s="12" t="s">
        <v>4617</v>
      </c>
      <c r="W3157" s="12" t="s">
        <v>107</v>
      </c>
      <c r="X3157" s="12" t="s">
        <v>500</v>
      </c>
      <c r="Y3157" s="12" t="s">
        <v>91</v>
      </c>
      <c r="Z3157" s="12" t="s">
        <v>108</v>
      </c>
      <c r="AA3157" s="13">
        <v>0</v>
      </c>
      <c r="AB3157" s="13">
        <v>0</v>
      </c>
      <c r="AC3157" s="15">
        <v>29.55</v>
      </c>
      <c r="AD3157" s="15">
        <f>AC3157*AG3157</f>
        <v>29.55</v>
      </c>
      <c r="AE3157" s="15">
        <v>65</v>
      </c>
      <c r="AF3157" s="15">
        <f>AE3157*AG3157</f>
        <v>65</v>
      </c>
      <c r="AG3157" s="16">
        <v>1</v>
      </c>
    </row>
    <row r="3158" spans="1:33" ht="15" customHeight="1" x14ac:dyDescent="0.2">
      <c r="A3158" s="11" t="str">
        <f>HYPERLINK("https://assets.vans.eu/images/VN000M8Q6PH-HERO/1","VN000M8Q6PH1")</f>
        <v>VN000M8Q6PH1</v>
      </c>
      <c r="B3158" s="12" t="s">
        <v>11508</v>
      </c>
      <c r="C3158" s="12" t="s">
        <v>11509</v>
      </c>
      <c r="D3158" s="12" t="s">
        <v>1878</v>
      </c>
      <c r="E3158" s="12" t="s">
        <v>11510</v>
      </c>
      <c r="F3158" s="12" t="s">
        <v>170</v>
      </c>
      <c r="G3158" s="14"/>
      <c r="H3158" s="12" t="s">
        <v>61</v>
      </c>
      <c r="I3158" s="12" t="s">
        <v>62</v>
      </c>
      <c r="J3158" s="12" t="s">
        <v>63</v>
      </c>
      <c r="K3158" s="12" t="s">
        <v>1022</v>
      </c>
      <c r="L3158" s="14"/>
      <c r="M3158" s="12" t="s">
        <v>43</v>
      </c>
      <c r="N3158" s="12" t="s">
        <v>44</v>
      </c>
      <c r="O3158" s="12" t="s">
        <v>11511</v>
      </c>
      <c r="P3158" s="12" t="s">
        <v>66</v>
      </c>
      <c r="Q3158" s="12" t="s">
        <v>67</v>
      </c>
      <c r="R3158" s="12" t="s">
        <v>730</v>
      </c>
      <c r="S3158" s="13">
        <v>197643361909</v>
      </c>
      <c r="T3158" s="12" t="s">
        <v>49</v>
      </c>
      <c r="U3158" s="12" t="s">
        <v>170</v>
      </c>
      <c r="V3158" s="12" t="s">
        <v>1343</v>
      </c>
      <c r="W3158" s="12" t="s">
        <v>107</v>
      </c>
      <c r="X3158" s="13">
        <v>0</v>
      </c>
      <c r="Y3158" s="12" t="s">
        <v>91</v>
      </c>
      <c r="Z3158" s="12" t="s">
        <v>108</v>
      </c>
      <c r="AA3158" s="13">
        <v>0</v>
      </c>
      <c r="AB3158" s="13">
        <v>0</v>
      </c>
      <c r="AC3158" s="15">
        <v>30.95</v>
      </c>
      <c r="AD3158" s="15">
        <f>AC3158*AG3158</f>
        <v>30.95</v>
      </c>
      <c r="AE3158" s="15">
        <v>68</v>
      </c>
      <c r="AF3158" s="15">
        <f>AE3158*AG3158</f>
        <v>68</v>
      </c>
      <c r="AG3158" s="16">
        <v>1</v>
      </c>
    </row>
    <row r="3159" spans="1:33" ht="15" customHeight="1" x14ac:dyDescent="0.2">
      <c r="A3159" s="11" t="str">
        <f t="shared" ref="A3159:A3161" si="1167">HYPERLINK("https://assets.vans.eu/images/VN000M8R1NU-HERO/1","VN000M8R1NU1")</f>
        <v>VN000M8R1NU1</v>
      </c>
      <c r="B3159" s="12" t="s">
        <v>11512</v>
      </c>
      <c r="C3159" s="12" t="s">
        <v>11513</v>
      </c>
      <c r="D3159" s="12" t="s">
        <v>783</v>
      </c>
      <c r="E3159" s="12" t="s">
        <v>11514</v>
      </c>
      <c r="F3159" s="12" t="s">
        <v>179</v>
      </c>
      <c r="G3159" s="14"/>
      <c r="H3159" s="12" t="s">
        <v>61</v>
      </c>
      <c r="I3159" s="12" t="s">
        <v>230</v>
      </c>
      <c r="J3159" s="12" t="s">
        <v>419</v>
      </c>
      <c r="K3159" s="12" t="s">
        <v>199</v>
      </c>
      <c r="L3159" s="14"/>
      <c r="M3159" s="12" t="s">
        <v>43</v>
      </c>
      <c r="N3159" s="12" t="s">
        <v>44</v>
      </c>
      <c r="O3159" s="12" t="s">
        <v>11515</v>
      </c>
      <c r="P3159" s="12" t="s">
        <v>66</v>
      </c>
      <c r="Q3159" s="12" t="s">
        <v>67</v>
      </c>
      <c r="R3159" s="12" t="s">
        <v>1490</v>
      </c>
      <c r="S3159" s="13">
        <v>197643419761</v>
      </c>
      <c r="T3159" s="12" t="s">
        <v>105</v>
      </c>
      <c r="U3159" s="12" t="s">
        <v>179</v>
      </c>
      <c r="V3159" s="12" t="s">
        <v>665</v>
      </c>
      <c r="W3159" s="12" t="s">
        <v>186</v>
      </c>
      <c r="X3159" s="13">
        <v>0</v>
      </c>
      <c r="Y3159" s="12" t="s">
        <v>91</v>
      </c>
      <c r="Z3159" s="12" t="s">
        <v>108</v>
      </c>
      <c r="AA3159" s="13">
        <v>0</v>
      </c>
      <c r="AB3159" s="13">
        <v>0</v>
      </c>
      <c r="AC3159" s="15">
        <v>45.5</v>
      </c>
      <c r="AD3159" s="15">
        <f>AC3159*AG3159</f>
        <v>45.5</v>
      </c>
      <c r="AE3159" s="15">
        <v>100</v>
      </c>
      <c r="AF3159" s="15">
        <f>AE3159*AG3159</f>
        <v>100</v>
      </c>
      <c r="AG3159" s="16">
        <v>1</v>
      </c>
    </row>
    <row r="3160" spans="1:33" ht="15" customHeight="1" x14ac:dyDescent="0.2">
      <c r="A3160" s="11" t="str">
        <f t="shared" si="1167"/>
        <v>VN000M8R1NU1</v>
      </c>
      <c r="B3160" s="12" t="s">
        <v>11516</v>
      </c>
      <c r="C3160" s="12" t="s">
        <v>11513</v>
      </c>
      <c r="D3160" s="12" t="s">
        <v>783</v>
      </c>
      <c r="E3160" s="12" t="s">
        <v>11517</v>
      </c>
      <c r="F3160" s="12" t="s">
        <v>60</v>
      </c>
      <c r="G3160" s="14"/>
      <c r="H3160" s="12" t="s">
        <v>61</v>
      </c>
      <c r="I3160" s="12" t="s">
        <v>230</v>
      </c>
      <c r="J3160" s="12" t="s">
        <v>419</v>
      </c>
      <c r="K3160" s="12" t="s">
        <v>199</v>
      </c>
      <c r="L3160" s="14"/>
      <c r="M3160" s="12" t="s">
        <v>43</v>
      </c>
      <c r="N3160" s="12" t="s">
        <v>44</v>
      </c>
      <c r="O3160" s="12" t="s">
        <v>11518</v>
      </c>
      <c r="P3160" s="12" t="s">
        <v>66</v>
      </c>
      <c r="Q3160" s="12" t="s">
        <v>67</v>
      </c>
      <c r="R3160" s="12" t="s">
        <v>1490</v>
      </c>
      <c r="S3160" s="13">
        <v>197643419853</v>
      </c>
      <c r="T3160" s="12" t="s">
        <v>105</v>
      </c>
      <c r="U3160" s="12" t="s">
        <v>60</v>
      </c>
      <c r="V3160" s="12" t="s">
        <v>665</v>
      </c>
      <c r="W3160" s="12" t="s">
        <v>186</v>
      </c>
      <c r="X3160" s="13">
        <v>0</v>
      </c>
      <c r="Y3160" s="12" t="s">
        <v>91</v>
      </c>
      <c r="Z3160" s="12" t="s">
        <v>108</v>
      </c>
      <c r="AA3160" s="13">
        <v>0</v>
      </c>
      <c r="AB3160" s="13">
        <v>0</v>
      </c>
      <c r="AC3160" s="15">
        <v>45.5</v>
      </c>
      <c r="AD3160" s="15">
        <f>AC3160*AG3160</f>
        <v>45.5</v>
      </c>
      <c r="AE3160" s="15">
        <v>100</v>
      </c>
      <c r="AF3160" s="15">
        <f>AE3160*AG3160</f>
        <v>100</v>
      </c>
      <c r="AG3160" s="16">
        <v>1</v>
      </c>
    </row>
    <row r="3161" spans="1:33" ht="15" customHeight="1" x14ac:dyDescent="0.2">
      <c r="A3161" s="11" t="str">
        <f t="shared" si="1167"/>
        <v>VN000M8R1NU1</v>
      </c>
      <c r="B3161" s="12" t="s">
        <v>11519</v>
      </c>
      <c r="C3161" s="12" t="s">
        <v>11513</v>
      </c>
      <c r="D3161" s="12" t="s">
        <v>783</v>
      </c>
      <c r="E3161" s="12" t="s">
        <v>11520</v>
      </c>
      <c r="F3161" s="12" t="s">
        <v>621</v>
      </c>
      <c r="G3161" s="14"/>
      <c r="H3161" s="12" t="s">
        <v>61</v>
      </c>
      <c r="I3161" s="12" t="s">
        <v>230</v>
      </c>
      <c r="J3161" s="12" t="s">
        <v>419</v>
      </c>
      <c r="K3161" s="12" t="s">
        <v>199</v>
      </c>
      <c r="L3161" s="14"/>
      <c r="M3161" s="12" t="s">
        <v>43</v>
      </c>
      <c r="N3161" s="12" t="s">
        <v>44</v>
      </c>
      <c r="O3161" s="12" t="s">
        <v>11521</v>
      </c>
      <c r="P3161" s="12" t="s">
        <v>66</v>
      </c>
      <c r="Q3161" s="12" t="s">
        <v>67</v>
      </c>
      <c r="R3161" s="12" t="s">
        <v>1490</v>
      </c>
      <c r="S3161" s="13">
        <v>197643420057</v>
      </c>
      <c r="T3161" s="12" t="s">
        <v>105</v>
      </c>
      <c r="U3161" s="12" t="s">
        <v>621</v>
      </c>
      <c r="V3161" s="12" t="s">
        <v>665</v>
      </c>
      <c r="W3161" s="12" t="s">
        <v>186</v>
      </c>
      <c r="X3161" s="13">
        <v>0</v>
      </c>
      <c r="Y3161" s="12" t="s">
        <v>91</v>
      </c>
      <c r="Z3161" s="12" t="s">
        <v>108</v>
      </c>
      <c r="AA3161" s="13">
        <v>0</v>
      </c>
      <c r="AB3161" s="13">
        <v>0</v>
      </c>
      <c r="AC3161" s="15">
        <v>45.5</v>
      </c>
      <c r="AD3161" s="15">
        <f>AC3161*AG3161</f>
        <v>45.5</v>
      </c>
      <c r="AE3161" s="15">
        <v>100</v>
      </c>
      <c r="AF3161" s="15">
        <f>AE3161*AG3161</f>
        <v>100</v>
      </c>
      <c r="AG3161" s="16">
        <v>1</v>
      </c>
    </row>
    <row r="3162" spans="1:33" ht="15" customHeight="1" x14ac:dyDescent="0.2">
      <c r="A3162" s="11" t="str">
        <f t="shared" si="876"/>
        <v>VN000M8UBLK1</v>
      </c>
      <c r="B3162" s="12" t="s">
        <v>11522</v>
      </c>
      <c r="C3162" s="12" t="s">
        <v>5311</v>
      </c>
      <c r="D3162" s="12" t="s">
        <v>76</v>
      </c>
      <c r="E3162" s="12" t="s">
        <v>11523</v>
      </c>
      <c r="F3162" s="12" t="s">
        <v>179</v>
      </c>
      <c r="G3162" s="14"/>
      <c r="H3162" s="12" t="s">
        <v>61</v>
      </c>
      <c r="I3162" s="12" t="s">
        <v>289</v>
      </c>
      <c r="J3162" s="12" t="s">
        <v>706</v>
      </c>
      <c r="K3162" s="12" t="s">
        <v>100</v>
      </c>
      <c r="L3162" s="14"/>
      <c r="M3162" s="12" t="s">
        <v>43</v>
      </c>
      <c r="N3162" s="12" t="s">
        <v>44</v>
      </c>
      <c r="O3162" s="12" t="s">
        <v>11524</v>
      </c>
      <c r="P3162" s="12" t="s">
        <v>66</v>
      </c>
      <c r="Q3162" s="12" t="s">
        <v>67</v>
      </c>
      <c r="R3162" s="12" t="s">
        <v>1200</v>
      </c>
      <c r="S3162" s="13">
        <v>197643361794</v>
      </c>
      <c r="T3162" s="12" t="s">
        <v>49</v>
      </c>
      <c r="U3162" s="12" t="s">
        <v>179</v>
      </c>
      <c r="V3162" s="12" t="s">
        <v>665</v>
      </c>
      <c r="W3162" s="12" t="s">
        <v>51</v>
      </c>
      <c r="X3162" s="13">
        <v>0</v>
      </c>
      <c r="Y3162" s="12" t="s">
        <v>53</v>
      </c>
      <c r="Z3162" s="12" t="s">
        <v>108</v>
      </c>
      <c r="AA3162" s="13">
        <v>0</v>
      </c>
      <c r="AB3162" s="13">
        <v>0</v>
      </c>
      <c r="AC3162" s="15">
        <v>10.95</v>
      </c>
      <c r="AD3162" s="15">
        <f>AC3162*AG3162</f>
        <v>10.95</v>
      </c>
      <c r="AE3162" s="15">
        <v>24</v>
      </c>
      <c r="AF3162" s="15">
        <f>AE3162*AG3162</f>
        <v>24</v>
      </c>
      <c r="AG3162" s="16">
        <v>1</v>
      </c>
    </row>
    <row r="3163" spans="1:33" ht="15" customHeight="1" x14ac:dyDescent="0.2">
      <c r="A3163" s="11" t="str">
        <f t="shared" si="172"/>
        <v>VN000M9A1O71</v>
      </c>
      <c r="B3163" s="12" t="s">
        <v>11525</v>
      </c>
      <c r="C3163" s="12" t="s">
        <v>1956</v>
      </c>
      <c r="D3163" s="12" t="s">
        <v>637</v>
      </c>
      <c r="E3163" s="12" t="s">
        <v>11526</v>
      </c>
      <c r="F3163" s="12" t="s">
        <v>153</v>
      </c>
      <c r="G3163" s="14"/>
      <c r="H3163" s="12" t="s">
        <v>61</v>
      </c>
      <c r="I3163" s="12" t="s">
        <v>289</v>
      </c>
      <c r="J3163" s="12" t="s">
        <v>706</v>
      </c>
      <c r="K3163" s="12" t="s">
        <v>100</v>
      </c>
      <c r="L3163" s="14"/>
      <c r="M3163" s="12" t="s">
        <v>43</v>
      </c>
      <c r="N3163" s="12" t="s">
        <v>44</v>
      </c>
      <c r="O3163" s="12" t="s">
        <v>11527</v>
      </c>
      <c r="P3163" s="12" t="s">
        <v>66</v>
      </c>
      <c r="Q3163" s="12" t="s">
        <v>67</v>
      </c>
      <c r="R3163" s="12" t="s">
        <v>1200</v>
      </c>
      <c r="S3163" s="13">
        <v>197643362838</v>
      </c>
      <c r="T3163" s="12" t="s">
        <v>235</v>
      </c>
      <c r="U3163" s="12" t="s">
        <v>153</v>
      </c>
      <c r="V3163" s="12" t="s">
        <v>1959</v>
      </c>
      <c r="W3163" s="12" t="s">
        <v>455</v>
      </c>
      <c r="X3163" s="13">
        <v>0</v>
      </c>
      <c r="Y3163" s="12" t="s">
        <v>53</v>
      </c>
      <c r="Z3163" s="12" t="s">
        <v>108</v>
      </c>
      <c r="AA3163" s="13">
        <v>0</v>
      </c>
      <c r="AB3163" s="13">
        <v>0</v>
      </c>
      <c r="AC3163" s="15">
        <v>25</v>
      </c>
      <c r="AD3163" s="15">
        <f>AC3163*AG3163</f>
        <v>25</v>
      </c>
      <c r="AE3163" s="15">
        <v>55</v>
      </c>
      <c r="AF3163" s="15">
        <f>AE3163*AG3163</f>
        <v>55</v>
      </c>
      <c r="AG3163" s="16">
        <v>1</v>
      </c>
    </row>
    <row r="3164" spans="1:33" ht="15" customHeight="1" x14ac:dyDescent="0.2">
      <c r="A3164" s="11" t="str">
        <f t="shared" si="687"/>
        <v>VN000M9DZBF1</v>
      </c>
      <c r="B3164" s="12" t="s">
        <v>11528</v>
      </c>
      <c r="C3164" s="12" t="s">
        <v>5315</v>
      </c>
      <c r="D3164" s="12" t="s">
        <v>680</v>
      </c>
      <c r="E3164" s="12" t="s">
        <v>11529</v>
      </c>
      <c r="F3164" s="12" t="s">
        <v>138</v>
      </c>
      <c r="G3164" s="14"/>
      <c r="H3164" s="12" t="s">
        <v>61</v>
      </c>
      <c r="I3164" s="12" t="s">
        <v>289</v>
      </c>
      <c r="J3164" s="12" t="s">
        <v>706</v>
      </c>
      <c r="K3164" s="12" t="s">
        <v>100</v>
      </c>
      <c r="L3164" s="14"/>
      <c r="M3164" s="12" t="s">
        <v>43</v>
      </c>
      <c r="N3164" s="12" t="s">
        <v>44</v>
      </c>
      <c r="O3164" s="12" t="s">
        <v>11530</v>
      </c>
      <c r="P3164" s="12" t="s">
        <v>66</v>
      </c>
      <c r="Q3164" s="12" t="s">
        <v>67</v>
      </c>
      <c r="R3164" s="12" t="s">
        <v>1200</v>
      </c>
      <c r="S3164" s="13">
        <v>197643363323</v>
      </c>
      <c r="T3164" s="12" t="s">
        <v>49</v>
      </c>
      <c r="U3164" s="12" t="s">
        <v>138</v>
      </c>
      <c r="V3164" s="12" t="s">
        <v>90</v>
      </c>
      <c r="W3164" s="12" t="s">
        <v>118</v>
      </c>
      <c r="X3164" s="13">
        <v>0</v>
      </c>
      <c r="Y3164" s="12" t="s">
        <v>53</v>
      </c>
      <c r="Z3164" s="12" t="s">
        <v>108</v>
      </c>
      <c r="AA3164" s="13">
        <v>0</v>
      </c>
      <c r="AB3164" s="13">
        <v>0</v>
      </c>
      <c r="AC3164" s="15">
        <v>31.85</v>
      </c>
      <c r="AD3164" s="15">
        <f>AC3164*AG3164</f>
        <v>31.85</v>
      </c>
      <c r="AE3164" s="15">
        <v>70</v>
      </c>
      <c r="AF3164" s="15">
        <f>AE3164*AG3164</f>
        <v>70</v>
      </c>
      <c r="AG3164" s="16">
        <v>1</v>
      </c>
    </row>
    <row r="3165" spans="1:33" ht="15" customHeight="1" x14ac:dyDescent="0.2">
      <c r="A3165" s="11" t="str">
        <f t="shared" ref="A3165:A3167" si="1168">HYPERLINK("https://assets.vans.eu/images/VN000M9HBLK-HERO/1","VN000M9HBLK1")</f>
        <v>VN000M9HBLK1</v>
      </c>
      <c r="B3165" s="12" t="s">
        <v>11531</v>
      </c>
      <c r="C3165" s="12" t="s">
        <v>11532</v>
      </c>
      <c r="D3165" s="12" t="s">
        <v>76</v>
      </c>
      <c r="E3165" s="12" t="s">
        <v>11533</v>
      </c>
      <c r="F3165" s="12" t="s">
        <v>179</v>
      </c>
      <c r="G3165" s="14"/>
      <c r="H3165" s="12" t="s">
        <v>61</v>
      </c>
      <c r="I3165" s="12" t="s">
        <v>289</v>
      </c>
      <c r="J3165" s="12" t="s">
        <v>706</v>
      </c>
      <c r="K3165" s="12" t="s">
        <v>100</v>
      </c>
      <c r="L3165" s="14"/>
      <c r="M3165" s="12" t="s">
        <v>43</v>
      </c>
      <c r="N3165" s="12" t="s">
        <v>44</v>
      </c>
      <c r="O3165" s="12" t="s">
        <v>11534</v>
      </c>
      <c r="P3165" s="12" t="s">
        <v>66</v>
      </c>
      <c r="Q3165" s="12" t="s">
        <v>67</v>
      </c>
      <c r="R3165" s="12" t="s">
        <v>1782</v>
      </c>
      <c r="S3165" s="13">
        <v>197643363286</v>
      </c>
      <c r="T3165" s="12" t="s">
        <v>105</v>
      </c>
      <c r="U3165" s="12" t="s">
        <v>179</v>
      </c>
      <c r="V3165" s="12" t="s">
        <v>11535</v>
      </c>
      <c r="W3165" s="12" t="s">
        <v>51</v>
      </c>
      <c r="X3165" s="13">
        <v>0</v>
      </c>
      <c r="Y3165" s="12" t="s">
        <v>91</v>
      </c>
      <c r="Z3165" s="12" t="s">
        <v>108</v>
      </c>
      <c r="AA3165" s="13">
        <v>0</v>
      </c>
      <c r="AB3165" s="13">
        <v>0</v>
      </c>
      <c r="AC3165" s="15">
        <v>31.85</v>
      </c>
      <c r="AD3165" s="15">
        <f>AC3165*AG3165</f>
        <v>31.85</v>
      </c>
      <c r="AE3165" s="15">
        <v>70</v>
      </c>
      <c r="AF3165" s="15">
        <f>AE3165*AG3165</f>
        <v>70</v>
      </c>
      <c r="AG3165" s="16">
        <v>1</v>
      </c>
    </row>
    <row r="3166" spans="1:33" ht="15" customHeight="1" x14ac:dyDescent="0.2">
      <c r="A3166" s="11" t="str">
        <f t="shared" si="1168"/>
        <v>VN000M9HBLK1</v>
      </c>
      <c r="B3166" s="12" t="s">
        <v>11536</v>
      </c>
      <c r="C3166" s="12" t="s">
        <v>11532</v>
      </c>
      <c r="D3166" s="12" t="s">
        <v>76</v>
      </c>
      <c r="E3166" s="12" t="s">
        <v>11537</v>
      </c>
      <c r="F3166" s="12" t="s">
        <v>170</v>
      </c>
      <c r="G3166" s="14"/>
      <c r="H3166" s="12" t="s">
        <v>61</v>
      </c>
      <c r="I3166" s="12" t="s">
        <v>289</v>
      </c>
      <c r="J3166" s="12" t="s">
        <v>706</v>
      </c>
      <c r="K3166" s="12" t="s">
        <v>100</v>
      </c>
      <c r="L3166" s="14"/>
      <c r="M3166" s="12" t="s">
        <v>43</v>
      </c>
      <c r="N3166" s="12" t="s">
        <v>44</v>
      </c>
      <c r="O3166" s="12" t="s">
        <v>11538</v>
      </c>
      <c r="P3166" s="12" t="s">
        <v>66</v>
      </c>
      <c r="Q3166" s="12" t="s">
        <v>67</v>
      </c>
      <c r="R3166" s="12" t="s">
        <v>1782</v>
      </c>
      <c r="S3166" s="13">
        <v>197643363415</v>
      </c>
      <c r="T3166" s="12" t="s">
        <v>105</v>
      </c>
      <c r="U3166" s="12" t="s">
        <v>170</v>
      </c>
      <c r="V3166" s="12" t="s">
        <v>11535</v>
      </c>
      <c r="W3166" s="12" t="s">
        <v>51</v>
      </c>
      <c r="X3166" s="13">
        <v>0</v>
      </c>
      <c r="Y3166" s="12" t="s">
        <v>91</v>
      </c>
      <c r="Z3166" s="12" t="s">
        <v>108</v>
      </c>
      <c r="AA3166" s="13">
        <v>0</v>
      </c>
      <c r="AB3166" s="13">
        <v>0</v>
      </c>
      <c r="AC3166" s="15">
        <v>31.85</v>
      </c>
      <c r="AD3166" s="15">
        <f>AC3166*AG3166</f>
        <v>31.85</v>
      </c>
      <c r="AE3166" s="15">
        <v>70</v>
      </c>
      <c r="AF3166" s="15">
        <f>AE3166*AG3166</f>
        <v>70</v>
      </c>
      <c r="AG3166" s="16">
        <v>1</v>
      </c>
    </row>
    <row r="3167" spans="1:33" ht="15" customHeight="1" x14ac:dyDescent="0.2">
      <c r="A3167" s="11" t="str">
        <f t="shared" si="1168"/>
        <v>VN000M9HBLK1</v>
      </c>
      <c r="B3167" s="12" t="s">
        <v>11539</v>
      </c>
      <c r="C3167" s="12" t="s">
        <v>11532</v>
      </c>
      <c r="D3167" s="12" t="s">
        <v>76</v>
      </c>
      <c r="E3167" s="12" t="s">
        <v>11540</v>
      </c>
      <c r="F3167" s="12" t="s">
        <v>403</v>
      </c>
      <c r="G3167" s="14"/>
      <c r="H3167" s="12" t="s">
        <v>61</v>
      </c>
      <c r="I3167" s="12" t="s">
        <v>289</v>
      </c>
      <c r="J3167" s="12" t="s">
        <v>706</v>
      </c>
      <c r="K3167" s="12" t="s">
        <v>100</v>
      </c>
      <c r="L3167" s="14"/>
      <c r="M3167" s="12" t="s">
        <v>43</v>
      </c>
      <c r="N3167" s="12" t="s">
        <v>44</v>
      </c>
      <c r="O3167" s="12" t="s">
        <v>11541</v>
      </c>
      <c r="P3167" s="12" t="s">
        <v>66</v>
      </c>
      <c r="Q3167" s="12" t="s">
        <v>67</v>
      </c>
      <c r="R3167" s="12" t="s">
        <v>1782</v>
      </c>
      <c r="S3167" s="13">
        <v>197643363446</v>
      </c>
      <c r="T3167" s="12" t="s">
        <v>105</v>
      </c>
      <c r="U3167" s="12" t="s">
        <v>403</v>
      </c>
      <c r="V3167" s="12" t="s">
        <v>11535</v>
      </c>
      <c r="W3167" s="12" t="s">
        <v>51</v>
      </c>
      <c r="X3167" s="13">
        <v>0</v>
      </c>
      <c r="Y3167" s="12" t="s">
        <v>91</v>
      </c>
      <c r="Z3167" s="12" t="s">
        <v>108</v>
      </c>
      <c r="AA3167" s="13">
        <v>0</v>
      </c>
      <c r="AB3167" s="13">
        <v>0</v>
      </c>
      <c r="AC3167" s="15">
        <v>31.85</v>
      </c>
      <c r="AD3167" s="15">
        <f>AC3167*AG3167</f>
        <v>31.85</v>
      </c>
      <c r="AE3167" s="15">
        <v>70</v>
      </c>
      <c r="AF3167" s="15">
        <f>AE3167*AG3167</f>
        <v>70</v>
      </c>
      <c r="AG3167" s="16">
        <v>1</v>
      </c>
    </row>
    <row r="3168" spans="1:33" ht="15" customHeight="1" x14ac:dyDescent="0.2">
      <c r="A3168" s="11" t="str">
        <f t="shared" ref="A3168:A3172" si="1169">HYPERLINK("https://assets.vans.eu/images/VN000M9HFS8-HERO/1","VN000M9HFS81")</f>
        <v>VN000M9HFS81</v>
      </c>
      <c r="B3168" s="12" t="s">
        <v>11542</v>
      </c>
      <c r="C3168" s="12" t="s">
        <v>11532</v>
      </c>
      <c r="D3168" s="12" t="s">
        <v>239</v>
      </c>
      <c r="E3168" s="12" t="s">
        <v>11543</v>
      </c>
      <c r="F3168" s="12" t="s">
        <v>179</v>
      </c>
      <c r="G3168" s="14"/>
      <c r="H3168" s="12" t="s">
        <v>61</v>
      </c>
      <c r="I3168" s="12" t="s">
        <v>289</v>
      </c>
      <c r="J3168" s="12" t="s">
        <v>706</v>
      </c>
      <c r="K3168" s="12" t="s">
        <v>100</v>
      </c>
      <c r="L3168" s="14"/>
      <c r="M3168" s="12" t="s">
        <v>43</v>
      </c>
      <c r="N3168" s="12" t="s">
        <v>44</v>
      </c>
      <c r="O3168" s="12" t="s">
        <v>11544</v>
      </c>
      <c r="P3168" s="12" t="s">
        <v>66</v>
      </c>
      <c r="Q3168" s="12" t="s">
        <v>67</v>
      </c>
      <c r="R3168" s="12" t="s">
        <v>1782</v>
      </c>
      <c r="S3168" s="13">
        <v>197643363439</v>
      </c>
      <c r="T3168" s="12" t="s">
        <v>105</v>
      </c>
      <c r="U3168" s="12" t="s">
        <v>179</v>
      </c>
      <c r="V3168" s="12" t="s">
        <v>11535</v>
      </c>
      <c r="W3168" s="12" t="s">
        <v>175</v>
      </c>
      <c r="X3168" s="13">
        <v>0</v>
      </c>
      <c r="Y3168" s="12" t="s">
        <v>91</v>
      </c>
      <c r="Z3168" s="12" t="s">
        <v>108</v>
      </c>
      <c r="AA3168" s="13">
        <v>0</v>
      </c>
      <c r="AB3168" s="13">
        <v>0</v>
      </c>
      <c r="AC3168" s="15">
        <v>31.85</v>
      </c>
      <c r="AD3168" s="15">
        <f>AC3168*AG3168</f>
        <v>31.85</v>
      </c>
      <c r="AE3168" s="15">
        <v>70</v>
      </c>
      <c r="AF3168" s="15">
        <f>AE3168*AG3168</f>
        <v>70</v>
      </c>
      <c r="AG3168" s="16">
        <v>1</v>
      </c>
    </row>
    <row r="3169" spans="1:33" ht="15" customHeight="1" x14ac:dyDescent="0.2">
      <c r="A3169" s="11" t="str">
        <f t="shared" si="1169"/>
        <v>VN000M9HFS81</v>
      </c>
      <c r="B3169" s="12" t="s">
        <v>11545</v>
      </c>
      <c r="C3169" s="12" t="s">
        <v>11532</v>
      </c>
      <c r="D3169" s="12" t="s">
        <v>239</v>
      </c>
      <c r="E3169" s="12" t="s">
        <v>11546</v>
      </c>
      <c r="F3169" s="12" t="s">
        <v>170</v>
      </c>
      <c r="G3169" s="14"/>
      <c r="H3169" s="12" t="s">
        <v>61</v>
      </c>
      <c r="I3169" s="12" t="s">
        <v>289</v>
      </c>
      <c r="J3169" s="12" t="s">
        <v>706</v>
      </c>
      <c r="K3169" s="12" t="s">
        <v>100</v>
      </c>
      <c r="L3169" s="14"/>
      <c r="M3169" s="12" t="s">
        <v>43</v>
      </c>
      <c r="N3169" s="12" t="s">
        <v>44</v>
      </c>
      <c r="O3169" s="12" t="s">
        <v>11547</v>
      </c>
      <c r="P3169" s="12" t="s">
        <v>66</v>
      </c>
      <c r="Q3169" s="12" t="s">
        <v>67</v>
      </c>
      <c r="R3169" s="12" t="s">
        <v>1782</v>
      </c>
      <c r="S3169" s="13">
        <v>197643363477</v>
      </c>
      <c r="T3169" s="12" t="s">
        <v>105</v>
      </c>
      <c r="U3169" s="12" t="s">
        <v>170</v>
      </c>
      <c r="V3169" s="12" t="s">
        <v>11535</v>
      </c>
      <c r="W3169" s="12" t="s">
        <v>175</v>
      </c>
      <c r="X3169" s="13">
        <v>0</v>
      </c>
      <c r="Y3169" s="12" t="s">
        <v>91</v>
      </c>
      <c r="Z3169" s="12" t="s">
        <v>108</v>
      </c>
      <c r="AA3169" s="13">
        <v>0</v>
      </c>
      <c r="AB3169" s="13">
        <v>0</v>
      </c>
      <c r="AC3169" s="15">
        <v>31.85</v>
      </c>
      <c r="AD3169" s="15">
        <f>AC3169*AG3169</f>
        <v>31.85</v>
      </c>
      <c r="AE3169" s="15">
        <v>70</v>
      </c>
      <c r="AF3169" s="15">
        <f>AE3169*AG3169</f>
        <v>70</v>
      </c>
      <c r="AG3169" s="16">
        <v>1</v>
      </c>
    </row>
    <row r="3170" spans="1:33" ht="15" customHeight="1" x14ac:dyDescent="0.2">
      <c r="A3170" s="11" t="str">
        <f t="shared" si="1169"/>
        <v>VN000M9HFS81</v>
      </c>
      <c r="B3170" s="12" t="s">
        <v>11548</v>
      </c>
      <c r="C3170" s="12" t="s">
        <v>11532</v>
      </c>
      <c r="D3170" s="12" t="s">
        <v>239</v>
      </c>
      <c r="E3170" s="12" t="s">
        <v>11549</v>
      </c>
      <c r="F3170" s="12" t="s">
        <v>403</v>
      </c>
      <c r="G3170" s="14"/>
      <c r="H3170" s="12" t="s">
        <v>61</v>
      </c>
      <c r="I3170" s="12" t="s">
        <v>289</v>
      </c>
      <c r="J3170" s="12" t="s">
        <v>706</v>
      </c>
      <c r="K3170" s="12" t="s">
        <v>100</v>
      </c>
      <c r="L3170" s="14"/>
      <c r="M3170" s="12" t="s">
        <v>43</v>
      </c>
      <c r="N3170" s="12" t="s">
        <v>44</v>
      </c>
      <c r="O3170" s="12" t="s">
        <v>11550</v>
      </c>
      <c r="P3170" s="12" t="s">
        <v>66</v>
      </c>
      <c r="Q3170" s="12" t="s">
        <v>67</v>
      </c>
      <c r="R3170" s="12" t="s">
        <v>1782</v>
      </c>
      <c r="S3170" s="13">
        <v>197643363514</v>
      </c>
      <c r="T3170" s="12" t="s">
        <v>105</v>
      </c>
      <c r="U3170" s="12" t="s">
        <v>403</v>
      </c>
      <c r="V3170" s="12" t="s">
        <v>11535</v>
      </c>
      <c r="W3170" s="12" t="s">
        <v>175</v>
      </c>
      <c r="X3170" s="13">
        <v>0</v>
      </c>
      <c r="Y3170" s="12" t="s">
        <v>91</v>
      </c>
      <c r="Z3170" s="12" t="s">
        <v>108</v>
      </c>
      <c r="AA3170" s="13">
        <v>0</v>
      </c>
      <c r="AB3170" s="13">
        <v>0</v>
      </c>
      <c r="AC3170" s="15">
        <v>31.85</v>
      </c>
      <c r="AD3170" s="15">
        <f>AC3170*AG3170</f>
        <v>31.85</v>
      </c>
      <c r="AE3170" s="15">
        <v>70</v>
      </c>
      <c r="AF3170" s="15">
        <f>AE3170*AG3170</f>
        <v>70</v>
      </c>
      <c r="AG3170" s="16">
        <v>1</v>
      </c>
    </row>
    <row r="3171" spans="1:33" ht="15" customHeight="1" x14ac:dyDescent="0.2">
      <c r="A3171" s="11" t="str">
        <f t="shared" si="1169"/>
        <v>VN000M9HFS81</v>
      </c>
      <c r="B3171" s="12" t="s">
        <v>11551</v>
      </c>
      <c r="C3171" s="12" t="s">
        <v>11532</v>
      </c>
      <c r="D3171" s="12" t="s">
        <v>239</v>
      </c>
      <c r="E3171" s="12" t="s">
        <v>11552</v>
      </c>
      <c r="F3171" s="12" t="s">
        <v>60</v>
      </c>
      <c r="G3171" s="14"/>
      <c r="H3171" s="12" t="s">
        <v>61</v>
      </c>
      <c r="I3171" s="12" t="s">
        <v>289</v>
      </c>
      <c r="J3171" s="12" t="s">
        <v>706</v>
      </c>
      <c r="K3171" s="12" t="s">
        <v>100</v>
      </c>
      <c r="L3171" s="14"/>
      <c r="M3171" s="12" t="s">
        <v>43</v>
      </c>
      <c r="N3171" s="12" t="s">
        <v>44</v>
      </c>
      <c r="O3171" s="12" t="s">
        <v>11553</v>
      </c>
      <c r="P3171" s="12" t="s">
        <v>66</v>
      </c>
      <c r="Q3171" s="12" t="s">
        <v>67</v>
      </c>
      <c r="R3171" s="12" t="s">
        <v>1782</v>
      </c>
      <c r="S3171" s="13">
        <v>197643363552</v>
      </c>
      <c r="T3171" s="12" t="s">
        <v>105</v>
      </c>
      <c r="U3171" s="12" t="s">
        <v>60</v>
      </c>
      <c r="V3171" s="12" t="s">
        <v>11535</v>
      </c>
      <c r="W3171" s="12" t="s">
        <v>175</v>
      </c>
      <c r="X3171" s="13">
        <v>0</v>
      </c>
      <c r="Y3171" s="12" t="s">
        <v>91</v>
      </c>
      <c r="Z3171" s="12" t="s">
        <v>108</v>
      </c>
      <c r="AA3171" s="13">
        <v>0</v>
      </c>
      <c r="AB3171" s="13">
        <v>0</v>
      </c>
      <c r="AC3171" s="15">
        <v>31.85</v>
      </c>
      <c r="AD3171" s="15">
        <f>AC3171*AG3171</f>
        <v>31.85</v>
      </c>
      <c r="AE3171" s="15">
        <v>70</v>
      </c>
      <c r="AF3171" s="15">
        <f>AE3171*AG3171</f>
        <v>70</v>
      </c>
      <c r="AG3171" s="16">
        <v>1</v>
      </c>
    </row>
    <row r="3172" spans="1:33" ht="15" customHeight="1" x14ac:dyDescent="0.2">
      <c r="A3172" s="11" t="str">
        <f t="shared" si="1169"/>
        <v>VN000M9HFS81</v>
      </c>
      <c r="B3172" s="12" t="s">
        <v>11554</v>
      </c>
      <c r="C3172" s="12" t="s">
        <v>11532</v>
      </c>
      <c r="D3172" s="12" t="s">
        <v>239</v>
      </c>
      <c r="E3172" s="12" t="s">
        <v>11555</v>
      </c>
      <c r="F3172" s="12" t="s">
        <v>621</v>
      </c>
      <c r="G3172" s="14"/>
      <c r="H3172" s="12" t="s">
        <v>61</v>
      </c>
      <c r="I3172" s="12" t="s">
        <v>289</v>
      </c>
      <c r="J3172" s="12" t="s">
        <v>706</v>
      </c>
      <c r="K3172" s="12" t="s">
        <v>100</v>
      </c>
      <c r="L3172" s="14"/>
      <c r="M3172" s="12" t="s">
        <v>43</v>
      </c>
      <c r="N3172" s="12" t="s">
        <v>44</v>
      </c>
      <c r="O3172" s="12" t="s">
        <v>11556</v>
      </c>
      <c r="P3172" s="12" t="s">
        <v>66</v>
      </c>
      <c r="Q3172" s="12" t="s">
        <v>67</v>
      </c>
      <c r="R3172" s="12" t="s">
        <v>1782</v>
      </c>
      <c r="S3172" s="13">
        <v>197643363835</v>
      </c>
      <c r="T3172" s="12" t="s">
        <v>105</v>
      </c>
      <c r="U3172" s="12" t="s">
        <v>621</v>
      </c>
      <c r="V3172" s="12" t="s">
        <v>11535</v>
      </c>
      <c r="W3172" s="12" t="s">
        <v>175</v>
      </c>
      <c r="X3172" s="13">
        <v>0</v>
      </c>
      <c r="Y3172" s="12" t="s">
        <v>91</v>
      </c>
      <c r="Z3172" s="12" t="s">
        <v>108</v>
      </c>
      <c r="AA3172" s="13">
        <v>0</v>
      </c>
      <c r="AB3172" s="13">
        <v>0</v>
      </c>
      <c r="AC3172" s="15">
        <v>31.85</v>
      </c>
      <c r="AD3172" s="15">
        <f>AC3172*AG3172</f>
        <v>31.85</v>
      </c>
      <c r="AE3172" s="15">
        <v>70</v>
      </c>
      <c r="AF3172" s="15">
        <f>AE3172*AG3172</f>
        <v>70</v>
      </c>
      <c r="AG3172" s="16">
        <v>1</v>
      </c>
    </row>
    <row r="3173" spans="1:33" ht="15" customHeight="1" x14ac:dyDescent="0.2">
      <c r="A3173" s="11" t="str">
        <f>HYPERLINK("https://assets.vans.eu/images/VN000M9SBLK-HERO/1","VN000M9SBLK1")</f>
        <v>VN000M9SBLK1</v>
      </c>
      <c r="B3173" s="12" t="s">
        <v>11557</v>
      </c>
      <c r="C3173" s="12" t="s">
        <v>2222</v>
      </c>
      <c r="D3173" s="12" t="s">
        <v>76</v>
      </c>
      <c r="E3173" s="12" t="s">
        <v>11558</v>
      </c>
      <c r="F3173" s="12" t="s">
        <v>60</v>
      </c>
      <c r="G3173" s="14"/>
      <c r="H3173" s="12" t="s">
        <v>61</v>
      </c>
      <c r="I3173" s="12" t="s">
        <v>289</v>
      </c>
      <c r="J3173" s="12" t="s">
        <v>706</v>
      </c>
      <c r="K3173" s="12" t="s">
        <v>100</v>
      </c>
      <c r="L3173" s="14"/>
      <c r="M3173" s="12" t="s">
        <v>43</v>
      </c>
      <c r="N3173" s="12" t="s">
        <v>84</v>
      </c>
      <c r="O3173" s="12" t="s">
        <v>11559</v>
      </c>
      <c r="P3173" s="12" t="s">
        <v>66</v>
      </c>
      <c r="Q3173" s="12" t="s">
        <v>67</v>
      </c>
      <c r="R3173" s="12" t="s">
        <v>708</v>
      </c>
      <c r="S3173" s="13">
        <v>197804387366</v>
      </c>
      <c r="T3173" s="12" t="s">
        <v>709</v>
      </c>
      <c r="U3173" s="12" t="s">
        <v>60</v>
      </c>
      <c r="V3173" s="12" t="s">
        <v>2225</v>
      </c>
      <c r="W3173" s="12" t="s">
        <v>51</v>
      </c>
      <c r="X3173" s="14"/>
      <c r="Y3173" s="14"/>
      <c r="Z3173" s="14"/>
      <c r="AA3173" s="14"/>
      <c r="AB3173" s="14"/>
      <c r="AC3173" s="15">
        <v>34.1</v>
      </c>
      <c r="AD3173" s="15">
        <f>AC3173*AG3173</f>
        <v>34.1</v>
      </c>
      <c r="AE3173" s="15">
        <v>75</v>
      </c>
      <c r="AF3173" s="15">
        <f>AE3173*AG3173</f>
        <v>75</v>
      </c>
      <c r="AG3173" s="16">
        <v>1</v>
      </c>
    </row>
    <row r="3174" spans="1:33" ht="15" customHeight="1" x14ac:dyDescent="0.2">
      <c r="A3174" s="11" t="str">
        <f>HYPERLINK("https://assets.vans.eu/images/VN000M9SRV2-HERO/1","VN000M9SRV21")</f>
        <v>VN000M9SRV21</v>
      </c>
      <c r="B3174" s="12" t="s">
        <v>11560</v>
      </c>
      <c r="C3174" s="12" t="s">
        <v>2222</v>
      </c>
      <c r="D3174" s="12" t="s">
        <v>1428</v>
      </c>
      <c r="E3174" s="12" t="s">
        <v>11561</v>
      </c>
      <c r="F3174" s="12" t="s">
        <v>170</v>
      </c>
      <c r="G3174" s="14"/>
      <c r="H3174" s="12" t="s">
        <v>61</v>
      </c>
      <c r="I3174" s="12" t="s">
        <v>289</v>
      </c>
      <c r="J3174" s="12" t="s">
        <v>706</v>
      </c>
      <c r="K3174" s="12" t="s">
        <v>100</v>
      </c>
      <c r="L3174" s="14"/>
      <c r="M3174" s="12" t="s">
        <v>43</v>
      </c>
      <c r="N3174" s="12" t="s">
        <v>84</v>
      </c>
      <c r="O3174" s="12" t="s">
        <v>11562</v>
      </c>
      <c r="P3174" s="12" t="s">
        <v>66</v>
      </c>
      <c r="Q3174" s="12" t="s">
        <v>67</v>
      </c>
      <c r="R3174" s="12" t="s">
        <v>708</v>
      </c>
      <c r="S3174" s="13">
        <v>197804387618</v>
      </c>
      <c r="T3174" s="12" t="s">
        <v>709</v>
      </c>
      <c r="U3174" s="12" t="s">
        <v>170</v>
      </c>
      <c r="V3174" s="12" t="s">
        <v>2225</v>
      </c>
      <c r="W3174" s="12" t="s">
        <v>51</v>
      </c>
      <c r="X3174" s="14"/>
      <c r="Y3174" s="14"/>
      <c r="Z3174" s="14"/>
      <c r="AA3174" s="14"/>
      <c r="AB3174" s="14"/>
      <c r="AC3174" s="15">
        <v>34.1</v>
      </c>
      <c r="AD3174" s="15">
        <f>AC3174*AG3174</f>
        <v>34.1</v>
      </c>
      <c r="AE3174" s="15">
        <v>75</v>
      </c>
      <c r="AF3174" s="15">
        <f>AE3174*AG3174</f>
        <v>75</v>
      </c>
      <c r="AG3174" s="16">
        <v>1</v>
      </c>
    </row>
    <row r="3175" spans="1:33" ht="15" customHeight="1" x14ac:dyDescent="0.2">
      <c r="A3175" s="11" t="str">
        <f>HYPERLINK("https://assets.vans.eu/images/VN000MA21O7-HERO/1","VN000MA21O71")</f>
        <v>VN000MA21O71</v>
      </c>
      <c r="B3175" s="12" t="s">
        <v>11563</v>
      </c>
      <c r="C3175" s="12" t="s">
        <v>3712</v>
      </c>
      <c r="D3175" s="12" t="s">
        <v>637</v>
      </c>
      <c r="E3175" s="12" t="s">
        <v>11564</v>
      </c>
      <c r="F3175" s="12" t="s">
        <v>153</v>
      </c>
      <c r="G3175" s="14"/>
      <c r="H3175" s="12" t="s">
        <v>61</v>
      </c>
      <c r="I3175" s="12" t="s">
        <v>289</v>
      </c>
      <c r="J3175" s="12" t="s">
        <v>706</v>
      </c>
      <c r="K3175" s="12" t="s">
        <v>100</v>
      </c>
      <c r="L3175" s="14"/>
      <c r="M3175" s="12" t="s">
        <v>43</v>
      </c>
      <c r="N3175" s="12" t="s">
        <v>84</v>
      </c>
      <c r="O3175" s="12" t="s">
        <v>11565</v>
      </c>
      <c r="P3175" s="12" t="s">
        <v>66</v>
      </c>
      <c r="Q3175" s="12" t="s">
        <v>67</v>
      </c>
      <c r="R3175" s="12" t="s">
        <v>708</v>
      </c>
      <c r="S3175" s="13">
        <v>197804388059</v>
      </c>
      <c r="T3175" s="12" t="s">
        <v>49</v>
      </c>
      <c r="U3175" s="12" t="s">
        <v>153</v>
      </c>
      <c r="V3175" s="12" t="s">
        <v>1726</v>
      </c>
      <c r="W3175" s="12" t="s">
        <v>455</v>
      </c>
      <c r="X3175" s="14"/>
      <c r="Y3175" s="14"/>
      <c r="Z3175" s="14"/>
      <c r="AA3175" s="14"/>
      <c r="AB3175" s="14"/>
      <c r="AC3175" s="15">
        <v>36.4</v>
      </c>
      <c r="AD3175" s="15">
        <f>AC3175*AG3175</f>
        <v>36.4</v>
      </c>
      <c r="AE3175" s="15">
        <v>80</v>
      </c>
      <c r="AF3175" s="15">
        <f>AE3175*AG3175</f>
        <v>80</v>
      </c>
      <c r="AG3175" s="16">
        <v>1</v>
      </c>
    </row>
    <row r="3176" spans="1:33" ht="15" customHeight="1" x14ac:dyDescent="0.2">
      <c r="A3176" s="11" t="str">
        <f t="shared" si="689"/>
        <v>VN000MA2CLH1</v>
      </c>
      <c r="B3176" s="12" t="s">
        <v>11566</v>
      </c>
      <c r="C3176" s="12" t="s">
        <v>3712</v>
      </c>
      <c r="D3176" s="12" t="s">
        <v>838</v>
      </c>
      <c r="E3176" s="12" t="s">
        <v>11567</v>
      </c>
      <c r="F3176" s="12" t="s">
        <v>170</v>
      </c>
      <c r="G3176" s="14"/>
      <c r="H3176" s="12" t="s">
        <v>61</v>
      </c>
      <c r="I3176" s="12" t="s">
        <v>289</v>
      </c>
      <c r="J3176" s="12" t="s">
        <v>706</v>
      </c>
      <c r="K3176" s="12" t="s">
        <v>100</v>
      </c>
      <c r="L3176" s="14"/>
      <c r="M3176" s="12" t="s">
        <v>43</v>
      </c>
      <c r="N3176" s="12" t="s">
        <v>44</v>
      </c>
      <c r="O3176" s="12" t="s">
        <v>11568</v>
      </c>
      <c r="P3176" s="12" t="s">
        <v>66</v>
      </c>
      <c r="Q3176" s="12" t="s">
        <v>67</v>
      </c>
      <c r="R3176" s="12" t="s">
        <v>708</v>
      </c>
      <c r="S3176" s="13">
        <v>197643364771</v>
      </c>
      <c r="T3176" s="12" t="s">
        <v>49</v>
      </c>
      <c r="U3176" s="12" t="s">
        <v>170</v>
      </c>
      <c r="V3176" s="12" t="s">
        <v>1731</v>
      </c>
      <c r="W3176" s="12" t="s">
        <v>118</v>
      </c>
      <c r="X3176" s="13">
        <v>0</v>
      </c>
      <c r="Y3176" s="12" t="s">
        <v>91</v>
      </c>
      <c r="Z3176" s="12" t="s">
        <v>108</v>
      </c>
      <c r="AA3176" s="13">
        <v>0</v>
      </c>
      <c r="AB3176" s="13">
        <v>0</v>
      </c>
      <c r="AC3176" s="15">
        <v>36.4</v>
      </c>
      <c r="AD3176" s="15">
        <f>AC3176*AG3176</f>
        <v>36.4</v>
      </c>
      <c r="AE3176" s="15">
        <v>80</v>
      </c>
      <c r="AF3176" s="15">
        <f>AE3176*AG3176</f>
        <v>80</v>
      </c>
      <c r="AG3176" s="16">
        <v>1</v>
      </c>
    </row>
    <row r="3177" spans="1:33" ht="15" customHeight="1" x14ac:dyDescent="0.2">
      <c r="A3177" s="11" t="str">
        <f t="shared" ref="A3177:A3179" si="1170">HYPERLINK("https://assets.vans.eu/images/VN000MA2UUI-HERO/1","VN000MA2UUI1")</f>
        <v>VN000MA2UUI1</v>
      </c>
      <c r="B3177" s="12" t="s">
        <v>11569</v>
      </c>
      <c r="C3177" s="12" t="s">
        <v>3712</v>
      </c>
      <c r="D3177" s="12" t="s">
        <v>723</v>
      </c>
      <c r="E3177" s="12" t="s">
        <v>11570</v>
      </c>
      <c r="F3177" s="12" t="s">
        <v>179</v>
      </c>
      <c r="G3177" s="14"/>
      <c r="H3177" s="12" t="s">
        <v>61</v>
      </c>
      <c r="I3177" s="12" t="s">
        <v>289</v>
      </c>
      <c r="J3177" s="12" t="s">
        <v>706</v>
      </c>
      <c r="K3177" s="12" t="s">
        <v>100</v>
      </c>
      <c r="L3177" s="14"/>
      <c r="M3177" s="12" t="s">
        <v>43</v>
      </c>
      <c r="N3177" s="12" t="s">
        <v>44</v>
      </c>
      <c r="O3177" s="12" t="s">
        <v>11571</v>
      </c>
      <c r="P3177" s="12" t="s">
        <v>66</v>
      </c>
      <c r="Q3177" s="12" t="s">
        <v>67</v>
      </c>
      <c r="R3177" s="12" t="s">
        <v>708</v>
      </c>
      <c r="S3177" s="13">
        <v>197643364795</v>
      </c>
      <c r="T3177" s="12" t="s">
        <v>49</v>
      </c>
      <c r="U3177" s="12" t="s">
        <v>179</v>
      </c>
      <c r="V3177" s="12" t="s">
        <v>1731</v>
      </c>
      <c r="W3177" s="12" t="s">
        <v>107</v>
      </c>
      <c r="X3177" s="13">
        <v>0</v>
      </c>
      <c r="Y3177" s="12" t="s">
        <v>91</v>
      </c>
      <c r="Z3177" s="12" t="s">
        <v>108</v>
      </c>
      <c r="AA3177" s="13">
        <v>0</v>
      </c>
      <c r="AB3177" s="13">
        <v>0</v>
      </c>
      <c r="AC3177" s="15">
        <v>36.4</v>
      </c>
      <c r="AD3177" s="15">
        <f>AC3177*AG3177</f>
        <v>36.4</v>
      </c>
      <c r="AE3177" s="15">
        <v>80</v>
      </c>
      <c r="AF3177" s="15">
        <f>AE3177*AG3177</f>
        <v>80</v>
      </c>
      <c r="AG3177" s="16">
        <v>1</v>
      </c>
    </row>
    <row r="3178" spans="1:33" ht="15" customHeight="1" x14ac:dyDescent="0.2">
      <c r="A3178" s="11" t="str">
        <f t="shared" si="1170"/>
        <v>VN000MA2UUI1</v>
      </c>
      <c r="B3178" s="12" t="s">
        <v>11572</v>
      </c>
      <c r="C3178" s="12" t="s">
        <v>3712</v>
      </c>
      <c r="D3178" s="12" t="s">
        <v>723</v>
      </c>
      <c r="E3178" s="12" t="s">
        <v>11573</v>
      </c>
      <c r="F3178" s="12" t="s">
        <v>60</v>
      </c>
      <c r="G3178" s="14"/>
      <c r="H3178" s="12" t="s">
        <v>61</v>
      </c>
      <c r="I3178" s="12" t="s">
        <v>289</v>
      </c>
      <c r="J3178" s="12" t="s">
        <v>706</v>
      </c>
      <c r="K3178" s="12" t="s">
        <v>100</v>
      </c>
      <c r="L3178" s="14"/>
      <c r="M3178" s="12" t="s">
        <v>43</v>
      </c>
      <c r="N3178" s="12" t="s">
        <v>44</v>
      </c>
      <c r="O3178" s="12" t="s">
        <v>11574</v>
      </c>
      <c r="P3178" s="12" t="s">
        <v>66</v>
      </c>
      <c r="Q3178" s="12" t="s">
        <v>67</v>
      </c>
      <c r="R3178" s="12" t="s">
        <v>708</v>
      </c>
      <c r="S3178" s="13">
        <v>197643365419</v>
      </c>
      <c r="T3178" s="12" t="s">
        <v>49</v>
      </c>
      <c r="U3178" s="12" t="s">
        <v>60</v>
      </c>
      <c r="V3178" s="12" t="s">
        <v>1731</v>
      </c>
      <c r="W3178" s="12" t="s">
        <v>107</v>
      </c>
      <c r="X3178" s="13">
        <v>0</v>
      </c>
      <c r="Y3178" s="12" t="s">
        <v>91</v>
      </c>
      <c r="Z3178" s="12" t="s">
        <v>108</v>
      </c>
      <c r="AA3178" s="13">
        <v>0</v>
      </c>
      <c r="AB3178" s="13">
        <v>0</v>
      </c>
      <c r="AC3178" s="15">
        <v>36.4</v>
      </c>
      <c r="AD3178" s="15">
        <f>AC3178*AG3178</f>
        <v>36.4</v>
      </c>
      <c r="AE3178" s="15">
        <v>80</v>
      </c>
      <c r="AF3178" s="15">
        <f>AE3178*AG3178</f>
        <v>80</v>
      </c>
      <c r="AG3178" s="16">
        <v>1</v>
      </c>
    </row>
    <row r="3179" spans="1:33" ht="15" customHeight="1" x14ac:dyDescent="0.2">
      <c r="A3179" s="11" t="str">
        <f t="shared" si="1170"/>
        <v>VN000MA2UUI1</v>
      </c>
      <c r="B3179" s="12" t="s">
        <v>11575</v>
      </c>
      <c r="C3179" s="12" t="s">
        <v>3712</v>
      </c>
      <c r="D3179" s="12" t="s">
        <v>723</v>
      </c>
      <c r="E3179" s="12" t="s">
        <v>11576</v>
      </c>
      <c r="F3179" s="12" t="s">
        <v>153</v>
      </c>
      <c r="G3179" s="14"/>
      <c r="H3179" s="12" t="s">
        <v>61</v>
      </c>
      <c r="I3179" s="12" t="s">
        <v>289</v>
      </c>
      <c r="J3179" s="12" t="s">
        <v>706</v>
      </c>
      <c r="K3179" s="12" t="s">
        <v>100</v>
      </c>
      <c r="L3179" s="14"/>
      <c r="M3179" s="12" t="s">
        <v>43</v>
      </c>
      <c r="N3179" s="12" t="s">
        <v>44</v>
      </c>
      <c r="O3179" s="12" t="s">
        <v>11577</v>
      </c>
      <c r="P3179" s="12" t="s">
        <v>66</v>
      </c>
      <c r="Q3179" s="12" t="s">
        <v>67</v>
      </c>
      <c r="R3179" s="12" t="s">
        <v>708</v>
      </c>
      <c r="S3179" s="13">
        <v>197643365464</v>
      </c>
      <c r="T3179" s="12" t="s">
        <v>49</v>
      </c>
      <c r="U3179" s="12" t="s">
        <v>153</v>
      </c>
      <c r="V3179" s="12" t="s">
        <v>1731</v>
      </c>
      <c r="W3179" s="12" t="s">
        <v>107</v>
      </c>
      <c r="X3179" s="13">
        <v>0</v>
      </c>
      <c r="Y3179" s="12" t="s">
        <v>91</v>
      </c>
      <c r="Z3179" s="12" t="s">
        <v>108</v>
      </c>
      <c r="AA3179" s="13">
        <v>0</v>
      </c>
      <c r="AB3179" s="13">
        <v>0</v>
      </c>
      <c r="AC3179" s="15">
        <v>36.4</v>
      </c>
      <c r="AD3179" s="15">
        <f>AC3179*AG3179</f>
        <v>36.4</v>
      </c>
      <c r="AE3179" s="15">
        <v>80</v>
      </c>
      <c r="AF3179" s="15">
        <f>AE3179*AG3179</f>
        <v>80</v>
      </c>
      <c r="AG3179" s="16">
        <v>1</v>
      </c>
    </row>
    <row r="3180" spans="1:33" ht="15" customHeight="1" x14ac:dyDescent="0.2">
      <c r="A3180" s="11" t="str">
        <f t="shared" si="484"/>
        <v>VN000MA9ZBF1</v>
      </c>
      <c r="B3180" s="12" t="s">
        <v>11578</v>
      </c>
      <c r="C3180" s="12" t="s">
        <v>4614</v>
      </c>
      <c r="D3180" s="12" t="s">
        <v>680</v>
      </c>
      <c r="E3180" s="12" t="s">
        <v>11579</v>
      </c>
      <c r="F3180" s="12" t="s">
        <v>179</v>
      </c>
      <c r="G3180" s="14"/>
      <c r="H3180" s="12" t="s">
        <v>61</v>
      </c>
      <c r="I3180" s="12" t="s">
        <v>289</v>
      </c>
      <c r="J3180" s="12" t="s">
        <v>706</v>
      </c>
      <c r="K3180" s="12" t="s">
        <v>100</v>
      </c>
      <c r="L3180" s="14"/>
      <c r="M3180" s="12" t="s">
        <v>43</v>
      </c>
      <c r="N3180" s="12" t="s">
        <v>44</v>
      </c>
      <c r="O3180" s="12" t="s">
        <v>11580</v>
      </c>
      <c r="P3180" s="12" t="s">
        <v>66</v>
      </c>
      <c r="Q3180" s="12" t="s">
        <v>67</v>
      </c>
      <c r="R3180" s="12" t="s">
        <v>708</v>
      </c>
      <c r="S3180" s="13">
        <v>197803425977</v>
      </c>
      <c r="T3180" s="12" t="s">
        <v>69</v>
      </c>
      <c r="U3180" s="12" t="s">
        <v>179</v>
      </c>
      <c r="V3180" s="12" t="s">
        <v>4617</v>
      </c>
      <c r="W3180" s="12" t="s">
        <v>118</v>
      </c>
      <c r="X3180" s="13">
        <v>0</v>
      </c>
      <c r="Y3180" s="12" t="s">
        <v>91</v>
      </c>
      <c r="Z3180" s="12" t="s">
        <v>108</v>
      </c>
      <c r="AA3180" s="13">
        <v>0</v>
      </c>
      <c r="AB3180" s="13">
        <v>0</v>
      </c>
      <c r="AC3180" s="15">
        <v>36.4</v>
      </c>
      <c r="AD3180" s="15">
        <f>AC3180*AG3180</f>
        <v>36.4</v>
      </c>
      <c r="AE3180" s="15">
        <v>80</v>
      </c>
      <c r="AF3180" s="15">
        <f>AE3180*AG3180</f>
        <v>80</v>
      </c>
      <c r="AG3180" s="16">
        <v>1</v>
      </c>
    </row>
    <row r="3181" spans="1:33" ht="15" customHeight="1" x14ac:dyDescent="0.2">
      <c r="A3181" s="11" t="str">
        <f t="shared" si="880"/>
        <v>VN000MAEBLK1</v>
      </c>
      <c r="B3181" s="12" t="s">
        <v>11581</v>
      </c>
      <c r="C3181" s="12" t="s">
        <v>8077</v>
      </c>
      <c r="D3181" s="12" t="s">
        <v>76</v>
      </c>
      <c r="E3181" s="12" t="s">
        <v>11582</v>
      </c>
      <c r="F3181" s="12" t="s">
        <v>179</v>
      </c>
      <c r="G3181" s="14"/>
      <c r="H3181" s="12" t="s">
        <v>61</v>
      </c>
      <c r="I3181" s="12" t="s">
        <v>289</v>
      </c>
      <c r="J3181" s="12" t="s">
        <v>706</v>
      </c>
      <c r="K3181" s="12" t="s">
        <v>100</v>
      </c>
      <c r="L3181" s="14"/>
      <c r="M3181" s="12" t="s">
        <v>43</v>
      </c>
      <c r="N3181" s="12" t="s">
        <v>44</v>
      </c>
      <c r="O3181" s="12" t="s">
        <v>11583</v>
      </c>
      <c r="P3181" s="12" t="s">
        <v>66</v>
      </c>
      <c r="Q3181" s="12" t="s">
        <v>67</v>
      </c>
      <c r="R3181" s="12" t="s">
        <v>708</v>
      </c>
      <c r="S3181" s="13">
        <v>197643365174</v>
      </c>
      <c r="T3181" s="12" t="s">
        <v>49</v>
      </c>
      <c r="U3181" s="12" t="s">
        <v>179</v>
      </c>
      <c r="V3181" s="12" t="s">
        <v>1726</v>
      </c>
      <c r="W3181" s="12" t="s">
        <v>51</v>
      </c>
      <c r="X3181" s="13">
        <v>0</v>
      </c>
      <c r="Y3181" s="12" t="s">
        <v>53</v>
      </c>
      <c r="Z3181" s="12" t="s">
        <v>108</v>
      </c>
      <c r="AA3181" s="13">
        <v>0</v>
      </c>
      <c r="AB3181" s="13">
        <v>0</v>
      </c>
      <c r="AC3181" s="15">
        <v>40.950000000000003</v>
      </c>
      <c r="AD3181" s="15">
        <f>AC3181*AG3181</f>
        <v>40.950000000000003</v>
      </c>
      <c r="AE3181" s="15">
        <v>90</v>
      </c>
      <c r="AF3181" s="15">
        <f>AE3181*AG3181</f>
        <v>90</v>
      </c>
      <c r="AG3181" s="16">
        <v>1</v>
      </c>
    </row>
    <row r="3182" spans="1:33" ht="15" customHeight="1" x14ac:dyDescent="0.2">
      <c r="A3182" s="11" t="str">
        <f>HYPERLINK("https://assets.vans.eu/images/VN000MAEBLK-HERO/1","VN000MAEBLK1")</f>
        <v>VN000MAEBLK1</v>
      </c>
      <c r="B3182" s="12" t="s">
        <v>11584</v>
      </c>
      <c r="C3182" s="12" t="s">
        <v>8077</v>
      </c>
      <c r="D3182" s="12" t="s">
        <v>76</v>
      </c>
      <c r="E3182" s="12" t="s">
        <v>11585</v>
      </c>
      <c r="F3182" s="12" t="s">
        <v>138</v>
      </c>
      <c r="G3182" s="14"/>
      <c r="H3182" s="12" t="s">
        <v>61</v>
      </c>
      <c r="I3182" s="12" t="s">
        <v>289</v>
      </c>
      <c r="J3182" s="12" t="s">
        <v>706</v>
      </c>
      <c r="K3182" s="12" t="s">
        <v>100</v>
      </c>
      <c r="L3182" s="14"/>
      <c r="M3182" s="12" t="s">
        <v>43</v>
      </c>
      <c r="N3182" s="12" t="s">
        <v>44</v>
      </c>
      <c r="O3182" s="12" t="s">
        <v>11586</v>
      </c>
      <c r="P3182" s="12" t="s">
        <v>66</v>
      </c>
      <c r="Q3182" s="12" t="s">
        <v>67</v>
      </c>
      <c r="R3182" s="12" t="s">
        <v>708</v>
      </c>
      <c r="S3182" s="13">
        <v>197643365709</v>
      </c>
      <c r="T3182" s="12" t="s">
        <v>49</v>
      </c>
      <c r="U3182" s="12" t="s">
        <v>138</v>
      </c>
      <c r="V3182" s="12" t="s">
        <v>1726</v>
      </c>
      <c r="W3182" s="12" t="s">
        <v>51</v>
      </c>
      <c r="X3182" s="13">
        <v>0</v>
      </c>
      <c r="Y3182" s="12" t="s">
        <v>53</v>
      </c>
      <c r="Z3182" s="12" t="s">
        <v>108</v>
      </c>
      <c r="AA3182" s="13">
        <v>0</v>
      </c>
      <c r="AB3182" s="13">
        <v>0</v>
      </c>
      <c r="AC3182" s="15">
        <v>40.950000000000003</v>
      </c>
      <c r="AD3182" s="15">
        <f>AC3182*AG3182</f>
        <v>40.950000000000003</v>
      </c>
      <c r="AE3182" s="15">
        <v>90</v>
      </c>
      <c r="AF3182" s="15">
        <f>AE3182*AG3182</f>
        <v>90</v>
      </c>
      <c r="AG3182" s="16">
        <v>1</v>
      </c>
    </row>
    <row r="3183" spans="1:33" ht="15" customHeight="1" x14ac:dyDescent="0.2">
      <c r="A3183" s="11" t="str">
        <f t="shared" ref="A3183:A3184" si="1171">HYPERLINK("https://assets.vans.eu/images/VN000MAT7WM-HERO/1","VN000MAT7WM1")</f>
        <v>VN000MAT7WM1</v>
      </c>
      <c r="B3183" s="12" t="s">
        <v>11587</v>
      </c>
      <c r="C3183" s="12" t="s">
        <v>6461</v>
      </c>
      <c r="D3183" s="12" t="s">
        <v>388</v>
      </c>
      <c r="E3183" s="12" t="s">
        <v>11588</v>
      </c>
      <c r="F3183" s="12" t="s">
        <v>179</v>
      </c>
      <c r="G3183" s="14"/>
      <c r="H3183" s="12" t="s">
        <v>61</v>
      </c>
      <c r="I3183" s="12" t="s">
        <v>289</v>
      </c>
      <c r="J3183" s="12" t="s">
        <v>290</v>
      </c>
      <c r="K3183" s="12" t="s">
        <v>100</v>
      </c>
      <c r="L3183" s="14"/>
      <c r="M3183" s="12" t="s">
        <v>43</v>
      </c>
      <c r="N3183" s="12" t="s">
        <v>44</v>
      </c>
      <c r="O3183" s="12" t="s">
        <v>11589</v>
      </c>
      <c r="P3183" s="12" t="s">
        <v>66</v>
      </c>
      <c r="Q3183" s="12" t="s">
        <v>233</v>
      </c>
      <c r="R3183" s="12" t="s">
        <v>664</v>
      </c>
      <c r="S3183" s="13">
        <v>197643365730</v>
      </c>
      <c r="T3183" s="12" t="s">
        <v>49</v>
      </c>
      <c r="U3183" s="12" t="s">
        <v>179</v>
      </c>
      <c r="V3183" s="12" t="s">
        <v>6291</v>
      </c>
      <c r="W3183" s="12" t="s">
        <v>284</v>
      </c>
      <c r="X3183" s="13">
        <v>0</v>
      </c>
      <c r="Y3183" s="12" t="s">
        <v>91</v>
      </c>
      <c r="Z3183" s="12" t="s">
        <v>108</v>
      </c>
      <c r="AA3183" s="13">
        <v>0</v>
      </c>
      <c r="AB3183" s="13">
        <v>0</v>
      </c>
      <c r="AC3183" s="15">
        <v>38.65</v>
      </c>
      <c r="AD3183" s="15">
        <f>AC3183*AG3183</f>
        <v>38.65</v>
      </c>
      <c r="AE3183" s="15">
        <v>85</v>
      </c>
      <c r="AF3183" s="15">
        <f>AE3183*AG3183</f>
        <v>85</v>
      </c>
      <c r="AG3183" s="16">
        <v>1</v>
      </c>
    </row>
    <row r="3184" spans="1:33" ht="15" customHeight="1" x14ac:dyDescent="0.2">
      <c r="A3184" s="11" t="str">
        <f t="shared" si="1171"/>
        <v>VN000MAT7WM1</v>
      </c>
      <c r="B3184" s="12" t="s">
        <v>11590</v>
      </c>
      <c r="C3184" s="12" t="s">
        <v>6461</v>
      </c>
      <c r="D3184" s="12" t="s">
        <v>388</v>
      </c>
      <c r="E3184" s="12" t="s">
        <v>11591</v>
      </c>
      <c r="F3184" s="12" t="s">
        <v>60</v>
      </c>
      <c r="G3184" s="14"/>
      <c r="H3184" s="12" t="s">
        <v>61</v>
      </c>
      <c r="I3184" s="12" t="s">
        <v>289</v>
      </c>
      <c r="J3184" s="12" t="s">
        <v>290</v>
      </c>
      <c r="K3184" s="12" t="s">
        <v>100</v>
      </c>
      <c r="L3184" s="14"/>
      <c r="M3184" s="12" t="s">
        <v>43</v>
      </c>
      <c r="N3184" s="12" t="s">
        <v>44</v>
      </c>
      <c r="O3184" s="12" t="s">
        <v>11592</v>
      </c>
      <c r="P3184" s="12" t="s">
        <v>66</v>
      </c>
      <c r="Q3184" s="12" t="s">
        <v>233</v>
      </c>
      <c r="R3184" s="12" t="s">
        <v>664</v>
      </c>
      <c r="S3184" s="13">
        <v>197643366133</v>
      </c>
      <c r="T3184" s="12" t="s">
        <v>49</v>
      </c>
      <c r="U3184" s="12" t="s">
        <v>60</v>
      </c>
      <c r="V3184" s="12" t="s">
        <v>6291</v>
      </c>
      <c r="W3184" s="12" t="s">
        <v>284</v>
      </c>
      <c r="X3184" s="13">
        <v>0</v>
      </c>
      <c r="Y3184" s="12" t="s">
        <v>91</v>
      </c>
      <c r="Z3184" s="12" t="s">
        <v>108</v>
      </c>
      <c r="AA3184" s="13">
        <v>0</v>
      </c>
      <c r="AB3184" s="13">
        <v>0</v>
      </c>
      <c r="AC3184" s="15">
        <v>38.65</v>
      </c>
      <c r="AD3184" s="15">
        <f>AC3184*AG3184</f>
        <v>38.65</v>
      </c>
      <c r="AE3184" s="15">
        <v>85</v>
      </c>
      <c r="AF3184" s="15">
        <f>AE3184*AG3184</f>
        <v>85</v>
      </c>
      <c r="AG3184" s="16">
        <v>1</v>
      </c>
    </row>
    <row r="3185" spans="1:33" ht="15" customHeight="1" x14ac:dyDescent="0.2">
      <c r="A3185" s="11" t="str">
        <f t="shared" si="564"/>
        <v>VN000MB2EB21</v>
      </c>
      <c r="B3185" s="12" t="s">
        <v>11593</v>
      </c>
      <c r="C3185" s="12" t="s">
        <v>3112</v>
      </c>
      <c r="D3185" s="12" t="s">
        <v>2693</v>
      </c>
      <c r="E3185" s="12" t="s">
        <v>11594</v>
      </c>
      <c r="F3185" s="13">
        <v>22</v>
      </c>
      <c r="G3185" s="14"/>
      <c r="H3185" s="12" t="s">
        <v>61</v>
      </c>
      <c r="I3185" s="12" t="s">
        <v>289</v>
      </c>
      <c r="J3185" s="12" t="s">
        <v>290</v>
      </c>
      <c r="K3185" s="12" t="s">
        <v>100</v>
      </c>
      <c r="L3185" s="14"/>
      <c r="M3185" s="12" t="s">
        <v>43</v>
      </c>
      <c r="N3185" s="12" t="s">
        <v>44</v>
      </c>
      <c r="O3185" s="12" t="s">
        <v>11595</v>
      </c>
      <c r="P3185" s="12" t="s">
        <v>66</v>
      </c>
      <c r="Q3185" s="12" t="s">
        <v>233</v>
      </c>
      <c r="R3185" s="12" t="s">
        <v>664</v>
      </c>
      <c r="S3185" s="13">
        <v>197643366362</v>
      </c>
      <c r="T3185" s="12" t="s">
        <v>235</v>
      </c>
      <c r="U3185" s="13">
        <v>22</v>
      </c>
      <c r="V3185" s="12" t="s">
        <v>665</v>
      </c>
      <c r="W3185" s="12" t="s">
        <v>51</v>
      </c>
      <c r="X3185" s="13">
        <v>0</v>
      </c>
      <c r="Y3185" s="12" t="s">
        <v>53</v>
      </c>
      <c r="Z3185" s="12" t="s">
        <v>108</v>
      </c>
      <c r="AA3185" s="13">
        <v>0</v>
      </c>
      <c r="AB3185" s="13">
        <v>0</v>
      </c>
      <c r="AC3185" s="15">
        <v>36.4</v>
      </c>
      <c r="AD3185" s="15">
        <f>AC3185*AG3185</f>
        <v>36.4</v>
      </c>
      <c r="AE3185" s="15">
        <v>80</v>
      </c>
      <c r="AF3185" s="15">
        <f>AE3185*AG3185</f>
        <v>80</v>
      </c>
      <c r="AG3185" s="16">
        <v>1</v>
      </c>
    </row>
    <row r="3186" spans="1:33" ht="15" customHeight="1" x14ac:dyDescent="0.2">
      <c r="A3186" s="11" t="str">
        <f t="shared" ref="A3186:A3187" si="1172">HYPERLINK("https://assets.vans.eu/images/VN000MB2EB2-HERO/1","VN000MB2EB21")</f>
        <v>VN000MB2EB21</v>
      </c>
      <c r="B3186" s="12" t="s">
        <v>11596</v>
      </c>
      <c r="C3186" s="12" t="s">
        <v>3112</v>
      </c>
      <c r="D3186" s="12" t="s">
        <v>2693</v>
      </c>
      <c r="E3186" s="12" t="s">
        <v>11597</v>
      </c>
      <c r="F3186" s="13">
        <v>25</v>
      </c>
      <c r="G3186" s="14"/>
      <c r="H3186" s="12" t="s">
        <v>61</v>
      </c>
      <c r="I3186" s="12" t="s">
        <v>289</v>
      </c>
      <c r="J3186" s="12" t="s">
        <v>290</v>
      </c>
      <c r="K3186" s="12" t="s">
        <v>100</v>
      </c>
      <c r="L3186" s="14"/>
      <c r="M3186" s="12" t="s">
        <v>43</v>
      </c>
      <c r="N3186" s="12" t="s">
        <v>44</v>
      </c>
      <c r="O3186" s="12" t="s">
        <v>11598</v>
      </c>
      <c r="P3186" s="12" t="s">
        <v>66</v>
      </c>
      <c r="Q3186" s="12" t="s">
        <v>233</v>
      </c>
      <c r="R3186" s="12" t="s">
        <v>664</v>
      </c>
      <c r="S3186" s="13">
        <v>197643366584</v>
      </c>
      <c r="T3186" s="12" t="s">
        <v>235</v>
      </c>
      <c r="U3186" s="13">
        <v>25</v>
      </c>
      <c r="V3186" s="12" t="s">
        <v>665</v>
      </c>
      <c r="W3186" s="12" t="s">
        <v>51</v>
      </c>
      <c r="X3186" s="13">
        <v>0</v>
      </c>
      <c r="Y3186" s="12" t="s">
        <v>53</v>
      </c>
      <c r="Z3186" s="12" t="s">
        <v>108</v>
      </c>
      <c r="AA3186" s="13">
        <v>0</v>
      </c>
      <c r="AB3186" s="13">
        <v>0</v>
      </c>
      <c r="AC3186" s="15">
        <v>36.4</v>
      </c>
      <c r="AD3186" s="15">
        <f>AC3186*AG3186</f>
        <v>36.4</v>
      </c>
      <c r="AE3186" s="15">
        <v>80</v>
      </c>
      <c r="AF3186" s="15">
        <f>AE3186*AG3186</f>
        <v>80</v>
      </c>
      <c r="AG3186" s="16">
        <v>1</v>
      </c>
    </row>
    <row r="3187" spans="1:33" ht="15" customHeight="1" x14ac:dyDescent="0.2">
      <c r="A3187" s="11" t="str">
        <f t="shared" si="1172"/>
        <v>VN000MB2EB21</v>
      </c>
      <c r="B3187" s="12" t="s">
        <v>11599</v>
      </c>
      <c r="C3187" s="12" t="s">
        <v>3112</v>
      </c>
      <c r="D3187" s="12" t="s">
        <v>2693</v>
      </c>
      <c r="E3187" s="12" t="s">
        <v>11600</v>
      </c>
      <c r="F3187" s="13">
        <v>30</v>
      </c>
      <c r="G3187" s="14"/>
      <c r="H3187" s="12" t="s">
        <v>61</v>
      </c>
      <c r="I3187" s="12" t="s">
        <v>289</v>
      </c>
      <c r="J3187" s="12" t="s">
        <v>290</v>
      </c>
      <c r="K3187" s="12" t="s">
        <v>100</v>
      </c>
      <c r="L3187" s="14"/>
      <c r="M3187" s="12" t="s">
        <v>43</v>
      </c>
      <c r="N3187" s="12" t="s">
        <v>44</v>
      </c>
      <c r="O3187" s="12" t="s">
        <v>11601</v>
      </c>
      <c r="P3187" s="12" t="s">
        <v>66</v>
      </c>
      <c r="Q3187" s="12" t="s">
        <v>233</v>
      </c>
      <c r="R3187" s="12" t="s">
        <v>664</v>
      </c>
      <c r="S3187" s="13">
        <v>197643367017</v>
      </c>
      <c r="T3187" s="12" t="s">
        <v>235</v>
      </c>
      <c r="U3187" s="13">
        <v>30</v>
      </c>
      <c r="V3187" s="12" t="s">
        <v>665</v>
      </c>
      <c r="W3187" s="12" t="s">
        <v>51</v>
      </c>
      <c r="X3187" s="13">
        <v>0</v>
      </c>
      <c r="Y3187" s="12" t="s">
        <v>53</v>
      </c>
      <c r="Z3187" s="12" t="s">
        <v>108</v>
      </c>
      <c r="AA3187" s="13">
        <v>0</v>
      </c>
      <c r="AB3187" s="13">
        <v>0</v>
      </c>
      <c r="AC3187" s="15">
        <v>36.4</v>
      </c>
      <c r="AD3187" s="15">
        <f>AC3187*AG3187</f>
        <v>36.4</v>
      </c>
      <c r="AE3187" s="15">
        <v>80</v>
      </c>
      <c r="AF3187" s="15">
        <f>AE3187*AG3187</f>
        <v>80</v>
      </c>
      <c r="AG3187" s="16">
        <v>1</v>
      </c>
    </row>
    <row r="3188" spans="1:33" ht="15" customHeight="1" x14ac:dyDescent="0.2">
      <c r="A3188" s="11" t="str">
        <f>HYPERLINK("https://assets.vans.eu/images/VN000MB31O7-HERO/1","VN000MB31O71")</f>
        <v>VN000MB31O71</v>
      </c>
      <c r="B3188" s="12" t="s">
        <v>11602</v>
      </c>
      <c r="C3188" s="12" t="s">
        <v>8088</v>
      </c>
      <c r="D3188" s="12" t="s">
        <v>637</v>
      </c>
      <c r="E3188" s="12" t="s">
        <v>11603</v>
      </c>
      <c r="F3188" s="13">
        <v>29</v>
      </c>
      <c r="G3188" s="14"/>
      <c r="H3188" s="12" t="s">
        <v>61</v>
      </c>
      <c r="I3188" s="12" t="s">
        <v>289</v>
      </c>
      <c r="J3188" s="12" t="s">
        <v>290</v>
      </c>
      <c r="K3188" s="12" t="s">
        <v>100</v>
      </c>
      <c r="L3188" s="14"/>
      <c r="M3188" s="12" t="s">
        <v>43</v>
      </c>
      <c r="N3188" s="12" t="s">
        <v>44</v>
      </c>
      <c r="O3188" s="12" t="s">
        <v>11604</v>
      </c>
      <c r="P3188" s="12" t="s">
        <v>66</v>
      </c>
      <c r="Q3188" s="12" t="s">
        <v>233</v>
      </c>
      <c r="R3188" s="12" t="s">
        <v>664</v>
      </c>
      <c r="S3188" s="13">
        <v>197643367161</v>
      </c>
      <c r="T3188" s="12" t="s">
        <v>235</v>
      </c>
      <c r="U3188" s="13">
        <v>29</v>
      </c>
      <c r="V3188" s="12" t="s">
        <v>665</v>
      </c>
      <c r="W3188" s="12" t="s">
        <v>455</v>
      </c>
      <c r="X3188" s="13">
        <v>0</v>
      </c>
      <c r="Y3188" s="12" t="s">
        <v>91</v>
      </c>
      <c r="Z3188" s="12" t="s">
        <v>108</v>
      </c>
      <c r="AA3188" s="13">
        <v>0</v>
      </c>
      <c r="AB3188" s="13">
        <v>0</v>
      </c>
      <c r="AC3188" s="15">
        <v>34.1</v>
      </c>
      <c r="AD3188" s="15">
        <f>AC3188*AG3188</f>
        <v>34.1</v>
      </c>
      <c r="AE3188" s="15">
        <v>75</v>
      </c>
      <c r="AF3188" s="15">
        <f>AE3188*AG3188</f>
        <v>75</v>
      </c>
      <c r="AG3188" s="16">
        <v>1</v>
      </c>
    </row>
    <row r="3189" spans="1:33" ht="15" customHeight="1" x14ac:dyDescent="0.2">
      <c r="A3189" s="11" t="str">
        <f>HYPERLINK("https://assets.vans.eu/images/VN000MB3ZBF-HERO/1","VN000MB3ZBF1")</f>
        <v>VN000MB3ZBF1</v>
      </c>
      <c r="B3189" s="12" t="s">
        <v>11605</v>
      </c>
      <c r="C3189" s="12" t="s">
        <v>8088</v>
      </c>
      <c r="D3189" s="12" t="s">
        <v>680</v>
      </c>
      <c r="E3189" s="12" t="s">
        <v>11606</v>
      </c>
      <c r="F3189" s="13">
        <v>25</v>
      </c>
      <c r="G3189" s="14"/>
      <c r="H3189" s="12" t="s">
        <v>61</v>
      </c>
      <c r="I3189" s="12" t="s">
        <v>289</v>
      </c>
      <c r="J3189" s="12" t="s">
        <v>290</v>
      </c>
      <c r="K3189" s="12" t="s">
        <v>100</v>
      </c>
      <c r="L3189" s="14"/>
      <c r="M3189" s="12" t="s">
        <v>43</v>
      </c>
      <c r="N3189" s="12" t="s">
        <v>44</v>
      </c>
      <c r="O3189" s="12" t="s">
        <v>11607</v>
      </c>
      <c r="P3189" s="12" t="s">
        <v>66</v>
      </c>
      <c r="Q3189" s="12" t="s">
        <v>233</v>
      </c>
      <c r="R3189" s="12" t="s">
        <v>664</v>
      </c>
      <c r="S3189" s="13">
        <v>197643366645</v>
      </c>
      <c r="T3189" s="12" t="s">
        <v>235</v>
      </c>
      <c r="U3189" s="13">
        <v>25</v>
      </c>
      <c r="V3189" s="12" t="s">
        <v>665</v>
      </c>
      <c r="W3189" s="12" t="s">
        <v>118</v>
      </c>
      <c r="X3189" s="13">
        <v>0</v>
      </c>
      <c r="Y3189" s="12" t="s">
        <v>91</v>
      </c>
      <c r="Z3189" s="12" t="s">
        <v>108</v>
      </c>
      <c r="AA3189" s="13">
        <v>0</v>
      </c>
      <c r="AB3189" s="13">
        <v>0</v>
      </c>
      <c r="AC3189" s="15">
        <v>34.1</v>
      </c>
      <c r="AD3189" s="15">
        <f>AC3189*AG3189</f>
        <v>34.1</v>
      </c>
      <c r="AE3189" s="15">
        <v>75</v>
      </c>
      <c r="AF3189" s="15">
        <f>AE3189*AG3189</f>
        <v>75</v>
      </c>
      <c r="AG3189" s="16">
        <v>1</v>
      </c>
    </row>
    <row r="3190" spans="1:33" ht="15" customHeight="1" x14ac:dyDescent="0.2">
      <c r="A3190" s="11" t="str">
        <f>HYPERLINK("https://assets.vans.eu/images/VN000MB5F2D-HERO/1","VN000MB5F2D1")</f>
        <v>VN000MB5F2D1</v>
      </c>
      <c r="B3190" s="12" t="s">
        <v>11608</v>
      </c>
      <c r="C3190" s="12" t="s">
        <v>4150</v>
      </c>
      <c r="D3190" s="12" t="s">
        <v>11609</v>
      </c>
      <c r="E3190" s="12" t="s">
        <v>11610</v>
      </c>
      <c r="F3190" s="13">
        <v>30</v>
      </c>
      <c r="G3190" s="14"/>
      <c r="H3190" s="12" t="s">
        <v>61</v>
      </c>
      <c r="I3190" s="12" t="s">
        <v>289</v>
      </c>
      <c r="J3190" s="12" t="s">
        <v>290</v>
      </c>
      <c r="K3190" s="12" t="s">
        <v>100</v>
      </c>
      <c r="L3190" s="14"/>
      <c r="M3190" s="12" t="s">
        <v>43</v>
      </c>
      <c r="N3190" s="12" t="s">
        <v>84</v>
      </c>
      <c r="O3190" s="12" t="s">
        <v>11611</v>
      </c>
      <c r="P3190" s="12" t="s">
        <v>66</v>
      </c>
      <c r="Q3190" s="12" t="s">
        <v>233</v>
      </c>
      <c r="R3190" s="12" t="s">
        <v>664</v>
      </c>
      <c r="S3190" s="13">
        <v>197804388493</v>
      </c>
      <c r="T3190" s="12" t="s">
        <v>235</v>
      </c>
      <c r="U3190" s="13">
        <v>30</v>
      </c>
      <c r="V3190" s="12" t="s">
        <v>665</v>
      </c>
      <c r="W3190" s="12" t="s">
        <v>284</v>
      </c>
      <c r="X3190" s="14"/>
      <c r="Y3190" s="14"/>
      <c r="Z3190" s="14"/>
      <c r="AA3190" s="14"/>
      <c r="AB3190" s="14"/>
      <c r="AC3190" s="15">
        <v>34.1</v>
      </c>
      <c r="AD3190" s="15">
        <f>AC3190*AG3190</f>
        <v>34.1</v>
      </c>
      <c r="AE3190" s="15">
        <v>75</v>
      </c>
      <c r="AF3190" s="15">
        <f>AE3190*AG3190</f>
        <v>75</v>
      </c>
      <c r="AG3190" s="16">
        <v>1</v>
      </c>
    </row>
    <row r="3191" spans="1:33" ht="15" customHeight="1" x14ac:dyDescent="0.2">
      <c r="A3191" s="11" t="str">
        <f>HYPERLINK("https://assets.vans.eu/images/VN000MBB4MG-HERO/1","VN000MBB4MG1")</f>
        <v>VN000MBB4MG1</v>
      </c>
      <c r="B3191" s="12" t="s">
        <v>11612</v>
      </c>
      <c r="C3191" s="12" t="s">
        <v>1020</v>
      </c>
      <c r="D3191" s="12" t="s">
        <v>7051</v>
      </c>
      <c r="E3191" s="12" t="s">
        <v>11613</v>
      </c>
      <c r="F3191" s="13">
        <v>32</v>
      </c>
      <c r="G3191" s="14"/>
      <c r="H3191" s="12" t="s">
        <v>61</v>
      </c>
      <c r="I3191" s="12" t="s">
        <v>289</v>
      </c>
      <c r="J3191" s="12" t="s">
        <v>290</v>
      </c>
      <c r="K3191" s="12" t="s">
        <v>100</v>
      </c>
      <c r="L3191" s="14"/>
      <c r="M3191" s="12" t="s">
        <v>43</v>
      </c>
      <c r="N3191" s="12" t="s">
        <v>44</v>
      </c>
      <c r="O3191" s="12" t="s">
        <v>11614</v>
      </c>
      <c r="P3191" s="12" t="s">
        <v>66</v>
      </c>
      <c r="Q3191" s="12" t="s">
        <v>233</v>
      </c>
      <c r="R3191" s="12" t="s">
        <v>292</v>
      </c>
      <c r="S3191" s="13">
        <v>197643368373</v>
      </c>
      <c r="T3191" s="12" t="s">
        <v>235</v>
      </c>
      <c r="U3191" s="13">
        <v>32</v>
      </c>
      <c r="V3191" s="12" t="s">
        <v>665</v>
      </c>
      <c r="W3191" s="12" t="s">
        <v>51</v>
      </c>
      <c r="X3191" s="13">
        <v>0</v>
      </c>
      <c r="Y3191" s="12" t="s">
        <v>91</v>
      </c>
      <c r="Z3191" s="12" t="s">
        <v>108</v>
      </c>
      <c r="AA3191" s="13">
        <v>0</v>
      </c>
      <c r="AB3191" s="13">
        <v>0</v>
      </c>
      <c r="AC3191" s="15">
        <v>25</v>
      </c>
      <c r="AD3191" s="15">
        <f>AC3191*AG3191</f>
        <v>25</v>
      </c>
      <c r="AE3191" s="15">
        <v>55</v>
      </c>
      <c r="AF3191" s="15">
        <f>AE3191*AG3191</f>
        <v>55</v>
      </c>
      <c r="AG3191" s="16">
        <v>1</v>
      </c>
    </row>
    <row r="3192" spans="1:33" ht="15" customHeight="1" x14ac:dyDescent="0.2">
      <c r="A3192" s="11" t="str">
        <f t="shared" si="882"/>
        <v>VN000MBEFS81</v>
      </c>
      <c r="B3192" s="12" t="s">
        <v>11615</v>
      </c>
      <c r="C3192" s="12" t="s">
        <v>1581</v>
      </c>
      <c r="D3192" s="12" t="s">
        <v>239</v>
      </c>
      <c r="E3192" s="12" t="s">
        <v>11616</v>
      </c>
      <c r="F3192" s="13">
        <v>30</v>
      </c>
      <c r="G3192" s="14"/>
      <c r="H3192" s="12" t="s">
        <v>61</v>
      </c>
      <c r="I3192" s="12" t="s">
        <v>289</v>
      </c>
      <c r="J3192" s="12" t="s">
        <v>290</v>
      </c>
      <c r="K3192" s="12" t="s">
        <v>100</v>
      </c>
      <c r="L3192" s="14"/>
      <c r="M3192" s="12" t="s">
        <v>43</v>
      </c>
      <c r="N3192" s="12" t="s">
        <v>44</v>
      </c>
      <c r="O3192" s="12" t="s">
        <v>11617</v>
      </c>
      <c r="P3192" s="12" t="s">
        <v>66</v>
      </c>
      <c r="Q3192" s="12" t="s">
        <v>233</v>
      </c>
      <c r="R3192" s="12" t="s">
        <v>292</v>
      </c>
      <c r="S3192" s="13">
        <v>197643566861</v>
      </c>
      <c r="T3192" s="12" t="s">
        <v>235</v>
      </c>
      <c r="U3192" s="13">
        <v>30</v>
      </c>
      <c r="V3192" s="12" t="s">
        <v>665</v>
      </c>
      <c r="W3192" s="12" t="s">
        <v>175</v>
      </c>
      <c r="X3192" s="13">
        <v>0</v>
      </c>
      <c r="Y3192" s="12" t="s">
        <v>91</v>
      </c>
      <c r="Z3192" s="12" t="s">
        <v>108</v>
      </c>
      <c r="AA3192" s="13">
        <v>0</v>
      </c>
      <c r="AB3192" s="13">
        <v>0</v>
      </c>
      <c r="AC3192" s="15">
        <v>27.3</v>
      </c>
      <c r="AD3192" s="15">
        <f>AC3192*AG3192</f>
        <v>27.3</v>
      </c>
      <c r="AE3192" s="15">
        <v>60</v>
      </c>
      <c r="AF3192" s="15">
        <f>AE3192*AG3192</f>
        <v>60</v>
      </c>
      <c r="AG3192" s="16">
        <v>1</v>
      </c>
    </row>
    <row r="3193" spans="1:33" ht="15" customHeight="1" x14ac:dyDescent="0.2">
      <c r="A3193" s="11" t="str">
        <f t="shared" si="692"/>
        <v>VN000MBX1O71</v>
      </c>
      <c r="B3193" s="12" t="s">
        <v>11618</v>
      </c>
      <c r="C3193" s="12" t="s">
        <v>2227</v>
      </c>
      <c r="D3193" s="12" t="s">
        <v>637</v>
      </c>
      <c r="E3193" s="12" t="s">
        <v>11619</v>
      </c>
      <c r="F3193" s="12" t="s">
        <v>138</v>
      </c>
      <c r="G3193" s="14"/>
      <c r="H3193" s="12" t="s">
        <v>61</v>
      </c>
      <c r="I3193" s="12" t="s">
        <v>289</v>
      </c>
      <c r="J3193" s="12" t="s">
        <v>706</v>
      </c>
      <c r="K3193" s="12" t="s">
        <v>100</v>
      </c>
      <c r="L3193" s="14"/>
      <c r="M3193" s="12" t="s">
        <v>43</v>
      </c>
      <c r="N3193" s="12" t="s">
        <v>44</v>
      </c>
      <c r="O3193" s="12" t="s">
        <v>11620</v>
      </c>
      <c r="P3193" s="12" t="s">
        <v>66</v>
      </c>
      <c r="Q3193" s="12" t="s">
        <v>67</v>
      </c>
      <c r="R3193" s="12" t="s">
        <v>1146</v>
      </c>
      <c r="S3193" s="13">
        <v>197643369127</v>
      </c>
      <c r="T3193" s="12" t="s">
        <v>709</v>
      </c>
      <c r="U3193" s="12" t="s">
        <v>138</v>
      </c>
      <c r="V3193" s="12" t="s">
        <v>2230</v>
      </c>
      <c r="W3193" s="12" t="s">
        <v>455</v>
      </c>
      <c r="X3193" s="13">
        <v>0</v>
      </c>
      <c r="Y3193" s="12" t="s">
        <v>91</v>
      </c>
      <c r="Z3193" s="12" t="s">
        <v>108</v>
      </c>
      <c r="AA3193" s="13">
        <v>0</v>
      </c>
      <c r="AB3193" s="13">
        <v>0</v>
      </c>
      <c r="AC3193" s="15">
        <v>13.65</v>
      </c>
      <c r="AD3193" s="15">
        <f>AC3193*AG3193</f>
        <v>13.65</v>
      </c>
      <c r="AE3193" s="15">
        <v>30</v>
      </c>
      <c r="AF3193" s="15">
        <f>AE3193*AG3193</f>
        <v>30</v>
      </c>
      <c r="AG3193" s="16">
        <v>1</v>
      </c>
    </row>
    <row r="3194" spans="1:33" ht="15" customHeight="1" x14ac:dyDescent="0.2">
      <c r="A3194" s="11" t="str">
        <f t="shared" si="884"/>
        <v>VN000MBXFS81</v>
      </c>
      <c r="B3194" s="12" t="s">
        <v>11621</v>
      </c>
      <c r="C3194" s="12" t="s">
        <v>2227</v>
      </c>
      <c r="D3194" s="12" t="s">
        <v>239</v>
      </c>
      <c r="E3194" s="12" t="s">
        <v>11622</v>
      </c>
      <c r="F3194" s="12" t="s">
        <v>60</v>
      </c>
      <c r="G3194" s="14"/>
      <c r="H3194" s="12" t="s">
        <v>61</v>
      </c>
      <c r="I3194" s="12" t="s">
        <v>289</v>
      </c>
      <c r="J3194" s="12" t="s">
        <v>706</v>
      </c>
      <c r="K3194" s="12" t="s">
        <v>100</v>
      </c>
      <c r="L3194" s="14"/>
      <c r="M3194" s="12" t="s">
        <v>43</v>
      </c>
      <c r="N3194" s="12" t="s">
        <v>44</v>
      </c>
      <c r="O3194" s="12" t="s">
        <v>11623</v>
      </c>
      <c r="P3194" s="12" t="s">
        <v>66</v>
      </c>
      <c r="Q3194" s="12" t="s">
        <v>67</v>
      </c>
      <c r="R3194" s="12" t="s">
        <v>1146</v>
      </c>
      <c r="S3194" s="13">
        <v>197643368670</v>
      </c>
      <c r="T3194" s="12" t="s">
        <v>709</v>
      </c>
      <c r="U3194" s="12" t="s">
        <v>60</v>
      </c>
      <c r="V3194" s="12" t="s">
        <v>2230</v>
      </c>
      <c r="W3194" s="12" t="s">
        <v>175</v>
      </c>
      <c r="X3194" s="13">
        <v>0</v>
      </c>
      <c r="Y3194" s="12" t="s">
        <v>91</v>
      </c>
      <c r="Z3194" s="12" t="s">
        <v>108</v>
      </c>
      <c r="AA3194" s="13">
        <v>0</v>
      </c>
      <c r="AB3194" s="13">
        <v>0</v>
      </c>
      <c r="AC3194" s="15">
        <v>13.65</v>
      </c>
      <c r="AD3194" s="15">
        <f>AC3194*AG3194</f>
        <v>13.65</v>
      </c>
      <c r="AE3194" s="15">
        <v>30</v>
      </c>
      <c r="AF3194" s="15">
        <f>AE3194*AG3194</f>
        <v>30</v>
      </c>
      <c r="AG3194" s="16">
        <v>1</v>
      </c>
    </row>
    <row r="3195" spans="1:33" ht="15" customHeight="1" x14ac:dyDescent="0.2">
      <c r="A3195" s="11" t="str">
        <f t="shared" si="693"/>
        <v>VN000MC0WHT1</v>
      </c>
      <c r="B3195" s="12" t="s">
        <v>11624</v>
      </c>
      <c r="C3195" s="12" t="s">
        <v>2898</v>
      </c>
      <c r="D3195" s="12" t="s">
        <v>168</v>
      </c>
      <c r="E3195" s="12" t="s">
        <v>11625</v>
      </c>
      <c r="F3195" s="12" t="s">
        <v>179</v>
      </c>
      <c r="G3195" s="14"/>
      <c r="H3195" s="12" t="s">
        <v>61</v>
      </c>
      <c r="I3195" s="12" t="s">
        <v>289</v>
      </c>
      <c r="J3195" s="12" t="s">
        <v>706</v>
      </c>
      <c r="K3195" s="12" t="s">
        <v>100</v>
      </c>
      <c r="L3195" s="14"/>
      <c r="M3195" s="12" t="s">
        <v>43</v>
      </c>
      <c r="N3195" s="12" t="s">
        <v>44</v>
      </c>
      <c r="O3195" s="12" t="s">
        <v>11626</v>
      </c>
      <c r="P3195" s="12" t="s">
        <v>66</v>
      </c>
      <c r="Q3195" s="12" t="s">
        <v>67</v>
      </c>
      <c r="R3195" s="12" t="s">
        <v>1146</v>
      </c>
      <c r="S3195" s="13">
        <v>197643369110</v>
      </c>
      <c r="T3195" s="12" t="s">
        <v>49</v>
      </c>
      <c r="U3195" s="12" t="s">
        <v>179</v>
      </c>
      <c r="V3195" s="12" t="s">
        <v>2556</v>
      </c>
      <c r="W3195" s="12" t="s">
        <v>175</v>
      </c>
      <c r="X3195" s="13">
        <v>0</v>
      </c>
      <c r="Y3195" s="12" t="s">
        <v>91</v>
      </c>
      <c r="Z3195" s="12" t="s">
        <v>108</v>
      </c>
      <c r="AA3195" s="13">
        <v>0</v>
      </c>
      <c r="AB3195" s="13">
        <v>0</v>
      </c>
      <c r="AC3195" s="15">
        <v>15.5</v>
      </c>
      <c r="AD3195" s="15">
        <f>AC3195*AG3195</f>
        <v>15.5</v>
      </c>
      <c r="AE3195" s="15">
        <v>34</v>
      </c>
      <c r="AF3195" s="15">
        <f>AE3195*AG3195</f>
        <v>34</v>
      </c>
      <c r="AG3195" s="16">
        <v>1</v>
      </c>
    </row>
    <row r="3196" spans="1:33" ht="15" customHeight="1" x14ac:dyDescent="0.2">
      <c r="A3196" s="11" t="str">
        <f>HYPERLINK("https://assets.vans.eu/images/VN000MC1BLK-HERO/1","VN000MC1BLK1")</f>
        <v>VN000MC1BLK1</v>
      </c>
      <c r="B3196" s="12" t="s">
        <v>11627</v>
      </c>
      <c r="C3196" s="12" t="s">
        <v>11628</v>
      </c>
      <c r="D3196" s="12" t="s">
        <v>76</v>
      </c>
      <c r="E3196" s="12" t="s">
        <v>11629</v>
      </c>
      <c r="F3196" s="12" t="s">
        <v>138</v>
      </c>
      <c r="G3196" s="14"/>
      <c r="H3196" s="12" t="s">
        <v>61</v>
      </c>
      <c r="I3196" s="12" t="s">
        <v>289</v>
      </c>
      <c r="J3196" s="12" t="s">
        <v>706</v>
      </c>
      <c r="K3196" s="12" t="s">
        <v>100</v>
      </c>
      <c r="L3196" s="14"/>
      <c r="M3196" s="12" t="s">
        <v>43</v>
      </c>
      <c r="N3196" s="12" t="s">
        <v>44</v>
      </c>
      <c r="O3196" s="12" t="s">
        <v>11630</v>
      </c>
      <c r="P3196" s="12" t="s">
        <v>66</v>
      </c>
      <c r="Q3196" s="12" t="s">
        <v>67</v>
      </c>
      <c r="R3196" s="12" t="s">
        <v>1146</v>
      </c>
      <c r="S3196" s="13">
        <v>197643369684</v>
      </c>
      <c r="T3196" s="12" t="s">
        <v>69</v>
      </c>
      <c r="U3196" s="12" t="s">
        <v>138</v>
      </c>
      <c r="V3196" s="12" t="s">
        <v>4165</v>
      </c>
      <c r="W3196" s="12" t="s">
        <v>51</v>
      </c>
      <c r="X3196" s="13">
        <v>0</v>
      </c>
      <c r="Y3196" s="12" t="s">
        <v>91</v>
      </c>
      <c r="Z3196" s="12" t="s">
        <v>108</v>
      </c>
      <c r="AA3196" s="13">
        <v>0</v>
      </c>
      <c r="AB3196" s="13">
        <v>0</v>
      </c>
      <c r="AC3196" s="15">
        <v>14.55</v>
      </c>
      <c r="AD3196" s="15">
        <f>AC3196*AG3196</f>
        <v>14.55</v>
      </c>
      <c r="AE3196" s="15">
        <v>32</v>
      </c>
      <c r="AF3196" s="15">
        <f>AE3196*AG3196</f>
        <v>32</v>
      </c>
      <c r="AG3196" s="16">
        <v>1</v>
      </c>
    </row>
    <row r="3197" spans="1:33" ht="15" customHeight="1" x14ac:dyDescent="0.2">
      <c r="A3197" s="11" t="str">
        <f>HYPERLINK("https://assets.vans.eu/images/VN000MCP1O7-HERO/1","VN000MCP1O71")</f>
        <v>VN000MCP1O71</v>
      </c>
      <c r="B3197" s="12" t="s">
        <v>11631</v>
      </c>
      <c r="C3197" s="12" t="s">
        <v>11632</v>
      </c>
      <c r="D3197" s="12" t="s">
        <v>637</v>
      </c>
      <c r="E3197" s="12" t="s">
        <v>11633</v>
      </c>
      <c r="F3197" s="12" t="s">
        <v>153</v>
      </c>
      <c r="G3197" s="14"/>
      <c r="H3197" s="12" t="s">
        <v>61</v>
      </c>
      <c r="I3197" s="12" t="s">
        <v>289</v>
      </c>
      <c r="J3197" s="12" t="s">
        <v>706</v>
      </c>
      <c r="K3197" s="12" t="s">
        <v>100</v>
      </c>
      <c r="L3197" s="12" t="s">
        <v>42</v>
      </c>
      <c r="M3197" s="12" t="s">
        <v>43</v>
      </c>
      <c r="N3197" s="12" t="s">
        <v>44</v>
      </c>
      <c r="O3197" s="12" t="s">
        <v>11634</v>
      </c>
      <c r="P3197" s="12" t="s">
        <v>66</v>
      </c>
      <c r="Q3197" s="12" t="s">
        <v>67</v>
      </c>
      <c r="R3197" s="12" t="s">
        <v>1146</v>
      </c>
      <c r="S3197" s="13">
        <v>197803400820</v>
      </c>
      <c r="T3197" s="12" t="s">
        <v>69</v>
      </c>
      <c r="U3197" s="12" t="s">
        <v>153</v>
      </c>
      <c r="V3197" s="12" t="s">
        <v>70</v>
      </c>
      <c r="W3197" s="12" t="s">
        <v>455</v>
      </c>
      <c r="X3197" s="13">
        <v>0</v>
      </c>
      <c r="Y3197" s="12" t="s">
        <v>91</v>
      </c>
      <c r="Z3197" s="12" t="s">
        <v>92</v>
      </c>
      <c r="AA3197" s="13">
        <v>0</v>
      </c>
      <c r="AB3197" s="12" t="s">
        <v>55</v>
      </c>
      <c r="AC3197" s="15">
        <v>20.5</v>
      </c>
      <c r="AD3197" s="15">
        <f>AC3197*AG3197</f>
        <v>20.5</v>
      </c>
      <c r="AE3197" s="15">
        <v>45</v>
      </c>
      <c r="AF3197" s="15">
        <f>AE3197*AG3197</f>
        <v>45</v>
      </c>
      <c r="AG3197" s="16">
        <v>1</v>
      </c>
    </row>
    <row r="3198" spans="1:33" ht="15" customHeight="1" x14ac:dyDescent="0.2">
      <c r="A3198" s="11" t="str">
        <f t="shared" si="694"/>
        <v>VN000MCRBLK1</v>
      </c>
      <c r="B3198" s="12" t="s">
        <v>11635</v>
      </c>
      <c r="C3198" s="12" t="s">
        <v>6481</v>
      </c>
      <c r="D3198" s="12" t="s">
        <v>76</v>
      </c>
      <c r="E3198" s="12" t="s">
        <v>11636</v>
      </c>
      <c r="F3198" s="12" t="s">
        <v>60</v>
      </c>
      <c r="G3198" s="14"/>
      <c r="H3198" s="12" t="s">
        <v>61</v>
      </c>
      <c r="I3198" s="12" t="s">
        <v>289</v>
      </c>
      <c r="J3198" s="12" t="s">
        <v>706</v>
      </c>
      <c r="K3198" s="12" t="s">
        <v>100</v>
      </c>
      <c r="L3198" s="14"/>
      <c r="M3198" s="12" t="s">
        <v>43</v>
      </c>
      <c r="N3198" s="12" t="s">
        <v>44</v>
      </c>
      <c r="O3198" s="12" t="s">
        <v>11637</v>
      </c>
      <c r="P3198" s="12" t="s">
        <v>66</v>
      </c>
      <c r="Q3198" s="12" t="s">
        <v>67</v>
      </c>
      <c r="R3198" s="12" t="s">
        <v>1146</v>
      </c>
      <c r="S3198" s="13">
        <v>197643371021</v>
      </c>
      <c r="T3198" s="12" t="s">
        <v>499</v>
      </c>
      <c r="U3198" s="12" t="s">
        <v>60</v>
      </c>
      <c r="V3198" s="12" t="s">
        <v>70</v>
      </c>
      <c r="W3198" s="12" t="s">
        <v>51</v>
      </c>
      <c r="X3198" s="13">
        <v>0</v>
      </c>
      <c r="Y3198" s="12" t="s">
        <v>91</v>
      </c>
      <c r="Z3198" s="12" t="s">
        <v>108</v>
      </c>
      <c r="AA3198" s="13">
        <v>0</v>
      </c>
      <c r="AB3198" s="13">
        <v>0</v>
      </c>
      <c r="AC3198" s="15">
        <v>20.5</v>
      </c>
      <c r="AD3198" s="15">
        <f>AC3198*AG3198</f>
        <v>20.5</v>
      </c>
      <c r="AE3198" s="15">
        <v>45</v>
      </c>
      <c r="AF3198" s="15">
        <f>AE3198*AG3198</f>
        <v>45</v>
      </c>
      <c r="AG3198" s="16">
        <v>1</v>
      </c>
    </row>
    <row r="3199" spans="1:33" ht="15" customHeight="1" x14ac:dyDescent="0.2">
      <c r="A3199" s="11" t="str">
        <f>HYPERLINK("https://assets.vans.eu/images/VN000MCU1O7-HERO/1","VN000MCU1O71")</f>
        <v>VN000MCU1O71</v>
      </c>
      <c r="B3199" s="12" t="s">
        <v>11638</v>
      </c>
      <c r="C3199" s="12" t="s">
        <v>11639</v>
      </c>
      <c r="D3199" s="12" t="s">
        <v>637</v>
      </c>
      <c r="E3199" s="12" t="s">
        <v>11640</v>
      </c>
      <c r="F3199" s="12" t="s">
        <v>138</v>
      </c>
      <c r="G3199" s="14"/>
      <c r="H3199" s="12" t="s">
        <v>61</v>
      </c>
      <c r="I3199" s="12" t="s">
        <v>289</v>
      </c>
      <c r="J3199" s="12" t="s">
        <v>706</v>
      </c>
      <c r="K3199" s="12" t="s">
        <v>100</v>
      </c>
      <c r="L3199" s="14"/>
      <c r="M3199" s="12" t="s">
        <v>43</v>
      </c>
      <c r="N3199" s="12" t="s">
        <v>44</v>
      </c>
      <c r="O3199" s="12" t="s">
        <v>11641</v>
      </c>
      <c r="P3199" s="12" t="s">
        <v>66</v>
      </c>
      <c r="Q3199" s="12" t="s">
        <v>67</v>
      </c>
      <c r="R3199" s="12" t="s">
        <v>1146</v>
      </c>
      <c r="S3199" s="13">
        <v>197803400677</v>
      </c>
      <c r="T3199" s="12" t="s">
        <v>69</v>
      </c>
      <c r="U3199" s="12" t="s">
        <v>138</v>
      </c>
      <c r="V3199" s="12" t="s">
        <v>70</v>
      </c>
      <c r="W3199" s="12" t="s">
        <v>455</v>
      </c>
      <c r="X3199" s="13">
        <v>0</v>
      </c>
      <c r="Y3199" s="12" t="s">
        <v>91</v>
      </c>
      <c r="Z3199" s="12" t="s">
        <v>108</v>
      </c>
      <c r="AA3199" s="13">
        <v>0</v>
      </c>
      <c r="AB3199" s="13">
        <v>0</v>
      </c>
      <c r="AC3199" s="15">
        <v>20.5</v>
      </c>
      <c r="AD3199" s="15">
        <f>AC3199*AG3199</f>
        <v>20.5</v>
      </c>
      <c r="AE3199" s="15">
        <v>45</v>
      </c>
      <c r="AF3199" s="15">
        <f>AE3199*AG3199</f>
        <v>45</v>
      </c>
      <c r="AG3199" s="16">
        <v>1</v>
      </c>
    </row>
    <row r="3200" spans="1:33" ht="15" customHeight="1" x14ac:dyDescent="0.2">
      <c r="A3200" s="11" t="str">
        <f>HYPERLINK("https://assets.vans.eu/images/VN000MDBBLK-HERO/1","VN000MDBBLK1")</f>
        <v>VN000MDBBLK1</v>
      </c>
      <c r="B3200" s="12" t="s">
        <v>11642</v>
      </c>
      <c r="C3200" s="12" t="s">
        <v>11643</v>
      </c>
      <c r="D3200" s="12" t="s">
        <v>76</v>
      </c>
      <c r="E3200" s="12" t="s">
        <v>11644</v>
      </c>
      <c r="F3200" s="12" t="s">
        <v>403</v>
      </c>
      <c r="G3200" s="14"/>
      <c r="H3200" s="12" t="s">
        <v>61</v>
      </c>
      <c r="I3200" s="12" t="s">
        <v>289</v>
      </c>
      <c r="J3200" s="12" t="s">
        <v>706</v>
      </c>
      <c r="K3200" s="12" t="s">
        <v>100</v>
      </c>
      <c r="L3200" s="14"/>
      <c r="M3200" s="12" t="s">
        <v>43</v>
      </c>
      <c r="N3200" s="12" t="s">
        <v>44</v>
      </c>
      <c r="O3200" s="12" t="s">
        <v>11645</v>
      </c>
      <c r="P3200" s="12" t="s">
        <v>66</v>
      </c>
      <c r="Q3200" s="12" t="s">
        <v>67</v>
      </c>
      <c r="R3200" s="12" t="s">
        <v>1146</v>
      </c>
      <c r="S3200" s="13">
        <v>197803426325</v>
      </c>
      <c r="T3200" s="12" t="s">
        <v>69</v>
      </c>
      <c r="U3200" s="12" t="s">
        <v>403</v>
      </c>
      <c r="V3200" s="12" t="s">
        <v>70</v>
      </c>
      <c r="W3200" s="12" t="s">
        <v>51</v>
      </c>
      <c r="X3200" s="13">
        <v>0</v>
      </c>
      <c r="Y3200" s="12" t="s">
        <v>53</v>
      </c>
      <c r="Z3200" s="12" t="s">
        <v>108</v>
      </c>
      <c r="AA3200" s="13">
        <v>0</v>
      </c>
      <c r="AB3200" s="13">
        <v>0</v>
      </c>
      <c r="AC3200" s="15">
        <v>19.100000000000001</v>
      </c>
      <c r="AD3200" s="15">
        <f>AC3200*AG3200</f>
        <v>19.100000000000001</v>
      </c>
      <c r="AE3200" s="15">
        <v>42</v>
      </c>
      <c r="AF3200" s="15">
        <f>AE3200*AG3200</f>
        <v>42</v>
      </c>
      <c r="AG3200" s="16">
        <v>1</v>
      </c>
    </row>
    <row r="3201" spans="1:33" ht="15" customHeight="1" x14ac:dyDescent="0.2">
      <c r="A3201" s="11" t="str">
        <f t="shared" si="695"/>
        <v>VN000MDSYB21</v>
      </c>
      <c r="B3201" s="12" t="s">
        <v>11646</v>
      </c>
      <c r="C3201" s="12" t="s">
        <v>6485</v>
      </c>
      <c r="D3201" s="12" t="s">
        <v>1138</v>
      </c>
      <c r="E3201" s="12" t="s">
        <v>11647</v>
      </c>
      <c r="F3201" s="12" t="s">
        <v>179</v>
      </c>
      <c r="G3201" s="14"/>
      <c r="H3201" s="12" t="s">
        <v>61</v>
      </c>
      <c r="I3201" s="12" t="s">
        <v>62</v>
      </c>
      <c r="J3201" s="12" t="s">
        <v>63</v>
      </c>
      <c r="K3201" s="12" t="s">
        <v>1022</v>
      </c>
      <c r="L3201" s="14"/>
      <c r="M3201" s="12" t="s">
        <v>43</v>
      </c>
      <c r="N3201" s="12" t="s">
        <v>44</v>
      </c>
      <c r="O3201" s="12" t="s">
        <v>11648</v>
      </c>
      <c r="P3201" s="12" t="s">
        <v>66</v>
      </c>
      <c r="Q3201" s="12" t="s">
        <v>67</v>
      </c>
      <c r="R3201" s="12" t="s">
        <v>68</v>
      </c>
      <c r="S3201" s="13">
        <v>197643371823</v>
      </c>
      <c r="T3201" s="12" t="s">
        <v>49</v>
      </c>
      <c r="U3201" s="12" t="s">
        <v>179</v>
      </c>
      <c r="V3201" s="12" t="s">
        <v>6488</v>
      </c>
      <c r="W3201" s="12" t="s">
        <v>175</v>
      </c>
      <c r="X3201" s="13">
        <v>0</v>
      </c>
      <c r="Y3201" s="12" t="s">
        <v>91</v>
      </c>
      <c r="Z3201" s="12" t="s">
        <v>108</v>
      </c>
      <c r="AA3201" s="13">
        <v>0</v>
      </c>
      <c r="AB3201" s="13">
        <v>0</v>
      </c>
      <c r="AC3201" s="15">
        <v>11.85</v>
      </c>
      <c r="AD3201" s="15">
        <f>AC3201*AG3201</f>
        <v>11.85</v>
      </c>
      <c r="AE3201" s="15">
        <v>26</v>
      </c>
      <c r="AF3201" s="15">
        <f>AE3201*AG3201</f>
        <v>26</v>
      </c>
      <c r="AG3201" s="16">
        <v>1</v>
      </c>
    </row>
    <row r="3202" spans="1:33" ht="15" customHeight="1" x14ac:dyDescent="0.2">
      <c r="A3202" s="11" t="str">
        <f t="shared" si="350"/>
        <v>VN000MEPJDU1</v>
      </c>
      <c r="B3202" s="12" t="s">
        <v>11649</v>
      </c>
      <c r="C3202" s="12" t="s">
        <v>1020</v>
      </c>
      <c r="D3202" s="12" t="s">
        <v>814</v>
      </c>
      <c r="E3202" s="12" t="s">
        <v>11650</v>
      </c>
      <c r="F3202" s="13">
        <v>7</v>
      </c>
      <c r="G3202" s="14"/>
      <c r="H3202" s="12" t="s">
        <v>61</v>
      </c>
      <c r="I3202" s="12" t="s">
        <v>62</v>
      </c>
      <c r="J3202" s="12" t="s">
        <v>972</v>
      </c>
      <c r="K3202" s="12" t="s">
        <v>1022</v>
      </c>
      <c r="L3202" s="14"/>
      <c r="M3202" s="12" t="s">
        <v>43</v>
      </c>
      <c r="N3202" s="12" t="s">
        <v>44</v>
      </c>
      <c r="O3202" s="12" t="s">
        <v>11651</v>
      </c>
      <c r="P3202" s="12" t="s">
        <v>66</v>
      </c>
      <c r="Q3202" s="12" t="s">
        <v>233</v>
      </c>
      <c r="R3202" s="12" t="s">
        <v>1024</v>
      </c>
      <c r="S3202" s="13">
        <v>197643372301</v>
      </c>
      <c r="T3202" s="12" t="s">
        <v>235</v>
      </c>
      <c r="U3202" s="13">
        <v>7</v>
      </c>
      <c r="V3202" s="12" t="s">
        <v>665</v>
      </c>
      <c r="W3202" s="12" t="s">
        <v>284</v>
      </c>
      <c r="X3202" s="13">
        <v>0</v>
      </c>
      <c r="Y3202" s="12" t="s">
        <v>91</v>
      </c>
      <c r="Z3202" s="12" t="s">
        <v>108</v>
      </c>
      <c r="AA3202" s="13">
        <v>0</v>
      </c>
      <c r="AB3202" s="13">
        <v>0</v>
      </c>
      <c r="AC3202" s="15">
        <v>20.5</v>
      </c>
      <c r="AD3202" s="15">
        <f>AC3202*AG3202</f>
        <v>20.5</v>
      </c>
      <c r="AE3202" s="15">
        <v>45</v>
      </c>
      <c r="AF3202" s="15">
        <f>AE3202*AG3202</f>
        <v>45</v>
      </c>
      <c r="AG3202" s="16">
        <v>1</v>
      </c>
    </row>
    <row r="3203" spans="1:33" ht="15" customHeight="1" x14ac:dyDescent="0.2">
      <c r="A3203" s="11" t="str">
        <f>HYPERLINK("https://assets.vans.eu/images/VN000MEZWHT-HERO/1","VN000MEZWHT1")</f>
        <v>VN000MEZWHT1</v>
      </c>
      <c r="B3203" s="12" t="s">
        <v>11652</v>
      </c>
      <c r="C3203" s="12" t="s">
        <v>11653</v>
      </c>
      <c r="D3203" s="12" t="s">
        <v>168</v>
      </c>
      <c r="E3203" s="12" t="s">
        <v>11654</v>
      </c>
      <c r="F3203" s="12" t="s">
        <v>60</v>
      </c>
      <c r="G3203" s="14"/>
      <c r="H3203" s="12" t="s">
        <v>61</v>
      </c>
      <c r="I3203" s="12" t="s">
        <v>62</v>
      </c>
      <c r="J3203" s="12" t="s">
        <v>63</v>
      </c>
      <c r="K3203" s="12" t="s">
        <v>1022</v>
      </c>
      <c r="L3203" s="14"/>
      <c r="M3203" s="12" t="s">
        <v>43</v>
      </c>
      <c r="N3203" s="12" t="s">
        <v>44</v>
      </c>
      <c r="O3203" s="12" t="s">
        <v>11655</v>
      </c>
      <c r="P3203" s="12" t="s">
        <v>66</v>
      </c>
      <c r="Q3203" s="12" t="s">
        <v>67</v>
      </c>
      <c r="R3203" s="12" t="s">
        <v>68</v>
      </c>
      <c r="S3203" s="13">
        <v>197643372660</v>
      </c>
      <c r="T3203" s="12" t="s">
        <v>709</v>
      </c>
      <c r="U3203" s="12" t="s">
        <v>60</v>
      </c>
      <c r="V3203" s="12" t="s">
        <v>423</v>
      </c>
      <c r="W3203" s="12" t="s">
        <v>175</v>
      </c>
      <c r="X3203" s="12" t="s">
        <v>500</v>
      </c>
      <c r="Y3203" s="12" t="s">
        <v>91</v>
      </c>
      <c r="Z3203" s="12" t="s">
        <v>108</v>
      </c>
      <c r="AA3203" s="13">
        <v>0</v>
      </c>
      <c r="AB3203" s="13">
        <v>0</v>
      </c>
      <c r="AC3203" s="15">
        <v>13.65</v>
      </c>
      <c r="AD3203" s="15">
        <f>AC3203*AG3203</f>
        <v>13.65</v>
      </c>
      <c r="AE3203" s="15">
        <v>30</v>
      </c>
      <c r="AF3203" s="15">
        <f>AE3203*AG3203</f>
        <v>30</v>
      </c>
      <c r="AG3203" s="16">
        <v>1</v>
      </c>
    </row>
    <row r="3204" spans="1:33" ht="15" customHeight="1" x14ac:dyDescent="0.2">
      <c r="A3204" s="11" t="str">
        <f>HYPERLINK("https://assets.vans.eu/images/VN000MF0BLK-HERO/1","VN000MF0BLK1")</f>
        <v>VN000MF0BLK1</v>
      </c>
      <c r="B3204" s="12" t="s">
        <v>11656</v>
      </c>
      <c r="C3204" s="12" t="s">
        <v>8125</v>
      </c>
      <c r="D3204" s="12" t="s">
        <v>76</v>
      </c>
      <c r="E3204" s="12" t="s">
        <v>11657</v>
      </c>
      <c r="F3204" s="12" t="s">
        <v>170</v>
      </c>
      <c r="G3204" s="14"/>
      <c r="H3204" s="12" t="s">
        <v>61</v>
      </c>
      <c r="I3204" s="12" t="s">
        <v>62</v>
      </c>
      <c r="J3204" s="12" t="s">
        <v>63</v>
      </c>
      <c r="K3204" s="12" t="s">
        <v>1022</v>
      </c>
      <c r="L3204" s="14"/>
      <c r="M3204" s="12" t="s">
        <v>43</v>
      </c>
      <c r="N3204" s="12" t="s">
        <v>44</v>
      </c>
      <c r="O3204" s="12" t="s">
        <v>11658</v>
      </c>
      <c r="P3204" s="12" t="s">
        <v>66</v>
      </c>
      <c r="Q3204" s="12" t="s">
        <v>67</v>
      </c>
      <c r="R3204" s="12" t="s">
        <v>68</v>
      </c>
      <c r="S3204" s="13">
        <v>197803401162</v>
      </c>
      <c r="T3204" s="12" t="s">
        <v>422</v>
      </c>
      <c r="U3204" s="12" t="s">
        <v>170</v>
      </c>
      <c r="V3204" s="12" t="s">
        <v>70</v>
      </c>
      <c r="W3204" s="12" t="s">
        <v>51</v>
      </c>
      <c r="X3204" s="13">
        <v>0</v>
      </c>
      <c r="Y3204" s="12" t="s">
        <v>91</v>
      </c>
      <c r="Z3204" s="12" t="s">
        <v>108</v>
      </c>
      <c r="AA3204" s="13">
        <v>0</v>
      </c>
      <c r="AB3204" s="13">
        <v>0</v>
      </c>
      <c r="AC3204" s="15">
        <v>13.65</v>
      </c>
      <c r="AD3204" s="15">
        <f>AC3204*AG3204</f>
        <v>13.65</v>
      </c>
      <c r="AE3204" s="15">
        <v>30</v>
      </c>
      <c r="AF3204" s="15">
        <f>AE3204*AG3204</f>
        <v>30</v>
      </c>
      <c r="AG3204" s="16">
        <v>1</v>
      </c>
    </row>
    <row r="3205" spans="1:33" ht="15" customHeight="1" x14ac:dyDescent="0.2">
      <c r="A3205" s="11" t="str">
        <f t="shared" si="885"/>
        <v>VN000MG8UUI1</v>
      </c>
      <c r="B3205" s="12" t="s">
        <v>11659</v>
      </c>
      <c r="C3205" s="12" t="s">
        <v>8125</v>
      </c>
      <c r="D3205" s="12" t="s">
        <v>723</v>
      </c>
      <c r="E3205" s="12" t="s">
        <v>11660</v>
      </c>
      <c r="F3205" s="12" t="s">
        <v>2382</v>
      </c>
      <c r="G3205" s="14"/>
      <c r="H3205" s="12" t="s">
        <v>61</v>
      </c>
      <c r="I3205" s="12" t="s">
        <v>1340</v>
      </c>
      <c r="J3205" s="12" t="s">
        <v>1341</v>
      </c>
      <c r="K3205" s="12" t="s">
        <v>1022</v>
      </c>
      <c r="L3205" s="14"/>
      <c r="M3205" s="12" t="s">
        <v>43</v>
      </c>
      <c r="N3205" s="12" t="s">
        <v>44</v>
      </c>
      <c r="O3205" s="12" t="s">
        <v>11661</v>
      </c>
      <c r="P3205" s="12" t="s">
        <v>66</v>
      </c>
      <c r="Q3205" s="12" t="s">
        <v>67</v>
      </c>
      <c r="R3205" s="12" t="s">
        <v>68</v>
      </c>
      <c r="S3205" s="13">
        <v>197643373728</v>
      </c>
      <c r="T3205" s="12" t="s">
        <v>915</v>
      </c>
      <c r="U3205" s="12" t="s">
        <v>2382</v>
      </c>
      <c r="V3205" s="12" t="s">
        <v>665</v>
      </c>
      <c r="W3205" s="12" t="s">
        <v>107</v>
      </c>
      <c r="X3205" s="13">
        <v>0</v>
      </c>
      <c r="Y3205" s="12" t="s">
        <v>91</v>
      </c>
      <c r="Z3205" s="12" t="s">
        <v>108</v>
      </c>
      <c r="AA3205" s="13">
        <v>0</v>
      </c>
      <c r="AB3205" s="13">
        <v>0</v>
      </c>
      <c r="AC3205" s="15">
        <v>10.95</v>
      </c>
      <c r="AD3205" s="15">
        <f>AC3205*AG3205</f>
        <v>10.95</v>
      </c>
      <c r="AE3205" s="15">
        <v>24</v>
      </c>
      <c r="AF3205" s="15">
        <f>AE3205*AG3205</f>
        <v>24</v>
      </c>
      <c r="AG3205" s="16">
        <v>1</v>
      </c>
    </row>
    <row r="3206" spans="1:33" ht="15" customHeight="1" x14ac:dyDescent="0.2">
      <c r="A3206" s="11" t="str">
        <f t="shared" si="886"/>
        <v>VN000MGGBLK1</v>
      </c>
      <c r="B3206" s="12" t="s">
        <v>11662</v>
      </c>
      <c r="C3206" s="12" t="s">
        <v>8129</v>
      </c>
      <c r="D3206" s="12" t="s">
        <v>76</v>
      </c>
      <c r="E3206" s="12" t="s">
        <v>11663</v>
      </c>
      <c r="F3206" s="12" t="s">
        <v>179</v>
      </c>
      <c r="G3206" s="14"/>
      <c r="H3206" s="12" t="s">
        <v>61</v>
      </c>
      <c r="I3206" s="12" t="s">
        <v>62</v>
      </c>
      <c r="J3206" s="12" t="s">
        <v>63</v>
      </c>
      <c r="K3206" s="12" t="s">
        <v>64</v>
      </c>
      <c r="L3206" s="14"/>
      <c r="M3206" s="12" t="s">
        <v>43</v>
      </c>
      <c r="N3206" s="12" t="s">
        <v>44</v>
      </c>
      <c r="O3206" s="12" t="s">
        <v>11664</v>
      </c>
      <c r="P3206" s="12" t="s">
        <v>66</v>
      </c>
      <c r="Q3206" s="12" t="s">
        <v>67</v>
      </c>
      <c r="R3206" s="12" t="s">
        <v>1791</v>
      </c>
      <c r="S3206" s="13">
        <v>197643373407</v>
      </c>
      <c r="T3206" s="12" t="s">
        <v>235</v>
      </c>
      <c r="U3206" s="12" t="s">
        <v>179</v>
      </c>
      <c r="V3206" s="12" t="s">
        <v>8132</v>
      </c>
      <c r="W3206" s="12" t="s">
        <v>51</v>
      </c>
      <c r="X3206" s="12" t="s">
        <v>500</v>
      </c>
      <c r="Y3206" s="12" t="s">
        <v>91</v>
      </c>
      <c r="Z3206" s="12" t="s">
        <v>108</v>
      </c>
      <c r="AA3206" s="13">
        <v>0</v>
      </c>
      <c r="AB3206" s="13">
        <v>0</v>
      </c>
      <c r="AC3206" s="15">
        <v>20.5</v>
      </c>
      <c r="AD3206" s="15">
        <f>AC3206*AG3206</f>
        <v>20.5</v>
      </c>
      <c r="AE3206" s="15">
        <v>45</v>
      </c>
      <c r="AF3206" s="15">
        <f>AE3206*AG3206</f>
        <v>45</v>
      </c>
      <c r="AG3206" s="16">
        <v>1</v>
      </c>
    </row>
    <row r="3207" spans="1:33" ht="15" customHeight="1" x14ac:dyDescent="0.2">
      <c r="A3207" s="11" t="str">
        <f t="shared" ref="A3207:A3208" si="1173">HYPERLINK("https://assets.vans.eu/images/VN000MGUCI2-HERO/1","VN000MGUCI21")</f>
        <v>VN000MGUCI21</v>
      </c>
      <c r="B3207" s="12" t="s">
        <v>11665</v>
      </c>
      <c r="C3207" s="12" t="s">
        <v>11666</v>
      </c>
      <c r="D3207" s="12" t="s">
        <v>2499</v>
      </c>
      <c r="E3207" s="12" t="s">
        <v>11667</v>
      </c>
      <c r="F3207" s="12" t="s">
        <v>170</v>
      </c>
      <c r="G3207" s="14"/>
      <c r="H3207" s="12" t="s">
        <v>61</v>
      </c>
      <c r="I3207" s="12" t="s">
        <v>230</v>
      </c>
      <c r="J3207" s="12" t="s">
        <v>419</v>
      </c>
      <c r="K3207" s="12" t="s">
        <v>199</v>
      </c>
      <c r="L3207" s="14"/>
      <c r="M3207" s="12" t="s">
        <v>43</v>
      </c>
      <c r="N3207" s="12" t="s">
        <v>44</v>
      </c>
      <c r="O3207" s="12" t="s">
        <v>11668</v>
      </c>
      <c r="P3207" s="12" t="s">
        <v>66</v>
      </c>
      <c r="Q3207" s="12" t="s">
        <v>67</v>
      </c>
      <c r="R3207" s="12" t="s">
        <v>421</v>
      </c>
      <c r="S3207" s="13">
        <v>197643540052</v>
      </c>
      <c r="T3207" s="12" t="s">
        <v>49</v>
      </c>
      <c r="U3207" s="12" t="s">
        <v>170</v>
      </c>
      <c r="V3207" s="12" t="s">
        <v>665</v>
      </c>
      <c r="W3207" s="12" t="s">
        <v>118</v>
      </c>
      <c r="X3207" s="13">
        <v>0</v>
      </c>
      <c r="Y3207" s="12" t="s">
        <v>1011</v>
      </c>
      <c r="Z3207" s="12" t="s">
        <v>6135</v>
      </c>
      <c r="AA3207" s="13">
        <v>0</v>
      </c>
      <c r="AB3207" s="13">
        <v>0</v>
      </c>
      <c r="AC3207" s="15">
        <v>25</v>
      </c>
      <c r="AD3207" s="15">
        <f>AC3207*AG3207</f>
        <v>25</v>
      </c>
      <c r="AE3207" s="15">
        <v>55</v>
      </c>
      <c r="AF3207" s="15">
        <f>AE3207*AG3207</f>
        <v>55</v>
      </c>
      <c r="AG3207" s="16">
        <v>1</v>
      </c>
    </row>
    <row r="3208" spans="1:33" ht="15" customHeight="1" x14ac:dyDescent="0.2">
      <c r="A3208" s="11" t="str">
        <f t="shared" si="1173"/>
        <v>VN000MGUCI21</v>
      </c>
      <c r="B3208" s="12" t="s">
        <v>11669</v>
      </c>
      <c r="C3208" s="12" t="s">
        <v>11666</v>
      </c>
      <c r="D3208" s="12" t="s">
        <v>2499</v>
      </c>
      <c r="E3208" s="12" t="s">
        <v>11670</v>
      </c>
      <c r="F3208" s="12" t="s">
        <v>403</v>
      </c>
      <c r="G3208" s="14"/>
      <c r="H3208" s="12" t="s">
        <v>61</v>
      </c>
      <c r="I3208" s="12" t="s">
        <v>230</v>
      </c>
      <c r="J3208" s="12" t="s">
        <v>419</v>
      </c>
      <c r="K3208" s="12" t="s">
        <v>199</v>
      </c>
      <c r="L3208" s="14"/>
      <c r="M3208" s="12" t="s">
        <v>43</v>
      </c>
      <c r="N3208" s="12" t="s">
        <v>44</v>
      </c>
      <c r="O3208" s="12" t="s">
        <v>11671</v>
      </c>
      <c r="P3208" s="12" t="s">
        <v>66</v>
      </c>
      <c r="Q3208" s="12" t="s">
        <v>67</v>
      </c>
      <c r="R3208" s="12" t="s">
        <v>421</v>
      </c>
      <c r="S3208" s="13">
        <v>197643540106</v>
      </c>
      <c r="T3208" s="12" t="s">
        <v>49</v>
      </c>
      <c r="U3208" s="12" t="s">
        <v>403</v>
      </c>
      <c r="V3208" s="12" t="s">
        <v>665</v>
      </c>
      <c r="W3208" s="12" t="s">
        <v>118</v>
      </c>
      <c r="X3208" s="13">
        <v>0</v>
      </c>
      <c r="Y3208" s="12" t="s">
        <v>1011</v>
      </c>
      <c r="Z3208" s="12" t="s">
        <v>6135</v>
      </c>
      <c r="AA3208" s="13">
        <v>0</v>
      </c>
      <c r="AB3208" s="13">
        <v>0</v>
      </c>
      <c r="AC3208" s="15">
        <v>25</v>
      </c>
      <c r="AD3208" s="15">
        <f>AC3208*AG3208</f>
        <v>25</v>
      </c>
      <c r="AE3208" s="15">
        <v>55</v>
      </c>
      <c r="AF3208" s="15">
        <f>AE3208*AG3208</f>
        <v>55</v>
      </c>
      <c r="AG3208" s="16">
        <v>1</v>
      </c>
    </row>
    <row r="3209" spans="1:33" ht="15" customHeight="1" x14ac:dyDescent="0.2">
      <c r="A3209" s="11" t="str">
        <f t="shared" ref="A3209:A3211" si="1174">HYPERLINK("https://assets.vans.eu/images/VN000MHGBLK-HERO/1","VN000MHGBLK1")</f>
        <v>VN000MHGBLK1</v>
      </c>
      <c r="B3209" s="12" t="s">
        <v>11672</v>
      </c>
      <c r="C3209" s="12" t="s">
        <v>11673</v>
      </c>
      <c r="D3209" s="12" t="s">
        <v>76</v>
      </c>
      <c r="E3209" s="12" t="s">
        <v>11674</v>
      </c>
      <c r="F3209" s="12" t="s">
        <v>179</v>
      </c>
      <c r="G3209" s="14"/>
      <c r="H3209" s="12" t="s">
        <v>61</v>
      </c>
      <c r="I3209" s="12" t="s">
        <v>62</v>
      </c>
      <c r="J3209" s="12" t="s">
        <v>63</v>
      </c>
      <c r="K3209" s="12" t="s">
        <v>64</v>
      </c>
      <c r="L3209" s="14"/>
      <c r="M3209" s="12" t="s">
        <v>43</v>
      </c>
      <c r="N3209" s="12" t="s">
        <v>44</v>
      </c>
      <c r="O3209" s="12" t="s">
        <v>11675</v>
      </c>
      <c r="P3209" s="12" t="s">
        <v>66</v>
      </c>
      <c r="Q3209" s="12" t="s">
        <v>67</v>
      </c>
      <c r="R3209" s="12" t="s">
        <v>730</v>
      </c>
      <c r="S3209" s="13">
        <v>197643374107</v>
      </c>
      <c r="T3209" s="12" t="s">
        <v>49</v>
      </c>
      <c r="U3209" s="12" t="s">
        <v>179</v>
      </c>
      <c r="V3209" s="12" t="s">
        <v>1726</v>
      </c>
      <c r="W3209" s="12" t="s">
        <v>51</v>
      </c>
      <c r="X3209" s="12" t="s">
        <v>500</v>
      </c>
      <c r="Y3209" s="12" t="s">
        <v>91</v>
      </c>
      <c r="Z3209" s="12" t="s">
        <v>108</v>
      </c>
      <c r="AA3209" s="13">
        <v>0</v>
      </c>
      <c r="AB3209" s="13">
        <v>0</v>
      </c>
      <c r="AC3209" s="15">
        <v>30.95</v>
      </c>
      <c r="AD3209" s="15">
        <f>AC3209*AG3209</f>
        <v>30.95</v>
      </c>
      <c r="AE3209" s="15">
        <v>68</v>
      </c>
      <c r="AF3209" s="15">
        <f>AE3209*AG3209</f>
        <v>68</v>
      </c>
      <c r="AG3209" s="16">
        <v>1</v>
      </c>
    </row>
    <row r="3210" spans="1:33" ht="15" customHeight="1" x14ac:dyDescent="0.2">
      <c r="A3210" s="11" t="str">
        <f t="shared" si="1174"/>
        <v>VN000MHGBLK1</v>
      </c>
      <c r="B3210" s="12" t="s">
        <v>11676</v>
      </c>
      <c r="C3210" s="12" t="s">
        <v>11673</v>
      </c>
      <c r="D3210" s="12" t="s">
        <v>76</v>
      </c>
      <c r="E3210" s="12" t="s">
        <v>11677</v>
      </c>
      <c r="F3210" s="12" t="s">
        <v>170</v>
      </c>
      <c r="G3210" s="14"/>
      <c r="H3210" s="12" t="s">
        <v>61</v>
      </c>
      <c r="I3210" s="12" t="s">
        <v>62</v>
      </c>
      <c r="J3210" s="12" t="s">
        <v>63</v>
      </c>
      <c r="K3210" s="12" t="s">
        <v>64</v>
      </c>
      <c r="L3210" s="14"/>
      <c r="M3210" s="12" t="s">
        <v>43</v>
      </c>
      <c r="N3210" s="12" t="s">
        <v>44</v>
      </c>
      <c r="O3210" s="12" t="s">
        <v>11678</v>
      </c>
      <c r="P3210" s="12" t="s">
        <v>66</v>
      </c>
      <c r="Q3210" s="12" t="s">
        <v>67</v>
      </c>
      <c r="R3210" s="12" t="s">
        <v>730</v>
      </c>
      <c r="S3210" s="13">
        <v>197643374121</v>
      </c>
      <c r="T3210" s="12" t="s">
        <v>49</v>
      </c>
      <c r="U3210" s="12" t="s">
        <v>170</v>
      </c>
      <c r="V3210" s="12" t="s">
        <v>1726</v>
      </c>
      <c r="W3210" s="12" t="s">
        <v>51</v>
      </c>
      <c r="X3210" s="12" t="s">
        <v>500</v>
      </c>
      <c r="Y3210" s="12" t="s">
        <v>91</v>
      </c>
      <c r="Z3210" s="12" t="s">
        <v>108</v>
      </c>
      <c r="AA3210" s="13">
        <v>0</v>
      </c>
      <c r="AB3210" s="13">
        <v>0</v>
      </c>
      <c r="AC3210" s="15">
        <v>30.95</v>
      </c>
      <c r="AD3210" s="15">
        <f>AC3210*AG3210</f>
        <v>30.95</v>
      </c>
      <c r="AE3210" s="15">
        <v>68</v>
      </c>
      <c r="AF3210" s="15">
        <f>AE3210*AG3210</f>
        <v>68</v>
      </c>
      <c r="AG3210" s="16">
        <v>1</v>
      </c>
    </row>
    <row r="3211" spans="1:33" ht="15" customHeight="1" x14ac:dyDescent="0.2">
      <c r="A3211" s="11" t="str">
        <f t="shared" si="1174"/>
        <v>VN000MHGBLK1</v>
      </c>
      <c r="B3211" s="12" t="s">
        <v>11679</v>
      </c>
      <c r="C3211" s="12" t="s">
        <v>11673</v>
      </c>
      <c r="D3211" s="12" t="s">
        <v>76</v>
      </c>
      <c r="E3211" s="12" t="s">
        <v>11680</v>
      </c>
      <c r="F3211" s="12" t="s">
        <v>403</v>
      </c>
      <c r="G3211" s="14"/>
      <c r="H3211" s="12" t="s">
        <v>61</v>
      </c>
      <c r="I3211" s="12" t="s">
        <v>62</v>
      </c>
      <c r="J3211" s="12" t="s">
        <v>63</v>
      </c>
      <c r="K3211" s="12" t="s">
        <v>64</v>
      </c>
      <c r="L3211" s="14"/>
      <c r="M3211" s="12" t="s">
        <v>43</v>
      </c>
      <c r="N3211" s="12" t="s">
        <v>44</v>
      </c>
      <c r="O3211" s="12" t="s">
        <v>11681</v>
      </c>
      <c r="P3211" s="12" t="s">
        <v>66</v>
      </c>
      <c r="Q3211" s="12" t="s">
        <v>67</v>
      </c>
      <c r="R3211" s="12" t="s">
        <v>730</v>
      </c>
      <c r="S3211" s="13">
        <v>197643374138</v>
      </c>
      <c r="T3211" s="12" t="s">
        <v>49</v>
      </c>
      <c r="U3211" s="12" t="s">
        <v>403</v>
      </c>
      <c r="V3211" s="12" t="s">
        <v>1726</v>
      </c>
      <c r="W3211" s="12" t="s">
        <v>51</v>
      </c>
      <c r="X3211" s="12" t="s">
        <v>500</v>
      </c>
      <c r="Y3211" s="12" t="s">
        <v>91</v>
      </c>
      <c r="Z3211" s="12" t="s">
        <v>108</v>
      </c>
      <c r="AA3211" s="13">
        <v>0</v>
      </c>
      <c r="AB3211" s="13">
        <v>0</v>
      </c>
      <c r="AC3211" s="15">
        <v>30.95</v>
      </c>
      <c r="AD3211" s="15">
        <f>AC3211*AG3211</f>
        <v>30.95</v>
      </c>
      <c r="AE3211" s="15">
        <v>68</v>
      </c>
      <c r="AF3211" s="15">
        <f>AE3211*AG3211</f>
        <v>68</v>
      </c>
      <c r="AG3211" s="16">
        <v>1</v>
      </c>
    </row>
    <row r="3212" spans="1:33" ht="15" customHeight="1" x14ac:dyDescent="0.2">
      <c r="A3212" s="11" t="str">
        <f>HYPERLINK("https://assets.vans.eu/images/VN000MJTLVB-HERO/1","VN000MJTLVB1")</f>
        <v>VN000MJTLVB1</v>
      </c>
      <c r="B3212" s="12" t="s">
        <v>11682</v>
      </c>
      <c r="C3212" s="12" t="s">
        <v>11683</v>
      </c>
      <c r="D3212" s="12" t="s">
        <v>2643</v>
      </c>
      <c r="E3212" s="12" t="s">
        <v>11684</v>
      </c>
      <c r="F3212" s="12" t="s">
        <v>60</v>
      </c>
      <c r="G3212" s="14"/>
      <c r="H3212" s="12" t="s">
        <v>61</v>
      </c>
      <c r="I3212" s="12" t="s">
        <v>62</v>
      </c>
      <c r="J3212" s="12" t="s">
        <v>972</v>
      </c>
      <c r="K3212" s="12" t="s">
        <v>64</v>
      </c>
      <c r="L3212" s="14"/>
      <c r="M3212" s="12" t="s">
        <v>43</v>
      </c>
      <c r="N3212" s="12" t="s">
        <v>44</v>
      </c>
      <c r="O3212" s="12" t="s">
        <v>11685</v>
      </c>
      <c r="P3212" s="12" t="s">
        <v>66</v>
      </c>
      <c r="Q3212" s="12" t="s">
        <v>233</v>
      </c>
      <c r="R3212" s="12" t="s">
        <v>1024</v>
      </c>
      <c r="S3212" s="13">
        <v>197643374619</v>
      </c>
      <c r="T3212" s="12" t="s">
        <v>235</v>
      </c>
      <c r="U3212" s="12" t="s">
        <v>60</v>
      </c>
      <c r="V3212" s="12" t="s">
        <v>665</v>
      </c>
      <c r="W3212" s="12" t="s">
        <v>51</v>
      </c>
      <c r="X3212" s="13">
        <v>0</v>
      </c>
      <c r="Y3212" s="12" t="s">
        <v>91</v>
      </c>
      <c r="Z3212" s="12" t="s">
        <v>108</v>
      </c>
      <c r="AA3212" s="13">
        <v>0</v>
      </c>
      <c r="AB3212" s="13">
        <v>0</v>
      </c>
      <c r="AC3212" s="15">
        <v>21.85</v>
      </c>
      <c r="AD3212" s="15">
        <f>AC3212*AG3212</f>
        <v>21.85</v>
      </c>
      <c r="AE3212" s="15">
        <v>48</v>
      </c>
      <c r="AF3212" s="15">
        <f>AE3212*AG3212</f>
        <v>48</v>
      </c>
      <c r="AG3212" s="16">
        <v>1</v>
      </c>
    </row>
    <row r="3213" spans="1:33" ht="15" customHeight="1" x14ac:dyDescent="0.2">
      <c r="A3213" s="11" t="str">
        <f t="shared" si="696"/>
        <v>VN000MK2BL21</v>
      </c>
      <c r="B3213" s="12" t="s">
        <v>11686</v>
      </c>
      <c r="C3213" s="12" t="s">
        <v>6497</v>
      </c>
      <c r="D3213" s="12" t="s">
        <v>686</v>
      </c>
      <c r="E3213" s="12" t="s">
        <v>11687</v>
      </c>
      <c r="F3213" s="12" t="s">
        <v>179</v>
      </c>
      <c r="G3213" s="14"/>
      <c r="H3213" s="12" t="s">
        <v>61</v>
      </c>
      <c r="I3213" s="12" t="s">
        <v>62</v>
      </c>
      <c r="J3213" s="12" t="s">
        <v>63</v>
      </c>
      <c r="K3213" s="12" t="s">
        <v>64</v>
      </c>
      <c r="L3213" s="14"/>
      <c r="M3213" s="12" t="s">
        <v>43</v>
      </c>
      <c r="N3213" s="12" t="s">
        <v>44</v>
      </c>
      <c r="O3213" s="12" t="s">
        <v>11688</v>
      </c>
      <c r="P3213" s="12" t="s">
        <v>66</v>
      </c>
      <c r="Q3213" s="12" t="s">
        <v>67</v>
      </c>
      <c r="R3213" s="12" t="s">
        <v>68</v>
      </c>
      <c r="S3213" s="13">
        <v>197803401544</v>
      </c>
      <c r="T3213" s="12" t="s">
        <v>69</v>
      </c>
      <c r="U3213" s="12" t="s">
        <v>179</v>
      </c>
      <c r="V3213" s="12" t="s">
        <v>70</v>
      </c>
      <c r="W3213" s="12" t="s">
        <v>186</v>
      </c>
      <c r="X3213" s="12" t="s">
        <v>500</v>
      </c>
      <c r="Y3213" s="12" t="s">
        <v>91</v>
      </c>
      <c r="Z3213" s="12" t="s">
        <v>108</v>
      </c>
      <c r="AA3213" s="13">
        <v>0</v>
      </c>
      <c r="AB3213" s="13">
        <v>0</v>
      </c>
      <c r="AC3213" s="15">
        <v>13.65</v>
      </c>
      <c r="AD3213" s="15">
        <f>AC3213*AG3213</f>
        <v>13.65</v>
      </c>
      <c r="AE3213" s="15">
        <v>30</v>
      </c>
      <c r="AF3213" s="15">
        <f>AE3213*AG3213</f>
        <v>30</v>
      </c>
      <c r="AG3213" s="16">
        <v>1</v>
      </c>
    </row>
    <row r="3214" spans="1:33" ht="15" customHeight="1" x14ac:dyDescent="0.2">
      <c r="A3214" s="11" t="str">
        <f t="shared" si="565"/>
        <v>VN000MK6C9L1</v>
      </c>
      <c r="B3214" s="12" t="s">
        <v>11689</v>
      </c>
      <c r="C3214" s="12" t="s">
        <v>3405</v>
      </c>
      <c r="D3214" s="12" t="s">
        <v>890</v>
      </c>
      <c r="E3214" s="12" t="s">
        <v>11690</v>
      </c>
      <c r="F3214" s="12" t="s">
        <v>60</v>
      </c>
      <c r="G3214" s="14"/>
      <c r="H3214" s="12" t="s">
        <v>61</v>
      </c>
      <c r="I3214" s="12" t="s">
        <v>62</v>
      </c>
      <c r="J3214" s="12" t="s">
        <v>63</v>
      </c>
      <c r="K3214" s="12" t="s">
        <v>64</v>
      </c>
      <c r="L3214" s="14"/>
      <c r="M3214" s="12" t="s">
        <v>43</v>
      </c>
      <c r="N3214" s="12" t="s">
        <v>44</v>
      </c>
      <c r="O3214" s="12" t="s">
        <v>11691</v>
      </c>
      <c r="P3214" s="12" t="s">
        <v>66</v>
      </c>
      <c r="Q3214" s="12" t="s">
        <v>67</v>
      </c>
      <c r="R3214" s="12" t="s">
        <v>68</v>
      </c>
      <c r="S3214" s="13">
        <v>197803401735</v>
      </c>
      <c r="T3214" s="12" t="s">
        <v>422</v>
      </c>
      <c r="U3214" s="12" t="s">
        <v>60</v>
      </c>
      <c r="V3214" s="12" t="s">
        <v>70</v>
      </c>
      <c r="W3214" s="12" t="s">
        <v>262</v>
      </c>
      <c r="X3214" s="13">
        <v>0</v>
      </c>
      <c r="Y3214" s="12" t="s">
        <v>91</v>
      </c>
      <c r="Z3214" s="12" t="s">
        <v>108</v>
      </c>
      <c r="AA3214" s="13">
        <v>0</v>
      </c>
      <c r="AB3214" s="13">
        <v>0</v>
      </c>
      <c r="AC3214" s="15">
        <v>13.65</v>
      </c>
      <c r="AD3214" s="15">
        <f>AC3214*AG3214</f>
        <v>13.65</v>
      </c>
      <c r="AE3214" s="15">
        <v>30</v>
      </c>
      <c r="AF3214" s="15">
        <f>AE3214*AG3214</f>
        <v>30</v>
      </c>
      <c r="AG3214" s="16">
        <v>1</v>
      </c>
    </row>
    <row r="3215" spans="1:33" ht="15" customHeight="1" x14ac:dyDescent="0.2">
      <c r="A3215" s="11" t="str">
        <f>HYPERLINK("https://assets.vans.eu/images/VN000MK8BR1-HERO/1","VN000MK8BR11")</f>
        <v>VN000MK8BR11</v>
      </c>
      <c r="B3215" s="12" t="s">
        <v>11692</v>
      </c>
      <c r="C3215" s="12" t="s">
        <v>8147</v>
      </c>
      <c r="D3215" s="12" t="s">
        <v>496</v>
      </c>
      <c r="E3215" s="12" t="s">
        <v>11693</v>
      </c>
      <c r="F3215" s="12" t="s">
        <v>170</v>
      </c>
      <c r="G3215" s="14"/>
      <c r="H3215" s="12" t="s">
        <v>61</v>
      </c>
      <c r="I3215" s="12" t="s">
        <v>62</v>
      </c>
      <c r="J3215" s="12" t="s">
        <v>63</v>
      </c>
      <c r="K3215" s="12" t="s">
        <v>64</v>
      </c>
      <c r="L3215" s="14"/>
      <c r="M3215" s="12" t="s">
        <v>43</v>
      </c>
      <c r="N3215" s="12" t="s">
        <v>44</v>
      </c>
      <c r="O3215" s="12" t="s">
        <v>11694</v>
      </c>
      <c r="P3215" s="12" t="s">
        <v>66</v>
      </c>
      <c r="Q3215" s="12" t="s">
        <v>67</v>
      </c>
      <c r="R3215" s="12" t="s">
        <v>68</v>
      </c>
      <c r="S3215" s="13">
        <v>197803401698</v>
      </c>
      <c r="T3215" s="12" t="s">
        <v>422</v>
      </c>
      <c r="U3215" s="12" t="s">
        <v>170</v>
      </c>
      <c r="V3215" s="12" t="s">
        <v>70</v>
      </c>
      <c r="W3215" s="12" t="s">
        <v>118</v>
      </c>
      <c r="X3215" s="12" t="s">
        <v>500</v>
      </c>
      <c r="Y3215" s="12" t="s">
        <v>91</v>
      </c>
      <c r="Z3215" s="12" t="s">
        <v>108</v>
      </c>
      <c r="AA3215" s="13">
        <v>0</v>
      </c>
      <c r="AB3215" s="13">
        <v>0</v>
      </c>
      <c r="AC3215" s="15">
        <v>14.55</v>
      </c>
      <c r="AD3215" s="15">
        <f>AC3215*AG3215</f>
        <v>14.55</v>
      </c>
      <c r="AE3215" s="15">
        <v>32</v>
      </c>
      <c r="AF3215" s="15">
        <f>AE3215*AG3215</f>
        <v>32</v>
      </c>
      <c r="AG3215" s="16">
        <v>1</v>
      </c>
    </row>
    <row r="3216" spans="1:33" ht="15" customHeight="1" x14ac:dyDescent="0.2">
      <c r="A3216" s="11" t="str">
        <f>HYPERLINK("https://assets.vans.eu/images/VN000MKEBLK-HERO/1","VN000MKEBLK1")</f>
        <v>VN000MKEBLK1</v>
      </c>
      <c r="B3216" s="12" t="s">
        <v>11695</v>
      </c>
      <c r="C3216" s="12" t="s">
        <v>11696</v>
      </c>
      <c r="D3216" s="12" t="s">
        <v>76</v>
      </c>
      <c r="E3216" s="12" t="s">
        <v>11697</v>
      </c>
      <c r="F3216" s="12" t="s">
        <v>179</v>
      </c>
      <c r="G3216" s="14"/>
      <c r="H3216" s="12" t="s">
        <v>61</v>
      </c>
      <c r="I3216" s="12" t="s">
        <v>62</v>
      </c>
      <c r="J3216" s="12" t="s">
        <v>63</v>
      </c>
      <c r="K3216" s="12" t="s">
        <v>64</v>
      </c>
      <c r="L3216" s="14"/>
      <c r="M3216" s="12" t="s">
        <v>43</v>
      </c>
      <c r="N3216" s="12" t="s">
        <v>44</v>
      </c>
      <c r="O3216" s="12" t="s">
        <v>11698</v>
      </c>
      <c r="P3216" s="12" t="s">
        <v>66</v>
      </c>
      <c r="Q3216" s="12" t="s">
        <v>67</v>
      </c>
      <c r="R3216" s="12" t="s">
        <v>68</v>
      </c>
      <c r="S3216" s="13">
        <v>197643375050</v>
      </c>
      <c r="T3216" s="12" t="s">
        <v>422</v>
      </c>
      <c r="U3216" s="12" t="s">
        <v>179</v>
      </c>
      <c r="V3216" s="12" t="s">
        <v>70</v>
      </c>
      <c r="W3216" s="12" t="s">
        <v>51</v>
      </c>
      <c r="X3216" s="12" t="s">
        <v>500</v>
      </c>
      <c r="Y3216" s="12" t="s">
        <v>91</v>
      </c>
      <c r="Z3216" s="12" t="s">
        <v>108</v>
      </c>
      <c r="AA3216" s="13">
        <v>0</v>
      </c>
      <c r="AB3216" s="13">
        <v>0</v>
      </c>
      <c r="AC3216" s="15">
        <v>13.65</v>
      </c>
      <c r="AD3216" s="15">
        <f>AC3216*AG3216</f>
        <v>13.65</v>
      </c>
      <c r="AE3216" s="15">
        <v>30</v>
      </c>
      <c r="AF3216" s="15">
        <f>AE3216*AG3216</f>
        <v>30</v>
      </c>
      <c r="AG3216" s="16">
        <v>1</v>
      </c>
    </row>
    <row r="3217" spans="1:33" ht="15" customHeight="1" x14ac:dyDescent="0.2">
      <c r="A3217" s="11" t="str">
        <f>HYPERLINK("https://assets.vans.eu/images/VN000MKGBLK-HERO/1","VN000MKGBLK1")</f>
        <v>VN000MKGBLK1</v>
      </c>
      <c r="B3217" s="12" t="s">
        <v>11699</v>
      </c>
      <c r="C3217" s="12" t="s">
        <v>11700</v>
      </c>
      <c r="D3217" s="12" t="s">
        <v>76</v>
      </c>
      <c r="E3217" s="12" t="s">
        <v>11701</v>
      </c>
      <c r="F3217" s="12" t="s">
        <v>179</v>
      </c>
      <c r="G3217" s="14"/>
      <c r="H3217" s="12" t="s">
        <v>61</v>
      </c>
      <c r="I3217" s="12" t="s">
        <v>4647</v>
      </c>
      <c r="J3217" s="12" t="s">
        <v>4648</v>
      </c>
      <c r="K3217" s="12" t="s">
        <v>64</v>
      </c>
      <c r="L3217" s="14"/>
      <c r="M3217" s="12" t="s">
        <v>43</v>
      </c>
      <c r="N3217" s="12" t="s">
        <v>44</v>
      </c>
      <c r="O3217" s="12" t="s">
        <v>11702</v>
      </c>
      <c r="P3217" s="12" t="s">
        <v>66</v>
      </c>
      <c r="Q3217" s="12" t="s">
        <v>67</v>
      </c>
      <c r="R3217" s="12" t="s">
        <v>68</v>
      </c>
      <c r="S3217" s="13">
        <v>197803421511</v>
      </c>
      <c r="T3217" s="12" t="s">
        <v>69</v>
      </c>
      <c r="U3217" s="12" t="s">
        <v>179</v>
      </c>
      <c r="V3217" s="12" t="s">
        <v>70</v>
      </c>
      <c r="W3217" s="12" t="s">
        <v>51</v>
      </c>
      <c r="X3217" s="13">
        <v>0</v>
      </c>
      <c r="Y3217" s="12" t="s">
        <v>91</v>
      </c>
      <c r="Z3217" s="12" t="s">
        <v>108</v>
      </c>
      <c r="AA3217" s="13">
        <v>0</v>
      </c>
      <c r="AB3217" s="13">
        <v>0</v>
      </c>
      <c r="AC3217" s="15">
        <v>13.65</v>
      </c>
      <c r="AD3217" s="15">
        <f>AC3217*AG3217</f>
        <v>13.65</v>
      </c>
      <c r="AE3217" s="15">
        <v>30</v>
      </c>
      <c r="AF3217" s="15">
        <f>AE3217*AG3217</f>
        <v>30</v>
      </c>
      <c r="AG3217" s="16">
        <v>1</v>
      </c>
    </row>
    <row r="3218" spans="1:33" ht="15" customHeight="1" x14ac:dyDescent="0.2">
      <c r="A3218" s="11" t="str">
        <f>HYPERLINK("https://assets.vans.eu/images/VN000MKPBLK-HERO/1","VN000MKPBLK1")</f>
        <v>VN000MKPBLK1</v>
      </c>
      <c r="B3218" s="12" t="s">
        <v>11703</v>
      </c>
      <c r="C3218" s="12" t="s">
        <v>11704</v>
      </c>
      <c r="D3218" s="12" t="s">
        <v>76</v>
      </c>
      <c r="E3218" s="12" t="s">
        <v>11705</v>
      </c>
      <c r="F3218" s="12" t="s">
        <v>403</v>
      </c>
      <c r="G3218" s="14"/>
      <c r="H3218" s="12" t="s">
        <v>61</v>
      </c>
      <c r="I3218" s="12" t="s">
        <v>62</v>
      </c>
      <c r="J3218" s="12" t="s">
        <v>63</v>
      </c>
      <c r="K3218" s="12" t="s">
        <v>64</v>
      </c>
      <c r="L3218" s="14"/>
      <c r="M3218" s="12" t="s">
        <v>43</v>
      </c>
      <c r="N3218" s="12" t="s">
        <v>44</v>
      </c>
      <c r="O3218" s="12" t="s">
        <v>11706</v>
      </c>
      <c r="P3218" s="12" t="s">
        <v>66</v>
      </c>
      <c r="Q3218" s="12" t="s">
        <v>67</v>
      </c>
      <c r="R3218" s="12" t="s">
        <v>68</v>
      </c>
      <c r="S3218" s="13">
        <v>197643375432</v>
      </c>
      <c r="T3218" s="12" t="s">
        <v>422</v>
      </c>
      <c r="U3218" s="12" t="s">
        <v>403</v>
      </c>
      <c r="V3218" s="12" t="s">
        <v>70</v>
      </c>
      <c r="W3218" s="12" t="s">
        <v>51</v>
      </c>
      <c r="X3218" s="13">
        <v>0</v>
      </c>
      <c r="Y3218" s="12" t="s">
        <v>91</v>
      </c>
      <c r="Z3218" s="12" t="s">
        <v>108</v>
      </c>
      <c r="AA3218" s="13">
        <v>0</v>
      </c>
      <c r="AB3218" s="13">
        <v>0</v>
      </c>
      <c r="AC3218" s="15">
        <v>13.65</v>
      </c>
      <c r="AD3218" s="15">
        <f>AC3218*AG3218</f>
        <v>13.65</v>
      </c>
      <c r="AE3218" s="15">
        <v>30</v>
      </c>
      <c r="AF3218" s="15">
        <f>AE3218*AG3218</f>
        <v>30</v>
      </c>
      <c r="AG3218" s="16">
        <v>1</v>
      </c>
    </row>
    <row r="3219" spans="1:33" ht="15" customHeight="1" x14ac:dyDescent="0.2">
      <c r="A3219" s="11" t="str">
        <f>HYPERLINK("https://assets.vans.eu/images/VN000MKUWHT-HERO/1","VN000MKUWHT1")</f>
        <v>VN000MKUWHT1</v>
      </c>
      <c r="B3219" s="12" t="s">
        <v>11707</v>
      </c>
      <c r="C3219" s="12" t="s">
        <v>8157</v>
      </c>
      <c r="D3219" s="12" t="s">
        <v>168</v>
      </c>
      <c r="E3219" s="12" t="s">
        <v>11708</v>
      </c>
      <c r="F3219" s="12" t="s">
        <v>60</v>
      </c>
      <c r="G3219" s="14"/>
      <c r="H3219" s="12" t="s">
        <v>61</v>
      </c>
      <c r="I3219" s="12" t="s">
        <v>62</v>
      </c>
      <c r="J3219" s="12" t="s">
        <v>63</v>
      </c>
      <c r="K3219" s="12" t="s">
        <v>64</v>
      </c>
      <c r="L3219" s="14"/>
      <c r="M3219" s="12" t="s">
        <v>43</v>
      </c>
      <c r="N3219" s="12" t="s">
        <v>44</v>
      </c>
      <c r="O3219" s="12" t="s">
        <v>11709</v>
      </c>
      <c r="P3219" s="12" t="s">
        <v>66</v>
      </c>
      <c r="Q3219" s="12" t="s">
        <v>67</v>
      </c>
      <c r="R3219" s="12" t="s">
        <v>68</v>
      </c>
      <c r="S3219" s="13">
        <v>197803401902</v>
      </c>
      <c r="T3219" s="12" t="s">
        <v>422</v>
      </c>
      <c r="U3219" s="12" t="s">
        <v>60</v>
      </c>
      <c r="V3219" s="12" t="s">
        <v>70</v>
      </c>
      <c r="W3219" s="12" t="s">
        <v>175</v>
      </c>
      <c r="X3219" s="12" t="s">
        <v>500</v>
      </c>
      <c r="Y3219" s="12" t="s">
        <v>91</v>
      </c>
      <c r="Z3219" s="12" t="s">
        <v>108</v>
      </c>
      <c r="AA3219" s="13">
        <v>0</v>
      </c>
      <c r="AB3219" s="13">
        <v>0</v>
      </c>
      <c r="AC3219" s="15">
        <v>13.65</v>
      </c>
      <c r="AD3219" s="15">
        <f>AC3219*AG3219</f>
        <v>13.65</v>
      </c>
      <c r="AE3219" s="15">
        <v>30</v>
      </c>
      <c r="AF3219" s="15">
        <f>AE3219*AG3219</f>
        <v>30</v>
      </c>
      <c r="AG3219" s="16">
        <v>1</v>
      </c>
    </row>
    <row r="3220" spans="1:33" ht="15" customHeight="1" x14ac:dyDescent="0.2">
      <c r="A3220" s="11" t="str">
        <f t="shared" si="888"/>
        <v>VN000MKYBLK1</v>
      </c>
      <c r="B3220" s="12" t="s">
        <v>11710</v>
      </c>
      <c r="C3220" s="12" t="s">
        <v>8161</v>
      </c>
      <c r="D3220" s="12" t="s">
        <v>76</v>
      </c>
      <c r="E3220" s="12" t="s">
        <v>11711</v>
      </c>
      <c r="F3220" s="12" t="s">
        <v>170</v>
      </c>
      <c r="G3220" s="14"/>
      <c r="H3220" s="12" t="s">
        <v>61</v>
      </c>
      <c r="I3220" s="12" t="s">
        <v>62</v>
      </c>
      <c r="J3220" s="12" t="s">
        <v>63</v>
      </c>
      <c r="K3220" s="12" t="s">
        <v>64</v>
      </c>
      <c r="L3220" s="14"/>
      <c r="M3220" s="12" t="s">
        <v>43</v>
      </c>
      <c r="N3220" s="12" t="s">
        <v>44</v>
      </c>
      <c r="O3220" s="12" t="s">
        <v>11712</v>
      </c>
      <c r="P3220" s="12" t="s">
        <v>66</v>
      </c>
      <c r="Q3220" s="12" t="s">
        <v>67</v>
      </c>
      <c r="R3220" s="12" t="s">
        <v>68</v>
      </c>
      <c r="S3220" s="13">
        <v>197643375517</v>
      </c>
      <c r="T3220" s="12" t="s">
        <v>915</v>
      </c>
      <c r="U3220" s="12" t="s">
        <v>170</v>
      </c>
      <c r="V3220" s="12" t="s">
        <v>1028</v>
      </c>
      <c r="W3220" s="12" t="s">
        <v>51</v>
      </c>
      <c r="X3220" s="12" t="s">
        <v>500</v>
      </c>
      <c r="Y3220" s="12" t="s">
        <v>91</v>
      </c>
      <c r="Z3220" s="12" t="s">
        <v>108</v>
      </c>
      <c r="AA3220" s="13">
        <v>0</v>
      </c>
      <c r="AB3220" s="13">
        <v>0</v>
      </c>
      <c r="AC3220" s="15">
        <v>13.65</v>
      </c>
      <c r="AD3220" s="15">
        <f>AC3220*AG3220</f>
        <v>13.65</v>
      </c>
      <c r="AE3220" s="15">
        <v>30</v>
      </c>
      <c r="AF3220" s="15">
        <f>AE3220*AG3220</f>
        <v>30</v>
      </c>
      <c r="AG3220" s="16">
        <v>1</v>
      </c>
    </row>
    <row r="3221" spans="1:33" ht="15" customHeight="1" x14ac:dyDescent="0.2">
      <c r="A3221" s="11" t="str">
        <f>HYPERLINK("https://assets.vans.eu/images/VN000MKYWHT-HERO/1","VN000MKYWHT1")</f>
        <v>VN000MKYWHT1</v>
      </c>
      <c r="B3221" s="12" t="s">
        <v>11713</v>
      </c>
      <c r="C3221" s="12" t="s">
        <v>8161</v>
      </c>
      <c r="D3221" s="12" t="s">
        <v>168</v>
      </c>
      <c r="E3221" s="12" t="s">
        <v>11714</v>
      </c>
      <c r="F3221" s="12" t="s">
        <v>170</v>
      </c>
      <c r="G3221" s="14"/>
      <c r="H3221" s="12" t="s">
        <v>61</v>
      </c>
      <c r="I3221" s="12" t="s">
        <v>62</v>
      </c>
      <c r="J3221" s="12" t="s">
        <v>63</v>
      </c>
      <c r="K3221" s="12" t="s">
        <v>64</v>
      </c>
      <c r="L3221" s="14"/>
      <c r="M3221" s="12" t="s">
        <v>43</v>
      </c>
      <c r="N3221" s="12" t="s">
        <v>44</v>
      </c>
      <c r="O3221" s="12" t="s">
        <v>11715</v>
      </c>
      <c r="P3221" s="12" t="s">
        <v>66</v>
      </c>
      <c r="Q3221" s="12" t="s">
        <v>67</v>
      </c>
      <c r="R3221" s="12" t="s">
        <v>68</v>
      </c>
      <c r="S3221" s="13">
        <v>197643375623</v>
      </c>
      <c r="T3221" s="12" t="s">
        <v>915</v>
      </c>
      <c r="U3221" s="12" t="s">
        <v>170</v>
      </c>
      <c r="V3221" s="12" t="s">
        <v>1028</v>
      </c>
      <c r="W3221" s="12" t="s">
        <v>175</v>
      </c>
      <c r="X3221" s="12" t="s">
        <v>500</v>
      </c>
      <c r="Y3221" s="12" t="s">
        <v>91</v>
      </c>
      <c r="Z3221" s="12" t="s">
        <v>108</v>
      </c>
      <c r="AA3221" s="13">
        <v>0</v>
      </c>
      <c r="AB3221" s="13">
        <v>0</v>
      </c>
      <c r="AC3221" s="15">
        <v>13.65</v>
      </c>
      <c r="AD3221" s="15">
        <f>AC3221*AG3221</f>
        <v>13.65</v>
      </c>
      <c r="AE3221" s="15">
        <v>30</v>
      </c>
      <c r="AF3221" s="15">
        <f>AE3221*AG3221</f>
        <v>30</v>
      </c>
      <c r="AG3221" s="16">
        <v>1</v>
      </c>
    </row>
    <row r="3222" spans="1:33" ht="15" customHeight="1" x14ac:dyDescent="0.2">
      <c r="A3222" s="11" t="str">
        <f t="shared" si="697"/>
        <v>VN000MM1WHT1</v>
      </c>
      <c r="B3222" s="12" t="s">
        <v>11716</v>
      </c>
      <c r="C3222" s="12" t="s">
        <v>6508</v>
      </c>
      <c r="D3222" s="12" t="s">
        <v>168</v>
      </c>
      <c r="E3222" s="12" t="s">
        <v>11717</v>
      </c>
      <c r="F3222" s="12" t="s">
        <v>179</v>
      </c>
      <c r="G3222" s="14"/>
      <c r="H3222" s="12" t="s">
        <v>61</v>
      </c>
      <c r="I3222" s="12" t="s">
        <v>62</v>
      </c>
      <c r="J3222" s="12" t="s">
        <v>63</v>
      </c>
      <c r="K3222" s="12" t="s">
        <v>64</v>
      </c>
      <c r="L3222" s="14"/>
      <c r="M3222" s="12" t="s">
        <v>43</v>
      </c>
      <c r="N3222" s="12" t="s">
        <v>44</v>
      </c>
      <c r="O3222" s="12" t="s">
        <v>11718</v>
      </c>
      <c r="P3222" s="12" t="s">
        <v>66</v>
      </c>
      <c r="Q3222" s="12" t="s">
        <v>67</v>
      </c>
      <c r="R3222" s="12" t="s">
        <v>68</v>
      </c>
      <c r="S3222" s="13">
        <v>197643375555</v>
      </c>
      <c r="T3222" s="12" t="s">
        <v>915</v>
      </c>
      <c r="U3222" s="12" t="s">
        <v>179</v>
      </c>
      <c r="V3222" s="12" t="s">
        <v>1028</v>
      </c>
      <c r="W3222" s="12" t="s">
        <v>175</v>
      </c>
      <c r="X3222" s="12" t="s">
        <v>500</v>
      </c>
      <c r="Y3222" s="12" t="s">
        <v>91</v>
      </c>
      <c r="Z3222" s="12" t="s">
        <v>108</v>
      </c>
      <c r="AA3222" s="13">
        <v>0</v>
      </c>
      <c r="AB3222" s="13">
        <v>0</v>
      </c>
      <c r="AC3222" s="15">
        <v>13.65</v>
      </c>
      <c r="AD3222" s="15">
        <f>AC3222*AG3222</f>
        <v>13.65</v>
      </c>
      <c r="AE3222" s="15">
        <v>30</v>
      </c>
      <c r="AF3222" s="15">
        <f>AE3222*AG3222</f>
        <v>30</v>
      </c>
      <c r="AG3222" s="16">
        <v>1</v>
      </c>
    </row>
    <row r="3223" spans="1:33" ht="15" customHeight="1" x14ac:dyDescent="0.2">
      <c r="A3223" s="11" t="str">
        <f>HYPERLINK("https://assets.vans.eu/images/VN000MM1WHT-HERO/1","VN000MM1WHT1")</f>
        <v>VN000MM1WHT1</v>
      </c>
      <c r="B3223" s="12" t="s">
        <v>11719</v>
      </c>
      <c r="C3223" s="12" t="s">
        <v>6508</v>
      </c>
      <c r="D3223" s="12" t="s">
        <v>168</v>
      </c>
      <c r="E3223" s="12" t="s">
        <v>11720</v>
      </c>
      <c r="F3223" s="12" t="s">
        <v>170</v>
      </c>
      <c r="G3223" s="14"/>
      <c r="H3223" s="12" t="s">
        <v>61</v>
      </c>
      <c r="I3223" s="12" t="s">
        <v>62</v>
      </c>
      <c r="J3223" s="12" t="s">
        <v>63</v>
      </c>
      <c r="K3223" s="12" t="s">
        <v>64</v>
      </c>
      <c r="L3223" s="14"/>
      <c r="M3223" s="12" t="s">
        <v>43</v>
      </c>
      <c r="N3223" s="12" t="s">
        <v>44</v>
      </c>
      <c r="O3223" s="12" t="s">
        <v>11721</v>
      </c>
      <c r="P3223" s="12" t="s">
        <v>66</v>
      </c>
      <c r="Q3223" s="12" t="s">
        <v>67</v>
      </c>
      <c r="R3223" s="12" t="s">
        <v>68</v>
      </c>
      <c r="S3223" s="13">
        <v>197643375715</v>
      </c>
      <c r="T3223" s="12" t="s">
        <v>915</v>
      </c>
      <c r="U3223" s="12" t="s">
        <v>170</v>
      </c>
      <c r="V3223" s="12" t="s">
        <v>1028</v>
      </c>
      <c r="W3223" s="12" t="s">
        <v>175</v>
      </c>
      <c r="X3223" s="12" t="s">
        <v>500</v>
      </c>
      <c r="Y3223" s="12" t="s">
        <v>91</v>
      </c>
      <c r="Z3223" s="12" t="s">
        <v>108</v>
      </c>
      <c r="AA3223" s="13">
        <v>0</v>
      </c>
      <c r="AB3223" s="13">
        <v>0</v>
      </c>
      <c r="AC3223" s="15">
        <v>13.65</v>
      </c>
      <c r="AD3223" s="15">
        <f>AC3223*AG3223</f>
        <v>13.65</v>
      </c>
      <c r="AE3223" s="15">
        <v>30</v>
      </c>
      <c r="AF3223" s="15">
        <f>AE3223*AG3223</f>
        <v>30</v>
      </c>
      <c r="AG3223" s="16">
        <v>1</v>
      </c>
    </row>
    <row r="3224" spans="1:33" ht="15" customHeight="1" x14ac:dyDescent="0.2">
      <c r="A3224" s="11" t="str">
        <f>HYPERLINK("https://assets.vans.eu/images/VN000MM4RNE-HERO/1","VN000MM4RNE1")</f>
        <v>VN000MM4RNE1</v>
      </c>
      <c r="B3224" s="12" t="s">
        <v>11722</v>
      </c>
      <c r="C3224" s="12" t="s">
        <v>11723</v>
      </c>
      <c r="D3224" s="12" t="s">
        <v>4661</v>
      </c>
      <c r="E3224" s="12" t="s">
        <v>11724</v>
      </c>
      <c r="F3224" s="12" t="s">
        <v>403</v>
      </c>
      <c r="G3224" s="14"/>
      <c r="H3224" s="12" t="s">
        <v>61</v>
      </c>
      <c r="I3224" s="12" t="s">
        <v>62</v>
      </c>
      <c r="J3224" s="12" t="s">
        <v>63</v>
      </c>
      <c r="K3224" s="12" t="s">
        <v>64</v>
      </c>
      <c r="L3224" s="14"/>
      <c r="M3224" s="12" t="s">
        <v>43</v>
      </c>
      <c r="N3224" s="12" t="s">
        <v>44</v>
      </c>
      <c r="O3224" s="12" t="s">
        <v>11725</v>
      </c>
      <c r="P3224" s="12" t="s">
        <v>66</v>
      </c>
      <c r="Q3224" s="12" t="s">
        <v>67</v>
      </c>
      <c r="R3224" s="12" t="s">
        <v>68</v>
      </c>
      <c r="S3224" s="13">
        <v>197643375852</v>
      </c>
      <c r="T3224" s="12" t="s">
        <v>422</v>
      </c>
      <c r="U3224" s="12" t="s">
        <v>403</v>
      </c>
      <c r="V3224" s="12" t="s">
        <v>70</v>
      </c>
      <c r="W3224" s="12" t="s">
        <v>118</v>
      </c>
      <c r="X3224" s="12" t="s">
        <v>500</v>
      </c>
      <c r="Y3224" s="12" t="s">
        <v>91</v>
      </c>
      <c r="Z3224" s="12" t="s">
        <v>108</v>
      </c>
      <c r="AA3224" s="13">
        <v>0</v>
      </c>
      <c r="AB3224" s="13">
        <v>0</v>
      </c>
      <c r="AC3224" s="15">
        <v>14.55</v>
      </c>
      <c r="AD3224" s="15">
        <f>AC3224*AG3224</f>
        <v>14.55</v>
      </c>
      <c r="AE3224" s="15">
        <v>32</v>
      </c>
      <c r="AF3224" s="15">
        <f>AE3224*AG3224</f>
        <v>32</v>
      </c>
      <c r="AG3224" s="16">
        <v>1</v>
      </c>
    </row>
    <row r="3225" spans="1:33" ht="15" customHeight="1" x14ac:dyDescent="0.2">
      <c r="A3225" s="11" t="str">
        <f>HYPERLINK("https://assets.vans.eu/images/VN000MM5BLK-HERO/1","VN000MM5BLK1")</f>
        <v>VN000MM5BLK1</v>
      </c>
      <c r="B3225" s="12" t="s">
        <v>11726</v>
      </c>
      <c r="C3225" s="12" t="s">
        <v>11727</v>
      </c>
      <c r="D3225" s="12" t="s">
        <v>76</v>
      </c>
      <c r="E3225" s="12" t="s">
        <v>11728</v>
      </c>
      <c r="F3225" s="12" t="s">
        <v>170</v>
      </c>
      <c r="G3225" s="14"/>
      <c r="H3225" s="12" t="s">
        <v>61</v>
      </c>
      <c r="I3225" s="12" t="s">
        <v>62</v>
      </c>
      <c r="J3225" s="12" t="s">
        <v>63</v>
      </c>
      <c r="K3225" s="12" t="s">
        <v>64</v>
      </c>
      <c r="L3225" s="12" t="s">
        <v>42</v>
      </c>
      <c r="M3225" s="12" t="s">
        <v>43</v>
      </c>
      <c r="N3225" s="12" t="s">
        <v>44</v>
      </c>
      <c r="O3225" s="12" t="s">
        <v>11729</v>
      </c>
      <c r="P3225" s="12" t="s">
        <v>66</v>
      </c>
      <c r="Q3225" s="12" t="s">
        <v>67</v>
      </c>
      <c r="R3225" s="12" t="s">
        <v>68</v>
      </c>
      <c r="S3225" s="13">
        <v>197643375821</v>
      </c>
      <c r="T3225" s="12" t="s">
        <v>422</v>
      </c>
      <c r="U3225" s="12" t="s">
        <v>170</v>
      </c>
      <c r="V3225" s="12" t="s">
        <v>70</v>
      </c>
      <c r="W3225" s="12" t="s">
        <v>51</v>
      </c>
      <c r="X3225" s="13">
        <v>0</v>
      </c>
      <c r="Y3225" s="12" t="s">
        <v>91</v>
      </c>
      <c r="Z3225" s="12" t="s">
        <v>92</v>
      </c>
      <c r="AA3225" s="13">
        <v>0</v>
      </c>
      <c r="AB3225" s="12" t="s">
        <v>55</v>
      </c>
      <c r="AC3225" s="15">
        <v>14.55</v>
      </c>
      <c r="AD3225" s="15">
        <f>AC3225*AG3225</f>
        <v>14.55</v>
      </c>
      <c r="AE3225" s="15">
        <v>32</v>
      </c>
      <c r="AF3225" s="15">
        <f>AE3225*AG3225</f>
        <v>32</v>
      </c>
      <c r="AG3225" s="16">
        <v>1</v>
      </c>
    </row>
    <row r="3226" spans="1:33" ht="15" customHeight="1" x14ac:dyDescent="0.2">
      <c r="A3226" s="11" t="str">
        <f>HYPERLINK("https://assets.vans.eu/images/VN000MMD02F-HERO/1","VN000MMD02F1")</f>
        <v>VN000MMD02F1</v>
      </c>
      <c r="B3226" s="12" t="s">
        <v>11730</v>
      </c>
      <c r="C3226" s="12" t="s">
        <v>11731</v>
      </c>
      <c r="D3226" s="12" t="s">
        <v>857</v>
      </c>
      <c r="E3226" s="12" t="s">
        <v>11732</v>
      </c>
      <c r="F3226" s="13">
        <v>4</v>
      </c>
      <c r="G3226" s="14"/>
      <c r="H3226" s="12" t="s">
        <v>61</v>
      </c>
      <c r="I3226" s="12" t="s">
        <v>1340</v>
      </c>
      <c r="J3226" s="12" t="s">
        <v>1341</v>
      </c>
      <c r="K3226" s="12" t="s">
        <v>64</v>
      </c>
      <c r="L3226" s="14"/>
      <c r="M3226" s="12" t="s">
        <v>43</v>
      </c>
      <c r="N3226" s="12" t="s">
        <v>44</v>
      </c>
      <c r="O3226" s="12" t="s">
        <v>11733</v>
      </c>
      <c r="P3226" s="12" t="s">
        <v>66</v>
      </c>
      <c r="Q3226" s="12" t="s">
        <v>67</v>
      </c>
      <c r="R3226" s="12" t="s">
        <v>730</v>
      </c>
      <c r="S3226" s="13">
        <v>197643376231</v>
      </c>
      <c r="T3226" s="12" t="s">
        <v>49</v>
      </c>
      <c r="U3226" s="13">
        <v>4</v>
      </c>
      <c r="V3226" s="12" t="s">
        <v>1726</v>
      </c>
      <c r="W3226" s="12" t="s">
        <v>455</v>
      </c>
      <c r="X3226" s="13">
        <v>0</v>
      </c>
      <c r="Y3226" s="12" t="s">
        <v>91</v>
      </c>
      <c r="Z3226" s="12" t="s">
        <v>108</v>
      </c>
      <c r="AA3226" s="13">
        <v>0</v>
      </c>
      <c r="AB3226" s="13">
        <v>0</v>
      </c>
      <c r="AC3226" s="15">
        <v>25</v>
      </c>
      <c r="AD3226" s="15">
        <f>AC3226*AG3226</f>
        <v>25</v>
      </c>
      <c r="AE3226" s="15">
        <v>55</v>
      </c>
      <c r="AF3226" s="15">
        <f>AE3226*AG3226</f>
        <v>55</v>
      </c>
      <c r="AG3226" s="16">
        <v>1</v>
      </c>
    </row>
    <row r="3227" spans="1:33" ht="15" customHeight="1" x14ac:dyDescent="0.2">
      <c r="A3227" s="11" t="str">
        <f t="shared" ref="A3227:A3228" si="1175">HYPERLINK("https://assets.vans.eu/images/VN000MMNCLH-HERO/1","VN000MMNCLH1")</f>
        <v>VN000MMNCLH1</v>
      </c>
      <c r="B3227" s="12" t="s">
        <v>11734</v>
      </c>
      <c r="C3227" s="12" t="s">
        <v>11735</v>
      </c>
      <c r="D3227" s="12" t="s">
        <v>838</v>
      </c>
      <c r="E3227" s="12" t="s">
        <v>11736</v>
      </c>
      <c r="F3227" s="13">
        <v>2</v>
      </c>
      <c r="G3227" s="14"/>
      <c r="H3227" s="12" t="s">
        <v>61</v>
      </c>
      <c r="I3227" s="12" t="s">
        <v>1340</v>
      </c>
      <c r="J3227" s="12" t="s">
        <v>1341</v>
      </c>
      <c r="K3227" s="12" t="s">
        <v>64</v>
      </c>
      <c r="L3227" s="14"/>
      <c r="M3227" s="12" t="s">
        <v>43</v>
      </c>
      <c r="N3227" s="12" t="s">
        <v>44</v>
      </c>
      <c r="O3227" s="12" t="s">
        <v>11737</v>
      </c>
      <c r="P3227" s="12" t="s">
        <v>66</v>
      </c>
      <c r="Q3227" s="12" t="s">
        <v>67</v>
      </c>
      <c r="R3227" s="12" t="s">
        <v>68</v>
      </c>
      <c r="S3227" s="13">
        <v>197643376637</v>
      </c>
      <c r="T3227" s="12" t="s">
        <v>915</v>
      </c>
      <c r="U3227" s="13">
        <v>2</v>
      </c>
      <c r="V3227" s="12" t="s">
        <v>1028</v>
      </c>
      <c r="W3227" s="12" t="s">
        <v>118</v>
      </c>
      <c r="X3227" s="13">
        <v>0</v>
      </c>
      <c r="Y3227" s="12" t="s">
        <v>91</v>
      </c>
      <c r="Z3227" s="12" t="s">
        <v>108</v>
      </c>
      <c r="AA3227" s="13">
        <v>0</v>
      </c>
      <c r="AB3227" s="13">
        <v>0</v>
      </c>
      <c r="AC3227" s="15">
        <v>10.95</v>
      </c>
      <c r="AD3227" s="15">
        <f>AC3227*AG3227</f>
        <v>10.95</v>
      </c>
      <c r="AE3227" s="15">
        <v>24</v>
      </c>
      <c r="AF3227" s="15">
        <f>AE3227*AG3227</f>
        <v>24</v>
      </c>
      <c r="AG3227" s="16">
        <v>1</v>
      </c>
    </row>
    <row r="3228" spans="1:33" ht="15" customHeight="1" x14ac:dyDescent="0.2">
      <c r="A3228" s="11" t="str">
        <f t="shared" si="1175"/>
        <v>VN000MMNCLH1</v>
      </c>
      <c r="B3228" s="12" t="s">
        <v>11738</v>
      </c>
      <c r="C3228" s="12" t="s">
        <v>11735</v>
      </c>
      <c r="D3228" s="12" t="s">
        <v>838</v>
      </c>
      <c r="E3228" s="12" t="s">
        <v>11739</v>
      </c>
      <c r="F3228" s="13">
        <v>6</v>
      </c>
      <c r="G3228" s="14"/>
      <c r="H3228" s="12" t="s">
        <v>61</v>
      </c>
      <c r="I3228" s="12" t="s">
        <v>1340</v>
      </c>
      <c r="J3228" s="12" t="s">
        <v>1341</v>
      </c>
      <c r="K3228" s="12" t="s">
        <v>64</v>
      </c>
      <c r="L3228" s="14"/>
      <c r="M3228" s="12" t="s">
        <v>43</v>
      </c>
      <c r="N3228" s="12" t="s">
        <v>44</v>
      </c>
      <c r="O3228" s="12" t="s">
        <v>11740</v>
      </c>
      <c r="P3228" s="12" t="s">
        <v>66</v>
      </c>
      <c r="Q3228" s="12" t="s">
        <v>67</v>
      </c>
      <c r="R3228" s="12" t="s">
        <v>68</v>
      </c>
      <c r="S3228" s="13">
        <v>197643376781</v>
      </c>
      <c r="T3228" s="12" t="s">
        <v>915</v>
      </c>
      <c r="U3228" s="13">
        <v>6</v>
      </c>
      <c r="V3228" s="12" t="s">
        <v>1028</v>
      </c>
      <c r="W3228" s="12" t="s">
        <v>118</v>
      </c>
      <c r="X3228" s="13">
        <v>0</v>
      </c>
      <c r="Y3228" s="12" t="s">
        <v>91</v>
      </c>
      <c r="Z3228" s="12" t="s">
        <v>108</v>
      </c>
      <c r="AA3228" s="13">
        <v>0</v>
      </c>
      <c r="AB3228" s="13">
        <v>0</v>
      </c>
      <c r="AC3228" s="15">
        <v>10.95</v>
      </c>
      <c r="AD3228" s="15">
        <f>AC3228*AG3228</f>
        <v>10.95</v>
      </c>
      <c r="AE3228" s="15">
        <v>24</v>
      </c>
      <c r="AF3228" s="15">
        <f>AE3228*AG3228</f>
        <v>24</v>
      </c>
      <c r="AG3228" s="16">
        <v>1</v>
      </c>
    </row>
    <row r="3229" spans="1:33" ht="15" customHeight="1" x14ac:dyDescent="0.2">
      <c r="A3229" s="11" t="str">
        <f t="shared" si="698"/>
        <v>VN000MN2BR11</v>
      </c>
      <c r="B3229" s="12" t="s">
        <v>11741</v>
      </c>
      <c r="C3229" s="12" t="s">
        <v>4158</v>
      </c>
      <c r="D3229" s="12" t="s">
        <v>496</v>
      </c>
      <c r="E3229" s="12" t="s">
        <v>11742</v>
      </c>
      <c r="F3229" s="12" t="s">
        <v>403</v>
      </c>
      <c r="G3229" s="14"/>
      <c r="H3229" s="12" t="s">
        <v>61</v>
      </c>
      <c r="I3229" s="12" t="s">
        <v>289</v>
      </c>
      <c r="J3229" s="12" t="s">
        <v>900</v>
      </c>
      <c r="K3229" s="12" t="s">
        <v>100</v>
      </c>
      <c r="L3229" s="14"/>
      <c r="M3229" s="12" t="s">
        <v>43</v>
      </c>
      <c r="N3229" s="12" t="s">
        <v>44</v>
      </c>
      <c r="O3229" s="12" t="s">
        <v>11743</v>
      </c>
      <c r="P3229" s="12" t="s">
        <v>66</v>
      </c>
      <c r="Q3229" s="12" t="s">
        <v>233</v>
      </c>
      <c r="R3229" s="12" t="s">
        <v>902</v>
      </c>
      <c r="S3229" s="13">
        <v>197643377221</v>
      </c>
      <c r="T3229" s="12" t="s">
        <v>49</v>
      </c>
      <c r="U3229" s="12" t="s">
        <v>403</v>
      </c>
      <c r="V3229" s="12" t="s">
        <v>90</v>
      </c>
      <c r="W3229" s="12" t="s">
        <v>118</v>
      </c>
      <c r="X3229" s="13">
        <v>0</v>
      </c>
      <c r="Y3229" s="12" t="s">
        <v>53</v>
      </c>
      <c r="Z3229" s="12" t="s">
        <v>108</v>
      </c>
      <c r="AA3229" s="13">
        <v>0</v>
      </c>
      <c r="AB3229" s="13">
        <v>0</v>
      </c>
      <c r="AC3229" s="15">
        <v>36.4</v>
      </c>
      <c r="AD3229" s="15">
        <f>AC3229*AG3229</f>
        <v>36.4</v>
      </c>
      <c r="AE3229" s="15">
        <v>80</v>
      </c>
      <c r="AF3229" s="15">
        <f>AE3229*AG3229</f>
        <v>80</v>
      </c>
      <c r="AG3229" s="16">
        <v>1</v>
      </c>
    </row>
    <row r="3230" spans="1:33" ht="15" customHeight="1" x14ac:dyDescent="0.2">
      <c r="A3230" s="11" t="str">
        <f t="shared" si="890"/>
        <v>VN000ND8JDU1</v>
      </c>
      <c r="B3230" s="12" t="s">
        <v>11744</v>
      </c>
      <c r="C3230" s="12" t="s">
        <v>8172</v>
      </c>
      <c r="D3230" s="12" t="s">
        <v>814</v>
      </c>
      <c r="E3230" s="12" t="s">
        <v>11745</v>
      </c>
      <c r="F3230" s="12" t="s">
        <v>621</v>
      </c>
      <c r="G3230" s="14"/>
      <c r="H3230" s="12" t="s">
        <v>61</v>
      </c>
      <c r="I3230" s="12" t="s">
        <v>230</v>
      </c>
      <c r="J3230" s="12" t="s">
        <v>419</v>
      </c>
      <c r="K3230" s="12" t="s">
        <v>199</v>
      </c>
      <c r="L3230" s="14"/>
      <c r="M3230" s="12" t="s">
        <v>43</v>
      </c>
      <c r="N3230" s="12" t="s">
        <v>44</v>
      </c>
      <c r="O3230" s="12" t="s">
        <v>11746</v>
      </c>
      <c r="P3230" s="12" t="s">
        <v>66</v>
      </c>
      <c r="Q3230" s="12" t="s">
        <v>67</v>
      </c>
      <c r="R3230" s="12" t="s">
        <v>421</v>
      </c>
      <c r="S3230" s="13">
        <v>197643420187</v>
      </c>
      <c r="T3230" s="12" t="s">
        <v>49</v>
      </c>
      <c r="U3230" s="12" t="s">
        <v>621</v>
      </c>
      <c r="V3230" s="12" t="s">
        <v>665</v>
      </c>
      <c r="W3230" s="12" t="s">
        <v>284</v>
      </c>
      <c r="X3230" s="13">
        <v>0</v>
      </c>
      <c r="Y3230" s="12" t="s">
        <v>91</v>
      </c>
      <c r="Z3230" s="12" t="s">
        <v>108</v>
      </c>
      <c r="AA3230" s="13">
        <v>0</v>
      </c>
      <c r="AB3230" s="13">
        <v>0</v>
      </c>
      <c r="AC3230" s="15">
        <v>25</v>
      </c>
      <c r="AD3230" s="15">
        <f>AC3230*AG3230</f>
        <v>25</v>
      </c>
      <c r="AE3230" s="15">
        <v>55</v>
      </c>
      <c r="AF3230" s="15">
        <f>AE3230*AG3230</f>
        <v>55</v>
      </c>
      <c r="AG3230" s="16">
        <v>1</v>
      </c>
    </row>
    <row r="3231" spans="1:33" ht="15" customHeight="1" x14ac:dyDescent="0.2">
      <c r="A3231" s="11" t="str">
        <f>HYPERLINK("https://assets.vans.eu/images/VN000ND8WHT-HERO/1","VN000ND8WHT1")</f>
        <v>VN000ND8WHT1</v>
      </c>
      <c r="B3231" s="12" t="s">
        <v>11747</v>
      </c>
      <c r="C3231" s="12" t="s">
        <v>8172</v>
      </c>
      <c r="D3231" s="12" t="s">
        <v>168</v>
      </c>
      <c r="E3231" s="12" t="s">
        <v>11748</v>
      </c>
      <c r="F3231" s="12" t="s">
        <v>179</v>
      </c>
      <c r="G3231" s="14"/>
      <c r="H3231" s="12" t="s">
        <v>61</v>
      </c>
      <c r="I3231" s="12" t="s">
        <v>230</v>
      </c>
      <c r="J3231" s="12" t="s">
        <v>419</v>
      </c>
      <c r="K3231" s="12" t="s">
        <v>199</v>
      </c>
      <c r="L3231" s="14"/>
      <c r="M3231" s="12" t="s">
        <v>43</v>
      </c>
      <c r="N3231" s="12" t="s">
        <v>44</v>
      </c>
      <c r="O3231" s="12" t="s">
        <v>11749</v>
      </c>
      <c r="P3231" s="12" t="s">
        <v>66</v>
      </c>
      <c r="Q3231" s="12" t="s">
        <v>67</v>
      </c>
      <c r="R3231" s="12" t="s">
        <v>421</v>
      </c>
      <c r="S3231" s="13">
        <v>197643419945</v>
      </c>
      <c r="T3231" s="12" t="s">
        <v>49</v>
      </c>
      <c r="U3231" s="12" t="s">
        <v>179</v>
      </c>
      <c r="V3231" s="12" t="s">
        <v>665</v>
      </c>
      <c r="W3231" s="12" t="s">
        <v>175</v>
      </c>
      <c r="X3231" s="13">
        <v>0</v>
      </c>
      <c r="Y3231" s="12" t="s">
        <v>91</v>
      </c>
      <c r="Z3231" s="12" t="s">
        <v>108</v>
      </c>
      <c r="AA3231" s="13">
        <v>0</v>
      </c>
      <c r="AB3231" s="13">
        <v>0</v>
      </c>
      <c r="AC3231" s="15">
        <v>25</v>
      </c>
      <c r="AD3231" s="15">
        <f>AC3231*AG3231</f>
        <v>25</v>
      </c>
      <c r="AE3231" s="15">
        <v>55</v>
      </c>
      <c r="AF3231" s="15">
        <f>AE3231*AG3231</f>
        <v>55</v>
      </c>
      <c r="AG3231" s="16">
        <v>1</v>
      </c>
    </row>
    <row r="3232" spans="1:33" ht="15" customHeight="1" x14ac:dyDescent="0.2">
      <c r="A3232" s="11" t="str">
        <f>HYPERLINK("https://assets.vans.eu/images/VN000NDPD45-HERO/1","VN000NDPD451")</f>
        <v>VN000NDPD451</v>
      </c>
      <c r="B3232" s="12" t="s">
        <v>11750</v>
      </c>
      <c r="C3232" s="12" t="s">
        <v>11751</v>
      </c>
      <c r="D3232" s="12" t="s">
        <v>4516</v>
      </c>
      <c r="E3232" s="12" t="s">
        <v>11752</v>
      </c>
      <c r="F3232" s="12" t="s">
        <v>403</v>
      </c>
      <c r="G3232" s="14"/>
      <c r="H3232" s="12" t="s">
        <v>61</v>
      </c>
      <c r="I3232" s="12" t="s">
        <v>230</v>
      </c>
      <c r="J3232" s="12" t="s">
        <v>762</v>
      </c>
      <c r="K3232" s="12" t="s">
        <v>199</v>
      </c>
      <c r="L3232" s="12" t="s">
        <v>260</v>
      </c>
      <c r="M3232" s="12" t="s">
        <v>43</v>
      </c>
      <c r="N3232" s="12" t="s">
        <v>161</v>
      </c>
      <c r="O3232" s="12" t="s">
        <v>11753</v>
      </c>
      <c r="P3232" s="12" t="s">
        <v>66</v>
      </c>
      <c r="Q3232" s="12" t="s">
        <v>764</v>
      </c>
      <c r="R3232" s="12" t="s">
        <v>765</v>
      </c>
      <c r="S3232" s="13">
        <v>197642431528</v>
      </c>
      <c r="T3232" s="12" t="s">
        <v>49</v>
      </c>
      <c r="U3232" s="12" t="s">
        <v>403</v>
      </c>
      <c r="V3232" s="12" t="s">
        <v>3746</v>
      </c>
      <c r="W3232" s="12" t="s">
        <v>107</v>
      </c>
      <c r="X3232" s="13">
        <v>0</v>
      </c>
      <c r="Y3232" s="12" t="s">
        <v>91</v>
      </c>
      <c r="Z3232" s="12" t="s">
        <v>108</v>
      </c>
      <c r="AA3232" s="13">
        <v>0</v>
      </c>
      <c r="AB3232" s="12" t="s">
        <v>264</v>
      </c>
      <c r="AC3232" s="15">
        <v>40.950000000000003</v>
      </c>
      <c r="AD3232" s="15">
        <f>AC3232*AG3232</f>
        <v>40.950000000000003</v>
      </c>
      <c r="AE3232" s="15">
        <v>90</v>
      </c>
      <c r="AF3232" s="15">
        <f>AE3232*AG3232</f>
        <v>90</v>
      </c>
      <c r="AG3232" s="16">
        <v>1</v>
      </c>
    </row>
    <row r="3233" spans="1:33" ht="15" customHeight="1" x14ac:dyDescent="0.2">
      <c r="A3233" s="11" t="str">
        <f>HYPERLINK("https://assets.vans.eu/images/VN000NHPBLK-HERO/1","VN000NHPBLK1")</f>
        <v>VN000NHPBLK1</v>
      </c>
      <c r="B3233" s="12" t="s">
        <v>11754</v>
      </c>
      <c r="C3233" s="12" t="s">
        <v>11755</v>
      </c>
      <c r="D3233" s="12" t="s">
        <v>76</v>
      </c>
      <c r="E3233" s="12" t="s">
        <v>11756</v>
      </c>
      <c r="F3233" s="12" t="s">
        <v>403</v>
      </c>
      <c r="G3233" s="14"/>
      <c r="H3233" s="12" t="s">
        <v>61</v>
      </c>
      <c r="I3233" s="12" t="s">
        <v>230</v>
      </c>
      <c r="J3233" s="12" t="s">
        <v>419</v>
      </c>
      <c r="K3233" s="12" t="s">
        <v>199</v>
      </c>
      <c r="L3233" s="14"/>
      <c r="M3233" s="12" t="s">
        <v>43</v>
      </c>
      <c r="N3233" s="12" t="s">
        <v>44</v>
      </c>
      <c r="O3233" s="12" t="s">
        <v>11757</v>
      </c>
      <c r="P3233" s="12" t="s">
        <v>66</v>
      </c>
      <c r="Q3233" s="12" t="s">
        <v>67</v>
      </c>
      <c r="R3233" s="12" t="s">
        <v>421</v>
      </c>
      <c r="S3233" s="13">
        <v>197643420613</v>
      </c>
      <c r="T3233" s="12" t="s">
        <v>422</v>
      </c>
      <c r="U3233" s="12" t="s">
        <v>403</v>
      </c>
      <c r="V3233" s="12" t="s">
        <v>70</v>
      </c>
      <c r="W3233" s="12" t="s">
        <v>51</v>
      </c>
      <c r="X3233" s="12" t="s">
        <v>500</v>
      </c>
      <c r="Y3233" s="12" t="s">
        <v>91</v>
      </c>
      <c r="Z3233" s="12" t="s">
        <v>108</v>
      </c>
      <c r="AA3233" s="13">
        <v>0</v>
      </c>
      <c r="AB3233" s="13">
        <v>0</v>
      </c>
      <c r="AC3233" s="15">
        <v>17.3</v>
      </c>
      <c r="AD3233" s="15">
        <f>AC3233*AG3233</f>
        <v>17.3</v>
      </c>
      <c r="AE3233" s="15">
        <v>38</v>
      </c>
      <c r="AF3233" s="15">
        <f>AE3233*AG3233</f>
        <v>38</v>
      </c>
      <c r="AG3233" s="16">
        <v>1</v>
      </c>
    </row>
    <row r="3234" spans="1:33" ht="15" customHeight="1" x14ac:dyDescent="0.2">
      <c r="A3234" s="11" t="str">
        <f>HYPERLINK("https://assets.vans.eu/images/VN000NKKBLK-HERO/1","VN000NKKBLK1")</f>
        <v>VN000NKKBLK1</v>
      </c>
      <c r="B3234" s="12" t="s">
        <v>11758</v>
      </c>
      <c r="C3234" s="12" t="s">
        <v>11759</v>
      </c>
      <c r="D3234" s="12" t="s">
        <v>76</v>
      </c>
      <c r="E3234" s="12" t="s">
        <v>11760</v>
      </c>
      <c r="F3234" s="12" t="s">
        <v>621</v>
      </c>
      <c r="G3234" s="14"/>
      <c r="H3234" s="12" t="s">
        <v>61</v>
      </c>
      <c r="I3234" s="12" t="s">
        <v>230</v>
      </c>
      <c r="J3234" s="12" t="s">
        <v>762</v>
      </c>
      <c r="K3234" s="12" t="s">
        <v>199</v>
      </c>
      <c r="L3234" s="14"/>
      <c r="M3234" s="12" t="s">
        <v>43</v>
      </c>
      <c r="N3234" s="12" t="s">
        <v>161</v>
      </c>
      <c r="O3234" s="12" t="s">
        <v>11761</v>
      </c>
      <c r="P3234" s="12" t="s">
        <v>66</v>
      </c>
      <c r="Q3234" s="12" t="s">
        <v>764</v>
      </c>
      <c r="R3234" s="12" t="s">
        <v>765</v>
      </c>
      <c r="S3234" s="13">
        <v>197642408773</v>
      </c>
      <c r="T3234" s="12" t="s">
        <v>49</v>
      </c>
      <c r="U3234" s="12" t="s">
        <v>621</v>
      </c>
      <c r="V3234" s="12" t="s">
        <v>11762</v>
      </c>
      <c r="W3234" s="12" t="s">
        <v>51</v>
      </c>
      <c r="X3234" s="13">
        <v>0</v>
      </c>
      <c r="Y3234" s="12" t="s">
        <v>91</v>
      </c>
      <c r="Z3234" s="12" t="s">
        <v>108</v>
      </c>
      <c r="AA3234" s="13">
        <v>0</v>
      </c>
      <c r="AB3234" s="13">
        <v>0</v>
      </c>
      <c r="AC3234" s="15">
        <v>50</v>
      </c>
      <c r="AD3234" s="15">
        <f>AC3234*AG3234</f>
        <v>50</v>
      </c>
      <c r="AE3234" s="15">
        <v>110</v>
      </c>
      <c r="AF3234" s="15">
        <f>AE3234*AG3234</f>
        <v>110</v>
      </c>
      <c r="AG3234" s="16">
        <v>1</v>
      </c>
    </row>
    <row r="3235" spans="1:33" ht="15" customHeight="1" x14ac:dyDescent="0.2">
      <c r="A3235" s="11" t="str">
        <f t="shared" si="699"/>
        <v>VN000NTSD6Z1</v>
      </c>
      <c r="B3235" s="12" t="s">
        <v>11763</v>
      </c>
      <c r="C3235" s="12" t="s">
        <v>1418</v>
      </c>
      <c r="D3235" s="12" t="s">
        <v>1277</v>
      </c>
      <c r="E3235" s="12" t="s">
        <v>11764</v>
      </c>
      <c r="F3235" s="12" t="s">
        <v>153</v>
      </c>
      <c r="G3235" s="14"/>
      <c r="H3235" s="12" t="s">
        <v>61</v>
      </c>
      <c r="I3235" s="12" t="s">
        <v>230</v>
      </c>
      <c r="J3235" s="12" t="s">
        <v>419</v>
      </c>
      <c r="K3235" s="12" t="s">
        <v>199</v>
      </c>
      <c r="L3235" s="12" t="s">
        <v>83</v>
      </c>
      <c r="M3235" s="12" t="s">
        <v>43</v>
      </c>
      <c r="N3235" s="12" t="s">
        <v>44</v>
      </c>
      <c r="O3235" s="12" t="s">
        <v>11765</v>
      </c>
      <c r="P3235" s="12" t="s">
        <v>66</v>
      </c>
      <c r="Q3235" s="12" t="s">
        <v>67</v>
      </c>
      <c r="R3235" s="12" t="s">
        <v>421</v>
      </c>
      <c r="S3235" s="13">
        <v>197803402411</v>
      </c>
      <c r="T3235" s="12" t="s">
        <v>69</v>
      </c>
      <c r="U3235" s="12" t="s">
        <v>153</v>
      </c>
      <c r="V3235" s="12" t="s">
        <v>423</v>
      </c>
      <c r="W3235" s="12" t="s">
        <v>299</v>
      </c>
      <c r="X3235" s="13">
        <v>0</v>
      </c>
      <c r="Y3235" s="12" t="s">
        <v>53</v>
      </c>
      <c r="Z3235" s="12" t="s">
        <v>108</v>
      </c>
      <c r="AA3235" s="13">
        <v>0</v>
      </c>
      <c r="AB3235" s="12" t="s">
        <v>616</v>
      </c>
      <c r="AC3235" s="15">
        <v>22.75</v>
      </c>
      <c r="AD3235" s="15">
        <f>AC3235*AG3235</f>
        <v>22.75</v>
      </c>
      <c r="AE3235" s="15">
        <v>50</v>
      </c>
      <c r="AF3235" s="15">
        <f>AE3235*AG3235</f>
        <v>50</v>
      </c>
      <c r="AG3235" s="16">
        <v>1</v>
      </c>
    </row>
    <row r="3236" spans="1:33" ht="15" customHeight="1" x14ac:dyDescent="0.2">
      <c r="A3236" s="11" t="str">
        <f>HYPERLINK("https://assets.vans.eu/images/VN000NTSD6Z-HERO/1","VN000NTSD6Z1")</f>
        <v>VN000NTSD6Z1</v>
      </c>
      <c r="B3236" s="12" t="s">
        <v>11766</v>
      </c>
      <c r="C3236" s="12" t="s">
        <v>1418</v>
      </c>
      <c r="D3236" s="12" t="s">
        <v>1277</v>
      </c>
      <c r="E3236" s="12" t="s">
        <v>11767</v>
      </c>
      <c r="F3236" s="12" t="s">
        <v>621</v>
      </c>
      <c r="G3236" s="14"/>
      <c r="H3236" s="12" t="s">
        <v>61</v>
      </c>
      <c r="I3236" s="12" t="s">
        <v>230</v>
      </c>
      <c r="J3236" s="12" t="s">
        <v>419</v>
      </c>
      <c r="K3236" s="12" t="s">
        <v>199</v>
      </c>
      <c r="L3236" s="12" t="s">
        <v>83</v>
      </c>
      <c r="M3236" s="12" t="s">
        <v>43</v>
      </c>
      <c r="N3236" s="12" t="s">
        <v>44</v>
      </c>
      <c r="O3236" s="12" t="s">
        <v>11768</v>
      </c>
      <c r="P3236" s="12" t="s">
        <v>66</v>
      </c>
      <c r="Q3236" s="12" t="s">
        <v>67</v>
      </c>
      <c r="R3236" s="12" t="s">
        <v>421</v>
      </c>
      <c r="S3236" s="13">
        <v>197803402473</v>
      </c>
      <c r="T3236" s="12" t="s">
        <v>69</v>
      </c>
      <c r="U3236" s="12" t="s">
        <v>621</v>
      </c>
      <c r="V3236" s="12" t="s">
        <v>423</v>
      </c>
      <c r="W3236" s="12" t="s">
        <v>299</v>
      </c>
      <c r="X3236" s="13">
        <v>0</v>
      </c>
      <c r="Y3236" s="12" t="s">
        <v>53</v>
      </c>
      <c r="Z3236" s="12" t="s">
        <v>108</v>
      </c>
      <c r="AA3236" s="13">
        <v>0</v>
      </c>
      <c r="AB3236" s="12" t="s">
        <v>616</v>
      </c>
      <c r="AC3236" s="15">
        <v>22.75</v>
      </c>
      <c r="AD3236" s="15">
        <f>AC3236*AG3236</f>
        <v>22.75</v>
      </c>
      <c r="AE3236" s="15">
        <v>50</v>
      </c>
      <c r="AF3236" s="15">
        <f>AE3236*AG3236</f>
        <v>50</v>
      </c>
      <c r="AG3236" s="16">
        <v>1</v>
      </c>
    </row>
    <row r="3237" spans="1:33" ht="15" customHeight="1" x14ac:dyDescent="0.2">
      <c r="A3237" s="11" t="str">
        <f>HYPERLINK("https://assets.vans.eu/images/VN000NVAJDU-HERO/1","VN000NVAJDU1")</f>
        <v>VN000NVAJDU1</v>
      </c>
      <c r="B3237" s="12" t="s">
        <v>11769</v>
      </c>
      <c r="C3237" s="12" t="s">
        <v>11770</v>
      </c>
      <c r="D3237" s="12" t="s">
        <v>814</v>
      </c>
      <c r="E3237" s="12" t="s">
        <v>11771</v>
      </c>
      <c r="F3237" s="12" t="s">
        <v>179</v>
      </c>
      <c r="G3237" s="14"/>
      <c r="H3237" s="12" t="s">
        <v>61</v>
      </c>
      <c r="I3237" s="12" t="s">
        <v>62</v>
      </c>
      <c r="J3237" s="12" t="s">
        <v>63</v>
      </c>
      <c r="K3237" s="12" t="s">
        <v>64</v>
      </c>
      <c r="L3237" s="14"/>
      <c r="M3237" s="12" t="s">
        <v>43</v>
      </c>
      <c r="N3237" s="12" t="s">
        <v>44</v>
      </c>
      <c r="O3237" s="12" t="s">
        <v>11772</v>
      </c>
      <c r="P3237" s="12" t="s">
        <v>66</v>
      </c>
      <c r="Q3237" s="12" t="s">
        <v>67</v>
      </c>
      <c r="R3237" s="12" t="s">
        <v>730</v>
      </c>
      <c r="S3237" s="13">
        <v>197803402671</v>
      </c>
      <c r="T3237" s="12" t="s">
        <v>499</v>
      </c>
      <c r="U3237" s="12" t="s">
        <v>179</v>
      </c>
      <c r="V3237" s="12" t="s">
        <v>70</v>
      </c>
      <c r="W3237" s="12" t="s">
        <v>284</v>
      </c>
      <c r="X3237" s="12" t="s">
        <v>500</v>
      </c>
      <c r="Y3237" s="12" t="s">
        <v>91</v>
      </c>
      <c r="Z3237" s="12" t="s">
        <v>108</v>
      </c>
      <c r="AA3237" s="13">
        <v>0</v>
      </c>
      <c r="AB3237" s="13">
        <v>0</v>
      </c>
      <c r="AC3237" s="15">
        <v>26.4</v>
      </c>
      <c r="AD3237" s="15">
        <f>AC3237*AG3237</f>
        <v>26.4</v>
      </c>
      <c r="AE3237" s="15">
        <v>58</v>
      </c>
      <c r="AF3237" s="15">
        <f>AE3237*AG3237</f>
        <v>58</v>
      </c>
      <c r="AG3237" s="16">
        <v>1</v>
      </c>
    </row>
    <row r="3238" spans="1:33" ht="15" customHeight="1" x14ac:dyDescent="0.2">
      <c r="A3238" s="11" t="str">
        <f>HYPERLINK("https://assets.vans.eu/images/VN000NWBBLK-HERO/1","VN000NWBBLK1")</f>
        <v>VN000NWBBLK1</v>
      </c>
      <c r="B3238" s="12" t="s">
        <v>11773</v>
      </c>
      <c r="C3238" s="12" t="s">
        <v>8187</v>
      </c>
      <c r="D3238" s="12" t="s">
        <v>76</v>
      </c>
      <c r="E3238" s="12" t="s">
        <v>11774</v>
      </c>
      <c r="F3238" s="12" t="s">
        <v>179</v>
      </c>
      <c r="G3238" s="14"/>
      <c r="H3238" s="12" t="s">
        <v>61</v>
      </c>
      <c r="I3238" s="12" t="s">
        <v>230</v>
      </c>
      <c r="J3238" s="12" t="s">
        <v>419</v>
      </c>
      <c r="K3238" s="12" t="s">
        <v>199</v>
      </c>
      <c r="L3238" s="12" t="s">
        <v>83</v>
      </c>
      <c r="M3238" s="12" t="s">
        <v>43</v>
      </c>
      <c r="N3238" s="12" t="s">
        <v>44</v>
      </c>
      <c r="O3238" s="12" t="s">
        <v>11775</v>
      </c>
      <c r="P3238" s="12" t="s">
        <v>66</v>
      </c>
      <c r="Q3238" s="12" t="s">
        <v>67</v>
      </c>
      <c r="R3238" s="12" t="s">
        <v>623</v>
      </c>
      <c r="S3238" s="13">
        <v>197803402817</v>
      </c>
      <c r="T3238" s="12" t="s">
        <v>499</v>
      </c>
      <c r="U3238" s="12" t="s">
        <v>179</v>
      </c>
      <c r="V3238" s="12" t="s">
        <v>423</v>
      </c>
      <c r="W3238" s="12" t="s">
        <v>51</v>
      </c>
      <c r="X3238" s="13">
        <v>0</v>
      </c>
      <c r="Y3238" s="12" t="s">
        <v>91</v>
      </c>
      <c r="Z3238" s="12" t="s">
        <v>108</v>
      </c>
      <c r="AA3238" s="13">
        <v>0</v>
      </c>
      <c r="AB3238" s="12" t="s">
        <v>616</v>
      </c>
      <c r="AC3238" s="15">
        <v>27.3</v>
      </c>
      <c r="AD3238" s="15">
        <f>AC3238*AG3238</f>
        <v>27.3</v>
      </c>
      <c r="AE3238" s="15">
        <v>60</v>
      </c>
      <c r="AF3238" s="15">
        <f>AE3238*AG3238</f>
        <v>60</v>
      </c>
      <c r="AG3238" s="16">
        <v>1</v>
      </c>
    </row>
    <row r="3239" spans="1:33" ht="15" customHeight="1" x14ac:dyDescent="0.2">
      <c r="A3239" s="11" t="str">
        <f t="shared" si="891"/>
        <v>VN000NWBCFL1</v>
      </c>
      <c r="B3239" s="12" t="s">
        <v>11776</v>
      </c>
      <c r="C3239" s="12" t="s">
        <v>8187</v>
      </c>
      <c r="D3239" s="12" t="s">
        <v>1258</v>
      </c>
      <c r="E3239" s="12" t="s">
        <v>11777</v>
      </c>
      <c r="F3239" s="12" t="s">
        <v>403</v>
      </c>
      <c r="G3239" s="14"/>
      <c r="H3239" s="12" t="s">
        <v>61</v>
      </c>
      <c r="I3239" s="12" t="s">
        <v>230</v>
      </c>
      <c r="J3239" s="12" t="s">
        <v>419</v>
      </c>
      <c r="K3239" s="12" t="s">
        <v>199</v>
      </c>
      <c r="L3239" s="12" t="s">
        <v>83</v>
      </c>
      <c r="M3239" s="12" t="s">
        <v>43</v>
      </c>
      <c r="N3239" s="12" t="s">
        <v>44</v>
      </c>
      <c r="O3239" s="12" t="s">
        <v>11778</v>
      </c>
      <c r="P3239" s="12" t="s">
        <v>66</v>
      </c>
      <c r="Q3239" s="12" t="s">
        <v>67</v>
      </c>
      <c r="R3239" s="12" t="s">
        <v>623</v>
      </c>
      <c r="S3239" s="13">
        <v>197803403180</v>
      </c>
      <c r="T3239" s="12" t="s">
        <v>499</v>
      </c>
      <c r="U3239" s="12" t="s">
        <v>403</v>
      </c>
      <c r="V3239" s="12" t="s">
        <v>423</v>
      </c>
      <c r="W3239" s="12" t="s">
        <v>284</v>
      </c>
      <c r="X3239" s="13">
        <v>0</v>
      </c>
      <c r="Y3239" s="12" t="s">
        <v>91</v>
      </c>
      <c r="Z3239" s="12" t="s">
        <v>108</v>
      </c>
      <c r="AA3239" s="13">
        <v>0</v>
      </c>
      <c r="AB3239" s="12" t="s">
        <v>616</v>
      </c>
      <c r="AC3239" s="15">
        <v>27.3</v>
      </c>
      <c r="AD3239" s="15">
        <f>AC3239*AG3239</f>
        <v>27.3</v>
      </c>
      <c r="AE3239" s="15">
        <v>60</v>
      </c>
      <c r="AF3239" s="15">
        <f>AE3239*AG3239</f>
        <v>60</v>
      </c>
      <c r="AG3239" s="16">
        <v>1</v>
      </c>
    </row>
    <row r="3240" spans="1:33" ht="15" customHeight="1" x14ac:dyDescent="0.2">
      <c r="A3240" s="11" t="str">
        <f>HYPERLINK("https://assets.vans.eu/images/VN000NWEBLK-HERO/1","VN000NWEBLK1")</f>
        <v>VN000NWEBLK1</v>
      </c>
      <c r="B3240" s="12" t="s">
        <v>11779</v>
      </c>
      <c r="C3240" s="12" t="s">
        <v>11780</v>
      </c>
      <c r="D3240" s="12" t="s">
        <v>76</v>
      </c>
      <c r="E3240" s="12" t="s">
        <v>11781</v>
      </c>
      <c r="F3240" s="12" t="s">
        <v>179</v>
      </c>
      <c r="G3240" s="14"/>
      <c r="H3240" s="12" t="s">
        <v>61</v>
      </c>
      <c r="I3240" s="12" t="s">
        <v>230</v>
      </c>
      <c r="J3240" s="12" t="s">
        <v>419</v>
      </c>
      <c r="K3240" s="12" t="s">
        <v>199</v>
      </c>
      <c r="L3240" s="12" t="s">
        <v>83</v>
      </c>
      <c r="M3240" s="12" t="s">
        <v>43</v>
      </c>
      <c r="N3240" s="12" t="s">
        <v>44</v>
      </c>
      <c r="O3240" s="12" t="s">
        <v>11782</v>
      </c>
      <c r="P3240" s="12" t="s">
        <v>66</v>
      </c>
      <c r="Q3240" s="12" t="s">
        <v>67</v>
      </c>
      <c r="R3240" s="12" t="s">
        <v>623</v>
      </c>
      <c r="S3240" s="13">
        <v>197803403227</v>
      </c>
      <c r="T3240" s="12" t="s">
        <v>499</v>
      </c>
      <c r="U3240" s="12" t="s">
        <v>179</v>
      </c>
      <c r="V3240" s="12" t="s">
        <v>423</v>
      </c>
      <c r="W3240" s="12" t="s">
        <v>51</v>
      </c>
      <c r="X3240" s="13">
        <v>0</v>
      </c>
      <c r="Y3240" s="12" t="s">
        <v>91</v>
      </c>
      <c r="Z3240" s="12" t="s">
        <v>108</v>
      </c>
      <c r="AA3240" s="13">
        <v>0</v>
      </c>
      <c r="AB3240" s="12" t="s">
        <v>616</v>
      </c>
      <c r="AC3240" s="15">
        <v>29.55</v>
      </c>
      <c r="AD3240" s="15">
        <f>AC3240*AG3240</f>
        <v>29.55</v>
      </c>
      <c r="AE3240" s="15">
        <v>65</v>
      </c>
      <c r="AF3240" s="15">
        <f>AE3240*AG3240</f>
        <v>65</v>
      </c>
      <c r="AG3240" s="16">
        <v>1</v>
      </c>
    </row>
    <row r="3241" spans="1:33" ht="15" customHeight="1" x14ac:dyDescent="0.2">
      <c r="A3241" s="11" t="str">
        <f>HYPERLINK("https://assets.vans.eu/images/VN000NWN1O7-HERO/1","VN000NWN1O71")</f>
        <v>VN000NWN1O71</v>
      </c>
      <c r="B3241" s="12" t="s">
        <v>11783</v>
      </c>
      <c r="C3241" s="12" t="s">
        <v>11784</v>
      </c>
      <c r="D3241" s="12" t="s">
        <v>637</v>
      </c>
      <c r="E3241" s="12" t="s">
        <v>11785</v>
      </c>
      <c r="F3241" s="12" t="s">
        <v>179</v>
      </c>
      <c r="G3241" s="14"/>
      <c r="H3241" s="12" t="s">
        <v>61</v>
      </c>
      <c r="I3241" s="12" t="s">
        <v>230</v>
      </c>
      <c r="J3241" s="12" t="s">
        <v>419</v>
      </c>
      <c r="K3241" s="12" t="s">
        <v>199</v>
      </c>
      <c r="L3241" s="12" t="s">
        <v>83</v>
      </c>
      <c r="M3241" s="12" t="s">
        <v>43</v>
      </c>
      <c r="N3241" s="12" t="s">
        <v>84</v>
      </c>
      <c r="O3241" s="12" t="s">
        <v>11786</v>
      </c>
      <c r="P3241" s="12" t="s">
        <v>66</v>
      </c>
      <c r="Q3241" s="12" t="s">
        <v>67</v>
      </c>
      <c r="R3241" s="12" t="s">
        <v>421</v>
      </c>
      <c r="S3241" s="13">
        <v>197803403388</v>
      </c>
      <c r="T3241" s="12" t="s">
        <v>69</v>
      </c>
      <c r="U3241" s="12" t="s">
        <v>179</v>
      </c>
      <c r="V3241" s="12" t="s">
        <v>70</v>
      </c>
      <c r="W3241" s="12" t="s">
        <v>455</v>
      </c>
      <c r="X3241" s="13">
        <v>0</v>
      </c>
      <c r="Y3241" s="12" t="s">
        <v>53</v>
      </c>
      <c r="Z3241" s="12" t="s">
        <v>108</v>
      </c>
      <c r="AA3241" s="13">
        <v>0</v>
      </c>
      <c r="AB3241" s="12" t="s">
        <v>616</v>
      </c>
      <c r="AC3241" s="15">
        <v>25</v>
      </c>
      <c r="AD3241" s="15">
        <f>AC3241*AG3241</f>
        <v>25</v>
      </c>
      <c r="AE3241" s="15">
        <v>55</v>
      </c>
      <c r="AF3241" s="15">
        <f>AE3241*AG3241</f>
        <v>55</v>
      </c>
      <c r="AG3241" s="16">
        <v>1</v>
      </c>
    </row>
    <row r="3242" spans="1:33" ht="15" customHeight="1" x14ac:dyDescent="0.2">
      <c r="A3242" s="11" t="str">
        <f>HYPERLINK("https://assets.vans.eu/images/VN000NWNE2Z-HERO/1","VN000NWNE2Z1")</f>
        <v>VN000NWNE2Z1</v>
      </c>
      <c r="B3242" s="12" t="s">
        <v>11787</v>
      </c>
      <c r="C3242" s="12" t="s">
        <v>11784</v>
      </c>
      <c r="D3242" s="12" t="s">
        <v>3420</v>
      </c>
      <c r="E3242" s="12" t="s">
        <v>11788</v>
      </c>
      <c r="F3242" s="12" t="s">
        <v>170</v>
      </c>
      <c r="G3242" s="14"/>
      <c r="H3242" s="12" t="s">
        <v>61</v>
      </c>
      <c r="I3242" s="12" t="s">
        <v>230</v>
      </c>
      <c r="J3242" s="12" t="s">
        <v>419</v>
      </c>
      <c r="K3242" s="12" t="s">
        <v>199</v>
      </c>
      <c r="L3242" s="12" t="s">
        <v>83</v>
      </c>
      <c r="M3242" s="12" t="s">
        <v>43</v>
      </c>
      <c r="N3242" s="12" t="s">
        <v>44</v>
      </c>
      <c r="O3242" s="12" t="s">
        <v>11789</v>
      </c>
      <c r="P3242" s="12" t="s">
        <v>66</v>
      </c>
      <c r="Q3242" s="12" t="s">
        <v>67</v>
      </c>
      <c r="R3242" s="12" t="s">
        <v>421</v>
      </c>
      <c r="S3242" s="13">
        <v>197803403562</v>
      </c>
      <c r="T3242" s="12" t="s">
        <v>69</v>
      </c>
      <c r="U3242" s="12" t="s">
        <v>170</v>
      </c>
      <c r="V3242" s="12" t="s">
        <v>423</v>
      </c>
      <c r="W3242" s="12" t="s">
        <v>262</v>
      </c>
      <c r="X3242" s="13">
        <v>0</v>
      </c>
      <c r="Y3242" s="12" t="s">
        <v>53</v>
      </c>
      <c r="Z3242" s="12" t="s">
        <v>108</v>
      </c>
      <c r="AA3242" s="13">
        <v>0</v>
      </c>
      <c r="AB3242" s="12" t="s">
        <v>616</v>
      </c>
      <c r="AC3242" s="15">
        <v>25</v>
      </c>
      <c r="AD3242" s="15">
        <f>AC3242*AG3242</f>
        <v>25</v>
      </c>
      <c r="AE3242" s="15">
        <v>55</v>
      </c>
      <c r="AF3242" s="15">
        <f>AE3242*AG3242</f>
        <v>55</v>
      </c>
      <c r="AG3242" s="16">
        <v>1</v>
      </c>
    </row>
    <row r="3243" spans="1:33" ht="15" customHeight="1" x14ac:dyDescent="0.2">
      <c r="A3243" s="11" t="str">
        <f>HYPERLINK("https://assets.vans.eu/images/VN000NWPFS8-HERO/1","VN000NWPFS81")</f>
        <v>VN000NWPFS81</v>
      </c>
      <c r="B3243" s="12" t="s">
        <v>11790</v>
      </c>
      <c r="C3243" s="12" t="s">
        <v>1505</v>
      </c>
      <c r="D3243" s="12" t="s">
        <v>239</v>
      </c>
      <c r="E3243" s="12" t="s">
        <v>11791</v>
      </c>
      <c r="F3243" s="12" t="s">
        <v>621</v>
      </c>
      <c r="G3243" s="14"/>
      <c r="H3243" s="12" t="s">
        <v>61</v>
      </c>
      <c r="I3243" s="12" t="s">
        <v>230</v>
      </c>
      <c r="J3243" s="12" t="s">
        <v>419</v>
      </c>
      <c r="K3243" s="12" t="s">
        <v>199</v>
      </c>
      <c r="L3243" s="12" t="s">
        <v>83</v>
      </c>
      <c r="M3243" s="12" t="s">
        <v>43</v>
      </c>
      <c r="N3243" s="12" t="s">
        <v>84</v>
      </c>
      <c r="O3243" s="12" t="s">
        <v>11792</v>
      </c>
      <c r="P3243" s="12" t="s">
        <v>66</v>
      </c>
      <c r="Q3243" s="12" t="s">
        <v>67</v>
      </c>
      <c r="R3243" s="12" t="s">
        <v>623</v>
      </c>
      <c r="S3243" s="13">
        <v>197803404217</v>
      </c>
      <c r="T3243" s="12" t="s">
        <v>69</v>
      </c>
      <c r="U3243" s="12" t="s">
        <v>621</v>
      </c>
      <c r="V3243" s="12" t="s">
        <v>70</v>
      </c>
      <c r="W3243" s="12" t="s">
        <v>175</v>
      </c>
      <c r="X3243" s="13">
        <v>0</v>
      </c>
      <c r="Y3243" s="12" t="s">
        <v>53</v>
      </c>
      <c r="Z3243" s="12" t="s">
        <v>108</v>
      </c>
      <c r="AA3243" s="13">
        <v>0</v>
      </c>
      <c r="AB3243" s="12" t="s">
        <v>616</v>
      </c>
      <c r="AC3243" s="15">
        <v>54.55</v>
      </c>
      <c r="AD3243" s="15">
        <f>AC3243*AG3243</f>
        <v>54.55</v>
      </c>
      <c r="AE3243" s="15">
        <v>120</v>
      </c>
      <c r="AF3243" s="15">
        <f>AE3243*AG3243</f>
        <v>120</v>
      </c>
      <c r="AG3243" s="16">
        <v>1</v>
      </c>
    </row>
    <row r="3244" spans="1:33" ht="15" customHeight="1" x14ac:dyDescent="0.2">
      <c r="A3244" s="11" t="str">
        <f t="shared" si="487"/>
        <v>VN000NY1C9L1</v>
      </c>
      <c r="B3244" s="12" t="s">
        <v>11793</v>
      </c>
      <c r="C3244" s="12" t="s">
        <v>4657</v>
      </c>
      <c r="D3244" s="12" t="s">
        <v>890</v>
      </c>
      <c r="E3244" s="12" t="s">
        <v>11794</v>
      </c>
      <c r="F3244" s="12" t="s">
        <v>170</v>
      </c>
      <c r="G3244" s="14"/>
      <c r="H3244" s="12" t="s">
        <v>61</v>
      </c>
      <c r="I3244" s="12" t="s">
        <v>289</v>
      </c>
      <c r="J3244" s="12" t="s">
        <v>706</v>
      </c>
      <c r="K3244" s="12" t="s">
        <v>100</v>
      </c>
      <c r="L3244" s="12" t="s">
        <v>83</v>
      </c>
      <c r="M3244" s="12" t="s">
        <v>43</v>
      </c>
      <c r="N3244" s="12" t="s">
        <v>44</v>
      </c>
      <c r="O3244" s="12" t="s">
        <v>11795</v>
      </c>
      <c r="P3244" s="12" t="s">
        <v>66</v>
      </c>
      <c r="Q3244" s="12" t="s">
        <v>67</v>
      </c>
      <c r="R3244" s="12" t="s">
        <v>708</v>
      </c>
      <c r="S3244" s="13">
        <v>197803404651</v>
      </c>
      <c r="T3244" s="12" t="s">
        <v>69</v>
      </c>
      <c r="U3244" s="12" t="s">
        <v>170</v>
      </c>
      <c r="V3244" s="12" t="s">
        <v>1378</v>
      </c>
      <c r="W3244" s="12" t="s">
        <v>262</v>
      </c>
      <c r="X3244" s="13">
        <v>0</v>
      </c>
      <c r="Y3244" s="12" t="s">
        <v>53</v>
      </c>
      <c r="Z3244" s="12" t="s">
        <v>108</v>
      </c>
      <c r="AA3244" s="13">
        <v>0</v>
      </c>
      <c r="AB3244" s="12" t="s">
        <v>616</v>
      </c>
      <c r="AC3244" s="15">
        <v>38.65</v>
      </c>
      <c r="AD3244" s="15">
        <f>AC3244*AG3244</f>
        <v>38.65</v>
      </c>
      <c r="AE3244" s="15">
        <v>85</v>
      </c>
      <c r="AF3244" s="15">
        <f>AE3244*AG3244</f>
        <v>85</v>
      </c>
      <c r="AG3244" s="16">
        <v>1</v>
      </c>
    </row>
    <row r="3245" spans="1:33" ht="15" customHeight="1" x14ac:dyDescent="0.2">
      <c r="A3245" s="11" t="str">
        <f>HYPERLINK("https://assets.vans.eu/images/VN000NZDC9L-HERO/1","VN000NZDC9L1")</f>
        <v>VN000NZDC9L1</v>
      </c>
      <c r="B3245" s="12" t="s">
        <v>11796</v>
      </c>
      <c r="C3245" s="12" t="s">
        <v>8195</v>
      </c>
      <c r="D3245" s="12" t="s">
        <v>890</v>
      </c>
      <c r="E3245" s="12" t="s">
        <v>11797</v>
      </c>
      <c r="F3245" s="12" t="s">
        <v>170</v>
      </c>
      <c r="G3245" s="14"/>
      <c r="H3245" s="12" t="s">
        <v>61</v>
      </c>
      <c r="I3245" s="12" t="s">
        <v>230</v>
      </c>
      <c r="J3245" s="12" t="s">
        <v>419</v>
      </c>
      <c r="K3245" s="12" t="s">
        <v>199</v>
      </c>
      <c r="L3245" s="12" t="s">
        <v>83</v>
      </c>
      <c r="M3245" s="12" t="s">
        <v>43</v>
      </c>
      <c r="N3245" s="12" t="s">
        <v>44</v>
      </c>
      <c r="O3245" s="12" t="s">
        <v>11798</v>
      </c>
      <c r="P3245" s="12" t="s">
        <v>66</v>
      </c>
      <c r="Q3245" s="12" t="s">
        <v>67</v>
      </c>
      <c r="R3245" s="12" t="s">
        <v>623</v>
      </c>
      <c r="S3245" s="13">
        <v>197803404729</v>
      </c>
      <c r="T3245" s="12" t="s">
        <v>69</v>
      </c>
      <c r="U3245" s="12" t="s">
        <v>170</v>
      </c>
      <c r="V3245" s="12" t="s">
        <v>423</v>
      </c>
      <c r="W3245" s="12" t="s">
        <v>262</v>
      </c>
      <c r="X3245" s="13">
        <v>0</v>
      </c>
      <c r="Y3245" s="12" t="s">
        <v>53</v>
      </c>
      <c r="Z3245" s="12" t="s">
        <v>108</v>
      </c>
      <c r="AA3245" s="13">
        <v>0</v>
      </c>
      <c r="AB3245" s="12" t="s">
        <v>616</v>
      </c>
      <c r="AC3245" s="15">
        <v>54.55</v>
      </c>
      <c r="AD3245" s="15">
        <f>AC3245*AG3245</f>
        <v>54.55</v>
      </c>
      <c r="AE3245" s="15">
        <v>120</v>
      </c>
      <c r="AF3245" s="15">
        <f>AE3245*AG3245</f>
        <v>120</v>
      </c>
      <c r="AG3245" s="16">
        <v>1</v>
      </c>
    </row>
    <row r="3246" spans="1:33" ht="15" customHeight="1" x14ac:dyDescent="0.2">
      <c r="A3246" s="11" t="str">
        <f>HYPERLINK("https://assets.vans.eu/images/VN000OI0IND-HERO/1","VN000OI0IND1")</f>
        <v>VN000OI0IND1</v>
      </c>
      <c r="B3246" s="12" t="s">
        <v>11799</v>
      </c>
      <c r="C3246" s="12" t="s">
        <v>11800</v>
      </c>
      <c r="D3246" s="12" t="s">
        <v>11801</v>
      </c>
      <c r="E3246" s="12" t="s">
        <v>11802</v>
      </c>
      <c r="F3246" s="13">
        <v>22</v>
      </c>
      <c r="G3246" s="14"/>
      <c r="H3246" s="12" t="s">
        <v>61</v>
      </c>
      <c r="I3246" s="12" t="s">
        <v>11803</v>
      </c>
      <c r="J3246" s="12" t="s">
        <v>11804</v>
      </c>
      <c r="K3246" s="12" t="s">
        <v>64</v>
      </c>
      <c r="L3246" s="12" t="s">
        <v>10601</v>
      </c>
      <c r="M3246" s="12" t="s">
        <v>43</v>
      </c>
      <c r="N3246" s="12" t="s">
        <v>11805</v>
      </c>
      <c r="O3246" s="12" t="s">
        <v>11806</v>
      </c>
      <c r="P3246" s="12" t="s">
        <v>66</v>
      </c>
      <c r="Q3246" s="12" t="s">
        <v>233</v>
      </c>
      <c r="R3246" s="12" t="s">
        <v>974</v>
      </c>
      <c r="S3246" s="13">
        <v>889588797164</v>
      </c>
      <c r="T3246" s="12" t="s">
        <v>8885</v>
      </c>
      <c r="U3246" s="13">
        <v>22</v>
      </c>
      <c r="V3246" s="12" t="s">
        <v>11807</v>
      </c>
      <c r="W3246" s="12" t="s">
        <v>284</v>
      </c>
      <c r="X3246" s="14"/>
      <c r="Y3246" s="14"/>
      <c r="Z3246" s="14"/>
      <c r="AA3246" s="14"/>
      <c r="AB3246" s="13">
        <v>0</v>
      </c>
      <c r="AC3246" s="15">
        <v>27.3</v>
      </c>
      <c r="AD3246" s="15">
        <f>AC3246*AG3246</f>
        <v>27.3</v>
      </c>
      <c r="AE3246" s="15">
        <v>0</v>
      </c>
      <c r="AF3246" s="15">
        <f>AE3246*AG3246</f>
        <v>0</v>
      </c>
      <c r="AG3246" s="16">
        <v>1</v>
      </c>
    </row>
    <row r="3247" spans="1:33" ht="15" customHeight="1" x14ac:dyDescent="0.2">
      <c r="A3247" s="11" t="str">
        <f t="shared" si="700"/>
        <v>VN000P1P12Q1</v>
      </c>
      <c r="B3247" s="12" t="s">
        <v>11808</v>
      </c>
      <c r="C3247" s="12" t="s">
        <v>2706</v>
      </c>
      <c r="D3247" s="12" t="s">
        <v>2466</v>
      </c>
      <c r="E3247" s="12" t="s">
        <v>11809</v>
      </c>
      <c r="F3247" s="12" t="s">
        <v>60</v>
      </c>
      <c r="G3247" s="14"/>
      <c r="H3247" s="12" t="s">
        <v>61</v>
      </c>
      <c r="I3247" s="12" t="s">
        <v>230</v>
      </c>
      <c r="J3247" s="12" t="s">
        <v>419</v>
      </c>
      <c r="K3247" s="12" t="s">
        <v>199</v>
      </c>
      <c r="L3247" s="12" t="s">
        <v>115</v>
      </c>
      <c r="M3247" s="12" t="s">
        <v>43</v>
      </c>
      <c r="N3247" s="12" t="s">
        <v>84</v>
      </c>
      <c r="O3247" s="12" t="s">
        <v>11810</v>
      </c>
      <c r="P3247" s="12" t="s">
        <v>66</v>
      </c>
      <c r="Q3247" s="12" t="s">
        <v>67</v>
      </c>
      <c r="R3247" s="12" t="s">
        <v>421</v>
      </c>
      <c r="S3247" s="13">
        <v>198266982601</v>
      </c>
      <c r="T3247" s="12" t="s">
        <v>422</v>
      </c>
      <c r="U3247" s="12" t="s">
        <v>60</v>
      </c>
      <c r="V3247" s="12" t="s">
        <v>423</v>
      </c>
      <c r="W3247" s="12" t="s">
        <v>625</v>
      </c>
      <c r="X3247" s="14"/>
      <c r="Y3247" s="14"/>
      <c r="Z3247" s="14"/>
      <c r="AA3247" s="14"/>
      <c r="AB3247" s="14"/>
      <c r="AC3247" s="15">
        <v>13.65</v>
      </c>
      <c r="AD3247" s="15">
        <f>AC3247*AG3247</f>
        <v>13.65</v>
      </c>
      <c r="AE3247" s="15">
        <v>30</v>
      </c>
      <c r="AF3247" s="15">
        <f>AE3247*AG3247</f>
        <v>30</v>
      </c>
      <c r="AG3247" s="16">
        <v>1</v>
      </c>
    </row>
    <row r="3248" spans="1:33" ht="15" customHeight="1" x14ac:dyDescent="0.2">
      <c r="A3248" s="11" t="str">
        <f>HYPERLINK("https://assets.vans.eu/images/VN000P1P6PH-HERO/1","VN000P1P6PH1")</f>
        <v>VN000P1P6PH1</v>
      </c>
      <c r="B3248" s="12" t="s">
        <v>11811</v>
      </c>
      <c r="C3248" s="12" t="s">
        <v>2706</v>
      </c>
      <c r="D3248" s="12" t="s">
        <v>1878</v>
      </c>
      <c r="E3248" s="12" t="s">
        <v>11812</v>
      </c>
      <c r="F3248" s="12" t="s">
        <v>170</v>
      </c>
      <c r="G3248" s="14"/>
      <c r="H3248" s="12" t="s">
        <v>61</v>
      </c>
      <c r="I3248" s="12" t="s">
        <v>230</v>
      </c>
      <c r="J3248" s="12" t="s">
        <v>419</v>
      </c>
      <c r="K3248" s="12" t="s">
        <v>199</v>
      </c>
      <c r="L3248" s="12" t="s">
        <v>83</v>
      </c>
      <c r="M3248" s="12" t="s">
        <v>43</v>
      </c>
      <c r="N3248" s="12" t="s">
        <v>44</v>
      </c>
      <c r="O3248" s="12" t="s">
        <v>11813</v>
      </c>
      <c r="P3248" s="12" t="s">
        <v>66</v>
      </c>
      <c r="Q3248" s="12" t="s">
        <v>67</v>
      </c>
      <c r="R3248" s="12" t="s">
        <v>421</v>
      </c>
      <c r="S3248" s="13">
        <v>197803405122</v>
      </c>
      <c r="T3248" s="12" t="s">
        <v>422</v>
      </c>
      <c r="U3248" s="12" t="s">
        <v>170</v>
      </c>
      <c r="V3248" s="12" t="s">
        <v>423</v>
      </c>
      <c r="W3248" s="12" t="s">
        <v>107</v>
      </c>
      <c r="X3248" s="13">
        <v>0</v>
      </c>
      <c r="Y3248" s="12" t="s">
        <v>91</v>
      </c>
      <c r="Z3248" s="12" t="s">
        <v>108</v>
      </c>
      <c r="AA3248" s="13">
        <v>0</v>
      </c>
      <c r="AB3248" s="12" t="s">
        <v>616</v>
      </c>
      <c r="AC3248" s="15">
        <v>13.65</v>
      </c>
      <c r="AD3248" s="15">
        <f>AC3248*AG3248</f>
        <v>13.65</v>
      </c>
      <c r="AE3248" s="15">
        <v>30</v>
      </c>
      <c r="AF3248" s="15">
        <f>AE3248*AG3248</f>
        <v>30</v>
      </c>
      <c r="AG3248" s="16">
        <v>1</v>
      </c>
    </row>
    <row r="3249" spans="1:33" ht="15" customHeight="1" x14ac:dyDescent="0.2">
      <c r="A3249" s="11" t="str">
        <f t="shared" ref="A3249:A3250" si="1176">HYPERLINK("https://assets.vans.eu/images/VN000P1PBR1-HERO/1","VN000P1PBR11")</f>
        <v>VN000P1PBR11</v>
      </c>
      <c r="B3249" s="12" t="s">
        <v>11814</v>
      </c>
      <c r="C3249" s="12" t="s">
        <v>2706</v>
      </c>
      <c r="D3249" s="12" t="s">
        <v>496</v>
      </c>
      <c r="E3249" s="12" t="s">
        <v>11815</v>
      </c>
      <c r="F3249" s="12" t="s">
        <v>170</v>
      </c>
      <c r="G3249" s="14"/>
      <c r="H3249" s="12" t="s">
        <v>61</v>
      </c>
      <c r="I3249" s="12" t="s">
        <v>230</v>
      </c>
      <c r="J3249" s="12" t="s">
        <v>419</v>
      </c>
      <c r="K3249" s="12" t="s">
        <v>199</v>
      </c>
      <c r="L3249" s="12" t="s">
        <v>83</v>
      </c>
      <c r="M3249" s="12" t="s">
        <v>43</v>
      </c>
      <c r="N3249" s="12" t="s">
        <v>84</v>
      </c>
      <c r="O3249" s="12" t="s">
        <v>11816</v>
      </c>
      <c r="P3249" s="12" t="s">
        <v>66</v>
      </c>
      <c r="Q3249" s="12" t="s">
        <v>67</v>
      </c>
      <c r="R3249" s="12" t="s">
        <v>421</v>
      </c>
      <c r="S3249" s="13">
        <v>197804660643</v>
      </c>
      <c r="T3249" s="12" t="s">
        <v>422</v>
      </c>
      <c r="U3249" s="12" t="s">
        <v>170</v>
      </c>
      <c r="V3249" s="12" t="s">
        <v>423</v>
      </c>
      <c r="W3249" s="12" t="s">
        <v>118</v>
      </c>
      <c r="X3249" s="13">
        <v>0</v>
      </c>
      <c r="Y3249" s="12" t="s">
        <v>91</v>
      </c>
      <c r="Z3249" s="12" t="s">
        <v>108</v>
      </c>
      <c r="AA3249" s="13">
        <v>0</v>
      </c>
      <c r="AB3249" s="12" t="s">
        <v>94</v>
      </c>
      <c r="AC3249" s="15">
        <v>13.65</v>
      </c>
      <c r="AD3249" s="15">
        <f>AC3249*AG3249</f>
        <v>13.65</v>
      </c>
      <c r="AE3249" s="15">
        <v>30</v>
      </c>
      <c r="AF3249" s="15">
        <f>AE3249*AG3249</f>
        <v>30</v>
      </c>
      <c r="AG3249" s="16">
        <v>1</v>
      </c>
    </row>
    <row r="3250" spans="1:33" ht="15" customHeight="1" x14ac:dyDescent="0.2">
      <c r="A3250" s="11" t="str">
        <f t="shared" si="1176"/>
        <v>VN000P1PBR11</v>
      </c>
      <c r="B3250" s="12" t="s">
        <v>11817</v>
      </c>
      <c r="C3250" s="12" t="s">
        <v>2706</v>
      </c>
      <c r="D3250" s="12" t="s">
        <v>496</v>
      </c>
      <c r="E3250" s="12" t="s">
        <v>11818</v>
      </c>
      <c r="F3250" s="12" t="s">
        <v>153</v>
      </c>
      <c r="G3250" s="14"/>
      <c r="H3250" s="12" t="s">
        <v>61</v>
      </c>
      <c r="I3250" s="12" t="s">
        <v>230</v>
      </c>
      <c r="J3250" s="12" t="s">
        <v>419</v>
      </c>
      <c r="K3250" s="12" t="s">
        <v>199</v>
      </c>
      <c r="L3250" s="12" t="s">
        <v>83</v>
      </c>
      <c r="M3250" s="12" t="s">
        <v>43</v>
      </c>
      <c r="N3250" s="12" t="s">
        <v>84</v>
      </c>
      <c r="O3250" s="12" t="s">
        <v>11819</v>
      </c>
      <c r="P3250" s="12" t="s">
        <v>66</v>
      </c>
      <c r="Q3250" s="12" t="s">
        <v>67</v>
      </c>
      <c r="R3250" s="12" t="s">
        <v>421</v>
      </c>
      <c r="S3250" s="13">
        <v>197804660995</v>
      </c>
      <c r="T3250" s="12" t="s">
        <v>422</v>
      </c>
      <c r="U3250" s="12" t="s">
        <v>153</v>
      </c>
      <c r="V3250" s="12" t="s">
        <v>423</v>
      </c>
      <c r="W3250" s="12" t="s">
        <v>118</v>
      </c>
      <c r="X3250" s="13">
        <v>0</v>
      </c>
      <c r="Y3250" s="12" t="s">
        <v>91</v>
      </c>
      <c r="Z3250" s="12" t="s">
        <v>108</v>
      </c>
      <c r="AA3250" s="13">
        <v>0</v>
      </c>
      <c r="AB3250" s="12" t="s">
        <v>94</v>
      </c>
      <c r="AC3250" s="15">
        <v>13.65</v>
      </c>
      <c r="AD3250" s="15">
        <f>AC3250*AG3250</f>
        <v>13.65</v>
      </c>
      <c r="AE3250" s="15">
        <v>30</v>
      </c>
      <c r="AF3250" s="15">
        <f>AE3250*AG3250</f>
        <v>30</v>
      </c>
      <c r="AG3250" s="16">
        <v>1</v>
      </c>
    </row>
    <row r="3251" spans="1:33" ht="15" customHeight="1" x14ac:dyDescent="0.2">
      <c r="A3251" s="11" t="str">
        <f t="shared" si="262"/>
        <v>VN000P1PCLH1</v>
      </c>
      <c r="B3251" s="12" t="s">
        <v>11820</v>
      </c>
      <c r="C3251" s="12" t="s">
        <v>2706</v>
      </c>
      <c r="D3251" s="12" t="s">
        <v>838</v>
      </c>
      <c r="E3251" s="12" t="s">
        <v>11821</v>
      </c>
      <c r="F3251" s="12" t="s">
        <v>179</v>
      </c>
      <c r="G3251" s="14"/>
      <c r="H3251" s="12" t="s">
        <v>61</v>
      </c>
      <c r="I3251" s="12" t="s">
        <v>230</v>
      </c>
      <c r="J3251" s="12" t="s">
        <v>419</v>
      </c>
      <c r="K3251" s="12" t="s">
        <v>199</v>
      </c>
      <c r="L3251" s="12" t="s">
        <v>83</v>
      </c>
      <c r="M3251" s="12" t="s">
        <v>43</v>
      </c>
      <c r="N3251" s="12" t="s">
        <v>84</v>
      </c>
      <c r="O3251" s="12" t="s">
        <v>11822</v>
      </c>
      <c r="P3251" s="12" t="s">
        <v>66</v>
      </c>
      <c r="Q3251" s="12" t="s">
        <v>67</v>
      </c>
      <c r="R3251" s="12" t="s">
        <v>421</v>
      </c>
      <c r="S3251" s="13">
        <v>197804660636</v>
      </c>
      <c r="T3251" s="12" t="s">
        <v>422</v>
      </c>
      <c r="U3251" s="12" t="s">
        <v>179</v>
      </c>
      <c r="V3251" s="12" t="s">
        <v>423</v>
      </c>
      <c r="W3251" s="12" t="s">
        <v>118</v>
      </c>
      <c r="X3251" s="13">
        <v>0</v>
      </c>
      <c r="Y3251" s="12" t="s">
        <v>91</v>
      </c>
      <c r="Z3251" s="12" t="s">
        <v>108</v>
      </c>
      <c r="AA3251" s="13">
        <v>0</v>
      </c>
      <c r="AB3251" s="12" t="s">
        <v>94</v>
      </c>
      <c r="AC3251" s="15">
        <v>13.65</v>
      </c>
      <c r="AD3251" s="15">
        <f>AC3251*AG3251</f>
        <v>13.65</v>
      </c>
      <c r="AE3251" s="15">
        <v>30</v>
      </c>
      <c r="AF3251" s="15">
        <f>AE3251*AG3251</f>
        <v>30</v>
      </c>
      <c r="AG3251" s="16">
        <v>1</v>
      </c>
    </row>
    <row r="3252" spans="1:33" ht="15" customHeight="1" x14ac:dyDescent="0.2">
      <c r="A3252" s="11" t="str">
        <f>HYPERLINK("https://assets.vans.eu/images/VN000P1PE30-HERO/1","VN000P1PE301")</f>
        <v>VN000P1PE301</v>
      </c>
      <c r="B3252" s="12" t="s">
        <v>11823</v>
      </c>
      <c r="C3252" s="12" t="s">
        <v>2706</v>
      </c>
      <c r="D3252" s="12" t="s">
        <v>619</v>
      </c>
      <c r="E3252" s="12" t="s">
        <v>11824</v>
      </c>
      <c r="F3252" s="12" t="s">
        <v>60</v>
      </c>
      <c r="G3252" s="14"/>
      <c r="H3252" s="12" t="s">
        <v>61</v>
      </c>
      <c r="I3252" s="12" t="s">
        <v>230</v>
      </c>
      <c r="J3252" s="12" t="s">
        <v>419</v>
      </c>
      <c r="K3252" s="12" t="s">
        <v>199</v>
      </c>
      <c r="L3252" s="12" t="s">
        <v>83</v>
      </c>
      <c r="M3252" s="12" t="s">
        <v>43</v>
      </c>
      <c r="N3252" s="12" t="s">
        <v>84</v>
      </c>
      <c r="O3252" s="12" t="s">
        <v>11825</v>
      </c>
      <c r="P3252" s="12" t="s">
        <v>66</v>
      </c>
      <c r="Q3252" s="12" t="s">
        <v>67</v>
      </c>
      <c r="R3252" s="12" t="s">
        <v>421</v>
      </c>
      <c r="S3252" s="13">
        <v>197804660803</v>
      </c>
      <c r="T3252" s="12" t="s">
        <v>422</v>
      </c>
      <c r="U3252" s="12" t="s">
        <v>60</v>
      </c>
      <c r="V3252" s="12" t="s">
        <v>423</v>
      </c>
      <c r="W3252" s="12" t="s">
        <v>625</v>
      </c>
      <c r="X3252" s="13">
        <v>0</v>
      </c>
      <c r="Y3252" s="12" t="s">
        <v>91</v>
      </c>
      <c r="Z3252" s="12" t="s">
        <v>108</v>
      </c>
      <c r="AA3252" s="13">
        <v>0</v>
      </c>
      <c r="AB3252" s="12" t="s">
        <v>94</v>
      </c>
      <c r="AC3252" s="15">
        <v>13.65</v>
      </c>
      <c r="AD3252" s="15">
        <f>AC3252*AG3252</f>
        <v>13.65</v>
      </c>
      <c r="AE3252" s="15">
        <v>30</v>
      </c>
      <c r="AF3252" s="15">
        <f>AE3252*AG3252</f>
        <v>30</v>
      </c>
      <c r="AG3252" s="16">
        <v>1</v>
      </c>
    </row>
    <row r="3253" spans="1:33" ht="15" customHeight="1" x14ac:dyDescent="0.2">
      <c r="A3253" s="11" t="str">
        <f>HYPERLINK("https://assets.vans.eu/images/VN000P1PEML-HERO/1","VN000P1PEML1")</f>
        <v>VN000P1PEML1</v>
      </c>
      <c r="B3253" s="12" t="s">
        <v>11826</v>
      </c>
      <c r="C3253" s="12" t="s">
        <v>2706</v>
      </c>
      <c r="D3253" s="12" t="s">
        <v>3126</v>
      </c>
      <c r="E3253" s="12" t="s">
        <v>11827</v>
      </c>
      <c r="F3253" s="12" t="s">
        <v>153</v>
      </c>
      <c r="G3253" s="14"/>
      <c r="H3253" s="12" t="s">
        <v>61</v>
      </c>
      <c r="I3253" s="12" t="s">
        <v>230</v>
      </c>
      <c r="J3253" s="12" t="s">
        <v>419</v>
      </c>
      <c r="K3253" s="12" t="s">
        <v>199</v>
      </c>
      <c r="L3253" s="12" t="s">
        <v>83</v>
      </c>
      <c r="M3253" s="12" t="s">
        <v>43</v>
      </c>
      <c r="N3253" s="12" t="s">
        <v>84</v>
      </c>
      <c r="O3253" s="12" t="s">
        <v>11828</v>
      </c>
      <c r="P3253" s="12" t="s">
        <v>66</v>
      </c>
      <c r="Q3253" s="12" t="s">
        <v>67</v>
      </c>
      <c r="R3253" s="12" t="s">
        <v>421</v>
      </c>
      <c r="S3253" s="13">
        <v>197804294930</v>
      </c>
      <c r="T3253" s="12" t="s">
        <v>422</v>
      </c>
      <c r="U3253" s="12" t="s">
        <v>153</v>
      </c>
      <c r="V3253" s="12" t="s">
        <v>70</v>
      </c>
      <c r="W3253" s="12" t="s">
        <v>284</v>
      </c>
      <c r="X3253" s="14"/>
      <c r="Y3253" s="14"/>
      <c r="Z3253" s="14"/>
      <c r="AA3253" s="14"/>
      <c r="AB3253" s="14"/>
      <c r="AC3253" s="15">
        <v>13.65</v>
      </c>
      <c r="AD3253" s="15">
        <f>AC3253*AG3253</f>
        <v>13.65</v>
      </c>
      <c r="AE3253" s="15">
        <v>30</v>
      </c>
      <c r="AF3253" s="15">
        <f>AE3253*AG3253</f>
        <v>30</v>
      </c>
      <c r="AG3253" s="16">
        <v>1</v>
      </c>
    </row>
    <row r="3254" spans="1:33" ht="15" customHeight="1" x14ac:dyDescent="0.2">
      <c r="A3254" s="11" t="str">
        <f t="shared" ref="A3254:A3255" si="1177">HYPERLINK("https://assets.vans.eu/images/VN000P1PEMU-HERO/1","VN000P1PEMU1")</f>
        <v>VN000P1PEMU1</v>
      </c>
      <c r="B3254" s="12" t="s">
        <v>11829</v>
      </c>
      <c r="C3254" s="12" t="s">
        <v>2706</v>
      </c>
      <c r="D3254" s="12" t="s">
        <v>1319</v>
      </c>
      <c r="E3254" s="12" t="s">
        <v>11830</v>
      </c>
      <c r="F3254" s="12" t="s">
        <v>403</v>
      </c>
      <c r="G3254" s="14"/>
      <c r="H3254" s="12" t="s">
        <v>61</v>
      </c>
      <c r="I3254" s="12" t="s">
        <v>230</v>
      </c>
      <c r="J3254" s="12" t="s">
        <v>419</v>
      </c>
      <c r="K3254" s="12" t="s">
        <v>199</v>
      </c>
      <c r="L3254" s="12" t="s">
        <v>83</v>
      </c>
      <c r="M3254" s="12" t="s">
        <v>43</v>
      </c>
      <c r="N3254" s="12" t="s">
        <v>84</v>
      </c>
      <c r="O3254" s="12" t="s">
        <v>11831</v>
      </c>
      <c r="P3254" s="12" t="s">
        <v>66</v>
      </c>
      <c r="Q3254" s="12" t="s">
        <v>67</v>
      </c>
      <c r="R3254" s="12" t="s">
        <v>421</v>
      </c>
      <c r="S3254" s="13">
        <v>197804294602</v>
      </c>
      <c r="T3254" s="12" t="s">
        <v>422</v>
      </c>
      <c r="U3254" s="12" t="s">
        <v>403</v>
      </c>
      <c r="V3254" s="12" t="s">
        <v>70</v>
      </c>
      <c r="W3254" s="12" t="s">
        <v>118</v>
      </c>
      <c r="X3254" s="14"/>
      <c r="Y3254" s="14"/>
      <c r="Z3254" s="14"/>
      <c r="AA3254" s="14"/>
      <c r="AB3254" s="14"/>
      <c r="AC3254" s="15">
        <v>13.65</v>
      </c>
      <c r="AD3254" s="15">
        <f>AC3254*AG3254</f>
        <v>13.65</v>
      </c>
      <c r="AE3254" s="15">
        <v>30</v>
      </c>
      <c r="AF3254" s="15">
        <f>AE3254*AG3254</f>
        <v>30</v>
      </c>
      <c r="AG3254" s="16">
        <v>1</v>
      </c>
    </row>
    <row r="3255" spans="1:33" ht="15" customHeight="1" x14ac:dyDescent="0.2">
      <c r="A3255" s="11" t="str">
        <f t="shared" si="1177"/>
        <v>VN000P1PEMU1</v>
      </c>
      <c r="B3255" s="12" t="s">
        <v>11832</v>
      </c>
      <c r="C3255" s="12" t="s">
        <v>2706</v>
      </c>
      <c r="D3255" s="12" t="s">
        <v>1319</v>
      </c>
      <c r="E3255" s="12" t="s">
        <v>11833</v>
      </c>
      <c r="F3255" s="12" t="s">
        <v>153</v>
      </c>
      <c r="G3255" s="14"/>
      <c r="H3255" s="12" t="s">
        <v>61</v>
      </c>
      <c r="I3255" s="12" t="s">
        <v>230</v>
      </c>
      <c r="J3255" s="12" t="s">
        <v>419</v>
      </c>
      <c r="K3255" s="12" t="s">
        <v>199</v>
      </c>
      <c r="L3255" s="12" t="s">
        <v>83</v>
      </c>
      <c r="M3255" s="12" t="s">
        <v>43</v>
      </c>
      <c r="N3255" s="12" t="s">
        <v>84</v>
      </c>
      <c r="O3255" s="12" t="s">
        <v>11834</v>
      </c>
      <c r="P3255" s="12" t="s">
        <v>66</v>
      </c>
      <c r="Q3255" s="12" t="s">
        <v>67</v>
      </c>
      <c r="R3255" s="12" t="s">
        <v>421</v>
      </c>
      <c r="S3255" s="13">
        <v>197804294954</v>
      </c>
      <c r="T3255" s="12" t="s">
        <v>422</v>
      </c>
      <c r="U3255" s="12" t="s">
        <v>153</v>
      </c>
      <c r="V3255" s="12" t="s">
        <v>70</v>
      </c>
      <c r="W3255" s="12" t="s">
        <v>118</v>
      </c>
      <c r="X3255" s="14"/>
      <c r="Y3255" s="14"/>
      <c r="Z3255" s="14"/>
      <c r="AA3255" s="14"/>
      <c r="AB3255" s="14"/>
      <c r="AC3255" s="15">
        <v>13.65</v>
      </c>
      <c r="AD3255" s="15">
        <f>AC3255*AG3255</f>
        <v>13.65</v>
      </c>
      <c r="AE3255" s="15">
        <v>30</v>
      </c>
      <c r="AF3255" s="15">
        <f>AE3255*AG3255</f>
        <v>30</v>
      </c>
      <c r="AG3255" s="16">
        <v>1</v>
      </c>
    </row>
    <row r="3256" spans="1:33" ht="15" customHeight="1" x14ac:dyDescent="0.2">
      <c r="A3256" s="11" t="str">
        <f t="shared" si="488"/>
        <v>VN000P1PRNE1</v>
      </c>
      <c r="B3256" s="12" t="s">
        <v>11835</v>
      </c>
      <c r="C3256" s="12" t="s">
        <v>2706</v>
      </c>
      <c r="D3256" s="12" t="s">
        <v>4661</v>
      </c>
      <c r="E3256" s="12" t="s">
        <v>11836</v>
      </c>
      <c r="F3256" s="12" t="s">
        <v>621</v>
      </c>
      <c r="G3256" s="14"/>
      <c r="H3256" s="12" t="s">
        <v>61</v>
      </c>
      <c r="I3256" s="12" t="s">
        <v>230</v>
      </c>
      <c r="J3256" s="12" t="s">
        <v>419</v>
      </c>
      <c r="K3256" s="12" t="s">
        <v>199</v>
      </c>
      <c r="L3256" s="12" t="s">
        <v>115</v>
      </c>
      <c r="M3256" s="12" t="s">
        <v>43</v>
      </c>
      <c r="N3256" s="12" t="s">
        <v>44</v>
      </c>
      <c r="O3256" s="12" t="s">
        <v>11837</v>
      </c>
      <c r="P3256" s="12" t="s">
        <v>66</v>
      </c>
      <c r="Q3256" s="12" t="s">
        <v>67</v>
      </c>
      <c r="R3256" s="12" t="s">
        <v>421</v>
      </c>
      <c r="S3256" s="13">
        <v>197804661206</v>
      </c>
      <c r="T3256" s="12" t="s">
        <v>422</v>
      </c>
      <c r="U3256" s="12" t="s">
        <v>621</v>
      </c>
      <c r="V3256" s="12" t="s">
        <v>423</v>
      </c>
      <c r="W3256" s="12" t="s">
        <v>118</v>
      </c>
      <c r="X3256" s="13">
        <v>0</v>
      </c>
      <c r="Y3256" s="12" t="s">
        <v>91</v>
      </c>
      <c r="Z3256" s="12" t="s">
        <v>92</v>
      </c>
      <c r="AA3256" s="12" t="s">
        <v>626</v>
      </c>
      <c r="AB3256" s="12" t="s">
        <v>94</v>
      </c>
      <c r="AC3256" s="15">
        <v>13.65</v>
      </c>
      <c r="AD3256" s="15">
        <f>AC3256*AG3256</f>
        <v>13.65</v>
      </c>
      <c r="AE3256" s="15">
        <v>30</v>
      </c>
      <c r="AF3256" s="15">
        <f>AE3256*AG3256</f>
        <v>30</v>
      </c>
      <c r="AG3256" s="16">
        <v>1</v>
      </c>
    </row>
    <row r="3257" spans="1:33" ht="15" customHeight="1" x14ac:dyDescent="0.2">
      <c r="A3257" s="11" t="str">
        <f>HYPERLINK("https://assets.vans.eu/images/VN000P1PZRY-HERO/1","VN000P1PZRY1")</f>
        <v>VN000P1PZRY1</v>
      </c>
      <c r="B3257" s="12" t="s">
        <v>11838</v>
      </c>
      <c r="C3257" s="12" t="s">
        <v>2706</v>
      </c>
      <c r="D3257" s="12" t="s">
        <v>1996</v>
      </c>
      <c r="E3257" s="12" t="s">
        <v>11839</v>
      </c>
      <c r="F3257" s="12" t="s">
        <v>621</v>
      </c>
      <c r="G3257" s="14"/>
      <c r="H3257" s="12" t="s">
        <v>61</v>
      </c>
      <c r="I3257" s="12" t="s">
        <v>230</v>
      </c>
      <c r="J3257" s="12" t="s">
        <v>419</v>
      </c>
      <c r="K3257" s="12" t="s">
        <v>199</v>
      </c>
      <c r="L3257" s="12" t="s">
        <v>83</v>
      </c>
      <c r="M3257" s="12" t="s">
        <v>43</v>
      </c>
      <c r="N3257" s="12" t="s">
        <v>84</v>
      </c>
      <c r="O3257" s="12" t="s">
        <v>11840</v>
      </c>
      <c r="P3257" s="12" t="s">
        <v>66</v>
      </c>
      <c r="Q3257" s="12" t="s">
        <v>67</v>
      </c>
      <c r="R3257" s="12" t="s">
        <v>421</v>
      </c>
      <c r="S3257" s="13">
        <v>197804295036</v>
      </c>
      <c r="T3257" s="12" t="s">
        <v>422</v>
      </c>
      <c r="U3257" s="12" t="s">
        <v>621</v>
      </c>
      <c r="V3257" s="12" t="s">
        <v>70</v>
      </c>
      <c r="W3257" s="12" t="s">
        <v>299</v>
      </c>
      <c r="X3257" s="14"/>
      <c r="Y3257" s="14"/>
      <c r="Z3257" s="14"/>
      <c r="AA3257" s="14"/>
      <c r="AB3257" s="14"/>
      <c r="AC3257" s="15">
        <v>13.65</v>
      </c>
      <c r="AD3257" s="15">
        <f>AC3257*AG3257</f>
        <v>13.65</v>
      </c>
      <c r="AE3257" s="15">
        <v>30</v>
      </c>
      <c r="AF3257" s="15">
        <f>AE3257*AG3257</f>
        <v>30</v>
      </c>
      <c r="AG3257" s="16">
        <v>1</v>
      </c>
    </row>
    <row r="3258" spans="1:33" ht="15" customHeight="1" x14ac:dyDescent="0.2">
      <c r="A3258" s="11" t="str">
        <f t="shared" si="702"/>
        <v>VN000P1S1QI1</v>
      </c>
      <c r="B3258" s="12" t="s">
        <v>11841</v>
      </c>
      <c r="C3258" s="12" t="s">
        <v>6553</v>
      </c>
      <c r="D3258" s="12" t="s">
        <v>1592</v>
      </c>
      <c r="E3258" s="12" t="s">
        <v>11842</v>
      </c>
      <c r="F3258" s="12" t="s">
        <v>60</v>
      </c>
      <c r="G3258" s="14"/>
      <c r="H3258" s="12" t="s">
        <v>61</v>
      </c>
      <c r="I3258" s="12" t="s">
        <v>230</v>
      </c>
      <c r="J3258" s="12" t="s">
        <v>419</v>
      </c>
      <c r="K3258" s="12" t="s">
        <v>199</v>
      </c>
      <c r="L3258" s="12" t="s">
        <v>83</v>
      </c>
      <c r="M3258" s="12" t="s">
        <v>43</v>
      </c>
      <c r="N3258" s="12" t="s">
        <v>84</v>
      </c>
      <c r="O3258" s="12" t="s">
        <v>11843</v>
      </c>
      <c r="P3258" s="12" t="s">
        <v>66</v>
      </c>
      <c r="Q3258" s="12" t="s">
        <v>67</v>
      </c>
      <c r="R3258" s="12" t="s">
        <v>421</v>
      </c>
      <c r="S3258" s="13">
        <v>197803405627</v>
      </c>
      <c r="T3258" s="12" t="s">
        <v>422</v>
      </c>
      <c r="U3258" s="12" t="s">
        <v>60</v>
      </c>
      <c r="V3258" s="12" t="s">
        <v>6556</v>
      </c>
      <c r="W3258" s="12" t="s">
        <v>455</v>
      </c>
      <c r="X3258" s="13">
        <v>0</v>
      </c>
      <c r="Y3258" s="12" t="s">
        <v>91</v>
      </c>
      <c r="Z3258" s="12" t="s">
        <v>108</v>
      </c>
      <c r="AA3258" s="13">
        <v>0</v>
      </c>
      <c r="AB3258" s="12" t="s">
        <v>616</v>
      </c>
      <c r="AC3258" s="15">
        <v>18.2</v>
      </c>
      <c r="AD3258" s="15">
        <f>AC3258*AG3258</f>
        <v>18.2</v>
      </c>
      <c r="AE3258" s="15">
        <v>40</v>
      </c>
      <c r="AF3258" s="15">
        <f>AE3258*AG3258</f>
        <v>40</v>
      </c>
      <c r="AG3258" s="16">
        <v>1</v>
      </c>
    </row>
    <row r="3259" spans="1:33" ht="15" customHeight="1" x14ac:dyDescent="0.2">
      <c r="A3259" s="11" t="str">
        <f t="shared" si="894"/>
        <v>VN000P20EMU1</v>
      </c>
      <c r="B3259" s="12" t="s">
        <v>11844</v>
      </c>
      <c r="C3259" s="12" t="s">
        <v>4170</v>
      </c>
      <c r="D3259" s="12" t="s">
        <v>1319</v>
      </c>
      <c r="E3259" s="12" t="s">
        <v>11845</v>
      </c>
      <c r="F3259" s="12" t="s">
        <v>153</v>
      </c>
      <c r="G3259" s="14"/>
      <c r="H3259" s="12" t="s">
        <v>61</v>
      </c>
      <c r="I3259" s="12" t="s">
        <v>230</v>
      </c>
      <c r="J3259" s="12" t="s">
        <v>419</v>
      </c>
      <c r="K3259" s="12" t="s">
        <v>199</v>
      </c>
      <c r="L3259" s="12" t="s">
        <v>83</v>
      </c>
      <c r="M3259" s="12" t="s">
        <v>43</v>
      </c>
      <c r="N3259" s="12" t="s">
        <v>84</v>
      </c>
      <c r="O3259" s="12" t="s">
        <v>11846</v>
      </c>
      <c r="P3259" s="12" t="s">
        <v>66</v>
      </c>
      <c r="Q3259" s="12" t="s">
        <v>67</v>
      </c>
      <c r="R3259" s="12" t="s">
        <v>623</v>
      </c>
      <c r="S3259" s="13">
        <v>197804294992</v>
      </c>
      <c r="T3259" s="12" t="s">
        <v>499</v>
      </c>
      <c r="U3259" s="12" t="s">
        <v>153</v>
      </c>
      <c r="V3259" s="12" t="s">
        <v>70</v>
      </c>
      <c r="W3259" s="12" t="s">
        <v>118</v>
      </c>
      <c r="X3259" s="14"/>
      <c r="Y3259" s="14"/>
      <c r="Z3259" s="14"/>
      <c r="AA3259" s="14"/>
      <c r="AB3259" s="14"/>
      <c r="AC3259" s="15">
        <v>31.85</v>
      </c>
      <c r="AD3259" s="15">
        <f>AC3259*AG3259</f>
        <v>31.85</v>
      </c>
      <c r="AE3259" s="15">
        <v>70</v>
      </c>
      <c r="AF3259" s="15">
        <f>AE3259*AG3259</f>
        <v>70</v>
      </c>
      <c r="AG3259" s="16">
        <v>1</v>
      </c>
    </row>
    <row r="3260" spans="1:33" ht="15" customHeight="1" x14ac:dyDescent="0.2">
      <c r="A3260" s="11" t="str">
        <f>HYPERLINK("https://assets.vans.eu/images/VN000P21EMU-HERO/1","VN000P21EMU1")</f>
        <v>VN000P21EMU1</v>
      </c>
      <c r="B3260" s="12" t="s">
        <v>11847</v>
      </c>
      <c r="C3260" s="12" t="s">
        <v>3728</v>
      </c>
      <c r="D3260" s="12" t="s">
        <v>1319</v>
      </c>
      <c r="E3260" s="12" t="s">
        <v>11848</v>
      </c>
      <c r="F3260" s="12" t="s">
        <v>621</v>
      </c>
      <c r="G3260" s="14"/>
      <c r="H3260" s="12" t="s">
        <v>61</v>
      </c>
      <c r="I3260" s="12" t="s">
        <v>230</v>
      </c>
      <c r="J3260" s="12" t="s">
        <v>419</v>
      </c>
      <c r="K3260" s="12" t="s">
        <v>199</v>
      </c>
      <c r="L3260" s="12" t="s">
        <v>83</v>
      </c>
      <c r="M3260" s="12" t="s">
        <v>43</v>
      </c>
      <c r="N3260" s="12" t="s">
        <v>84</v>
      </c>
      <c r="O3260" s="12" t="s">
        <v>11849</v>
      </c>
      <c r="P3260" s="12" t="s">
        <v>66</v>
      </c>
      <c r="Q3260" s="12" t="s">
        <v>67</v>
      </c>
      <c r="R3260" s="12" t="s">
        <v>623</v>
      </c>
      <c r="S3260" s="13">
        <v>197804295227</v>
      </c>
      <c r="T3260" s="12" t="s">
        <v>499</v>
      </c>
      <c r="U3260" s="12" t="s">
        <v>621</v>
      </c>
      <c r="V3260" s="12" t="s">
        <v>70</v>
      </c>
      <c r="W3260" s="12" t="s">
        <v>118</v>
      </c>
      <c r="X3260" s="14"/>
      <c r="Y3260" s="14"/>
      <c r="Z3260" s="14"/>
      <c r="AA3260" s="14"/>
      <c r="AB3260" s="14"/>
      <c r="AC3260" s="15">
        <v>36.4</v>
      </c>
      <c r="AD3260" s="15">
        <f>AC3260*AG3260</f>
        <v>36.4</v>
      </c>
      <c r="AE3260" s="15">
        <v>80</v>
      </c>
      <c r="AF3260" s="15">
        <f>AE3260*AG3260</f>
        <v>80</v>
      </c>
      <c r="AG3260" s="16">
        <v>1</v>
      </c>
    </row>
    <row r="3261" spans="1:33" ht="15" customHeight="1" x14ac:dyDescent="0.2">
      <c r="A3261" s="11" t="str">
        <f t="shared" si="896"/>
        <v>VN000P21JDU1</v>
      </c>
      <c r="B3261" s="12" t="s">
        <v>11850</v>
      </c>
      <c r="C3261" s="12" t="s">
        <v>3728</v>
      </c>
      <c r="D3261" s="12" t="s">
        <v>814</v>
      </c>
      <c r="E3261" s="12" t="s">
        <v>11851</v>
      </c>
      <c r="F3261" s="12" t="s">
        <v>170</v>
      </c>
      <c r="G3261" s="14"/>
      <c r="H3261" s="12" t="s">
        <v>61</v>
      </c>
      <c r="I3261" s="12" t="s">
        <v>230</v>
      </c>
      <c r="J3261" s="12" t="s">
        <v>419</v>
      </c>
      <c r="K3261" s="12" t="s">
        <v>199</v>
      </c>
      <c r="L3261" s="12" t="s">
        <v>83</v>
      </c>
      <c r="M3261" s="12" t="s">
        <v>43</v>
      </c>
      <c r="N3261" s="12" t="s">
        <v>84</v>
      </c>
      <c r="O3261" s="12" t="s">
        <v>11852</v>
      </c>
      <c r="P3261" s="12" t="s">
        <v>66</v>
      </c>
      <c r="Q3261" s="12" t="s">
        <v>67</v>
      </c>
      <c r="R3261" s="12" t="s">
        <v>623</v>
      </c>
      <c r="S3261" s="13">
        <v>197803497318</v>
      </c>
      <c r="T3261" s="12" t="s">
        <v>499</v>
      </c>
      <c r="U3261" s="12" t="s">
        <v>170</v>
      </c>
      <c r="V3261" s="12" t="s">
        <v>70</v>
      </c>
      <c r="W3261" s="12" t="s">
        <v>284</v>
      </c>
      <c r="X3261" s="13">
        <v>0</v>
      </c>
      <c r="Y3261" s="12" t="s">
        <v>91</v>
      </c>
      <c r="Z3261" s="12" t="s">
        <v>108</v>
      </c>
      <c r="AA3261" s="13">
        <v>0</v>
      </c>
      <c r="AB3261" s="12" t="s">
        <v>616</v>
      </c>
      <c r="AC3261" s="15">
        <v>36.4</v>
      </c>
      <c r="AD3261" s="15">
        <f>AC3261*AG3261</f>
        <v>36.4</v>
      </c>
      <c r="AE3261" s="15">
        <v>80</v>
      </c>
      <c r="AF3261" s="15">
        <f>AE3261*AG3261</f>
        <v>80</v>
      </c>
      <c r="AG3261" s="16">
        <v>1</v>
      </c>
    </row>
    <row r="3262" spans="1:33" ht="15" customHeight="1" x14ac:dyDescent="0.2">
      <c r="A3262" s="11" t="str">
        <f>HYPERLINK("https://assets.vans.eu/images/VN000P21JDU-HERO/1","VN000P21JDU1")</f>
        <v>VN000P21JDU1</v>
      </c>
      <c r="B3262" s="12" t="s">
        <v>11853</v>
      </c>
      <c r="C3262" s="12" t="s">
        <v>3728</v>
      </c>
      <c r="D3262" s="12" t="s">
        <v>814</v>
      </c>
      <c r="E3262" s="12" t="s">
        <v>11854</v>
      </c>
      <c r="F3262" s="12" t="s">
        <v>403</v>
      </c>
      <c r="G3262" s="14"/>
      <c r="H3262" s="12" t="s">
        <v>61</v>
      </c>
      <c r="I3262" s="12" t="s">
        <v>230</v>
      </c>
      <c r="J3262" s="12" t="s">
        <v>419</v>
      </c>
      <c r="K3262" s="12" t="s">
        <v>199</v>
      </c>
      <c r="L3262" s="12" t="s">
        <v>83</v>
      </c>
      <c r="M3262" s="12" t="s">
        <v>43</v>
      </c>
      <c r="N3262" s="12" t="s">
        <v>84</v>
      </c>
      <c r="O3262" s="12" t="s">
        <v>11855</v>
      </c>
      <c r="P3262" s="12" t="s">
        <v>66</v>
      </c>
      <c r="Q3262" s="12" t="s">
        <v>67</v>
      </c>
      <c r="R3262" s="12" t="s">
        <v>623</v>
      </c>
      <c r="S3262" s="13">
        <v>197803497424</v>
      </c>
      <c r="T3262" s="12" t="s">
        <v>499</v>
      </c>
      <c r="U3262" s="12" t="s">
        <v>403</v>
      </c>
      <c r="V3262" s="12" t="s">
        <v>70</v>
      </c>
      <c r="W3262" s="12" t="s">
        <v>284</v>
      </c>
      <c r="X3262" s="13">
        <v>0</v>
      </c>
      <c r="Y3262" s="12" t="s">
        <v>91</v>
      </c>
      <c r="Z3262" s="12" t="s">
        <v>108</v>
      </c>
      <c r="AA3262" s="13">
        <v>0</v>
      </c>
      <c r="AB3262" s="12" t="s">
        <v>616</v>
      </c>
      <c r="AC3262" s="15">
        <v>36.4</v>
      </c>
      <c r="AD3262" s="15">
        <f>AC3262*AG3262</f>
        <v>36.4</v>
      </c>
      <c r="AE3262" s="15">
        <v>80</v>
      </c>
      <c r="AF3262" s="15">
        <f>AE3262*AG3262</f>
        <v>80</v>
      </c>
      <c r="AG3262" s="16">
        <v>1</v>
      </c>
    </row>
    <row r="3263" spans="1:33" ht="15" customHeight="1" x14ac:dyDescent="0.2">
      <c r="A3263" s="11" t="str">
        <f>HYPERLINK("https://assets.vans.eu/images/VN000P4YBLK-HERO/1","VN000P4YBLK1")</f>
        <v>VN000P4YBLK1</v>
      </c>
      <c r="B3263" s="12" t="s">
        <v>11856</v>
      </c>
      <c r="C3263" s="12" t="s">
        <v>8238</v>
      </c>
      <c r="D3263" s="12" t="s">
        <v>76</v>
      </c>
      <c r="E3263" s="12" t="s">
        <v>11857</v>
      </c>
      <c r="F3263" s="12" t="s">
        <v>403</v>
      </c>
      <c r="G3263" s="14"/>
      <c r="H3263" s="12" t="s">
        <v>61</v>
      </c>
      <c r="I3263" s="12" t="s">
        <v>230</v>
      </c>
      <c r="J3263" s="12" t="s">
        <v>419</v>
      </c>
      <c r="K3263" s="12" t="s">
        <v>199</v>
      </c>
      <c r="L3263" s="12" t="s">
        <v>83</v>
      </c>
      <c r="M3263" s="12" t="s">
        <v>43</v>
      </c>
      <c r="N3263" s="12" t="s">
        <v>44</v>
      </c>
      <c r="O3263" s="12" t="s">
        <v>11858</v>
      </c>
      <c r="P3263" s="12" t="s">
        <v>66</v>
      </c>
      <c r="Q3263" s="12" t="s">
        <v>67</v>
      </c>
      <c r="R3263" s="12" t="s">
        <v>421</v>
      </c>
      <c r="S3263" s="13">
        <v>197803420415</v>
      </c>
      <c r="T3263" s="12" t="s">
        <v>69</v>
      </c>
      <c r="U3263" s="12" t="s">
        <v>403</v>
      </c>
      <c r="V3263" s="12" t="s">
        <v>423</v>
      </c>
      <c r="W3263" s="12" t="s">
        <v>51</v>
      </c>
      <c r="X3263" s="13">
        <v>0</v>
      </c>
      <c r="Y3263" s="12" t="s">
        <v>53</v>
      </c>
      <c r="Z3263" s="12" t="s">
        <v>108</v>
      </c>
      <c r="AA3263" s="13">
        <v>0</v>
      </c>
      <c r="AB3263" s="12" t="s">
        <v>616</v>
      </c>
      <c r="AC3263" s="15">
        <v>19.100000000000001</v>
      </c>
      <c r="AD3263" s="15">
        <f>AC3263*AG3263</f>
        <v>19.100000000000001</v>
      </c>
      <c r="AE3263" s="15">
        <v>42</v>
      </c>
      <c r="AF3263" s="15">
        <f>AE3263*AG3263</f>
        <v>42</v>
      </c>
      <c r="AG3263" s="16">
        <v>1</v>
      </c>
    </row>
    <row r="3264" spans="1:33" ht="15" customHeight="1" x14ac:dyDescent="0.2">
      <c r="A3264" s="11" t="str">
        <f>HYPERLINK("https://assets.vans.eu/images/VN000P50E30-HERO/1","VN000P50E301")</f>
        <v>VN000P50E301</v>
      </c>
      <c r="B3264" s="12" t="s">
        <v>11859</v>
      </c>
      <c r="C3264" s="12" t="s">
        <v>4668</v>
      </c>
      <c r="D3264" s="12" t="s">
        <v>619</v>
      </c>
      <c r="E3264" s="12" t="s">
        <v>11860</v>
      </c>
      <c r="F3264" s="12" t="s">
        <v>170</v>
      </c>
      <c r="G3264" s="14"/>
      <c r="H3264" s="12" t="s">
        <v>61</v>
      </c>
      <c r="I3264" s="12" t="s">
        <v>230</v>
      </c>
      <c r="J3264" s="12" t="s">
        <v>419</v>
      </c>
      <c r="K3264" s="12" t="s">
        <v>199</v>
      </c>
      <c r="L3264" s="12" t="s">
        <v>83</v>
      </c>
      <c r="M3264" s="12" t="s">
        <v>43</v>
      </c>
      <c r="N3264" s="12" t="s">
        <v>44</v>
      </c>
      <c r="O3264" s="12" t="s">
        <v>11861</v>
      </c>
      <c r="P3264" s="12" t="s">
        <v>66</v>
      </c>
      <c r="Q3264" s="12" t="s">
        <v>67</v>
      </c>
      <c r="R3264" s="12" t="s">
        <v>421</v>
      </c>
      <c r="S3264" s="13">
        <v>197803406150</v>
      </c>
      <c r="T3264" s="12" t="s">
        <v>422</v>
      </c>
      <c r="U3264" s="12" t="s">
        <v>170</v>
      </c>
      <c r="V3264" s="12" t="s">
        <v>423</v>
      </c>
      <c r="W3264" s="12" t="s">
        <v>625</v>
      </c>
      <c r="X3264" s="13">
        <v>0</v>
      </c>
      <c r="Y3264" s="12" t="s">
        <v>53</v>
      </c>
      <c r="Z3264" s="12" t="s">
        <v>108</v>
      </c>
      <c r="AA3264" s="13">
        <v>0</v>
      </c>
      <c r="AB3264" s="12" t="s">
        <v>616</v>
      </c>
      <c r="AC3264" s="15">
        <v>19.100000000000001</v>
      </c>
      <c r="AD3264" s="15">
        <f>AC3264*AG3264</f>
        <v>19.100000000000001</v>
      </c>
      <c r="AE3264" s="15">
        <v>42</v>
      </c>
      <c r="AF3264" s="15">
        <f>AE3264*AG3264</f>
        <v>42</v>
      </c>
      <c r="AG3264" s="16">
        <v>1</v>
      </c>
    </row>
    <row r="3265" spans="1:33" ht="15" customHeight="1" x14ac:dyDescent="0.2">
      <c r="A3265" s="11" t="str">
        <f>HYPERLINK("https://assets.vans.eu/images/VN000P50EMF-HERO/1","VN000P50EMF1")</f>
        <v>VN000P50EMF1</v>
      </c>
      <c r="B3265" s="12" t="s">
        <v>11862</v>
      </c>
      <c r="C3265" s="12" t="s">
        <v>4668</v>
      </c>
      <c r="D3265" s="12" t="s">
        <v>1282</v>
      </c>
      <c r="E3265" s="12" t="s">
        <v>11863</v>
      </c>
      <c r="F3265" s="12" t="s">
        <v>153</v>
      </c>
      <c r="G3265" s="14"/>
      <c r="H3265" s="12" t="s">
        <v>61</v>
      </c>
      <c r="I3265" s="12" t="s">
        <v>230</v>
      </c>
      <c r="J3265" s="12" t="s">
        <v>419</v>
      </c>
      <c r="K3265" s="12" t="s">
        <v>199</v>
      </c>
      <c r="L3265" s="12" t="s">
        <v>83</v>
      </c>
      <c r="M3265" s="12" t="s">
        <v>43</v>
      </c>
      <c r="N3265" s="12" t="s">
        <v>84</v>
      </c>
      <c r="O3265" s="12" t="s">
        <v>11864</v>
      </c>
      <c r="P3265" s="12" t="s">
        <v>66</v>
      </c>
      <c r="Q3265" s="12" t="s">
        <v>67</v>
      </c>
      <c r="R3265" s="12" t="s">
        <v>421</v>
      </c>
      <c r="S3265" s="13">
        <v>197804295173</v>
      </c>
      <c r="T3265" s="12" t="s">
        <v>422</v>
      </c>
      <c r="U3265" s="12" t="s">
        <v>153</v>
      </c>
      <c r="V3265" s="12" t="s">
        <v>70</v>
      </c>
      <c r="W3265" s="12" t="s">
        <v>118</v>
      </c>
      <c r="X3265" s="14"/>
      <c r="Y3265" s="14"/>
      <c r="Z3265" s="14"/>
      <c r="AA3265" s="14"/>
      <c r="AB3265" s="14"/>
      <c r="AC3265" s="15">
        <v>18.2</v>
      </c>
      <c r="AD3265" s="15">
        <f>AC3265*AG3265</f>
        <v>18.2</v>
      </c>
      <c r="AE3265" s="15">
        <v>40</v>
      </c>
      <c r="AF3265" s="15">
        <f>AE3265*AG3265</f>
        <v>40</v>
      </c>
      <c r="AG3265" s="16">
        <v>1</v>
      </c>
    </row>
    <row r="3266" spans="1:33" ht="15" customHeight="1" x14ac:dyDescent="0.2">
      <c r="A3266" s="11" t="str">
        <f>HYPERLINK("https://assets.vans.eu/images/VN000P50O32-HERO/1","VN000P50O321")</f>
        <v>VN000P50O321</v>
      </c>
      <c r="B3266" s="12" t="s">
        <v>11865</v>
      </c>
      <c r="C3266" s="12" t="s">
        <v>4668</v>
      </c>
      <c r="D3266" s="12" t="s">
        <v>4815</v>
      </c>
      <c r="E3266" s="12" t="s">
        <v>11866</v>
      </c>
      <c r="F3266" s="12" t="s">
        <v>170</v>
      </c>
      <c r="G3266" s="14"/>
      <c r="H3266" s="12" t="s">
        <v>61</v>
      </c>
      <c r="I3266" s="12" t="s">
        <v>230</v>
      </c>
      <c r="J3266" s="12" t="s">
        <v>419</v>
      </c>
      <c r="K3266" s="12" t="s">
        <v>199</v>
      </c>
      <c r="L3266" s="12" t="s">
        <v>83</v>
      </c>
      <c r="M3266" s="12" t="s">
        <v>43</v>
      </c>
      <c r="N3266" s="12" t="s">
        <v>84</v>
      </c>
      <c r="O3266" s="12" t="s">
        <v>11867</v>
      </c>
      <c r="P3266" s="12" t="s">
        <v>66</v>
      </c>
      <c r="Q3266" s="12" t="s">
        <v>67</v>
      </c>
      <c r="R3266" s="12" t="s">
        <v>421</v>
      </c>
      <c r="S3266" s="13">
        <v>197804295319</v>
      </c>
      <c r="T3266" s="12" t="s">
        <v>422</v>
      </c>
      <c r="U3266" s="12" t="s">
        <v>170</v>
      </c>
      <c r="V3266" s="12" t="s">
        <v>70</v>
      </c>
      <c r="W3266" s="12" t="s">
        <v>299</v>
      </c>
      <c r="X3266" s="14"/>
      <c r="Y3266" s="14"/>
      <c r="Z3266" s="14"/>
      <c r="AA3266" s="14"/>
      <c r="AB3266" s="14"/>
      <c r="AC3266" s="15">
        <v>18.2</v>
      </c>
      <c r="AD3266" s="15">
        <f>AC3266*AG3266</f>
        <v>18.2</v>
      </c>
      <c r="AE3266" s="15">
        <v>40</v>
      </c>
      <c r="AF3266" s="15">
        <f>AE3266*AG3266</f>
        <v>40</v>
      </c>
      <c r="AG3266" s="16">
        <v>1</v>
      </c>
    </row>
    <row r="3267" spans="1:33" ht="15" customHeight="1" x14ac:dyDescent="0.2">
      <c r="A3267" s="11" t="str">
        <f t="shared" ref="A3267:A3269" si="1178">HYPERLINK("https://assets.vans.eu/images/VN000P50Y28-HERO/1","VN000P50Y281")</f>
        <v>VN000P50Y281</v>
      </c>
      <c r="B3267" s="12" t="s">
        <v>11868</v>
      </c>
      <c r="C3267" s="12" t="s">
        <v>4668</v>
      </c>
      <c r="D3267" s="12" t="s">
        <v>58</v>
      </c>
      <c r="E3267" s="12" t="s">
        <v>11869</v>
      </c>
      <c r="F3267" s="12" t="s">
        <v>170</v>
      </c>
      <c r="G3267" s="14"/>
      <c r="H3267" s="12" t="s">
        <v>61</v>
      </c>
      <c r="I3267" s="12" t="s">
        <v>230</v>
      </c>
      <c r="J3267" s="12" t="s">
        <v>419</v>
      </c>
      <c r="K3267" s="12" t="s">
        <v>199</v>
      </c>
      <c r="L3267" s="12" t="s">
        <v>83</v>
      </c>
      <c r="M3267" s="12" t="s">
        <v>43</v>
      </c>
      <c r="N3267" s="12" t="s">
        <v>84</v>
      </c>
      <c r="O3267" s="12" t="s">
        <v>11870</v>
      </c>
      <c r="P3267" s="12" t="s">
        <v>66</v>
      </c>
      <c r="Q3267" s="12" t="s">
        <v>67</v>
      </c>
      <c r="R3267" s="12" t="s">
        <v>421</v>
      </c>
      <c r="S3267" s="13">
        <v>197803405962</v>
      </c>
      <c r="T3267" s="12" t="s">
        <v>422</v>
      </c>
      <c r="U3267" s="12" t="s">
        <v>170</v>
      </c>
      <c r="V3267" s="12" t="s">
        <v>70</v>
      </c>
      <c r="W3267" s="12" t="s">
        <v>51</v>
      </c>
      <c r="X3267" s="13">
        <v>0</v>
      </c>
      <c r="Y3267" s="12" t="s">
        <v>53</v>
      </c>
      <c r="Z3267" s="12" t="s">
        <v>108</v>
      </c>
      <c r="AA3267" s="13">
        <v>0</v>
      </c>
      <c r="AB3267" s="12" t="s">
        <v>616</v>
      </c>
      <c r="AC3267" s="15">
        <v>18.2</v>
      </c>
      <c r="AD3267" s="15">
        <f>AC3267*AG3267</f>
        <v>18.2</v>
      </c>
      <c r="AE3267" s="15">
        <v>40</v>
      </c>
      <c r="AF3267" s="15">
        <f>AE3267*AG3267</f>
        <v>40</v>
      </c>
      <c r="AG3267" s="16">
        <v>1</v>
      </c>
    </row>
    <row r="3268" spans="1:33" ht="15" customHeight="1" x14ac:dyDescent="0.2">
      <c r="A3268" s="11" t="str">
        <f t="shared" si="1178"/>
        <v>VN000P50Y281</v>
      </c>
      <c r="B3268" s="12" t="s">
        <v>11871</v>
      </c>
      <c r="C3268" s="12" t="s">
        <v>4668</v>
      </c>
      <c r="D3268" s="12" t="s">
        <v>58</v>
      </c>
      <c r="E3268" s="12" t="s">
        <v>11872</v>
      </c>
      <c r="F3268" s="12" t="s">
        <v>153</v>
      </c>
      <c r="G3268" s="14"/>
      <c r="H3268" s="12" t="s">
        <v>61</v>
      </c>
      <c r="I3268" s="12" t="s">
        <v>230</v>
      </c>
      <c r="J3268" s="12" t="s">
        <v>419</v>
      </c>
      <c r="K3268" s="12" t="s">
        <v>199</v>
      </c>
      <c r="L3268" s="12" t="s">
        <v>83</v>
      </c>
      <c r="M3268" s="12" t="s">
        <v>43</v>
      </c>
      <c r="N3268" s="12" t="s">
        <v>84</v>
      </c>
      <c r="O3268" s="12" t="s">
        <v>11873</v>
      </c>
      <c r="P3268" s="12" t="s">
        <v>66</v>
      </c>
      <c r="Q3268" s="12" t="s">
        <v>67</v>
      </c>
      <c r="R3268" s="12" t="s">
        <v>421</v>
      </c>
      <c r="S3268" s="13">
        <v>197803406501</v>
      </c>
      <c r="T3268" s="12" t="s">
        <v>422</v>
      </c>
      <c r="U3268" s="12" t="s">
        <v>153</v>
      </c>
      <c r="V3268" s="12" t="s">
        <v>70</v>
      </c>
      <c r="W3268" s="12" t="s">
        <v>51</v>
      </c>
      <c r="X3268" s="13">
        <v>0</v>
      </c>
      <c r="Y3268" s="12" t="s">
        <v>53</v>
      </c>
      <c r="Z3268" s="12" t="s">
        <v>108</v>
      </c>
      <c r="AA3268" s="13">
        <v>0</v>
      </c>
      <c r="AB3268" s="12" t="s">
        <v>616</v>
      </c>
      <c r="AC3268" s="15">
        <v>18.2</v>
      </c>
      <c r="AD3268" s="15">
        <f>AC3268*AG3268</f>
        <v>18.2</v>
      </c>
      <c r="AE3268" s="15">
        <v>40</v>
      </c>
      <c r="AF3268" s="15">
        <f>AE3268*AG3268</f>
        <v>40</v>
      </c>
      <c r="AG3268" s="16">
        <v>1</v>
      </c>
    </row>
    <row r="3269" spans="1:33" ht="15" customHeight="1" x14ac:dyDescent="0.2">
      <c r="A3269" s="11" t="str">
        <f t="shared" si="1178"/>
        <v>VN000P50Y281</v>
      </c>
      <c r="B3269" s="12" t="s">
        <v>11874</v>
      </c>
      <c r="C3269" s="12" t="s">
        <v>4668</v>
      </c>
      <c r="D3269" s="12" t="s">
        <v>58</v>
      </c>
      <c r="E3269" s="12" t="s">
        <v>11875</v>
      </c>
      <c r="F3269" s="12" t="s">
        <v>621</v>
      </c>
      <c r="G3269" s="14"/>
      <c r="H3269" s="12" t="s">
        <v>61</v>
      </c>
      <c r="I3269" s="12" t="s">
        <v>230</v>
      </c>
      <c r="J3269" s="12" t="s">
        <v>419</v>
      </c>
      <c r="K3269" s="12" t="s">
        <v>199</v>
      </c>
      <c r="L3269" s="12" t="s">
        <v>83</v>
      </c>
      <c r="M3269" s="12" t="s">
        <v>43</v>
      </c>
      <c r="N3269" s="12" t="s">
        <v>84</v>
      </c>
      <c r="O3269" s="12" t="s">
        <v>11876</v>
      </c>
      <c r="P3269" s="12" t="s">
        <v>66</v>
      </c>
      <c r="Q3269" s="12" t="s">
        <v>67</v>
      </c>
      <c r="R3269" s="12" t="s">
        <v>421</v>
      </c>
      <c r="S3269" s="13">
        <v>197803406563</v>
      </c>
      <c r="T3269" s="12" t="s">
        <v>422</v>
      </c>
      <c r="U3269" s="12" t="s">
        <v>621</v>
      </c>
      <c r="V3269" s="12" t="s">
        <v>70</v>
      </c>
      <c r="W3269" s="12" t="s">
        <v>51</v>
      </c>
      <c r="X3269" s="13">
        <v>0</v>
      </c>
      <c r="Y3269" s="12" t="s">
        <v>53</v>
      </c>
      <c r="Z3269" s="12" t="s">
        <v>108</v>
      </c>
      <c r="AA3269" s="13">
        <v>0</v>
      </c>
      <c r="AB3269" s="12" t="s">
        <v>616</v>
      </c>
      <c r="AC3269" s="15">
        <v>18.2</v>
      </c>
      <c r="AD3269" s="15">
        <f>AC3269*AG3269</f>
        <v>18.2</v>
      </c>
      <c r="AE3269" s="15">
        <v>40</v>
      </c>
      <c r="AF3269" s="15">
        <f>AE3269*AG3269</f>
        <v>40</v>
      </c>
      <c r="AG3269" s="16">
        <v>1</v>
      </c>
    </row>
    <row r="3270" spans="1:33" ht="15" customHeight="1" x14ac:dyDescent="0.2">
      <c r="A3270" s="11" t="str">
        <f t="shared" si="897"/>
        <v>VN000P50YB21</v>
      </c>
      <c r="B3270" s="12" t="s">
        <v>11877</v>
      </c>
      <c r="C3270" s="12" t="s">
        <v>4668</v>
      </c>
      <c r="D3270" s="12" t="s">
        <v>1138</v>
      </c>
      <c r="E3270" s="12" t="s">
        <v>11878</v>
      </c>
      <c r="F3270" s="12" t="s">
        <v>179</v>
      </c>
      <c r="G3270" s="14"/>
      <c r="H3270" s="12" t="s">
        <v>61</v>
      </c>
      <c r="I3270" s="12" t="s">
        <v>230</v>
      </c>
      <c r="J3270" s="12" t="s">
        <v>419</v>
      </c>
      <c r="K3270" s="12" t="s">
        <v>199</v>
      </c>
      <c r="L3270" s="12" t="s">
        <v>83</v>
      </c>
      <c r="M3270" s="12" t="s">
        <v>43</v>
      </c>
      <c r="N3270" s="12" t="s">
        <v>84</v>
      </c>
      <c r="O3270" s="12" t="s">
        <v>11879</v>
      </c>
      <c r="P3270" s="12" t="s">
        <v>66</v>
      </c>
      <c r="Q3270" s="12" t="s">
        <v>67</v>
      </c>
      <c r="R3270" s="12" t="s">
        <v>421</v>
      </c>
      <c r="S3270" s="13">
        <v>197803405573</v>
      </c>
      <c r="T3270" s="12" t="s">
        <v>422</v>
      </c>
      <c r="U3270" s="12" t="s">
        <v>179</v>
      </c>
      <c r="V3270" s="12" t="s">
        <v>70</v>
      </c>
      <c r="W3270" s="12" t="s">
        <v>175</v>
      </c>
      <c r="X3270" s="13">
        <v>0</v>
      </c>
      <c r="Y3270" s="12" t="s">
        <v>53</v>
      </c>
      <c r="Z3270" s="12" t="s">
        <v>108</v>
      </c>
      <c r="AA3270" s="13">
        <v>0</v>
      </c>
      <c r="AB3270" s="12" t="s">
        <v>616</v>
      </c>
      <c r="AC3270" s="15">
        <v>18.2</v>
      </c>
      <c r="AD3270" s="15">
        <f>AC3270*AG3270</f>
        <v>18.2</v>
      </c>
      <c r="AE3270" s="15">
        <v>40</v>
      </c>
      <c r="AF3270" s="15">
        <f>AE3270*AG3270</f>
        <v>40</v>
      </c>
      <c r="AG3270" s="16">
        <v>1</v>
      </c>
    </row>
    <row r="3271" spans="1:33" ht="15" customHeight="1" x14ac:dyDescent="0.2">
      <c r="A3271" s="11" t="str">
        <f>HYPERLINK("https://assets.vans.eu/images/VN000P511QI-HERO/1","VN000P511QI1")</f>
        <v>VN000P511QI1</v>
      </c>
      <c r="B3271" s="12" t="s">
        <v>11880</v>
      </c>
      <c r="C3271" s="12" t="s">
        <v>5354</v>
      </c>
      <c r="D3271" s="12" t="s">
        <v>1592</v>
      </c>
      <c r="E3271" s="12" t="s">
        <v>11881</v>
      </c>
      <c r="F3271" s="12" t="s">
        <v>403</v>
      </c>
      <c r="G3271" s="14"/>
      <c r="H3271" s="12" t="s">
        <v>61</v>
      </c>
      <c r="I3271" s="12" t="s">
        <v>230</v>
      </c>
      <c r="J3271" s="12" t="s">
        <v>419</v>
      </c>
      <c r="K3271" s="12" t="s">
        <v>199</v>
      </c>
      <c r="L3271" s="12" t="s">
        <v>83</v>
      </c>
      <c r="M3271" s="12" t="s">
        <v>43</v>
      </c>
      <c r="N3271" s="12" t="s">
        <v>84</v>
      </c>
      <c r="O3271" s="12" t="s">
        <v>11882</v>
      </c>
      <c r="P3271" s="12" t="s">
        <v>66</v>
      </c>
      <c r="Q3271" s="12" t="s">
        <v>67</v>
      </c>
      <c r="R3271" s="12" t="s">
        <v>623</v>
      </c>
      <c r="S3271" s="13">
        <v>197804295456</v>
      </c>
      <c r="T3271" s="12" t="s">
        <v>69</v>
      </c>
      <c r="U3271" s="12" t="s">
        <v>403</v>
      </c>
      <c r="V3271" s="12" t="s">
        <v>70</v>
      </c>
      <c r="W3271" s="12" t="s">
        <v>455</v>
      </c>
      <c r="X3271" s="14"/>
      <c r="Y3271" s="14"/>
      <c r="Z3271" s="14"/>
      <c r="AA3271" s="14"/>
      <c r="AB3271" s="14"/>
      <c r="AC3271" s="15">
        <v>40.950000000000003</v>
      </c>
      <c r="AD3271" s="15">
        <f>AC3271*AG3271</f>
        <v>40.950000000000003</v>
      </c>
      <c r="AE3271" s="15">
        <v>90</v>
      </c>
      <c r="AF3271" s="15">
        <f>AE3271*AG3271</f>
        <v>90</v>
      </c>
      <c r="AG3271" s="16">
        <v>1</v>
      </c>
    </row>
    <row r="3272" spans="1:33" ht="15" customHeight="1" x14ac:dyDescent="0.2">
      <c r="A3272" s="11" t="str">
        <f>HYPERLINK("https://assets.vans.eu/images/VN000P519JC-HERO/1","VN000P519JC1")</f>
        <v>VN000P519JC1</v>
      </c>
      <c r="B3272" s="12" t="s">
        <v>11883</v>
      </c>
      <c r="C3272" s="12" t="s">
        <v>5354</v>
      </c>
      <c r="D3272" s="12" t="s">
        <v>4481</v>
      </c>
      <c r="E3272" s="12" t="s">
        <v>11884</v>
      </c>
      <c r="F3272" s="12" t="s">
        <v>60</v>
      </c>
      <c r="G3272" s="14"/>
      <c r="H3272" s="12" t="s">
        <v>61</v>
      </c>
      <c r="I3272" s="12" t="s">
        <v>230</v>
      </c>
      <c r="J3272" s="12" t="s">
        <v>419</v>
      </c>
      <c r="K3272" s="12" t="s">
        <v>199</v>
      </c>
      <c r="L3272" s="12" t="s">
        <v>83</v>
      </c>
      <c r="M3272" s="12" t="s">
        <v>43</v>
      </c>
      <c r="N3272" s="12" t="s">
        <v>44</v>
      </c>
      <c r="O3272" s="12" t="s">
        <v>11885</v>
      </c>
      <c r="P3272" s="12" t="s">
        <v>66</v>
      </c>
      <c r="Q3272" s="12" t="s">
        <v>67</v>
      </c>
      <c r="R3272" s="12" t="s">
        <v>623</v>
      </c>
      <c r="S3272" s="13">
        <v>197803406280</v>
      </c>
      <c r="T3272" s="12" t="s">
        <v>69</v>
      </c>
      <c r="U3272" s="12" t="s">
        <v>60</v>
      </c>
      <c r="V3272" s="12" t="s">
        <v>423</v>
      </c>
      <c r="W3272" s="12" t="s">
        <v>186</v>
      </c>
      <c r="X3272" s="13">
        <v>0</v>
      </c>
      <c r="Y3272" s="12" t="s">
        <v>53</v>
      </c>
      <c r="Z3272" s="12" t="s">
        <v>108</v>
      </c>
      <c r="AA3272" s="13">
        <v>0</v>
      </c>
      <c r="AB3272" s="12" t="s">
        <v>616</v>
      </c>
      <c r="AC3272" s="15">
        <v>40.950000000000003</v>
      </c>
      <c r="AD3272" s="15">
        <f>AC3272*AG3272</f>
        <v>40.950000000000003</v>
      </c>
      <c r="AE3272" s="15">
        <v>90</v>
      </c>
      <c r="AF3272" s="15">
        <f>AE3272*AG3272</f>
        <v>90</v>
      </c>
      <c r="AG3272" s="16">
        <v>1</v>
      </c>
    </row>
    <row r="3273" spans="1:33" ht="15" customHeight="1" x14ac:dyDescent="0.2">
      <c r="A3273" s="11" t="str">
        <f t="shared" si="705"/>
        <v>VN000P51O321</v>
      </c>
      <c r="B3273" s="12" t="s">
        <v>11886</v>
      </c>
      <c r="C3273" s="12" t="s">
        <v>5354</v>
      </c>
      <c r="D3273" s="12" t="s">
        <v>4815</v>
      </c>
      <c r="E3273" s="12" t="s">
        <v>11887</v>
      </c>
      <c r="F3273" s="12" t="s">
        <v>403</v>
      </c>
      <c r="G3273" s="14"/>
      <c r="H3273" s="12" t="s">
        <v>61</v>
      </c>
      <c r="I3273" s="12" t="s">
        <v>230</v>
      </c>
      <c r="J3273" s="12" t="s">
        <v>419</v>
      </c>
      <c r="K3273" s="12" t="s">
        <v>199</v>
      </c>
      <c r="L3273" s="12" t="s">
        <v>83</v>
      </c>
      <c r="M3273" s="12" t="s">
        <v>43</v>
      </c>
      <c r="N3273" s="12" t="s">
        <v>84</v>
      </c>
      <c r="O3273" s="12" t="s">
        <v>11888</v>
      </c>
      <c r="P3273" s="12" t="s">
        <v>66</v>
      </c>
      <c r="Q3273" s="12" t="s">
        <v>67</v>
      </c>
      <c r="R3273" s="12" t="s">
        <v>623</v>
      </c>
      <c r="S3273" s="13">
        <v>197804295494</v>
      </c>
      <c r="T3273" s="12" t="s">
        <v>69</v>
      </c>
      <c r="U3273" s="12" t="s">
        <v>403</v>
      </c>
      <c r="V3273" s="12" t="s">
        <v>70</v>
      </c>
      <c r="W3273" s="12" t="s">
        <v>299</v>
      </c>
      <c r="X3273" s="14"/>
      <c r="Y3273" s="14"/>
      <c r="Z3273" s="14"/>
      <c r="AA3273" s="14"/>
      <c r="AB3273" s="14"/>
      <c r="AC3273" s="15">
        <v>40.950000000000003</v>
      </c>
      <c r="AD3273" s="15">
        <f>AC3273*AG3273</f>
        <v>40.950000000000003</v>
      </c>
      <c r="AE3273" s="15">
        <v>90</v>
      </c>
      <c r="AF3273" s="15">
        <f>AE3273*AG3273</f>
        <v>90</v>
      </c>
      <c r="AG3273" s="16">
        <v>1</v>
      </c>
    </row>
    <row r="3274" spans="1:33" ht="15" customHeight="1" x14ac:dyDescent="0.2">
      <c r="A3274" s="11" t="str">
        <f>HYPERLINK("https://assets.vans.eu/images/VN000P51O32-HERO/1","VN000P51O321")</f>
        <v>VN000P51O321</v>
      </c>
      <c r="B3274" s="12" t="s">
        <v>11889</v>
      </c>
      <c r="C3274" s="12" t="s">
        <v>5354</v>
      </c>
      <c r="D3274" s="12" t="s">
        <v>4815</v>
      </c>
      <c r="E3274" s="12" t="s">
        <v>11890</v>
      </c>
      <c r="F3274" s="12" t="s">
        <v>60</v>
      </c>
      <c r="G3274" s="14"/>
      <c r="H3274" s="12" t="s">
        <v>61</v>
      </c>
      <c r="I3274" s="12" t="s">
        <v>230</v>
      </c>
      <c r="J3274" s="12" t="s">
        <v>419</v>
      </c>
      <c r="K3274" s="12" t="s">
        <v>199</v>
      </c>
      <c r="L3274" s="12" t="s">
        <v>83</v>
      </c>
      <c r="M3274" s="12" t="s">
        <v>43</v>
      </c>
      <c r="N3274" s="12" t="s">
        <v>84</v>
      </c>
      <c r="O3274" s="12" t="s">
        <v>11891</v>
      </c>
      <c r="P3274" s="12" t="s">
        <v>66</v>
      </c>
      <c r="Q3274" s="12" t="s">
        <v>67</v>
      </c>
      <c r="R3274" s="12" t="s">
        <v>623</v>
      </c>
      <c r="S3274" s="13">
        <v>197804295678</v>
      </c>
      <c r="T3274" s="12" t="s">
        <v>69</v>
      </c>
      <c r="U3274" s="12" t="s">
        <v>60</v>
      </c>
      <c r="V3274" s="12" t="s">
        <v>70</v>
      </c>
      <c r="W3274" s="12" t="s">
        <v>299</v>
      </c>
      <c r="X3274" s="14"/>
      <c r="Y3274" s="14"/>
      <c r="Z3274" s="14"/>
      <c r="AA3274" s="14"/>
      <c r="AB3274" s="14"/>
      <c r="AC3274" s="15">
        <v>40.950000000000003</v>
      </c>
      <c r="AD3274" s="15">
        <f>AC3274*AG3274</f>
        <v>40.950000000000003</v>
      </c>
      <c r="AE3274" s="15">
        <v>90</v>
      </c>
      <c r="AF3274" s="15">
        <f>AE3274*AG3274</f>
        <v>90</v>
      </c>
      <c r="AG3274" s="16">
        <v>1</v>
      </c>
    </row>
    <row r="3275" spans="1:33" ht="15" customHeight="1" x14ac:dyDescent="0.2">
      <c r="A3275" s="11" t="str">
        <f>HYPERLINK("https://assets.vans.eu/images/VN000P51Y28-HERO/1","VN000P51Y281")</f>
        <v>VN000P51Y281</v>
      </c>
      <c r="B3275" s="12" t="s">
        <v>11892</v>
      </c>
      <c r="C3275" s="12" t="s">
        <v>5354</v>
      </c>
      <c r="D3275" s="12" t="s">
        <v>58</v>
      </c>
      <c r="E3275" s="12" t="s">
        <v>11893</v>
      </c>
      <c r="F3275" s="12" t="s">
        <v>153</v>
      </c>
      <c r="G3275" s="14"/>
      <c r="H3275" s="12" t="s">
        <v>61</v>
      </c>
      <c r="I3275" s="12" t="s">
        <v>230</v>
      </c>
      <c r="J3275" s="12" t="s">
        <v>419</v>
      </c>
      <c r="K3275" s="12" t="s">
        <v>199</v>
      </c>
      <c r="L3275" s="12" t="s">
        <v>83</v>
      </c>
      <c r="M3275" s="12" t="s">
        <v>43</v>
      </c>
      <c r="N3275" s="12" t="s">
        <v>84</v>
      </c>
      <c r="O3275" s="12" t="s">
        <v>11894</v>
      </c>
      <c r="P3275" s="12" t="s">
        <v>66</v>
      </c>
      <c r="Q3275" s="12" t="s">
        <v>67</v>
      </c>
      <c r="R3275" s="12" t="s">
        <v>623</v>
      </c>
      <c r="S3275" s="13">
        <v>197803406518</v>
      </c>
      <c r="T3275" s="12" t="s">
        <v>69</v>
      </c>
      <c r="U3275" s="12" t="s">
        <v>153</v>
      </c>
      <c r="V3275" s="12" t="s">
        <v>70</v>
      </c>
      <c r="W3275" s="12" t="s">
        <v>51</v>
      </c>
      <c r="X3275" s="13">
        <v>0</v>
      </c>
      <c r="Y3275" s="12" t="s">
        <v>53</v>
      </c>
      <c r="Z3275" s="12" t="s">
        <v>108</v>
      </c>
      <c r="AA3275" s="13">
        <v>0</v>
      </c>
      <c r="AB3275" s="12" t="s">
        <v>616</v>
      </c>
      <c r="AC3275" s="15">
        <v>40.950000000000003</v>
      </c>
      <c r="AD3275" s="15">
        <f>AC3275*AG3275</f>
        <v>40.950000000000003</v>
      </c>
      <c r="AE3275" s="15">
        <v>90</v>
      </c>
      <c r="AF3275" s="15">
        <f>AE3275*AG3275</f>
        <v>90</v>
      </c>
      <c r="AG3275" s="16">
        <v>1</v>
      </c>
    </row>
    <row r="3276" spans="1:33" ht="15" customHeight="1" x14ac:dyDescent="0.2">
      <c r="A3276" s="11" t="str">
        <f>HYPERLINK("https://assets.vans.eu/images/VN000P521QI-HERO/1","VN000P521QI1")</f>
        <v>VN000P521QI1</v>
      </c>
      <c r="B3276" s="12" t="s">
        <v>11895</v>
      </c>
      <c r="C3276" s="12" t="s">
        <v>6573</v>
      </c>
      <c r="D3276" s="12" t="s">
        <v>1592</v>
      </c>
      <c r="E3276" s="12" t="s">
        <v>11896</v>
      </c>
      <c r="F3276" s="12" t="s">
        <v>621</v>
      </c>
      <c r="G3276" s="14"/>
      <c r="H3276" s="12" t="s">
        <v>61</v>
      </c>
      <c r="I3276" s="12" t="s">
        <v>230</v>
      </c>
      <c r="J3276" s="12" t="s">
        <v>419</v>
      </c>
      <c r="K3276" s="12" t="s">
        <v>199</v>
      </c>
      <c r="L3276" s="12" t="s">
        <v>83</v>
      </c>
      <c r="M3276" s="12" t="s">
        <v>43</v>
      </c>
      <c r="N3276" s="12" t="s">
        <v>84</v>
      </c>
      <c r="O3276" s="12" t="s">
        <v>11897</v>
      </c>
      <c r="P3276" s="12" t="s">
        <v>66</v>
      </c>
      <c r="Q3276" s="12" t="s">
        <v>67</v>
      </c>
      <c r="R3276" s="12" t="s">
        <v>623</v>
      </c>
      <c r="S3276" s="13">
        <v>197804296262</v>
      </c>
      <c r="T3276" s="12" t="s">
        <v>69</v>
      </c>
      <c r="U3276" s="12" t="s">
        <v>621</v>
      </c>
      <c r="V3276" s="12" t="s">
        <v>70</v>
      </c>
      <c r="W3276" s="12" t="s">
        <v>455</v>
      </c>
      <c r="X3276" s="14"/>
      <c r="Y3276" s="14"/>
      <c r="Z3276" s="14"/>
      <c r="AA3276" s="14"/>
      <c r="AB3276" s="14"/>
      <c r="AC3276" s="15">
        <v>36.4</v>
      </c>
      <c r="AD3276" s="15">
        <f>AC3276*AG3276</f>
        <v>36.4</v>
      </c>
      <c r="AE3276" s="15">
        <v>80</v>
      </c>
      <c r="AF3276" s="15">
        <f>AE3276*AG3276</f>
        <v>80</v>
      </c>
      <c r="AG3276" s="16">
        <v>1</v>
      </c>
    </row>
    <row r="3277" spans="1:33" ht="15" customHeight="1" x14ac:dyDescent="0.2">
      <c r="A3277" s="11" t="str">
        <f t="shared" ref="A3277:A3279" si="1179">HYPERLINK("https://assets.vans.eu/images/VN000P52EMS-HERO/1","VN000P52EMS1")</f>
        <v>VN000P52EMS1</v>
      </c>
      <c r="B3277" s="12" t="s">
        <v>11898</v>
      </c>
      <c r="C3277" s="12" t="s">
        <v>6573</v>
      </c>
      <c r="D3277" s="12" t="s">
        <v>863</v>
      </c>
      <c r="E3277" s="12" t="s">
        <v>11899</v>
      </c>
      <c r="F3277" s="12" t="s">
        <v>179</v>
      </c>
      <c r="G3277" s="14"/>
      <c r="H3277" s="12" t="s">
        <v>61</v>
      </c>
      <c r="I3277" s="12" t="s">
        <v>230</v>
      </c>
      <c r="J3277" s="12" t="s">
        <v>419</v>
      </c>
      <c r="K3277" s="12" t="s">
        <v>199</v>
      </c>
      <c r="L3277" s="12" t="s">
        <v>83</v>
      </c>
      <c r="M3277" s="12" t="s">
        <v>43</v>
      </c>
      <c r="N3277" s="12" t="s">
        <v>84</v>
      </c>
      <c r="O3277" s="12" t="s">
        <v>11900</v>
      </c>
      <c r="P3277" s="12" t="s">
        <v>66</v>
      </c>
      <c r="Q3277" s="12" t="s">
        <v>67</v>
      </c>
      <c r="R3277" s="12" t="s">
        <v>623</v>
      </c>
      <c r="S3277" s="13">
        <v>197804295418</v>
      </c>
      <c r="T3277" s="12" t="s">
        <v>69</v>
      </c>
      <c r="U3277" s="12" t="s">
        <v>179</v>
      </c>
      <c r="V3277" s="12" t="s">
        <v>70</v>
      </c>
      <c r="W3277" s="12" t="s">
        <v>107</v>
      </c>
      <c r="X3277" s="14"/>
      <c r="Y3277" s="14"/>
      <c r="Z3277" s="14"/>
      <c r="AA3277" s="14"/>
      <c r="AB3277" s="14"/>
      <c r="AC3277" s="15">
        <v>36.4</v>
      </c>
      <c r="AD3277" s="15">
        <f>AC3277*AG3277</f>
        <v>36.4</v>
      </c>
      <c r="AE3277" s="15">
        <v>80</v>
      </c>
      <c r="AF3277" s="15">
        <f>AE3277*AG3277</f>
        <v>80</v>
      </c>
      <c r="AG3277" s="16">
        <v>1</v>
      </c>
    </row>
    <row r="3278" spans="1:33" ht="15" customHeight="1" x14ac:dyDescent="0.2">
      <c r="A3278" s="11" t="str">
        <f t="shared" si="1179"/>
        <v>VN000P52EMS1</v>
      </c>
      <c r="B3278" s="12" t="s">
        <v>11901</v>
      </c>
      <c r="C3278" s="12" t="s">
        <v>6573</v>
      </c>
      <c r="D3278" s="12" t="s">
        <v>863</v>
      </c>
      <c r="E3278" s="12" t="s">
        <v>11902</v>
      </c>
      <c r="F3278" s="12" t="s">
        <v>170</v>
      </c>
      <c r="G3278" s="14"/>
      <c r="H3278" s="12" t="s">
        <v>61</v>
      </c>
      <c r="I3278" s="12" t="s">
        <v>230</v>
      </c>
      <c r="J3278" s="12" t="s">
        <v>419</v>
      </c>
      <c r="K3278" s="12" t="s">
        <v>199</v>
      </c>
      <c r="L3278" s="12" t="s">
        <v>83</v>
      </c>
      <c r="M3278" s="12" t="s">
        <v>43</v>
      </c>
      <c r="N3278" s="12" t="s">
        <v>84</v>
      </c>
      <c r="O3278" s="12" t="s">
        <v>11903</v>
      </c>
      <c r="P3278" s="12" t="s">
        <v>66</v>
      </c>
      <c r="Q3278" s="12" t="s">
        <v>67</v>
      </c>
      <c r="R3278" s="12" t="s">
        <v>623</v>
      </c>
      <c r="S3278" s="13">
        <v>197804295470</v>
      </c>
      <c r="T3278" s="12" t="s">
        <v>69</v>
      </c>
      <c r="U3278" s="12" t="s">
        <v>170</v>
      </c>
      <c r="V3278" s="12" t="s">
        <v>70</v>
      </c>
      <c r="W3278" s="12" t="s">
        <v>107</v>
      </c>
      <c r="X3278" s="14"/>
      <c r="Y3278" s="14"/>
      <c r="Z3278" s="14"/>
      <c r="AA3278" s="14"/>
      <c r="AB3278" s="14"/>
      <c r="AC3278" s="15">
        <v>36.4</v>
      </c>
      <c r="AD3278" s="15">
        <f>AC3278*AG3278</f>
        <v>36.4</v>
      </c>
      <c r="AE3278" s="15">
        <v>80</v>
      </c>
      <c r="AF3278" s="15">
        <f>AE3278*AG3278</f>
        <v>80</v>
      </c>
      <c r="AG3278" s="16">
        <v>1</v>
      </c>
    </row>
    <row r="3279" spans="1:33" ht="15" customHeight="1" x14ac:dyDescent="0.2">
      <c r="A3279" s="11" t="str">
        <f t="shared" si="1179"/>
        <v>VN000P52EMS1</v>
      </c>
      <c r="B3279" s="12" t="s">
        <v>11904</v>
      </c>
      <c r="C3279" s="12" t="s">
        <v>6573</v>
      </c>
      <c r="D3279" s="12" t="s">
        <v>863</v>
      </c>
      <c r="E3279" s="12" t="s">
        <v>11905</v>
      </c>
      <c r="F3279" s="12" t="s">
        <v>403</v>
      </c>
      <c r="G3279" s="14"/>
      <c r="H3279" s="12" t="s">
        <v>61</v>
      </c>
      <c r="I3279" s="12" t="s">
        <v>230</v>
      </c>
      <c r="J3279" s="12" t="s">
        <v>419</v>
      </c>
      <c r="K3279" s="12" t="s">
        <v>199</v>
      </c>
      <c r="L3279" s="12" t="s">
        <v>83</v>
      </c>
      <c r="M3279" s="12" t="s">
        <v>43</v>
      </c>
      <c r="N3279" s="12" t="s">
        <v>84</v>
      </c>
      <c r="O3279" s="12" t="s">
        <v>11906</v>
      </c>
      <c r="P3279" s="12" t="s">
        <v>66</v>
      </c>
      <c r="Q3279" s="12" t="s">
        <v>67</v>
      </c>
      <c r="R3279" s="12" t="s">
        <v>623</v>
      </c>
      <c r="S3279" s="13">
        <v>197804295630</v>
      </c>
      <c r="T3279" s="12" t="s">
        <v>69</v>
      </c>
      <c r="U3279" s="12" t="s">
        <v>403</v>
      </c>
      <c r="V3279" s="12" t="s">
        <v>70</v>
      </c>
      <c r="W3279" s="12" t="s">
        <v>107</v>
      </c>
      <c r="X3279" s="14"/>
      <c r="Y3279" s="14"/>
      <c r="Z3279" s="14"/>
      <c r="AA3279" s="14"/>
      <c r="AB3279" s="14"/>
      <c r="AC3279" s="15">
        <v>36.4</v>
      </c>
      <c r="AD3279" s="15">
        <f>AC3279*AG3279</f>
        <v>36.4</v>
      </c>
      <c r="AE3279" s="15">
        <v>80</v>
      </c>
      <c r="AF3279" s="15">
        <f>AE3279*AG3279</f>
        <v>80</v>
      </c>
      <c r="AG3279" s="16">
        <v>1</v>
      </c>
    </row>
    <row r="3280" spans="1:33" ht="15" customHeight="1" x14ac:dyDescent="0.2">
      <c r="A3280" s="11" t="str">
        <f>HYPERLINK("https://assets.vans.eu/images/VN000P52Y28-HERO/1","VN000P52Y281")</f>
        <v>VN000P52Y281</v>
      </c>
      <c r="B3280" s="12" t="s">
        <v>11907</v>
      </c>
      <c r="C3280" s="12" t="s">
        <v>6573</v>
      </c>
      <c r="D3280" s="12" t="s">
        <v>58</v>
      </c>
      <c r="E3280" s="12" t="s">
        <v>11908</v>
      </c>
      <c r="F3280" s="12" t="s">
        <v>179</v>
      </c>
      <c r="G3280" s="14"/>
      <c r="H3280" s="12" t="s">
        <v>61</v>
      </c>
      <c r="I3280" s="12" t="s">
        <v>230</v>
      </c>
      <c r="J3280" s="12" t="s">
        <v>419</v>
      </c>
      <c r="K3280" s="12" t="s">
        <v>199</v>
      </c>
      <c r="L3280" s="12" t="s">
        <v>83</v>
      </c>
      <c r="M3280" s="12" t="s">
        <v>43</v>
      </c>
      <c r="N3280" s="12" t="s">
        <v>84</v>
      </c>
      <c r="O3280" s="12" t="s">
        <v>11909</v>
      </c>
      <c r="P3280" s="12" t="s">
        <v>66</v>
      </c>
      <c r="Q3280" s="12" t="s">
        <v>67</v>
      </c>
      <c r="R3280" s="12" t="s">
        <v>623</v>
      </c>
      <c r="S3280" s="13">
        <v>197803406006</v>
      </c>
      <c r="T3280" s="12" t="s">
        <v>69</v>
      </c>
      <c r="U3280" s="12" t="s">
        <v>179</v>
      </c>
      <c r="V3280" s="12" t="s">
        <v>70</v>
      </c>
      <c r="W3280" s="12" t="s">
        <v>51</v>
      </c>
      <c r="X3280" s="13">
        <v>0</v>
      </c>
      <c r="Y3280" s="12" t="s">
        <v>53</v>
      </c>
      <c r="Z3280" s="12" t="s">
        <v>108</v>
      </c>
      <c r="AA3280" s="13">
        <v>0</v>
      </c>
      <c r="AB3280" s="12" t="s">
        <v>616</v>
      </c>
      <c r="AC3280" s="15">
        <v>36.4</v>
      </c>
      <c r="AD3280" s="15">
        <f>AC3280*AG3280</f>
        <v>36.4</v>
      </c>
      <c r="AE3280" s="15">
        <v>80</v>
      </c>
      <c r="AF3280" s="15">
        <f>AE3280*AG3280</f>
        <v>80</v>
      </c>
      <c r="AG3280" s="16">
        <v>1</v>
      </c>
    </row>
    <row r="3281" spans="1:33" ht="15" customHeight="1" x14ac:dyDescent="0.2">
      <c r="A3281" s="11" t="str">
        <f t="shared" ref="A3281:A3282" si="1180">HYPERLINK("https://assets.vans.eu/images/VN000P54WHT-HERO/1","VN000P54WHT1")</f>
        <v>VN000P54WHT1</v>
      </c>
      <c r="B3281" s="12" t="s">
        <v>11910</v>
      </c>
      <c r="C3281" s="12" t="s">
        <v>11911</v>
      </c>
      <c r="D3281" s="12" t="s">
        <v>168</v>
      </c>
      <c r="E3281" s="12" t="s">
        <v>11912</v>
      </c>
      <c r="F3281" s="12" t="s">
        <v>179</v>
      </c>
      <c r="G3281" s="14"/>
      <c r="H3281" s="12" t="s">
        <v>61</v>
      </c>
      <c r="I3281" s="12" t="s">
        <v>230</v>
      </c>
      <c r="J3281" s="12" t="s">
        <v>419</v>
      </c>
      <c r="K3281" s="12" t="s">
        <v>199</v>
      </c>
      <c r="L3281" s="14"/>
      <c r="M3281" s="12" t="s">
        <v>43</v>
      </c>
      <c r="N3281" s="12" t="s">
        <v>44</v>
      </c>
      <c r="O3281" s="12" t="s">
        <v>11913</v>
      </c>
      <c r="P3281" s="12" t="s">
        <v>66</v>
      </c>
      <c r="Q3281" s="12" t="s">
        <v>67</v>
      </c>
      <c r="R3281" s="12" t="s">
        <v>421</v>
      </c>
      <c r="S3281" s="13">
        <v>197643567110</v>
      </c>
      <c r="T3281" s="12" t="s">
        <v>49</v>
      </c>
      <c r="U3281" s="12" t="s">
        <v>179</v>
      </c>
      <c r="V3281" s="12" t="s">
        <v>665</v>
      </c>
      <c r="W3281" s="12" t="s">
        <v>175</v>
      </c>
      <c r="X3281" s="13">
        <v>0</v>
      </c>
      <c r="Y3281" s="12" t="s">
        <v>53</v>
      </c>
      <c r="Z3281" s="12" t="s">
        <v>108</v>
      </c>
      <c r="AA3281" s="13">
        <v>0</v>
      </c>
      <c r="AB3281" s="13">
        <v>0</v>
      </c>
      <c r="AC3281" s="15">
        <v>18.2</v>
      </c>
      <c r="AD3281" s="15">
        <f>AC3281*AG3281</f>
        <v>18.2</v>
      </c>
      <c r="AE3281" s="15">
        <v>40</v>
      </c>
      <c r="AF3281" s="15">
        <f>AE3281*AG3281</f>
        <v>40</v>
      </c>
      <c r="AG3281" s="16">
        <v>1</v>
      </c>
    </row>
    <row r="3282" spans="1:33" ht="15" customHeight="1" x14ac:dyDescent="0.2">
      <c r="A3282" s="11" t="str">
        <f t="shared" si="1180"/>
        <v>VN000P54WHT1</v>
      </c>
      <c r="B3282" s="12" t="s">
        <v>11914</v>
      </c>
      <c r="C3282" s="12" t="s">
        <v>11911</v>
      </c>
      <c r="D3282" s="12" t="s">
        <v>168</v>
      </c>
      <c r="E3282" s="12" t="s">
        <v>11915</v>
      </c>
      <c r="F3282" s="12" t="s">
        <v>403</v>
      </c>
      <c r="G3282" s="14"/>
      <c r="H3282" s="12" t="s">
        <v>61</v>
      </c>
      <c r="I3282" s="12" t="s">
        <v>230</v>
      </c>
      <c r="J3282" s="12" t="s">
        <v>419</v>
      </c>
      <c r="K3282" s="12" t="s">
        <v>199</v>
      </c>
      <c r="L3282" s="14"/>
      <c r="M3282" s="12" t="s">
        <v>43</v>
      </c>
      <c r="N3282" s="12" t="s">
        <v>44</v>
      </c>
      <c r="O3282" s="12" t="s">
        <v>11916</v>
      </c>
      <c r="P3282" s="12" t="s">
        <v>66</v>
      </c>
      <c r="Q3282" s="12" t="s">
        <v>67</v>
      </c>
      <c r="R3282" s="12" t="s">
        <v>421</v>
      </c>
      <c r="S3282" s="13">
        <v>197643567189</v>
      </c>
      <c r="T3282" s="12" t="s">
        <v>49</v>
      </c>
      <c r="U3282" s="12" t="s">
        <v>403</v>
      </c>
      <c r="V3282" s="12" t="s">
        <v>665</v>
      </c>
      <c r="W3282" s="12" t="s">
        <v>175</v>
      </c>
      <c r="X3282" s="13">
        <v>0</v>
      </c>
      <c r="Y3282" s="12" t="s">
        <v>53</v>
      </c>
      <c r="Z3282" s="12" t="s">
        <v>108</v>
      </c>
      <c r="AA3282" s="13">
        <v>0</v>
      </c>
      <c r="AB3282" s="13">
        <v>0</v>
      </c>
      <c r="AC3282" s="15">
        <v>18.2</v>
      </c>
      <c r="AD3282" s="15">
        <f>AC3282*AG3282</f>
        <v>18.2</v>
      </c>
      <c r="AE3282" s="15">
        <v>40</v>
      </c>
      <c r="AF3282" s="15">
        <f>AE3282*AG3282</f>
        <v>40</v>
      </c>
      <c r="AG3282" s="16">
        <v>1</v>
      </c>
    </row>
    <row r="3283" spans="1:33" ht="15" customHeight="1" x14ac:dyDescent="0.2">
      <c r="A3283" s="11" t="str">
        <f>HYPERLINK("https://assets.vans.eu/images/VN000P54ZUJ-HERO/1","VN000P54ZUJ1")</f>
        <v>VN000P54ZUJ1</v>
      </c>
      <c r="B3283" s="12" t="s">
        <v>11917</v>
      </c>
      <c r="C3283" s="12" t="s">
        <v>11911</v>
      </c>
      <c r="D3283" s="12" t="s">
        <v>2899</v>
      </c>
      <c r="E3283" s="12" t="s">
        <v>11918</v>
      </c>
      <c r="F3283" s="12" t="s">
        <v>403</v>
      </c>
      <c r="G3283" s="14"/>
      <c r="H3283" s="12" t="s">
        <v>61</v>
      </c>
      <c r="I3283" s="12" t="s">
        <v>230</v>
      </c>
      <c r="J3283" s="12" t="s">
        <v>419</v>
      </c>
      <c r="K3283" s="12" t="s">
        <v>199</v>
      </c>
      <c r="L3283" s="14"/>
      <c r="M3283" s="12" t="s">
        <v>43</v>
      </c>
      <c r="N3283" s="12" t="s">
        <v>44</v>
      </c>
      <c r="O3283" s="12" t="s">
        <v>11919</v>
      </c>
      <c r="P3283" s="12" t="s">
        <v>66</v>
      </c>
      <c r="Q3283" s="12" t="s">
        <v>67</v>
      </c>
      <c r="R3283" s="12" t="s">
        <v>421</v>
      </c>
      <c r="S3283" s="13">
        <v>197643567363</v>
      </c>
      <c r="T3283" s="12" t="s">
        <v>49</v>
      </c>
      <c r="U3283" s="12" t="s">
        <v>403</v>
      </c>
      <c r="V3283" s="12" t="s">
        <v>665</v>
      </c>
      <c r="W3283" s="12" t="s">
        <v>598</v>
      </c>
      <c r="X3283" s="13">
        <v>0</v>
      </c>
      <c r="Y3283" s="12" t="s">
        <v>53</v>
      </c>
      <c r="Z3283" s="12" t="s">
        <v>108</v>
      </c>
      <c r="AA3283" s="13">
        <v>0</v>
      </c>
      <c r="AB3283" s="13">
        <v>0</v>
      </c>
      <c r="AC3283" s="15">
        <v>18.2</v>
      </c>
      <c r="AD3283" s="15">
        <f>AC3283*AG3283</f>
        <v>18.2</v>
      </c>
      <c r="AE3283" s="15">
        <v>40</v>
      </c>
      <c r="AF3283" s="15">
        <f>AE3283*AG3283</f>
        <v>40</v>
      </c>
      <c r="AG3283" s="16">
        <v>1</v>
      </c>
    </row>
    <row r="3284" spans="1:33" ht="15" customHeight="1" x14ac:dyDescent="0.2">
      <c r="A3284" s="11" t="str">
        <f t="shared" ref="A3284:A3285" si="1181">HYPERLINK("https://assets.vans.eu/images/VN000P56CHG-HERO/1","VN000P56CHG1")</f>
        <v>VN000P56CHG1</v>
      </c>
      <c r="B3284" s="12" t="s">
        <v>11920</v>
      </c>
      <c r="C3284" s="12" t="s">
        <v>6577</v>
      </c>
      <c r="D3284" s="12" t="s">
        <v>1615</v>
      </c>
      <c r="E3284" s="12" t="s">
        <v>11921</v>
      </c>
      <c r="F3284" s="12" t="s">
        <v>170</v>
      </c>
      <c r="G3284" s="14"/>
      <c r="H3284" s="12" t="s">
        <v>61</v>
      </c>
      <c r="I3284" s="12" t="s">
        <v>230</v>
      </c>
      <c r="J3284" s="12" t="s">
        <v>419</v>
      </c>
      <c r="K3284" s="12" t="s">
        <v>199</v>
      </c>
      <c r="L3284" s="12" t="s">
        <v>83</v>
      </c>
      <c r="M3284" s="12" t="s">
        <v>43</v>
      </c>
      <c r="N3284" s="12" t="s">
        <v>84</v>
      </c>
      <c r="O3284" s="12" t="s">
        <v>11922</v>
      </c>
      <c r="P3284" s="12" t="s">
        <v>66</v>
      </c>
      <c r="Q3284" s="12" t="s">
        <v>67</v>
      </c>
      <c r="R3284" s="12" t="s">
        <v>421</v>
      </c>
      <c r="S3284" s="13">
        <v>197804295579</v>
      </c>
      <c r="T3284" s="12" t="s">
        <v>422</v>
      </c>
      <c r="U3284" s="12" t="s">
        <v>170</v>
      </c>
      <c r="V3284" s="12" t="s">
        <v>70</v>
      </c>
      <c r="W3284" s="12" t="s">
        <v>186</v>
      </c>
      <c r="X3284" s="14"/>
      <c r="Y3284" s="14"/>
      <c r="Z3284" s="14"/>
      <c r="AA3284" s="14"/>
      <c r="AB3284" s="14"/>
      <c r="AC3284" s="15">
        <v>13.65</v>
      </c>
      <c r="AD3284" s="15">
        <f>AC3284*AG3284</f>
        <v>13.65</v>
      </c>
      <c r="AE3284" s="15">
        <v>30</v>
      </c>
      <c r="AF3284" s="15">
        <f>AE3284*AG3284</f>
        <v>30</v>
      </c>
      <c r="AG3284" s="16">
        <v>1</v>
      </c>
    </row>
    <row r="3285" spans="1:33" ht="15" customHeight="1" x14ac:dyDescent="0.2">
      <c r="A3285" s="11" t="str">
        <f t="shared" si="1181"/>
        <v>VN000P56CHG1</v>
      </c>
      <c r="B3285" s="12" t="s">
        <v>11923</v>
      </c>
      <c r="C3285" s="12" t="s">
        <v>6577</v>
      </c>
      <c r="D3285" s="12" t="s">
        <v>1615</v>
      </c>
      <c r="E3285" s="12" t="s">
        <v>11924</v>
      </c>
      <c r="F3285" s="12" t="s">
        <v>621</v>
      </c>
      <c r="G3285" s="14"/>
      <c r="H3285" s="12" t="s">
        <v>61</v>
      </c>
      <c r="I3285" s="12" t="s">
        <v>230</v>
      </c>
      <c r="J3285" s="12" t="s">
        <v>419</v>
      </c>
      <c r="K3285" s="12" t="s">
        <v>199</v>
      </c>
      <c r="L3285" s="12" t="s">
        <v>83</v>
      </c>
      <c r="M3285" s="12" t="s">
        <v>43</v>
      </c>
      <c r="N3285" s="12" t="s">
        <v>84</v>
      </c>
      <c r="O3285" s="12" t="s">
        <v>11925</v>
      </c>
      <c r="P3285" s="12" t="s">
        <v>66</v>
      </c>
      <c r="Q3285" s="12" t="s">
        <v>67</v>
      </c>
      <c r="R3285" s="12" t="s">
        <v>421</v>
      </c>
      <c r="S3285" s="13">
        <v>197804296217</v>
      </c>
      <c r="T3285" s="12" t="s">
        <v>422</v>
      </c>
      <c r="U3285" s="12" t="s">
        <v>621</v>
      </c>
      <c r="V3285" s="12" t="s">
        <v>70</v>
      </c>
      <c r="W3285" s="12" t="s">
        <v>186</v>
      </c>
      <c r="X3285" s="14"/>
      <c r="Y3285" s="14"/>
      <c r="Z3285" s="14"/>
      <c r="AA3285" s="14"/>
      <c r="AB3285" s="14"/>
      <c r="AC3285" s="15">
        <v>13.65</v>
      </c>
      <c r="AD3285" s="15">
        <f>AC3285*AG3285</f>
        <v>13.65</v>
      </c>
      <c r="AE3285" s="15">
        <v>30</v>
      </c>
      <c r="AF3285" s="15">
        <f>AE3285*AG3285</f>
        <v>30</v>
      </c>
      <c r="AG3285" s="16">
        <v>1</v>
      </c>
    </row>
    <row r="3286" spans="1:33" ht="15" customHeight="1" x14ac:dyDescent="0.2">
      <c r="A3286" s="11" t="str">
        <f t="shared" ref="A3286:A3287" si="1182">HYPERLINK("https://assets.vans.eu/images/VN000P56EMW-HERO/1","VN000P56EMW1")</f>
        <v>VN000P56EMW1</v>
      </c>
      <c r="B3286" s="12" t="s">
        <v>11926</v>
      </c>
      <c r="C3286" s="12" t="s">
        <v>6577</v>
      </c>
      <c r="D3286" s="12" t="s">
        <v>147</v>
      </c>
      <c r="E3286" s="12" t="s">
        <v>11927</v>
      </c>
      <c r="F3286" s="12" t="s">
        <v>403</v>
      </c>
      <c r="G3286" s="14"/>
      <c r="H3286" s="12" t="s">
        <v>61</v>
      </c>
      <c r="I3286" s="12" t="s">
        <v>230</v>
      </c>
      <c r="J3286" s="12" t="s">
        <v>419</v>
      </c>
      <c r="K3286" s="12" t="s">
        <v>199</v>
      </c>
      <c r="L3286" s="12" t="s">
        <v>83</v>
      </c>
      <c r="M3286" s="12" t="s">
        <v>43</v>
      </c>
      <c r="N3286" s="12" t="s">
        <v>84</v>
      </c>
      <c r="O3286" s="12" t="s">
        <v>11928</v>
      </c>
      <c r="P3286" s="12" t="s">
        <v>66</v>
      </c>
      <c r="Q3286" s="12" t="s">
        <v>67</v>
      </c>
      <c r="R3286" s="12" t="s">
        <v>421</v>
      </c>
      <c r="S3286" s="13">
        <v>197804295685</v>
      </c>
      <c r="T3286" s="12" t="s">
        <v>422</v>
      </c>
      <c r="U3286" s="12" t="s">
        <v>403</v>
      </c>
      <c r="V3286" s="12" t="s">
        <v>70</v>
      </c>
      <c r="W3286" s="12" t="s">
        <v>118</v>
      </c>
      <c r="X3286" s="14"/>
      <c r="Y3286" s="14"/>
      <c r="Z3286" s="14"/>
      <c r="AA3286" s="14"/>
      <c r="AB3286" s="14"/>
      <c r="AC3286" s="15">
        <v>13.65</v>
      </c>
      <c r="AD3286" s="15">
        <f>AC3286*AG3286</f>
        <v>13.65</v>
      </c>
      <c r="AE3286" s="15">
        <v>30</v>
      </c>
      <c r="AF3286" s="15">
        <f>AE3286*AG3286</f>
        <v>30</v>
      </c>
      <c r="AG3286" s="16">
        <v>1</v>
      </c>
    </row>
    <row r="3287" spans="1:33" ht="15" customHeight="1" x14ac:dyDescent="0.2">
      <c r="A3287" s="11" t="str">
        <f t="shared" si="1182"/>
        <v>VN000P56EMW1</v>
      </c>
      <c r="B3287" s="12" t="s">
        <v>11929</v>
      </c>
      <c r="C3287" s="12" t="s">
        <v>6577</v>
      </c>
      <c r="D3287" s="12" t="s">
        <v>147</v>
      </c>
      <c r="E3287" s="12" t="s">
        <v>11930</v>
      </c>
      <c r="F3287" s="12" t="s">
        <v>153</v>
      </c>
      <c r="G3287" s="14"/>
      <c r="H3287" s="12" t="s">
        <v>61</v>
      </c>
      <c r="I3287" s="12" t="s">
        <v>230</v>
      </c>
      <c r="J3287" s="12" t="s">
        <v>419</v>
      </c>
      <c r="K3287" s="12" t="s">
        <v>199</v>
      </c>
      <c r="L3287" s="12" t="s">
        <v>83</v>
      </c>
      <c r="M3287" s="12" t="s">
        <v>43</v>
      </c>
      <c r="N3287" s="12" t="s">
        <v>84</v>
      </c>
      <c r="O3287" s="12" t="s">
        <v>11931</v>
      </c>
      <c r="P3287" s="12" t="s">
        <v>66</v>
      </c>
      <c r="Q3287" s="12" t="s">
        <v>67</v>
      </c>
      <c r="R3287" s="12" t="s">
        <v>421</v>
      </c>
      <c r="S3287" s="13">
        <v>197804296149</v>
      </c>
      <c r="T3287" s="12" t="s">
        <v>422</v>
      </c>
      <c r="U3287" s="12" t="s">
        <v>153</v>
      </c>
      <c r="V3287" s="12" t="s">
        <v>70</v>
      </c>
      <c r="W3287" s="12" t="s">
        <v>118</v>
      </c>
      <c r="X3287" s="14"/>
      <c r="Y3287" s="14"/>
      <c r="Z3287" s="14"/>
      <c r="AA3287" s="14"/>
      <c r="AB3287" s="14"/>
      <c r="AC3287" s="15">
        <v>13.65</v>
      </c>
      <c r="AD3287" s="15">
        <f>AC3287*AG3287</f>
        <v>13.65</v>
      </c>
      <c r="AE3287" s="15">
        <v>30</v>
      </c>
      <c r="AF3287" s="15">
        <f>AE3287*AG3287</f>
        <v>30</v>
      </c>
      <c r="AG3287" s="16">
        <v>1</v>
      </c>
    </row>
    <row r="3288" spans="1:33" ht="15" customHeight="1" x14ac:dyDescent="0.2">
      <c r="A3288" s="11" t="str">
        <f t="shared" ref="A3288:A3291" si="1183">HYPERLINK("https://assets.vans.eu/images/VN000P56O3N-HERO/1","VN000P56O3N1")</f>
        <v>VN000P56O3N1</v>
      </c>
      <c r="B3288" s="12" t="s">
        <v>11932</v>
      </c>
      <c r="C3288" s="12" t="s">
        <v>6577</v>
      </c>
      <c r="D3288" s="12" t="s">
        <v>744</v>
      </c>
      <c r="E3288" s="12" t="s">
        <v>11933</v>
      </c>
      <c r="F3288" s="12" t="s">
        <v>179</v>
      </c>
      <c r="G3288" s="14"/>
      <c r="H3288" s="12" t="s">
        <v>61</v>
      </c>
      <c r="I3288" s="12" t="s">
        <v>230</v>
      </c>
      <c r="J3288" s="12" t="s">
        <v>419</v>
      </c>
      <c r="K3288" s="12" t="s">
        <v>199</v>
      </c>
      <c r="L3288" s="12" t="s">
        <v>83</v>
      </c>
      <c r="M3288" s="12" t="s">
        <v>43</v>
      </c>
      <c r="N3288" s="12" t="s">
        <v>84</v>
      </c>
      <c r="O3288" s="12" t="s">
        <v>11934</v>
      </c>
      <c r="P3288" s="12" t="s">
        <v>66</v>
      </c>
      <c r="Q3288" s="12" t="s">
        <v>67</v>
      </c>
      <c r="R3288" s="12" t="s">
        <v>421</v>
      </c>
      <c r="S3288" s="13">
        <v>197804295463</v>
      </c>
      <c r="T3288" s="12" t="s">
        <v>422</v>
      </c>
      <c r="U3288" s="12" t="s">
        <v>179</v>
      </c>
      <c r="V3288" s="12" t="s">
        <v>70</v>
      </c>
      <c r="W3288" s="12" t="s">
        <v>299</v>
      </c>
      <c r="X3288" s="14"/>
      <c r="Y3288" s="14"/>
      <c r="Z3288" s="14"/>
      <c r="AA3288" s="14"/>
      <c r="AB3288" s="14"/>
      <c r="AC3288" s="15">
        <v>13.65</v>
      </c>
      <c r="AD3288" s="15">
        <f>AC3288*AG3288</f>
        <v>13.65</v>
      </c>
      <c r="AE3288" s="15">
        <v>30</v>
      </c>
      <c r="AF3288" s="15">
        <f>AE3288*AG3288</f>
        <v>30</v>
      </c>
      <c r="AG3288" s="16">
        <v>1</v>
      </c>
    </row>
    <row r="3289" spans="1:33" ht="15" customHeight="1" x14ac:dyDescent="0.2">
      <c r="A3289" s="11" t="str">
        <f t="shared" si="1183"/>
        <v>VN000P56O3N1</v>
      </c>
      <c r="B3289" s="12" t="s">
        <v>11935</v>
      </c>
      <c r="C3289" s="12" t="s">
        <v>6577</v>
      </c>
      <c r="D3289" s="12" t="s">
        <v>744</v>
      </c>
      <c r="E3289" s="12" t="s">
        <v>11936</v>
      </c>
      <c r="F3289" s="12" t="s">
        <v>170</v>
      </c>
      <c r="G3289" s="14"/>
      <c r="H3289" s="12" t="s">
        <v>61</v>
      </c>
      <c r="I3289" s="12" t="s">
        <v>230</v>
      </c>
      <c r="J3289" s="12" t="s">
        <v>419</v>
      </c>
      <c r="K3289" s="12" t="s">
        <v>199</v>
      </c>
      <c r="L3289" s="12" t="s">
        <v>83</v>
      </c>
      <c r="M3289" s="12" t="s">
        <v>43</v>
      </c>
      <c r="N3289" s="12" t="s">
        <v>84</v>
      </c>
      <c r="O3289" s="12" t="s">
        <v>11937</v>
      </c>
      <c r="P3289" s="12" t="s">
        <v>66</v>
      </c>
      <c r="Q3289" s="12" t="s">
        <v>67</v>
      </c>
      <c r="R3289" s="12" t="s">
        <v>421</v>
      </c>
      <c r="S3289" s="13">
        <v>197804295647</v>
      </c>
      <c r="T3289" s="12" t="s">
        <v>422</v>
      </c>
      <c r="U3289" s="12" t="s">
        <v>170</v>
      </c>
      <c r="V3289" s="12" t="s">
        <v>70</v>
      </c>
      <c r="W3289" s="12" t="s">
        <v>299</v>
      </c>
      <c r="X3289" s="14"/>
      <c r="Y3289" s="14"/>
      <c r="Z3289" s="14"/>
      <c r="AA3289" s="14"/>
      <c r="AB3289" s="14"/>
      <c r="AC3289" s="15">
        <v>13.65</v>
      </c>
      <c r="AD3289" s="15">
        <f>AC3289*AG3289</f>
        <v>13.65</v>
      </c>
      <c r="AE3289" s="15">
        <v>30</v>
      </c>
      <c r="AF3289" s="15">
        <f>AE3289*AG3289</f>
        <v>30</v>
      </c>
      <c r="AG3289" s="16">
        <v>1</v>
      </c>
    </row>
    <row r="3290" spans="1:33" ht="15" customHeight="1" x14ac:dyDescent="0.2">
      <c r="A3290" s="11" t="str">
        <f t="shared" si="1183"/>
        <v>VN000P56O3N1</v>
      </c>
      <c r="B3290" s="12" t="s">
        <v>11938</v>
      </c>
      <c r="C3290" s="12" t="s">
        <v>6577</v>
      </c>
      <c r="D3290" s="12" t="s">
        <v>744</v>
      </c>
      <c r="E3290" s="12" t="s">
        <v>11939</v>
      </c>
      <c r="F3290" s="12" t="s">
        <v>60</v>
      </c>
      <c r="G3290" s="14"/>
      <c r="H3290" s="12" t="s">
        <v>61</v>
      </c>
      <c r="I3290" s="12" t="s">
        <v>230</v>
      </c>
      <c r="J3290" s="12" t="s">
        <v>419</v>
      </c>
      <c r="K3290" s="12" t="s">
        <v>199</v>
      </c>
      <c r="L3290" s="12" t="s">
        <v>83</v>
      </c>
      <c r="M3290" s="12" t="s">
        <v>43</v>
      </c>
      <c r="N3290" s="12" t="s">
        <v>84</v>
      </c>
      <c r="O3290" s="12" t="s">
        <v>11940</v>
      </c>
      <c r="P3290" s="12" t="s">
        <v>66</v>
      </c>
      <c r="Q3290" s="12" t="s">
        <v>67</v>
      </c>
      <c r="R3290" s="12" t="s">
        <v>421</v>
      </c>
      <c r="S3290" s="13">
        <v>197804296132</v>
      </c>
      <c r="T3290" s="12" t="s">
        <v>422</v>
      </c>
      <c r="U3290" s="12" t="s">
        <v>60</v>
      </c>
      <c r="V3290" s="12" t="s">
        <v>70</v>
      </c>
      <c r="W3290" s="12" t="s">
        <v>299</v>
      </c>
      <c r="X3290" s="14"/>
      <c r="Y3290" s="14"/>
      <c r="Z3290" s="14"/>
      <c r="AA3290" s="14"/>
      <c r="AB3290" s="14"/>
      <c r="AC3290" s="15">
        <v>13.65</v>
      </c>
      <c r="AD3290" s="15">
        <f>AC3290*AG3290</f>
        <v>13.65</v>
      </c>
      <c r="AE3290" s="15">
        <v>30</v>
      </c>
      <c r="AF3290" s="15">
        <f>AE3290*AG3290</f>
        <v>30</v>
      </c>
      <c r="AG3290" s="16">
        <v>1</v>
      </c>
    </row>
    <row r="3291" spans="1:33" ht="15" customHeight="1" x14ac:dyDescent="0.2">
      <c r="A3291" s="11" t="str">
        <f t="shared" si="1183"/>
        <v>VN000P56O3N1</v>
      </c>
      <c r="B3291" s="12" t="s">
        <v>11941</v>
      </c>
      <c r="C3291" s="12" t="s">
        <v>6577</v>
      </c>
      <c r="D3291" s="12" t="s">
        <v>744</v>
      </c>
      <c r="E3291" s="12" t="s">
        <v>11942</v>
      </c>
      <c r="F3291" s="12" t="s">
        <v>153</v>
      </c>
      <c r="G3291" s="14"/>
      <c r="H3291" s="12" t="s">
        <v>61</v>
      </c>
      <c r="I3291" s="12" t="s">
        <v>230</v>
      </c>
      <c r="J3291" s="12" t="s">
        <v>419</v>
      </c>
      <c r="K3291" s="12" t="s">
        <v>199</v>
      </c>
      <c r="L3291" s="12" t="s">
        <v>83</v>
      </c>
      <c r="M3291" s="12" t="s">
        <v>43</v>
      </c>
      <c r="N3291" s="12" t="s">
        <v>84</v>
      </c>
      <c r="O3291" s="12" t="s">
        <v>11943</v>
      </c>
      <c r="P3291" s="12" t="s">
        <v>66</v>
      </c>
      <c r="Q3291" s="12" t="s">
        <v>67</v>
      </c>
      <c r="R3291" s="12" t="s">
        <v>421</v>
      </c>
      <c r="S3291" s="13">
        <v>197804296309</v>
      </c>
      <c r="T3291" s="12" t="s">
        <v>422</v>
      </c>
      <c r="U3291" s="12" t="s">
        <v>153</v>
      </c>
      <c r="V3291" s="12" t="s">
        <v>70</v>
      </c>
      <c r="W3291" s="12" t="s">
        <v>299</v>
      </c>
      <c r="X3291" s="14"/>
      <c r="Y3291" s="14"/>
      <c r="Z3291" s="14"/>
      <c r="AA3291" s="14"/>
      <c r="AB3291" s="14"/>
      <c r="AC3291" s="15">
        <v>13.65</v>
      </c>
      <c r="AD3291" s="15">
        <f>AC3291*AG3291</f>
        <v>13.65</v>
      </c>
      <c r="AE3291" s="15">
        <v>30</v>
      </c>
      <c r="AF3291" s="15">
        <f>AE3291*AG3291</f>
        <v>30</v>
      </c>
      <c r="AG3291" s="16">
        <v>1</v>
      </c>
    </row>
    <row r="3292" spans="1:33" ht="15" customHeight="1" x14ac:dyDescent="0.2">
      <c r="A3292" s="11" t="str">
        <f t="shared" si="899"/>
        <v>VN000P58EMW1</v>
      </c>
      <c r="B3292" s="12" t="s">
        <v>11944</v>
      </c>
      <c r="C3292" s="12" t="s">
        <v>1888</v>
      </c>
      <c r="D3292" s="12" t="s">
        <v>147</v>
      </c>
      <c r="E3292" s="12" t="s">
        <v>11945</v>
      </c>
      <c r="F3292" s="12" t="s">
        <v>179</v>
      </c>
      <c r="G3292" s="14"/>
      <c r="H3292" s="12" t="s">
        <v>61</v>
      </c>
      <c r="I3292" s="12" t="s">
        <v>230</v>
      </c>
      <c r="J3292" s="12" t="s">
        <v>419</v>
      </c>
      <c r="K3292" s="12" t="s">
        <v>199</v>
      </c>
      <c r="L3292" s="12" t="s">
        <v>83</v>
      </c>
      <c r="M3292" s="12" t="s">
        <v>43</v>
      </c>
      <c r="N3292" s="12" t="s">
        <v>84</v>
      </c>
      <c r="O3292" s="12" t="s">
        <v>11946</v>
      </c>
      <c r="P3292" s="12" t="s">
        <v>66</v>
      </c>
      <c r="Q3292" s="12" t="s">
        <v>67</v>
      </c>
      <c r="R3292" s="12" t="s">
        <v>623</v>
      </c>
      <c r="S3292" s="13">
        <v>197804295906</v>
      </c>
      <c r="T3292" s="12" t="s">
        <v>499</v>
      </c>
      <c r="U3292" s="12" t="s">
        <v>179</v>
      </c>
      <c r="V3292" s="12" t="s">
        <v>70</v>
      </c>
      <c r="W3292" s="12" t="s">
        <v>118</v>
      </c>
      <c r="X3292" s="14"/>
      <c r="Y3292" s="14"/>
      <c r="Z3292" s="14"/>
      <c r="AA3292" s="14"/>
      <c r="AB3292" s="14"/>
      <c r="AC3292" s="15">
        <v>36.4</v>
      </c>
      <c r="AD3292" s="15">
        <f>AC3292*AG3292</f>
        <v>36.4</v>
      </c>
      <c r="AE3292" s="15">
        <v>80</v>
      </c>
      <c r="AF3292" s="15">
        <f>AE3292*AG3292</f>
        <v>80</v>
      </c>
      <c r="AG3292" s="16">
        <v>1</v>
      </c>
    </row>
    <row r="3293" spans="1:33" ht="15" customHeight="1" x14ac:dyDescent="0.2">
      <c r="A3293" s="11" t="str">
        <f>HYPERLINK("https://assets.vans.eu/images/VN000P58EMW-HERO/1","VN000P58EMW1")</f>
        <v>VN000P58EMW1</v>
      </c>
      <c r="B3293" s="12" t="s">
        <v>11947</v>
      </c>
      <c r="C3293" s="12" t="s">
        <v>1888</v>
      </c>
      <c r="D3293" s="12" t="s">
        <v>147</v>
      </c>
      <c r="E3293" s="12" t="s">
        <v>11948</v>
      </c>
      <c r="F3293" s="12" t="s">
        <v>170</v>
      </c>
      <c r="G3293" s="14"/>
      <c r="H3293" s="12" t="s">
        <v>61</v>
      </c>
      <c r="I3293" s="12" t="s">
        <v>230</v>
      </c>
      <c r="J3293" s="12" t="s">
        <v>419</v>
      </c>
      <c r="K3293" s="12" t="s">
        <v>199</v>
      </c>
      <c r="L3293" s="12" t="s">
        <v>83</v>
      </c>
      <c r="M3293" s="12" t="s">
        <v>43</v>
      </c>
      <c r="N3293" s="12" t="s">
        <v>84</v>
      </c>
      <c r="O3293" s="12" t="s">
        <v>11949</v>
      </c>
      <c r="P3293" s="12" t="s">
        <v>66</v>
      </c>
      <c r="Q3293" s="12" t="s">
        <v>67</v>
      </c>
      <c r="R3293" s="12" t="s">
        <v>623</v>
      </c>
      <c r="S3293" s="13">
        <v>197804295982</v>
      </c>
      <c r="T3293" s="12" t="s">
        <v>499</v>
      </c>
      <c r="U3293" s="12" t="s">
        <v>170</v>
      </c>
      <c r="V3293" s="12" t="s">
        <v>70</v>
      </c>
      <c r="W3293" s="12" t="s">
        <v>118</v>
      </c>
      <c r="X3293" s="14"/>
      <c r="Y3293" s="14"/>
      <c r="Z3293" s="14"/>
      <c r="AA3293" s="14"/>
      <c r="AB3293" s="14"/>
      <c r="AC3293" s="15">
        <v>36.4</v>
      </c>
      <c r="AD3293" s="15">
        <f>AC3293*AG3293</f>
        <v>36.4</v>
      </c>
      <c r="AE3293" s="15">
        <v>80</v>
      </c>
      <c r="AF3293" s="15">
        <f>AE3293*AG3293</f>
        <v>80</v>
      </c>
      <c r="AG3293" s="16">
        <v>1</v>
      </c>
    </row>
    <row r="3294" spans="1:33" ht="15" customHeight="1" x14ac:dyDescent="0.2">
      <c r="A3294" s="11" t="str">
        <f t="shared" si="708"/>
        <v>VN000P58O3N1</v>
      </c>
      <c r="B3294" s="12" t="s">
        <v>11950</v>
      </c>
      <c r="C3294" s="12" t="s">
        <v>1888</v>
      </c>
      <c r="D3294" s="12" t="s">
        <v>744</v>
      </c>
      <c r="E3294" s="12" t="s">
        <v>11951</v>
      </c>
      <c r="F3294" s="12" t="s">
        <v>153</v>
      </c>
      <c r="G3294" s="14"/>
      <c r="H3294" s="12" t="s">
        <v>61</v>
      </c>
      <c r="I3294" s="12" t="s">
        <v>230</v>
      </c>
      <c r="J3294" s="12" t="s">
        <v>419</v>
      </c>
      <c r="K3294" s="12" t="s">
        <v>199</v>
      </c>
      <c r="L3294" s="12" t="s">
        <v>83</v>
      </c>
      <c r="M3294" s="12" t="s">
        <v>43</v>
      </c>
      <c r="N3294" s="12" t="s">
        <v>84</v>
      </c>
      <c r="O3294" s="12" t="s">
        <v>11952</v>
      </c>
      <c r="P3294" s="12" t="s">
        <v>66</v>
      </c>
      <c r="Q3294" s="12" t="s">
        <v>67</v>
      </c>
      <c r="R3294" s="12" t="s">
        <v>623</v>
      </c>
      <c r="S3294" s="13">
        <v>197804296378</v>
      </c>
      <c r="T3294" s="12" t="s">
        <v>499</v>
      </c>
      <c r="U3294" s="12" t="s">
        <v>153</v>
      </c>
      <c r="V3294" s="12" t="s">
        <v>70</v>
      </c>
      <c r="W3294" s="12" t="s">
        <v>299</v>
      </c>
      <c r="X3294" s="14"/>
      <c r="Y3294" s="14"/>
      <c r="Z3294" s="14"/>
      <c r="AA3294" s="14"/>
      <c r="AB3294" s="14"/>
      <c r="AC3294" s="15">
        <v>36.4</v>
      </c>
      <c r="AD3294" s="15">
        <f>AC3294*AG3294</f>
        <v>36.4</v>
      </c>
      <c r="AE3294" s="15">
        <v>80</v>
      </c>
      <c r="AF3294" s="15">
        <f>AE3294*AG3294</f>
        <v>80</v>
      </c>
      <c r="AG3294" s="16">
        <v>1</v>
      </c>
    </row>
    <row r="3295" spans="1:33" ht="15" customHeight="1" x14ac:dyDescent="0.2">
      <c r="A3295" s="11" t="str">
        <f t="shared" ref="A3295:A3296" si="1184">HYPERLINK("https://assets.vans.eu/images/VN000P58ZUJ-HERO/1","VN000P58ZUJ1")</f>
        <v>VN000P58ZUJ1</v>
      </c>
      <c r="B3295" s="12" t="s">
        <v>11953</v>
      </c>
      <c r="C3295" s="12" t="s">
        <v>1888</v>
      </c>
      <c r="D3295" s="12" t="s">
        <v>2899</v>
      </c>
      <c r="E3295" s="12" t="s">
        <v>11954</v>
      </c>
      <c r="F3295" s="12" t="s">
        <v>170</v>
      </c>
      <c r="G3295" s="14"/>
      <c r="H3295" s="12" t="s">
        <v>61</v>
      </c>
      <c r="I3295" s="12" t="s">
        <v>230</v>
      </c>
      <c r="J3295" s="12" t="s">
        <v>419</v>
      </c>
      <c r="K3295" s="12" t="s">
        <v>199</v>
      </c>
      <c r="L3295" s="12" t="s">
        <v>83</v>
      </c>
      <c r="M3295" s="12" t="s">
        <v>43</v>
      </c>
      <c r="N3295" s="12" t="s">
        <v>44</v>
      </c>
      <c r="O3295" s="12" t="s">
        <v>11955</v>
      </c>
      <c r="P3295" s="12" t="s">
        <v>66</v>
      </c>
      <c r="Q3295" s="12" t="s">
        <v>67</v>
      </c>
      <c r="R3295" s="12" t="s">
        <v>623</v>
      </c>
      <c r="S3295" s="13">
        <v>197803419921</v>
      </c>
      <c r="T3295" s="12" t="s">
        <v>499</v>
      </c>
      <c r="U3295" s="12" t="s">
        <v>170</v>
      </c>
      <c r="V3295" s="12" t="s">
        <v>423</v>
      </c>
      <c r="W3295" s="12" t="s">
        <v>598</v>
      </c>
      <c r="X3295" s="13">
        <v>0</v>
      </c>
      <c r="Y3295" s="12" t="s">
        <v>91</v>
      </c>
      <c r="Z3295" s="12" t="s">
        <v>108</v>
      </c>
      <c r="AA3295" s="13">
        <v>0</v>
      </c>
      <c r="AB3295" s="12" t="s">
        <v>616</v>
      </c>
      <c r="AC3295" s="15">
        <v>36.4</v>
      </c>
      <c r="AD3295" s="15">
        <f>AC3295*AG3295</f>
        <v>36.4</v>
      </c>
      <c r="AE3295" s="15">
        <v>80</v>
      </c>
      <c r="AF3295" s="15">
        <f>AE3295*AG3295</f>
        <v>80</v>
      </c>
      <c r="AG3295" s="16">
        <v>1</v>
      </c>
    </row>
    <row r="3296" spans="1:33" ht="15" customHeight="1" x14ac:dyDescent="0.2">
      <c r="A3296" s="11" t="str">
        <f t="shared" si="1184"/>
        <v>VN000P58ZUJ1</v>
      </c>
      <c r="B3296" s="12" t="s">
        <v>11956</v>
      </c>
      <c r="C3296" s="12" t="s">
        <v>1888</v>
      </c>
      <c r="D3296" s="12" t="s">
        <v>2899</v>
      </c>
      <c r="E3296" s="12" t="s">
        <v>11957</v>
      </c>
      <c r="F3296" s="12" t="s">
        <v>153</v>
      </c>
      <c r="G3296" s="14"/>
      <c r="H3296" s="12" t="s">
        <v>61</v>
      </c>
      <c r="I3296" s="12" t="s">
        <v>230</v>
      </c>
      <c r="J3296" s="12" t="s">
        <v>419</v>
      </c>
      <c r="K3296" s="12" t="s">
        <v>199</v>
      </c>
      <c r="L3296" s="12" t="s">
        <v>83</v>
      </c>
      <c r="M3296" s="12" t="s">
        <v>43</v>
      </c>
      <c r="N3296" s="12" t="s">
        <v>44</v>
      </c>
      <c r="O3296" s="12" t="s">
        <v>11958</v>
      </c>
      <c r="P3296" s="12" t="s">
        <v>66</v>
      </c>
      <c r="Q3296" s="12" t="s">
        <v>67</v>
      </c>
      <c r="R3296" s="12" t="s">
        <v>623</v>
      </c>
      <c r="S3296" s="13">
        <v>197803420354</v>
      </c>
      <c r="T3296" s="12" t="s">
        <v>499</v>
      </c>
      <c r="U3296" s="12" t="s">
        <v>153</v>
      </c>
      <c r="V3296" s="12" t="s">
        <v>423</v>
      </c>
      <c r="W3296" s="12" t="s">
        <v>598</v>
      </c>
      <c r="X3296" s="13">
        <v>0</v>
      </c>
      <c r="Y3296" s="12" t="s">
        <v>91</v>
      </c>
      <c r="Z3296" s="12" t="s">
        <v>108</v>
      </c>
      <c r="AA3296" s="13">
        <v>0</v>
      </c>
      <c r="AB3296" s="12" t="s">
        <v>616</v>
      </c>
      <c r="AC3296" s="15">
        <v>36.4</v>
      </c>
      <c r="AD3296" s="15">
        <f>AC3296*AG3296</f>
        <v>36.4</v>
      </c>
      <c r="AE3296" s="15">
        <v>80</v>
      </c>
      <c r="AF3296" s="15">
        <f>AE3296*AG3296</f>
        <v>80</v>
      </c>
      <c r="AG3296" s="16">
        <v>1</v>
      </c>
    </row>
    <row r="3297" spans="1:33" ht="15" customHeight="1" x14ac:dyDescent="0.2">
      <c r="A3297" s="11" t="str">
        <f>HYPERLINK("https://assets.vans.eu/images/VN000P59E2Z-HERO/1","VN000P59E2Z1")</f>
        <v>VN000P59E2Z1</v>
      </c>
      <c r="B3297" s="12" t="s">
        <v>11959</v>
      </c>
      <c r="C3297" s="12" t="s">
        <v>3419</v>
      </c>
      <c r="D3297" s="12" t="s">
        <v>3420</v>
      </c>
      <c r="E3297" s="12" t="s">
        <v>11960</v>
      </c>
      <c r="F3297" s="12" t="s">
        <v>621</v>
      </c>
      <c r="G3297" s="14"/>
      <c r="H3297" s="12" t="s">
        <v>61</v>
      </c>
      <c r="I3297" s="12" t="s">
        <v>230</v>
      </c>
      <c r="J3297" s="12" t="s">
        <v>419</v>
      </c>
      <c r="K3297" s="12" t="s">
        <v>199</v>
      </c>
      <c r="L3297" s="12" t="s">
        <v>83</v>
      </c>
      <c r="M3297" s="12" t="s">
        <v>43</v>
      </c>
      <c r="N3297" s="12" t="s">
        <v>44</v>
      </c>
      <c r="O3297" s="12" t="s">
        <v>11961</v>
      </c>
      <c r="P3297" s="12" t="s">
        <v>66</v>
      </c>
      <c r="Q3297" s="12" t="s">
        <v>67</v>
      </c>
      <c r="R3297" s="12" t="s">
        <v>623</v>
      </c>
      <c r="S3297" s="13">
        <v>197803420811</v>
      </c>
      <c r="T3297" s="12" t="s">
        <v>499</v>
      </c>
      <c r="U3297" s="12" t="s">
        <v>621</v>
      </c>
      <c r="V3297" s="12" t="s">
        <v>423</v>
      </c>
      <c r="W3297" s="12" t="s">
        <v>262</v>
      </c>
      <c r="X3297" s="13">
        <v>0</v>
      </c>
      <c r="Y3297" s="12" t="s">
        <v>91</v>
      </c>
      <c r="Z3297" s="12" t="s">
        <v>108</v>
      </c>
      <c r="AA3297" s="13">
        <v>0</v>
      </c>
      <c r="AB3297" s="12" t="s">
        <v>616</v>
      </c>
      <c r="AC3297" s="15">
        <v>31.85</v>
      </c>
      <c r="AD3297" s="15">
        <f>AC3297*AG3297</f>
        <v>31.85</v>
      </c>
      <c r="AE3297" s="15">
        <v>70</v>
      </c>
      <c r="AF3297" s="15">
        <f>AE3297*AG3297</f>
        <v>70</v>
      </c>
      <c r="AG3297" s="16">
        <v>1</v>
      </c>
    </row>
    <row r="3298" spans="1:33" ht="15" customHeight="1" x14ac:dyDescent="0.2">
      <c r="A3298" s="11" t="str">
        <f t="shared" ref="A3298:A3299" si="1185">HYPERLINK("https://assets.vans.eu/images/VN000P5ABRD-HERO/1","VN000P5ABRD1")</f>
        <v>VN000P5ABRD1</v>
      </c>
      <c r="B3298" s="12" t="s">
        <v>11962</v>
      </c>
      <c r="C3298" s="12" t="s">
        <v>11963</v>
      </c>
      <c r="D3298" s="12" t="s">
        <v>590</v>
      </c>
      <c r="E3298" s="12" t="s">
        <v>11964</v>
      </c>
      <c r="F3298" s="12" t="s">
        <v>170</v>
      </c>
      <c r="G3298" s="14"/>
      <c r="H3298" s="12" t="s">
        <v>61</v>
      </c>
      <c r="I3298" s="12" t="s">
        <v>230</v>
      </c>
      <c r="J3298" s="12" t="s">
        <v>419</v>
      </c>
      <c r="K3298" s="12" t="s">
        <v>199</v>
      </c>
      <c r="L3298" s="12" t="s">
        <v>83</v>
      </c>
      <c r="M3298" s="12" t="s">
        <v>43</v>
      </c>
      <c r="N3298" s="12" t="s">
        <v>84</v>
      </c>
      <c r="O3298" s="12" t="s">
        <v>11965</v>
      </c>
      <c r="P3298" s="12" t="s">
        <v>66</v>
      </c>
      <c r="Q3298" s="12" t="s">
        <v>67</v>
      </c>
      <c r="R3298" s="12" t="s">
        <v>623</v>
      </c>
      <c r="S3298" s="13">
        <v>197804296453</v>
      </c>
      <c r="T3298" s="12" t="s">
        <v>499</v>
      </c>
      <c r="U3298" s="12" t="s">
        <v>170</v>
      </c>
      <c r="V3298" s="12" t="s">
        <v>70</v>
      </c>
      <c r="W3298" s="12" t="s">
        <v>262</v>
      </c>
      <c r="X3298" s="14"/>
      <c r="Y3298" s="14"/>
      <c r="Z3298" s="14"/>
      <c r="AA3298" s="14"/>
      <c r="AB3298" s="14"/>
      <c r="AC3298" s="15">
        <v>38.65</v>
      </c>
      <c r="AD3298" s="15">
        <f>AC3298*AG3298</f>
        <v>38.65</v>
      </c>
      <c r="AE3298" s="15">
        <v>85</v>
      </c>
      <c r="AF3298" s="15">
        <f>AE3298*AG3298</f>
        <v>85</v>
      </c>
      <c r="AG3298" s="16">
        <v>1</v>
      </c>
    </row>
    <row r="3299" spans="1:33" ht="15" customHeight="1" x14ac:dyDescent="0.2">
      <c r="A3299" s="11" t="str">
        <f t="shared" si="1185"/>
        <v>VN000P5ABRD1</v>
      </c>
      <c r="B3299" s="12" t="s">
        <v>11966</v>
      </c>
      <c r="C3299" s="12" t="s">
        <v>11963</v>
      </c>
      <c r="D3299" s="12" t="s">
        <v>590</v>
      </c>
      <c r="E3299" s="12" t="s">
        <v>11967</v>
      </c>
      <c r="F3299" s="12" t="s">
        <v>153</v>
      </c>
      <c r="G3299" s="14"/>
      <c r="H3299" s="12" t="s">
        <v>61</v>
      </c>
      <c r="I3299" s="12" t="s">
        <v>230</v>
      </c>
      <c r="J3299" s="12" t="s">
        <v>419</v>
      </c>
      <c r="K3299" s="12" t="s">
        <v>199</v>
      </c>
      <c r="L3299" s="12" t="s">
        <v>83</v>
      </c>
      <c r="M3299" s="12" t="s">
        <v>43</v>
      </c>
      <c r="N3299" s="12" t="s">
        <v>84</v>
      </c>
      <c r="O3299" s="12" t="s">
        <v>11968</v>
      </c>
      <c r="P3299" s="12" t="s">
        <v>66</v>
      </c>
      <c r="Q3299" s="12" t="s">
        <v>67</v>
      </c>
      <c r="R3299" s="12" t="s">
        <v>623</v>
      </c>
      <c r="S3299" s="13">
        <v>197804297009</v>
      </c>
      <c r="T3299" s="12" t="s">
        <v>499</v>
      </c>
      <c r="U3299" s="12" t="s">
        <v>153</v>
      </c>
      <c r="V3299" s="12" t="s">
        <v>70</v>
      </c>
      <c r="W3299" s="12" t="s">
        <v>262</v>
      </c>
      <c r="X3299" s="14"/>
      <c r="Y3299" s="14"/>
      <c r="Z3299" s="14"/>
      <c r="AA3299" s="14"/>
      <c r="AB3299" s="14"/>
      <c r="AC3299" s="15">
        <v>38.65</v>
      </c>
      <c r="AD3299" s="15">
        <f>AC3299*AG3299</f>
        <v>38.65</v>
      </c>
      <c r="AE3299" s="15">
        <v>85</v>
      </c>
      <c r="AF3299" s="15">
        <f>AE3299*AG3299</f>
        <v>85</v>
      </c>
      <c r="AG3299" s="16">
        <v>1</v>
      </c>
    </row>
    <row r="3300" spans="1:33" ht="15" customHeight="1" x14ac:dyDescent="0.2">
      <c r="A3300" s="11" t="str">
        <f>HYPERLINK("https://assets.vans.eu/images/VN000P5C02F-HERO/1","VN000P5C02F1")</f>
        <v>VN000P5C02F1</v>
      </c>
      <c r="B3300" s="12" t="s">
        <v>11969</v>
      </c>
      <c r="C3300" s="12" t="s">
        <v>11970</v>
      </c>
      <c r="D3300" s="12" t="s">
        <v>857</v>
      </c>
      <c r="E3300" s="12" t="s">
        <v>11971</v>
      </c>
      <c r="F3300" s="12" t="s">
        <v>179</v>
      </c>
      <c r="G3300" s="14"/>
      <c r="H3300" s="12" t="s">
        <v>61</v>
      </c>
      <c r="I3300" s="12" t="s">
        <v>230</v>
      </c>
      <c r="J3300" s="12" t="s">
        <v>419</v>
      </c>
      <c r="K3300" s="12" t="s">
        <v>199</v>
      </c>
      <c r="L3300" s="14"/>
      <c r="M3300" s="12" t="s">
        <v>43</v>
      </c>
      <c r="N3300" s="12" t="s">
        <v>44</v>
      </c>
      <c r="O3300" s="12" t="s">
        <v>11972</v>
      </c>
      <c r="P3300" s="12" t="s">
        <v>66</v>
      </c>
      <c r="Q3300" s="12" t="s">
        <v>67</v>
      </c>
      <c r="R3300" s="12" t="s">
        <v>623</v>
      </c>
      <c r="S3300" s="13">
        <v>197643541301</v>
      </c>
      <c r="T3300" s="12" t="s">
        <v>49</v>
      </c>
      <c r="U3300" s="12" t="s">
        <v>179</v>
      </c>
      <c r="V3300" s="12" t="s">
        <v>4579</v>
      </c>
      <c r="W3300" s="12" t="s">
        <v>455</v>
      </c>
      <c r="X3300" s="13">
        <v>0</v>
      </c>
      <c r="Y3300" s="12" t="s">
        <v>53</v>
      </c>
      <c r="Z3300" s="12" t="s">
        <v>108</v>
      </c>
      <c r="AA3300" s="13">
        <v>0</v>
      </c>
      <c r="AB3300" s="13">
        <v>0</v>
      </c>
      <c r="AC3300" s="15">
        <v>36.4</v>
      </c>
      <c r="AD3300" s="15">
        <f>AC3300*AG3300</f>
        <v>36.4</v>
      </c>
      <c r="AE3300" s="15">
        <v>80</v>
      </c>
      <c r="AF3300" s="15">
        <f>AE3300*AG3300</f>
        <v>80</v>
      </c>
      <c r="AG3300" s="16">
        <v>1</v>
      </c>
    </row>
    <row r="3301" spans="1:33" ht="15" customHeight="1" x14ac:dyDescent="0.2">
      <c r="A3301" s="11" t="str">
        <f>HYPERLINK("https://assets.vans.eu/images/VN000P5CBLK-HERO/1","VN000P5CBLK1")</f>
        <v>VN000P5CBLK1</v>
      </c>
      <c r="B3301" s="12" t="s">
        <v>11973</v>
      </c>
      <c r="C3301" s="12" t="s">
        <v>11970</v>
      </c>
      <c r="D3301" s="12" t="s">
        <v>76</v>
      </c>
      <c r="E3301" s="12" t="s">
        <v>11974</v>
      </c>
      <c r="F3301" s="12" t="s">
        <v>179</v>
      </c>
      <c r="G3301" s="14"/>
      <c r="H3301" s="12" t="s">
        <v>61</v>
      </c>
      <c r="I3301" s="12" t="s">
        <v>230</v>
      </c>
      <c r="J3301" s="12" t="s">
        <v>419</v>
      </c>
      <c r="K3301" s="12" t="s">
        <v>199</v>
      </c>
      <c r="L3301" s="14"/>
      <c r="M3301" s="12" t="s">
        <v>43</v>
      </c>
      <c r="N3301" s="12" t="s">
        <v>44</v>
      </c>
      <c r="O3301" s="12" t="s">
        <v>11975</v>
      </c>
      <c r="P3301" s="12" t="s">
        <v>66</v>
      </c>
      <c r="Q3301" s="12" t="s">
        <v>67</v>
      </c>
      <c r="R3301" s="12" t="s">
        <v>623</v>
      </c>
      <c r="S3301" s="13">
        <v>197643541288</v>
      </c>
      <c r="T3301" s="12" t="s">
        <v>49</v>
      </c>
      <c r="U3301" s="12" t="s">
        <v>179</v>
      </c>
      <c r="V3301" s="12" t="s">
        <v>860</v>
      </c>
      <c r="W3301" s="12" t="s">
        <v>51</v>
      </c>
      <c r="X3301" s="13">
        <v>0</v>
      </c>
      <c r="Y3301" s="12" t="s">
        <v>53</v>
      </c>
      <c r="Z3301" s="12" t="s">
        <v>108</v>
      </c>
      <c r="AA3301" s="13">
        <v>0</v>
      </c>
      <c r="AB3301" s="13">
        <v>0</v>
      </c>
      <c r="AC3301" s="15">
        <v>36.4</v>
      </c>
      <c r="AD3301" s="15">
        <f>AC3301*AG3301</f>
        <v>36.4</v>
      </c>
      <c r="AE3301" s="15">
        <v>80</v>
      </c>
      <c r="AF3301" s="15">
        <f>AE3301*AG3301</f>
        <v>80</v>
      </c>
      <c r="AG3301" s="16">
        <v>1</v>
      </c>
    </row>
    <row r="3302" spans="1:33" ht="15" customHeight="1" x14ac:dyDescent="0.2">
      <c r="A3302" s="11" t="str">
        <f t="shared" si="900"/>
        <v>VN000P5D02F1</v>
      </c>
      <c r="B3302" s="12" t="s">
        <v>11976</v>
      </c>
      <c r="C3302" s="12" t="s">
        <v>908</v>
      </c>
      <c r="D3302" s="12" t="s">
        <v>857</v>
      </c>
      <c r="E3302" s="12" t="s">
        <v>11977</v>
      </c>
      <c r="F3302" s="12" t="s">
        <v>179</v>
      </c>
      <c r="G3302" s="14"/>
      <c r="H3302" s="12" t="s">
        <v>61</v>
      </c>
      <c r="I3302" s="12" t="s">
        <v>230</v>
      </c>
      <c r="J3302" s="12" t="s">
        <v>419</v>
      </c>
      <c r="K3302" s="12" t="s">
        <v>199</v>
      </c>
      <c r="L3302" s="14"/>
      <c r="M3302" s="12" t="s">
        <v>43</v>
      </c>
      <c r="N3302" s="12" t="s">
        <v>44</v>
      </c>
      <c r="O3302" s="12" t="s">
        <v>11978</v>
      </c>
      <c r="P3302" s="12" t="s">
        <v>66</v>
      </c>
      <c r="Q3302" s="12" t="s">
        <v>67</v>
      </c>
      <c r="R3302" s="12" t="s">
        <v>623</v>
      </c>
      <c r="S3302" s="13">
        <v>197643541318</v>
      </c>
      <c r="T3302" s="12" t="s">
        <v>49</v>
      </c>
      <c r="U3302" s="12" t="s">
        <v>179</v>
      </c>
      <c r="V3302" s="12" t="s">
        <v>860</v>
      </c>
      <c r="W3302" s="12" t="s">
        <v>455</v>
      </c>
      <c r="X3302" s="13">
        <v>0</v>
      </c>
      <c r="Y3302" s="12" t="s">
        <v>53</v>
      </c>
      <c r="Z3302" s="12" t="s">
        <v>108</v>
      </c>
      <c r="AA3302" s="13">
        <v>0</v>
      </c>
      <c r="AB3302" s="13">
        <v>0</v>
      </c>
      <c r="AC3302" s="15">
        <v>34.1</v>
      </c>
      <c r="AD3302" s="15">
        <f>AC3302*AG3302</f>
        <v>34.1</v>
      </c>
      <c r="AE3302" s="15">
        <v>75</v>
      </c>
      <c r="AF3302" s="15">
        <f>AE3302*AG3302</f>
        <v>75</v>
      </c>
      <c r="AG3302" s="16">
        <v>1</v>
      </c>
    </row>
    <row r="3303" spans="1:33" ht="15" customHeight="1" x14ac:dyDescent="0.2">
      <c r="A3303" s="11" t="str">
        <f>HYPERLINK("https://assets.vans.eu/images/VN000P5FBLK-HERO/1","VN000P5FBLK1")</f>
        <v>VN000P5FBLK1</v>
      </c>
      <c r="B3303" s="12" t="s">
        <v>11979</v>
      </c>
      <c r="C3303" s="12" t="s">
        <v>3424</v>
      </c>
      <c r="D3303" s="12" t="s">
        <v>76</v>
      </c>
      <c r="E3303" s="12" t="s">
        <v>11980</v>
      </c>
      <c r="F3303" s="12" t="s">
        <v>179</v>
      </c>
      <c r="G3303" s="14"/>
      <c r="H3303" s="12" t="s">
        <v>61</v>
      </c>
      <c r="I3303" s="12" t="s">
        <v>230</v>
      </c>
      <c r="J3303" s="12" t="s">
        <v>231</v>
      </c>
      <c r="K3303" s="12" t="s">
        <v>199</v>
      </c>
      <c r="L3303" s="14"/>
      <c r="M3303" s="12" t="s">
        <v>43</v>
      </c>
      <c r="N3303" s="12" t="s">
        <v>44</v>
      </c>
      <c r="O3303" s="12" t="s">
        <v>11981</v>
      </c>
      <c r="P3303" s="12" t="s">
        <v>66</v>
      </c>
      <c r="Q3303" s="12" t="s">
        <v>233</v>
      </c>
      <c r="R3303" s="12" t="s">
        <v>361</v>
      </c>
      <c r="S3303" s="13">
        <v>197643541448</v>
      </c>
      <c r="T3303" s="12" t="s">
        <v>49</v>
      </c>
      <c r="U3303" s="12" t="s">
        <v>179</v>
      </c>
      <c r="V3303" s="12" t="s">
        <v>3427</v>
      </c>
      <c r="W3303" s="12" t="s">
        <v>51</v>
      </c>
      <c r="X3303" s="13">
        <v>0</v>
      </c>
      <c r="Y3303" s="12" t="s">
        <v>53</v>
      </c>
      <c r="Z3303" s="12" t="s">
        <v>108</v>
      </c>
      <c r="AA3303" s="13">
        <v>0</v>
      </c>
      <c r="AB3303" s="13">
        <v>0</v>
      </c>
      <c r="AC3303" s="15">
        <v>34.1</v>
      </c>
      <c r="AD3303" s="15">
        <f>AC3303*AG3303</f>
        <v>34.1</v>
      </c>
      <c r="AE3303" s="15">
        <v>75</v>
      </c>
      <c r="AF3303" s="15">
        <f>AE3303*AG3303</f>
        <v>75</v>
      </c>
      <c r="AG3303" s="16">
        <v>1</v>
      </c>
    </row>
    <row r="3304" spans="1:33" ht="15" customHeight="1" x14ac:dyDescent="0.2">
      <c r="A3304" s="11" t="str">
        <f>HYPERLINK("https://assets.vans.eu/images/VN000P5PBRD-HERO/1","VN000P5PBRD1")</f>
        <v>VN000P5PBRD1</v>
      </c>
      <c r="B3304" s="12" t="s">
        <v>11982</v>
      </c>
      <c r="C3304" s="12" t="s">
        <v>11983</v>
      </c>
      <c r="D3304" s="12" t="s">
        <v>590</v>
      </c>
      <c r="E3304" s="12" t="s">
        <v>11984</v>
      </c>
      <c r="F3304" s="12" t="s">
        <v>403</v>
      </c>
      <c r="G3304" s="14"/>
      <c r="H3304" s="12" t="s">
        <v>61</v>
      </c>
      <c r="I3304" s="12" t="s">
        <v>289</v>
      </c>
      <c r="J3304" s="12" t="s">
        <v>706</v>
      </c>
      <c r="K3304" s="12" t="s">
        <v>100</v>
      </c>
      <c r="L3304" s="12" t="s">
        <v>83</v>
      </c>
      <c r="M3304" s="12" t="s">
        <v>43</v>
      </c>
      <c r="N3304" s="12" t="s">
        <v>84</v>
      </c>
      <c r="O3304" s="12" t="s">
        <v>11985</v>
      </c>
      <c r="P3304" s="12" t="s">
        <v>66</v>
      </c>
      <c r="Q3304" s="12" t="s">
        <v>67</v>
      </c>
      <c r="R3304" s="12" t="s">
        <v>708</v>
      </c>
      <c r="S3304" s="13">
        <v>197804296651</v>
      </c>
      <c r="T3304" s="12" t="s">
        <v>69</v>
      </c>
      <c r="U3304" s="12" t="s">
        <v>403</v>
      </c>
      <c r="V3304" s="12" t="s">
        <v>70</v>
      </c>
      <c r="W3304" s="12" t="s">
        <v>262</v>
      </c>
      <c r="X3304" s="14"/>
      <c r="Y3304" s="14"/>
      <c r="Z3304" s="14"/>
      <c r="AA3304" s="14"/>
      <c r="AB3304" s="14"/>
      <c r="AC3304" s="15">
        <v>34.1</v>
      </c>
      <c r="AD3304" s="15">
        <f>AC3304*AG3304</f>
        <v>34.1</v>
      </c>
      <c r="AE3304" s="15">
        <v>75</v>
      </c>
      <c r="AF3304" s="15">
        <f>AE3304*AG3304</f>
        <v>75</v>
      </c>
      <c r="AG3304" s="16">
        <v>1</v>
      </c>
    </row>
    <row r="3305" spans="1:33" ht="15" customHeight="1" x14ac:dyDescent="0.2">
      <c r="A3305" s="11" t="str">
        <f>HYPERLINK("https://assets.vans.eu/images/VN000P5QO3N-HERO/1","VN000P5QO3N1")</f>
        <v>VN000P5QO3N1</v>
      </c>
      <c r="B3305" s="12" t="s">
        <v>11986</v>
      </c>
      <c r="C3305" s="12" t="s">
        <v>1892</v>
      </c>
      <c r="D3305" s="12" t="s">
        <v>744</v>
      </c>
      <c r="E3305" s="12" t="s">
        <v>11987</v>
      </c>
      <c r="F3305" s="12" t="s">
        <v>179</v>
      </c>
      <c r="G3305" s="14"/>
      <c r="H3305" s="12" t="s">
        <v>61</v>
      </c>
      <c r="I3305" s="12" t="s">
        <v>289</v>
      </c>
      <c r="J3305" s="12" t="s">
        <v>706</v>
      </c>
      <c r="K3305" s="12" t="s">
        <v>100</v>
      </c>
      <c r="L3305" s="12" t="s">
        <v>83</v>
      </c>
      <c r="M3305" s="12" t="s">
        <v>43</v>
      </c>
      <c r="N3305" s="12" t="s">
        <v>84</v>
      </c>
      <c r="O3305" s="12" t="s">
        <v>11988</v>
      </c>
      <c r="P3305" s="12" t="s">
        <v>66</v>
      </c>
      <c r="Q3305" s="12" t="s">
        <v>67</v>
      </c>
      <c r="R3305" s="12" t="s">
        <v>1146</v>
      </c>
      <c r="S3305" s="13">
        <v>197804296439</v>
      </c>
      <c r="T3305" s="12" t="s">
        <v>499</v>
      </c>
      <c r="U3305" s="12" t="s">
        <v>179</v>
      </c>
      <c r="V3305" s="12" t="s">
        <v>70</v>
      </c>
      <c r="W3305" s="12" t="s">
        <v>299</v>
      </c>
      <c r="X3305" s="14"/>
      <c r="Y3305" s="14"/>
      <c r="Z3305" s="14"/>
      <c r="AA3305" s="14"/>
      <c r="AB3305" s="14"/>
      <c r="AC3305" s="15">
        <v>13.65</v>
      </c>
      <c r="AD3305" s="15">
        <f>AC3305*AG3305</f>
        <v>13.65</v>
      </c>
      <c r="AE3305" s="15">
        <v>30</v>
      </c>
      <c r="AF3305" s="15">
        <f>AE3305*AG3305</f>
        <v>30</v>
      </c>
      <c r="AG3305" s="16">
        <v>1</v>
      </c>
    </row>
    <row r="3306" spans="1:33" ht="15" customHeight="1" x14ac:dyDescent="0.2">
      <c r="A3306" s="11" t="str">
        <f t="shared" ref="A3306:A3307" si="1186">HYPERLINK("https://assets.vans.eu/images/VN000P5RBLK-HERO/1","VN000P5RBLK1")</f>
        <v>VN000P5RBLK1</v>
      </c>
      <c r="B3306" s="12" t="s">
        <v>11989</v>
      </c>
      <c r="C3306" s="12" t="s">
        <v>8281</v>
      </c>
      <c r="D3306" s="12" t="s">
        <v>76</v>
      </c>
      <c r="E3306" s="12" t="s">
        <v>11990</v>
      </c>
      <c r="F3306" s="12" t="s">
        <v>179</v>
      </c>
      <c r="G3306" s="14"/>
      <c r="H3306" s="12" t="s">
        <v>61</v>
      </c>
      <c r="I3306" s="12" t="s">
        <v>62</v>
      </c>
      <c r="J3306" s="12" t="s">
        <v>63</v>
      </c>
      <c r="K3306" s="12" t="s">
        <v>1022</v>
      </c>
      <c r="L3306" s="12" t="s">
        <v>83</v>
      </c>
      <c r="M3306" s="12" t="s">
        <v>43</v>
      </c>
      <c r="N3306" s="12" t="s">
        <v>44</v>
      </c>
      <c r="O3306" s="12" t="s">
        <v>11991</v>
      </c>
      <c r="P3306" s="12" t="s">
        <v>66</v>
      </c>
      <c r="Q3306" s="12" t="s">
        <v>67</v>
      </c>
      <c r="R3306" s="12" t="s">
        <v>68</v>
      </c>
      <c r="S3306" s="13">
        <v>197803406709</v>
      </c>
      <c r="T3306" s="12" t="s">
        <v>69</v>
      </c>
      <c r="U3306" s="12" t="s">
        <v>179</v>
      </c>
      <c r="V3306" s="12" t="s">
        <v>423</v>
      </c>
      <c r="W3306" s="12" t="s">
        <v>51</v>
      </c>
      <c r="X3306" s="13">
        <v>0</v>
      </c>
      <c r="Y3306" s="12" t="s">
        <v>91</v>
      </c>
      <c r="Z3306" s="12" t="s">
        <v>108</v>
      </c>
      <c r="AA3306" s="13">
        <v>0</v>
      </c>
      <c r="AB3306" s="12" t="s">
        <v>616</v>
      </c>
      <c r="AC3306" s="15">
        <v>11.85</v>
      </c>
      <c r="AD3306" s="15">
        <f>AC3306*AG3306</f>
        <v>11.85</v>
      </c>
      <c r="AE3306" s="15">
        <v>26</v>
      </c>
      <c r="AF3306" s="15">
        <f>AE3306*AG3306</f>
        <v>26</v>
      </c>
      <c r="AG3306" s="16">
        <v>1</v>
      </c>
    </row>
    <row r="3307" spans="1:33" ht="15" customHeight="1" x14ac:dyDescent="0.2">
      <c r="A3307" s="11" t="str">
        <f t="shared" si="1186"/>
        <v>VN000P5RBLK1</v>
      </c>
      <c r="B3307" s="12" t="s">
        <v>11992</v>
      </c>
      <c r="C3307" s="12" t="s">
        <v>8281</v>
      </c>
      <c r="D3307" s="12" t="s">
        <v>76</v>
      </c>
      <c r="E3307" s="12" t="s">
        <v>11993</v>
      </c>
      <c r="F3307" s="12" t="s">
        <v>60</v>
      </c>
      <c r="G3307" s="14"/>
      <c r="H3307" s="12" t="s">
        <v>61</v>
      </c>
      <c r="I3307" s="12" t="s">
        <v>62</v>
      </c>
      <c r="J3307" s="12" t="s">
        <v>63</v>
      </c>
      <c r="K3307" s="12" t="s">
        <v>1022</v>
      </c>
      <c r="L3307" s="12" t="s">
        <v>83</v>
      </c>
      <c r="M3307" s="12" t="s">
        <v>43</v>
      </c>
      <c r="N3307" s="12" t="s">
        <v>44</v>
      </c>
      <c r="O3307" s="12" t="s">
        <v>11994</v>
      </c>
      <c r="P3307" s="12" t="s">
        <v>66</v>
      </c>
      <c r="Q3307" s="12" t="s">
        <v>67</v>
      </c>
      <c r="R3307" s="12" t="s">
        <v>68</v>
      </c>
      <c r="S3307" s="13">
        <v>197803406778</v>
      </c>
      <c r="T3307" s="12" t="s">
        <v>69</v>
      </c>
      <c r="U3307" s="12" t="s">
        <v>60</v>
      </c>
      <c r="V3307" s="12" t="s">
        <v>423</v>
      </c>
      <c r="W3307" s="12" t="s">
        <v>51</v>
      </c>
      <c r="X3307" s="13">
        <v>0</v>
      </c>
      <c r="Y3307" s="12" t="s">
        <v>91</v>
      </c>
      <c r="Z3307" s="12" t="s">
        <v>108</v>
      </c>
      <c r="AA3307" s="13">
        <v>0</v>
      </c>
      <c r="AB3307" s="12" t="s">
        <v>616</v>
      </c>
      <c r="AC3307" s="15">
        <v>11.85</v>
      </c>
      <c r="AD3307" s="15">
        <f>AC3307*AG3307</f>
        <v>11.85</v>
      </c>
      <c r="AE3307" s="15">
        <v>26</v>
      </c>
      <c r="AF3307" s="15">
        <f>AE3307*AG3307</f>
        <v>26</v>
      </c>
      <c r="AG3307" s="16">
        <v>1</v>
      </c>
    </row>
    <row r="3308" spans="1:33" ht="15" customHeight="1" x14ac:dyDescent="0.2">
      <c r="A3308" s="11" t="str">
        <f t="shared" si="709"/>
        <v>VN000P5S14A1</v>
      </c>
      <c r="B3308" s="12" t="s">
        <v>11995</v>
      </c>
      <c r="C3308" s="12" t="s">
        <v>5376</v>
      </c>
      <c r="D3308" s="12" t="s">
        <v>1932</v>
      </c>
      <c r="E3308" s="12" t="s">
        <v>11996</v>
      </c>
      <c r="F3308" s="12" t="s">
        <v>60</v>
      </c>
      <c r="G3308" s="14"/>
      <c r="H3308" s="12" t="s">
        <v>61</v>
      </c>
      <c r="I3308" s="12" t="s">
        <v>62</v>
      </c>
      <c r="J3308" s="12" t="s">
        <v>63</v>
      </c>
      <c r="K3308" s="12" t="s">
        <v>64</v>
      </c>
      <c r="L3308" s="12" t="s">
        <v>83</v>
      </c>
      <c r="M3308" s="12" t="s">
        <v>43</v>
      </c>
      <c r="N3308" s="12" t="s">
        <v>84</v>
      </c>
      <c r="O3308" s="12" t="s">
        <v>11997</v>
      </c>
      <c r="P3308" s="12" t="s">
        <v>66</v>
      </c>
      <c r="Q3308" s="12" t="s">
        <v>67</v>
      </c>
      <c r="R3308" s="12" t="s">
        <v>68</v>
      </c>
      <c r="S3308" s="13">
        <v>197804296927</v>
      </c>
      <c r="T3308" s="12" t="s">
        <v>422</v>
      </c>
      <c r="U3308" s="12" t="s">
        <v>60</v>
      </c>
      <c r="V3308" s="12" t="s">
        <v>70</v>
      </c>
      <c r="W3308" s="12" t="s">
        <v>262</v>
      </c>
      <c r="X3308" s="14"/>
      <c r="Y3308" s="14"/>
      <c r="Z3308" s="14"/>
      <c r="AA3308" s="14"/>
      <c r="AB3308" s="14"/>
      <c r="AC3308" s="15">
        <v>11.4</v>
      </c>
      <c r="AD3308" s="15">
        <f>AC3308*AG3308</f>
        <v>11.4</v>
      </c>
      <c r="AE3308" s="15">
        <v>25</v>
      </c>
      <c r="AF3308" s="15">
        <f>AE3308*AG3308</f>
        <v>25</v>
      </c>
      <c r="AG3308" s="16">
        <v>1</v>
      </c>
    </row>
    <row r="3309" spans="1:33" ht="15" customHeight="1" x14ac:dyDescent="0.2">
      <c r="A3309" s="11" t="str">
        <f t="shared" si="710"/>
        <v>VN000P5SEMW1</v>
      </c>
      <c r="B3309" s="12" t="s">
        <v>11998</v>
      </c>
      <c r="C3309" s="12" t="s">
        <v>5376</v>
      </c>
      <c r="D3309" s="12" t="s">
        <v>147</v>
      </c>
      <c r="E3309" s="12" t="s">
        <v>11999</v>
      </c>
      <c r="F3309" s="12" t="s">
        <v>403</v>
      </c>
      <c r="G3309" s="14"/>
      <c r="H3309" s="12" t="s">
        <v>61</v>
      </c>
      <c r="I3309" s="12" t="s">
        <v>62</v>
      </c>
      <c r="J3309" s="12" t="s">
        <v>63</v>
      </c>
      <c r="K3309" s="12" t="s">
        <v>64</v>
      </c>
      <c r="L3309" s="12" t="s">
        <v>83</v>
      </c>
      <c r="M3309" s="12" t="s">
        <v>43</v>
      </c>
      <c r="N3309" s="12" t="s">
        <v>84</v>
      </c>
      <c r="O3309" s="12" t="s">
        <v>12000</v>
      </c>
      <c r="P3309" s="12" t="s">
        <v>66</v>
      </c>
      <c r="Q3309" s="12" t="s">
        <v>67</v>
      </c>
      <c r="R3309" s="12" t="s">
        <v>68</v>
      </c>
      <c r="S3309" s="13">
        <v>197804296811</v>
      </c>
      <c r="T3309" s="12" t="s">
        <v>422</v>
      </c>
      <c r="U3309" s="12" t="s">
        <v>403</v>
      </c>
      <c r="V3309" s="12" t="s">
        <v>70</v>
      </c>
      <c r="W3309" s="12" t="s">
        <v>118</v>
      </c>
      <c r="X3309" s="14"/>
      <c r="Y3309" s="14"/>
      <c r="Z3309" s="14"/>
      <c r="AA3309" s="14"/>
      <c r="AB3309" s="14"/>
      <c r="AC3309" s="15">
        <v>11.4</v>
      </c>
      <c r="AD3309" s="15">
        <f>AC3309*AG3309</f>
        <v>11.4</v>
      </c>
      <c r="AE3309" s="15">
        <v>25</v>
      </c>
      <c r="AF3309" s="15">
        <f>AE3309*AG3309</f>
        <v>25</v>
      </c>
      <c r="AG3309" s="16">
        <v>1</v>
      </c>
    </row>
    <row r="3310" spans="1:33" ht="15" customHeight="1" x14ac:dyDescent="0.2">
      <c r="A3310" s="11" t="str">
        <f t="shared" si="571"/>
        <v>VN000P5WCFL1</v>
      </c>
      <c r="B3310" s="12" t="s">
        <v>12001</v>
      </c>
      <c r="C3310" s="12" t="s">
        <v>3130</v>
      </c>
      <c r="D3310" s="12" t="s">
        <v>1258</v>
      </c>
      <c r="E3310" s="12" t="s">
        <v>12002</v>
      </c>
      <c r="F3310" s="12" t="s">
        <v>403</v>
      </c>
      <c r="G3310" s="14"/>
      <c r="H3310" s="12" t="s">
        <v>61</v>
      </c>
      <c r="I3310" s="12" t="s">
        <v>289</v>
      </c>
      <c r="J3310" s="12" t="s">
        <v>706</v>
      </c>
      <c r="K3310" s="12" t="s">
        <v>100</v>
      </c>
      <c r="L3310" s="12" t="s">
        <v>83</v>
      </c>
      <c r="M3310" s="12" t="s">
        <v>43</v>
      </c>
      <c r="N3310" s="12" t="s">
        <v>44</v>
      </c>
      <c r="O3310" s="12" t="s">
        <v>12003</v>
      </c>
      <c r="P3310" s="12" t="s">
        <v>66</v>
      </c>
      <c r="Q3310" s="12" t="s">
        <v>67</v>
      </c>
      <c r="R3310" s="12" t="s">
        <v>1146</v>
      </c>
      <c r="S3310" s="13">
        <v>197803407065</v>
      </c>
      <c r="T3310" s="12" t="s">
        <v>499</v>
      </c>
      <c r="U3310" s="12" t="s">
        <v>403</v>
      </c>
      <c r="V3310" s="12" t="s">
        <v>3133</v>
      </c>
      <c r="W3310" s="12" t="s">
        <v>284</v>
      </c>
      <c r="X3310" s="13">
        <v>0</v>
      </c>
      <c r="Y3310" s="12" t="s">
        <v>53</v>
      </c>
      <c r="Z3310" s="12" t="s">
        <v>108</v>
      </c>
      <c r="AA3310" s="13">
        <v>0</v>
      </c>
      <c r="AB3310" s="12" t="s">
        <v>616</v>
      </c>
      <c r="AC3310" s="15">
        <v>13.65</v>
      </c>
      <c r="AD3310" s="15">
        <f>AC3310*AG3310</f>
        <v>13.65</v>
      </c>
      <c r="AE3310" s="15">
        <v>30</v>
      </c>
      <c r="AF3310" s="15">
        <f>AE3310*AG3310</f>
        <v>30</v>
      </c>
      <c r="AG3310" s="16">
        <v>1</v>
      </c>
    </row>
    <row r="3311" spans="1:33" ht="15" customHeight="1" x14ac:dyDescent="0.2">
      <c r="A3311" s="11" t="str">
        <f>HYPERLINK("https://assets.vans.eu/images/VN000P73Y28-HERO/1","VN000P73Y281")</f>
        <v>VN000P73Y281</v>
      </c>
      <c r="B3311" s="12" t="s">
        <v>12004</v>
      </c>
      <c r="C3311" s="12" t="s">
        <v>1808</v>
      </c>
      <c r="D3311" s="12" t="s">
        <v>58</v>
      </c>
      <c r="E3311" s="12" t="s">
        <v>12005</v>
      </c>
      <c r="F3311" s="12" t="s">
        <v>60</v>
      </c>
      <c r="G3311" s="14"/>
      <c r="H3311" s="12" t="s">
        <v>61</v>
      </c>
      <c r="I3311" s="12" t="s">
        <v>230</v>
      </c>
      <c r="J3311" s="12" t="s">
        <v>762</v>
      </c>
      <c r="K3311" s="12" t="s">
        <v>199</v>
      </c>
      <c r="L3311" s="14"/>
      <c r="M3311" s="12" t="s">
        <v>43</v>
      </c>
      <c r="N3311" s="12" t="s">
        <v>84</v>
      </c>
      <c r="O3311" s="12" t="s">
        <v>12006</v>
      </c>
      <c r="P3311" s="12" t="s">
        <v>66</v>
      </c>
      <c r="Q3311" s="12" t="s">
        <v>764</v>
      </c>
      <c r="R3311" s="12" t="s">
        <v>765</v>
      </c>
      <c r="S3311" s="13">
        <v>197804350896</v>
      </c>
      <c r="T3311" s="12" t="s">
        <v>235</v>
      </c>
      <c r="U3311" s="12" t="s">
        <v>60</v>
      </c>
      <c r="V3311" s="12" t="s">
        <v>1811</v>
      </c>
      <c r="W3311" s="12" t="s">
        <v>51</v>
      </c>
      <c r="X3311" s="14"/>
      <c r="Y3311" s="14"/>
      <c r="Z3311" s="14"/>
      <c r="AA3311" s="14"/>
      <c r="AB3311" s="14"/>
      <c r="AC3311" s="15">
        <v>31.85</v>
      </c>
      <c r="AD3311" s="15">
        <f>AC3311*AG3311</f>
        <v>31.85</v>
      </c>
      <c r="AE3311" s="15">
        <v>70</v>
      </c>
      <c r="AF3311" s="15">
        <f>AE3311*AG3311</f>
        <v>70</v>
      </c>
      <c r="AG3311" s="16">
        <v>1</v>
      </c>
    </row>
    <row r="3312" spans="1:33" ht="15" customHeight="1" x14ac:dyDescent="0.2">
      <c r="A3312" s="11" t="str">
        <f>HYPERLINK("https://assets.vans.eu/images/VN000P77AFM-HERO/1","VN000P77AFM1")</f>
        <v>VN000P77AFM1</v>
      </c>
      <c r="B3312" s="12" t="s">
        <v>12007</v>
      </c>
      <c r="C3312" s="12" t="s">
        <v>2372</v>
      </c>
      <c r="D3312" s="12" t="s">
        <v>2373</v>
      </c>
      <c r="E3312" s="12" t="s">
        <v>12008</v>
      </c>
      <c r="F3312" s="12" t="s">
        <v>179</v>
      </c>
      <c r="G3312" s="14"/>
      <c r="H3312" s="12" t="s">
        <v>61</v>
      </c>
      <c r="I3312" s="12" t="s">
        <v>230</v>
      </c>
      <c r="J3312" s="12" t="s">
        <v>762</v>
      </c>
      <c r="K3312" s="12" t="s">
        <v>199</v>
      </c>
      <c r="L3312" s="14"/>
      <c r="M3312" s="12" t="s">
        <v>43</v>
      </c>
      <c r="N3312" s="12" t="s">
        <v>84</v>
      </c>
      <c r="O3312" s="12" t="s">
        <v>12009</v>
      </c>
      <c r="P3312" s="12" t="s">
        <v>66</v>
      </c>
      <c r="Q3312" s="12" t="s">
        <v>764</v>
      </c>
      <c r="R3312" s="12" t="s">
        <v>765</v>
      </c>
      <c r="S3312" s="13">
        <v>197804350469</v>
      </c>
      <c r="T3312" s="12" t="s">
        <v>235</v>
      </c>
      <c r="U3312" s="12" t="s">
        <v>179</v>
      </c>
      <c r="V3312" s="12" t="s">
        <v>665</v>
      </c>
      <c r="W3312" s="12" t="s">
        <v>51</v>
      </c>
      <c r="X3312" s="14"/>
      <c r="Y3312" s="14"/>
      <c r="Z3312" s="14"/>
      <c r="AA3312" s="14"/>
      <c r="AB3312" s="14"/>
      <c r="AC3312" s="15">
        <v>40.950000000000003</v>
      </c>
      <c r="AD3312" s="15">
        <f>AC3312*AG3312</f>
        <v>40.950000000000003</v>
      </c>
      <c r="AE3312" s="15">
        <v>90</v>
      </c>
      <c r="AF3312" s="15">
        <f>AE3312*AG3312</f>
        <v>90</v>
      </c>
      <c r="AG3312" s="16">
        <v>1</v>
      </c>
    </row>
    <row r="3313" spans="1:33" ht="15" customHeight="1" x14ac:dyDescent="0.2">
      <c r="A3313" s="11" t="str">
        <f>HYPERLINK("https://assets.vans.eu/images/VN000P78BLK-HERO/1","VN000P78BLK1")</f>
        <v>VN000P78BLK1</v>
      </c>
      <c r="B3313" s="12" t="s">
        <v>12010</v>
      </c>
      <c r="C3313" s="12" t="s">
        <v>3435</v>
      </c>
      <c r="D3313" s="12" t="s">
        <v>76</v>
      </c>
      <c r="E3313" s="12" t="s">
        <v>12011</v>
      </c>
      <c r="F3313" s="12" t="s">
        <v>621</v>
      </c>
      <c r="G3313" s="14"/>
      <c r="H3313" s="12" t="s">
        <v>61</v>
      </c>
      <c r="I3313" s="12" t="s">
        <v>230</v>
      </c>
      <c r="J3313" s="12" t="s">
        <v>762</v>
      </c>
      <c r="K3313" s="12" t="s">
        <v>199</v>
      </c>
      <c r="L3313" s="14"/>
      <c r="M3313" s="12" t="s">
        <v>43</v>
      </c>
      <c r="N3313" s="12" t="s">
        <v>84</v>
      </c>
      <c r="O3313" s="12" t="s">
        <v>12012</v>
      </c>
      <c r="P3313" s="12" t="s">
        <v>66</v>
      </c>
      <c r="Q3313" s="12" t="s">
        <v>764</v>
      </c>
      <c r="R3313" s="12" t="s">
        <v>765</v>
      </c>
      <c r="S3313" s="13">
        <v>197804351411</v>
      </c>
      <c r="T3313" s="12" t="s">
        <v>235</v>
      </c>
      <c r="U3313" s="12" t="s">
        <v>621</v>
      </c>
      <c r="V3313" s="12" t="s">
        <v>1811</v>
      </c>
      <c r="W3313" s="12" t="s">
        <v>51</v>
      </c>
      <c r="X3313" s="14"/>
      <c r="Y3313" s="14"/>
      <c r="Z3313" s="14"/>
      <c r="AA3313" s="14"/>
      <c r="AB3313" s="14"/>
      <c r="AC3313" s="15">
        <v>59.1</v>
      </c>
      <c r="AD3313" s="15">
        <f>AC3313*AG3313</f>
        <v>59.1</v>
      </c>
      <c r="AE3313" s="15">
        <v>130</v>
      </c>
      <c r="AF3313" s="15">
        <f>AE3313*AG3313</f>
        <v>130</v>
      </c>
      <c r="AG3313" s="16">
        <v>1</v>
      </c>
    </row>
    <row r="3314" spans="1:33" ht="15" customHeight="1" x14ac:dyDescent="0.2">
      <c r="A3314" s="11" t="str">
        <f t="shared" si="572"/>
        <v>VN000P7DCDX1</v>
      </c>
      <c r="B3314" s="12" t="s">
        <v>12013</v>
      </c>
      <c r="C3314" s="12" t="s">
        <v>5399</v>
      </c>
      <c r="D3314" s="12" t="s">
        <v>760</v>
      </c>
      <c r="E3314" s="12" t="s">
        <v>12014</v>
      </c>
      <c r="F3314" s="12" t="s">
        <v>170</v>
      </c>
      <c r="G3314" s="14"/>
      <c r="H3314" s="12" t="s">
        <v>61</v>
      </c>
      <c r="I3314" s="12" t="s">
        <v>230</v>
      </c>
      <c r="J3314" s="12" t="s">
        <v>762</v>
      </c>
      <c r="K3314" s="12" t="s">
        <v>199</v>
      </c>
      <c r="L3314" s="14"/>
      <c r="M3314" s="12" t="s">
        <v>43</v>
      </c>
      <c r="N3314" s="12" t="s">
        <v>84</v>
      </c>
      <c r="O3314" s="12" t="s">
        <v>12015</v>
      </c>
      <c r="P3314" s="12" t="s">
        <v>66</v>
      </c>
      <c r="Q3314" s="12" t="s">
        <v>764</v>
      </c>
      <c r="R3314" s="12" t="s">
        <v>765</v>
      </c>
      <c r="S3314" s="13">
        <v>197804371808</v>
      </c>
      <c r="T3314" s="12" t="s">
        <v>235</v>
      </c>
      <c r="U3314" s="12" t="s">
        <v>170</v>
      </c>
      <c r="V3314" s="12" t="s">
        <v>665</v>
      </c>
      <c r="W3314" s="12" t="s">
        <v>284</v>
      </c>
      <c r="X3314" s="14"/>
      <c r="Y3314" s="14"/>
      <c r="Z3314" s="14"/>
      <c r="AA3314" s="14"/>
      <c r="AB3314" s="14"/>
      <c r="AC3314" s="15">
        <v>50</v>
      </c>
      <c r="AD3314" s="15">
        <f>AC3314*AG3314</f>
        <v>50</v>
      </c>
      <c r="AE3314" s="15">
        <v>110</v>
      </c>
      <c r="AF3314" s="15">
        <f>AE3314*AG3314</f>
        <v>110</v>
      </c>
      <c r="AG3314" s="16">
        <v>1</v>
      </c>
    </row>
    <row r="3315" spans="1:33" ht="15" customHeight="1" x14ac:dyDescent="0.2">
      <c r="A3315" s="11" t="str">
        <f t="shared" si="901"/>
        <v>VN000P7U2N11</v>
      </c>
      <c r="B3315" s="12" t="s">
        <v>12016</v>
      </c>
      <c r="C3315" s="12" t="s">
        <v>8294</v>
      </c>
      <c r="D3315" s="12" t="s">
        <v>1082</v>
      </c>
      <c r="E3315" s="12" t="s">
        <v>12017</v>
      </c>
      <c r="F3315" s="12" t="s">
        <v>170</v>
      </c>
      <c r="G3315" s="14"/>
      <c r="H3315" s="12" t="s">
        <v>61</v>
      </c>
      <c r="I3315" s="12" t="s">
        <v>230</v>
      </c>
      <c r="J3315" s="12" t="s">
        <v>419</v>
      </c>
      <c r="K3315" s="12" t="s">
        <v>199</v>
      </c>
      <c r="L3315" s="14"/>
      <c r="M3315" s="12" t="s">
        <v>43</v>
      </c>
      <c r="N3315" s="12" t="s">
        <v>84</v>
      </c>
      <c r="O3315" s="12" t="s">
        <v>12018</v>
      </c>
      <c r="P3315" s="12" t="s">
        <v>66</v>
      </c>
      <c r="Q3315" s="12" t="s">
        <v>67</v>
      </c>
      <c r="R3315" s="12" t="s">
        <v>1500</v>
      </c>
      <c r="S3315" s="13">
        <v>197804350780</v>
      </c>
      <c r="T3315" s="12" t="s">
        <v>235</v>
      </c>
      <c r="U3315" s="12" t="s">
        <v>170</v>
      </c>
      <c r="V3315" s="12" t="s">
        <v>665</v>
      </c>
      <c r="W3315" s="12" t="s">
        <v>580</v>
      </c>
      <c r="X3315" s="14"/>
      <c r="Y3315" s="14"/>
      <c r="Z3315" s="14"/>
      <c r="AA3315" s="14"/>
      <c r="AB3315" s="14"/>
      <c r="AC3315" s="15">
        <v>40.950000000000003</v>
      </c>
      <c r="AD3315" s="15">
        <f>AC3315*AG3315</f>
        <v>40.950000000000003</v>
      </c>
      <c r="AE3315" s="15">
        <v>90</v>
      </c>
      <c r="AF3315" s="15">
        <f>AE3315*AG3315</f>
        <v>90</v>
      </c>
      <c r="AG3315" s="16">
        <v>1</v>
      </c>
    </row>
    <row r="3316" spans="1:33" ht="15" customHeight="1" x14ac:dyDescent="0.2">
      <c r="A3316" s="11" t="str">
        <f>HYPERLINK("https://assets.vans.eu/images/VN000P7U2N1-HERO/1","VN000P7U2N11")</f>
        <v>VN000P7U2N11</v>
      </c>
      <c r="B3316" s="12" t="s">
        <v>12019</v>
      </c>
      <c r="C3316" s="12" t="s">
        <v>8294</v>
      </c>
      <c r="D3316" s="12" t="s">
        <v>1082</v>
      </c>
      <c r="E3316" s="12" t="s">
        <v>12020</v>
      </c>
      <c r="F3316" s="12" t="s">
        <v>621</v>
      </c>
      <c r="G3316" s="14"/>
      <c r="H3316" s="12" t="s">
        <v>61</v>
      </c>
      <c r="I3316" s="12" t="s">
        <v>230</v>
      </c>
      <c r="J3316" s="12" t="s">
        <v>419</v>
      </c>
      <c r="K3316" s="12" t="s">
        <v>199</v>
      </c>
      <c r="L3316" s="14"/>
      <c r="M3316" s="12" t="s">
        <v>43</v>
      </c>
      <c r="N3316" s="12" t="s">
        <v>84</v>
      </c>
      <c r="O3316" s="12" t="s">
        <v>12021</v>
      </c>
      <c r="P3316" s="12" t="s">
        <v>66</v>
      </c>
      <c r="Q3316" s="12" t="s">
        <v>67</v>
      </c>
      <c r="R3316" s="12" t="s">
        <v>1500</v>
      </c>
      <c r="S3316" s="13">
        <v>197804351527</v>
      </c>
      <c r="T3316" s="12" t="s">
        <v>235</v>
      </c>
      <c r="U3316" s="12" t="s">
        <v>621</v>
      </c>
      <c r="V3316" s="12" t="s">
        <v>665</v>
      </c>
      <c r="W3316" s="12" t="s">
        <v>580</v>
      </c>
      <c r="X3316" s="14"/>
      <c r="Y3316" s="14"/>
      <c r="Z3316" s="14"/>
      <c r="AA3316" s="14"/>
      <c r="AB3316" s="14"/>
      <c r="AC3316" s="15">
        <v>40.950000000000003</v>
      </c>
      <c r="AD3316" s="15">
        <f>AC3316*AG3316</f>
        <v>40.950000000000003</v>
      </c>
      <c r="AE3316" s="15">
        <v>90</v>
      </c>
      <c r="AF3316" s="15">
        <f>AE3316*AG3316</f>
        <v>90</v>
      </c>
      <c r="AG3316" s="16">
        <v>1</v>
      </c>
    </row>
    <row r="3317" spans="1:33" ht="15" customHeight="1" x14ac:dyDescent="0.2">
      <c r="A3317" s="11" t="str">
        <f t="shared" si="902"/>
        <v>VN000P7UJDU1</v>
      </c>
      <c r="B3317" s="12" t="s">
        <v>12022</v>
      </c>
      <c r="C3317" s="12" t="s">
        <v>8294</v>
      </c>
      <c r="D3317" s="12" t="s">
        <v>814</v>
      </c>
      <c r="E3317" s="12" t="s">
        <v>12023</v>
      </c>
      <c r="F3317" s="12" t="s">
        <v>621</v>
      </c>
      <c r="G3317" s="14"/>
      <c r="H3317" s="12" t="s">
        <v>61</v>
      </c>
      <c r="I3317" s="12" t="s">
        <v>230</v>
      </c>
      <c r="J3317" s="12" t="s">
        <v>419</v>
      </c>
      <c r="K3317" s="12" t="s">
        <v>199</v>
      </c>
      <c r="L3317" s="14"/>
      <c r="M3317" s="12" t="s">
        <v>43</v>
      </c>
      <c r="N3317" s="12" t="s">
        <v>84</v>
      </c>
      <c r="O3317" s="12" t="s">
        <v>12024</v>
      </c>
      <c r="P3317" s="12" t="s">
        <v>66</v>
      </c>
      <c r="Q3317" s="12" t="s">
        <v>67</v>
      </c>
      <c r="R3317" s="12" t="s">
        <v>1500</v>
      </c>
      <c r="S3317" s="13">
        <v>197804351473</v>
      </c>
      <c r="T3317" s="12" t="s">
        <v>235</v>
      </c>
      <c r="U3317" s="12" t="s">
        <v>621</v>
      </c>
      <c r="V3317" s="12" t="s">
        <v>665</v>
      </c>
      <c r="W3317" s="12" t="s">
        <v>284</v>
      </c>
      <c r="X3317" s="14"/>
      <c r="Y3317" s="14"/>
      <c r="Z3317" s="14"/>
      <c r="AA3317" s="14"/>
      <c r="AB3317" s="14"/>
      <c r="AC3317" s="15">
        <v>40.950000000000003</v>
      </c>
      <c r="AD3317" s="15">
        <f>AC3317*AG3317</f>
        <v>40.950000000000003</v>
      </c>
      <c r="AE3317" s="15">
        <v>90</v>
      </c>
      <c r="AF3317" s="15">
        <f>AE3317*AG3317</f>
        <v>90</v>
      </c>
      <c r="AG3317" s="16">
        <v>1</v>
      </c>
    </row>
    <row r="3318" spans="1:33" ht="15" customHeight="1" x14ac:dyDescent="0.2">
      <c r="A3318" s="11" t="str">
        <f>HYPERLINK("https://assets.vans.eu/images/VN000P7ZF0O-HERO/1","VN000P7ZF0O1")</f>
        <v>VN000P7ZF0O1</v>
      </c>
      <c r="B3318" s="12" t="s">
        <v>12025</v>
      </c>
      <c r="C3318" s="12" t="s">
        <v>12026</v>
      </c>
      <c r="D3318" s="12" t="s">
        <v>12027</v>
      </c>
      <c r="E3318" s="12" t="s">
        <v>12028</v>
      </c>
      <c r="F3318" s="12" t="s">
        <v>621</v>
      </c>
      <c r="G3318" s="14"/>
      <c r="H3318" s="12" t="s">
        <v>61</v>
      </c>
      <c r="I3318" s="12" t="s">
        <v>230</v>
      </c>
      <c r="J3318" s="12" t="s">
        <v>419</v>
      </c>
      <c r="K3318" s="12" t="s">
        <v>199</v>
      </c>
      <c r="L3318" s="14"/>
      <c r="M3318" s="12" t="s">
        <v>43</v>
      </c>
      <c r="N3318" s="12" t="s">
        <v>84</v>
      </c>
      <c r="O3318" s="12" t="s">
        <v>12029</v>
      </c>
      <c r="P3318" s="12" t="s">
        <v>66</v>
      </c>
      <c r="Q3318" s="12" t="s">
        <v>67</v>
      </c>
      <c r="R3318" s="12" t="s">
        <v>1500</v>
      </c>
      <c r="S3318" s="13">
        <v>197804352241</v>
      </c>
      <c r="T3318" s="12" t="s">
        <v>235</v>
      </c>
      <c r="U3318" s="12" t="s">
        <v>621</v>
      </c>
      <c r="V3318" s="12" t="s">
        <v>12030</v>
      </c>
      <c r="W3318" s="12" t="s">
        <v>118</v>
      </c>
      <c r="X3318" s="14"/>
      <c r="Y3318" s="14"/>
      <c r="Z3318" s="14"/>
      <c r="AA3318" s="14"/>
      <c r="AB3318" s="14"/>
      <c r="AC3318" s="15">
        <v>31.85</v>
      </c>
      <c r="AD3318" s="15">
        <f>AC3318*AG3318</f>
        <v>31.85</v>
      </c>
      <c r="AE3318" s="15">
        <v>70</v>
      </c>
      <c r="AF3318" s="15">
        <f>AE3318*AG3318</f>
        <v>70</v>
      </c>
      <c r="AG3318" s="16">
        <v>1</v>
      </c>
    </row>
    <row r="3319" spans="1:33" ht="15" customHeight="1" x14ac:dyDescent="0.2">
      <c r="A3319" s="11" t="str">
        <f t="shared" ref="A3319:A3321" si="1187">HYPERLINK("https://assets.vans.eu/images/VN000P84EMV-HERO/1","VN000P84EMV1")</f>
        <v>VN000P84EMV1</v>
      </c>
      <c r="B3319" s="12" t="s">
        <v>12031</v>
      </c>
      <c r="C3319" s="12" t="s">
        <v>12032</v>
      </c>
      <c r="D3319" s="12" t="s">
        <v>1908</v>
      </c>
      <c r="E3319" s="12" t="s">
        <v>12033</v>
      </c>
      <c r="F3319" s="12" t="s">
        <v>170</v>
      </c>
      <c r="G3319" s="14"/>
      <c r="H3319" s="12" t="s">
        <v>61</v>
      </c>
      <c r="I3319" s="12" t="s">
        <v>230</v>
      </c>
      <c r="J3319" s="12" t="s">
        <v>419</v>
      </c>
      <c r="K3319" s="12" t="s">
        <v>199</v>
      </c>
      <c r="L3319" s="14"/>
      <c r="M3319" s="12" t="s">
        <v>43</v>
      </c>
      <c r="N3319" s="12" t="s">
        <v>84</v>
      </c>
      <c r="O3319" s="12" t="s">
        <v>12034</v>
      </c>
      <c r="P3319" s="12" t="s">
        <v>66</v>
      </c>
      <c r="Q3319" s="12" t="s">
        <v>67</v>
      </c>
      <c r="R3319" s="12" t="s">
        <v>1500</v>
      </c>
      <c r="S3319" s="13">
        <v>197804351831</v>
      </c>
      <c r="T3319" s="12" t="s">
        <v>235</v>
      </c>
      <c r="U3319" s="12" t="s">
        <v>170</v>
      </c>
      <c r="V3319" s="12" t="s">
        <v>665</v>
      </c>
      <c r="W3319" s="12" t="s">
        <v>51</v>
      </c>
      <c r="X3319" s="14"/>
      <c r="Y3319" s="14"/>
      <c r="Z3319" s="14"/>
      <c r="AA3319" s="14"/>
      <c r="AB3319" s="14"/>
      <c r="AC3319" s="15">
        <v>36.4</v>
      </c>
      <c r="AD3319" s="15">
        <f>AC3319*AG3319</f>
        <v>36.4</v>
      </c>
      <c r="AE3319" s="15">
        <v>80</v>
      </c>
      <c r="AF3319" s="15">
        <f>AE3319*AG3319</f>
        <v>80</v>
      </c>
      <c r="AG3319" s="16">
        <v>1</v>
      </c>
    </row>
    <row r="3320" spans="1:33" ht="15" customHeight="1" x14ac:dyDescent="0.2">
      <c r="A3320" s="11" t="str">
        <f t="shared" si="1187"/>
        <v>VN000P84EMV1</v>
      </c>
      <c r="B3320" s="12" t="s">
        <v>12035</v>
      </c>
      <c r="C3320" s="12" t="s">
        <v>12032</v>
      </c>
      <c r="D3320" s="12" t="s">
        <v>1908</v>
      </c>
      <c r="E3320" s="12" t="s">
        <v>12036</v>
      </c>
      <c r="F3320" s="12" t="s">
        <v>60</v>
      </c>
      <c r="G3320" s="14"/>
      <c r="H3320" s="12" t="s">
        <v>61</v>
      </c>
      <c r="I3320" s="12" t="s">
        <v>230</v>
      </c>
      <c r="J3320" s="12" t="s">
        <v>419</v>
      </c>
      <c r="K3320" s="12" t="s">
        <v>199</v>
      </c>
      <c r="L3320" s="14"/>
      <c r="M3320" s="12" t="s">
        <v>43</v>
      </c>
      <c r="N3320" s="12" t="s">
        <v>84</v>
      </c>
      <c r="O3320" s="12" t="s">
        <v>12037</v>
      </c>
      <c r="P3320" s="12" t="s">
        <v>66</v>
      </c>
      <c r="Q3320" s="12" t="s">
        <v>67</v>
      </c>
      <c r="R3320" s="12" t="s">
        <v>1500</v>
      </c>
      <c r="S3320" s="13">
        <v>197804352203</v>
      </c>
      <c r="T3320" s="12" t="s">
        <v>235</v>
      </c>
      <c r="U3320" s="12" t="s">
        <v>60</v>
      </c>
      <c r="V3320" s="12" t="s">
        <v>665</v>
      </c>
      <c r="W3320" s="12" t="s">
        <v>51</v>
      </c>
      <c r="X3320" s="14"/>
      <c r="Y3320" s="14"/>
      <c r="Z3320" s="14"/>
      <c r="AA3320" s="14"/>
      <c r="AB3320" s="14"/>
      <c r="AC3320" s="15">
        <v>36.4</v>
      </c>
      <c r="AD3320" s="15">
        <f>AC3320*AG3320</f>
        <v>36.4</v>
      </c>
      <c r="AE3320" s="15">
        <v>80</v>
      </c>
      <c r="AF3320" s="15">
        <f>AE3320*AG3320</f>
        <v>80</v>
      </c>
      <c r="AG3320" s="16">
        <v>1</v>
      </c>
    </row>
    <row r="3321" spans="1:33" ht="15" customHeight="1" x14ac:dyDescent="0.2">
      <c r="A3321" s="11" t="str">
        <f t="shared" si="1187"/>
        <v>VN000P84EMV1</v>
      </c>
      <c r="B3321" s="12" t="s">
        <v>12038</v>
      </c>
      <c r="C3321" s="12" t="s">
        <v>12032</v>
      </c>
      <c r="D3321" s="12" t="s">
        <v>1908</v>
      </c>
      <c r="E3321" s="12" t="s">
        <v>12039</v>
      </c>
      <c r="F3321" s="12" t="s">
        <v>153</v>
      </c>
      <c r="G3321" s="14"/>
      <c r="H3321" s="12" t="s">
        <v>61</v>
      </c>
      <c r="I3321" s="12" t="s">
        <v>230</v>
      </c>
      <c r="J3321" s="12" t="s">
        <v>419</v>
      </c>
      <c r="K3321" s="12" t="s">
        <v>199</v>
      </c>
      <c r="L3321" s="14"/>
      <c r="M3321" s="12" t="s">
        <v>43</v>
      </c>
      <c r="N3321" s="12" t="s">
        <v>84</v>
      </c>
      <c r="O3321" s="12" t="s">
        <v>12040</v>
      </c>
      <c r="P3321" s="12" t="s">
        <v>66</v>
      </c>
      <c r="Q3321" s="12" t="s">
        <v>67</v>
      </c>
      <c r="R3321" s="12" t="s">
        <v>1500</v>
      </c>
      <c r="S3321" s="13">
        <v>197804352272</v>
      </c>
      <c r="T3321" s="12" t="s">
        <v>235</v>
      </c>
      <c r="U3321" s="12" t="s">
        <v>153</v>
      </c>
      <c r="V3321" s="12" t="s">
        <v>665</v>
      </c>
      <c r="W3321" s="12" t="s">
        <v>51</v>
      </c>
      <c r="X3321" s="14"/>
      <c r="Y3321" s="14"/>
      <c r="Z3321" s="14"/>
      <c r="AA3321" s="14"/>
      <c r="AB3321" s="14"/>
      <c r="AC3321" s="15">
        <v>36.4</v>
      </c>
      <c r="AD3321" s="15">
        <f>AC3321*AG3321</f>
        <v>36.4</v>
      </c>
      <c r="AE3321" s="15">
        <v>80</v>
      </c>
      <c r="AF3321" s="15">
        <f>AE3321*AG3321</f>
        <v>80</v>
      </c>
      <c r="AG3321" s="16">
        <v>1</v>
      </c>
    </row>
    <row r="3322" spans="1:33" ht="15" customHeight="1" x14ac:dyDescent="0.2">
      <c r="A3322" s="11" t="str">
        <f>HYPERLINK("https://assets.vans.eu/images/VN000P86F0V-HERO/1","VN000P86F0V1")</f>
        <v>VN000P86F0V1</v>
      </c>
      <c r="B3322" s="12" t="s">
        <v>12041</v>
      </c>
      <c r="C3322" s="12" t="s">
        <v>8301</v>
      </c>
      <c r="D3322" s="12" t="s">
        <v>8302</v>
      </c>
      <c r="E3322" s="12" t="s">
        <v>12042</v>
      </c>
      <c r="F3322" s="12" t="s">
        <v>60</v>
      </c>
      <c r="G3322" s="14"/>
      <c r="H3322" s="12" t="s">
        <v>61</v>
      </c>
      <c r="I3322" s="12" t="s">
        <v>230</v>
      </c>
      <c r="J3322" s="12" t="s">
        <v>419</v>
      </c>
      <c r="K3322" s="12" t="s">
        <v>199</v>
      </c>
      <c r="L3322" s="14"/>
      <c r="M3322" s="12" t="s">
        <v>43</v>
      </c>
      <c r="N3322" s="12" t="s">
        <v>84</v>
      </c>
      <c r="O3322" s="12" t="s">
        <v>12043</v>
      </c>
      <c r="P3322" s="12" t="s">
        <v>66</v>
      </c>
      <c r="Q3322" s="12" t="s">
        <v>67</v>
      </c>
      <c r="R3322" s="12" t="s">
        <v>1500</v>
      </c>
      <c r="S3322" s="13">
        <v>197804352418</v>
      </c>
      <c r="T3322" s="12" t="s">
        <v>235</v>
      </c>
      <c r="U3322" s="12" t="s">
        <v>60</v>
      </c>
      <c r="V3322" s="12" t="s">
        <v>8305</v>
      </c>
      <c r="W3322" s="12" t="s">
        <v>186</v>
      </c>
      <c r="X3322" s="14"/>
      <c r="Y3322" s="14"/>
      <c r="Z3322" s="14"/>
      <c r="AA3322" s="14"/>
      <c r="AB3322" s="14"/>
      <c r="AC3322" s="15">
        <v>29.55</v>
      </c>
      <c r="AD3322" s="15">
        <f>AC3322*AG3322</f>
        <v>29.55</v>
      </c>
      <c r="AE3322" s="15">
        <v>65</v>
      </c>
      <c r="AF3322" s="15">
        <f>AE3322*AG3322</f>
        <v>65</v>
      </c>
      <c r="AG3322" s="16">
        <v>1</v>
      </c>
    </row>
    <row r="3323" spans="1:33" ht="15" customHeight="1" x14ac:dyDescent="0.2">
      <c r="A3323" s="11" t="str">
        <f>HYPERLINK("https://assets.vans.eu/images/VN000P88BLK-HERO/1","VN000P88BLK1")</f>
        <v>VN000P88BLK1</v>
      </c>
      <c r="B3323" s="12" t="s">
        <v>12044</v>
      </c>
      <c r="C3323" s="12" t="s">
        <v>4177</v>
      </c>
      <c r="D3323" s="12" t="s">
        <v>76</v>
      </c>
      <c r="E3323" s="12" t="s">
        <v>12045</v>
      </c>
      <c r="F3323" s="12" t="s">
        <v>621</v>
      </c>
      <c r="G3323" s="14"/>
      <c r="H3323" s="12" t="s">
        <v>61</v>
      </c>
      <c r="I3323" s="12" t="s">
        <v>230</v>
      </c>
      <c r="J3323" s="12" t="s">
        <v>419</v>
      </c>
      <c r="K3323" s="12" t="s">
        <v>199</v>
      </c>
      <c r="L3323" s="14"/>
      <c r="M3323" s="12" t="s">
        <v>43</v>
      </c>
      <c r="N3323" s="12" t="s">
        <v>84</v>
      </c>
      <c r="O3323" s="12" t="s">
        <v>12046</v>
      </c>
      <c r="P3323" s="12" t="s">
        <v>66</v>
      </c>
      <c r="Q3323" s="12" t="s">
        <v>67</v>
      </c>
      <c r="R3323" s="12" t="s">
        <v>1500</v>
      </c>
      <c r="S3323" s="13">
        <v>197804352593</v>
      </c>
      <c r="T3323" s="12" t="s">
        <v>235</v>
      </c>
      <c r="U3323" s="12" t="s">
        <v>621</v>
      </c>
      <c r="V3323" s="12" t="s">
        <v>903</v>
      </c>
      <c r="W3323" s="12" t="s">
        <v>51</v>
      </c>
      <c r="X3323" s="14"/>
      <c r="Y3323" s="14"/>
      <c r="Z3323" s="14"/>
      <c r="AA3323" s="14"/>
      <c r="AB3323" s="14"/>
      <c r="AC3323" s="15">
        <v>29.55</v>
      </c>
      <c r="AD3323" s="15">
        <f>AC3323*AG3323</f>
        <v>29.55</v>
      </c>
      <c r="AE3323" s="15">
        <v>65</v>
      </c>
      <c r="AF3323" s="15">
        <f>AE3323*AG3323</f>
        <v>65</v>
      </c>
      <c r="AG3323" s="16">
        <v>1</v>
      </c>
    </row>
    <row r="3324" spans="1:33" ht="15" customHeight="1" x14ac:dyDescent="0.2">
      <c r="A3324" s="11" t="str">
        <f t="shared" ref="A3324:A3325" si="1188">HYPERLINK("https://assets.vans.eu/images/VN000P89C9F-HERO/1","VN000P89C9F1")</f>
        <v>VN000P89C9F1</v>
      </c>
      <c r="B3324" s="12" t="s">
        <v>12047</v>
      </c>
      <c r="C3324" s="12" t="s">
        <v>12048</v>
      </c>
      <c r="D3324" s="12" t="s">
        <v>2056</v>
      </c>
      <c r="E3324" s="12" t="s">
        <v>12049</v>
      </c>
      <c r="F3324" s="12" t="s">
        <v>170</v>
      </c>
      <c r="G3324" s="14"/>
      <c r="H3324" s="12" t="s">
        <v>61</v>
      </c>
      <c r="I3324" s="12" t="s">
        <v>230</v>
      </c>
      <c r="J3324" s="12" t="s">
        <v>419</v>
      </c>
      <c r="K3324" s="12" t="s">
        <v>199</v>
      </c>
      <c r="L3324" s="14"/>
      <c r="M3324" s="12" t="s">
        <v>43</v>
      </c>
      <c r="N3324" s="12" t="s">
        <v>84</v>
      </c>
      <c r="O3324" s="12" t="s">
        <v>12050</v>
      </c>
      <c r="P3324" s="12" t="s">
        <v>66</v>
      </c>
      <c r="Q3324" s="12" t="s">
        <v>67</v>
      </c>
      <c r="R3324" s="12" t="s">
        <v>1500</v>
      </c>
      <c r="S3324" s="13">
        <v>197804352012</v>
      </c>
      <c r="T3324" s="12" t="s">
        <v>235</v>
      </c>
      <c r="U3324" s="12" t="s">
        <v>170</v>
      </c>
      <c r="V3324" s="12" t="s">
        <v>665</v>
      </c>
      <c r="W3324" s="12" t="s">
        <v>175</v>
      </c>
      <c r="X3324" s="14"/>
      <c r="Y3324" s="14"/>
      <c r="Z3324" s="14"/>
      <c r="AA3324" s="14"/>
      <c r="AB3324" s="14"/>
      <c r="AC3324" s="15">
        <v>27.3</v>
      </c>
      <c r="AD3324" s="15">
        <f>AC3324*AG3324</f>
        <v>27.3</v>
      </c>
      <c r="AE3324" s="15">
        <v>60</v>
      </c>
      <c r="AF3324" s="15">
        <f>AE3324*AG3324</f>
        <v>60</v>
      </c>
      <c r="AG3324" s="16">
        <v>1</v>
      </c>
    </row>
    <row r="3325" spans="1:33" ht="15" customHeight="1" x14ac:dyDescent="0.2">
      <c r="A3325" s="11" t="str">
        <f t="shared" si="1188"/>
        <v>VN000P89C9F1</v>
      </c>
      <c r="B3325" s="12" t="s">
        <v>12051</v>
      </c>
      <c r="C3325" s="12" t="s">
        <v>12048</v>
      </c>
      <c r="D3325" s="12" t="s">
        <v>2056</v>
      </c>
      <c r="E3325" s="12" t="s">
        <v>12052</v>
      </c>
      <c r="F3325" s="12" t="s">
        <v>153</v>
      </c>
      <c r="G3325" s="14"/>
      <c r="H3325" s="12" t="s">
        <v>61</v>
      </c>
      <c r="I3325" s="12" t="s">
        <v>230</v>
      </c>
      <c r="J3325" s="12" t="s">
        <v>419</v>
      </c>
      <c r="K3325" s="12" t="s">
        <v>199</v>
      </c>
      <c r="L3325" s="14"/>
      <c r="M3325" s="12" t="s">
        <v>43</v>
      </c>
      <c r="N3325" s="12" t="s">
        <v>84</v>
      </c>
      <c r="O3325" s="12" t="s">
        <v>12053</v>
      </c>
      <c r="P3325" s="12" t="s">
        <v>66</v>
      </c>
      <c r="Q3325" s="12" t="s">
        <v>67</v>
      </c>
      <c r="R3325" s="12" t="s">
        <v>1500</v>
      </c>
      <c r="S3325" s="13">
        <v>197804352524</v>
      </c>
      <c r="T3325" s="12" t="s">
        <v>235</v>
      </c>
      <c r="U3325" s="12" t="s">
        <v>153</v>
      </c>
      <c r="V3325" s="12" t="s">
        <v>665</v>
      </c>
      <c r="W3325" s="12" t="s">
        <v>175</v>
      </c>
      <c r="X3325" s="14"/>
      <c r="Y3325" s="14"/>
      <c r="Z3325" s="14"/>
      <c r="AA3325" s="14"/>
      <c r="AB3325" s="14"/>
      <c r="AC3325" s="15">
        <v>27.3</v>
      </c>
      <c r="AD3325" s="15">
        <f>AC3325*AG3325</f>
        <v>27.3</v>
      </c>
      <c r="AE3325" s="15">
        <v>60</v>
      </c>
      <c r="AF3325" s="15">
        <f>AE3325*AG3325</f>
        <v>60</v>
      </c>
      <c r="AG3325" s="16">
        <v>1</v>
      </c>
    </row>
    <row r="3326" spans="1:33" ht="15" customHeight="1" x14ac:dyDescent="0.2">
      <c r="A3326" s="11" t="str">
        <f t="shared" si="711"/>
        <v>VN000P8A02F1</v>
      </c>
      <c r="B3326" s="12" t="s">
        <v>12054</v>
      </c>
      <c r="C3326" s="12" t="s">
        <v>856</v>
      </c>
      <c r="D3326" s="12" t="s">
        <v>857</v>
      </c>
      <c r="E3326" s="12" t="s">
        <v>12055</v>
      </c>
      <c r="F3326" s="12" t="s">
        <v>179</v>
      </c>
      <c r="G3326" s="14"/>
      <c r="H3326" s="12" t="s">
        <v>61</v>
      </c>
      <c r="I3326" s="12" t="s">
        <v>230</v>
      </c>
      <c r="J3326" s="12" t="s">
        <v>419</v>
      </c>
      <c r="K3326" s="12" t="s">
        <v>199</v>
      </c>
      <c r="L3326" s="14"/>
      <c r="M3326" s="12" t="s">
        <v>43</v>
      </c>
      <c r="N3326" s="12" t="s">
        <v>84</v>
      </c>
      <c r="O3326" s="12" t="s">
        <v>12056</v>
      </c>
      <c r="P3326" s="12" t="s">
        <v>66</v>
      </c>
      <c r="Q3326" s="12" t="s">
        <v>67</v>
      </c>
      <c r="R3326" s="12" t="s">
        <v>623</v>
      </c>
      <c r="S3326" s="13">
        <v>197804351923</v>
      </c>
      <c r="T3326" s="12" t="s">
        <v>49</v>
      </c>
      <c r="U3326" s="12" t="s">
        <v>179</v>
      </c>
      <c r="V3326" s="12" t="s">
        <v>860</v>
      </c>
      <c r="W3326" s="12" t="s">
        <v>455</v>
      </c>
      <c r="X3326" s="14"/>
      <c r="Y3326" s="14"/>
      <c r="Z3326" s="14"/>
      <c r="AA3326" s="14"/>
      <c r="AB3326" s="14"/>
      <c r="AC3326" s="15">
        <v>40.950000000000003</v>
      </c>
      <c r="AD3326" s="15">
        <f>AC3326*AG3326</f>
        <v>40.950000000000003</v>
      </c>
      <c r="AE3326" s="15">
        <v>90</v>
      </c>
      <c r="AF3326" s="15">
        <f>AE3326*AG3326</f>
        <v>90</v>
      </c>
      <c r="AG3326" s="16">
        <v>1</v>
      </c>
    </row>
    <row r="3327" spans="1:33" ht="15" customHeight="1" x14ac:dyDescent="0.2">
      <c r="A3327" s="11" t="str">
        <f t="shared" si="904"/>
        <v>VN000P8CJDU1</v>
      </c>
      <c r="B3327" s="12" t="s">
        <v>12057</v>
      </c>
      <c r="C3327" s="12" t="s">
        <v>856</v>
      </c>
      <c r="D3327" s="12" t="s">
        <v>814</v>
      </c>
      <c r="E3327" s="12" t="s">
        <v>12058</v>
      </c>
      <c r="F3327" s="12" t="s">
        <v>403</v>
      </c>
      <c r="G3327" s="14"/>
      <c r="H3327" s="12" t="s">
        <v>61</v>
      </c>
      <c r="I3327" s="12" t="s">
        <v>230</v>
      </c>
      <c r="J3327" s="12" t="s">
        <v>419</v>
      </c>
      <c r="K3327" s="12" t="s">
        <v>199</v>
      </c>
      <c r="L3327" s="14"/>
      <c r="M3327" s="12" t="s">
        <v>43</v>
      </c>
      <c r="N3327" s="12" t="s">
        <v>84</v>
      </c>
      <c r="O3327" s="12" t="s">
        <v>12059</v>
      </c>
      <c r="P3327" s="12" t="s">
        <v>66</v>
      </c>
      <c r="Q3327" s="12" t="s">
        <v>67</v>
      </c>
      <c r="R3327" s="12" t="s">
        <v>623</v>
      </c>
      <c r="S3327" s="13">
        <v>197804352401</v>
      </c>
      <c r="T3327" s="12" t="s">
        <v>49</v>
      </c>
      <c r="U3327" s="12" t="s">
        <v>403</v>
      </c>
      <c r="V3327" s="12" t="s">
        <v>860</v>
      </c>
      <c r="W3327" s="12" t="s">
        <v>284</v>
      </c>
      <c r="X3327" s="14"/>
      <c r="Y3327" s="14"/>
      <c r="Z3327" s="14"/>
      <c r="AA3327" s="14"/>
      <c r="AB3327" s="14"/>
      <c r="AC3327" s="15">
        <v>38.65</v>
      </c>
      <c r="AD3327" s="15">
        <f>AC3327*AG3327</f>
        <v>38.65</v>
      </c>
      <c r="AE3327" s="15">
        <v>85</v>
      </c>
      <c r="AF3327" s="15">
        <f>AE3327*AG3327</f>
        <v>85</v>
      </c>
      <c r="AG3327" s="16">
        <v>1</v>
      </c>
    </row>
    <row r="3328" spans="1:33" ht="15" customHeight="1" x14ac:dyDescent="0.2">
      <c r="A3328" s="11" t="str">
        <f>HYPERLINK("https://assets.vans.eu/images/VN000P8CJDU-HERO/1","VN000P8CJDU1")</f>
        <v>VN000P8CJDU1</v>
      </c>
      <c r="B3328" s="12" t="s">
        <v>12060</v>
      </c>
      <c r="C3328" s="12" t="s">
        <v>856</v>
      </c>
      <c r="D3328" s="12" t="s">
        <v>814</v>
      </c>
      <c r="E3328" s="12" t="s">
        <v>12061</v>
      </c>
      <c r="F3328" s="12" t="s">
        <v>153</v>
      </c>
      <c r="G3328" s="14"/>
      <c r="H3328" s="12" t="s">
        <v>61</v>
      </c>
      <c r="I3328" s="12" t="s">
        <v>230</v>
      </c>
      <c r="J3328" s="12" t="s">
        <v>419</v>
      </c>
      <c r="K3328" s="12" t="s">
        <v>199</v>
      </c>
      <c r="L3328" s="14"/>
      <c r="M3328" s="12" t="s">
        <v>43</v>
      </c>
      <c r="N3328" s="12" t="s">
        <v>84</v>
      </c>
      <c r="O3328" s="12" t="s">
        <v>12062</v>
      </c>
      <c r="P3328" s="12" t="s">
        <v>66</v>
      </c>
      <c r="Q3328" s="12" t="s">
        <v>67</v>
      </c>
      <c r="R3328" s="12" t="s">
        <v>623</v>
      </c>
      <c r="S3328" s="13">
        <v>197804352685</v>
      </c>
      <c r="T3328" s="12" t="s">
        <v>49</v>
      </c>
      <c r="U3328" s="12" t="s">
        <v>153</v>
      </c>
      <c r="V3328" s="12" t="s">
        <v>860</v>
      </c>
      <c r="W3328" s="12" t="s">
        <v>284</v>
      </c>
      <c r="X3328" s="14"/>
      <c r="Y3328" s="14"/>
      <c r="Z3328" s="14"/>
      <c r="AA3328" s="14"/>
      <c r="AB3328" s="14"/>
      <c r="AC3328" s="15">
        <v>38.65</v>
      </c>
      <c r="AD3328" s="15">
        <f>AC3328*AG3328</f>
        <v>38.65</v>
      </c>
      <c r="AE3328" s="15">
        <v>85</v>
      </c>
      <c r="AF3328" s="15">
        <f>AE3328*AG3328</f>
        <v>85</v>
      </c>
      <c r="AG3328" s="16">
        <v>1</v>
      </c>
    </row>
    <row r="3329" spans="1:33" ht="15" customHeight="1" x14ac:dyDescent="0.2">
      <c r="A3329" s="11" t="str">
        <f>HYPERLINK("https://assets.vans.eu/images/VN000P8GBRD-HERO/1","VN000P8GBRD1")</f>
        <v>VN000P8GBRD1</v>
      </c>
      <c r="B3329" s="12" t="s">
        <v>12063</v>
      </c>
      <c r="C3329" s="12" t="s">
        <v>5406</v>
      </c>
      <c r="D3329" s="12" t="s">
        <v>590</v>
      </c>
      <c r="E3329" s="12" t="s">
        <v>12064</v>
      </c>
      <c r="F3329" s="12" t="s">
        <v>60</v>
      </c>
      <c r="G3329" s="14"/>
      <c r="H3329" s="12" t="s">
        <v>61</v>
      </c>
      <c r="I3329" s="12" t="s">
        <v>230</v>
      </c>
      <c r="J3329" s="12" t="s">
        <v>419</v>
      </c>
      <c r="K3329" s="12" t="s">
        <v>199</v>
      </c>
      <c r="L3329" s="14"/>
      <c r="M3329" s="12" t="s">
        <v>43</v>
      </c>
      <c r="N3329" s="12" t="s">
        <v>84</v>
      </c>
      <c r="O3329" s="12" t="s">
        <v>12065</v>
      </c>
      <c r="P3329" s="12" t="s">
        <v>66</v>
      </c>
      <c r="Q3329" s="12" t="s">
        <v>67</v>
      </c>
      <c r="R3329" s="12" t="s">
        <v>623</v>
      </c>
      <c r="S3329" s="13">
        <v>197804791309</v>
      </c>
      <c r="T3329" s="12" t="s">
        <v>709</v>
      </c>
      <c r="U3329" s="12" t="s">
        <v>60</v>
      </c>
      <c r="V3329" s="12" t="s">
        <v>710</v>
      </c>
      <c r="W3329" s="12" t="s">
        <v>262</v>
      </c>
      <c r="X3329" s="14"/>
      <c r="Y3329" s="14"/>
      <c r="Z3329" s="14"/>
      <c r="AA3329" s="14"/>
      <c r="AB3329" s="14"/>
      <c r="AC3329" s="15">
        <v>34.1</v>
      </c>
      <c r="AD3329" s="15">
        <f>AC3329*AG3329</f>
        <v>34.1</v>
      </c>
      <c r="AE3329" s="15">
        <v>75</v>
      </c>
      <c r="AF3329" s="15">
        <f>AE3329*AG3329</f>
        <v>75</v>
      </c>
      <c r="AG3329" s="16">
        <v>1</v>
      </c>
    </row>
    <row r="3330" spans="1:33" ht="15" customHeight="1" x14ac:dyDescent="0.2">
      <c r="A3330" s="11" t="str">
        <f t="shared" si="437"/>
        <v>VN000P8MEMW1</v>
      </c>
      <c r="B3330" s="12" t="s">
        <v>12066</v>
      </c>
      <c r="C3330" s="12" t="s">
        <v>4181</v>
      </c>
      <c r="D3330" s="12" t="s">
        <v>147</v>
      </c>
      <c r="E3330" s="12" t="s">
        <v>12067</v>
      </c>
      <c r="F3330" s="12" t="s">
        <v>60</v>
      </c>
      <c r="G3330" s="14"/>
      <c r="H3330" s="12" t="s">
        <v>61</v>
      </c>
      <c r="I3330" s="12" t="s">
        <v>230</v>
      </c>
      <c r="J3330" s="12" t="s">
        <v>419</v>
      </c>
      <c r="K3330" s="12" t="s">
        <v>199</v>
      </c>
      <c r="L3330" s="14"/>
      <c r="M3330" s="12" t="s">
        <v>43</v>
      </c>
      <c r="N3330" s="12" t="s">
        <v>84</v>
      </c>
      <c r="O3330" s="12" t="s">
        <v>12068</v>
      </c>
      <c r="P3330" s="12" t="s">
        <v>66</v>
      </c>
      <c r="Q3330" s="12" t="s">
        <v>67</v>
      </c>
      <c r="R3330" s="12" t="s">
        <v>421</v>
      </c>
      <c r="S3330" s="13">
        <v>197805791353</v>
      </c>
      <c r="T3330" s="12" t="s">
        <v>49</v>
      </c>
      <c r="U3330" s="12" t="s">
        <v>60</v>
      </c>
      <c r="V3330" s="12" t="s">
        <v>665</v>
      </c>
      <c r="W3330" s="12" t="s">
        <v>118</v>
      </c>
      <c r="X3330" s="14"/>
      <c r="Y3330" s="14"/>
      <c r="Z3330" s="14"/>
      <c r="AA3330" s="14"/>
      <c r="AB3330" s="14"/>
      <c r="AC3330" s="15">
        <v>25</v>
      </c>
      <c r="AD3330" s="15">
        <f>AC3330*AG3330</f>
        <v>25</v>
      </c>
      <c r="AE3330" s="15">
        <v>55</v>
      </c>
      <c r="AF3330" s="15">
        <f>AE3330*AG3330</f>
        <v>55</v>
      </c>
      <c r="AG3330" s="16">
        <v>1</v>
      </c>
    </row>
    <row r="3331" spans="1:33" ht="15" customHeight="1" x14ac:dyDescent="0.2">
      <c r="A3331" s="11" t="str">
        <f t="shared" ref="A3331:A3332" si="1189">HYPERLINK("https://assets.vans.eu/images/VN000P8VBLK-HERO/1","VN000P8VBLK1")</f>
        <v>VN000P8VBLK1</v>
      </c>
      <c r="B3331" s="12" t="s">
        <v>12069</v>
      </c>
      <c r="C3331" s="12" t="s">
        <v>12070</v>
      </c>
      <c r="D3331" s="12" t="s">
        <v>76</v>
      </c>
      <c r="E3331" s="12" t="s">
        <v>12071</v>
      </c>
      <c r="F3331" s="12" t="s">
        <v>403</v>
      </c>
      <c r="G3331" s="14"/>
      <c r="H3331" s="12" t="s">
        <v>61</v>
      </c>
      <c r="I3331" s="12" t="s">
        <v>230</v>
      </c>
      <c r="J3331" s="12" t="s">
        <v>419</v>
      </c>
      <c r="K3331" s="12" t="s">
        <v>199</v>
      </c>
      <c r="L3331" s="12" t="s">
        <v>10601</v>
      </c>
      <c r="M3331" s="12" t="s">
        <v>43</v>
      </c>
      <c r="N3331" s="12" t="s">
        <v>84</v>
      </c>
      <c r="O3331" s="12" t="s">
        <v>12072</v>
      </c>
      <c r="P3331" s="12" t="s">
        <v>66</v>
      </c>
      <c r="Q3331" s="12" t="s">
        <v>67</v>
      </c>
      <c r="R3331" s="12" t="s">
        <v>1500</v>
      </c>
      <c r="S3331" s="13">
        <v>197804608423</v>
      </c>
      <c r="T3331" s="12" t="s">
        <v>49</v>
      </c>
      <c r="U3331" s="12" t="s">
        <v>403</v>
      </c>
      <c r="V3331" s="12" t="s">
        <v>665</v>
      </c>
      <c r="W3331" s="12" t="s">
        <v>51</v>
      </c>
      <c r="X3331" s="14"/>
      <c r="Y3331" s="14"/>
      <c r="Z3331" s="14"/>
      <c r="AA3331" s="14"/>
      <c r="AB3331" s="14"/>
      <c r="AC3331" s="15">
        <v>34.1</v>
      </c>
      <c r="AD3331" s="15">
        <f>AC3331*AG3331</f>
        <v>34.1</v>
      </c>
      <c r="AE3331" s="15">
        <v>75</v>
      </c>
      <c r="AF3331" s="15">
        <f>AE3331*AG3331</f>
        <v>75</v>
      </c>
      <c r="AG3331" s="16">
        <v>1</v>
      </c>
    </row>
    <row r="3332" spans="1:33" ht="15" customHeight="1" x14ac:dyDescent="0.2">
      <c r="A3332" s="11" t="str">
        <f t="shared" si="1189"/>
        <v>VN000P8VBLK1</v>
      </c>
      <c r="B3332" s="12" t="s">
        <v>12073</v>
      </c>
      <c r="C3332" s="12" t="s">
        <v>12070</v>
      </c>
      <c r="D3332" s="12" t="s">
        <v>76</v>
      </c>
      <c r="E3332" s="12" t="s">
        <v>12074</v>
      </c>
      <c r="F3332" s="12" t="s">
        <v>153</v>
      </c>
      <c r="G3332" s="14"/>
      <c r="H3332" s="12" t="s">
        <v>61</v>
      </c>
      <c r="I3332" s="12" t="s">
        <v>230</v>
      </c>
      <c r="J3332" s="12" t="s">
        <v>419</v>
      </c>
      <c r="K3332" s="12" t="s">
        <v>199</v>
      </c>
      <c r="L3332" s="12" t="s">
        <v>10601</v>
      </c>
      <c r="M3332" s="12" t="s">
        <v>43</v>
      </c>
      <c r="N3332" s="12" t="s">
        <v>84</v>
      </c>
      <c r="O3332" s="12" t="s">
        <v>12075</v>
      </c>
      <c r="P3332" s="12" t="s">
        <v>66</v>
      </c>
      <c r="Q3332" s="12" t="s">
        <v>67</v>
      </c>
      <c r="R3332" s="12" t="s">
        <v>1500</v>
      </c>
      <c r="S3332" s="13">
        <v>197804608768</v>
      </c>
      <c r="T3332" s="12" t="s">
        <v>49</v>
      </c>
      <c r="U3332" s="12" t="s">
        <v>153</v>
      </c>
      <c r="V3332" s="12" t="s">
        <v>665</v>
      </c>
      <c r="W3332" s="12" t="s">
        <v>51</v>
      </c>
      <c r="X3332" s="14"/>
      <c r="Y3332" s="14"/>
      <c r="Z3332" s="14"/>
      <c r="AA3332" s="14"/>
      <c r="AB3332" s="14"/>
      <c r="AC3332" s="15">
        <v>34.1</v>
      </c>
      <c r="AD3332" s="15">
        <f>AC3332*AG3332</f>
        <v>34.1</v>
      </c>
      <c r="AE3332" s="15">
        <v>75</v>
      </c>
      <c r="AF3332" s="15">
        <f>AE3332*AG3332</f>
        <v>75</v>
      </c>
      <c r="AG3332" s="16">
        <v>1</v>
      </c>
    </row>
    <row r="3333" spans="1:33" ht="15" customHeight="1" x14ac:dyDescent="0.2">
      <c r="A3333" s="11" t="str">
        <f t="shared" si="712"/>
        <v>VN000P93EMT1</v>
      </c>
      <c r="B3333" s="12" t="s">
        <v>12076</v>
      </c>
      <c r="C3333" s="12" t="s">
        <v>6608</v>
      </c>
      <c r="D3333" s="12" t="s">
        <v>5149</v>
      </c>
      <c r="E3333" s="12" t="s">
        <v>12077</v>
      </c>
      <c r="F3333" s="12" t="s">
        <v>179</v>
      </c>
      <c r="G3333" s="14"/>
      <c r="H3333" s="12" t="s">
        <v>61</v>
      </c>
      <c r="I3333" s="12" t="s">
        <v>230</v>
      </c>
      <c r="J3333" s="12" t="s">
        <v>419</v>
      </c>
      <c r="K3333" s="12" t="s">
        <v>199</v>
      </c>
      <c r="L3333" s="14"/>
      <c r="M3333" s="12" t="s">
        <v>43</v>
      </c>
      <c r="N3333" s="12" t="s">
        <v>84</v>
      </c>
      <c r="O3333" s="12" t="s">
        <v>12078</v>
      </c>
      <c r="P3333" s="12" t="s">
        <v>66</v>
      </c>
      <c r="Q3333" s="12" t="s">
        <v>67</v>
      </c>
      <c r="R3333" s="12" t="s">
        <v>1490</v>
      </c>
      <c r="S3333" s="13">
        <v>197804353040</v>
      </c>
      <c r="T3333" s="12" t="s">
        <v>105</v>
      </c>
      <c r="U3333" s="12" t="s">
        <v>179</v>
      </c>
      <c r="V3333" s="12" t="s">
        <v>6611</v>
      </c>
      <c r="W3333" s="12" t="s">
        <v>284</v>
      </c>
      <c r="X3333" s="14"/>
      <c r="Y3333" s="14"/>
      <c r="Z3333" s="14"/>
      <c r="AA3333" s="14"/>
      <c r="AB3333" s="14"/>
      <c r="AC3333" s="15">
        <v>40.950000000000003</v>
      </c>
      <c r="AD3333" s="15">
        <f>AC3333*AG3333</f>
        <v>40.950000000000003</v>
      </c>
      <c r="AE3333" s="15">
        <v>90</v>
      </c>
      <c r="AF3333" s="15">
        <f>AE3333*AG3333</f>
        <v>90</v>
      </c>
      <c r="AG3333" s="16">
        <v>1</v>
      </c>
    </row>
    <row r="3334" spans="1:33" ht="15" customHeight="1" x14ac:dyDescent="0.2">
      <c r="A3334" s="11" t="str">
        <f t="shared" ref="A3334:A3335" si="1190">HYPERLINK("https://assets.vans.eu/images/VN000P94FII-HERO/1","VN000P94FII1")</f>
        <v>VN000P94FII1</v>
      </c>
      <c r="B3334" s="12" t="s">
        <v>12079</v>
      </c>
      <c r="C3334" s="12" t="s">
        <v>12080</v>
      </c>
      <c r="D3334" s="12" t="s">
        <v>12081</v>
      </c>
      <c r="E3334" s="12" t="s">
        <v>12082</v>
      </c>
      <c r="F3334" s="12" t="s">
        <v>179</v>
      </c>
      <c r="G3334" s="14"/>
      <c r="H3334" s="12" t="s">
        <v>61</v>
      </c>
      <c r="I3334" s="12" t="s">
        <v>230</v>
      </c>
      <c r="J3334" s="12" t="s">
        <v>419</v>
      </c>
      <c r="K3334" s="12" t="s">
        <v>199</v>
      </c>
      <c r="L3334" s="14"/>
      <c r="M3334" s="12" t="s">
        <v>43</v>
      </c>
      <c r="N3334" s="12" t="s">
        <v>84</v>
      </c>
      <c r="O3334" s="12" t="s">
        <v>12083</v>
      </c>
      <c r="P3334" s="12" t="s">
        <v>66</v>
      </c>
      <c r="Q3334" s="12" t="s">
        <v>67</v>
      </c>
      <c r="R3334" s="12" t="s">
        <v>1490</v>
      </c>
      <c r="S3334" s="13">
        <v>197804392674</v>
      </c>
      <c r="T3334" s="12" t="s">
        <v>105</v>
      </c>
      <c r="U3334" s="12" t="s">
        <v>179</v>
      </c>
      <c r="V3334" s="12" t="s">
        <v>665</v>
      </c>
      <c r="W3334" s="12" t="s">
        <v>51</v>
      </c>
      <c r="X3334" s="14"/>
      <c r="Y3334" s="14"/>
      <c r="Z3334" s="14"/>
      <c r="AA3334" s="14"/>
      <c r="AB3334" s="14"/>
      <c r="AC3334" s="15">
        <v>40.950000000000003</v>
      </c>
      <c r="AD3334" s="15">
        <f>AC3334*AG3334</f>
        <v>40.950000000000003</v>
      </c>
      <c r="AE3334" s="15">
        <v>90</v>
      </c>
      <c r="AF3334" s="15">
        <f>AE3334*AG3334</f>
        <v>90</v>
      </c>
      <c r="AG3334" s="16">
        <v>1</v>
      </c>
    </row>
    <row r="3335" spans="1:33" ht="15" customHeight="1" x14ac:dyDescent="0.2">
      <c r="A3335" s="11" t="str">
        <f t="shared" si="1190"/>
        <v>VN000P94FII1</v>
      </c>
      <c r="B3335" s="12" t="s">
        <v>12084</v>
      </c>
      <c r="C3335" s="12" t="s">
        <v>12080</v>
      </c>
      <c r="D3335" s="12" t="s">
        <v>12081</v>
      </c>
      <c r="E3335" s="12" t="s">
        <v>12085</v>
      </c>
      <c r="F3335" s="12" t="s">
        <v>403</v>
      </c>
      <c r="G3335" s="14"/>
      <c r="H3335" s="12" t="s">
        <v>61</v>
      </c>
      <c r="I3335" s="12" t="s">
        <v>230</v>
      </c>
      <c r="J3335" s="12" t="s">
        <v>419</v>
      </c>
      <c r="K3335" s="12" t="s">
        <v>199</v>
      </c>
      <c r="L3335" s="14"/>
      <c r="M3335" s="12" t="s">
        <v>43</v>
      </c>
      <c r="N3335" s="12" t="s">
        <v>84</v>
      </c>
      <c r="O3335" s="12" t="s">
        <v>12086</v>
      </c>
      <c r="P3335" s="12" t="s">
        <v>66</v>
      </c>
      <c r="Q3335" s="12" t="s">
        <v>67</v>
      </c>
      <c r="R3335" s="12" t="s">
        <v>1490</v>
      </c>
      <c r="S3335" s="13">
        <v>197804392759</v>
      </c>
      <c r="T3335" s="12" t="s">
        <v>105</v>
      </c>
      <c r="U3335" s="12" t="s">
        <v>403</v>
      </c>
      <c r="V3335" s="12" t="s">
        <v>665</v>
      </c>
      <c r="W3335" s="12" t="s">
        <v>51</v>
      </c>
      <c r="X3335" s="14"/>
      <c r="Y3335" s="14"/>
      <c r="Z3335" s="14"/>
      <c r="AA3335" s="14"/>
      <c r="AB3335" s="14"/>
      <c r="AC3335" s="15">
        <v>40.950000000000003</v>
      </c>
      <c r="AD3335" s="15">
        <f>AC3335*AG3335</f>
        <v>40.950000000000003</v>
      </c>
      <c r="AE3335" s="15">
        <v>90</v>
      </c>
      <c r="AF3335" s="15">
        <f>AE3335*AG3335</f>
        <v>90</v>
      </c>
      <c r="AG3335" s="16">
        <v>1</v>
      </c>
    </row>
    <row r="3336" spans="1:33" ht="15" customHeight="1" x14ac:dyDescent="0.2">
      <c r="A3336" s="11" t="str">
        <f>HYPERLINK("https://assets.vans.eu/images/VN000PA9ENA-HERO/1","VN000PA9ENA1")</f>
        <v>VN000PA9ENA1</v>
      </c>
      <c r="B3336" s="12" t="s">
        <v>12087</v>
      </c>
      <c r="C3336" s="12" t="s">
        <v>12088</v>
      </c>
      <c r="D3336" s="12" t="s">
        <v>280</v>
      </c>
      <c r="E3336" s="12" t="s">
        <v>12089</v>
      </c>
      <c r="F3336" s="12" t="s">
        <v>60</v>
      </c>
      <c r="G3336" s="14"/>
      <c r="H3336" s="12" t="s">
        <v>61</v>
      </c>
      <c r="I3336" s="12" t="s">
        <v>230</v>
      </c>
      <c r="J3336" s="12" t="s">
        <v>419</v>
      </c>
      <c r="K3336" s="12" t="s">
        <v>199</v>
      </c>
      <c r="L3336" s="14"/>
      <c r="M3336" s="12" t="s">
        <v>43</v>
      </c>
      <c r="N3336" s="12" t="s">
        <v>84</v>
      </c>
      <c r="O3336" s="12" t="s">
        <v>12090</v>
      </c>
      <c r="P3336" s="12" t="s">
        <v>66</v>
      </c>
      <c r="Q3336" s="12" t="s">
        <v>67</v>
      </c>
      <c r="R3336" s="12" t="s">
        <v>623</v>
      </c>
      <c r="S3336" s="13">
        <v>197804608409</v>
      </c>
      <c r="T3336" s="12" t="s">
        <v>49</v>
      </c>
      <c r="U3336" s="12" t="s">
        <v>60</v>
      </c>
      <c r="V3336" s="12" t="s">
        <v>1726</v>
      </c>
      <c r="W3336" s="12" t="s">
        <v>284</v>
      </c>
      <c r="X3336" s="14"/>
      <c r="Y3336" s="14"/>
      <c r="Z3336" s="14"/>
      <c r="AA3336" s="14"/>
      <c r="AB3336" s="14"/>
      <c r="AC3336" s="15">
        <v>34.1</v>
      </c>
      <c r="AD3336" s="15">
        <f>AC3336*AG3336</f>
        <v>34.1</v>
      </c>
      <c r="AE3336" s="15">
        <v>75</v>
      </c>
      <c r="AF3336" s="15">
        <f>AE3336*AG3336</f>
        <v>75</v>
      </c>
      <c r="AG3336" s="16">
        <v>1</v>
      </c>
    </row>
    <row r="3337" spans="1:33" ht="15" customHeight="1" x14ac:dyDescent="0.2">
      <c r="A3337" s="11" t="str">
        <f t="shared" ref="A3337:A3339" si="1191">HYPERLINK("https://assets.vans.eu/images/VN000PAABLK-HERO/1","VN000PAABLK1")</f>
        <v>VN000PAABLK1</v>
      </c>
      <c r="B3337" s="12" t="s">
        <v>12091</v>
      </c>
      <c r="C3337" s="12" t="s">
        <v>8319</v>
      </c>
      <c r="D3337" s="12" t="s">
        <v>76</v>
      </c>
      <c r="E3337" s="12" t="s">
        <v>12092</v>
      </c>
      <c r="F3337" s="12" t="s">
        <v>179</v>
      </c>
      <c r="G3337" s="14"/>
      <c r="H3337" s="12" t="s">
        <v>61</v>
      </c>
      <c r="I3337" s="12" t="s">
        <v>230</v>
      </c>
      <c r="J3337" s="12" t="s">
        <v>419</v>
      </c>
      <c r="K3337" s="12" t="s">
        <v>199</v>
      </c>
      <c r="L3337" s="14"/>
      <c r="M3337" s="12" t="s">
        <v>43</v>
      </c>
      <c r="N3337" s="12" t="s">
        <v>84</v>
      </c>
      <c r="O3337" s="12" t="s">
        <v>12093</v>
      </c>
      <c r="P3337" s="12" t="s">
        <v>66</v>
      </c>
      <c r="Q3337" s="12" t="s">
        <v>67</v>
      </c>
      <c r="R3337" s="12" t="s">
        <v>623</v>
      </c>
      <c r="S3337" s="13">
        <v>197804353323</v>
      </c>
      <c r="T3337" s="12" t="s">
        <v>709</v>
      </c>
      <c r="U3337" s="12" t="s">
        <v>179</v>
      </c>
      <c r="V3337" s="12" t="s">
        <v>710</v>
      </c>
      <c r="W3337" s="12" t="s">
        <v>51</v>
      </c>
      <c r="X3337" s="14"/>
      <c r="Y3337" s="14"/>
      <c r="Z3337" s="14"/>
      <c r="AA3337" s="14"/>
      <c r="AB3337" s="14"/>
      <c r="AC3337" s="15">
        <v>31.85</v>
      </c>
      <c r="AD3337" s="15">
        <f>AC3337*AG3337</f>
        <v>31.85</v>
      </c>
      <c r="AE3337" s="15">
        <v>70</v>
      </c>
      <c r="AF3337" s="15">
        <f>AE3337*AG3337</f>
        <v>70</v>
      </c>
      <c r="AG3337" s="16">
        <v>1</v>
      </c>
    </row>
    <row r="3338" spans="1:33" ht="15" customHeight="1" x14ac:dyDescent="0.2">
      <c r="A3338" s="11" t="str">
        <f t="shared" si="1191"/>
        <v>VN000PAABLK1</v>
      </c>
      <c r="B3338" s="12" t="s">
        <v>12094</v>
      </c>
      <c r="C3338" s="12" t="s">
        <v>8319</v>
      </c>
      <c r="D3338" s="12" t="s">
        <v>76</v>
      </c>
      <c r="E3338" s="12" t="s">
        <v>12095</v>
      </c>
      <c r="F3338" s="12" t="s">
        <v>170</v>
      </c>
      <c r="G3338" s="14"/>
      <c r="H3338" s="12" t="s">
        <v>61</v>
      </c>
      <c r="I3338" s="12" t="s">
        <v>230</v>
      </c>
      <c r="J3338" s="12" t="s">
        <v>419</v>
      </c>
      <c r="K3338" s="12" t="s">
        <v>199</v>
      </c>
      <c r="L3338" s="14"/>
      <c r="M3338" s="12" t="s">
        <v>43</v>
      </c>
      <c r="N3338" s="12" t="s">
        <v>84</v>
      </c>
      <c r="O3338" s="12" t="s">
        <v>12096</v>
      </c>
      <c r="P3338" s="12" t="s">
        <v>66</v>
      </c>
      <c r="Q3338" s="12" t="s">
        <v>67</v>
      </c>
      <c r="R3338" s="12" t="s">
        <v>623</v>
      </c>
      <c r="S3338" s="13">
        <v>197804353538</v>
      </c>
      <c r="T3338" s="12" t="s">
        <v>709</v>
      </c>
      <c r="U3338" s="12" t="s">
        <v>170</v>
      </c>
      <c r="V3338" s="12" t="s">
        <v>710</v>
      </c>
      <c r="W3338" s="12" t="s">
        <v>51</v>
      </c>
      <c r="X3338" s="14"/>
      <c r="Y3338" s="14"/>
      <c r="Z3338" s="14"/>
      <c r="AA3338" s="14"/>
      <c r="AB3338" s="14"/>
      <c r="AC3338" s="15">
        <v>31.85</v>
      </c>
      <c r="AD3338" s="15">
        <f>AC3338*AG3338</f>
        <v>31.85</v>
      </c>
      <c r="AE3338" s="15">
        <v>70</v>
      </c>
      <c r="AF3338" s="15">
        <f>AE3338*AG3338</f>
        <v>70</v>
      </c>
      <c r="AG3338" s="16">
        <v>1</v>
      </c>
    </row>
    <row r="3339" spans="1:33" ht="15" customHeight="1" x14ac:dyDescent="0.2">
      <c r="A3339" s="11" t="str">
        <f t="shared" si="1191"/>
        <v>VN000PAABLK1</v>
      </c>
      <c r="B3339" s="12" t="s">
        <v>12097</v>
      </c>
      <c r="C3339" s="12" t="s">
        <v>8319</v>
      </c>
      <c r="D3339" s="12" t="s">
        <v>76</v>
      </c>
      <c r="E3339" s="12" t="s">
        <v>12098</v>
      </c>
      <c r="F3339" s="12" t="s">
        <v>403</v>
      </c>
      <c r="G3339" s="14"/>
      <c r="H3339" s="12" t="s">
        <v>61</v>
      </c>
      <c r="I3339" s="12" t="s">
        <v>230</v>
      </c>
      <c r="J3339" s="12" t="s">
        <v>419</v>
      </c>
      <c r="K3339" s="12" t="s">
        <v>199</v>
      </c>
      <c r="L3339" s="14"/>
      <c r="M3339" s="12" t="s">
        <v>43</v>
      </c>
      <c r="N3339" s="12" t="s">
        <v>84</v>
      </c>
      <c r="O3339" s="12" t="s">
        <v>12099</v>
      </c>
      <c r="P3339" s="12" t="s">
        <v>66</v>
      </c>
      <c r="Q3339" s="12" t="s">
        <v>67</v>
      </c>
      <c r="R3339" s="12" t="s">
        <v>623</v>
      </c>
      <c r="S3339" s="13">
        <v>197804353729</v>
      </c>
      <c r="T3339" s="12" t="s">
        <v>709</v>
      </c>
      <c r="U3339" s="12" t="s">
        <v>403</v>
      </c>
      <c r="V3339" s="12" t="s">
        <v>710</v>
      </c>
      <c r="W3339" s="12" t="s">
        <v>51</v>
      </c>
      <c r="X3339" s="14"/>
      <c r="Y3339" s="14"/>
      <c r="Z3339" s="14"/>
      <c r="AA3339" s="14"/>
      <c r="AB3339" s="14"/>
      <c r="AC3339" s="15">
        <v>31.85</v>
      </c>
      <c r="AD3339" s="15">
        <f>AC3339*AG3339</f>
        <v>31.85</v>
      </c>
      <c r="AE3339" s="15">
        <v>70</v>
      </c>
      <c r="AF3339" s="15">
        <f>AE3339*AG3339</f>
        <v>70</v>
      </c>
      <c r="AG3339" s="16">
        <v>1</v>
      </c>
    </row>
    <row r="3340" spans="1:33" ht="15" customHeight="1" x14ac:dyDescent="0.2">
      <c r="A3340" s="11" t="str">
        <f t="shared" si="713"/>
        <v>VN000PAUBLK1</v>
      </c>
      <c r="B3340" s="12" t="s">
        <v>12100</v>
      </c>
      <c r="C3340" s="12" t="s">
        <v>1089</v>
      </c>
      <c r="D3340" s="12" t="s">
        <v>76</v>
      </c>
      <c r="E3340" s="12" t="s">
        <v>12101</v>
      </c>
      <c r="F3340" s="12" t="s">
        <v>60</v>
      </c>
      <c r="G3340" s="14"/>
      <c r="H3340" s="12" t="s">
        <v>61</v>
      </c>
      <c r="I3340" s="12" t="s">
        <v>230</v>
      </c>
      <c r="J3340" s="12" t="s">
        <v>419</v>
      </c>
      <c r="K3340" s="12" t="s">
        <v>199</v>
      </c>
      <c r="L3340" s="14"/>
      <c r="M3340" s="12" t="s">
        <v>43</v>
      </c>
      <c r="N3340" s="12" t="s">
        <v>84</v>
      </c>
      <c r="O3340" s="12" t="s">
        <v>12102</v>
      </c>
      <c r="P3340" s="12" t="s">
        <v>66</v>
      </c>
      <c r="Q3340" s="12" t="s">
        <v>67</v>
      </c>
      <c r="R3340" s="12" t="s">
        <v>623</v>
      </c>
      <c r="S3340" s="13">
        <v>197804354436</v>
      </c>
      <c r="T3340" s="12" t="s">
        <v>49</v>
      </c>
      <c r="U3340" s="12" t="s">
        <v>60</v>
      </c>
      <c r="V3340" s="12" t="s">
        <v>1973</v>
      </c>
      <c r="W3340" s="12" t="s">
        <v>51</v>
      </c>
      <c r="X3340" s="14"/>
      <c r="Y3340" s="14"/>
      <c r="Z3340" s="14"/>
      <c r="AA3340" s="14"/>
      <c r="AB3340" s="14"/>
      <c r="AC3340" s="15">
        <v>36.4</v>
      </c>
      <c r="AD3340" s="15">
        <f>AC3340*AG3340</f>
        <v>36.4</v>
      </c>
      <c r="AE3340" s="15">
        <v>80</v>
      </c>
      <c r="AF3340" s="15">
        <f>AE3340*AG3340</f>
        <v>80</v>
      </c>
      <c r="AG3340" s="16">
        <v>1</v>
      </c>
    </row>
    <row r="3341" spans="1:33" ht="15" customHeight="1" x14ac:dyDescent="0.2">
      <c r="A3341" s="11" t="str">
        <f>HYPERLINK("https://assets.vans.eu/images/VN000PAUBLK-HERO/1","VN000PAUBLK1")</f>
        <v>VN000PAUBLK1</v>
      </c>
      <c r="B3341" s="12" t="s">
        <v>12103</v>
      </c>
      <c r="C3341" s="12" t="s">
        <v>1089</v>
      </c>
      <c r="D3341" s="12" t="s">
        <v>76</v>
      </c>
      <c r="E3341" s="12" t="s">
        <v>12104</v>
      </c>
      <c r="F3341" s="12" t="s">
        <v>621</v>
      </c>
      <c r="G3341" s="14"/>
      <c r="H3341" s="12" t="s">
        <v>61</v>
      </c>
      <c r="I3341" s="12" t="s">
        <v>230</v>
      </c>
      <c r="J3341" s="12" t="s">
        <v>419</v>
      </c>
      <c r="K3341" s="12" t="s">
        <v>199</v>
      </c>
      <c r="L3341" s="14"/>
      <c r="M3341" s="12" t="s">
        <v>43</v>
      </c>
      <c r="N3341" s="12" t="s">
        <v>84</v>
      </c>
      <c r="O3341" s="12" t="s">
        <v>12105</v>
      </c>
      <c r="P3341" s="12" t="s">
        <v>66</v>
      </c>
      <c r="Q3341" s="12" t="s">
        <v>67</v>
      </c>
      <c r="R3341" s="12" t="s">
        <v>623</v>
      </c>
      <c r="S3341" s="13">
        <v>197804354726</v>
      </c>
      <c r="T3341" s="12" t="s">
        <v>49</v>
      </c>
      <c r="U3341" s="12" t="s">
        <v>621</v>
      </c>
      <c r="V3341" s="12" t="s">
        <v>1973</v>
      </c>
      <c r="W3341" s="12" t="s">
        <v>51</v>
      </c>
      <c r="X3341" s="14"/>
      <c r="Y3341" s="14"/>
      <c r="Z3341" s="14"/>
      <c r="AA3341" s="14"/>
      <c r="AB3341" s="14"/>
      <c r="AC3341" s="15">
        <v>36.4</v>
      </c>
      <c r="AD3341" s="15">
        <f>AC3341*AG3341</f>
        <v>36.4</v>
      </c>
      <c r="AE3341" s="15">
        <v>80</v>
      </c>
      <c r="AF3341" s="15">
        <f>AE3341*AG3341</f>
        <v>80</v>
      </c>
      <c r="AG3341" s="16">
        <v>1</v>
      </c>
    </row>
    <row r="3342" spans="1:33" ht="15" customHeight="1" x14ac:dyDescent="0.2">
      <c r="A3342" s="11" t="str">
        <f>HYPERLINK("https://assets.vans.eu/images/VN000PAUEMW-HERO/1","VN000PAUEMW1")</f>
        <v>VN000PAUEMW1</v>
      </c>
      <c r="B3342" s="12" t="s">
        <v>12106</v>
      </c>
      <c r="C3342" s="12" t="s">
        <v>1089</v>
      </c>
      <c r="D3342" s="12" t="s">
        <v>147</v>
      </c>
      <c r="E3342" s="12" t="s">
        <v>12107</v>
      </c>
      <c r="F3342" s="12" t="s">
        <v>179</v>
      </c>
      <c r="G3342" s="14"/>
      <c r="H3342" s="12" t="s">
        <v>61</v>
      </c>
      <c r="I3342" s="12" t="s">
        <v>230</v>
      </c>
      <c r="J3342" s="12" t="s">
        <v>419</v>
      </c>
      <c r="K3342" s="12" t="s">
        <v>199</v>
      </c>
      <c r="L3342" s="14"/>
      <c r="M3342" s="12" t="s">
        <v>43</v>
      </c>
      <c r="N3342" s="12" t="s">
        <v>84</v>
      </c>
      <c r="O3342" s="12" t="s">
        <v>12108</v>
      </c>
      <c r="P3342" s="12" t="s">
        <v>66</v>
      </c>
      <c r="Q3342" s="12" t="s">
        <v>67</v>
      </c>
      <c r="R3342" s="12" t="s">
        <v>623</v>
      </c>
      <c r="S3342" s="13">
        <v>197804354054</v>
      </c>
      <c r="T3342" s="12" t="s">
        <v>49</v>
      </c>
      <c r="U3342" s="12" t="s">
        <v>179</v>
      </c>
      <c r="V3342" s="12" t="s">
        <v>1973</v>
      </c>
      <c r="W3342" s="12" t="s">
        <v>118</v>
      </c>
      <c r="X3342" s="14"/>
      <c r="Y3342" s="14"/>
      <c r="Z3342" s="14"/>
      <c r="AA3342" s="14"/>
      <c r="AB3342" s="14"/>
      <c r="AC3342" s="15">
        <v>36.4</v>
      </c>
      <c r="AD3342" s="15">
        <f>AC3342*AG3342</f>
        <v>36.4</v>
      </c>
      <c r="AE3342" s="15">
        <v>80</v>
      </c>
      <c r="AF3342" s="15">
        <f>AE3342*AG3342</f>
        <v>80</v>
      </c>
      <c r="AG3342" s="16">
        <v>1</v>
      </c>
    </row>
    <row r="3343" spans="1:33" ht="15" customHeight="1" x14ac:dyDescent="0.2">
      <c r="A3343" s="11" t="str">
        <f t="shared" ref="A3343:A3344" si="1192">HYPERLINK("https://assets.vans.eu/images/VN000PB9BLK-HERO/1","VN000PB9BLK1")</f>
        <v>VN000PB9BLK1</v>
      </c>
      <c r="B3343" s="12" t="s">
        <v>12109</v>
      </c>
      <c r="C3343" s="12" t="s">
        <v>12110</v>
      </c>
      <c r="D3343" s="12" t="s">
        <v>76</v>
      </c>
      <c r="E3343" s="12" t="s">
        <v>12111</v>
      </c>
      <c r="F3343" s="12" t="s">
        <v>179</v>
      </c>
      <c r="G3343" s="14"/>
      <c r="H3343" s="12" t="s">
        <v>61</v>
      </c>
      <c r="I3343" s="12" t="s">
        <v>230</v>
      </c>
      <c r="J3343" s="12" t="s">
        <v>419</v>
      </c>
      <c r="K3343" s="12" t="s">
        <v>199</v>
      </c>
      <c r="L3343" s="14"/>
      <c r="M3343" s="12" t="s">
        <v>43</v>
      </c>
      <c r="N3343" s="12" t="s">
        <v>84</v>
      </c>
      <c r="O3343" s="12" t="s">
        <v>12112</v>
      </c>
      <c r="P3343" s="12" t="s">
        <v>66</v>
      </c>
      <c r="Q3343" s="12" t="s">
        <v>67</v>
      </c>
      <c r="R3343" s="12" t="s">
        <v>421</v>
      </c>
      <c r="S3343" s="13">
        <v>197804354313</v>
      </c>
      <c r="T3343" s="12" t="s">
        <v>915</v>
      </c>
      <c r="U3343" s="12" t="s">
        <v>179</v>
      </c>
      <c r="V3343" s="12" t="s">
        <v>979</v>
      </c>
      <c r="W3343" s="12" t="s">
        <v>51</v>
      </c>
      <c r="X3343" s="14"/>
      <c r="Y3343" s="14"/>
      <c r="Z3343" s="14"/>
      <c r="AA3343" s="14"/>
      <c r="AB3343" s="14"/>
      <c r="AC3343" s="15">
        <v>18.2</v>
      </c>
      <c r="AD3343" s="15">
        <f>AC3343*AG3343</f>
        <v>18.2</v>
      </c>
      <c r="AE3343" s="15">
        <v>40</v>
      </c>
      <c r="AF3343" s="15">
        <f>AE3343*AG3343</f>
        <v>40</v>
      </c>
      <c r="AG3343" s="16">
        <v>1</v>
      </c>
    </row>
    <row r="3344" spans="1:33" ht="15" customHeight="1" x14ac:dyDescent="0.2">
      <c r="A3344" s="11" t="str">
        <f t="shared" si="1192"/>
        <v>VN000PB9BLK1</v>
      </c>
      <c r="B3344" s="12" t="s">
        <v>12113</v>
      </c>
      <c r="C3344" s="12" t="s">
        <v>12110</v>
      </c>
      <c r="D3344" s="12" t="s">
        <v>76</v>
      </c>
      <c r="E3344" s="12" t="s">
        <v>12114</v>
      </c>
      <c r="F3344" s="12" t="s">
        <v>403</v>
      </c>
      <c r="G3344" s="14"/>
      <c r="H3344" s="12" t="s">
        <v>61</v>
      </c>
      <c r="I3344" s="12" t="s">
        <v>230</v>
      </c>
      <c r="J3344" s="12" t="s">
        <v>419</v>
      </c>
      <c r="K3344" s="12" t="s">
        <v>199</v>
      </c>
      <c r="L3344" s="14"/>
      <c r="M3344" s="12" t="s">
        <v>43</v>
      </c>
      <c r="N3344" s="12" t="s">
        <v>84</v>
      </c>
      <c r="O3344" s="12" t="s">
        <v>12115</v>
      </c>
      <c r="P3344" s="12" t="s">
        <v>66</v>
      </c>
      <c r="Q3344" s="12" t="s">
        <v>67</v>
      </c>
      <c r="R3344" s="12" t="s">
        <v>421</v>
      </c>
      <c r="S3344" s="13">
        <v>197804354559</v>
      </c>
      <c r="T3344" s="12" t="s">
        <v>915</v>
      </c>
      <c r="U3344" s="12" t="s">
        <v>403</v>
      </c>
      <c r="V3344" s="12" t="s">
        <v>979</v>
      </c>
      <c r="W3344" s="12" t="s">
        <v>51</v>
      </c>
      <c r="X3344" s="14"/>
      <c r="Y3344" s="14"/>
      <c r="Z3344" s="14"/>
      <c r="AA3344" s="14"/>
      <c r="AB3344" s="14"/>
      <c r="AC3344" s="15">
        <v>18.2</v>
      </c>
      <c r="AD3344" s="15">
        <f>AC3344*AG3344</f>
        <v>18.2</v>
      </c>
      <c r="AE3344" s="15">
        <v>40</v>
      </c>
      <c r="AF3344" s="15">
        <f>AE3344*AG3344</f>
        <v>40</v>
      </c>
      <c r="AG3344" s="16">
        <v>1</v>
      </c>
    </row>
    <row r="3345" spans="1:33" ht="15" customHeight="1" x14ac:dyDescent="0.2">
      <c r="A3345" s="11" t="str">
        <f t="shared" ref="A3345:A3347" si="1193">HYPERLINK("https://assets.vans.eu/images/VN000PBSBRD-HERO/1","VN000PBSBRD1")</f>
        <v>VN000PBSBRD1</v>
      </c>
      <c r="B3345" s="12" t="s">
        <v>12116</v>
      </c>
      <c r="C3345" s="12" t="s">
        <v>12117</v>
      </c>
      <c r="D3345" s="12" t="s">
        <v>590</v>
      </c>
      <c r="E3345" s="12" t="s">
        <v>12118</v>
      </c>
      <c r="F3345" s="12" t="s">
        <v>179</v>
      </c>
      <c r="G3345" s="14"/>
      <c r="H3345" s="12" t="s">
        <v>61</v>
      </c>
      <c r="I3345" s="12" t="s">
        <v>230</v>
      </c>
      <c r="J3345" s="12" t="s">
        <v>419</v>
      </c>
      <c r="K3345" s="12" t="s">
        <v>199</v>
      </c>
      <c r="L3345" s="14"/>
      <c r="M3345" s="12" t="s">
        <v>43</v>
      </c>
      <c r="N3345" s="12" t="s">
        <v>84</v>
      </c>
      <c r="O3345" s="12" t="s">
        <v>12119</v>
      </c>
      <c r="P3345" s="12" t="s">
        <v>66</v>
      </c>
      <c r="Q3345" s="12" t="s">
        <v>67</v>
      </c>
      <c r="R3345" s="12" t="s">
        <v>421</v>
      </c>
      <c r="S3345" s="13">
        <v>197804666577</v>
      </c>
      <c r="T3345" s="12" t="s">
        <v>915</v>
      </c>
      <c r="U3345" s="12" t="s">
        <v>179</v>
      </c>
      <c r="V3345" s="12" t="s">
        <v>979</v>
      </c>
      <c r="W3345" s="12" t="s">
        <v>262</v>
      </c>
      <c r="X3345" s="14"/>
      <c r="Y3345" s="14"/>
      <c r="Z3345" s="14"/>
      <c r="AA3345" s="14"/>
      <c r="AB3345" s="14"/>
      <c r="AC3345" s="15">
        <v>15.95</v>
      </c>
      <c r="AD3345" s="15">
        <f>AC3345*AG3345</f>
        <v>15.95</v>
      </c>
      <c r="AE3345" s="15">
        <v>35</v>
      </c>
      <c r="AF3345" s="15">
        <f>AE3345*AG3345</f>
        <v>35</v>
      </c>
      <c r="AG3345" s="16">
        <v>1</v>
      </c>
    </row>
    <row r="3346" spans="1:33" ht="15" customHeight="1" x14ac:dyDescent="0.2">
      <c r="A3346" s="11" t="str">
        <f t="shared" si="1193"/>
        <v>VN000PBSBRD1</v>
      </c>
      <c r="B3346" s="12" t="s">
        <v>12120</v>
      </c>
      <c r="C3346" s="12" t="s">
        <v>12117</v>
      </c>
      <c r="D3346" s="12" t="s">
        <v>590</v>
      </c>
      <c r="E3346" s="12" t="s">
        <v>12121</v>
      </c>
      <c r="F3346" s="12" t="s">
        <v>403</v>
      </c>
      <c r="G3346" s="14"/>
      <c r="H3346" s="12" t="s">
        <v>61</v>
      </c>
      <c r="I3346" s="12" t="s">
        <v>230</v>
      </c>
      <c r="J3346" s="12" t="s">
        <v>419</v>
      </c>
      <c r="K3346" s="12" t="s">
        <v>199</v>
      </c>
      <c r="L3346" s="14"/>
      <c r="M3346" s="12" t="s">
        <v>43</v>
      </c>
      <c r="N3346" s="12" t="s">
        <v>84</v>
      </c>
      <c r="O3346" s="12" t="s">
        <v>12122</v>
      </c>
      <c r="P3346" s="12" t="s">
        <v>66</v>
      </c>
      <c r="Q3346" s="12" t="s">
        <v>67</v>
      </c>
      <c r="R3346" s="12" t="s">
        <v>421</v>
      </c>
      <c r="S3346" s="13">
        <v>197804666959</v>
      </c>
      <c r="T3346" s="12" t="s">
        <v>915</v>
      </c>
      <c r="U3346" s="12" t="s">
        <v>403</v>
      </c>
      <c r="V3346" s="12" t="s">
        <v>979</v>
      </c>
      <c r="W3346" s="12" t="s">
        <v>262</v>
      </c>
      <c r="X3346" s="14"/>
      <c r="Y3346" s="14"/>
      <c r="Z3346" s="14"/>
      <c r="AA3346" s="14"/>
      <c r="AB3346" s="14"/>
      <c r="AC3346" s="15">
        <v>15.95</v>
      </c>
      <c r="AD3346" s="15">
        <f>AC3346*AG3346</f>
        <v>15.95</v>
      </c>
      <c r="AE3346" s="15">
        <v>35</v>
      </c>
      <c r="AF3346" s="15">
        <f>AE3346*AG3346</f>
        <v>35</v>
      </c>
      <c r="AG3346" s="16">
        <v>1</v>
      </c>
    </row>
    <row r="3347" spans="1:33" ht="15" customHeight="1" x14ac:dyDescent="0.2">
      <c r="A3347" s="11" t="str">
        <f t="shared" si="1193"/>
        <v>VN000PBSBRD1</v>
      </c>
      <c r="B3347" s="12" t="s">
        <v>12123</v>
      </c>
      <c r="C3347" s="12" t="s">
        <v>12117</v>
      </c>
      <c r="D3347" s="12" t="s">
        <v>590</v>
      </c>
      <c r="E3347" s="12" t="s">
        <v>12124</v>
      </c>
      <c r="F3347" s="12" t="s">
        <v>153</v>
      </c>
      <c r="G3347" s="14"/>
      <c r="H3347" s="12" t="s">
        <v>61</v>
      </c>
      <c r="I3347" s="12" t="s">
        <v>230</v>
      </c>
      <c r="J3347" s="12" t="s">
        <v>419</v>
      </c>
      <c r="K3347" s="12" t="s">
        <v>199</v>
      </c>
      <c r="L3347" s="14"/>
      <c r="M3347" s="12" t="s">
        <v>43</v>
      </c>
      <c r="N3347" s="12" t="s">
        <v>84</v>
      </c>
      <c r="O3347" s="12" t="s">
        <v>12125</v>
      </c>
      <c r="P3347" s="12" t="s">
        <v>66</v>
      </c>
      <c r="Q3347" s="12" t="s">
        <v>67</v>
      </c>
      <c r="R3347" s="12" t="s">
        <v>421</v>
      </c>
      <c r="S3347" s="13">
        <v>197804667291</v>
      </c>
      <c r="T3347" s="12" t="s">
        <v>915</v>
      </c>
      <c r="U3347" s="12" t="s">
        <v>153</v>
      </c>
      <c r="V3347" s="12" t="s">
        <v>979</v>
      </c>
      <c r="W3347" s="12" t="s">
        <v>262</v>
      </c>
      <c r="X3347" s="14"/>
      <c r="Y3347" s="14"/>
      <c r="Z3347" s="14"/>
      <c r="AA3347" s="14"/>
      <c r="AB3347" s="14"/>
      <c r="AC3347" s="15">
        <v>15.95</v>
      </c>
      <c r="AD3347" s="15">
        <f>AC3347*AG3347</f>
        <v>15.95</v>
      </c>
      <c r="AE3347" s="15">
        <v>35</v>
      </c>
      <c r="AF3347" s="15">
        <f>AE3347*AG3347</f>
        <v>35</v>
      </c>
      <c r="AG3347" s="16">
        <v>1</v>
      </c>
    </row>
    <row r="3348" spans="1:33" ht="15" customHeight="1" x14ac:dyDescent="0.2">
      <c r="A3348" s="11" t="str">
        <f>HYPERLINK("https://assets.vans.eu/images/VN000PBTBLK-HERO/1","VN000PBTBLK1")</f>
        <v>VN000PBTBLK1</v>
      </c>
      <c r="B3348" s="12" t="s">
        <v>12126</v>
      </c>
      <c r="C3348" s="12" t="s">
        <v>12127</v>
      </c>
      <c r="D3348" s="12" t="s">
        <v>76</v>
      </c>
      <c r="E3348" s="12" t="s">
        <v>12128</v>
      </c>
      <c r="F3348" s="12" t="s">
        <v>170</v>
      </c>
      <c r="G3348" s="14"/>
      <c r="H3348" s="12" t="s">
        <v>61</v>
      </c>
      <c r="I3348" s="12" t="s">
        <v>230</v>
      </c>
      <c r="J3348" s="12" t="s">
        <v>419</v>
      </c>
      <c r="K3348" s="12" t="s">
        <v>199</v>
      </c>
      <c r="L3348" s="14"/>
      <c r="M3348" s="12" t="s">
        <v>43</v>
      </c>
      <c r="N3348" s="12" t="s">
        <v>84</v>
      </c>
      <c r="O3348" s="12" t="s">
        <v>12129</v>
      </c>
      <c r="P3348" s="12" t="s">
        <v>66</v>
      </c>
      <c r="Q3348" s="12" t="s">
        <v>67</v>
      </c>
      <c r="R3348" s="12" t="s">
        <v>421</v>
      </c>
      <c r="S3348" s="13">
        <v>197804354788</v>
      </c>
      <c r="T3348" s="12" t="s">
        <v>1065</v>
      </c>
      <c r="U3348" s="12" t="s">
        <v>170</v>
      </c>
      <c r="V3348" s="13">
        <v>0</v>
      </c>
      <c r="W3348" s="13">
        <v>0</v>
      </c>
      <c r="X3348" s="14"/>
      <c r="Y3348" s="14"/>
      <c r="Z3348" s="14"/>
      <c r="AA3348" s="14"/>
      <c r="AB3348" s="14"/>
      <c r="AC3348" s="15">
        <v>0</v>
      </c>
      <c r="AD3348" s="15">
        <f>AC3348*AG3348</f>
        <v>0</v>
      </c>
      <c r="AE3348" s="15">
        <v>0</v>
      </c>
      <c r="AF3348" s="15">
        <f>AE3348*AG3348</f>
        <v>0</v>
      </c>
      <c r="AG3348" s="16">
        <v>1</v>
      </c>
    </row>
    <row r="3349" spans="1:33" ht="15" customHeight="1" x14ac:dyDescent="0.2">
      <c r="A3349" s="11" t="str">
        <f t="shared" ref="A3349:A3351" si="1194">HYPERLINK("https://assets.vans.eu/images/VN000PBVWHT-HERO/1","VN000PBVWHT1")</f>
        <v>VN000PBVWHT1</v>
      </c>
      <c r="B3349" s="12" t="s">
        <v>12130</v>
      </c>
      <c r="C3349" s="12" t="s">
        <v>12131</v>
      </c>
      <c r="D3349" s="12" t="s">
        <v>168</v>
      </c>
      <c r="E3349" s="12" t="s">
        <v>12132</v>
      </c>
      <c r="F3349" s="12" t="s">
        <v>179</v>
      </c>
      <c r="G3349" s="14"/>
      <c r="H3349" s="12" t="s">
        <v>61</v>
      </c>
      <c r="I3349" s="12" t="s">
        <v>230</v>
      </c>
      <c r="J3349" s="12" t="s">
        <v>419</v>
      </c>
      <c r="K3349" s="12" t="s">
        <v>199</v>
      </c>
      <c r="L3349" s="14"/>
      <c r="M3349" s="12" t="s">
        <v>43</v>
      </c>
      <c r="N3349" s="12" t="s">
        <v>84</v>
      </c>
      <c r="O3349" s="12" t="s">
        <v>12133</v>
      </c>
      <c r="P3349" s="12" t="s">
        <v>66</v>
      </c>
      <c r="Q3349" s="12" t="s">
        <v>67</v>
      </c>
      <c r="R3349" s="12" t="s">
        <v>421</v>
      </c>
      <c r="S3349" s="13">
        <v>197804354535</v>
      </c>
      <c r="T3349" s="12" t="s">
        <v>915</v>
      </c>
      <c r="U3349" s="12" t="s">
        <v>179</v>
      </c>
      <c r="V3349" s="12" t="s">
        <v>979</v>
      </c>
      <c r="W3349" s="12" t="s">
        <v>175</v>
      </c>
      <c r="X3349" s="14"/>
      <c r="Y3349" s="14"/>
      <c r="Z3349" s="14"/>
      <c r="AA3349" s="14"/>
      <c r="AB3349" s="14"/>
      <c r="AC3349" s="15">
        <v>15.95</v>
      </c>
      <c r="AD3349" s="15">
        <f>AC3349*AG3349</f>
        <v>15.95</v>
      </c>
      <c r="AE3349" s="15">
        <v>35</v>
      </c>
      <c r="AF3349" s="15">
        <f>AE3349*AG3349</f>
        <v>35</v>
      </c>
      <c r="AG3349" s="16">
        <v>1</v>
      </c>
    </row>
    <row r="3350" spans="1:33" ht="15" customHeight="1" x14ac:dyDescent="0.2">
      <c r="A3350" s="11" t="str">
        <f t="shared" si="1194"/>
        <v>VN000PBVWHT1</v>
      </c>
      <c r="B3350" s="12" t="s">
        <v>12134</v>
      </c>
      <c r="C3350" s="12" t="s">
        <v>12131</v>
      </c>
      <c r="D3350" s="12" t="s">
        <v>168</v>
      </c>
      <c r="E3350" s="12" t="s">
        <v>12135</v>
      </c>
      <c r="F3350" s="12" t="s">
        <v>60</v>
      </c>
      <c r="G3350" s="14"/>
      <c r="H3350" s="12" t="s">
        <v>61</v>
      </c>
      <c r="I3350" s="12" t="s">
        <v>230</v>
      </c>
      <c r="J3350" s="12" t="s">
        <v>419</v>
      </c>
      <c r="K3350" s="12" t="s">
        <v>199</v>
      </c>
      <c r="L3350" s="14"/>
      <c r="M3350" s="12" t="s">
        <v>43</v>
      </c>
      <c r="N3350" s="12" t="s">
        <v>84</v>
      </c>
      <c r="O3350" s="12" t="s">
        <v>12136</v>
      </c>
      <c r="P3350" s="12" t="s">
        <v>66</v>
      </c>
      <c r="Q3350" s="12" t="s">
        <v>67</v>
      </c>
      <c r="R3350" s="12" t="s">
        <v>421</v>
      </c>
      <c r="S3350" s="13">
        <v>197804355037</v>
      </c>
      <c r="T3350" s="12" t="s">
        <v>915</v>
      </c>
      <c r="U3350" s="12" t="s">
        <v>60</v>
      </c>
      <c r="V3350" s="12" t="s">
        <v>979</v>
      </c>
      <c r="W3350" s="12" t="s">
        <v>175</v>
      </c>
      <c r="X3350" s="14"/>
      <c r="Y3350" s="14"/>
      <c r="Z3350" s="14"/>
      <c r="AA3350" s="14"/>
      <c r="AB3350" s="14"/>
      <c r="AC3350" s="15">
        <v>15.95</v>
      </c>
      <c r="AD3350" s="15">
        <f>AC3350*AG3350</f>
        <v>15.95</v>
      </c>
      <c r="AE3350" s="15">
        <v>35</v>
      </c>
      <c r="AF3350" s="15">
        <f>AE3350*AG3350</f>
        <v>35</v>
      </c>
      <c r="AG3350" s="16">
        <v>1</v>
      </c>
    </row>
    <row r="3351" spans="1:33" ht="15" customHeight="1" x14ac:dyDescent="0.2">
      <c r="A3351" s="11" t="str">
        <f t="shared" si="1194"/>
        <v>VN000PBVWHT1</v>
      </c>
      <c r="B3351" s="12" t="s">
        <v>12137</v>
      </c>
      <c r="C3351" s="12" t="s">
        <v>12131</v>
      </c>
      <c r="D3351" s="12" t="s">
        <v>168</v>
      </c>
      <c r="E3351" s="12" t="s">
        <v>12138</v>
      </c>
      <c r="F3351" s="12" t="s">
        <v>153</v>
      </c>
      <c r="G3351" s="14"/>
      <c r="H3351" s="12" t="s">
        <v>61</v>
      </c>
      <c r="I3351" s="12" t="s">
        <v>230</v>
      </c>
      <c r="J3351" s="12" t="s">
        <v>419</v>
      </c>
      <c r="K3351" s="12" t="s">
        <v>199</v>
      </c>
      <c r="L3351" s="14"/>
      <c r="M3351" s="12" t="s">
        <v>43</v>
      </c>
      <c r="N3351" s="12" t="s">
        <v>84</v>
      </c>
      <c r="O3351" s="12" t="s">
        <v>12139</v>
      </c>
      <c r="P3351" s="12" t="s">
        <v>66</v>
      </c>
      <c r="Q3351" s="12" t="s">
        <v>67</v>
      </c>
      <c r="R3351" s="12" t="s">
        <v>421</v>
      </c>
      <c r="S3351" s="13">
        <v>197804355082</v>
      </c>
      <c r="T3351" s="12" t="s">
        <v>915</v>
      </c>
      <c r="U3351" s="12" t="s">
        <v>153</v>
      </c>
      <c r="V3351" s="12" t="s">
        <v>979</v>
      </c>
      <c r="W3351" s="12" t="s">
        <v>175</v>
      </c>
      <c r="X3351" s="14"/>
      <c r="Y3351" s="14"/>
      <c r="Z3351" s="14"/>
      <c r="AA3351" s="14"/>
      <c r="AB3351" s="14"/>
      <c r="AC3351" s="15">
        <v>15.95</v>
      </c>
      <c r="AD3351" s="15">
        <f>AC3351*AG3351</f>
        <v>15.95</v>
      </c>
      <c r="AE3351" s="15">
        <v>35</v>
      </c>
      <c r="AF3351" s="15">
        <f>AE3351*AG3351</f>
        <v>35</v>
      </c>
      <c r="AG3351" s="16">
        <v>1</v>
      </c>
    </row>
    <row r="3352" spans="1:33" ht="15" customHeight="1" x14ac:dyDescent="0.2">
      <c r="A3352" s="11" t="str">
        <f t="shared" si="714"/>
        <v>VN000PBX6JL1</v>
      </c>
      <c r="B3352" s="12" t="s">
        <v>12140</v>
      </c>
      <c r="C3352" s="12" t="s">
        <v>4185</v>
      </c>
      <c r="D3352" s="12" t="s">
        <v>2733</v>
      </c>
      <c r="E3352" s="12" t="s">
        <v>12141</v>
      </c>
      <c r="F3352" s="12" t="s">
        <v>170</v>
      </c>
      <c r="G3352" s="14"/>
      <c r="H3352" s="12" t="s">
        <v>61</v>
      </c>
      <c r="I3352" s="12" t="s">
        <v>230</v>
      </c>
      <c r="J3352" s="12" t="s">
        <v>419</v>
      </c>
      <c r="K3352" s="12" t="s">
        <v>199</v>
      </c>
      <c r="L3352" s="14"/>
      <c r="M3352" s="12" t="s">
        <v>43</v>
      </c>
      <c r="N3352" s="12" t="s">
        <v>84</v>
      </c>
      <c r="O3352" s="12" t="s">
        <v>12142</v>
      </c>
      <c r="P3352" s="12" t="s">
        <v>66</v>
      </c>
      <c r="Q3352" s="12" t="s">
        <v>67</v>
      </c>
      <c r="R3352" s="12" t="s">
        <v>421</v>
      </c>
      <c r="S3352" s="13">
        <v>197804674534</v>
      </c>
      <c r="T3352" s="12" t="s">
        <v>915</v>
      </c>
      <c r="U3352" s="12" t="s">
        <v>170</v>
      </c>
      <c r="V3352" s="12" t="s">
        <v>979</v>
      </c>
      <c r="W3352" s="12" t="s">
        <v>118</v>
      </c>
      <c r="X3352" s="14"/>
      <c r="Y3352" s="14"/>
      <c r="Z3352" s="14"/>
      <c r="AA3352" s="14"/>
      <c r="AB3352" s="14"/>
      <c r="AC3352" s="15">
        <v>18.2</v>
      </c>
      <c r="AD3352" s="15">
        <f>AC3352*AG3352</f>
        <v>18.2</v>
      </c>
      <c r="AE3352" s="15">
        <v>40</v>
      </c>
      <c r="AF3352" s="15">
        <f>AE3352*AG3352</f>
        <v>40</v>
      </c>
      <c r="AG3352" s="16">
        <v>1</v>
      </c>
    </row>
    <row r="3353" spans="1:33" ht="15" customHeight="1" x14ac:dyDescent="0.2">
      <c r="A3353" s="11" t="str">
        <f t="shared" ref="A3353:A3354" si="1195">HYPERLINK("https://assets.vans.eu/images/VN000PBX6JL-HERO/1","VN000PBX6JL1")</f>
        <v>VN000PBX6JL1</v>
      </c>
      <c r="B3353" s="12" t="s">
        <v>12143</v>
      </c>
      <c r="C3353" s="12" t="s">
        <v>4185</v>
      </c>
      <c r="D3353" s="12" t="s">
        <v>2733</v>
      </c>
      <c r="E3353" s="12" t="s">
        <v>12144</v>
      </c>
      <c r="F3353" s="12" t="s">
        <v>403</v>
      </c>
      <c r="G3353" s="14"/>
      <c r="H3353" s="12" t="s">
        <v>61</v>
      </c>
      <c r="I3353" s="12" t="s">
        <v>230</v>
      </c>
      <c r="J3353" s="12" t="s">
        <v>419</v>
      </c>
      <c r="K3353" s="12" t="s">
        <v>199</v>
      </c>
      <c r="L3353" s="14"/>
      <c r="M3353" s="12" t="s">
        <v>43</v>
      </c>
      <c r="N3353" s="12" t="s">
        <v>84</v>
      </c>
      <c r="O3353" s="12" t="s">
        <v>12145</v>
      </c>
      <c r="P3353" s="12" t="s">
        <v>66</v>
      </c>
      <c r="Q3353" s="12" t="s">
        <v>67</v>
      </c>
      <c r="R3353" s="12" t="s">
        <v>421</v>
      </c>
      <c r="S3353" s="13">
        <v>197804674558</v>
      </c>
      <c r="T3353" s="12" t="s">
        <v>915</v>
      </c>
      <c r="U3353" s="12" t="s">
        <v>403</v>
      </c>
      <c r="V3353" s="12" t="s">
        <v>979</v>
      </c>
      <c r="W3353" s="12" t="s">
        <v>118</v>
      </c>
      <c r="X3353" s="14"/>
      <c r="Y3353" s="14"/>
      <c r="Z3353" s="14"/>
      <c r="AA3353" s="14"/>
      <c r="AB3353" s="14"/>
      <c r="AC3353" s="15">
        <v>18.2</v>
      </c>
      <c r="AD3353" s="15">
        <f>AC3353*AG3353</f>
        <v>18.2</v>
      </c>
      <c r="AE3353" s="15">
        <v>40</v>
      </c>
      <c r="AF3353" s="15">
        <f>AE3353*AG3353</f>
        <v>40</v>
      </c>
      <c r="AG3353" s="16">
        <v>1</v>
      </c>
    </row>
    <row r="3354" spans="1:33" ht="15" customHeight="1" x14ac:dyDescent="0.2">
      <c r="A3354" s="11" t="str">
        <f t="shared" si="1195"/>
        <v>VN000PBX6JL1</v>
      </c>
      <c r="B3354" s="12" t="s">
        <v>12146</v>
      </c>
      <c r="C3354" s="12" t="s">
        <v>4185</v>
      </c>
      <c r="D3354" s="12" t="s">
        <v>2733</v>
      </c>
      <c r="E3354" s="12" t="s">
        <v>12147</v>
      </c>
      <c r="F3354" s="12" t="s">
        <v>60</v>
      </c>
      <c r="G3354" s="14"/>
      <c r="H3354" s="12" t="s">
        <v>61</v>
      </c>
      <c r="I3354" s="12" t="s">
        <v>230</v>
      </c>
      <c r="J3354" s="12" t="s">
        <v>419</v>
      </c>
      <c r="K3354" s="12" t="s">
        <v>199</v>
      </c>
      <c r="L3354" s="14"/>
      <c r="M3354" s="12" t="s">
        <v>43</v>
      </c>
      <c r="N3354" s="12" t="s">
        <v>84</v>
      </c>
      <c r="O3354" s="12" t="s">
        <v>12148</v>
      </c>
      <c r="P3354" s="12" t="s">
        <v>66</v>
      </c>
      <c r="Q3354" s="12" t="s">
        <v>67</v>
      </c>
      <c r="R3354" s="12" t="s">
        <v>421</v>
      </c>
      <c r="S3354" s="13">
        <v>197804674572</v>
      </c>
      <c r="T3354" s="12" t="s">
        <v>915</v>
      </c>
      <c r="U3354" s="12" t="s">
        <v>60</v>
      </c>
      <c r="V3354" s="12" t="s">
        <v>979</v>
      </c>
      <c r="W3354" s="12" t="s">
        <v>118</v>
      </c>
      <c r="X3354" s="14"/>
      <c r="Y3354" s="14"/>
      <c r="Z3354" s="14"/>
      <c r="AA3354" s="14"/>
      <c r="AB3354" s="14"/>
      <c r="AC3354" s="15">
        <v>18.2</v>
      </c>
      <c r="AD3354" s="15">
        <f>AC3354*AG3354</f>
        <v>18.2</v>
      </c>
      <c r="AE3354" s="15">
        <v>40</v>
      </c>
      <c r="AF3354" s="15">
        <f>AE3354*AG3354</f>
        <v>40</v>
      </c>
      <c r="AG3354" s="16">
        <v>1</v>
      </c>
    </row>
    <row r="3355" spans="1:33" ht="15" customHeight="1" x14ac:dyDescent="0.2">
      <c r="A3355" s="11" t="str">
        <f t="shared" ref="A3355:A3356" si="1196">HYPERLINK("https://assets.vans.eu/images/VN000PBXEML-HERO/1","VN000PBXEML1")</f>
        <v>VN000PBXEML1</v>
      </c>
      <c r="B3355" s="12" t="s">
        <v>12149</v>
      </c>
      <c r="C3355" s="12" t="s">
        <v>4185</v>
      </c>
      <c r="D3355" s="12" t="s">
        <v>3126</v>
      </c>
      <c r="E3355" s="12" t="s">
        <v>12150</v>
      </c>
      <c r="F3355" s="12" t="s">
        <v>170</v>
      </c>
      <c r="G3355" s="14"/>
      <c r="H3355" s="12" t="s">
        <v>61</v>
      </c>
      <c r="I3355" s="12" t="s">
        <v>230</v>
      </c>
      <c r="J3355" s="12" t="s">
        <v>419</v>
      </c>
      <c r="K3355" s="12" t="s">
        <v>199</v>
      </c>
      <c r="L3355" s="14"/>
      <c r="M3355" s="12" t="s">
        <v>43</v>
      </c>
      <c r="N3355" s="12" t="s">
        <v>84</v>
      </c>
      <c r="O3355" s="12" t="s">
        <v>12151</v>
      </c>
      <c r="P3355" s="12" t="s">
        <v>66</v>
      </c>
      <c r="Q3355" s="12" t="s">
        <v>67</v>
      </c>
      <c r="R3355" s="12" t="s">
        <v>421</v>
      </c>
      <c r="S3355" s="13">
        <v>197804674541</v>
      </c>
      <c r="T3355" s="12" t="s">
        <v>915</v>
      </c>
      <c r="U3355" s="12" t="s">
        <v>170</v>
      </c>
      <c r="V3355" s="12" t="s">
        <v>979</v>
      </c>
      <c r="W3355" s="12" t="s">
        <v>284</v>
      </c>
      <c r="X3355" s="14"/>
      <c r="Y3355" s="14"/>
      <c r="Z3355" s="14"/>
      <c r="AA3355" s="14"/>
      <c r="AB3355" s="14"/>
      <c r="AC3355" s="15">
        <v>18.2</v>
      </c>
      <c r="AD3355" s="15">
        <f>AC3355*AG3355</f>
        <v>18.2</v>
      </c>
      <c r="AE3355" s="15">
        <v>40</v>
      </c>
      <c r="AF3355" s="15">
        <f>AE3355*AG3355</f>
        <v>40</v>
      </c>
      <c r="AG3355" s="16">
        <v>1</v>
      </c>
    </row>
    <row r="3356" spans="1:33" ht="15" customHeight="1" x14ac:dyDescent="0.2">
      <c r="A3356" s="11" t="str">
        <f t="shared" si="1196"/>
        <v>VN000PBXEML1</v>
      </c>
      <c r="B3356" s="12" t="s">
        <v>12152</v>
      </c>
      <c r="C3356" s="12" t="s">
        <v>4185</v>
      </c>
      <c r="D3356" s="12" t="s">
        <v>3126</v>
      </c>
      <c r="E3356" s="12" t="s">
        <v>12153</v>
      </c>
      <c r="F3356" s="12" t="s">
        <v>60</v>
      </c>
      <c r="G3356" s="14"/>
      <c r="H3356" s="12" t="s">
        <v>61</v>
      </c>
      <c r="I3356" s="12" t="s">
        <v>230</v>
      </c>
      <c r="J3356" s="12" t="s">
        <v>419</v>
      </c>
      <c r="K3356" s="12" t="s">
        <v>199</v>
      </c>
      <c r="L3356" s="14"/>
      <c r="M3356" s="12" t="s">
        <v>43</v>
      </c>
      <c r="N3356" s="12" t="s">
        <v>84</v>
      </c>
      <c r="O3356" s="12" t="s">
        <v>12154</v>
      </c>
      <c r="P3356" s="12" t="s">
        <v>66</v>
      </c>
      <c r="Q3356" s="12" t="s">
        <v>67</v>
      </c>
      <c r="R3356" s="12" t="s">
        <v>421</v>
      </c>
      <c r="S3356" s="13">
        <v>197804674589</v>
      </c>
      <c r="T3356" s="12" t="s">
        <v>915</v>
      </c>
      <c r="U3356" s="12" t="s">
        <v>60</v>
      </c>
      <c r="V3356" s="12" t="s">
        <v>979</v>
      </c>
      <c r="W3356" s="12" t="s">
        <v>284</v>
      </c>
      <c r="X3356" s="14"/>
      <c r="Y3356" s="14"/>
      <c r="Z3356" s="14"/>
      <c r="AA3356" s="14"/>
      <c r="AB3356" s="14"/>
      <c r="AC3356" s="15">
        <v>18.2</v>
      </c>
      <c r="AD3356" s="15">
        <f>AC3356*AG3356</f>
        <v>18.2</v>
      </c>
      <c r="AE3356" s="15">
        <v>40</v>
      </c>
      <c r="AF3356" s="15">
        <f>AE3356*AG3356</f>
        <v>40</v>
      </c>
      <c r="AG3356" s="16">
        <v>1</v>
      </c>
    </row>
    <row r="3357" spans="1:33" ht="15" customHeight="1" x14ac:dyDescent="0.2">
      <c r="A3357" s="11" t="str">
        <f>HYPERLINK("https://assets.vans.eu/images/VN000PBXEMS-HERO/1","VN000PBXEMS1")</f>
        <v>VN000PBXEMS1</v>
      </c>
      <c r="B3357" s="12" t="s">
        <v>12155</v>
      </c>
      <c r="C3357" s="12" t="s">
        <v>4185</v>
      </c>
      <c r="D3357" s="12" t="s">
        <v>863</v>
      </c>
      <c r="E3357" s="12" t="s">
        <v>12156</v>
      </c>
      <c r="F3357" s="12" t="s">
        <v>153</v>
      </c>
      <c r="G3357" s="14"/>
      <c r="H3357" s="12" t="s">
        <v>61</v>
      </c>
      <c r="I3357" s="12" t="s">
        <v>230</v>
      </c>
      <c r="J3357" s="12" t="s">
        <v>419</v>
      </c>
      <c r="K3357" s="12" t="s">
        <v>199</v>
      </c>
      <c r="L3357" s="14"/>
      <c r="M3357" s="12" t="s">
        <v>43</v>
      </c>
      <c r="N3357" s="12" t="s">
        <v>84</v>
      </c>
      <c r="O3357" s="12" t="s">
        <v>12157</v>
      </c>
      <c r="P3357" s="12" t="s">
        <v>66</v>
      </c>
      <c r="Q3357" s="12" t="s">
        <v>67</v>
      </c>
      <c r="R3357" s="12" t="s">
        <v>421</v>
      </c>
      <c r="S3357" s="13">
        <v>197804674602</v>
      </c>
      <c r="T3357" s="12" t="s">
        <v>915</v>
      </c>
      <c r="U3357" s="12" t="s">
        <v>153</v>
      </c>
      <c r="V3357" s="12" t="s">
        <v>979</v>
      </c>
      <c r="W3357" s="12" t="s">
        <v>107</v>
      </c>
      <c r="X3357" s="14"/>
      <c r="Y3357" s="14"/>
      <c r="Z3357" s="14"/>
      <c r="AA3357" s="14"/>
      <c r="AB3357" s="14"/>
      <c r="AC3357" s="15">
        <v>18.2</v>
      </c>
      <c r="AD3357" s="15">
        <f>AC3357*AG3357</f>
        <v>18.2</v>
      </c>
      <c r="AE3357" s="15">
        <v>40</v>
      </c>
      <c r="AF3357" s="15">
        <f>AE3357*AG3357</f>
        <v>40</v>
      </c>
      <c r="AG3357" s="16">
        <v>1</v>
      </c>
    </row>
    <row r="3358" spans="1:33" ht="15" customHeight="1" x14ac:dyDescent="0.2">
      <c r="A3358" s="11" t="str">
        <f>HYPERLINK("https://assets.vans.eu/images/VN000PBZBLK-HERO/1","VN000PBZBLK1")</f>
        <v>VN000PBZBLK1</v>
      </c>
      <c r="B3358" s="12" t="s">
        <v>12158</v>
      </c>
      <c r="C3358" s="12" t="s">
        <v>12159</v>
      </c>
      <c r="D3358" s="12" t="s">
        <v>76</v>
      </c>
      <c r="E3358" s="12" t="s">
        <v>12160</v>
      </c>
      <c r="F3358" s="12" t="s">
        <v>403</v>
      </c>
      <c r="G3358" s="14"/>
      <c r="H3358" s="12" t="s">
        <v>61</v>
      </c>
      <c r="I3358" s="12" t="s">
        <v>230</v>
      </c>
      <c r="J3358" s="12" t="s">
        <v>419</v>
      </c>
      <c r="K3358" s="12" t="s">
        <v>199</v>
      </c>
      <c r="L3358" s="14"/>
      <c r="M3358" s="12" t="s">
        <v>43</v>
      </c>
      <c r="N3358" s="12" t="s">
        <v>84</v>
      </c>
      <c r="O3358" s="12" t="s">
        <v>12161</v>
      </c>
      <c r="P3358" s="12" t="s">
        <v>66</v>
      </c>
      <c r="Q3358" s="12" t="s">
        <v>67</v>
      </c>
      <c r="R3358" s="12" t="s">
        <v>421</v>
      </c>
      <c r="S3358" s="13">
        <v>197804355389</v>
      </c>
      <c r="T3358" s="12" t="s">
        <v>915</v>
      </c>
      <c r="U3358" s="12" t="s">
        <v>403</v>
      </c>
      <c r="V3358" s="12" t="s">
        <v>979</v>
      </c>
      <c r="W3358" s="12" t="s">
        <v>51</v>
      </c>
      <c r="X3358" s="14"/>
      <c r="Y3358" s="14"/>
      <c r="Z3358" s="14"/>
      <c r="AA3358" s="14"/>
      <c r="AB3358" s="14"/>
      <c r="AC3358" s="15">
        <v>20.5</v>
      </c>
      <c r="AD3358" s="15">
        <f>AC3358*AG3358</f>
        <v>20.5</v>
      </c>
      <c r="AE3358" s="15">
        <v>45</v>
      </c>
      <c r="AF3358" s="15">
        <f>AE3358*AG3358</f>
        <v>45</v>
      </c>
      <c r="AG3358" s="16">
        <v>1</v>
      </c>
    </row>
    <row r="3359" spans="1:33" ht="15" customHeight="1" x14ac:dyDescent="0.2">
      <c r="A3359" s="11" t="str">
        <f>HYPERLINK("https://assets.vans.eu/images/VN000PC2WHT-HERO/1","VN000PC2WHT1")</f>
        <v>VN000PC2WHT1</v>
      </c>
      <c r="B3359" s="12" t="s">
        <v>12162</v>
      </c>
      <c r="C3359" s="12" t="s">
        <v>12163</v>
      </c>
      <c r="D3359" s="12" t="s">
        <v>168</v>
      </c>
      <c r="E3359" s="12" t="s">
        <v>12164</v>
      </c>
      <c r="F3359" s="12" t="s">
        <v>621</v>
      </c>
      <c r="G3359" s="14"/>
      <c r="H3359" s="12" t="s">
        <v>61</v>
      </c>
      <c r="I3359" s="12" t="s">
        <v>230</v>
      </c>
      <c r="J3359" s="12" t="s">
        <v>419</v>
      </c>
      <c r="K3359" s="12" t="s">
        <v>199</v>
      </c>
      <c r="L3359" s="14"/>
      <c r="M3359" s="12" t="s">
        <v>43</v>
      </c>
      <c r="N3359" s="12" t="s">
        <v>84</v>
      </c>
      <c r="O3359" s="12" t="s">
        <v>12165</v>
      </c>
      <c r="P3359" s="12" t="s">
        <v>66</v>
      </c>
      <c r="Q3359" s="12" t="s">
        <v>67</v>
      </c>
      <c r="R3359" s="12" t="s">
        <v>421</v>
      </c>
      <c r="S3359" s="13">
        <v>197804355969</v>
      </c>
      <c r="T3359" s="12" t="s">
        <v>915</v>
      </c>
      <c r="U3359" s="12" t="s">
        <v>621</v>
      </c>
      <c r="V3359" s="12" t="s">
        <v>979</v>
      </c>
      <c r="W3359" s="12" t="s">
        <v>175</v>
      </c>
      <c r="X3359" s="14"/>
      <c r="Y3359" s="14"/>
      <c r="Z3359" s="14"/>
      <c r="AA3359" s="14"/>
      <c r="AB3359" s="14"/>
      <c r="AC3359" s="15">
        <v>20.5</v>
      </c>
      <c r="AD3359" s="15">
        <f>AC3359*AG3359</f>
        <v>20.5</v>
      </c>
      <c r="AE3359" s="15">
        <v>45</v>
      </c>
      <c r="AF3359" s="15">
        <f>AE3359*AG3359</f>
        <v>45</v>
      </c>
      <c r="AG3359" s="16">
        <v>1</v>
      </c>
    </row>
    <row r="3360" spans="1:33" ht="15" customHeight="1" x14ac:dyDescent="0.2">
      <c r="A3360" s="11" t="str">
        <f t="shared" si="906"/>
        <v>VN000PCAWHT1</v>
      </c>
      <c r="B3360" s="12" t="s">
        <v>12166</v>
      </c>
      <c r="C3360" s="12" t="s">
        <v>8339</v>
      </c>
      <c r="D3360" s="12" t="s">
        <v>168</v>
      </c>
      <c r="E3360" s="12" t="s">
        <v>12167</v>
      </c>
      <c r="F3360" s="12" t="s">
        <v>170</v>
      </c>
      <c r="G3360" s="14"/>
      <c r="H3360" s="12" t="s">
        <v>61</v>
      </c>
      <c r="I3360" s="12" t="s">
        <v>230</v>
      </c>
      <c r="J3360" s="12" t="s">
        <v>419</v>
      </c>
      <c r="K3360" s="12" t="s">
        <v>199</v>
      </c>
      <c r="L3360" s="14"/>
      <c r="M3360" s="12" t="s">
        <v>43</v>
      </c>
      <c r="N3360" s="12" t="s">
        <v>84</v>
      </c>
      <c r="O3360" s="12" t="s">
        <v>12168</v>
      </c>
      <c r="P3360" s="12" t="s">
        <v>66</v>
      </c>
      <c r="Q3360" s="12" t="s">
        <v>67</v>
      </c>
      <c r="R3360" s="12" t="s">
        <v>421</v>
      </c>
      <c r="S3360" s="13">
        <v>197804355662</v>
      </c>
      <c r="T3360" s="12" t="s">
        <v>915</v>
      </c>
      <c r="U3360" s="12" t="s">
        <v>170</v>
      </c>
      <c r="V3360" s="12" t="s">
        <v>916</v>
      </c>
      <c r="W3360" s="12" t="s">
        <v>175</v>
      </c>
      <c r="X3360" s="14"/>
      <c r="Y3360" s="14"/>
      <c r="Z3360" s="14"/>
      <c r="AA3360" s="14"/>
      <c r="AB3360" s="14"/>
      <c r="AC3360" s="15">
        <v>15.95</v>
      </c>
      <c r="AD3360" s="15">
        <f>AC3360*AG3360</f>
        <v>15.95</v>
      </c>
      <c r="AE3360" s="15">
        <v>35</v>
      </c>
      <c r="AF3360" s="15">
        <f>AE3360*AG3360</f>
        <v>35</v>
      </c>
      <c r="AG3360" s="16">
        <v>1</v>
      </c>
    </row>
    <row r="3361" spans="1:33" ht="15" customHeight="1" x14ac:dyDescent="0.2">
      <c r="A3361" s="11" t="str">
        <f t="shared" ref="A3361:A3362" si="1197">HYPERLINK("https://assets.vans.eu/images/VN000PCAWHT-HERO/1","VN000PCAWHT1")</f>
        <v>VN000PCAWHT1</v>
      </c>
      <c r="B3361" s="12" t="s">
        <v>12169</v>
      </c>
      <c r="C3361" s="12" t="s">
        <v>8339</v>
      </c>
      <c r="D3361" s="12" t="s">
        <v>168</v>
      </c>
      <c r="E3361" s="12" t="s">
        <v>12170</v>
      </c>
      <c r="F3361" s="12" t="s">
        <v>403</v>
      </c>
      <c r="G3361" s="14"/>
      <c r="H3361" s="12" t="s">
        <v>61</v>
      </c>
      <c r="I3361" s="12" t="s">
        <v>230</v>
      </c>
      <c r="J3361" s="12" t="s">
        <v>419</v>
      </c>
      <c r="K3361" s="12" t="s">
        <v>199</v>
      </c>
      <c r="L3361" s="14"/>
      <c r="M3361" s="12" t="s">
        <v>43</v>
      </c>
      <c r="N3361" s="12" t="s">
        <v>84</v>
      </c>
      <c r="O3361" s="12" t="s">
        <v>12171</v>
      </c>
      <c r="P3361" s="12" t="s">
        <v>66</v>
      </c>
      <c r="Q3361" s="12" t="s">
        <v>67</v>
      </c>
      <c r="R3361" s="12" t="s">
        <v>421</v>
      </c>
      <c r="S3361" s="13">
        <v>197804355860</v>
      </c>
      <c r="T3361" s="12" t="s">
        <v>915</v>
      </c>
      <c r="U3361" s="12" t="s">
        <v>403</v>
      </c>
      <c r="V3361" s="12" t="s">
        <v>916</v>
      </c>
      <c r="W3361" s="12" t="s">
        <v>175</v>
      </c>
      <c r="X3361" s="14"/>
      <c r="Y3361" s="14"/>
      <c r="Z3361" s="14"/>
      <c r="AA3361" s="14"/>
      <c r="AB3361" s="14"/>
      <c r="AC3361" s="15">
        <v>15.95</v>
      </c>
      <c r="AD3361" s="15">
        <f>AC3361*AG3361</f>
        <v>15.95</v>
      </c>
      <c r="AE3361" s="15">
        <v>35</v>
      </c>
      <c r="AF3361" s="15">
        <f>AE3361*AG3361</f>
        <v>35</v>
      </c>
      <c r="AG3361" s="16">
        <v>1</v>
      </c>
    </row>
    <row r="3362" spans="1:33" ht="15" customHeight="1" x14ac:dyDescent="0.2">
      <c r="A3362" s="11" t="str">
        <f t="shared" si="1197"/>
        <v>VN000PCAWHT1</v>
      </c>
      <c r="B3362" s="12" t="s">
        <v>12172</v>
      </c>
      <c r="C3362" s="12" t="s">
        <v>8339</v>
      </c>
      <c r="D3362" s="12" t="s">
        <v>168</v>
      </c>
      <c r="E3362" s="12" t="s">
        <v>12173</v>
      </c>
      <c r="F3362" s="12" t="s">
        <v>60</v>
      </c>
      <c r="G3362" s="14"/>
      <c r="H3362" s="12" t="s">
        <v>61</v>
      </c>
      <c r="I3362" s="12" t="s">
        <v>230</v>
      </c>
      <c r="J3362" s="12" t="s">
        <v>419</v>
      </c>
      <c r="K3362" s="12" t="s">
        <v>199</v>
      </c>
      <c r="L3362" s="14"/>
      <c r="M3362" s="12" t="s">
        <v>43</v>
      </c>
      <c r="N3362" s="12" t="s">
        <v>84</v>
      </c>
      <c r="O3362" s="12" t="s">
        <v>12174</v>
      </c>
      <c r="P3362" s="12" t="s">
        <v>66</v>
      </c>
      <c r="Q3362" s="12" t="s">
        <v>67</v>
      </c>
      <c r="R3362" s="12" t="s">
        <v>421</v>
      </c>
      <c r="S3362" s="13">
        <v>197804356041</v>
      </c>
      <c r="T3362" s="12" t="s">
        <v>915</v>
      </c>
      <c r="U3362" s="12" t="s">
        <v>60</v>
      </c>
      <c r="V3362" s="12" t="s">
        <v>916</v>
      </c>
      <c r="W3362" s="12" t="s">
        <v>175</v>
      </c>
      <c r="X3362" s="14"/>
      <c r="Y3362" s="14"/>
      <c r="Z3362" s="14"/>
      <c r="AA3362" s="14"/>
      <c r="AB3362" s="14"/>
      <c r="AC3362" s="15">
        <v>15.95</v>
      </c>
      <c r="AD3362" s="15">
        <f>AC3362*AG3362</f>
        <v>15.95</v>
      </c>
      <c r="AE3362" s="15">
        <v>35</v>
      </c>
      <c r="AF3362" s="15">
        <f>AE3362*AG3362</f>
        <v>35</v>
      </c>
      <c r="AG3362" s="16">
        <v>1</v>
      </c>
    </row>
    <row r="3363" spans="1:33" ht="15" customHeight="1" x14ac:dyDescent="0.2">
      <c r="A3363" s="11" t="str">
        <f t="shared" ref="A3363:A3364" si="1198">HYPERLINK("https://assets.vans.eu/images/VN000PCWEMT-HERO/1","VN000PCWEMT1")</f>
        <v>VN000PCWEMT1</v>
      </c>
      <c r="B3363" s="12" t="s">
        <v>12175</v>
      </c>
      <c r="C3363" s="12" t="s">
        <v>8343</v>
      </c>
      <c r="D3363" s="12" t="s">
        <v>5149</v>
      </c>
      <c r="E3363" s="12" t="s">
        <v>12176</v>
      </c>
      <c r="F3363" s="12" t="s">
        <v>170</v>
      </c>
      <c r="G3363" s="14"/>
      <c r="H3363" s="12" t="s">
        <v>61</v>
      </c>
      <c r="I3363" s="12" t="s">
        <v>230</v>
      </c>
      <c r="J3363" s="12" t="s">
        <v>419</v>
      </c>
      <c r="K3363" s="12" t="s">
        <v>199</v>
      </c>
      <c r="L3363" s="14"/>
      <c r="M3363" s="12" t="s">
        <v>43</v>
      </c>
      <c r="N3363" s="12" t="s">
        <v>84</v>
      </c>
      <c r="O3363" s="12" t="s">
        <v>12177</v>
      </c>
      <c r="P3363" s="12" t="s">
        <v>66</v>
      </c>
      <c r="Q3363" s="12" t="s">
        <v>67</v>
      </c>
      <c r="R3363" s="12" t="s">
        <v>421</v>
      </c>
      <c r="S3363" s="13">
        <v>197804666799</v>
      </c>
      <c r="T3363" s="12" t="s">
        <v>915</v>
      </c>
      <c r="U3363" s="12" t="s">
        <v>170</v>
      </c>
      <c r="V3363" s="12" t="s">
        <v>979</v>
      </c>
      <c r="W3363" s="12" t="s">
        <v>284</v>
      </c>
      <c r="X3363" s="14"/>
      <c r="Y3363" s="14"/>
      <c r="Z3363" s="14"/>
      <c r="AA3363" s="14"/>
      <c r="AB3363" s="14"/>
      <c r="AC3363" s="15">
        <v>20.5</v>
      </c>
      <c r="AD3363" s="15">
        <f>AC3363*AG3363</f>
        <v>20.5</v>
      </c>
      <c r="AE3363" s="15">
        <v>45</v>
      </c>
      <c r="AF3363" s="15">
        <f>AE3363*AG3363</f>
        <v>45</v>
      </c>
      <c r="AG3363" s="16">
        <v>1</v>
      </c>
    </row>
    <row r="3364" spans="1:33" ht="15" customHeight="1" x14ac:dyDescent="0.2">
      <c r="A3364" s="11" t="str">
        <f t="shared" si="1198"/>
        <v>VN000PCWEMT1</v>
      </c>
      <c r="B3364" s="12" t="s">
        <v>12178</v>
      </c>
      <c r="C3364" s="12" t="s">
        <v>8343</v>
      </c>
      <c r="D3364" s="12" t="s">
        <v>5149</v>
      </c>
      <c r="E3364" s="12" t="s">
        <v>12179</v>
      </c>
      <c r="F3364" s="12" t="s">
        <v>621</v>
      </c>
      <c r="G3364" s="14"/>
      <c r="H3364" s="12" t="s">
        <v>61</v>
      </c>
      <c r="I3364" s="12" t="s">
        <v>230</v>
      </c>
      <c r="J3364" s="12" t="s">
        <v>419</v>
      </c>
      <c r="K3364" s="12" t="s">
        <v>199</v>
      </c>
      <c r="L3364" s="14"/>
      <c r="M3364" s="12" t="s">
        <v>43</v>
      </c>
      <c r="N3364" s="12" t="s">
        <v>84</v>
      </c>
      <c r="O3364" s="12" t="s">
        <v>12180</v>
      </c>
      <c r="P3364" s="12" t="s">
        <v>66</v>
      </c>
      <c r="Q3364" s="12" t="s">
        <v>67</v>
      </c>
      <c r="R3364" s="12" t="s">
        <v>421</v>
      </c>
      <c r="S3364" s="13">
        <v>197804667499</v>
      </c>
      <c r="T3364" s="12" t="s">
        <v>915</v>
      </c>
      <c r="U3364" s="12" t="s">
        <v>621</v>
      </c>
      <c r="V3364" s="12" t="s">
        <v>979</v>
      </c>
      <c r="W3364" s="12" t="s">
        <v>284</v>
      </c>
      <c r="X3364" s="14"/>
      <c r="Y3364" s="14"/>
      <c r="Z3364" s="14"/>
      <c r="AA3364" s="14"/>
      <c r="AB3364" s="14"/>
      <c r="AC3364" s="15">
        <v>20.5</v>
      </c>
      <c r="AD3364" s="15">
        <f>AC3364*AG3364</f>
        <v>20.5</v>
      </c>
      <c r="AE3364" s="15">
        <v>45</v>
      </c>
      <c r="AF3364" s="15">
        <f>AE3364*AG3364</f>
        <v>45</v>
      </c>
      <c r="AG3364" s="16">
        <v>1</v>
      </c>
    </row>
    <row r="3365" spans="1:33" ht="15" customHeight="1" x14ac:dyDescent="0.2">
      <c r="A3365" s="11" t="str">
        <f t="shared" si="908"/>
        <v>VN000PCXEMS1</v>
      </c>
      <c r="B3365" s="12" t="s">
        <v>12181</v>
      </c>
      <c r="C3365" s="12" t="s">
        <v>6622</v>
      </c>
      <c r="D3365" s="12" t="s">
        <v>863</v>
      </c>
      <c r="E3365" s="12" t="s">
        <v>12182</v>
      </c>
      <c r="F3365" s="12" t="s">
        <v>153</v>
      </c>
      <c r="G3365" s="14"/>
      <c r="H3365" s="12" t="s">
        <v>61</v>
      </c>
      <c r="I3365" s="12" t="s">
        <v>230</v>
      </c>
      <c r="J3365" s="12" t="s">
        <v>419</v>
      </c>
      <c r="K3365" s="12" t="s">
        <v>199</v>
      </c>
      <c r="L3365" s="14"/>
      <c r="M3365" s="12" t="s">
        <v>43</v>
      </c>
      <c r="N3365" s="12" t="s">
        <v>84</v>
      </c>
      <c r="O3365" s="12" t="s">
        <v>12183</v>
      </c>
      <c r="P3365" s="12" t="s">
        <v>66</v>
      </c>
      <c r="Q3365" s="12" t="s">
        <v>67</v>
      </c>
      <c r="R3365" s="12" t="s">
        <v>421</v>
      </c>
      <c r="S3365" s="13">
        <v>197804667215</v>
      </c>
      <c r="T3365" s="12" t="s">
        <v>915</v>
      </c>
      <c r="U3365" s="12" t="s">
        <v>153</v>
      </c>
      <c r="V3365" s="12" t="s">
        <v>979</v>
      </c>
      <c r="W3365" s="12" t="s">
        <v>107</v>
      </c>
      <c r="X3365" s="14"/>
      <c r="Y3365" s="14"/>
      <c r="Z3365" s="14"/>
      <c r="AA3365" s="14"/>
      <c r="AB3365" s="14"/>
      <c r="AC3365" s="15">
        <v>18.2</v>
      </c>
      <c r="AD3365" s="15">
        <f>AC3365*AG3365</f>
        <v>18.2</v>
      </c>
      <c r="AE3365" s="15">
        <v>40</v>
      </c>
      <c r="AF3365" s="15">
        <f>AE3365*AG3365</f>
        <v>40</v>
      </c>
      <c r="AG3365" s="16">
        <v>1</v>
      </c>
    </row>
    <row r="3366" spans="1:33" ht="15" customHeight="1" x14ac:dyDescent="0.2">
      <c r="A3366" s="11" t="str">
        <f t="shared" ref="A3366:A3367" si="1199">HYPERLINK("https://assets.vans.eu/images/VN000PCXFS8-HERO/1","VN000PCXFS81")</f>
        <v>VN000PCXFS81</v>
      </c>
      <c r="B3366" s="12" t="s">
        <v>12184</v>
      </c>
      <c r="C3366" s="12" t="s">
        <v>6622</v>
      </c>
      <c r="D3366" s="12" t="s">
        <v>239</v>
      </c>
      <c r="E3366" s="12" t="s">
        <v>12185</v>
      </c>
      <c r="F3366" s="12" t="s">
        <v>170</v>
      </c>
      <c r="G3366" s="14"/>
      <c r="H3366" s="12" t="s">
        <v>61</v>
      </c>
      <c r="I3366" s="12" t="s">
        <v>230</v>
      </c>
      <c r="J3366" s="12" t="s">
        <v>419</v>
      </c>
      <c r="K3366" s="12" t="s">
        <v>199</v>
      </c>
      <c r="L3366" s="14"/>
      <c r="M3366" s="12" t="s">
        <v>43</v>
      </c>
      <c r="N3366" s="12" t="s">
        <v>84</v>
      </c>
      <c r="O3366" s="12" t="s">
        <v>12186</v>
      </c>
      <c r="P3366" s="12" t="s">
        <v>66</v>
      </c>
      <c r="Q3366" s="12" t="s">
        <v>67</v>
      </c>
      <c r="R3366" s="12" t="s">
        <v>421</v>
      </c>
      <c r="S3366" s="13">
        <v>197804356089</v>
      </c>
      <c r="T3366" s="12" t="s">
        <v>915</v>
      </c>
      <c r="U3366" s="12" t="s">
        <v>170</v>
      </c>
      <c r="V3366" s="12" t="s">
        <v>979</v>
      </c>
      <c r="W3366" s="12" t="s">
        <v>175</v>
      </c>
      <c r="X3366" s="14"/>
      <c r="Y3366" s="14"/>
      <c r="Z3366" s="14"/>
      <c r="AA3366" s="14"/>
      <c r="AB3366" s="14"/>
      <c r="AC3366" s="15">
        <v>18.2</v>
      </c>
      <c r="AD3366" s="15">
        <f>AC3366*AG3366</f>
        <v>18.2</v>
      </c>
      <c r="AE3366" s="15">
        <v>40</v>
      </c>
      <c r="AF3366" s="15">
        <f>AE3366*AG3366</f>
        <v>40</v>
      </c>
      <c r="AG3366" s="16">
        <v>1</v>
      </c>
    </row>
    <row r="3367" spans="1:33" ht="15" customHeight="1" x14ac:dyDescent="0.2">
      <c r="A3367" s="11" t="str">
        <f t="shared" si="1199"/>
        <v>VN000PCXFS81</v>
      </c>
      <c r="B3367" s="12" t="s">
        <v>12187</v>
      </c>
      <c r="C3367" s="12" t="s">
        <v>6622</v>
      </c>
      <c r="D3367" s="12" t="s">
        <v>239</v>
      </c>
      <c r="E3367" s="12" t="s">
        <v>12188</v>
      </c>
      <c r="F3367" s="12" t="s">
        <v>403</v>
      </c>
      <c r="G3367" s="14"/>
      <c r="H3367" s="12" t="s">
        <v>61</v>
      </c>
      <c r="I3367" s="12" t="s">
        <v>230</v>
      </c>
      <c r="J3367" s="12" t="s">
        <v>419</v>
      </c>
      <c r="K3367" s="12" t="s">
        <v>199</v>
      </c>
      <c r="L3367" s="14"/>
      <c r="M3367" s="12" t="s">
        <v>43</v>
      </c>
      <c r="N3367" s="12" t="s">
        <v>84</v>
      </c>
      <c r="O3367" s="12" t="s">
        <v>12189</v>
      </c>
      <c r="P3367" s="12" t="s">
        <v>66</v>
      </c>
      <c r="Q3367" s="12" t="s">
        <v>67</v>
      </c>
      <c r="R3367" s="12" t="s">
        <v>421</v>
      </c>
      <c r="S3367" s="13">
        <v>197804356256</v>
      </c>
      <c r="T3367" s="12" t="s">
        <v>915</v>
      </c>
      <c r="U3367" s="12" t="s">
        <v>403</v>
      </c>
      <c r="V3367" s="12" t="s">
        <v>979</v>
      </c>
      <c r="W3367" s="12" t="s">
        <v>175</v>
      </c>
      <c r="X3367" s="14"/>
      <c r="Y3367" s="14"/>
      <c r="Z3367" s="14"/>
      <c r="AA3367" s="14"/>
      <c r="AB3367" s="14"/>
      <c r="AC3367" s="15">
        <v>18.2</v>
      </c>
      <c r="AD3367" s="15">
        <f>AC3367*AG3367</f>
        <v>18.2</v>
      </c>
      <c r="AE3367" s="15">
        <v>40</v>
      </c>
      <c r="AF3367" s="15">
        <f>AE3367*AG3367</f>
        <v>40</v>
      </c>
      <c r="AG3367" s="16">
        <v>1</v>
      </c>
    </row>
    <row r="3368" spans="1:33" ht="15" customHeight="1" x14ac:dyDescent="0.2">
      <c r="A3368" s="11" t="str">
        <f t="shared" si="909"/>
        <v>VN000PD7EMS1</v>
      </c>
      <c r="B3368" s="12" t="s">
        <v>12190</v>
      </c>
      <c r="C3368" s="12" t="s">
        <v>8360</v>
      </c>
      <c r="D3368" s="12" t="s">
        <v>863</v>
      </c>
      <c r="E3368" s="12" t="s">
        <v>12191</v>
      </c>
      <c r="F3368" s="12" t="s">
        <v>170</v>
      </c>
      <c r="G3368" s="14"/>
      <c r="H3368" s="12" t="s">
        <v>61</v>
      </c>
      <c r="I3368" s="12" t="s">
        <v>230</v>
      </c>
      <c r="J3368" s="12" t="s">
        <v>419</v>
      </c>
      <c r="K3368" s="12" t="s">
        <v>199</v>
      </c>
      <c r="L3368" s="14"/>
      <c r="M3368" s="12" t="s">
        <v>43</v>
      </c>
      <c r="N3368" s="12" t="s">
        <v>84</v>
      </c>
      <c r="O3368" s="12" t="s">
        <v>12192</v>
      </c>
      <c r="P3368" s="12" t="s">
        <v>66</v>
      </c>
      <c r="Q3368" s="12" t="s">
        <v>67</v>
      </c>
      <c r="R3368" s="12" t="s">
        <v>421</v>
      </c>
      <c r="S3368" s="13">
        <v>197804356447</v>
      </c>
      <c r="T3368" s="12" t="s">
        <v>915</v>
      </c>
      <c r="U3368" s="12" t="s">
        <v>170</v>
      </c>
      <c r="V3368" s="12" t="s">
        <v>979</v>
      </c>
      <c r="W3368" s="12" t="s">
        <v>107</v>
      </c>
      <c r="X3368" s="14"/>
      <c r="Y3368" s="14"/>
      <c r="Z3368" s="14"/>
      <c r="AA3368" s="14"/>
      <c r="AB3368" s="14"/>
      <c r="AC3368" s="15">
        <v>20.5</v>
      </c>
      <c r="AD3368" s="15">
        <f>AC3368*AG3368</f>
        <v>20.5</v>
      </c>
      <c r="AE3368" s="15">
        <v>45</v>
      </c>
      <c r="AF3368" s="15">
        <f>AE3368*AG3368</f>
        <v>45</v>
      </c>
      <c r="AG3368" s="16">
        <v>1</v>
      </c>
    </row>
    <row r="3369" spans="1:33" ht="15" customHeight="1" x14ac:dyDescent="0.2">
      <c r="A3369" s="11" t="str">
        <f t="shared" ref="A3369:A3371" si="1200">HYPERLINK("https://assets.vans.eu/images/VN000PD7EMS-HERO/1","VN000PD7EMS1")</f>
        <v>VN000PD7EMS1</v>
      </c>
      <c r="B3369" s="12" t="s">
        <v>12193</v>
      </c>
      <c r="C3369" s="12" t="s">
        <v>8360</v>
      </c>
      <c r="D3369" s="12" t="s">
        <v>863</v>
      </c>
      <c r="E3369" s="12" t="s">
        <v>12194</v>
      </c>
      <c r="F3369" s="12" t="s">
        <v>403</v>
      </c>
      <c r="G3369" s="14"/>
      <c r="H3369" s="12" t="s">
        <v>61</v>
      </c>
      <c r="I3369" s="12" t="s">
        <v>230</v>
      </c>
      <c r="J3369" s="12" t="s">
        <v>419</v>
      </c>
      <c r="K3369" s="12" t="s">
        <v>199</v>
      </c>
      <c r="L3369" s="14"/>
      <c r="M3369" s="12" t="s">
        <v>43</v>
      </c>
      <c r="N3369" s="12" t="s">
        <v>84</v>
      </c>
      <c r="O3369" s="12" t="s">
        <v>12195</v>
      </c>
      <c r="P3369" s="12" t="s">
        <v>66</v>
      </c>
      <c r="Q3369" s="12" t="s">
        <v>67</v>
      </c>
      <c r="R3369" s="12" t="s">
        <v>421</v>
      </c>
      <c r="S3369" s="13">
        <v>197804356461</v>
      </c>
      <c r="T3369" s="12" t="s">
        <v>915</v>
      </c>
      <c r="U3369" s="12" t="s">
        <v>403</v>
      </c>
      <c r="V3369" s="12" t="s">
        <v>979</v>
      </c>
      <c r="W3369" s="12" t="s">
        <v>107</v>
      </c>
      <c r="X3369" s="14"/>
      <c r="Y3369" s="14"/>
      <c r="Z3369" s="14"/>
      <c r="AA3369" s="14"/>
      <c r="AB3369" s="14"/>
      <c r="AC3369" s="15">
        <v>20.5</v>
      </c>
      <c r="AD3369" s="15">
        <f>AC3369*AG3369</f>
        <v>20.5</v>
      </c>
      <c r="AE3369" s="15">
        <v>45</v>
      </c>
      <c r="AF3369" s="15">
        <f>AE3369*AG3369</f>
        <v>45</v>
      </c>
      <c r="AG3369" s="16">
        <v>1</v>
      </c>
    </row>
    <row r="3370" spans="1:33" ht="15" customHeight="1" x14ac:dyDescent="0.2">
      <c r="A3370" s="11" t="str">
        <f t="shared" si="1200"/>
        <v>VN000PD7EMS1</v>
      </c>
      <c r="B3370" s="12" t="s">
        <v>12196</v>
      </c>
      <c r="C3370" s="12" t="s">
        <v>8360</v>
      </c>
      <c r="D3370" s="12" t="s">
        <v>863</v>
      </c>
      <c r="E3370" s="12" t="s">
        <v>12197</v>
      </c>
      <c r="F3370" s="12" t="s">
        <v>60</v>
      </c>
      <c r="G3370" s="14"/>
      <c r="H3370" s="12" t="s">
        <v>61</v>
      </c>
      <c r="I3370" s="12" t="s">
        <v>230</v>
      </c>
      <c r="J3370" s="12" t="s">
        <v>419</v>
      </c>
      <c r="K3370" s="12" t="s">
        <v>199</v>
      </c>
      <c r="L3370" s="14"/>
      <c r="M3370" s="12" t="s">
        <v>43</v>
      </c>
      <c r="N3370" s="12" t="s">
        <v>84</v>
      </c>
      <c r="O3370" s="12" t="s">
        <v>12198</v>
      </c>
      <c r="P3370" s="12" t="s">
        <v>66</v>
      </c>
      <c r="Q3370" s="12" t="s">
        <v>67</v>
      </c>
      <c r="R3370" s="12" t="s">
        <v>421</v>
      </c>
      <c r="S3370" s="13">
        <v>197804356492</v>
      </c>
      <c r="T3370" s="12" t="s">
        <v>915</v>
      </c>
      <c r="U3370" s="12" t="s">
        <v>60</v>
      </c>
      <c r="V3370" s="12" t="s">
        <v>979</v>
      </c>
      <c r="W3370" s="12" t="s">
        <v>107</v>
      </c>
      <c r="X3370" s="14"/>
      <c r="Y3370" s="14"/>
      <c r="Z3370" s="14"/>
      <c r="AA3370" s="14"/>
      <c r="AB3370" s="14"/>
      <c r="AC3370" s="15">
        <v>20.5</v>
      </c>
      <c r="AD3370" s="15">
        <f>AC3370*AG3370</f>
        <v>20.5</v>
      </c>
      <c r="AE3370" s="15">
        <v>45</v>
      </c>
      <c r="AF3370" s="15">
        <f>AE3370*AG3370</f>
        <v>45</v>
      </c>
      <c r="AG3370" s="16">
        <v>1</v>
      </c>
    </row>
    <row r="3371" spans="1:33" ht="15" customHeight="1" x14ac:dyDescent="0.2">
      <c r="A3371" s="11" t="str">
        <f t="shared" si="1200"/>
        <v>VN000PD7EMS1</v>
      </c>
      <c r="B3371" s="12" t="s">
        <v>12199</v>
      </c>
      <c r="C3371" s="12" t="s">
        <v>8360</v>
      </c>
      <c r="D3371" s="12" t="s">
        <v>863</v>
      </c>
      <c r="E3371" s="12" t="s">
        <v>12200</v>
      </c>
      <c r="F3371" s="12" t="s">
        <v>621</v>
      </c>
      <c r="G3371" s="14"/>
      <c r="H3371" s="12" t="s">
        <v>61</v>
      </c>
      <c r="I3371" s="12" t="s">
        <v>230</v>
      </c>
      <c r="J3371" s="12" t="s">
        <v>419</v>
      </c>
      <c r="K3371" s="12" t="s">
        <v>199</v>
      </c>
      <c r="L3371" s="14"/>
      <c r="M3371" s="12" t="s">
        <v>43</v>
      </c>
      <c r="N3371" s="12" t="s">
        <v>84</v>
      </c>
      <c r="O3371" s="12" t="s">
        <v>12201</v>
      </c>
      <c r="P3371" s="12" t="s">
        <v>66</v>
      </c>
      <c r="Q3371" s="12" t="s">
        <v>67</v>
      </c>
      <c r="R3371" s="12" t="s">
        <v>421</v>
      </c>
      <c r="S3371" s="13">
        <v>197804356645</v>
      </c>
      <c r="T3371" s="12" t="s">
        <v>915</v>
      </c>
      <c r="U3371" s="12" t="s">
        <v>621</v>
      </c>
      <c r="V3371" s="12" t="s">
        <v>979</v>
      </c>
      <c r="W3371" s="12" t="s">
        <v>107</v>
      </c>
      <c r="X3371" s="14"/>
      <c r="Y3371" s="14"/>
      <c r="Z3371" s="14"/>
      <c r="AA3371" s="14"/>
      <c r="AB3371" s="14"/>
      <c r="AC3371" s="15">
        <v>20.5</v>
      </c>
      <c r="AD3371" s="15">
        <f>AC3371*AG3371</f>
        <v>20.5</v>
      </c>
      <c r="AE3371" s="15">
        <v>45</v>
      </c>
      <c r="AF3371" s="15">
        <f>AE3371*AG3371</f>
        <v>45</v>
      </c>
      <c r="AG3371" s="16">
        <v>1</v>
      </c>
    </row>
    <row r="3372" spans="1:33" ht="15" customHeight="1" x14ac:dyDescent="0.2">
      <c r="A3372" s="11" t="str">
        <f>HYPERLINK("https://assets.vans.eu/images/VN000PDABLK-HERO/1","VN000PDABLK1")</f>
        <v>VN000PDABLK1</v>
      </c>
      <c r="B3372" s="12" t="s">
        <v>12202</v>
      </c>
      <c r="C3372" s="12" t="s">
        <v>8364</v>
      </c>
      <c r="D3372" s="12" t="s">
        <v>76</v>
      </c>
      <c r="E3372" s="12" t="s">
        <v>12203</v>
      </c>
      <c r="F3372" s="12" t="s">
        <v>60</v>
      </c>
      <c r="G3372" s="14"/>
      <c r="H3372" s="12" t="s">
        <v>61</v>
      </c>
      <c r="I3372" s="12" t="s">
        <v>230</v>
      </c>
      <c r="J3372" s="12" t="s">
        <v>419</v>
      </c>
      <c r="K3372" s="12" t="s">
        <v>199</v>
      </c>
      <c r="L3372" s="14"/>
      <c r="M3372" s="12" t="s">
        <v>43</v>
      </c>
      <c r="N3372" s="12" t="s">
        <v>84</v>
      </c>
      <c r="O3372" s="12" t="s">
        <v>12204</v>
      </c>
      <c r="P3372" s="12" t="s">
        <v>66</v>
      </c>
      <c r="Q3372" s="12" t="s">
        <v>67</v>
      </c>
      <c r="R3372" s="12" t="s">
        <v>421</v>
      </c>
      <c r="S3372" s="13">
        <v>197804356706</v>
      </c>
      <c r="T3372" s="12" t="s">
        <v>915</v>
      </c>
      <c r="U3372" s="12" t="s">
        <v>60</v>
      </c>
      <c r="V3372" s="12" t="s">
        <v>979</v>
      </c>
      <c r="W3372" s="12" t="s">
        <v>51</v>
      </c>
      <c r="X3372" s="14"/>
      <c r="Y3372" s="14"/>
      <c r="Z3372" s="14"/>
      <c r="AA3372" s="14"/>
      <c r="AB3372" s="14"/>
      <c r="AC3372" s="15">
        <v>15.95</v>
      </c>
      <c r="AD3372" s="15">
        <f>AC3372*AG3372</f>
        <v>15.95</v>
      </c>
      <c r="AE3372" s="15">
        <v>35</v>
      </c>
      <c r="AF3372" s="15">
        <f>AE3372*AG3372</f>
        <v>35</v>
      </c>
      <c r="AG3372" s="16">
        <v>1</v>
      </c>
    </row>
    <row r="3373" spans="1:33" ht="15" customHeight="1" x14ac:dyDescent="0.2">
      <c r="A3373" s="11" t="str">
        <f>HYPERLINK("https://assets.vans.eu/images/VN000PDAEMF-HERO/1","VN000PDAEMF1")</f>
        <v>VN000PDAEMF1</v>
      </c>
      <c r="B3373" s="12" t="s">
        <v>12205</v>
      </c>
      <c r="C3373" s="12" t="s">
        <v>8364</v>
      </c>
      <c r="D3373" s="12" t="s">
        <v>1282</v>
      </c>
      <c r="E3373" s="12" t="s">
        <v>12206</v>
      </c>
      <c r="F3373" s="12" t="s">
        <v>403</v>
      </c>
      <c r="G3373" s="14"/>
      <c r="H3373" s="12" t="s">
        <v>61</v>
      </c>
      <c r="I3373" s="12" t="s">
        <v>230</v>
      </c>
      <c r="J3373" s="12" t="s">
        <v>419</v>
      </c>
      <c r="K3373" s="12" t="s">
        <v>199</v>
      </c>
      <c r="L3373" s="14"/>
      <c r="M3373" s="12" t="s">
        <v>43</v>
      </c>
      <c r="N3373" s="12" t="s">
        <v>84</v>
      </c>
      <c r="O3373" s="12" t="s">
        <v>12207</v>
      </c>
      <c r="P3373" s="12" t="s">
        <v>66</v>
      </c>
      <c r="Q3373" s="12" t="s">
        <v>67</v>
      </c>
      <c r="R3373" s="12" t="s">
        <v>421</v>
      </c>
      <c r="S3373" s="13">
        <v>197804578375</v>
      </c>
      <c r="T3373" s="12" t="s">
        <v>915</v>
      </c>
      <c r="U3373" s="12" t="s">
        <v>403</v>
      </c>
      <c r="V3373" s="12" t="s">
        <v>979</v>
      </c>
      <c r="W3373" s="12" t="s">
        <v>118</v>
      </c>
      <c r="X3373" s="14"/>
      <c r="Y3373" s="14"/>
      <c r="Z3373" s="14"/>
      <c r="AA3373" s="14"/>
      <c r="AB3373" s="14"/>
      <c r="AC3373" s="15">
        <v>15.95</v>
      </c>
      <c r="AD3373" s="15">
        <f>AC3373*AG3373</f>
        <v>15.95</v>
      </c>
      <c r="AE3373" s="15">
        <v>35</v>
      </c>
      <c r="AF3373" s="15">
        <f>AE3373*AG3373</f>
        <v>35</v>
      </c>
      <c r="AG3373" s="16">
        <v>1</v>
      </c>
    </row>
    <row r="3374" spans="1:33" ht="15" customHeight="1" x14ac:dyDescent="0.2">
      <c r="A3374" s="11" t="str">
        <f t="shared" si="104"/>
        <v>VN000PDRBLK1</v>
      </c>
      <c r="B3374" s="12" t="s">
        <v>12208</v>
      </c>
      <c r="C3374" s="12" t="s">
        <v>976</v>
      </c>
      <c r="D3374" s="12" t="s">
        <v>76</v>
      </c>
      <c r="E3374" s="12" t="s">
        <v>12209</v>
      </c>
      <c r="F3374" s="12" t="s">
        <v>403</v>
      </c>
      <c r="G3374" s="14"/>
      <c r="H3374" s="12" t="s">
        <v>61</v>
      </c>
      <c r="I3374" s="12" t="s">
        <v>230</v>
      </c>
      <c r="J3374" s="12" t="s">
        <v>419</v>
      </c>
      <c r="K3374" s="12" t="s">
        <v>199</v>
      </c>
      <c r="L3374" s="14"/>
      <c r="M3374" s="12" t="s">
        <v>43</v>
      </c>
      <c r="N3374" s="12" t="s">
        <v>84</v>
      </c>
      <c r="O3374" s="12" t="s">
        <v>12210</v>
      </c>
      <c r="P3374" s="12" t="s">
        <v>66</v>
      </c>
      <c r="Q3374" s="12" t="s">
        <v>67</v>
      </c>
      <c r="R3374" s="12" t="s">
        <v>421</v>
      </c>
      <c r="S3374" s="13">
        <v>197804356652</v>
      </c>
      <c r="T3374" s="12" t="s">
        <v>915</v>
      </c>
      <c r="U3374" s="12" t="s">
        <v>403</v>
      </c>
      <c r="V3374" s="12" t="s">
        <v>979</v>
      </c>
      <c r="W3374" s="12" t="s">
        <v>51</v>
      </c>
      <c r="X3374" s="14"/>
      <c r="Y3374" s="14"/>
      <c r="Z3374" s="14"/>
      <c r="AA3374" s="14"/>
      <c r="AB3374" s="14"/>
      <c r="AC3374" s="15">
        <v>18.2</v>
      </c>
      <c r="AD3374" s="15">
        <f>AC3374*AG3374</f>
        <v>18.2</v>
      </c>
      <c r="AE3374" s="15">
        <v>40</v>
      </c>
      <c r="AF3374" s="15">
        <f>AE3374*AG3374</f>
        <v>40</v>
      </c>
      <c r="AG3374" s="16">
        <v>1</v>
      </c>
    </row>
    <row r="3375" spans="1:33" ht="15" customHeight="1" x14ac:dyDescent="0.2">
      <c r="A3375" s="11" t="str">
        <f>HYPERLINK("https://assets.vans.eu/images/VN000PDREMS-HERO/1","VN000PDREMS1")</f>
        <v>VN000PDREMS1</v>
      </c>
      <c r="B3375" s="12" t="s">
        <v>12211</v>
      </c>
      <c r="C3375" s="12" t="s">
        <v>976</v>
      </c>
      <c r="D3375" s="12" t="s">
        <v>863</v>
      </c>
      <c r="E3375" s="12" t="s">
        <v>12212</v>
      </c>
      <c r="F3375" s="12" t="s">
        <v>179</v>
      </c>
      <c r="G3375" s="14"/>
      <c r="H3375" s="12" t="s">
        <v>61</v>
      </c>
      <c r="I3375" s="12" t="s">
        <v>230</v>
      </c>
      <c r="J3375" s="12" t="s">
        <v>419</v>
      </c>
      <c r="K3375" s="12" t="s">
        <v>199</v>
      </c>
      <c r="L3375" s="14"/>
      <c r="M3375" s="12" t="s">
        <v>43</v>
      </c>
      <c r="N3375" s="12" t="s">
        <v>84</v>
      </c>
      <c r="O3375" s="12" t="s">
        <v>12213</v>
      </c>
      <c r="P3375" s="12" t="s">
        <v>66</v>
      </c>
      <c r="Q3375" s="12" t="s">
        <v>67</v>
      </c>
      <c r="R3375" s="12" t="s">
        <v>421</v>
      </c>
      <c r="S3375" s="13">
        <v>197804666683</v>
      </c>
      <c r="T3375" s="12" t="s">
        <v>915</v>
      </c>
      <c r="U3375" s="12" t="s">
        <v>179</v>
      </c>
      <c r="V3375" s="12" t="s">
        <v>979</v>
      </c>
      <c r="W3375" s="12" t="s">
        <v>107</v>
      </c>
      <c r="X3375" s="14"/>
      <c r="Y3375" s="14"/>
      <c r="Z3375" s="14"/>
      <c r="AA3375" s="14"/>
      <c r="AB3375" s="14"/>
      <c r="AC3375" s="15">
        <v>18.2</v>
      </c>
      <c r="AD3375" s="15">
        <f>AC3375*AG3375</f>
        <v>18.2</v>
      </c>
      <c r="AE3375" s="15">
        <v>40</v>
      </c>
      <c r="AF3375" s="15">
        <f>AE3375*AG3375</f>
        <v>40</v>
      </c>
      <c r="AG3375" s="16">
        <v>1</v>
      </c>
    </row>
    <row r="3376" spans="1:33" ht="15" customHeight="1" x14ac:dyDescent="0.2">
      <c r="A3376" s="11" t="str">
        <f t="shared" si="912"/>
        <v>VN000PDREN71</v>
      </c>
      <c r="B3376" s="12" t="s">
        <v>12214</v>
      </c>
      <c r="C3376" s="12" t="s">
        <v>976</v>
      </c>
      <c r="D3376" s="12" t="s">
        <v>295</v>
      </c>
      <c r="E3376" s="12" t="s">
        <v>12215</v>
      </c>
      <c r="F3376" s="12" t="s">
        <v>153</v>
      </c>
      <c r="G3376" s="14"/>
      <c r="H3376" s="12" t="s">
        <v>61</v>
      </c>
      <c r="I3376" s="12" t="s">
        <v>230</v>
      </c>
      <c r="J3376" s="12" t="s">
        <v>419</v>
      </c>
      <c r="K3376" s="12" t="s">
        <v>199</v>
      </c>
      <c r="L3376" s="14"/>
      <c r="M3376" s="12" t="s">
        <v>43</v>
      </c>
      <c r="N3376" s="12" t="s">
        <v>84</v>
      </c>
      <c r="O3376" s="12" t="s">
        <v>12216</v>
      </c>
      <c r="P3376" s="12" t="s">
        <v>66</v>
      </c>
      <c r="Q3376" s="12" t="s">
        <v>67</v>
      </c>
      <c r="R3376" s="12" t="s">
        <v>421</v>
      </c>
      <c r="S3376" s="13">
        <v>197804667512</v>
      </c>
      <c r="T3376" s="12" t="s">
        <v>915</v>
      </c>
      <c r="U3376" s="12" t="s">
        <v>153</v>
      </c>
      <c r="V3376" s="12" t="s">
        <v>979</v>
      </c>
      <c r="W3376" s="12" t="s">
        <v>299</v>
      </c>
      <c r="X3376" s="14"/>
      <c r="Y3376" s="14"/>
      <c r="Z3376" s="14"/>
      <c r="AA3376" s="14"/>
      <c r="AB3376" s="14"/>
      <c r="AC3376" s="15">
        <v>18.2</v>
      </c>
      <c r="AD3376" s="15">
        <f>AC3376*AG3376</f>
        <v>18.2</v>
      </c>
      <c r="AE3376" s="15">
        <v>40</v>
      </c>
      <c r="AF3376" s="15">
        <f>AE3376*AG3376</f>
        <v>40</v>
      </c>
      <c r="AG3376" s="16">
        <v>1</v>
      </c>
    </row>
    <row r="3377" spans="1:33" ht="15" customHeight="1" x14ac:dyDescent="0.2">
      <c r="A3377" s="11" t="str">
        <f t="shared" si="913"/>
        <v>VN000PDYEMP1</v>
      </c>
      <c r="B3377" s="12" t="s">
        <v>12217</v>
      </c>
      <c r="C3377" s="12" t="s">
        <v>3751</v>
      </c>
      <c r="D3377" s="12" t="s">
        <v>704</v>
      </c>
      <c r="E3377" s="12" t="s">
        <v>12218</v>
      </c>
      <c r="F3377" s="12" t="s">
        <v>179</v>
      </c>
      <c r="G3377" s="14"/>
      <c r="H3377" s="12" t="s">
        <v>61</v>
      </c>
      <c r="I3377" s="12" t="s">
        <v>230</v>
      </c>
      <c r="J3377" s="12" t="s">
        <v>419</v>
      </c>
      <c r="K3377" s="12" t="s">
        <v>199</v>
      </c>
      <c r="L3377" s="14"/>
      <c r="M3377" s="12" t="s">
        <v>43</v>
      </c>
      <c r="N3377" s="12" t="s">
        <v>84</v>
      </c>
      <c r="O3377" s="12" t="s">
        <v>12219</v>
      </c>
      <c r="P3377" s="12" t="s">
        <v>66</v>
      </c>
      <c r="Q3377" s="12" t="s">
        <v>67</v>
      </c>
      <c r="R3377" s="12" t="s">
        <v>421</v>
      </c>
      <c r="S3377" s="13">
        <v>197804356638</v>
      </c>
      <c r="T3377" s="12" t="s">
        <v>915</v>
      </c>
      <c r="U3377" s="12" t="s">
        <v>179</v>
      </c>
      <c r="V3377" s="12" t="s">
        <v>979</v>
      </c>
      <c r="W3377" s="12" t="s">
        <v>186</v>
      </c>
      <c r="X3377" s="14"/>
      <c r="Y3377" s="14"/>
      <c r="Z3377" s="14"/>
      <c r="AA3377" s="14"/>
      <c r="AB3377" s="14"/>
      <c r="AC3377" s="15">
        <v>18.2</v>
      </c>
      <c r="AD3377" s="15">
        <f>AC3377*AG3377</f>
        <v>18.2</v>
      </c>
      <c r="AE3377" s="15">
        <v>40</v>
      </c>
      <c r="AF3377" s="15">
        <f>AE3377*AG3377</f>
        <v>40</v>
      </c>
      <c r="AG3377" s="16">
        <v>1</v>
      </c>
    </row>
    <row r="3378" spans="1:33" ht="15" customHeight="1" x14ac:dyDescent="0.2">
      <c r="A3378" s="11" t="str">
        <f t="shared" si="914"/>
        <v>VN000PDYWHT1</v>
      </c>
      <c r="B3378" s="12" t="s">
        <v>12220</v>
      </c>
      <c r="C3378" s="12" t="s">
        <v>3751</v>
      </c>
      <c r="D3378" s="12" t="s">
        <v>168</v>
      </c>
      <c r="E3378" s="12" t="s">
        <v>12221</v>
      </c>
      <c r="F3378" s="12" t="s">
        <v>179</v>
      </c>
      <c r="G3378" s="14"/>
      <c r="H3378" s="12" t="s">
        <v>61</v>
      </c>
      <c r="I3378" s="12" t="s">
        <v>230</v>
      </c>
      <c r="J3378" s="12" t="s">
        <v>419</v>
      </c>
      <c r="K3378" s="12" t="s">
        <v>199</v>
      </c>
      <c r="L3378" s="14"/>
      <c r="M3378" s="12" t="s">
        <v>43</v>
      </c>
      <c r="N3378" s="12" t="s">
        <v>84</v>
      </c>
      <c r="O3378" s="12" t="s">
        <v>12222</v>
      </c>
      <c r="P3378" s="12" t="s">
        <v>66</v>
      </c>
      <c r="Q3378" s="12" t="s">
        <v>67</v>
      </c>
      <c r="R3378" s="12" t="s">
        <v>421</v>
      </c>
      <c r="S3378" s="13">
        <v>197804356829</v>
      </c>
      <c r="T3378" s="12" t="s">
        <v>915</v>
      </c>
      <c r="U3378" s="12" t="s">
        <v>179</v>
      </c>
      <c r="V3378" s="12" t="s">
        <v>979</v>
      </c>
      <c r="W3378" s="12" t="s">
        <v>175</v>
      </c>
      <c r="X3378" s="14"/>
      <c r="Y3378" s="14"/>
      <c r="Z3378" s="14"/>
      <c r="AA3378" s="14"/>
      <c r="AB3378" s="14"/>
      <c r="AC3378" s="15">
        <v>18.2</v>
      </c>
      <c r="AD3378" s="15">
        <f>AC3378*AG3378</f>
        <v>18.2</v>
      </c>
      <c r="AE3378" s="15">
        <v>40</v>
      </c>
      <c r="AF3378" s="15">
        <f>AE3378*AG3378</f>
        <v>40</v>
      </c>
      <c r="AG3378" s="16">
        <v>1</v>
      </c>
    </row>
    <row r="3379" spans="1:33" ht="15" customHeight="1" x14ac:dyDescent="0.2">
      <c r="A3379" s="11" t="str">
        <f t="shared" ref="A3379:A3380" si="1201">HYPERLINK("https://assets.vans.eu/images/VN000PDYWHT-HERO/1","VN000PDYWHT1")</f>
        <v>VN000PDYWHT1</v>
      </c>
      <c r="B3379" s="12" t="s">
        <v>12223</v>
      </c>
      <c r="C3379" s="12" t="s">
        <v>3751</v>
      </c>
      <c r="D3379" s="12" t="s">
        <v>168</v>
      </c>
      <c r="E3379" s="12" t="s">
        <v>12224</v>
      </c>
      <c r="F3379" s="12" t="s">
        <v>403</v>
      </c>
      <c r="G3379" s="14"/>
      <c r="H3379" s="12" t="s">
        <v>61</v>
      </c>
      <c r="I3379" s="12" t="s">
        <v>230</v>
      </c>
      <c r="J3379" s="12" t="s">
        <v>419</v>
      </c>
      <c r="K3379" s="12" t="s">
        <v>199</v>
      </c>
      <c r="L3379" s="14"/>
      <c r="M3379" s="12" t="s">
        <v>43</v>
      </c>
      <c r="N3379" s="12" t="s">
        <v>84</v>
      </c>
      <c r="O3379" s="12" t="s">
        <v>12225</v>
      </c>
      <c r="P3379" s="12" t="s">
        <v>66</v>
      </c>
      <c r="Q3379" s="12" t="s">
        <v>67</v>
      </c>
      <c r="R3379" s="12" t="s">
        <v>421</v>
      </c>
      <c r="S3379" s="13">
        <v>197804357123</v>
      </c>
      <c r="T3379" s="12" t="s">
        <v>915</v>
      </c>
      <c r="U3379" s="12" t="s">
        <v>403</v>
      </c>
      <c r="V3379" s="12" t="s">
        <v>979</v>
      </c>
      <c r="W3379" s="12" t="s">
        <v>175</v>
      </c>
      <c r="X3379" s="14"/>
      <c r="Y3379" s="14"/>
      <c r="Z3379" s="14"/>
      <c r="AA3379" s="14"/>
      <c r="AB3379" s="14"/>
      <c r="AC3379" s="15">
        <v>18.2</v>
      </c>
      <c r="AD3379" s="15">
        <f>AC3379*AG3379</f>
        <v>18.2</v>
      </c>
      <c r="AE3379" s="15">
        <v>40</v>
      </c>
      <c r="AF3379" s="15">
        <f>AE3379*AG3379</f>
        <v>40</v>
      </c>
      <c r="AG3379" s="16">
        <v>1</v>
      </c>
    </row>
    <row r="3380" spans="1:33" ht="15" customHeight="1" x14ac:dyDescent="0.2">
      <c r="A3380" s="11" t="str">
        <f t="shared" si="1201"/>
        <v>VN000PDYWHT1</v>
      </c>
      <c r="B3380" s="12" t="s">
        <v>12226</v>
      </c>
      <c r="C3380" s="12" t="s">
        <v>3751</v>
      </c>
      <c r="D3380" s="12" t="s">
        <v>168</v>
      </c>
      <c r="E3380" s="12" t="s">
        <v>12227</v>
      </c>
      <c r="F3380" s="12" t="s">
        <v>621</v>
      </c>
      <c r="G3380" s="14"/>
      <c r="H3380" s="12" t="s">
        <v>61</v>
      </c>
      <c r="I3380" s="12" t="s">
        <v>230</v>
      </c>
      <c r="J3380" s="12" t="s">
        <v>419</v>
      </c>
      <c r="K3380" s="12" t="s">
        <v>199</v>
      </c>
      <c r="L3380" s="14"/>
      <c r="M3380" s="12" t="s">
        <v>43</v>
      </c>
      <c r="N3380" s="12" t="s">
        <v>84</v>
      </c>
      <c r="O3380" s="12" t="s">
        <v>12228</v>
      </c>
      <c r="P3380" s="12" t="s">
        <v>66</v>
      </c>
      <c r="Q3380" s="12" t="s">
        <v>67</v>
      </c>
      <c r="R3380" s="12" t="s">
        <v>421</v>
      </c>
      <c r="S3380" s="13">
        <v>197804357505</v>
      </c>
      <c r="T3380" s="12" t="s">
        <v>915</v>
      </c>
      <c r="U3380" s="12" t="s">
        <v>621</v>
      </c>
      <c r="V3380" s="12" t="s">
        <v>979</v>
      </c>
      <c r="W3380" s="12" t="s">
        <v>175</v>
      </c>
      <c r="X3380" s="14"/>
      <c r="Y3380" s="14"/>
      <c r="Z3380" s="14"/>
      <c r="AA3380" s="14"/>
      <c r="AB3380" s="14"/>
      <c r="AC3380" s="15">
        <v>18.2</v>
      </c>
      <c r="AD3380" s="15">
        <f>AC3380*AG3380</f>
        <v>18.2</v>
      </c>
      <c r="AE3380" s="15">
        <v>40</v>
      </c>
      <c r="AF3380" s="15">
        <f>AE3380*AG3380</f>
        <v>40</v>
      </c>
      <c r="AG3380" s="16">
        <v>1</v>
      </c>
    </row>
    <row r="3381" spans="1:33" ht="15" customHeight="1" x14ac:dyDescent="0.2">
      <c r="A3381" s="11" t="str">
        <f>HYPERLINK("https://assets.vans.eu/images/VN000PE7BLK-HERO/1","VN000PE7BLK1")</f>
        <v>VN000PE7BLK1</v>
      </c>
      <c r="B3381" s="12" t="s">
        <v>12229</v>
      </c>
      <c r="C3381" s="12" t="s">
        <v>1740</v>
      </c>
      <c r="D3381" s="12" t="s">
        <v>76</v>
      </c>
      <c r="E3381" s="12" t="s">
        <v>12230</v>
      </c>
      <c r="F3381" s="12" t="s">
        <v>170</v>
      </c>
      <c r="G3381" s="14"/>
      <c r="H3381" s="12" t="s">
        <v>61</v>
      </c>
      <c r="I3381" s="12" t="s">
        <v>230</v>
      </c>
      <c r="J3381" s="12" t="s">
        <v>419</v>
      </c>
      <c r="K3381" s="12" t="s">
        <v>199</v>
      </c>
      <c r="L3381" s="14"/>
      <c r="M3381" s="12" t="s">
        <v>43</v>
      </c>
      <c r="N3381" s="12" t="s">
        <v>84</v>
      </c>
      <c r="O3381" s="12" t="s">
        <v>12231</v>
      </c>
      <c r="P3381" s="12" t="s">
        <v>66</v>
      </c>
      <c r="Q3381" s="12" t="s">
        <v>67</v>
      </c>
      <c r="R3381" s="12" t="s">
        <v>421</v>
      </c>
      <c r="S3381" s="13">
        <v>197804357048</v>
      </c>
      <c r="T3381" s="12" t="s">
        <v>915</v>
      </c>
      <c r="U3381" s="12" t="s">
        <v>170</v>
      </c>
      <c r="V3381" s="12" t="s">
        <v>979</v>
      </c>
      <c r="W3381" s="12" t="s">
        <v>51</v>
      </c>
      <c r="X3381" s="14"/>
      <c r="Y3381" s="14"/>
      <c r="Z3381" s="14"/>
      <c r="AA3381" s="14"/>
      <c r="AB3381" s="14"/>
      <c r="AC3381" s="15">
        <v>18.2</v>
      </c>
      <c r="AD3381" s="15">
        <f>AC3381*AG3381</f>
        <v>18.2</v>
      </c>
      <c r="AE3381" s="15">
        <v>40</v>
      </c>
      <c r="AF3381" s="15">
        <f>AE3381*AG3381</f>
        <v>40</v>
      </c>
      <c r="AG3381" s="16">
        <v>1</v>
      </c>
    </row>
    <row r="3382" spans="1:33" ht="15" customHeight="1" x14ac:dyDescent="0.2">
      <c r="A3382" s="11" t="str">
        <f>HYPERLINK("https://assets.vans.eu/images/VN000PE7BLK-HERO/1","VN000PE7BLK1")</f>
        <v>VN000PE7BLK1</v>
      </c>
      <c r="B3382" s="12" t="s">
        <v>12232</v>
      </c>
      <c r="C3382" s="12" t="s">
        <v>1740</v>
      </c>
      <c r="D3382" s="12" t="s">
        <v>76</v>
      </c>
      <c r="E3382" s="12" t="s">
        <v>12233</v>
      </c>
      <c r="F3382" s="12" t="s">
        <v>153</v>
      </c>
      <c r="G3382" s="14"/>
      <c r="H3382" s="12" t="s">
        <v>61</v>
      </c>
      <c r="I3382" s="12" t="s">
        <v>230</v>
      </c>
      <c r="J3382" s="12" t="s">
        <v>419</v>
      </c>
      <c r="K3382" s="12" t="s">
        <v>199</v>
      </c>
      <c r="L3382" s="14"/>
      <c r="M3382" s="12" t="s">
        <v>43</v>
      </c>
      <c r="N3382" s="12" t="s">
        <v>84</v>
      </c>
      <c r="O3382" s="12" t="s">
        <v>12234</v>
      </c>
      <c r="P3382" s="12" t="s">
        <v>66</v>
      </c>
      <c r="Q3382" s="12" t="s">
        <v>67</v>
      </c>
      <c r="R3382" s="12" t="s">
        <v>421</v>
      </c>
      <c r="S3382" s="13">
        <v>197804357291</v>
      </c>
      <c r="T3382" s="12" t="s">
        <v>915</v>
      </c>
      <c r="U3382" s="12" t="s">
        <v>153</v>
      </c>
      <c r="V3382" s="12" t="s">
        <v>979</v>
      </c>
      <c r="W3382" s="12" t="s">
        <v>51</v>
      </c>
      <c r="X3382" s="14"/>
      <c r="Y3382" s="14"/>
      <c r="Z3382" s="14"/>
      <c r="AA3382" s="14"/>
      <c r="AB3382" s="14"/>
      <c r="AC3382" s="15">
        <v>18.2</v>
      </c>
      <c r="AD3382" s="15">
        <f>AC3382*AG3382</f>
        <v>18.2</v>
      </c>
      <c r="AE3382" s="15">
        <v>40</v>
      </c>
      <c r="AF3382" s="15">
        <f>AE3382*AG3382</f>
        <v>40</v>
      </c>
      <c r="AG3382" s="16">
        <v>1</v>
      </c>
    </row>
    <row r="3383" spans="1:33" ht="15" customHeight="1" x14ac:dyDescent="0.2">
      <c r="A3383" s="11" t="str">
        <f>HYPERLINK("https://assets.vans.eu/images/VN000PE7WHT-HERO/1","VN000PE7WHT1")</f>
        <v>VN000PE7WHT1</v>
      </c>
      <c r="B3383" s="12" t="s">
        <v>12235</v>
      </c>
      <c r="C3383" s="12" t="s">
        <v>1740</v>
      </c>
      <c r="D3383" s="12" t="s">
        <v>168</v>
      </c>
      <c r="E3383" s="12" t="s">
        <v>12236</v>
      </c>
      <c r="F3383" s="12" t="s">
        <v>60</v>
      </c>
      <c r="G3383" s="14"/>
      <c r="H3383" s="12" t="s">
        <v>61</v>
      </c>
      <c r="I3383" s="12" t="s">
        <v>230</v>
      </c>
      <c r="J3383" s="12" t="s">
        <v>419</v>
      </c>
      <c r="K3383" s="12" t="s">
        <v>199</v>
      </c>
      <c r="L3383" s="14"/>
      <c r="M3383" s="12" t="s">
        <v>43</v>
      </c>
      <c r="N3383" s="12" t="s">
        <v>84</v>
      </c>
      <c r="O3383" s="12" t="s">
        <v>12237</v>
      </c>
      <c r="P3383" s="12" t="s">
        <v>66</v>
      </c>
      <c r="Q3383" s="12" t="s">
        <v>67</v>
      </c>
      <c r="R3383" s="12" t="s">
        <v>421</v>
      </c>
      <c r="S3383" s="13">
        <v>197804357352</v>
      </c>
      <c r="T3383" s="12" t="s">
        <v>915</v>
      </c>
      <c r="U3383" s="12" t="s">
        <v>60</v>
      </c>
      <c r="V3383" s="12" t="s">
        <v>979</v>
      </c>
      <c r="W3383" s="12" t="s">
        <v>175</v>
      </c>
      <c r="X3383" s="14"/>
      <c r="Y3383" s="14"/>
      <c r="Z3383" s="14"/>
      <c r="AA3383" s="14"/>
      <c r="AB3383" s="14"/>
      <c r="AC3383" s="15">
        <v>18.2</v>
      </c>
      <c r="AD3383" s="15">
        <f>AC3383*AG3383</f>
        <v>18.2</v>
      </c>
      <c r="AE3383" s="15">
        <v>40</v>
      </c>
      <c r="AF3383" s="15">
        <f>AE3383*AG3383</f>
        <v>40</v>
      </c>
      <c r="AG3383" s="16">
        <v>1</v>
      </c>
    </row>
    <row r="3384" spans="1:33" ht="15" customHeight="1" x14ac:dyDescent="0.2">
      <c r="A3384" s="11" t="str">
        <f>HYPERLINK("https://assets.vans.eu/images/VN000PEWBLK-HERO/1","VN000PEWBLK1")</f>
        <v>VN000PEWBLK1</v>
      </c>
      <c r="B3384" s="12" t="s">
        <v>12238</v>
      </c>
      <c r="C3384" s="12" t="s">
        <v>8392</v>
      </c>
      <c r="D3384" s="12" t="s">
        <v>76</v>
      </c>
      <c r="E3384" s="12" t="s">
        <v>12239</v>
      </c>
      <c r="F3384" s="12" t="s">
        <v>621</v>
      </c>
      <c r="G3384" s="14"/>
      <c r="H3384" s="12" t="s">
        <v>61</v>
      </c>
      <c r="I3384" s="12" t="s">
        <v>230</v>
      </c>
      <c r="J3384" s="12" t="s">
        <v>419</v>
      </c>
      <c r="K3384" s="12" t="s">
        <v>199</v>
      </c>
      <c r="L3384" s="14"/>
      <c r="M3384" s="12" t="s">
        <v>43</v>
      </c>
      <c r="N3384" s="12" t="s">
        <v>84</v>
      </c>
      <c r="O3384" s="12" t="s">
        <v>12240</v>
      </c>
      <c r="P3384" s="12" t="s">
        <v>66</v>
      </c>
      <c r="Q3384" s="12" t="s">
        <v>67</v>
      </c>
      <c r="R3384" s="12" t="s">
        <v>421</v>
      </c>
      <c r="S3384" s="13">
        <v>197804358007</v>
      </c>
      <c r="T3384" s="12" t="s">
        <v>915</v>
      </c>
      <c r="U3384" s="12" t="s">
        <v>621</v>
      </c>
      <c r="V3384" s="12" t="s">
        <v>979</v>
      </c>
      <c r="W3384" s="12" t="s">
        <v>51</v>
      </c>
      <c r="X3384" s="14"/>
      <c r="Y3384" s="14"/>
      <c r="Z3384" s="14"/>
      <c r="AA3384" s="14"/>
      <c r="AB3384" s="14"/>
      <c r="AC3384" s="15">
        <v>18.2</v>
      </c>
      <c r="AD3384" s="15">
        <f>AC3384*AG3384</f>
        <v>18.2</v>
      </c>
      <c r="AE3384" s="15">
        <v>40</v>
      </c>
      <c r="AF3384" s="15">
        <f>AE3384*AG3384</f>
        <v>40</v>
      </c>
      <c r="AG3384" s="16">
        <v>1</v>
      </c>
    </row>
    <row r="3385" spans="1:33" ht="15" customHeight="1" x14ac:dyDescent="0.2">
      <c r="A3385" s="11" t="str">
        <f>HYPERLINK("https://assets.vans.eu/images/VN000PEWEMU-HERO/1","VN000PEWEMU1")</f>
        <v>VN000PEWEMU1</v>
      </c>
      <c r="B3385" s="12" t="s">
        <v>12241</v>
      </c>
      <c r="C3385" s="12" t="s">
        <v>8392</v>
      </c>
      <c r="D3385" s="12" t="s">
        <v>1319</v>
      </c>
      <c r="E3385" s="12" t="s">
        <v>12242</v>
      </c>
      <c r="F3385" s="12" t="s">
        <v>60</v>
      </c>
      <c r="G3385" s="14"/>
      <c r="H3385" s="12" t="s">
        <v>61</v>
      </c>
      <c r="I3385" s="12" t="s">
        <v>230</v>
      </c>
      <c r="J3385" s="12" t="s">
        <v>419</v>
      </c>
      <c r="K3385" s="12" t="s">
        <v>199</v>
      </c>
      <c r="L3385" s="14"/>
      <c r="M3385" s="12" t="s">
        <v>43</v>
      </c>
      <c r="N3385" s="12" t="s">
        <v>84</v>
      </c>
      <c r="O3385" s="12" t="s">
        <v>12243</v>
      </c>
      <c r="P3385" s="12" t="s">
        <v>66</v>
      </c>
      <c r="Q3385" s="12" t="s">
        <v>67</v>
      </c>
      <c r="R3385" s="12" t="s">
        <v>421</v>
      </c>
      <c r="S3385" s="13">
        <v>197804357987</v>
      </c>
      <c r="T3385" s="12" t="s">
        <v>915</v>
      </c>
      <c r="U3385" s="12" t="s">
        <v>60</v>
      </c>
      <c r="V3385" s="12" t="s">
        <v>979</v>
      </c>
      <c r="W3385" s="12" t="s">
        <v>118</v>
      </c>
      <c r="X3385" s="14"/>
      <c r="Y3385" s="14"/>
      <c r="Z3385" s="14"/>
      <c r="AA3385" s="14"/>
      <c r="AB3385" s="14"/>
      <c r="AC3385" s="15">
        <v>18.2</v>
      </c>
      <c r="AD3385" s="15">
        <f>AC3385*AG3385</f>
        <v>18.2</v>
      </c>
      <c r="AE3385" s="15">
        <v>40</v>
      </c>
      <c r="AF3385" s="15">
        <f>AE3385*AG3385</f>
        <v>40</v>
      </c>
      <c r="AG3385" s="16">
        <v>1</v>
      </c>
    </row>
    <row r="3386" spans="1:33" ht="15" customHeight="1" x14ac:dyDescent="0.2">
      <c r="A3386" s="11" t="str">
        <f>HYPERLINK("https://assets.vans.eu/images/VN000PEYF0F-HERO/1","VN000PEYF0F1")</f>
        <v>VN000PEYF0F1</v>
      </c>
      <c r="B3386" s="12" t="s">
        <v>12244</v>
      </c>
      <c r="C3386" s="12" t="s">
        <v>2528</v>
      </c>
      <c r="D3386" s="12" t="s">
        <v>12245</v>
      </c>
      <c r="E3386" s="12" t="s">
        <v>12246</v>
      </c>
      <c r="F3386" s="12" t="s">
        <v>179</v>
      </c>
      <c r="G3386" s="14"/>
      <c r="H3386" s="12" t="s">
        <v>61</v>
      </c>
      <c r="I3386" s="12" t="s">
        <v>230</v>
      </c>
      <c r="J3386" s="12" t="s">
        <v>419</v>
      </c>
      <c r="K3386" s="12" t="s">
        <v>199</v>
      </c>
      <c r="L3386" s="14"/>
      <c r="M3386" s="12" t="s">
        <v>43</v>
      </c>
      <c r="N3386" s="12" t="s">
        <v>84</v>
      </c>
      <c r="O3386" s="12" t="s">
        <v>12247</v>
      </c>
      <c r="P3386" s="12" t="s">
        <v>66</v>
      </c>
      <c r="Q3386" s="12" t="s">
        <v>67</v>
      </c>
      <c r="R3386" s="12" t="s">
        <v>421</v>
      </c>
      <c r="S3386" s="13">
        <v>197804578016</v>
      </c>
      <c r="T3386" s="12" t="s">
        <v>915</v>
      </c>
      <c r="U3386" s="12" t="s">
        <v>179</v>
      </c>
      <c r="V3386" s="12" t="s">
        <v>979</v>
      </c>
      <c r="W3386" s="12" t="s">
        <v>598</v>
      </c>
      <c r="X3386" s="14"/>
      <c r="Y3386" s="14"/>
      <c r="Z3386" s="14"/>
      <c r="AA3386" s="14"/>
      <c r="AB3386" s="14"/>
      <c r="AC3386" s="15">
        <v>15.95</v>
      </c>
      <c r="AD3386" s="15">
        <f>AC3386*AG3386</f>
        <v>15.95</v>
      </c>
      <c r="AE3386" s="15">
        <v>35</v>
      </c>
      <c r="AF3386" s="15">
        <f>AE3386*AG3386</f>
        <v>35</v>
      </c>
      <c r="AG3386" s="16">
        <v>1</v>
      </c>
    </row>
    <row r="3387" spans="1:33" ht="15" customHeight="1" x14ac:dyDescent="0.2">
      <c r="A3387" s="11" t="str">
        <f t="shared" si="242"/>
        <v>VN000PEYNAV1</v>
      </c>
      <c r="B3387" s="12" t="s">
        <v>12248</v>
      </c>
      <c r="C3387" s="12" t="s">
        <v>2528</v>
      </c>
      <c r="D3387" s="12" t="s">
        <v>1573</v>
      </c>
      <c r="E3387" s="12" t="s">
        <v>12249</v>
      </c>
      <c r="F3387" s="12" t="s">
        <v>153</v>
      </c>
      <c r="G3387" s="14"/>
      <c r="H3387" s="12" t="s">
        <v>61</v>
      </c>
      <c r="I3387" s="12" t="s">
        <v>230</v>
      </c>
      <c r="J3387" s="12" t="s">
        <v>419</v>
      </c>
      <c r="K3387" s="12" t="s">
        <v>199</v>
      </c>
      <c r="L3387" s="14"/>
      <c r="M3387" s="12" t="s">
        <v>43</v>
      </c>
      <c r="N3387" s="12" t="s">
        <v>84</v>
      </c>
      <c r="O3387" s="12" t="s">
        <v>12250</v>
      </c>
      <c r="P3387" s="12" t="s">
        <v>66</v>
      </c>
      <c r="Q3387" s="12" t="s">
        <v>67</v>
      </c>
      <c r="R3387" s="12" t="s">
        <v>421</v>
      </c>
      <c r="S3387" s="13">
        <v>197804358298</v>
      </c>
      <c r="T3387" s="12" t="s">
        <v>915</v>
      </c>
      <c r="U3387" s="12" t="s">
        <v>153</v>
      </c>
      <c r="V3387" s="12" t="s">
        <v>979</v>
      </c>
      <c r="W3387" s="12" t="s">
        <v>284</v>
      </c>
      <c r="X3387" s="14"/>
      <c r="Y3387" s="14"/>
      <c r="Z3387" s="14"/>
      <c r="AA3387" s="14"/>
      <c r="AB3387" s="14"/>
      <c r="AC3387" s="15">
        <v>15.95</v>
      </c>
      <c r="AD3387" s="15">
        <f>AC3387*AG3387</f>
        <v>15.95</v>
      </c>
      <c r="AE3387" s="15">
        <v>35</v>
      </c>
      <c r="AF3387" s="15">
        <f>AE3387*AG3387</f>
        <v>35</v>
      </c>
      <c r="AG3387" s="16">
        <v>1</v>
      </c>
    </row>
    <row r="3388" spans="1:33" ht="15" customHeight="1" x14ac:dyDescent="0.2">
      <c r="A3388" s="11" t="str">
        <f>HYPERLINK("https://assets.vans.eu/images/VN000PEYYB2-HERO/1","VN000PEYYB21")</f>
        <v>VN000PEYYB21</v>
      </c>
      <c r="B3388" s="12" t="s">
        <v>12251</v>
      </c>
      <c r="C3388" s="12" t="s">
        <v>2528</v>
      </c>
      <c r="D3388" s="12" t="s">
        <v>1138</v>
      </c>
      <c r="E3388" s="12" t="s">
        <v>12252</v>
      </c>
      <c r="F3388" s="12" t="s">
        <v>60</v>
      </c>
      <c r="G3388" s="14"/>
      <c r="H3388" s="12" t="s">
        <v>61</v>
      </c>
      <c r="I3388" s="12" t="s">
        <v>230</v>
      </c>
      <c r="J3388" s="12" t="s">
        <v>419</v>
      </c>
      <c r="K3388" s="12" t="s">
        <v>199</v>
      </c>
      <c r="L3388" s="14"/>
      <c r="M3388" s="12" t="s">
        <v>43</v>
      </c>
      <c r="N3388" s="12" t="s">
        <v>84</v>
      </c>
      <c r="O3388" s="12" t="s">
        <v>12253</v>
      </c>
      <c r="P3388" s="12" t="s">
        <v>66</v>
      </c>
      <c r="Q3388" s="12" t="s">
        <v>67</v>
      </c>
      <c r="R3388" s="12" t="s">
        <v>421</v>
      </c>
      <c r="S3388" s="13">
        <v>197804358021</v>
      </c>
      <c r="T3388" s="12" t="s">
        <v>915</v>
      </c>
      <c r="U3388" s="12" t="s">
        <v>60</v>
      </c>
      <c r="V3388" s="12" t="s">
        <v>979</v>
      </c>
      <c r="W3388" s="12" t="s">
        <v>175</v>
      </c>
      <c r="X3388" s="14"/>
      <c r="Y3388" s="14"/>
      <c r="Z3388" s="14"/>
      <c r="AA3388" s="14"/>
      <c r="AB3388" s="14"/>
      <c r="AC3388" s="15">
        <v>15.95</v>
      </c>
      <c r="AD3388" s="15">
        <f>AC3388*AG3388</f>
        <v>15.95</v>
      </c>
      <c r="AE3388" s="15">
        <v>35</v>
      </c>
      <c r="AF3388" s="15">
        <f>AE3388*AG3388</f>
        <v>35</v>
      </c>
      <c r="AG3388" s="16">
        <v>1</v>
      </c>
    </row>
    <row r="3389" spans="1:33" ht="15" customHeight="1" x14ac:dyDescent="0.2">
      <c r="A3389" s="11" t="str">
        <f t="shared" ref="A3389:A3390" si="1202">HYPERLINK("https://assets.vans.eu/images/VN000PF7F0D-HERO/1","VN000PF7F0D1")</f>
        <v>VN000PF7F0D1</v>
      </c>
      <c r="B3389" s="12" t="s">
        <v>12254</v>
      </c>
      <c r="C3389" s="12" t="s">
        <v>1137</v>
      </c>
      <c r="D3389" s="12" t="s">
        <v>6629</v>
      </c>
      <c r="E3389" s="12" t="s">
        <v>12255</v>
      </c>
      <c r="F3389" s="12" t="s">
        <v>179</v>
      </c>
      <c r="G3389" s="14"/>
      <c r="H3389" s="12" t="s">
        <v>61</v>
      </c>
      <c r="I3389" s="12" t="s">
        <v>230</v>
      </c>
      <c r="J3389" s="12" t="s">
        <v>419</v>
      </c>
      <c r="K3389" s="12" t="s">
        <v>199</v>
      </c>
      <c r="L3389" s="14"/>
      <c r="M3389" s="12" t="s">
        <v>43</v>
      </c>
      <c r="N3389" s="12" t="s">
        <v>84</v>
      </c>
      <c r="O3389" s="12" t="s">
        <v>12256</v>
      </c>
      <c r="P3389" s="12" t="s">
        <v>66</v>
      </c>
      <c r="Q3389" s="12" t="s">
        <v>67</v>
      </c>
      <c r="R3389" s="12" t="s">
        <v>421</v>
      </c>
      <c r="S3389" s="13">
        <v>197804357895</v>
      </c>
      <c r="T3389" s="12" t="s">
        <v>49</v>
      </c>
      <c r="U3389" s="12" t="s">
        <v>179</v>
      </c>
      <c r="V3389" s="12" t="s">
        <v>665</v>
      </c>
      <c r="W3389" s="12" t="s">
        <v>51</v>
      </c>
      <c r="X3389" s="14"/>
      <c r="Y3389" s="14"/>
      <c r="Z3389" s="14"/>
      <c r="AA3389" s="14"/>
      <c r="AB3389" s="14"/>
      <c r="AC3389" s="15">
        <v>20.5</v>
      </c>
      <c r="AD3389" s="15">
        <f>AC3389*AG3389</f>
        <v>20.5</v>
      </c>
      <c r="AE3389" s="15">
        <v>45</v>
      </c>
      <c r="AF3389" s="15">
        <f>AE3389*AG3389</f>
        <v>45</v>
      </c>
      <c r="AG3389" s="16">
        <v>1</v>
      </c>
    </row>
    <row r="3390" spans="1:33" ht="15" customHeight="1" x14ac:dyDescent="0.2">
      <c r="A3390" s="11" t="str">
        <f t="shared" si="1202"/>
        <v>VN000PF7F0D1</v>
      </c>
      <c r="B3390" s="12" t="s">
        <v>12257</v>
      </c>
      <c r="C3390" s="12" t="s">
        <v>1137</v>
      </c>
      <c r="D3390" s="12" t="s">
        <v>6629</v>
      </c>
      <c r="E3390" s="12" t="s">
        <v>12258</v>
      </c>
      <c r="F3390" s="12" t="s">
        <v>170</v>
      </c>
      <c r="G3390" s="14"/>
      <c r="H3390" s="12" t="s">
        <v>61</v>
      </c>
      <c r="I3390" s="12" t="s">
        <v>230</v>
      </c>
      <c r="J3390" s="12" t="s">
        <v>419</v>
      </c>
      <c r="K3390" s="12" t="s">
        <v>199</v>
      </c>
      <c r="L3390" s="14"/>
      <c r="M3390" s="12" t="s">
        <v>43</v>
      </c>
      <c r="N3390" s="12" t="s">
        <v>84</v>
      </c>
      <c r="O3390" s="12" t="s">
        <v>12259</v>
      </c>
      <c r="P3390" s="12" t="s">
        <v>66</v>
      </c>
      <c r="Q3390" s="12" t="s">
        <v>67</v>
      </c>
      <c r="R3390" s="12" t="s">
        <v>421</v>
      </c>
      <c r="S3390" s="13">
        <v>197804358069</v>
      </c>
      <c r="T3390" s="12" t="s">
        <v>49</v>
      </c>
      <c r="U3390" s="12" t="s">
        <v>170</v>
      </c>
      <c r="V3390" s="12" t="s">
        <v>665</v>
      </c>
      <c r="W3390" s="12" t="s">
        <v>51</v>
      </c>
      <c r="X3390" s="14"/>
      <c r="Y3390" s="14"/>
      <c r="Z3390" s="14"/>
      <c r="AA3390" s="14"/>
      <c r="AB3390" s="14"/>
      <c r="AC3390" s="15">
        <v>20.5</v>
      </c>
      <c r="AD3390" s="15">
        <f>AC3390*AG3390</f>
        <v>20.5</v>
      </c>
      <c r="AE3390" s="15">
        <v>45</v>
      </c>
      <c r="AF3390" s="15">
        <f>AE3390*AG3390</f>
        <v>45</v>
      </c>
      <c r="AG3390" s="16">
        <v>1</v>
      </c>
    </row>
    <row r="3391" spans="1:33" ht="15" customHeight="1" x14ac:dyDescent="0.2">
      <c r="A3391" s="11" t="str">
        <f t="shared" ref="A3391:A3392" si="1203">HYPERLINK("https://assets.vans.eu/images/VN000PF7Y28-HERO/1","VN000PF7Y281")</f>
        <v>VN000PF7Y281</v>
      </c>
      <c r="B3391" s="12" t="s">
        <v>12260</v>
      </c>
      <c r="C3391" s="12" t="s">
        <v>1137</v>
      </c>
      <c r="D3391" s="12" t="s">
        <v>58</v>
      </c>
      <c r="E3391" s="12" t="s">
        <v>12261</v>
      </c>
      <c r="F3391" s="12" t="s">
        <v>179</v>
      </c>
      <c r="G3391" s="14"/>
      <c r="H3391" s="12" t="s">
        <v>61</v>
      </c>
      <c r="I3391" s="12" t="s">
        <v>230</v>
      </c>
      <c r="J3391" s="12" t="s">
        <v>419</v>
      </c>
      <c r="K3391" s="12" t="s">
        <v>199</v>
      </c>
      <c r="L3391" s="14"/>
      <c r="M3391" s="12" t="s">
        <v>43</v>
      </c>
      <c r="N3391" s="12" t="s">
        <v>84</v>
      </c>
      <c r="O3391" s="12" t="s">
        <v>12262</v>
      </c>
      <c r="P3391" s="12" t="s">
        <v>66</v>
      </c>
      <c r="Q3391" s="12" t="s">
        <v>67</v>
      </c>
      <c r="R3391" s="12" t="s">
        <v>421</v>
      </c>
      <c r="S3391" s="13">
        <v>197804357956</v>
      </c>
      <c r="T3391" s="12" t="s">
        <v>49</v>
      </c>
      <c r="U3391" s="12" t="s">
        <v>179</v>
      </c>
      <c r="V3391" s="12" t="s">
        <v>665</v>
      </c>
      <c r="W3391" s="12" t="s">
        <v>51</v>
      </c>
      <c r="X3391" s="14"/>
      <c r="Y3391" s="14"/>
      <c r="Z3391" s="14"/>
      <c r="AA3391" s="14"/>
      <c r="AB3391" s="14"/>
      <c r="AC3391" s="15">
        <v>20.5</v>
      </c>
      <c r="AD3391" s="15">
        <f>AC3391*AG3391</f>
        <v>20.5</v>
      </c>
      <c r="AE3391" s="15">
        <v>45</v>
      </c>
      <c r="AF3391" s="15">
        <f>AE3391*AG3391</f>
        <v>45</v>
      </c>
      <c r="AG3391" s="16">
        <v>1</v>
      </c>
    </row>
    <row r="3392" spans="1:33" ht="15" customHeight="1" x14ac:dyDescent="0.2">
      <c r="A3392" s="11" t="str">
        <f t="shared" si="1203"/>
        <v>VN000PF7Y281</v>
      </c>
      <c r="B3392" s="12" t="s">
        <v>12263</v>
      </c>
      <c r="C3392" s="12" t="s">
        <v>1137</v>
      </c>
      <c r="D3392" s="12" t="s">
        <v>58</v>
      </c>
      <c r="E3392" s="12" t="s">
        <v>12264</v>
      </c>
      <c r="F3392" s="12" t="s">
        <v>60</v>
      </c>
      <c r="G3392" s="14"/>
      <c r="H3392" s="12" t="s">
        <v>61</v>
      </c>
      <c r="I3392" s="12" t="s">
        <v>230</v>
      </c>
      <c r="J3392" s="12" t="s">
        <v>419</v>
      </c>
      <c r="K3392" s="12" t="s">
        <v>199</v>
      </c>
      <c r="L3392" s="14"/>
      <c r="M3392" s="12" t="s">
        <v>43</v>
      </c>
      <c r="N3392" s="12" t="s">
        <v>84</v>
      </c>
      <c r="O3392" s="12" t="s">
        <v>12265</v>
      </c>
      <c r="P3392" s="12" t="s">
        <v>66</v>
      </c>
      <c r="Q3392" s="12" t="s">
        <v>67</v>
      </c>
      <c r="R3392" s="12" t="s">
        <v>421</v>
      </c>
      <c r="S3392" s="13">
        <v>197804358373</v>
      </c>
      <c r="T3392" s="12" t="s">
        <v>49</v>
      </c>
      <c r="U3392" s="12" t="s">
        <v>60</v>
      </c>
      <c r="V3392" s="12" t="s">
        <v>665</v>
      </c>
      <c r="W3392" s="12" t="s">
        <v>51</v>
      </c>
      <c r="X3392" s="14"/>
      <c r="Y3392" s="14"/>
      <c r="Z3392" s="14"/>
      <c r="AA3392" s="14"/>
      <c r="AB3392" s="14"/>
      <c r="AC3392" s="15">
        <v>20.5</v>
      </c>
      <c r="AD3392" s="15">
        <f>AC3392*AG3392</f>
        <v>20.5</v>
      </c>
      <c r="AE3392" s="15">
        <v>45</v>
      </c>
      <c r="AF3392" s="15">
        <f>AE3392*AG3392</f>
        <v>45</v>
      </c>
      <c r="AG3392" s="16">
        <v>1</v>
      </c>
    </row>
    <row r="3393" spans="1:33" ht="15" customHeight="1" x14ac:dyDescent="0.2">
      <c r="A3393" s="11" t="str">
        <f t="shared" si="574"/>
        <v>VN000PFBEMU1</v>
      </c>
      <c r="B3393" s="12" t="s">
        <v>12266</v>
      </c>
      <c r="C3393" s="12" t="s">
        <v>1588</v>
      </c>
      <c r="D3393" s="12" t="s">
        <v>1319</v>
      </c>
      <c r="E3393" s="12" t="s">
        <v>12267</v>
      </c>
      <c r="F3393" s="12" t="s">
        <v>60</v>
      </c>
      <c r="G3393" s="14"/>
      <c r="H3393" s="12" t="s">
        <v>61</v>
      </c>
      <c r="I3393" s="12" t="s">
        <v>230</v>
      </c>
      <c r="J3393" s="12" t="s">
        <v>419</v>
      </c>
      <c r="K3393" s="12" t="s">
        <v>199</v>
      </c>
      <c r="L3393" s="14"/>
      <c r="M3393" s="12" t="s">
        <v>43</v>
      </c>
      <c r="N3393" s="12" t="s">
        <v>84</v>
      </c>
      <c r="O3393" s="12" t="s">
        <v>12268</v>
      </c>
      <c r="P3393" s="12" t="s">
        <v>66</v>
      </c>
      <c r="Q3393" s="12" t="s">
        <v>67</v>
      </c>
      <c r="R3393" s="12" t="s">
        <v>421</v>
      </c>
      <c r="S3393" s="13">
        <v>197804383924</v>
      </c>
      <c r="T3393" s="12" t="s">
        <v>49</v>
      </c>
      <c r="U3393" s="12" t="s">
        <v>60</v>
      </c>
      <c r="V3393" s="12" t="s">
        <v>665</v>
      </c>
      <c r="W3393" s="12" t="s">
        <v>118</v>
      </c>
      <c r="X3393" s="14"/>
      <c r="Y3393" s="14"/>
      <c r="Z3393" s="14"/>
      <c r="AA3393" s="14"/>
      <c r="AB3393" s="14"/>
      <c r="AC3393" s="15">
        <v>20.5</v>
      </c>
      <c r="AD3393" s="15">
        <f>AC3393*AG3393</f>
        <v>20.5</v>
      </c>
      <c r="AE3393" s="15">
        <v>45</v>
      </c>
      <c r="AF3393" s="15">
        <f>AE3393*AG3393</f>
        <v>45</v>
      </c>
      <c r="AG3393" s="16">
        <v>1</v>
      </c>
    </row>
    <row r="3394" spans="1:33" ht="15" customHeight="1" x14ac:dyDescent="0.2">
      <c r="A3394" s="11" t="str">
        <f>HYPERLINK("https://assets.vans.eu/images/VN000PFBEMU-HERO/1","VN000PFBEMU1")</f>
        <v>VN000PFBEMU1</v>
      </c>
      <c r="B3394" s="12" t="s">
        <v>12269</v>
      </c>
      <c r="C3394" s="12" t="s">
        <v>1588</v>
      </c>
      <c r="D3394" s="12" t="s">
        <v>1319</v>
      </c>
      <c r="E3394" s="12" t="s">
        <v>12270</v>
      </c>
      <c r="F3394" s="12" t="s">
        <v>153</v>
      </c>
      <c r="G3394" s="14"/>
      <c r="H3394" s="12" t="s">
        <v>61</v>
      </c>
      <c r="I3394" s="12" t="s">
        <v>230</v>
      </c>
      <c r="J3394" s="12" t="s">
        <v>419</v>
      </c>
      <c r="K3394" s="12" t="s">
        <v>199</v>
      </c>
      <c r="L3394" s="14"/>
      <c r="M3394" s="12" t="s">
        <v>43</v>
      </c>
      <c r="N3394" s="12" t="s">
        <v>84</v>
      </c>
      <c r="O3394" s="12" t="s">
        <v>12271</v>
      </c>
      <c r="P3394" s="12" t="s">
        <v>66</v>
      </c>
      <c r="Q3394" s="12" t="s">
        <v>67</v>
      </c>
      <c r="R3394" s="12" t="s">
        <v>421</v>
      </c>
      <c r="S3394" s="13">
        <v>197804383979</v>
      </c>
      <c r="T3394" s="12" t="s">
        <v>49</v>
      </c>
      <c r="U3394" s="12" t="s">
        <v>153</v>
      </c>
      <c r="V3394" s="12" t="s">
        <v>665</v>
      </c>
      <c r="W3394" s="12" t="s">
        <v>118</v>
      </c>
      <c r="X3394" s="14"/>
      <c r="Y3394" s="14"/>
      <c r="Z3394" s="14"/>
      <c r="AA3394" s="14"/>
      <c r="AB3394" s="14"/>
      <c r="AC3394" s="15">
        <v>20.5</v>
      </c>
      <c r="AD3394" s="15">
        <f>AC3394*AG3394</f>
        <v>20.5</v>
      </c>
      <c r="AE3394" s="15">
        <v>45</v>
      </c>
      <c r="AF3394" s="15">
        <f>AE3394*AG3394</f>
        <v>45</v>
      </c>
      <c r="AG3394" s="16">
        <v>1</v>
      </c>
    </row>
    <row r="3395" spans="1:33" ht="15" customHeight="1" x14ac:dyDescent="0.2">
      <c r="A3395" s="11" t="str">
        <f t="shared" si="917"/>
        <v>VN000PFBF2L1</v>
      </c>
      <c r="B3395" s="12" t="s">
        <v>12272</v>
      </c>
      <c r="C3395" s="12" t="s">
        <v>1588</v>
      </c>
      <c r="D3395" s="12" t="s">
        <v>8402</v>
      </c>
      <c r="E3395" s="12" t="s">
        <v>12273</v>
      </c>
      <c r="F3395" s="12" t="s">
        <v>170</v>
      </c>
      <c r="G3395" s="14"/>
      <c r="H3395" s="12" t="s">
        <v>61</v>
      </c>
      <c r="I3395" s="12" t="s">
        <v>230</v>
      </c>
      <c r="J3395" s="12" t="s">
        <v>419</v>
      </c>
      <c r="K3395" s="12" t="s">
        <v>199</v>
      </c>
      <c r="L3395" s="14"/>
      <c r="M3395" s="12" t="s">
        <v>43</v>
      </c>
      <c r="N3395" s="12" t="s">
        <v>84</v>
      </c>
      <c r="O3395" s="12" t="s">
        <v>12274</v>
      </c>
      <c r="P3395" s="12" t="s">
        <v>66</v>
      </c>
      <c r="Q3395" s="12" t="s">
        <v>67</v>
      </c>
      <c r="R3395" s="12" t="s">
        <v>421</v>
      </c>
      <c r="S3395" s="13">
        <v>197804383740</v>
      </c>
      <c r="T3395" s="12" t="s">
        <v>49</v>
      </c>
      <c r="U3395" s="12" t="s">
        <v>170</v>
      </c>
      <c r="V3395" s="12" t="s">
        <v>665</v>
      </c>
      <c r="W3395" s="12" t="s">
        <v>175</v>
      </c>
      <c r="X3395" s="14"/>
      <c r="Y3395" s="14"/>
      <c r="Z3395" s="14"/>
      <c r="AA3395" s="14"/>
      <c r="AB3395" s="14"/>
      <c r="AC3395" s="15">
        <v>20.5</v>
      </c>
      <c r="AD3395" s="15">
        <f>AC3395*AG3395</f>
        <v>20.5</v>
      </c>
      <c r="AE3395" s="15">
        <v>45</v>
      </c>
      <c r="AF3395" s="15">
        <f>AE3395*AG3395</f>
        <v>45</v>
      </c>
      <c r="AG3395" s="16">
        <v>1</v>
      </c>
    </row>
    <row r="3396" spans="1:33" ht="15" customHeight="1" x14ac:dyDescent="0.2">
      <c r="A3396" s="11" t="str">
        <f>HYPERLINK("https://assets.vans.eu/images/VN000PFBF2L-HERO/1","VN000PFBF2L1")</f>
        <v>VN000PFBF2L1</v>
      </c>
      <c r="B3396" s="12" t="s">
        <v>12275</v>
      </c>
      <c r="C3396" s="12" t="s">
        <v>1588</v>
      </c>
      <c r="D3396" s="12" t="s">
        <v>8402</v>
      </c>
      <c r="E3396" s="12" t="s">
        <v>12276</v>
      </c>
      <c r="F3396" s="12" t="s">
        <v>621</v>
      </c>
      <c r="G3396" s="14"/>
      <c r="H3396" s="12" t="s">
        <v>61</v>
      </c>
      <c r="I3396" s="12" t="s">
        <v>230</v>
      </c>
      <c r="J3396" s="12" t="s">
        <v>419</v>
      </c>
      <c r="K3396" s="12" t="s">
        <v>199</v>
      </c>
      <c r="L3396" s="14"/>
      <c r="M3396" s="12" t="s">
        <v>43</v>
      </c>
      <c r="N3396" s="12" t="s">
        <v>84</v>
      </c>
      <c r="O3396" s="12" t="s">
        <v>12277</v>
      </c>
      <c r="P3396" s="12" t="s">
        <v>66</v>
      </c>
      <c r="Q3396" s="12" t="s">
        <v>67</v>
      </c>
      <c r="R3396" s="12" t="s">
        <v>421</v>
      </c>
      <c r="S3396" s="13">
        <v>197804384105</v>
      </c>
      <c r="T3396" s="12" t="s">
        <v>49</v>
      </c>
      <c r="U3396" s="12" t="s">
        <v>621</v>
      </c>
      <c r="V3396" s="12" t="s">
        <v>665</v>
      </c>
      <c r="W3396" s="12" t="s">
        <v>175</v>
      </c>
      <c r="X3396" s="14"/>
      <c r="Y3396" s="14"/>
      <c r="Z3396" s="14"/>
      <c r="AA3396" s="14"/>
      <c r="AB3396" s="14"/>
      <c r="AC3396" s="15">
        <v>20.5</v>
      </c>
      <c r="AD3396" s="15">
        <f>AC3396*AG3396</f>
        <v>20.5</v>
      </c>
      <c r="AE3396" s="15">
        <v>45</v>
      </c>
      <c r="AF3396" s="15">
        <f>AE3396*AG3396</f>
        <v>45</v>
      </c>
      <c r="AG3396" s="16">
        <v>1</v>
      </c>
    </row>
    <row r="3397" spans="1:33" ht="15" customHeight="1" x14ac:dyDescent="0.2">
      <c r="A3397" s="11" t="str">
        <f>HYPERLINK("https://assets.vans.eu/images/VN000PGJEMF-HERO/1","VN000PGJEMF1")</f>
        <v>VN000PGJEMF1</v>
      </c>
      <c r="B3397" s="12" t="s">
        <v>12278</v>
      </c>
      <c r="C3397" s="12" t="s">
        <v>2532</v>
      </c>
      <c r="D3397" s="12" t="s">
        <v>1282</v>
      </c>
      <c r="E3397" s="12" t="s">
        <v>12279</v>
      </c>
      <c r="F3397" s="12" t="s">
        <v>179</v>
      </c>
      <c r="G3397" s="14"/>
      <c r="H3397" s="12" t="s">
        <v>61</v>
      </c>
      <c r="I3397" s="12" t="s">
        <v>230</v>
      </c>
      <c r="J3397" s="12" t="s">
        <v>762</v>
      </c>
      <c r="K3397" s="12" t="s">
        <v>199</v>
      </c>
      <c r="L3397" s="14"/>
      <c r="M3397" s="12" t="s">
        <v>43</v>
      </c>
      <c r="N3397" s="12" t="s">
        <v>84</v>
      </c>
      <c r="O3397" s="12" t="s">
        <v>12280</v>
      </c>
      <c r="P3397" s="12" t="s">
        <v>66</v>
      </c>
      <c r="Q3397" s="12" t="s">
        <v>764</v>
      </c>
      <c r="R3397" s="12" t="s">
        <v>765</v>
      </c>
      <c r="S3397" s="13">
        <v>197804371464</v>
      </c>
      <c r="T3397" s="12" t="s">
        <v>235</v>
      </c>
      <c r="U3397" s="12" t="s">
        <v>179</v>
      </c>
      <c r="V3397" s="12" t="s">
        <v>90</v>
      </c>
      <c r="W3397" s="12" t="s">
        <v>118</v>
      </c>
      <c r="X3397" s="14"/>
      <c r="Y3397" s="14"/>
      <c r="Z3397" s="14"/>
      <c r="AA3397" s="14"/>
      <c r="AB3397" s="14"/>
      <c r="AC3397" s="15">
        <v>50</v>
      </c>
      <c r="AD3397" s="15">
        <f>AC3397*AG3397</f>
        <v>50</v>
      </c>
      <c r="AE3397" s="15">
        <v>110</v>
      </c>
      <c r="AF3397" s="15">
        <f>AE3397*AG3397</f>
        <v>110</v>
      </c>
      <c r="AG3397" s="16">
        <v>1</v>
      </c>
    </row>
    <row r="3398" spans="1:33" ht="15" customHeight="1" x14ac:dyDescent="0.2">
      <c r="A3398" s="11" t="str">
        <f t="shared" si="918"/>
        <v>VN000PGMEMU1</v>
      </c>
      <c r="B3398" s="12" t="s">
        <v>12281</v>
      </c>
      <c r="C3398" s="12" t="s">
        <v>3761</v>
      </c>
      <c r="D3398" s="12" t="s">
        <v>1319</v>
      </c>
      <c r="E3398" s="12" t="s">
        <v>12282</v>
      </c>
      <c r="F3398" s="12" t="s">
        <v>153</v>
      </c>
      <c r="G3398" s="14"/>
      <c r="H3398" s="12" t="s">
        <v>61</v>
      </c>
      <c r="I3398" s="12" t="s">
        <v>230</v>
      </c>
      <c r="J3398" s="12" t="s">
        <v>419</v>
      </c>
      <c r="K3398" s="12" t="s">
        <v>199</v>
      </c>
      <c r="L3398" s="14"/>
      <c r="M3398" s="12" t="s">
        <v>43</v>
      </c>
      <c r="N3398" s="12" t="s">
        <v>84</v>
      </c>
      <c r="O3398" s="12" t="s">
        <v>12283</v>
      </c>
      <c r="P3398" s="12" t="s">
        <v>66</v>
      </c>
      <c r="Q3398" s="12" t="s">
        <v>67</v>
      </c>
      <c r="R3398" s="12" t="s">
        <v>623</v>
      </c>
      <c r="S3398" s="13">
        <v>197804791170</v>
      </c>
      <c r="T3398" s="12" t="s">
        <v>709</v>
      </c>
      <c r="U3398" s="12" t="s">
        <v>153</v>
      </c>
      <c r="V3398" s="12" t="s">
        <v>710</v>
      </c>
      <c r="W3398" s="12" t="s">
        <v>118</v>
      </c>
      <c r="X3398" s="14"/>
      <c r="Y3398" s="14"/>
      <c r="Z3398" s="14"/>
      <c r="AA3398" s="14"/>
      <c r="AB3398" s="14"/>
      <c r="AC3398" s="15">
        <v>34.1</v>
      </c>
      <c r="AD3398" s="15">
        <f>AC3398*AG3398</f>
        <v>34.1</v>
      </c>
      <c r="AE3398" s="15">
        <v>75</v>
      </c>
      <c r="AF3398" s="15">
        <f>AE3398*AG3398</f>
        <v>75</v>
      </c>
      <c r="AG3398" s="16">
        <v>1</v>
      </c>
    </row>
    <row r="3399" spans="1:33" ht="15" customHeight="1" x14ac:dyDescent="0.2">
      <c r="A3399" s="11" t="str">
        <f t="shared" si="919"/>
        <v>VN000PH6IYR1</v>
      </c>
      <c r="B3399" s="12" t="s">
        <v>12284</v>
      </c>
      <c r="C3399" s="12" t="s">
        <v>1577</v>
      </c>
      <c r="D3399" s="12" t="s">
        <v>1497</v>
      </c>
      <c r="E3399" s="12" t="s">
        <v>12285</v>
      </c>
      <c r="F3399" s="13">
        <v>26</v>
      </c>
      <c r="G3399" s="14"/>
      <c r="H3399" s="12" t="s">
        <v>61</v>
      </c>
      <c r="I3399" s="12" t="s">
        <v>230</v>
      </c>
      <c r="J3399" s="12" t="s">
        <v>231</v>
      </c>
      <c r="K3399" s="12" t="s">
        <v>199</v>
      </c>
      <c r="L3399" s="14"/>
      <c r="M3399" s="12" t="s">
        <v>43</v>
      </c>
      <c r="N3399" s="12" t="s">
        <v>84</v>
      </c>
      <c r="O3399" s="12" t="s">
        <v>12286</v>
      </c>
      <c r="P3399" s="12" t="s">
        <v>66</v>
      </c>
      <c r="Q3399" s="12" t="s">
        <v>233</v>
      </c>
      <c r="R3399" s="12" t="s">
        <v>361</v>
      </c>
      <c r="S3399" s="13">
        <v>197804579631</v>
      </c>
      <c r="T3399" s="12" t="s">
        <v>235</v>
      </c>
      <c r="U3399" s="13">
        <v>26</v>
      </c>
      <c r="V3399" s="12" t="s">
        <v>665</v>
      </c>
      <c r="W3399" s="12" t="s">
        <v>284</v>
      </c>
      <c r="X3399" s="14"/>
      <c r="Y3399" s="14"/>
      <c r="Z3399" s="14"/>
      <c r="AA3399" s="14"/>
      <c r="AB3399" s="14"/>
      <c r="AC3399" s="15">
        <v>36.4</v>
      </c>
      <c r="AD3399" s="15">
        <f>AC3399*AG3399</f>
        <v>36.4</v>
      </c>
      <c r="AE3399" s="15">
        <v>80</v>
      </c>
      <c r="AF3399" s="15">
        <f>AE3399*AG3399</f>
        <v>80</v>
      </c>
      <c r="AG3399" s="16">
        <v>1</v>
      </c>
    </row>
    <row r="3400" spans="1:33" ht="15" customHeight="1" x14ac:dyDescent="0.2">
      <c r="A3400" s="11" t="str">
        <f t="shared" ref="A3400:A3402" si="1204">HYPERLINK("https://assets.vans.eu/images/VN000PH6IYR-HERO/1","VN000PH6IYR1")</f>
        <v>VN000PH6IYR1</v>
      </c>
      <c r="B3400" s="12" t="s">
        <v>12287</v>
      </c>
      <c r="C3400" s="12" t="s">
        <v>1577</v>
      </c>
      <c r="D3400" s="12" t="s">
        <v>1497</v>
      </c>
      <c r="E3400" s="12" t="s">
        <v>12288</v>
      </c>
      <c r="F3400" s="13">
        <v>27</v>
      </c>
      <c r="G3400" s="14"/>
      <c r="H3400" s="12" t="s">
        <v>61</v>
      </c>
      <c r="I3400" s="12" t="s">
        <v>230</v>
      </c>
      <c r="J3400" s="12" t="s">
        <v>231</v>
      </c>
      <c r="K3400" s="12" t="s">
        <v>199</v>
      </c>
      <c r="L3400" s="14"/>
      <c r="M3400" s="12" t="s">
        <v>43</v>
      </c>
      <c r="N3400" s="12" t="s">
        <v>84</v>
      </c>
      <c r="O3400" s="12" t="s">
        <v>12289</v>
      </c>
      <c r="P3400" s="12" t="s">
        <v>66</v>
      </c>
      <c r="Q3400" s="12" t="s">
        <v>233</v>
      </c>
      <c r="R3400" s="12" t="s">
        <v>361</v>
      </c>
      <c r="S3400" s="13">
        <v>197804579648</v>
      </c>
      <c r="T3400" s="12" t="s">
        <v>235</v>
      </c>
      <c r="U3400" s="13">
        <v>27</v>
      </c>
      <c r="V3400" s="12" t="s">
        <v>665</v>
      </c>
      <c r="W3400" s="12" t="s">
        <v>284</v>
      </c>
      <c r="X3400" s="14"/>
      <c r="Y3400" s="14"/>
      <c r="Z3400" s="14"/>
      <c r="AA3400" s="14"/>
      <c r="AB3400" s="14"/>
      <c r="AC3400" s="15">
        <v>36.4</v>
      </c>
      <c r="AD3400" s="15">
        <f>AC3400*AG3400</f>
        <v>36.4</v>
      </c>
      <c r="AE3400" s="15">
        <v>80</v>
      </c>
      <c r="AF3400" s="15">
        <f>AE3400*AG3400</f>
        <v>80</v>
      </c>
      <c r="AG3400" s="16">
        <v>1</v>
      </c>
    </row>
    <row r="3401" spans="1:33" ht="15" customHeight="1" x14ac:dyDescent="0.2">
      <c r="A3401" s="11" t="str">
        <f t="shared" si="1204"/>
        <v>VN000PH6IYR1</v>
      </c>
      <c r="B3401" s="12" t="s">
        <v>12290</v>
      </c>
      <c r="C3401" s="12" t="s">
        <v>1577</v>
      </c>
      <c r="D3401" s="12" t="s">
        <v>1497</v>
      </c>
      <c r="E3401" s="12" t="s">
        <v>12291</v>
      </c>
      <c r="F3401" s="13">
        <v>30</v>
      </c>
      <c r="G3401" s="14"/>
      <c r="H3401" s="12" t="s">
        <v>61</v>
      </c>
      <c r="I3401" s="12" t="s">
        <v>230</v>
      </c>
      <c r="J3401" s="12" t="s">
        <v>231</v>
      </c>
      <c r="K3401" s="12" t="s">
        <v>199</v>
      </c>
      <c r="L3401" s="14"/>
      <c r="M3401" s="12" t="s">
        <v>43</v>
      </c>
      <c r="N3401" s="12" t="s">
        <v>84</v>
      </c>
      <c r="O3401" s="12" t="s">
        <v>12292</v>
      </c>
      <c r="P3401" s="12" t="s">
        <v>66</v>
      </c>
      <c r="Q3401" s="12" t="s">
        <v>233</v>
      </c>
      <c r="R3401" s="12" t="s">
        <v>361</v>
      </c>
      <c r="S3401" s="13">
        <v>197804579679</v>
      </c>
      <c r="T3401" s="12" t="s">
        <v>235</v>
      </c>
      <c r="U3401" s="13">
        <v>30</v>
      </c>
      <c r="V3401" s="12" t="s">
        <v>665</v>
      </c>
      <c r="W3401" s="12" t="s">
        <v>284</v>
      </c>
      <c r="X3401" s="14"/>
      <c r="Y3401" s="14"/>
      <c r="Z3401" s="14"/>
      <c r="AA3401" s="14"/>
      <c r="AB3401" s="14"/>
      <c r="AC3401" s="15">
        <v>36.4</v>
      </c>
      <c r="AD3401" s="15">
        <f>AC3401*AG3401</f>
        <v>36.4</v>
      </c>
      <c r="AE3401" s="15">
        <v>80</v>
      </c>
      <c r="AF3401" s="15">
        <f>AE3401*AG3401</f>
        <v>80</v>
      </c>
      <c r="AG3401" s="16">
        <v>1</v>
      </c>
    </row>
    <row r="3402" spans="1:33" ht="15" customHeight="1" x14ac:dyDescent="0.2">
      <c r="A3402" s="11" t="str">
        <f t="shared" si="1204"/>
        <v>VN000PH6IYR1</v>
      </c>
      <c r="B3402" s="12" t="s">
        <v>12293</v>
      </c>
      <c r="C3402" s="12" t="s">
        <v>1577</v>
      </c>
      <c r="D3402" s="12" t="s">
        <v>1497</v>
      </c>
      <c r="E3402" s="12" t="s">
        <v>12294</v>
      </c>
      <c r="F3402" s="13">
        <v>30</v>
      </c>
      <c r="G3402" s="14"/>
      <c r="H3402" s="12" t="s">
        <v>61</v>
      </c>
      <c r="I3402" s="12" t="s">
        <v>230</v>
      </c>
      <c r="J3402" s="12" t="s">
        <v>231</v>
      </c>
      <c r="K3402" s="12" t="s">
        <v>199</v>
      </c>
      <c r="L3402" s="14"/>
      <c r="M3402" s="12" t="s">
        <v>43</v>
      </c>
      <c r="N3402" s="12" t="s">
        <v>84</v>
      </c>
      <c r="O3402" s="12" t="s">
        <v>12295</v>
      </c>
      <c r="P3402" s="12" t="s">
        <v>66</v>
      </c>
      <c r="Q3402" s="12" t="s">
        <v>233</v>
      </c>
      <c r="R3402" s="12" t="s">
        <v>361</v>
      </c>
      <c r="S3402" s="13">
        <v>197804579686</v>
      </c>
      <c r="T3402" s="12" t="s">
        <v>235</v>
      </c>
      <c r="U3402" s="13">
        <v>30</v>
      </c>
      <c r="V3402" s="12" t="s">
        <v>665</v>
      </c>
      <c r="W3402" s="12" t="s">
        <v>284</v>
      </c>
      <c r="X3402" s="14"/>
      <c r="Y3402" s="14"/>
      <c r="Z3402" s="14"/>
      <c r="AA3402" s="14"/>
      <c r="AB3402" s="14"/>
      <c r="AC3402" s="15">
        <v>36.4</v>
      </c>
      <c r="AD3402" s="15">
        <f>AC3402*AG3402</f>
        <v>36.4</v>
      </c>
      <c r="AE3402" s="15">
        <v>80</v>
      </c>
      <c r="AF3402" s="15">
        <f>AE3402*AG3402</f>
        <v>80</v>
      </c>
      <c r="AG3402" s="16">
        <v>1</v>
      </c>
    </row>
    <row r="3403" spans="1:33" ht="15" customHeight="1" x14ac:dyDescent="0.2">
      <c r="A3403" s="11" t="str">
        <f t="shared" ref="A3403:A3405" si="1205">HYPERLINK("https://assets.vans.eu/images/VN000PH8CDX-HERO/1","VN000PH8CDX1")</f>
        <v>VN000PH8CDX1</v>
      </c>
      <c r="B3403" s="12" t="s">
        <v>12296</v>
      </c>
      <c r="C3403" s="12" t="s">
        <v>6816</v>
      </c>
      <c r="D3403" s="12" t="s">
        <v>760</v>
      </c>
      <c r="E3403" s="12" t="s">
        <v>12297</v>
      </c>
      <c r="F3403" s="13">
        <v>30</v>
      </c>
      <c r="G3403" s="14"/>
      <c r="H3403" s="12" t="s">
        <v>61</v>
      </c>
      <c r="I3403" s="12" t="s">
        <v>230</v>
      </c>
      <c r="J3403" s="12" t="s">
        <v>231</v>
      </c>
      <c r="K3403" s="12" t="s">
        <v>199</v>
      </c>
      <c r="L3403" s="14"/>
      <c r="M3403" s="12" t="s">
        <v>43</v>
      </c>
      <c r="N3403" s="12" t="s">
        <v>84</v>
      </c>
      <c r="O3403" s="12" t="s">
        <v>12298</v>
      </c>
      <c r="P3403" s="12" t="s">
        <v>66</v>
      </c>
      <c r="Q3403" s="12" t="s">
        <v>233</v>
      </c>
      <c r="R3403" s="12" t="s">
        <v>361</v>
      </c>
      <c r="S3403" s="13">
        <v>197804579709</v>
      </c>
      <c r="T3403" s="12" t="s">
        <v>235</v>
      </c>
      <c r="U3403" s="13">
        <v>30</v>
      </c>
      <c r="V3403" s="12" t="s">
        <v>665</v>
      </c>
      <c r="W3403" s="12" t="s">
        <v>284</v>
      </c>
      <c r="X3403" s="14"/>
      <c r="Y3403" s="14"/>
      <c r="Z3403" s="14"/>
      <c r="AA3403" s="14"/>
      <c r="AB3403" s="14"/>
      <c r="AC3403" s="15">
        <v>40.950000000000003</v>
      </c>
      <c r="AD3403" s="15">
        <f>AC3403*AG3403</f>
        <v>40.950000000000003</v>
      </c>
      <c r="AE3403" s="15">
        <v>90</v>
      </c>
      <c r="AF3403" s="15">
        <f>AE3403*AG3403</f>
        <v>90</v>
      </c>
      <c r="AG3403" s="16">
        <v>1</v>
      </c>
    </row>
    <row r="3404" spans="1:33" ht="15" customHeight="1" x14ac:dyDescent="0.2">
      <c r="A3404" s="11" t="str">
        <f t="shared" si="1205"/>
        <v>VN000PH8CDX1</v>
      </c>
      <c r="B3404" s="12" t="s">
        <v>12299</v>
      </c>
      <c r="C3404" s="12" t="s">
        <v>6816</v>
      </c>
      <c r="D3404" s="12" t="s">
        <v>760</v>
      </c>
      <c r="E3404" s="12" t="s">
        <v>12300</v>
      </c>
      <c r="F3404" s="13">
        <v>31</v>
      </c>
      <c r="G3404" s="14"/>
      <c r="H3404" s="12" t="s">
        <v>61</v>
      </c>
      <c r="I3404" s="12" t="s">
        <v>230</v>
      </c>
      <c r="J3404" s="12" t="s">
        <v>231</v>
      </c>
      <c r="K3404" s="12" t="s">
        <v>199</v>
      </c>
      <c r="L3404" s="14"/>
      <c r="M3404" s="12" t="s">
        <v>43</v>
      </c>
      <c r="N3404" s="12" t="s">
        <v>84</v>
      </c>
      <c r="O3404" s="12" t="s">
        <v>12301</v>
      </c>
      <c r="P3404" s="12" t="s">
        <v>66</v>
      </c>
      <c r="Q3404" s="12" t="s">
        <v>233</v>
      </c>
      <c r="R3404" s="12" t="s">
        <v>361</v>
      </c>
      <c r="S3404" s="13">
        <v>197804579846</v>
      </c>
      <c r="T3404" s="12" t="s">
        <v>235</v>
      </c>
      <c r="U3404" s="13">
        <v>31</v>
      </c>
      <c r="V3404" s="12" t="s">
        <v>665</v>
      </c>
      <c r="W3404" s="12" t="s">
        <v>284</v>
      </c>
      <c r="X3404" s="14"/>
      <c r="Y3404" s="14"/>
      <c r="Z3404" s="14"/>
      <c r="AA3404" s="14"/>
      <c r="AB3404" s="14"/>
      <c r="AC3404" s="15">
        <v>40.950000000000003</v>
      </c>
      <c r="AD3404" s="15">
        <f>AC3404*AG3404</f>
        <v>40.950000000000003</v>
      </c>
      <c r="AE3404" s="15">
        <v>90</v>
      </c>
      <c r="AF3404" s="15">
        <f>AE3404*AG3404</f>
        <v>90</v>
      </c>
      <c r="AG3404" s="16">
        <v>1</v>
      </c>
    </row>
    <row r="3405" spans="1:33" ht="15" customHeight="1" x14ac:dyDescent="0.2">
      <c r="A3405" s="11" t="str">
        <f t="shared" si="1205"/>
        <v>VN000PH8CDX1</v>
      </c>
      <c r="B3405" s="12" t="s">
        <v>12302</v>
      </c>
      <c r="C3405" s="12" t="s">
        <v>6816</v>
      </c>
      <c r="D3405" s="12" t="s">
        <v>760</v>
      </c>
      <c r="E3405" s="12" t="s">
        <v>12303</v>
      </c>
      <c r="F3405" s="13">
        <v>38</v>
      </c>
      <c r="G3405" s="14"/>
      <c r="H3405" s="12" t="s">
        <v>61</v>
      </c>
      <c r="I3405" s="12" t="s">
        <v>230</v>
      </c>
      <c r="J3405" s="12" t="s">
        <v>231</v>
      </c>
      <c r="K3405" s="12" t="s">
        <v>199</v>
      </c>
      <c r="L3405" s="14"/>
      <c r="M3405" s="12" t="s">
        <v>43</v>
      </c>
      <c r="N3405" s="12" t="s">
        <v>84</v>
      </c>
      <c r="O3405" s="12" t="s">
        <v>12304</v>
      </c>
      <c r="P3405" s="12" t="s">
        <v>66</v>
      </c>
      <c r="Q3405" s="12" t="s">
        <v>233</v>
      </c>
      <c r="R3405" s="12" t="s">
        <v>361</v>
      </c>
      <c r="S3405" s="13">
        <v>197804580583</v>
      </c>
      <c r="T3405" s="12" t="s">
        <v>235</v>
      </c>
      <c r="U3405" s="13">
        <v>38</v>
      </c>
      <c r="V3405" s="12" t="s">
        <v>665</v>
      </c>
      <c r="W3405" s="12" t="s">
        <v>284</v>
      </c>
      <c r="X3405" s="14"/>
      <c r="Y3405" s="14"/>
      <c r="Z3405" s="14"/>
      <c r="AA3405" s="14"/>
      <c r="AB3405" s="14"/>
      <c r="AC3405" s="15">
        <v>40.950000000000003</v>
      </c>
      <c r="AD3405" s="15">
        <f>AC3405*AG3405</f>
        <v>40.950000000000003</v>
      </c>
      <c r="AE3405" s="15">
        <v>90</v>
      </c>
      <c r="AF3405" s="15">
        <f>AE3405*AG3405</f>
        <v>90</v>
      </c>
      <c r="AG3405" s="16">
        <v>1</v>
      </c>
    </row>
    <row r="3406" spans="1:33" ht="15" customHeight="1" x14ac:dyDescent="0.2">
      <c r="A3406" s="11" t="str">
        <f t="shared" si="289"/>
        <v>VN000PHHLVB1</v>
      </c>
      <c r="B3406" s="12" t="s">
        <v>12305</v>
      </c>
      <c r="C3406" s="12" t="s">
        <v>1281</v>
      </c>
      <c r="D3406" s="12" t="s">
        <v>2643</v>
      </c>
      <c r="E3406" s="12" t="s">
        <v>12306</v>
      </c>
      <c r="F3406" s="13">
        <v>30</v>
      </c>
      <c r="G3406" s="14"/>
      <c r="H3406" s="12" t="s">
        <v>61</v>
      </c>
      <c r="I3406" s="12" t="s">
        <v>230</v>
      </c>
      <c r="J3406" s="12" t="s">
        <v>231</v>
      </c>
      <c r="K3406" s="12" t="s">
        <v>199</v>
      </c>
      <c r="L3406" s="14"/>
      <c r="M3406" s="12" t="s">
        <v>43</v>
      </c>
      <c r="N3406" s="12" t="s">
        <v>84</v>
      </c>
      <c r="O3406" s="12" t="s">
        <v>12307</v>
      </c>
      <c r="P3406" s="12" t="s">
        <v>66</v>
      </c>
      <c r="Q3406" s="12" t="s">
        <v>233</v>
      </c>
      <c r="R3406" s="12" t="s">
        <v>361</v>
      </c>
      <c r="S3406" s="13">
        <v>197804579549</v>
      </c>
      <c r="T3406" s="12" t="s">
        <v>235</v>
      </c>
      <c r="U3406" s="13">
        <v>30</v>
      </c>
      <c r="V3406" s="12" t="s">
        <v>665</v>
      </c>
      <c r="W3406" s="12" t="s">
        <v>51</v>
      </c>
      <c r="X3406" s="14"/>
      <c r="Y3406" s="14"/>
      <c r="Z3406" s="14"/>
      <c r="AA3406" s="14"/>
      <c r="AB3406" s="14"/>
      <c r="AC3406" s="15">
        <v>40.950000000000003</v>
      </c>
      <c r="AD3406" s="15">
        <f>AC3406*AG3406</f>
        <v>40.950000000000003</v>
      </c>
      <c r="AE3406" s="15">
        <v>90</v>
      </c>
      <c r="AF3406" s="15">
        <f>AE3406*AG3406</f>
        <v>90</v>
      </c>
      <c r="AG3406" s="16">
        <v>1</v>
      </c>
    </row>
    <row r="3407" spans="1:33" ht="15" customHeight="1" x14ac:dyDescent="0.2">
      <c r="A3407" s="11" t="str">
        <f t="shared" ref="A3407:A3409" si="1206">HYPERLINK("https://assets.vans.eu/images/VN000PHHLVB-HERO/1","VN000PHHLVB1")</f>
        <v>VN000PHHLVB1</v>
      </c>
      <c r="B3407" s="12" t="s">
        <v>12308</v>
      </c>
      <c r="C3407" s="12" t="s">
        <v>1281</v>
      </c>
      <c r="D3407" s="12" t="s">
        <v>2643</v>
      </c>
      <c r="E3407" s="12" t="s">
        <v>12309</v>
      </c>
      <c r="F3407" s="13">
        <v>31</v>
      </c>
      <c r="G3407" s="14"/>
      <c r="H3407" s="12" t="s">
        <v>61</v>
      </c>
      <c r="I3407" s="12" t="s">
        <v>230</v>
      </c>
      <c r="J3407" s="12" t="s">
        <v>231</v>
      </c>
      <c r="K3407" s="12" t="s">
        <v>199</v>
      </c>
      <c r="L3407" s="14"/>
      <c r="M3407" s="12" t="s">
        <v>43</v>
      </c>
      <c r="N3407" s="12" t="s">
        <v>84</v>
      </c>
      <c r="O3407" s="12" t="s">
        <v>12310</v>
      </c>
      <c r="P3407" s="12" t="s">
        <v>66</v>
      </c>
      <c r="Q3407" s="12" t="s">
        <v>233</v>
      </c>
      <c r="R3407" s="12" t="s">
        <v>361</v>
      </c>
      <c r="S3407" s="13">
        <v>197804579723</v>
      </c>
      <c r="T3407" s="12" t="s">
        <v>235</v>
      </c>
      <c r="U3407" s="13">
        <v>31</v>
      </c>
      <c r="V3407" s="12" t="s">
        <v>665</v>
      </c>
      <c r="W3407" s="12" t="s">
        <v>51</v>
      </c>
      <c r="X3407" s="14"/>
      <c r="Y3407" s="14"/>
      <c r="Z3407" s="14"/>
      <c r="AA3407" s="14"/>
      <c r="AB3407" s="14"/>
      <c r="AC3407" s="15">
        <v>40.950000000000003</v>
      </c>
      <c r="AD3407" s="15">
        <f>AC3407*AG3407</f>
        <v>40.950000000000003</v>
      </c>
      <c r="AE3407" s="15">
        <v>90</v>
      </c>
      <c r="AF3407" s="15">
        <f>AE3407*AG3407</f>
        <v>90</v>
      </c>
      <c r="AG3407" s="16">
        <v>1</v>
      </c>
    </row>
    <row r="3408" spans="1:33" ht="15" customHeight="1" x14ac:dyDescent="0.2">
      <c r="A3408" s="11" t="str">
        <f t="shared" si="1206"/>
        <v>VN000PHHLVB1</v>
      </c>
      <c r="B3408" s="12" t="s">
        <v>12311</v>
      </c>
      <c r="C3408" s="12" t="s">
        <v>1281</v>
      </c>
      <c r="D3408" s="12" t="s">
        <v>2643</v>
      </c>
      <c r="E3408" s="12" t="s">
        <v>12312</v>
      </c>
      <c r="F3408" s="13">
        <v>32</v>
      </c>
      <c r="G3408" s="14"/>
      <c r="H3408" s="12" t="s">
        <v>61</v>
      </c>
      <c r="I3408" s="12" t="s">
        <v>230</v>
      </c>
      <c r="J3408" s="12" t="s">
        <v>231</v>
      </c>
      <c r="K3408" s="12" t="s">
        <v>199</v>
      </c>
      <c r="L3408" s="14"/>
      <c r="M3408" s="12" t="s">
        <v>43</v>
      </c>
      <c r="N3408" s="12" t="s">
        <v>84</v>
      </c>
      <c r="O3408" s="12" t="s">
        <v>12313</v>
      </c>
      <c r="P3408" s="12" t="s">
        <v>66</v>
      </c>
      <c r="Q3408" s="12" t="s">
        <v>233</v>
      </c>
      <c r="R3408" s="12" t="s">
        <v>361</v>
      </c>
      <c r="S3408" s="13">
        <v>197804579839</v>
      </c>
      <c r="T3408" s="12" t="s">
        <v>235</v>
      </c>
      <c r="U3408" s="13">
        <v>32</v>
      </c>
      <c r="V3408" s="12" t="s">
        <v>665</v>
      </c>
      <c r="W3408" s="12" t="s">
        <v>51</v>
      </c>
      <c r="X3408" s="14"/>
      <c r="Y3408" s="14"/>
      <c r="Z3408" s="14"/>
      <c r="AA3408" s="14"/>
      <c r="AB3408" s="14"/>
      <c r="AC3408" s="15">
        <v>40.950000000000003</v>
      </c>
      <c r="AD3408" s="15">
        <f>AC3408*AG3408</f>
        <v>40.950000000000003</v>
      </c>
      <c r="AE3408" s="15">
        <v>90</v>
      </c>
      <c r="AF3408" s="15">
        <f>AE3408*AG3408</f>
        <v>90</v>
      </c>
      <c r="AG3408" s="16">
        <v>1</v>
      </c>
    </row>
    <row r="3409" spans="1:33" ht="15" customHeight="1" x14ac:dyDescent="0.2">
      <c r="A3409" s="11" t="str">
        <f t="shared" si="1206"/>
        <v>VN000PHHLVB1</v>
      </c>
      <c r="B3409" s="12" t="s">
        <v>12314</v>
      </c>
      <c r="C3409" s="12" t="s">
        <v>1281</v>
      </c>
      <c r="D3409" s="12" t="s">
        <v>2643</v>
      </c>
      <c r="E3409" s="12" t="s">
        <v>12315</v>
      </c>
      <c r="F3409" s="13">
        <v>33</v>
      </c>
      <c r="G3409" s="14"/>
      <c r="H3409" s="12" t="s">
        <v>61</v>
      </c>
      <c r="I3409" s="12" t="s">
        <v>230</v>
      </c>
      <c r="J3409" s="12" t="s">
        <v>231</v>
      </c>
      <c r="K3409" s="12" t="s">
        <v>199</v>
      </c>
      <c r="L3409" s="14"/>
      <c r="M3409" s="12" t="s">
        <v>43</v>
      </c>
      <c r="N3409" s="12" t="s">
        <v>84</v>
      </c>
      <c r="O3409" s="12" t="s">
        <v>12316</v>
      </c>
      <c r="P3409" s="12" t="s">
        <v>66</v>
      </c>
      <c r="Q3409" s="12" t="s">
        <v>233</v>
      </c>
      <c r="R3409" s="12" t="s">
        <v>361</v>
      </c>
      <c r="S3409" s="13">
        <v>197804579976</v>
      </c>
      <c r="T3409" s="12" t="s">
        <v>235</v>
      </c>
      <c r="U3409" s="13">
        <v>33</v>
      </c>
      <c r="V3409" s="12" t="s">
        <v>665</v>
      </c>
      <c r="W3409" s="12" t="s">
        <v>51</v>
      </c>
      <c r="X3409" s="14"/>
      <c r="Y3409" s="14"/>
      <c r="Z3409" s="14"/>
      <c r="AA3409" s="14"/>
      <c r="AB3409" s="14"/>
      <c r="AC3409" s="15">
        <v>40.950000000000003</v>
      </c>
      <c r="AD3409" s="15">
        <f>AC3409*AG3409</f>
        <v>40.950000000000003</v>
      </c>
      <c r="AE3409" s="15">
        <v>90</v>
      </c>
      <c r="AF3409" s="15">
        <f>AE3409*AG3409</f>
        <v>90</v>
      </c>
      <c r="AG3409" s="16">
        <v>1</v>
      </c>
    </row>
    <row r="3410" spans="1:33" ht="15" customHeight="1" x14ac:dyDescent="0.2">
      <c r="A3410" s="11" t="str">
        <f>HYPERLINK("https://assets.vans.eu/images/VN000PJ7LKZ-HERO/1","VN000PJ7LKZ1")</f>
        <v>VN000PJ7LKZ1</v>
      </c>
      <c r="B3410" s="12" t="s">
        <v>12317</v>
      </c>
      <c r="C3410" s="12" t="s">
        <v>6645</v>
      </c>
      <c r="D3410" s="12" t="s">
        <v>1213</v>
      </c>
      <c r="E3410" s="12" t="s">
        <v>12318</v>
      </c>
      <c r="F3410" s="12" t="s">
        <v>60</v>
      </c>
      <c r="G3410" s="14"/>
      <c r="H3410" s="12" t="s">
        <v>61</v>
      </c>
      <c r="I3410" s="12" t="s">
        <v>230</v>
      </c>
      <c r="J3410" s="12" t="s">
        <v>762</v>
      </c>
      <c r="K3410" s="12" t="s">
        <v>199</v>
      </c>
      <c r="L3410" s="14"/>
      <c r="M3410" s="12" t="s">
        <v>43</v>
      </c>
      <c r="N3410" s="12" t="s">
        <v>84</v>
      </c>
      <c r="O3410" s="12" t="s">
        <v>12319</v>
      </c>
      <c r="P3410" s="12" t="s">
        <v>66</v>
      </c>
      <c r="Q3410" s="12" t="s">
        <v>764</v>
      </c>
      <c r="R3410" s="12" t="s">
        <v>765</v>
      </c>
      <c r="S3410" s="13">
        <v>197804359486</v>
      </c>
      <c r="T3410" s="12" t="s">
        <v>235</v>
      </c>
      <c r="U3410" s="12" t="s">
        <v>60</v>
      </c>
      <c r="V3410" s="12" t="s">
        <v>90</v>
      </c>
      <c r="W3410" s="12" t="s">
        <v>284</v>
      </c>
      <c r="X3410" s="14"/>
      <c r="Y3410" s="14"/>
      <c r="Z3410" s="14"/>
      <c r="AA3410" s="14"/>
      <c r="AB3410" s="14"/>
      <c r="AC3410" s="15">
        <v>113.65</v>
      </c>
      <c r="AD3410" s="15">
        <f>AC3410*AG3410</f>
        <v>113.65</v>
      </c>
      <c r="AE3410" s="15">
        <v>250</v>
      </c>
      <c r="AF3410" s="15">
        <f>AE3410*AG3410</f>
        <v>250</v>
      </c>
      <c r="AG3410" s="16">
        <v>1</v>
      </c>
    </row>
    <row r="3411" spans="1:33" ht="15" customHeight="1" x14ac:dyDescent="0.2">
      <c r="A3411" s="11" t="str">
        <f t="shared" ref="A3411:A3412" si="1207">HYPERLINK("https://assets.vans.eu/images/VN000PJ912S-HERO/1","VN000PJ912S1")</f>
        <v>VN000PJ912S1</v>
      </c>
      <c r="B3411" s="12" t="s">
        <v>12320</v>
      </c>
      <c r="C3411" s="12" t="s">
        <v>12321</v>
      </c>
      <c r="D3411" s="12" t="s">
        <v>5837</v>
      </c>
      <c r="E3411" s="12" t="s">
        <v>12322</v>
      </c>
      <c r="F3411" s="12" t="s">
        <v>179</v>
      </c>
      <c r="G3411" s="14"/>
      <c r="H3411" s="12" t="s">
        <v>61</v>
      </c>
      <c r="I3411" s="12" t="s">
        <v>230</v>
      </c>
      <c r="J3411" s="12" t="s">
        <v>762</v>
      </c>
      <c r="K3411" s="12" t="s">
        <v>199</v>
      </c>
      <c r="L3411" s="14"/>
      <c r="M3411" s="12" t="s">
        <v>43</v>
      </c>
      <c r="N3411" s="12" t="s">
        <v>84</v>
      </c>
      <c r="O3411" s="12" t="s">
        <v>12323</v>
      </c>
      <c r="P3411" s="12" t="s">
        <v>66</v>
      </c>
      <c r="Q3411" s="12" t="s">
        <v>764</v>
      </c>
      <c r="R3411" s="12" t="s">
        <v>765</v>
      </c>
      <c r="S3411" s="13">
        <v>197804359066</v>
      </c>
      <c r="T3411" s="12" t="s">
        <v>235</v>
      </c>
      <c r="U3411" s="12" t="s">
        <v>179</v>
      </c>
      <c r="V3411" s="12" t="s">
        <v>90</v>
      </c>
      <c r="W3411" s="12" t="s">
        <v>284</v>
      </c>
      <c r="X3411" s="14"/>
      <c r="Y3411" s="14"/>
      <c r="Z3411" s="14"/>
      <c r="AA3411" s="14"/>
      <c r="AB3411" s="14"/>
      <c r="AC3411" s="15">
        <v>56.85</v>
      </c>
      <c r="AD3411" s="15">
        <f>AC3411*AG3411</f>
        <v>56.85</v>
      </c>
      <c r="AE3411" s="15">
        <v>125</v>
      </c>
      <c r="AF3411" s="15">
        <f>AE3411*AG3411</f>
        <v>125</v>
      </c>
      <c r="AG3411" s="16">
        <v>1</v>
      </c>
    </row>
    <row r="3412" spans="1:33" ht="15" customHeight="1" x14ac:dyDescent="0.2">
      <c r="A3412" s="11" t="str">
        <f t="shared" si="1207"/>
        <v>VN000PJ912S1</v>
      </c>
      <c r="B3412" s="12" t="s">
        <v>12324</v>
      </c>
      <c r="C3412" s="12" t="s">
        <v>12321</v>
      </c>
      <c r="D3412" s="12" t="s">
        <v>5837</v>
      </c>
      <c r="E3412" s="12" t="s">
        <v>12325</v>
      </c>
      <c r="F3412" s="12" t="s">
        <v>621</v>
      </c>
      <c r="G3412" s="14"/>
      <c r="H3412" s="12" t="s">
        <v>61</v>
      </c>
      <c r="I3412" s="12" t="s">
        <v>230</v>
      </c>
      <c r="J3412" s="12" t="s">
        <v>762</v>
      </c>
      <c r="K3412" s="12" t="s">
        <v>199</v>
      </c>
      <c r="L3412" s="14"/>
      <c r="M3412" s="12" t="s">
        <v>43</v>
      </c>
      <c r="N3412" s="12" t="s">
        <v>84</v>
      </c>
      <c r="O3412" s="12" t="s">
        <v>12326</v>
      </c>
      <c r="P3412" s="12" t="s">
        <v>66</v>
      </c>
      <c r="Q3412" s="12" t="s">
        <v>764</v>
      </c>
      <c r="R3412" s="12" t="s">
        <v>765</v>
      </c>
      <c r="S3412" s="13">
        <v>197804359905</v>
      </c>
      <c r="T3412" s="12" t="s">
        <v>235</v>
      </c>
      <c r="U3412" s="12" t="s">
        <v>621</v>
      </c>
      <c r="V3412" s="12" t="s">
        <v>90</v>
      </c>
      <c r="W3412" s="12" t="s">
        <v>284</v>
      </c>
      <c r="X3412" s="14"/>
      <c r="Y3412" s="14"/>
      <c r="Z3412" s="14"/>
      <c r="AA3412" s="14"/>
      <c r="AB3412" s="14"/>
      <c r="AC3412" s="15">
        <v>56.85</v>
      </c>
      <c r="AD3412" s="15">
        <f>AC3412*AG3412</f>
        <v>56.85</v>
      </c>
      <c r="AE3412" s="15">
        <v>125</v>
      </c>
      <c r="AF3412" s="15">
        <f>AE3412*AG3412</f>
        <v>125</v>
      </c>
      <c r="AG3412" s="16">
        <v>1</v>
      </c>
    </row>
    <row r="3413" spans="1:33" ht="15" customHeight="1" x14ac:dyDescent="0.2">
      <c r="A3413" s="11" t="str">
        <f t="shared" si="718"/>
        <v>VN000PJMBLK1</v>
      </c>
      <c r="B3413" s="12" t="s">
        <v>12327</v>
      </c>
      <c r="C3413" s="12" t="s">
        <v>5429</v>
      </c>
      <c r="D3413" s="12" t="s">
        <v>76</v>
      </c>
      <c r="E3413" s="12" t="s">
        <v>12328</v>
      </c>
      <c r="F3413" s="12" t="s">
        <v>179</v>
      </c>
      <c r="G3413" s="14"/>
      <c r="H3413" s="12" t="s">
        <v>61</v>
      </c>
      <c r="I3413" s="12" t="s">
        <v>230</v>
      </c>
      <c r="J3413" s="12" t="s">
        <v>419</v>
      </c>
      <c r="K3413" s="12" t="s">
        <v>199</v>
      </c>
      <c r="L3413" s="14"/>
      <c r="M3413" s="12" t="s">
        <v>43</v>
      </c>
      <c r="N3413" s="12" t="s">
        <v>84</v>
      </c>
      <c r="O3413" s="12" t="s">
        <v>12329</v>
      </c>
      <c r="P3413" s="12" t="s">
        <v>66</v>
      </c>
      <c r="Q3413" s="12" t="s">
        <v>67</v>
      </c>
      <c r="R3413" s="12" t="s">
        <v>623</v>
      </c>
      <c r="S3413" s="13">
        <v>197804359950</v>
      </c>
      <c r="T3413" s="12" t="s">
        <v>49</v>
      </c>
      <c r="U3413" s="12" t="s">
        <v>179</v>
      </c>
      <c r="V3413" s="12" t="s">
        <v>1726</v>
      </c>
      <c r="W3413" s="12" t="s">
        <v>51</v>
      </c>
      <c r="X3413" s="14"/>
      <c r="Y3413" s="14"/>
      <c r="Z3413" s="14"/>
      <c r="AA3413" s="14"/>
      <c r="AB3413" s="14"/>
      <c r="AC3413" s="15">
        <v>43.2</v>
      </c>
      <c r="AD3413" s="15">
        <f>AC3413*AG3413</f>
        <v>43.2</v>
      </c>
      <c r="AE3413" s="15">
        <v>95</v>
      </c>
      <c r="AF3413" s="15">
        <f>AE3413*AG3413</f>
        <v>95</v>
      </c>
      <c r="AG3413" s="16">
        <v>1</v>
      </c>
    </row>
    <row r="3414" spans="1:33" ht="15" customHeight="1" x14ac:dyDescent="0.2">
      <c r="A3414" s="11" t="str">
        <f>HYPERLINK("https://assets.vans.eu/images/VN000PJMBLK-HERO/1","VN000PJMBLK1")</f>
        <v>VN000PJMBLK1</v>
      </c>
      <c r="B3414" s="12" t="s">
        <v>12330</v>
      </c>
      <c r="C3414" s="12" t="s">
        <v>5429</v>
      </c>
      <c r="D3414" s="12" t="s">
        <v>76</v>
      </c>
      <c r="E3414" s="12" t="s">
        <v>12331</v>
      </c>
      <c r="F3414" s="12" t="s">
        <v>170</v>
      </c>
      <c r="G3414" s="14"/>
      <c r="H3414" s="12" t="s">
        <v>61</v>
      </c>
      <c r="I3414" s="12" t="s">
        <v>230</v>
      </c>
      <c r="J3414" s="12" t="s">
        <v>419</v>
      </c>
      <c r="K3414" s="12" t="s">
        <v>199</v>
      </c>
      <c r="L3414" s="14"/>
      <c r="M3414" s="12" t="s">
        <v>43</v>
      </c>
      <c r="N3414" s="12" t="s">
        <v>84</v>
      </c>
      <c r="O3414" s="12" t="s">
        <v>12332</v>
      </c>
      <c r="P3414" s="12" t="s">
        <v>66</v>
      </c>
      <c r="Q3414" s="12" t="s">
        <v>67</v>
      </c>
      <c r="R3414" s="12" t="s">
        <v>623</v>
      </c>
      <c r="S3414" s="13">
        <v>197804359998</v>
      </c>
      <c r="T3414" s="12" t="s">
        <v>49</v>
      </c>
      <c r="U3414" s="12" t="s">
        <v>170</v>
      </c>
      <c r="V3414" s="12" t="s">
        <v>1726</v>
      </c>
      <c r="W3414" s="12" t="s">
        <v>51</v>
      </c>
      <c r="X3414" s="14"/>
      <c r="Y3414" s="14"/>
      <c r="Z3414" s="14"/>
      <c r="AA3414" s="14"/>
      <c r="AB3414" s="14"/>
      <c r="AC3414" s="15">
        <v>43.2</v>
      </c>
      <c r="AD3414" s="15">
        <f>AC3414*AG3414</f>
        <v>43.2</v>
      </c>
      <c r="AE3414" s="15">
        <v>95</v>
      </c>
      <c r="AF3414" s="15">
        <f>AE3414*AG3414</f>
        <v>95</v>
      </c>
      <c r="AG3414" s="16">
        <v>1</v>
      </c>
    </row>
    <row r="3415" spans="1:33" ht="15" customHeight="1" x14ac:dyDescent="0.2">
      <c r="A3415" s="11" t="str">
        <f>HYPERLINK("https://assets.vans.eu/images/VN000PJMZBF-HERO/1","VN000PJMZBF1")</f>
        <v>VN000PJMZBF1</v>
      </c>
      <c r="B3415" s="12" t="s">
        <v>12333</v>
      </c>
      <c r="C3415" s="12" t="s">
        <v>5429</v>
      </c>
      <c r="D3415" s="12" t="s">
        <v>680</v>
      </c>
      <c r="E3415" s="12" t="s">
        <v>12334</v>
      </c>
      <c r="F3415" s="12" t="s">
        <v>153</v>
      </c>
      <c r="G3415" s="14"/>
      <c r="H3415" s="12" t="s">
        <v>61</v>
      </c>
      <c r="I3415" s="12" t="s">
        <v>230</v>
      </c>
      <c r="J3415" s="12" t="s">
        <v>419</v>
      </c>
      <c r="K3415" s="12" t="s">
        <v>199</v>
      </c>
      <c r="L3415" s="14"/>
      <c r="M3415" s="12" t="s">
        <v>43</v>
      </c>
      <c r="N3415" s="12" t="s">
        <v>84</v>
      </c>
      <c r="O3415" s="12" t="s">
        <v>12335</v>
      </c>
      <c r="P3415" s="12" t="s">
        <v>66</v>
      </c>
      <c r="Q3415" s="12" t="s">
        <v>67</v>
      </c>
      <c r="R3415" s="12" t="s">
        <v>623</v>
      </c>
      <c r="S3415" s="13">
        <v>197804360079</v>
      </c>
      <c r="T3415" s="12" t="s">
        <v>49</v>
      </c>
      <c r="U3415" s="12" t="s">
        <v>153</v>
      </c>
      <c r="V3415" s="12" t="s">
        <v>1726</v>
      </c>
      <c r="W3415" s="12" t="s">
        <v>118</v>
      </c>
      <c r="X3415" s="14"/>
      <c r="Y3415" s="14"/>
      <c r="Z3415" s="14"/>
      <c r="AA3415" s="14"/>
      <c r="AB3415" s="14"/>
      <c r="AC3415" s="15">
        <v>43.2</v>
      </c>
      <c r="AD3415" s="15">
        <f>AC3415*AG3415</f>
        <v>43.2</v>
      </c>
      <c r="AE3415" s="15">
        <v>95</v>
      </c>
      <c r="AF3415" s="15">
        <f>AE3415*AG3415</f>
        <v>95</v>
      </c>
      <c r="AG3415" s="16">
        <v>1</v>
      </c>
    </row>
    <row r="3416" spans="1:33" ht="15" customHeight="1" x14ac:dyDescent="0.2">
      <c r="A3416" s="11" t="str">
        <f t="shared" si="923"/>
        <v>VN000PJR3N11</v>
      </c>
      <c r="B3416" s="12" t="s">
        <v>12336</v>
      </c>
      <c r="C3416" s="12" t="s">
        <v>8464</v>
      </c>
      <c r="D3416" s="12" t="s">
        <v>2961</v>
      </c>
      <c r="E3416" s="12" t="s">
        <v>12337</v>
      </c>
      <c r="F3416" s="12" t="s">
        <v>179</v>
      </c>
      <c r="G3416" s="14"/>
      <c r="H3416" s="12" t="s">
        <v>61</v>
      </c>
      <c r="I3416" s="12" t="s">
        <v>230</v>
      </c>
      <c r="J3416" s="12" t="s">
        <v>419</v>
      </c>
      <c r="K3416" s="12" t="s">
        <v>199</v>
      </c>
      <c r="L3416" s="14"/>
      <c r="M3416" s="12" t="s">
        <v>43</v>
      </c>
      <c r="N3416" s="12" t="s">
        <v>84</v>
      </c>
      <c r="O3416" s="12" t="s">
        <v>12338</v>
      </c>
      <c r="P3416" s="12" t="s">
        <v>66</v>
      </c>
      <c r="Q3416" s="12" t="s">
        <v>67</v>
      </c>
      <c r="R3416" s="12" t="s">
        <v>623</v>
      </c>
      <c r="S3416" s="13">
        <v>197804360109</v>
      </c>
      <c r="T3416" s="12" t="s">
        <v>49</v>
      </c>
      <c r="U3416" s="12" t="s">
        <v>179</v>
      </c>
      <c r="V3416" s="12" t="s">
        <v>1726</v>
      </c>
      <c r="W3416" s="12" t="s">
        <v>186</v>
      </c>
      <c r="X3416" s="14"/>
      <c r="Y3416" s="14"/>
      <c r="Z3416" s="14"/>
      <c r="AA3416" s="14"/>
      <c r="AB3416" s="14"/>
      <c r="AC3416" s="15">
        <v>40.950000000000003</v>
      </c>
      <c r="AD3416" s="15">
        <f>AC3416*AG3416</f>
        <v>40.950000000000003</v>
      </c>
      <c r="AE3416" s="15">
        <v>90</v>
      </c>
      <c r="AF3416" s="15">
        <f>AE3416*AG3416</f>
        <v>90</v>
      </c>
      <c r="AG3416" s="16">
        <v>1</v>
      </c>
    </row>
    <row r="3417" spans="1:33" ht="15" customHeight="1" x14ac:dyDescent="0.2">
      <c r="A3417" s="11" t="str">
        <f>HYPERLINK("https://assets.vans.eu/images/VN000PJR3N1-HERO/1","VN000PJR3N11")</f>
        <v>VN000PJR3N11</v>
      </c>
      <c r="B3417" s="12" t="s">
        <v>12339</v>
      </c>
      <c r="C3417" s="12" t="s">
        <v>8464</v>
      </c>
      <c r="D3417" s="12" t="s">
        <v>2961</v>
      </c>
      <c r="E3417" s="12" t="s">
        <v>12340</v>
      </c>
      <c r="F3417" s="12" t="s">
        <v>153</v>
      </c>
      <c r="G3417" s="14"/>
      <c r="H3417" s="12" t="s">
        <v>61</v>
      </c>
      <c r="I3417" s="12" t="s">
        <v>230</v>
      </c>
      <c r="J3417" s="12" t="s">
        <v>419</v>
      </c>
      <c r="K3417" s="12" t="s">
        <v>199</v>
      </c>
      <c r="L3417" s="14"/>
      <c r="M3417" s="12" t="s">
        <v>43</v>
      </c>
      <c r="N3417" s="12" t="s">
        <v>84</v>
      </c>
      <c r="O3417" s="12" t="s">
        <v>12341</v>
      </c>
      <c r="P3417" s="12" t="s">
        <v>66</v>
      </c>
      <c r="Q3417" s="12" t="s">
        <v>67</v>
      </c>
      <c r="R3417" s="12" t="s">
        <v>623</v>
      </c>
      <c r="S3417" s="13">
        <v>197804360512</v>
      </c>
      <c r="T3417" s="12" t="s">
        <v>49</v>
      </c>
      <c r="U3417" s="12" t="s">
        <v>153</v>
      </c>
      <c r="V3417" s="12" t="s">
        <v>1726</v>
      </c>
      <c r="W3417" s="12" t="s">
        <v>186</v>
      </c>
      <c r="X3417" s="14"/>
      <c r="Y3417" s="14"/>
      <c r="Z3417" s="14"/>
      <c r="AA3417" s="14"/>
      <c r="AB3417" s="14"/>
      <c r="AC3417" s="15">
        <v>40.950000000000003</v>
      </c>
      <c r="AD3417" s="15">
        <f>AC3417*AG3417</f>
        <v>40.950000000000003</v>
      </c>
      <c r="AE3417" s="15">
        <v>90</v>
      </c>
      <c r="AF3417" s="15">
        <f>AE3417*AG3417</f>
        <v>90</v>
      </c>
      <c r="AG3417" s="16">
        <v>1</v>
      </c>
    </row>
    <row r="3418" spans="1:33" ht="15" customHeight="1" x14ac:dyDescent="0.2">
      <c r="A3418" s="11" t="str">
        <f t="shared" ref="A3418:A3421" si="1208">HYPERLINK("https://assets.vans.eu/images/VN000PJSBLK-HERO/1","VN000PJSBLK1")</f>
        <v>VN000PJSBLK1</v>
      </c>
      <c r="B3418" s="12" t="s">
        <v>12342</v>
      </c>
      <c r="C3418" s="12" t="s">
        <v>4720</v>
      </c>
      <c r="D3418" s="12" t="s">
        <v>76</v>
      </c>
      <c r="E3418" s="12" t="s">
        <v>12343</v>
      </c>
      <c r="F3418" s="12" t="s">
        <v>170</v>
      </c>
      <c r="G3418" s="14"/>
      <c r="H3418" s="12" t="s">
        <v>61</v>
      </c>
      <c r="I3418" s="12" t="s">
        <v>230</v>
      </c>
      <c r="J3418" s="12" t="s">
        <v>419</v>
      </c>
      <c r="K3418" s="12" t="s">
        <v>199</v>
      </c>
      <c r="L3418" s="14"/>
      <c r="M3418" s="12" t="s">
        <v>43</v>
      </c>
      <c r="N3418" s="12" t="s">
        <v>84</v>
      </c>
      <c r="O3418" s="12" t="s">
        <v>12344</v>
      </c>
      <c r="P3418" s="12" t="s">
        <v>66</v>
      </c>
      <c r="Q3418" s="12" t="s">
        <v>67</v>
      </c>
      <c r="R3418" s="12" t="s">
        <v>421</v>
      </c>
      <c r="S3418" s="13">
        <v>197804360208</v>
      </c>
      <c r="T3418" s="12" t="s">
        <v>49</v>
      </c>
      <c r="U3418" s="12" t="s">
        <v>170</v>
      </c>
      <c r="V3418" s="12" t="s">
        <v>665</v>
      </c>
      <c r="W3418" s="12" t="s">
        <v>51</v>
      </c>
      <c r="X3418" s="14"/>
      <c r="Y3418" s="14"/>
      <c r="Z3418" s="14"/>
      <c r="AA3418" s="14"/>
      <c r="AB3418" s="14"/>
      <c r="AC3418" s="15">
        <v>22.75</v>
      </c>
      <c r="AD3418" s="15">
        <f>AC3418*AG3418</f>
        <v>22.75</v>
      </c>
      <c r="AE3418" s="15">
        <v>50</v>
      </c>
      <c r="AF3418" s="15">
        <f>AE3418*AG3418</f>
        <v>50</v>
      </c>
      <c r="AG3418" s="16">
        <v>1</v>
      </c>
    </row>
    <row r="3419" spans="1:33" ht="15" customHeight="1" x14ac:dyDescent="0.2">
      <c r="A3419" s="11" t="str">
        <f t="shared" si="1208"/>
        <v>VN000PJSBLK1</v>
      </c>
      <c r="B3419" s="12" t="s">
        <v>12345</v>
      </c>
      <c r="C3419" s="12" t="s">
        <v>4720</v>
      </c>
      <c r="D3419" s="12" t="s">
        <v>76</v>
      </c>
      <c r="E3419" s="12" t="s">
        <v>12346</v>
      </c>
      <c r="F3419" s="12" t="s">
        <v>403</v>
      </c>
      <c r="G3419" s="14"/>
      <c r="H3419" s="12" t="s">
        <v>61</v>
      </c>
      <c r="I3419" s="12" t="s">
        <v>230</v>
      </c>
      <c r="J3419" s="12" t="s">
        <v>419</v>
      </c>
      <c r="K3419" s="12" t="s">
        <v>199</v>
      </c>
      <c r="L3419" s="14"/>
      <c r="M3419" s="12" t="s">
        <v>43</v>
      </c>
      <c r="N3419" s="12" t="s">
        <v>84</v>
      </c>
      <c r="O3419" s="12" t="s">
        <v>12347</v>
      </c>
      <c r="P3419" s="12" t="s">
        <v>66</v>
      </c>
      <c r="Q3419" s="12" t="s">
        <v>67</v>
      </c>
      <c r="R3419" s="12" t="s">
        <v>421</v>
      </c>
      <c r="S3419" s="13">
        <v>197804360246</v>
      </c>
      <c r="T3419" s="12" t="s">
        <v>49</v>
      </c>
      <c r="U3419" s="12" t="s">
        <v>403</v>
      </c>
      <c r="V3419" s="12" t="s">
        <v>665</v>
      </c>
      <c r="W3419" s="12" t="s">
        <v>51</v>
      </c>
      <c r="X3419" s="14"/>
      <c r="Y3419" s="14"/>
      <c r="Z3419" s="14"/>
      <c r="AA3419" s="14"/>
      <c r="AB3419" s="14"/>
      <c r="AC3419" s="15">
        <v>22.75</v>
      </c>
      <c r="AD3419" s="15">
        <f>AC3419*AG3419</f>
        <v>22.75</v>
      </c>
      <c r="AE3419" s="15">
        <v>50</v>
      </c>
      <c r="AF3419" s="15">
        <f>AE3419*AG3419</f>
        <v>50</v>
      </c>
      <c r="AG3419" s="16">
        <v>1</v>
      </c>
    </row>
    <row r="3420" spans="1:33" ht="15" customHeight="1" x14ac:dyDescent="0.2">
      <c r="A3420" s="11" t="str">
        <f t="shared" si="1208"/>
        <v>VN000PJSBLK1</v>
      </c>
      <c r="B3420" s="12" t="s">
        <v>12348</v>
      </c>
      <c r="C3420" s="12" t="s">
        <v>4720</v>
      </c>
      <c r="D3420" s="12" t="s">
        <v>76</v>
      </c>
      <c r="E3420" s="12" t="s">
        <v>12349</v>
      </c>
      <c r="F3420" s="12" t="s">
        <v>60</v>
      </c>
      <c r="G3420" s="14"/>
      <c r="H3420" s="12" t="s">
        <v>61</v>
      </c>
      <c r="I3420" s="12" t="s">
        <v>230</v>
      </c>
      <c r="J3420" s="12" t="s">
        <v>419</v>
      </c>
      <c r="K3420" s="12" t="s">
        <v>199</v>
      </c>
      <c r="L3420" s="14"/>
      <c r="M3420" s="12" t="s">
        <v>43</v>
      </c>
      <c r="N3420" s="12" t="s">
        <v>84</v>
      </c>
      <c r="O3420" s="12" t="s">
        <v>12350</v>
      </c>
      <c r="P3420" s="12" t="s">
        <v>66</v>
      </c>
      <c r="Q3420" s="12" t="s">
        <v>67</v>
      </c>
      <c r="R3420" s="12" t="s">
        <v>421</v>
      </c>
      <c r="S3420" s="13">
        <v>197804360413</v>
      </c>
      <c r="T3420" s="12" t="s">
        <v>49</v>
      </c>
      <c r="U3420" s="12" t="s">
        <v>60</v>
      </c>
      <c r="V3420" s="12" t="s">
        <v>665</v>
      </c>
      <c r="W3420" s="12" t="s">
        <v>51</v>
      </c>
      <c r="X3420" s="14"/>
      <c r="Y3420" s="14"/>
      <c r="Z3420" s="14"/>
      <c r="AA3420" s="14"/>
      <c r="AB3420" s="14"/>
      <c r="AC3420" s="15">
        <v>22.75</v>
      </c>
      <c r="AD3420" s="15">
        <f>AC3420*AG3420</f>
        <v>22.75</v>
      </c>
      <c r="AE3420" s="15">
        <v>50</v>
      </c>
      <c r="AF3420" s="15">
        <f>AE3420*AG3420</f>
        <v>50</v>
      </c>
      <c r="AG3420" s="16">
        <v>1</v>
      </c>
    </row>
    <row r="3421" spans="1:33" ht="15" customHeight="1" x14ac:dyDescent="0.2">
      <c r="A3421" s="11" t="str">
        <f t="shared" si="1208"/>
        <v>VN000PJSBLK1</v>
      </c>
      <c r="B3421" s="12" t="s">
        <v>12351</v>
      </c>
      <c r="C3421" s="12" t="s">
        <v>4720</v>
      </c>
      <c r="D3421" s="12" t="s">
        <v>76</v>
      </c>
      <c r="E3421" s="12" t="s">
        <v>12352</v>
      </c>
      <c r="F3421" s="12" t="s">
        <v>153</v>
      </c>
      <c r="G3421" s="14"/>
      <c r="H3421" s="12" t="s">
        <v>61</v>
      </c>
      <c r="I3421" s="12" t="s">
        <v>230</v>
      </c>
      <c r="J3421" s="12" t="s">
        <v>419</v>
      </c>
      <c r="K3421" s="12" t="s">
        <v>199</v>
      </c>
      <c r="L3421" s="14"/>
      <c r="M3421" s="12" t="s">
        <v>43</v>
      </c>
      <c r="N3421" s="12" t="s">
        <v>84</v>
      </c>
      <c r="O3421" s="12" t="s">
        <v>12353</v>
      </c>
      <c r="P3421" s="12" t="s">
        <v>66</v>
      </c>
      <c r="Q3421" s="12" t="s">
        <v>67</v>
      </c>
      <c r="R3421" s="12" t="s">
        <v>421</v>
      </c>
      <c r="S3421" s="13">
        <v>197804360499</v>
      </c>
      <c r="T3421" s="12" t="s">
        <v>49</v>
      </c>
      <c r="U3421" s="12" t="s">
        <v>153</v>
      </c>
      <c r="V3421" s="12" t="s">
        <v>665</v>
      </c>
      <c r="W3421" s="12" t="s">
        <v>51</v>
      </c>
      <c r="X3421" s="14"/>
      <c r="Y3421" s="14"/>
      <c r="Z3421" s="14"/>
      <c r="AA3421" s="14"/>
      <c r="AB3421" s="14"/>
      <c r="AC3421" s="15">
        <v>22.75</v>
      </c>
      <c r="AD3421" s="15">
        <f>AC3421*AG3421</f>
        <v>22.75</v>
      </c>
      <c r="AE3421" s="15">
        <v>50</v>
      </c>
      <c r="AF3421" s="15">
        <f>AE3421*AG3421</f>
        <v>50</v>
      </c>
      <c r="AG3421" s="16">
        <v>1</v>
      </c>
    </row>
    <row r="3422" spans="1:33" ht="15" customHeight="1" x14ac:dyDescent="0.2">
      <c r="A3422" s="11" t="str">
        <f>HYPERLINK("https://assets.vans.eu/images/VN000PJU7WM-HERO/1","VN000PJU7WM1")</f>
        <v>VN000PJU7WM1</v>
      </c>
      <c r="B3422" s="12" t="s">
        <v>12354</v>
      </c>
      <c r="C3422" s="12" t="s">
        <v>3141</v>
      </c>
      <c r="D3422" s="12" t="s">
        <v>388</v>
      </c>
      <c r="E3422" s="12" t="s">
        <v>12355</v>
      </c>
      <c r="F3422" s="12" t="s">
        <v>403</v>
      </c>
      <c r="G3422" s="14"/>
      <c r="H3422" s="12" t="s">
        <v>61</v>
      </c>
      <c r="I3422" s="12" t="s">
        <v>230</v>
      </c>
      <c r="J3422" s="12" t="s">
        <v>419</v>
      </c>
      <c r="K3422" s="12" t="s">
        <v>199</v>
      </c>
      <c r="L3422" s="14"/>
      <c r="M3422" s="12" t="s">
        <v>43</v>
      </c>
      <c r="N3422" s="12" t="s">
        <v>84</v>
      </c>
      <c r="O3422" s="12" t="s">
        <v>12356</v>
      </c>
      <c r="P3422" s="12" t="s">
        <v>66</v>
      </c>
      <c r="Q3422" s="12" t="s">
        <v>67</v>
      </c>
      <c r="R3422" s="12" t="s">
        <v>421</v>
      </c>
      <c r="S3422" s="13">
        <v>197804360802</v>
      </c>
      <c r="T3422" s="12" t="s">
        <v>49</v>
      </c>
      <c r="U3422" s="12" t="s">
        <v>403</v>
      </c>
      <c r="V3422" s="12" t="s">
        <v>665</v>
      </c>
      <c r="W3422" s="12" t="s">
        <v>284</v>
      </c>
      <c r="X3422" s="14"/>
      <c r="Y3422" s="14"/>
      <c r="Z3422" s="14"/>
      <c r="AA3422" s="14"/>
      <c r="AB3422" s="14"/>
      <c r="AC3422" s="15">
        <v>22.75</v>
      </c>
      <c r="AD3422" s="15">
        <f>AC3422*AG3422</f>
        <v>22.75</v>
      </c>
      <c r="AE3422" s="15">
        <v>50</v>
      </c>
      <c r="AF3422" s="15">
        <f>AE3422*AG3422</f>
        <v>50</v>
      </c>
      <c r="AG3422" s="16">
        <v>1</v>
      </c>
    </row>
    <row r="3423" spans="1:33" ht="15" customHeight="1" x14ac:dyDescent="0.2">
      <c r="A3423" s="11" t="str">
        <f t="shared" si="925"/>
        <v>VN000PK0ZRY1</v>
      </c>
      <c r="B3423" s="12" t="s">
        <v>12357</v>
      </c>
      <c r="C3423" s="12" t="s">
        <v>8490</v>
      </c>
      <c r="D3423" s="12" t="s">
        <v>1996</v>
      </c>
      <c r="E3423" s="12" t="s">
        <v>12358</v>
      </c>
      <c r="F3423" s="12" t="s">
        <v>153</v>
      </c>
      <c r="G3423" s="14"/>
      <c r="H3423" s="12" t="s">
        <v>61</v>
      </c>
      <c r="I3423" s="12" t="s">
        <v>289</v>
      </c>
      <c r="J3423" s="12" t="s">
        <v>706</v>
      </c>
      <c r="K3423" s="12" t="s">
        <v>100</v>
      </c>
      <c r="L3423" s="14"/>
      <c r="M3423" s="12" t="s">
        <v>43</v>
      </c>
      <c r="N3423" s="12" t="s">
        <v>84</v>
      </c>
      <c r="O3423" s="12" t="s">
        <v>12359</v>
      </c>
      <c r="P3423" s="12" t="s">
        <v>66</v>
      </c>
      <c r="Q3423" s="12" t="s">
        <v>67</v>
      </c>
      <c r="R3423" s="12" t="s">
        <v>708</v>
      </c>
      <c r="S3423" s="13">
        <v>197804610549</v>
      </c>
      <c r="T3423" s="12" t="s">
        <v>49</v>
      </c>
      <c r="U3423" s="12" t="s">
        <v>153</v>
      </c>
      <c r="V3423" s="12" t="s">
        <v>3746</v>
      </c>
      <c r="W3423" s="12" t="s">
        <v>299</v>
      </c>
      <c r="X3423" s="14"/>
      <c r="Y3423" s="14"/>
      <c r="Z3423" s="14"/>
      <c r="AA3423" s="14"/>
      <c r="AB3423" s="14"/>
      <c r="AC3423" s="15">
        <v>45.5</v>
      </c>
      <c r="AD3423" s="15">
        <f>AC3423*AG3423</f>
        <v>45.5</v>
      </c>
      <c r="AE3423" s="15">
        <v>100</v>
      </c>
      <c r="AF3423" s="15">
        <f>AE3423*AG3423</f>
        <v>100</v>
      </c>
      <c r="AG3423" s="16">
        <v>1</v>
      </c>
    </row>
    <row r="3424" spans="1:33" ht="15" customHeight="1" x14ac:dyDescent="0.2">
      <c r="A3424" s="11" t="str">
        <f>HYPERLINK("https://assets.vans.eu/images/VN000PK1EMZ-HERO/1","VN000PK1EMZ1")</f>
        <v>VN000PK1EMZ1</v>
      </c>
      <c r="B3424" s="12" t="s">
        <v>12360</v>
      </c>
      <c r="C3424" s="12" t="s">
        <v>1900</v>
      </c>
      <c r="D3424" s="12" t="s">
        <v>2912</v>
      </c>
      <c r="E3424" s="12" t="s">
        <v>12361</v>
      </c>
      <c r="F3424" s="12" t="s">
        <v>621</v>
      </c>
      <c r="G3424" s="14"/>
      <c r="H3424" s="12" t="s">
        <v>61</v>
      </c>
      <c r="I3424" s="12" t="s">
        <v>289</v>
      </c>
      <c r="J3424" s="12" t="s">
        <v>984</v>
      </c>
      <c r="K3424" s="12" t="s">
        <v>100</v>
      </c>
      <c r="L3424" s="14"/>
      <c r="M3424" s="12" t="s">
        <v>43</v>
      </c>
      <c r="N3424" s="12" t="s">
        <v>84</v>
      </c>
      <c r="O3424" s="12" t="s">
        <v>12362</v>
      </c>
      <c r="P3424" s="12" t="s">
        <v>66</v>
      </c>
      <c r="Q3424" s="12" t="s">
        <v>764</v>
      </c>
      <c r="R3424" s="12" t="s">
        <v>986</v>
      </c>
      <c r="S3424" s="13">
        <v>197804361120</v>
      </c>
      <c r="T3424" s="12" t="s">
        <v>235</v>
      </c>
      <c r="U3424" s="12" t="s">
        <v>621</v>
      </c>
      <c r="V3424" s="12" t="s">
        <v>90</v>
      </c>
      <c r="W3424" s="12" t="s">
        <v>118</v>
      </c>
      <c r="X3424" s="14"/>
      <c r="Y3424" s="14"/>
      <c r="Z3424" s="14"/>
      <c r="AA3424" s="14"/>
      <c r="AB3424" s="14"/>
      <c r="AC3424" s="15">
        <v>56.85</v>
      </c>
      <c r="AD3424" s="15">
        <f>AC3424*AG3424</f>
        <v>56.85</v>
      </c>
      <c r="AE3424" s="15">
        <v>125</v>
      </c>
      <c r="AF3424" s="15">
        <f>AE3424*AG3424</f>
        <v>125</v>
      </c>
      <c r="AG3424" s="16">
        <v>1</v>
      </c>
    </row>
    <row r="3425" spans="1:33" ht="15" customHeight="1" x14ac:dyDescent="0.2">
      <c r="A3425" s="11" t="str">
        <f>HYPERLINK("https://assets.vans.eu/images/VN000PK8BLK-HERO/1","VN000PK8BLK1")</f>
        <v>VN000PK8BLK1</v>
      </c>
      <c r="B3425" s="12" t="s">
        <v>12363</v>
      </c>
      <c r="C3425" s="12" t="s">
        <v>2070</v>
      </c>
      <c r="D3425" s="12" t="s">
        <v>76</v>
      </c>
      <c r="E3425" s="12" t="s">
        <v>12364</v>
      </c>
      <c r="F3425" s="12" t="s">
        <v>170</v>
      </c>
      <c r="G3425" s="14"/>
      <c r="H3425" s="12" t="s">
        <v>61</v>
      </c>
      <c r="I3425" s="12" t="s">
        <v>289</v>
      </c>
      <c r="J3425" s="12" t="s">
        <v>290</v>
      </c>
      <c r="K3425" s="12" t="s">
        <v>100</v>
      </c>
      <c r="L3425" s="14"/>
      <c r="M3425" s="12" t="s">
        <v>43</v>
      </c>
      <c r="N3425" s="12" t="s">
        <v>84</v>
      </c>
      <c r="O3425" s="12" t="s">
        <v>12365</v>
      </c>
      <c r="P3425" s="12" t="s">
        <v>66</v>
      </c>
      <c r="Q3425" s="12" t="s">
        <v>233</v>
      </c>
      <c r="R3425" s="12" t="s">
        <v>2073</v>
      </c>
      <c r="S3425" s="13">
        <v>197804579341</v>
      </c>
      <c r="T3425" s="12" t="s">
        <v>49</v>
      </c>
      <c r="U3425" s="12" t="s">
        <v>170</v>
      </c>
      <c r="V3425" s="12" t="s">
        <v>2074</v>
      </c>
      <c r="W3425" s="12" t="s">
        <v>51</v>
      </c>
      <c r="X3425" s="14"/>
      <c r="Y3425" s="14"/>
      <c r="Z3425" s="14"/>
      <c r="AA3425" s="14"/>
      <c r="AB3425" s="14"/>
      <c r="AC3425" s="15">
        <v>40.950000000000003</v>
      </c>
      <c r="AD3425" s="15">
        <f>AC3425*AG3425</f>
        <v>40.950000000000003</v>
      </c>
      <c r="AE3425" s="15">
        <v>90</v>
      </c>
      <c r="AF3425" s="15">
        <f>AE3425*AG3425</f>
        <v>90</v>
      </c>
      <c r="AG3425" s="16">
        <v>1</v>
      </c>
    </row>
    <row r="3426" spans="1:33" ht="15" customHeight="1" x14ac:dyDescent="0.2">
      <c r="A3426" s="11" t="str">
        <f t="shared" ref="A3426:A3427" si="1209">HYPERLINK("https://assets.vans.eu/images/VN000PKEEN9-HERO/1","VN000PKEEN91")</f>
        <v>VN000PKEEN91</v>
      </c>
      <c r="B3426" s="12" t="s">
        <v>12366</v>
      </c>
      <c r="C3426" s="12" t="s">
        <v>6661</v>
      </c>
      <c r="D3426" s="12" t="s">
        <v>982</v>
      </c>
      <c r="E3426" s="12" t="s">
        <v>12367</v>
      </c>
      <c r="F3426" s="12" t="s">
        <v>60</v>
      </c>
      <c r="G3426" s="14"/>
      <c r="H3426" s="12" t="s">
        <v>61</v>
      </c>
      <c r="I3426" s="12" t="s">
        <v>289</v>
      </c>
      <c r="J3426" s="12" t="s">
        <v>706</v>
      </c>
      <c r="K3426" s="12" t="s">
        <v>100</v>
      </c>
      <c r="L3426" s="14"/>
      <c r="M3426" s="12" t="s">
        <v>43</v>
      </c>
      <c r="N3426" s="12" t="s">
        <v>84</v>
      </c>
      <c r="O3426" s="12" t="s">
        <v>12368</v>
      </c>
      <c r="P3426" s="12" t="s">
        <v>66</v>
      </c>
      <c r="Q3426" s="12" t="s">
        <v>67</v>
      </c>
      <c r="R3426" s="12" t="s">
        <v>708</v>
      </c>
      <c r="S3426" s="13">
        <v>197804580774</v>
      </c>
      <c r="T3426" s="12" t="s">
        <v>49</v>
      </c>
      <c r="U3426" s="12" t="s">
        <v>60</v>
      </c>
      <c r="V3426" s="12" t="s">
        <v>6664</v>
      </c>
      <c r="W3426" s="12" t="s">
        <v>455</v>
      </c>
      <c r="X3426" s="14"/>
      <c r="Y3426" s="14"/>
      <c r="Z3426" s="14"/>
      <c r="AA3426" s="14"/>
      <c r="AB3426" s="14"/>
      <c r="AC3426" s="15">
        <v>40.950000000000003</v>
      </c>
      <c r="AD3426" s="15">
        <f>AC3426*AG3426</f>
        <v>40.950000000000003</v>
      </c>
      <c r="AE3426" s="15">
        <v>90</v>
      </c>
      <c r="AF3426" s="15">
        <f>AE3426*AG3426</f>
        <v>90</v>
      </c>
      <c r="AG3426" s="16">
        <v>1</v>
      </c>
    </row>
    <row r="3427" spans="1:33" ht="15" customHeight="1" x14ac:dyDescent="0.2">
      <c r="A3427" s="11" t="str">
        <f t="shared" si="1209"/>
        <v>VN000PKEEN91</v>
      </c>
      <c r="B3427" s="12" t="s">
        <v>12369</v>
      </c>
      <c r="C3427" s="12" t="s">
        <v>6661</v>
      </c>
      <c r="D3427" s="12" t="s">
        <v>982</v>
      </c>
      <c r="E3427" s="12" t="s">
        <v>12370</v>
      </c>
      <c r="F3427" s="12" t="s">
        <v>153</v>
      </c>
      <c r="G3427" s="14"/>
      <c r="H3427" s="12" t="s">
        <v>61</v>
      </c>
      <c r="I3427" s="12" t="s">
        <v>289</v>
      </c>
      <c r="J3427" s="12" t="s">
        <v>706</v>
      </c>
      <c r="K3427" s="12" t="s">
        <v>100</v>
      </c>
      <c r="L3427" s="14"/>
      <c r="M3427" s="12" t="s">
        <v>43</v>
      </c>
      <c r="N3427" s="12" t="s">
        <v>84</v>
      </c>
      <c r="O3427" s="12" t="s">
        <v>12371</v>
      </c>
      <c r="P3427" s="12" t="s">
        <v>66</v>
      </c>
      <c r="Q3427" s="12" t="s">
        <v>67</v>
      </c>
      <c r="R3427" s="12" t="s">
        <v>708</v>
      </c>
      <c r="S3427" s="13">
        <v>197804580958</v>
      </c>
      <c r="T3427" s="12" t="s">
        <v>49</v>
      </c>
      <c r="U3427" s="12" t="s">
        <v>153</v>
      </c>
      <c r="V3427" s="12" t="s">
        <v>6664</v>
      </c>
      <c r="W3427" s="12" t="s">
        <v>455</v>
      </c>
      <c r="X3427" s="14"/>
      <c r="Y3427" s="14"/>
      <c r="Z3427" s="14"/>
      <c r="AA3427" s="14"/>
      <c r="AB3427" s="14"/>
      <c r="AC3427" s="15">
        <v>40.950000000000003</v>
      </c>
      <c r="AD3427" s="15">
        <f>AC3427*AG3427</f>
        <v>40.950000000000003</v>
      </c>
      <c r="AE3427" s="15">
        <v>90</v>
      </c>
      <c r="AF3427" s="15">
        <f>AE3427*AG3427</f>
        <v>90</v>
      </c>
      <c r="AG3427" s="16">
        <v>1</v>
      </c>
    </row>
    <row r="3428" spans="1:33" ht="15" customHeight="1" x14ac:dyDescent="0.2">
      <c r="A3428" s="11" t="str">
        <f>HYPERLINK("https://assets.vans.eu/images/VN000PKSBLK-HERO/1","VN000PKSBLK1")</f>
        <v>VN000PKSBLK1</v>
      </c>
      <c r="B3428" s="12" t="s">
        <v>12372</v>
      </c>
      <c r="C3428" s="12" t="s">
        <v>12373</v>
      </c>
      <c r="D3428" s="12" t="s">
        <v>76</v>
      </c>
      <c r="E3428" s="12" t="s">
        <v>12374</v>
      </c>
      <c r="F3428" s="12" t="s">
        <v>170</v>
      </c>
      <c r="G3428" s="14"/>
      <c r="H3428" s="12" t="s">
        <v>61</v>
      </c>
      <c r="I3428" s="12" t="s">
        <v>230</v>
      </c>
      <c r="J3428" s="12" t="s">
        <v>419</v>
      </c>
      <c r="K3428" s="12" t="s">
        <v>199</v>
      </c>
      <c r="L3428" s="14"/>
      <c r="M3428" s="12" t="s">
        <v>43</v>
      </c>
      <c r="N3428" s="12" t="s">
        <v>84</v>
      </c>
      <c r="O3428" s="12" t="s">
        <v>12375</v>
      </c>
      <c r="P3428" s="12" t="s">
        <v>66</v>
      </c>
      <c r="Q3428" s="12" t="s">
        <v>67</v>
      </c>
      <c r="R3428" s="12" t="s">
        <v>421</v>
      </c>
      <c r="S3428" s="13">
        <v>197804361533</v>
      </c>
      <c r="T3428" s="12" t="s">
        <v>49</v>
      </c>
      <c r="U3428" s="12" t="s">
        <v>170</v>
      </c>
      <c r="V3428" s="12" t="s">
        <v>665</v>
      </c>
      <c r="W3428" s="12" t="s">
        <v>51</v>
      </c>
      <c r="X3428" s="14"/>
      <c r="Y3428" s="14"/>
      <c r="Z3428" s="14"/>
      <c r="AA3428" s="14"/>
      <c r="AB3428" s="14"/>
      <c r="AC3428" s="15">
        <v>20.5</v>
      </c>
      <c r="AD3428" s="15">
        <f>AC3428*AG3428</f>
        <v>20.5</v>
      </c>
      <c r="AE3428" s="15">
        <v>45</v>
      </c>
      <c r="AF3428" s="15">
        <f>AE3428*AG3428</f>
        <v>45</v>
      </c>
      <c r="AG3428" s="16">
        <v>1</v>
      </c>
    </row>
    <row r="3429" spans="1:33" ht="15" customHeight="1" x14ac:dyDescent="0.2">
      <c r="A3429" s="11" t="str">
        <f>HYPERLINK("https://assets.vans.eu/images/VN000PM3BLK-HERO/1","VN000PM3BLK1")</f>
        <v>VN000PM3BLK1</v>
      </c>
      <c r="B3429" s="12" t="s">
        <v>12376</v>
      </c>
      <c r="C3429" s="12" t="s">
        <v>4201</v>
      </c>
      <c r="D3429" s="12" t="s">
        <v>76</v>
      </c>
      <c r="E3429" s="12" t="s">
        <v>12377</v>
      </c>
      <c r="F3429" s="12" t="s">
        <v>153</v>
      </c>
      <c r="G3429" s="14"/>
      <c r="H3429" s="12" t="s">
        <v>61</v>
      </c>
      <c r="I3429" s="12" t="s">
        <v>230</v>
      </c>
      <c r="J3429" s="12" t="s">
        <v>231</v>
      </c>
      <c r="K3429" s="12" t="s">
        <v>199</v>
      </c>
      <c r="L3429" s="14"/>
      <c r="M3429" s="12" t="s">
        <v>43</v>
      </c>
      <c r="N3429" s="12" t="s">
        <v>84</v>
      </c>
      <c r="O3429" s="12" t="s">
        <v>12378</v>
      </c>
      <c r="P3429" s="12" t="s">
        <v>66</v>
      </c>
      <c r="Q3429" s="12" t="s">
        <v>233</v>
      </c>
      <c r="R3429" s="12" t="s">
        <v>361</v>
      </c>
      <c r="S3429" s="13">
        <v>197804610938</v>
      </c>
      <c r="T3429" s="12" t="s">
        <v>49</v>
      </c>
      <c r="U3429" s="12" t="s">
        <v>153</v>
      </c>
      <c r="V3429" s="12" t="s">
        <v>90</v>
      </c>
      <c r="W3429" s="12" t="s">
        <v>51</v>
      </c>
      <c r="X3429" s="14"/>
      <c r="Y3429" s="14"/>
      <c r="Z3429" s="14"/>
      <c r="AA3429" s="14"/>
      <c r="AB3429" s="14"/>
      <c r="AC3429" s="15">
        <v>136.4</v>
      </c>
      <c r="AD3429" s="15">
        <f>AC3429*AG3429</f>
        <v>136.4</v>
      </c>
      <c r="AE3429" s="15">
        <v>300</v>
      </c>
      <c r="AF3429" s="15">
        <f>AE3429*AG3429</f>
        <v>300</v>
      </c>
      <c r="AG3429" s="16">
        <v>1</v>
      </c>
    </row>
    <row r="3430" spans="1:33" ht="15" customHeight="1" x14ac:dyDescent="0.2">
      <c r="A3430" s="11" t="str">
        <f t="shared" ref="A3430:A3431" si="1210">HYPERLINK("https://assets.vans.eu/images/VN000PMA9JC-HERO/1","VN000PMA9JC1")</f>
        <v>VN000PMA9JC1</v>
      </c>
      <c r="B3430" s="12" t="s">
        <v>12379</v>
      </c>
      <c r="C3430" s="12" t="s">
        <v>2076</v>
      </c>
      <c r="D3430" s="12" t="s">
        <v>4481</v>
      </c>
      <c r="E3430" s="12" t="s">
        <v>12380</v>
      </c>
      <c r="F3430" s="12" t="s">
        <v>403</v>
      </c>
      <c r="G3430" s="14"/>
      <c r="H3430" s="12" t="s">
        <v>61</v>
      </c>
      <c r="I3430" s="12" t="s">
        <v>230</v>
      </c>
      <c r="J3430" s="12" t="s">
        <v>762</v>
      </c>
      <c r="K3430" s="12" t="s">
        <v>199</v>
      </c>
      <c r="L3430" s="14"/>
      <c r="M3430" s="12" t="s">
        <v>43</v>
      </c>
      <c r="N3430" s="12" t="s">
        <v>84</v>
      </c>
      <c r="O3430" s="12" t="s">
        <v>12381</v>
      </c>
      <c r="P3430" s="12" t="s">
        <v>66</v>
      </c>
      <c r="Q3430" s="12" t="s">
        <v>764</v>
      </c>
      <c r="R3430" s="12" t="s">
        <v>765</v>
      </c>
      <c r="S3430" s="13">
        <v>197804372546</v>
      </c>
      <c r="T3430" s="12" t="s">
        <v>49</v>
      </c>
      <c r="U3430" s="12" t="s">
        <v>403</v>
      </c>
      <c r="V3430" s="12" t="s">
        <v>90</v>
      </c>
      <c r="W3430" s="12" t="s">
        <v>186</v>
      </c>
      <c r="X3430" s="14"/>
      <c r="Y3430" s="14"/>
      <c r="Z3430" s="14"/>
      <c r="AA3430" s="14"/>
      <c r="AB3430" s="14"/>
      <c r="AC3430" s="15">
        <v>159.1</v>
      </c>
      <c r="AD3430" s="15">
        <f>AC3430*AG3430</f>
        <v>159.1</v>
      </c>
      <c r="AE3430" s="15">
        <v>350</v>
      </c>
      <c r="AF3430" s="15">
        <f>AE3430*AG3430</f>
        <v>350</v>
      </c>
      <c r="AG3430" s="16">
        <v>1</v>
      </c>
    </row>
    <row r="3431" spans="1:33" ht="15" customHeight="1" x14ac:dyDescent="0.2">
      <c r="A3431" s="11" t="str">
        <f t="shared" si="1210"/>
        <v>VN000PMA9JC1</v>
      </c>
      <c r="B3431" s="12" t="s">
        <v>12382</v>
      </c>
      <c r="C3431" s="12" t="s">
        <v>2076</v>
      </c>
      <c r="D3431" s="12" t="s">
        <v>4481</v>
      </c>
      <c r="E3431" s="12" t="s">
        <v>12383</v>
      </c>
      <c r="F3431" s="12" t="s">
        <v>60</v>
      </c>
      <c r="G3431" s="14"/>
      <c r="H3431" s="12" t="s">
        <v>61</v>
      </c>
      <c r="I3431" s="12" t="s">
        <v>230</v>
      </c>
      <c r="J3431" s="12" t="s">
        <v>762</v>
      </c>
      <c r="K3431" s="12" t="s">
        <v>199</v>
      </c>
      <c r="L3431" s="14"/>
      <c r="M3431" s="12" t="s">
        <v>43</v>
      </c>
      <c r="N3431" s="12" t="s">
        <v>84</v>
      </c>
      <c r="O3431" s="12" t="s">
        <v>12384</v>
      </c>
      <c r="P3431" s="12" t="s">
        <v>66</v>
      </c>
      <c r="Q3431" s="12" t="s">
        <v>764</v>
      </c>
      <c r="R3431" s="12" t="s">
        <v>765</v>
      </c>
      <c r="S3431" s="13">
        <v>197804372553</v>
      </c>
      <c r="T3431" s="12" t="s">
        <v>49</v>
      </c>
      <c r="U3431" s="12" t="s">
        <v>60</v>
      </c>
      <c r="V3431" s="12" t="s">
        <v>90</v>
      </c>
      <c r="W3431" s="12" t="s">
        <v>186</v>
      </c>
      <c r="X3431" s="14"/>
      <c r="Y3431" s="14"/>
      <c r="Z3431" s="14"/>
      <c r="AA3431" s="14"/>
      <c r="AB3431" s="14"/>
      <c r="AC3431" s="15">
        <v>159.1</v>
      </c>
      <c r="AD3431" s="15">
        <f>AC3431*AG3431</f>
        <v>159.1</v>
      </c>
      <c r="AE3431" s="15">
        <v>350</v>
      </c>
      <c r="AF3431" s="15">
        <f>AE3431*AG3431</f>
        <v>350</v>
      </c>
      <c r="AG3431" s="16">
        <v>1</v>
      </c>
    </row>
    <row r="3432" spans="1:33" ht="15" customHeight="1" x14ac:dyDescent="0.2">
      <c r="A3432" s="11" t="str">
        <f t="shared" si="926"/>
        <v>VN000PMABLK1</v>
      </c>
      <c r="B3432" s="12" t="s">
        <v>12385</v>
      </c>
      <c r="C3432" s="12" t="s">
        <v>2076</v>
      </c>
      <c r="D3432" s="12" t="s">
        <v>76</v>
      </c>
      <c r="E3432" s="12" t="s">
        <v>12386</v>
      </c>
      <c r="F3432" s="12" t="s">
        <v>60</v>
      </c>
      <c r="G3432" s="14"/>
      <c r="H3432" s="12" t="s">
        <v>61</v>
      </c>
      <c r="I3432" s="12" t="s">
        <v>230</v>
      </c>
      <c r="J3432" s="12" t="s">
        <v>762</v>
      </c>
      <c r="K3432" s="12" t="s">
        <v>199</v>
      </c>
      <c r="L3432" s="14"/>
      <c r="M3432" s="12" t="s">
        <v>43</v>
      </c>
      <c r="N3432" s="12" t="s">
        <v>84</v>
      </c>
      <c r="O3432" s="12" t="s">
        <v>12387</v>
      </c>
      <c r="P3432" s="12" t="s">
        <v>66</v>
      </c>
      <c r="Q3432" s="12" t="s">
        <v>764</v>
      </c>
      <c r="R3432" s="12" t="s">
        <v>765</v>
      </c>
      <c r="S3432" s="13">
        <v>197804372904</v>
      </c>
      <c r="T3432" s="12" t="s">
        <v>49</v>
      </c>
      <c r="U3432" s="12" t="s">
        <v>60</v>
      </c>
      <c r="V3432" s="12" t="s">
        <v>90</v>
      </c>
      <c r="W3432" s="12" t="s">
        <v>51</v>
      </c>
      <c r="X3432" s="14"/>
      <c r="Y3432" s="14"/>
      <c r="Z3432" s="14"/>
      <c r="AA3432" s="14"/>
      <c r="AB3432" s="14"/>
      <c r="AC3432" s="15">
        <v>159.1</v>
      </c>
      <c r="AD3432" s="15">
        <f>AC3432*AG3432</f>
        <v>159.1</v>
      </c>
      <c r="AE3432" s="15">
        <v>350</v>
      </c>
      <c r="AF3432" s="15">
        <f>AE3432*AG3432</f>
        <v>350</v>
      </c>
      <c r="AG3432" s="16">
        <v>1</v>
      </c>
    </row>
    <row r="3433" spans="1:33" ht="15" customHeight="1" x14ac:dyDescent="0.2">
      <c r="A3433" s="11" t="str">
        <f t="shared" si="722"/>
        <v>VN000PMAEMW1</v>
      </c>
      <c r="B3433" s="12" t="s">
        <v>12388</v>
      </c>
      <c r="C3433" s="12" t="s">
        <v>2076</v>
      </c>
      <c r="D3433" s="12" t="s">
        <v>147</v>
      </c>
      <c r="E3433" s="12" t="s">
        <v>12389</v>
      </c>
      <c r="F3433" s="12" t="s">
        <v>403</v>
      </c>
      <c r="G3433" s="14"/>
      <c r="H3433" s="12" t="s">
        <v>61</v>
      </c>
      <c r="I3433" s="12" t="s">
        <v>230</v>
      </c>
      <c r="J3433" s="12" t="s">
        <v>762</v>
      </c>
      <c r="K3433" s="12" t="s">
        <v>199</v>
      </c>
      <c r="L3433" s="14"/>
      <c r="M3433" s="12" t="s">
        <v>43</v>
      </c>
      <c r="N3433" s="12" t="s">
        <v>84</v>
      </c>
      <c r="O3433" s="12" t="s">
        <v>12390</v>
      </c>
      <c r="P3433" s="12" t="s">
        <v>66</v>
      </c>
      <c r="Q3433" s="12" t="s">
        <v>764</v>
      </c>
      <c r="R3433" s="12" t="s">
        <v>765</v>
      </c>
      <c r="S3433" s="13">
        <v>197804372829</v>
      </c>
      <c r="T3433" s="12" t="s">
        <v>49</v>
      </c>
      <c r="U3433" s="12" t="s">
        <v>403</v>
      </c>
      <c r="V3433" s="12" t="s">
        <v>90</v>
      </c>
      <c r="W3433" s="12" t="s">
        <v>118</v>
      </c>
      <c r="X3433" s="14"/>
      <c r="Y3433" s="14"/>
      <c r="Z3433" s="14"/>
      <c r="AA3433" s="14"/>
      <c r="AB3433" s="14"/>
      <c r="AC3433" s="15">
        <v>159.1</v>
      </c>
      <c r="AD3433" s="15">
        <f>AC3433*AG3433</f>
        <v>159.1</v>
      </c>
      <c r="AE3433" s="15">
        <v>350</v>
      </c>
      <c r="AF3433" s="15">
        <f>AE3433*AG3433</f>
        <v>350</v>
      </c>
      <c r="AG3433" s="16">
        <v>1</v>
      </c>
    </row>
    <row r="3434" spans="1:33" ht="15" customHeight="1" x14ac:dyDescent="0.2">
      <c r="A3434" s="11" t="str">
        <f t="shared" ref="A3434:A3435" si="1211">HYPERLINK("https://assets.vans.eu/images/VN000PMAEMW-HERO/1","VN000PMAEMW1")</f>
        <v>VN000PMAEMW1</v>
      </c>
      <c r="B3434" s="12" t="s">
        <v>12391</v>
      </c>
      <c r="C3434" s="12" t="s">
        <v>2076</v>
      </c>
      <c r="D3434" s="12" t="s">
        <v>147</v>
      </c>
      <c r="E3434" s="12" t="s">
        <v>12392</v>
      </c>
      <c r="F3434" s="12" t="s">
        <v>153</v>
      </c>
      <c r="G3434" s="14"/>
      <c r="H3434" s="12" t="s">
        <v>61</v>
      </c>
      <c r="I3434" s="12" t="s">
        <v>230</v>
      </c>
      <c r="J3434" s="12" t="s">
        <v>762</v>
      </c>
      <c r="K3434" s="12" t="s">
        <v>199</v>
      </c>
      <c r="L3434" s="14"/>
      <c r="M3434" s="12" t="s">
        <v>43</v>
      </c>
      <c r="N3434" s="12" t="s">
        <v>84</v>
      </c>
      <c r="O3434" s="12" t="s">
        <v>12393</v>
      </c>
      <c r="P3434" s="12" t="s">
        <v>66</v>
      </c>
      <c r="Q3434" s="12" t="s">
        <v>764</v>
      </c>
      <c r="R3434" s="12" t="s">
        <v>765</v>
      </c>
      <c r="S3434" s="13">
        <v>197804373109</v>
      </c>
      <c r="T3434" s="12" t="s">
        <v>49</v>
      </c>
      <c r="U3434" s="12" t="s">
        <v>153</v>
      </c>
      <c r="V3434" s="12" t="s">
        <v>90</v>
      </c>
      <c r="W3434" s="12" t="s">
        <v>118</v>
      </c>
      <c r="X3434" s="14"/>
      <c r="Y3434" s="14"/>
      <c r="Z3434" s="14"/>
      <c r="AA3434" s="14"/>
      <c r="AB3434" s="14"/>
      <c r="AC3434" s="15">
        <v>159.1</v>
      </c>
      <c r="AD3434" s="15">
        <f>AC3434*AG3434</f>
        <v>159.1</v>
      </c>
      <c r="AE3434" s="15">
        <v>350</v>
      </c>
      <c r="AF3434" s="15">
        <f>AE3434*AG3434</f>
        <v>350</v>
      </c>
      <c r="AG3434" s="16">
        <v>1</v>
      </c>
    </row>
    <row r="3435" spans="1:33" ht="15" customHeight="1" x14ac:dyDescent="0.2">
      <c r="A3435" s="11" t="str">
        <f t="shared" si="1211"/>
        <v>VN000PMAEMW1</v>
      </c>
      <c r="B3435" s="12" t="s">
        <v>12394</v>
      </c>
      <c r="C3435" s="12" t="s">
        <v>2076</v>
      </c>
      <c r="D3435" s="12" t="s">
        <v>147</v>
      </c>
      <c r="E3435" s="12" t="s">
        <v>12395</v>
      </c>
      <c r="F3435" s="12" t="s">
        <v>621</v>
      </c>
      <c r="G3435" s="14"/>
      <c r="H3435" s="12" t="s">
        <v>61</v>
      </c>
      <c r="I3435" s="12" t="s">
        <v>230</v>
      </c>
      <c r="J3435" s="12" t="s">
        <v>762</v>
      </c>
      <c r="K3435" s="12" t="s">
        <v>199</v>
      </c>
      <c r="L3435" s="14"/>
      <c r="M3435" s="12" t="s">
        <v>43</v>
      </c>
      <c r="N3435" s="12" t="s">
        <v>84</v>
      </c>
      <c r="O3435" s="12" t="s">
        <v>12396</v>
      </c>
      <c r="P3435" s="12" t="s">
        <v>66</v>
      </c>
      <c r="Q3435" s="12" t="s">
        <v>764</v>
      </c>
      <c r="R3435" s="12" t="s">
        <v>765</v>
      </c>
      <c r="S3435" s="13">
        <v>197804373147</v>
      </c>
      <c r="T3435" s="12" t="s">
        <v>49</v>
      </c>
      <c r="U3435" s="12" t="s">
        <v>621</v>
      </c>
      <c r="V3435" s="12" t="s">
        <v>90</v>
      </c>
      <c r="W3435" s="12" t="s">
        <v>118</v>
      </c>
      <c r="X3435" s="14"/>
      <c r="Y3435" s="14"/>
      <c r="Z3435" s="14"/>
      <c r="AA3435" s="14"/>
      <c r="AB3435" s="14"/>
      <c r="AC3435" s="15">
        <v>159.1</v>
      </c>
      <c r="AD3435" s="15">
        <f>AC3435*AG3435</f>
        <v>159.1</v>
      </c>
      <c r="AE3435" s="15">
        <v>350</v>
      </c>
      <c r="AF3435" s="15">
        <f>AE3435*AG3435</f>
        <v>350</v>
      </c>
      <c r="AG3435" s="16">
        <v>1</v>
      </c>
    </row>
    <row r="3436" spans="1:33" ht="15" customHeight="1" x14ac:dyDescent="0.2">
      <c r="A3436" s="11" t="str">
        <f t="shared" si="927"/>
        <v>VN000PMDBLK1</v>
      </c>
      <c r="B3436" s="12" t="s">
        <v>12397</v>
      </c>
      <c r="C3436" s="12" t="s">
        <v>2243</v>
      </c>
      <c r="D3436" s="12" t="s">
        <v>76</v>
      </c>
      <c r="E3436" s="12" t="s">
        <v>12398</v>
      </c>
      <c r="F3436" s="12" t="s">
        <v>170</v>
      </c>
      <c r="G3436" s="14"/>
      <c r="H3436" s="12" t="s">
        <v>61</v>
      </c>
      <c r="I3436" s="12" t="s">
        <v>230</v>
      </c>
      <c r="J3436" s="12" t="s">
        <v>762</v>
      </c>
      <c r="K3436" s="12" t="s">
        <v>199</v>
      </c>
      <c r="L3436" s="14"/>
      <c r="M3436" s="12" t="s">
        <v>43</v>
      </c>
      <c r="N3436" s="12" t="s">
        <v>84</v>
      </c>
      <c r="O3436" s="12" t="s">
        <v>12399</v>
      </c>
      <c r="P3436" s="12" t="s">
        <v>66</v>
      </c>
      <c r="Q3436" s="12" t="s">
        <v>764</v>
      </c>
      <c r="R3436" s="12" t="s">
        <v>765</v>
      </c>
      <c r="S3436" s="13">
        <v>197804581764</v>
      </c>
      <c r="T3436" s="12" t="s">
        <v>49</v>
      </c>
      <c r="U3436" s="12" t="s">
        <v>170</v>
      </c>
      <c r="V3436" s="12" t="s">
        <v>90</v>
      </c>
      <c r="W3436" s="12" t="s">
        <v>51</v>
      </c>
      <c r="X3436" s="14"/>
      <c r="Y3436" s="14"/>
      <c r="Z3436" s="14"/>
      <c r="AA3436" s="14"/>
      <c r="AB3436" s="14"/>
      <c r="AC3436" s="15">
        <v>136.4</v>
      </c>
      <c r="AD3436" s="15">
        <f>AC3436*AG3436</f>
        <v>136.4</v>
      </c>
      <c r="AE3436" s="15">
        <v>300</v>
      </c>
      <c r="AF3436" s="15">
        <f>AE3436*AG3436</f>
        <v>300</v>
      </c>
      <c r="AG3436" s="16">
        <v>1</v>
      </c>
    </row>
    <row r="3437" spans="1:33" ht="15" customHeight="1" x14ac:dyDescent="0.2">
      <c r="A3437" s="11" t="str">
        <f>HYPERLINK("https://assets.vans.eu/images/VN000PMDBLK-HERO/1","VN000PMDBLK1")</f>
        <v>VN000PMDBLK1</v>
      </c>
      <c r="B3437" s="12" t="s">
        <v>12400</v>
      </c>
      <c r="C3437" s="12" t="s">
        <v>2243</v>
      </c>
      <c r="D3437" s="12" t="s">
        <v>76</v>
      </c>
      <c r="E3437" s="12" t="s">
        <v>12401</v>
      </c>
      <c r="F3437" s="12" t="s">
        <v>60</v>
      </c>
      <c r="G3437" s="14"/>
      <c r="H3437" s="12" t="s">
        <v>61</v>
      </c>
      <c r="I3437" s="12" t="s">
        <v>230</v>
      </c>
      <c r="J3437" s="12" t="s">
        <v>762</v>
      </c>
      <c r="K3437" s="12" t="s">
        <v>199</v>
      </c>
      <c r="L3437" s="14"/>
      <c r="M3437" s="12" t="s">
        <v>43</v>
      </c>
      <c r="N3437" s="12" t="s">
        <v>84</v>
      </c>
      <c r="O3437" s="12" t="s">
        <v>12402</v>
      </c>
      <c r="P3437" s="12" t="s">
        <v>66</v>
      </c>
      <c r="Q3437" s="12" t="s">
        <v>764</v>
      </c>
      <c r="R3437" s="12" t="s">
        <v>765</v>
      </c>
      <c r="S3437" s="13">
        <v>197804581948</v>
      </c>
      <c r="T3437" s="12" t="s">
        <v>49</v>
      </c>
      <c r="U3437" s="12" t="s">
        <v>60</v>
      </c>
      <c r="V3437" s="12" t="s">
        <v>90</v>
      </c>
      <c r="W3437" s="12" t="s">
        <v>51</v>
      </c>
      <c r="X3437" s="14"/>
      <c r="Y3437" s="14"/>
      <c r="Z3437" s="14"/>
      <c r="AA3437" s="14"/>
      <c r="AB3437" s="14"/>
      <c r="AC3437" s="15">
        <v>136.4</v>
      </c>
      <c r="AD3437" s="15">
        <f>AC3437*AG3437</f>
        <v>136.4</v>
      </c>
      <c r="AE3437" s="15">
        <v>300</v>
      </c>
      <c r="AF3437" s="15">
        <f>AE3437*AG3437</f>
        <v>300</v>
      </c>
      <c r="AG3437" s="16">
        <v>1</v>
      </c>
    </row>
    <row r="3438" spans="1:33" ht="15" customHeight="1" x14ac:dyDescent="0.2">
      <c r="A3438" s="11" t="str">
        <f>HYPERLINK("https://assets.vans.eu/images/VN000PMFEB2-HERO/1","VN000PMFEB21")</f>
        <v>VN000PMFEB21</v>
      </c>
      <c r="B3438" s="12" t="s">
        <v>12403</v>
      </c>
      <c r="C3438" s="12" t="s">
        <v>3148</v>
      </c>
      <c r="D3438" s="12" t="s">
        <v>2693</v>
      </c>
      <c r="E3438" s="12" t="s">
        <v>12404</v>
      </c>
      <c r="F3438" s="12" t="s">
        <v>179</v>
      </c>
      <c r="G3438" s="14"/>
      <c r="H3438" s="12" t="s">
        <v>61</v>
      </c>
      <c r="I3438" s="12" t="s">
        <v>230</v>
      </c>
      <c r="J3438" s="12" t="s">
        <v>762</v>
      </c>
      <c r="K3438" s="12" t="s">
        <v>199</v>
      </c>
      <c r="L3438" s="14"/>
      <c r="M3438" s="12" t="s">
        <v>43</v>
      </c>
      <c r="N3438" s="12" t="s">
        <v>84</v>
      </c>
      <c r="O3438" s="12" t="s">
        <v>12405</v>
      </c>
      <c r="P3438" s="12" t="s">
        <v>66</v>
      </c>
      <c r="Q3438" s="12" t="s">
        <v>764</v>
      </c>
      <c r="R3438" s="12" t="s">
        <v>765</v>
      </c>
      <c r="S3438" s="13">
        <v>197804372584</v>
      </c>
      <c r="T3438" s="12" t="s">
        <v>49</v>
      </c>
      <c r="U3438" s="12" t="s">
        <v>179</v>
      </c>
      <c r="V3438" s="12" t="s">
        <v>1811</v>
      </c>
      <c r="W3438" s="12" t="s">
        <v>51</v>
      </c>
      <c r="X3438" s="14"/>
      <c r="Y3438" s="14"/>
      <c r="Z3438" s="14"/>
      <c r="AA3438" s="14"/>
      <c r="AB3438" s="14"/>
      <c r="AC3438" s="15">
        <v>136.4</v>
      </c>
      <c r="AD3438" s="15">
        <f>AC3438*AG3438</f>
        <v>136.4</v>
      </c>
      <c r="AE3438" s="15">
        <v>300</v>
      </c>
      <c r="AF3438" s="15">
        <f>AE3438*AG3438</f>
        <v>300</v>
      </c>
      <c r="AG3438" s="16">
        <v>1</v>
      </c>
    </row>
    <row r="3439" spans="1:33" ht="15" customHeight="1" x14ac:dyDescent="0.2">
      <c r="A3439" s="11" t="str">
        <f>HYPERLINK("https://assets.vans.eu/images/VN000PMFENB-HERO/1","VN000PMFENB1")</f>
        <v>VN000PMFENB1</v>
      </c>
      <c r="B3439" s="12" t="s">
        <v>12406</v>
      </c>
      <c r="C3439" s="12" t="s">
        <v>3148</v>
      </c>
      <c r="D3439" s="12" t="s">
        <v>2917</v>
      </c>
      <c r="E3439" s="12" t="s">
        <v>12407</v>
      </c>
      <c r="F3439" s="12" t="s">
        <v>621</v>
      </c>
      <c r="G3439" s="14"/>
      <c r="H3439" s="12" t="s">
        <v>61</v>
      </c>
      <c r="I3439" s="12" t="s">
        <v>230</v>
      </c>
      <c r="J3439" s="12" t="s">
        <v>762</v>
      </c>
      <c r="K3439" s="12" t="s">
        <v>199</v>
      </c>
      <c r="L3439" s="14"/>
      <c r="M3439" s="12" t="s">
        <v>43</v>
      </c>
      <c r="N3439" s="12" t="s">
        <v>84</v>
      </c>
      <c r="O3439" s="12" t="s">
        <v>12408</v>
      </c>
      <c r="P3439" s="12" t="s">
        <v>66</v>
      </c>
      <c r="Q3439" s="12" t="s">
        <v>764</v>
      </c>
      <c r="R3439" s="12" t="s">
        <v>765</v>
      </c>
      <c r="S3439" s="13">
        <v>197804373222</v>
      </c>
      <c r="T3439" s="12" t="s">
        <v>49</v>
      </c>
      <c r="U3439" s="12" t="s">
        <v>621</v>
      </c>
      <c r="V3439" s="12" t="s">
        <v>1811</v>
      </c>
      <c r="W3439" s="12" t="s">
        <v>186</v>
      </c>
      <c r="X3439" s="14"/>
      <c r="Y3439" s="14"/>
      <c r="Z3439" s="14"/>
      <c r="AA3439" s="14"/>
      <c r="AB3439" s="14"/>
      <c r="AC3439" s="15">
        <v>136.4</v>
      </c>
      <c r="AD3439" s="15">
        <f>AC3439*AG3439</f>
        <v>136.4</v>
      </c>
      <c r="AE3439" s="15">
        <v>300</v>
      </c>
      <c r="AF3439" s="15">
        <f>AE3439*AG3439</f>
        <v>300</v>
      </c>
      <c r="AG3439" s="16">
        <v>1</v>
      </c>
    </row>
    <row r="3440" spans="1:33" ht="15" customHeight="1" x14ac:dyDescent="0.2">
      <c r="A3440" s="11" t="str">
        <f t="shared" si="929"/>
        <v>VN000PMHEB21</v>
      </c>
      <c r="B3440" s="12" t="s">
        <v>12409</v>
      </c>
      <c r="C3440" s="12" t="s">
        <v>2916</v>
      </c>
      <c r="D3440" s="12" t="s">
        <v>2693</v>
      </c>
      <c r="E3440" s="12" t="s">
        <v>12410</v>
      </c>
      <c r="F3440" s="12" t="s">
        <v>153</v>
      </c>
      <c r="G3440" s="14"/>
      <c r="H3440" s="12" t="s">
        <v>61</v>
      </c>
      <c r="I3440" s="12" t="s">
        <v>230</v>
      </c>
      <c r="J3440" s="12" t="s">
        <v>762</v>
      </c>
      <c r="K3440" s="12" t="s">
        <v>199</v>
      </c>
      <c r="L3440" s="14"/>
      <c r="M3440" s="12" t="s">
        <v>43</v>
      </c>
      <c r="N3440" s="12" t="s">
        <v>84</v>
      </c>
      <c r="O3440" s="12" t="s">
        <v>12411</v>
      </c>
      <c r="P3440" s="12" t="s">
        <v>66</v>
      </c>
      <c r="Q3440" s="12" t="s">
        <v>764</v>
      </c>
      <c r="R3440" s="12" t="s">
        <v>765</v>
      </c>
      <c r="S3440" s="13">
        <v>197804678853</v>
      </c>
      <c r="T3440" s="12" t="s">
        <v>49</v>
      </c>
      <c r="U3440" s="12" t="s">
        <v>153</v>
      </c>
      <c r="V3440" s="12" t="s">
        <v>1811</v>
      </c>
      <c r="W3440" s="12" t="s">
        <v>51</v>
      </c>
      <c r="X3440" s="14"/>
      <c r="Y3440" s="14"/>
      <c r="Z3440" s="14"/>
      <c r="AA3440" s="14"/>
      <c r="AB3440" s="14"/>
      <c r="AC3440" s="15">
        <v>95.5</v>
      </c>
      <c r="AD3440" s="15">
        <f>AC3440*AG3440</f>
        <v>95.5</v>
      </c>
      <c r="AE3440" s="15">
        <v>210</v>
      </c>
      <c r="AF3440" s="15">
        <f>AE3440*AG3440</f>
        <v>210</v>
      </c>
      <c r="AG3440" s="16">
        <v>1</v>
      </c>
    </row>
    <row r="3441" spans="1:33" ht="15" customHeight="1" x14ac:dyDescent="0.2">
      <c r="A3441" s="11" t="str">
        <f t="shared" si="930"/>
        <v>VN000PMHENB1</v>
      </c>
      <c r="B3441" s="12" t="s">
        <v>12412</v>
      </c>
      <c r="C3441" s="12" t="s">
        <v>2916</v>
      </c>
      <c r="D3441" s="12" t="s">
        <v>2917</v>
      </c>
      <c r="E3441" s="12" t="s">
        <v>12413</v>
      </c>
      <c r="F3441" s="12" t="s">
        <v>621</v>
      </c>
      <c r="G3441" s="14"/>
      <c r="H3441" s="12" t="s">
        <v>61</v>
      </c>
      <c r="I3441" s="12" t="s">
        <v>230</v>
      </c>
      <c r="J3441" s="12" t="s">
        <v>762</v>
      </c>
      <c r="K3441" s="12" t="s">
        <v>199</v>
      </c>
      <c r="L3441" s="14"/>
      <c r="M3441" s="12" t="s">
        <v>43</v>
      </c>
      <c r="N3441" s="12" t="s">
        <v>84</v>
      </c>
      <c r="O3441" s="12" t="s">
        <v>12414</v>
      </c>
      <c r="P3441" s="12" t="s">
        <v>66</v>
      </c>
      <c r="Q3441" s="12" t="s">
        <v>764</v>
      </c>
      <c r="R3441" s="12" t="s">
        <v>765</v>
      </c>
      <c r="S3441" s="13">
        <v>197804678884</v>
      </c>
      <c r="T3441" s="12" t="s">
        <v>49</v>
      </c>
      <c r="U3441" s="12" t="s">
        <v>621</v>
      </c>
      <c r="V3441" s="12" t="s">
        <v>1811</v>
      </c>
      <c r="W3441" s="12" t="s">
        <v>186</v>
      </c>
      <c r="X3441" s="14"/>
      <c r="Y3441" s="14"/>
      <c r="Z3441" s="14"/>
      <c r="AA3441" s="14"/>
      <c r="AB3441" s="14"/>
      <c r="AC3441" s="15">
        <v>95.5</v>
      </c>
      <c r="AD3441" s="15">
        <f>AC3441*AG3441</f>
        <v>95.5</v>
      </c>
      <c r="AE3441" s="15">
        <v>210</v>
      </c>
      <c r="AF3441" s="15">
        <f>AE3441*AG3441</f>
        <v>210</v>
      </c>
      <c r="AG3441" s="16">
        <v>1</v>
      </c>
    </row>
    <row r="3442" spans="1:33" ht="15" customHeight="1" x14ac:dyDescent="0.2">
      <c r="A3442" s="11" t="str">
        <f>HYPERLINK("https://assets.vans.eu/images/VN000PMNEMP-HERO/1","VN000PMNEMP1")</f>
        <v>VN000PMNEMP1</v>
      </c>
      <c r="B3442" s="12" t="s">
        <v>12415</v>
      </c>
      <c r="C3442" s="12" t="s">
        <v>4753</v>
      </c>
      <c r="D3442" s="12" t="s">
        <v>704</v>
      </c>
      <c r="E3442" s="12" t="s">
        <v>12416</v>
      </c>
      <c r="F3442" s="12" t="s">
        <v>403</v>
      </c>
      <c r="G3442" s="14"/>
      <c r="H3442" s="12" t="s">
        <v>61</v>
      </c>
      <c r="I3442" s="12" t="s">
        <v>230</v>
      </c>
      <c r="J3442" s="12" t="s">
        <v>762</v>
      </c>
      <c r="K3442" s="12" t="s">
        <v>199</v>
      </c>
      <c r="L3442" s="14"/>
      <c r="M3442" s="12" t="s">
        <v>43</v>
      </c>
      <c r="N3442" s="12" t="s">
        <v>84</v>
      </c>
      <c r="O3442" s="12" t="s">
        <v>12417</v>
      </c>
      <c r="P3442" s="12" t="s">
        <v>66</v>
      </c>
      <c r="Q3442" s="12" t="s">
        <v>764</v>
      </c>
      <c r="R3442" s="12" t="s">
        <v>765</v>
      </c>
      <c r="S3442" s="13">
        <v>197804372997</v>
      </c>
      <c r="T3442" s="12" t="s">
        <v>235</v>
      </c>
      <c r="U3442" s="12" t="s">
        <v>403</v>
      </c>
      <c r="V3442" s="12" t="s">
        <v>665</v>
      </c>
      <c r="W3442" s="12" t="s">
        <v>186</v>
      </c>
      <c r="X3442" s="14"/>
      <c r="Y3442" s="14"/>
      <c r="Z3442" s="14"/>
      <c r="AA3442" s="14"/>
      <c r="AB3442" s="14"/>
      <c r="AC3442" s="15">
        <v>43.2</v>
      </c>
      <c r="AD3442" s="15">
        <f>AC3442*AG3442</f>
        <v>43.2</v>
      </c>
      <c r="AE3442" s="15">
        <v>95</v>
      </c>
      <c r="AF3442" s="15">
        <f>AE3442*AG3442</f>
        <v>95</v>
      </c>
      <c r="AG3442" s="16">
        <v>1</v>
      </c>
    </row>
    <row r="3443" spans="1:33" ht="15" customHeight="1" x14ac:dyDescent="0.2">
      <c r="A3443" s="11" t="str">
        <f t="shared" si="931"/>
        <v>VN000PNCRKZ1</v>
      </c>
      <c r="B3443" s="12" t="s">
        <v>12418</v>
      </c>
      <c r="C3443" s="12" t="s">
        <v>6700</v>
      </c>
      <c r="D3443" s="12" t="s">
        <v>6701</v>
      </c>
      <c r="E3443" s="12" t="s">
        <v>12419</v>
      </c>
      <c r="F3443" s="12" t="s">
        <v>403</v>
      </c>
      <c r="G3443" s="14"/>
      <c r="H3443" s="12" t="s">
        <v>61</v>
      </c>
      <c r="I3443" s="12" t="s">
        <v>230</v>
      </c>
      <c r="J3443" s="12" t="s">
        <v>419</v>
      </c>
      <c r="K3443" s="12" t="s">
        <v>199</v>
      </c>
      <c r="L3443" s="14"/>
      <c r="M3443" s="12" t="s">
        <v>43</v>
      </c>
      <c r="N3443" s="12" t="s">
        <v>84</v>
      </c>
      <c r="O3443" s="12" t="s">
        <v>12420</v>
      </c>
      <c r="P3443" s="12" t="s">
        <v>66</v>
      </c>
      <c r="Q3443" s="12" t="s">
        <v>67</v>
      </c>
      <c r="R3443" s="12" t="s">
        <v>421</v>
      </c>
      <c r="S3443" s="13">
        <v>197804362578</v>
      </c>
      <c r="T3443" s="12" t="s">
        <v>49</v>
      </c>
      <c r="U3443" s="12" t="s">
        <v>403</v>
      </c>
      <c r="V3443" s="12" t="s">
        <v>665</v>
      </c>
      <c r="W3443" s="12" t="s">
        <v>455</v>
      </c>
      <c r="X3443" s="14"/>
      <c r="Y3443" s="14"/>
      <c r="Z3443" s="14"/>
      <c r="AA3443" s="14"/>
      <c r="AB3443" s="14"/>
      <c r="AC3443" s="15">
        <v>20.5</v>
      </c>
      <c r="AD3443" s="15">
        <f>AC3443*AG3443</f>
        <v>20.5</v>
      </c>
      <c r="AE3443" s="15">
        <v>45</v>
      </c>
      <c r="AF3443" s="15">
        <f>AE3443*AG3443</f>
        <v>45</v>
      </c>
      <c r="AG3443" s="16">
        <v>1</v>
      </c>
    </row>
    <row r="3444" spans="1:33" ht="15" customHeight="1" x14ac:dyDescent="0.2">
      <c r="A3444" s="11" t="str">
        <f t="shared" ref="A3444:A3445" si="1212">HYPERLINK("https://assets.vans.eu/images/VN000PNEFS8-HERO/1","VN000PNEFS81")</f>
        <v>VN000PNEFS81</v>
      </c>
      <c r="B3444" s="12" t="s">
        <v>12421</v>
      </c>
      <c r="C3444" s="12" t="s">
        <v>12422</v>
      </c>
      <c r="D3444" s="12" t="s">
        <v>239</v>
      </c>
      <c r="E3444" s="12" t="s">
        <v>12423</v>
      </c>
      <c r="F3444" s="12" t="s">
        <v>170</v>
      </c>
      <c r="G3444" s="14"/>
      <c r="H3444" s="12" t="s">
        <v>61</v>
      </c>
      <c r="I3444" s="12" t="s">
        <v>230</v>
      </c>
      <c r="J3444" s="12" t="s">
        <v>419</v>
      </c>
      <c r="K3444" s="12" t="s">
        <v>199</v>
      </c>
      <c r="L3444" s="14"/>
      <c r="M3444" s="12" t="s">
        <v>43</v>
      </c>
      <c r="N3444" s="12" t="s">
        <v>84</v>
      </c>
      <c r="O3444" s="12" t="s">
        <v>12424</v>
      </c>
      <c r="P3444" s="12" t="s">
        <v>66</v>
      </c>
      <c r="Q3444" s="12" t="s">
        <v>67</v>
      </c>
      <c r="R3444" s="12" t="s">
        <v>421</v>
      </c>
      <c r="S3444" s="13">
        <v>197804362585</v>
      </c>
      <c r="T3444" s="12" t="s">
        <v>49</v>
      </c>
      <c r="U3444" s="12" t="s">
        <v>170</v>
      </c>
      <c r="V3444" s="12" t="s">
        <v>665</v>
      </c>
      <c r="W3444" s="12" t="s">
        <v>175</v>
      </c>
      <c r="X3444" s="14"/>
      <c r="Y3444" s="14"/>
      <c r="Z3444" s="14"/>
      <c r="AA3444" s="14"/>
      <c r="AB3444" s="14"/>
      <c r="AC3444" s="15">
        <v>29.55</v>
      </c>
      <c r="AD3444" s="15">
        <f>AC3444*AG3444</f>
        <v>29.55</v>
      </c>
      <c r="AE3444" s="15">
        <v>65</v>
      </c>
      <c r="AF3444" s="15">
        <f>AE3444*AG3444</f>
        <v>65</v>
      </c>
      <c r="AG3444" s="16">
        <v>1</v>
      </c>
    </row>
    <row r="3445" spans="1:33" ht="15" customHeight="1" x14ac:dyDescent="0.2">
      <c r="A3445" s="11" t="str">
        <f t="shared" si="1212"/>
        <v>VN000PNEFS81</v>
      </c>
      <c r="B3445" s="12" t="s">
        <v>12425</v>
      </c>
      <c r="C3445" s="12" t="s">
        <v>12422</v>
      </c>
      <c r="D3445" s="12" t="s">
        <v>239</v>
      </c>
      <c r="E3445" s="12" t="s">
        <v>12426</v>
      </c>
      <c r="F3445" s="12" t="s">
        <v>403</v>
      </c>
      <c r="G3445" s="14"/>
      <c r="H3445" s="12" t="s">
        <v>61</v>
      </c>
      <c r="I3445" s="12" t="s">
        <v>230</v>
      </c>
      <c r="J3445" s="12" t="s">
        <v>419</v>
      </c>
      <c r="K3445" s="12" t="s">
        <v>199</v>
      </c>
      <c r="L3445" s="14"/>
      <c r="M3445" s="12" t="s">
        <v>43</v>
      </c>
      <c r="N3445" s="12" t="s">
        <v>84</v>
      </c>
      <c r="O3445" s="12" t="s">
        <v>12427</v>
      </c>
      <c r="P3445" s="12" t="s">
        <v>66</v>
      </c>
      <c r="Q3445" s="12" t="s">
        <v>67</v>
      </c>
      <c r="R3445" s="12" t="s">
        <v>421</v>
      </c>
      <c r="S3445" s="13">
        <v>197804362752</v>
      </c>
      <c r="T3445" s="12" t="s">
        <v>49</v>
      </c>
      <c r="U3445" s="12" t="s">
        <v>403</v>
      </c>
      <c r="V3445" s="12" t="s">
        <v>665</v>
      </c>
      <c r="W3445" s="12" t="s">
        <v>175</v>
      </c>
      <c r="X3445" s="14"/>
      <c r="Y3445" s="14"/>
      <c r="Z3445" s="14"/>
      <c r="AA3445" s="14"/>
      <c r="AB3445" s="14"/>
      <c r="AC3445" s="15">
        <v>29.55</v>
      </c>
      <c r="AD3445" s="15">
        <f>AC3445*AG3445</f>
        <v>29.55</v>
      </c>
      <c r="AE3445" s="15">
        <v>65</v>
      </c>
      <c r="AF3445" s="15">
        <f>AE3445*AG3445</f>
        <v>65</v>
      </c>
      <c r="AG3445" s="16">
        <v>1</v>
      </c>
    </row>
    <row r="3446" spans="1:33" ht="15" customHeight="1" x14ac:dyDescent="0.2">
      <c r="A3446" s="11" t="str">
        <f t="shared" si="932"/>
        <v>VN000PNGEMV1</v>
      </c>
      <c r="B3446" s="12" t="s">
        <v>12428</v>
      </c>
      <c r="C3446" s="12" t="s">
        <v>8545</v>
      </c>
      <c r="D3446" s="12" t="s">
        <v>1908</v>
      </c>
      <c r="E3446" s="12" t="s">
        <v>12429</v>
      </c>
      <c r="F3446" s="12" t="s">
        <v>170</v>
      </c>
      <c r="G3446" s="14"/>
      <c r="H3446" s="12" t="s">
        <v>61</v>
      </c>
      <c r="I3446" s="12" t="s">
        <v>230</v>
      </c>
      <c r="J3446" s="12" t="s">
        <v>419</v>
      </c>
      <c r="K3446" s="12" t="s">
        <v>199</v>
      </c>
      <c r="L3446" s="14"/>
      <c r="M3446" s="12" t="s">
        <v>43</v>
      </c>
      <c r="N3446" s="12" t="s">
        <v>84</v>
      </c>
      <c r="O3446" s="12" t="s">
        <v>12430</v>
      </c>
      <c r="P3446" s="12" t="s">
        <v>66</v>
      </c>
      <c r="Q3446" s="12" t="s">
        <v>67</v>
      </c>
      <c r="R3446" s="12" t="s">
        <v>421</v>
      </c>
      <c r="S3446" s="13">
        <v>197804362660</v>
      </c>
      <c r="T3446" s="12" t="s">
        <v>49</v>
      </c>
      <c r="U3446" s="12" t="s">
        <v>170</v>
      </c>
      <c r="V3446" s="12" t="s">
        <v>665</v>
      </c>
      <c r="W3446" s="12" t="s">
        <v>51</v>
      </c>
      <c r="X3446" s="14"/>
      <c r="Y3446" s="14"/>
      <c r="Z3446" s="14"/>
      <c r="AA3446" s="14"/>
      <c r="AB3446" s="14"/>
      <c r="AC3446" s="15">
        <v>19.100000000000001</v>
      </c>
      <c r="AD3446" s="15">
        <f>AC3446*AG3446</f>
        <v>19.100000000000001</v>
      </c>
      <c r="AE3446" s="15">
        <v>42</v>
      </c>
      <c r="AF3446" s="15">
        <f>AE3446*AG3446</f>
        <v>42</v>
      </c>
      <c r="AG3446" s="16">
        <v>1</v>
      </c>
    </row>
    <row r="3447" spans="1:33" ht="15" customHeight="1" x14ac:dyDescent="0.2">
      <c r="A3447" s="11" t="str">
        <f t="shared" ref="A3447:A3448" si="1213">HYPERLINK("https://assets.vans.eu/images/VN000PNGEMV-HERO/1","VN000PNGEMV1")</f>
        <v>VN000PNGEMV1</v>
      </c>
      <c r="B3447" s="12" t="s">
        <v>12431</v>
      </c>
      <c r="C3447" s="12" t="s">
        <v>8545</v>
      </c>
      <c r="D3447" s="12" t="s">
        <v>1908</v>
      </c>
      <c r="E3447" s="12" t="s">
        <v>12432</v>
      </c>
      <c r="F3447" s="12" t="s">
        <v>403</v>
      </c>
      <c r="G3447" s="14"/>
      <c r="H3447" s="12" t="s">
        <v>61</v>
      </c>
      <c r="I3447" s="12" t="s">
        <v>230</v>
      </c>
      <c r="J3447" s="12" t="s">
        <v>419</v>
      </c>
      <c r="K3447" s="12" t="s">
        <v>199</v>
      </c>
      <c r="L3447" s="14"/>
      <c r="M3447" s="12" t="s">
        <v>43</v>
      </c>
      <c r="N3447" s="12" t="s">
        <v>84</v>
      </c>
      <c r="O3447" s="12" t="s">
        <v>12433</v>
      </c>
      <c r="P3447" s="12" t="s">
        <v>66</v>
      </c>
      <c r="Q3447" s="12" t="s">
        <v>67</v>
      </c>
      <c r="R3447" s="12" t="s">
        <v>421</v>
      </c>
      <c r="S3447" s="13">
        <v>197804362929</v>
      </c>
      <c r="T3447" s="12" t="s">
        <v>49</v>
      </c>
      <c r="U3447" s="12" t="s">
        <v>403</v>
      </c>
      <c r="V3447" s="12" t="s">
        <v>665</v>
      </c>
      <c r="W3447" s="12" t="s">
        <v>51</v>
      </c>
      <c r="X3447" s="14"/>
      <c r="Y3447" s="14"/>
      <c r="Z3447" s="14"/>
      <c r="AA3447" s="14"/>
      <c r="AB3447" s="14"/>
      <c r="AC3447" s="15">
        <v>19.100000000000001</v>
      </c>
      <c r="AD3447" s="15">
        <f>AC3447*AG3447</f>
        <v>19.100000000000001</v>
      </c>
      <c r="AE3447" s="15">
        <v>42</v>
      </c>
      <c r="AF3447" s="15">
        <f>AE3447*AG3447</f>
        <v>42</v>
      </c>
      <c r="AG3447" s="16">
        <v>1</v>
      </c>
    </row>
    <row r="3448" spans="1:33" ht="15" customHeight="1" x14ac:dyDescent="0.2">
      <c r="A3448" s="11" t="str">
        <f t="shared" si="1213"/>
        <v>VN000PNGEMV1</v>
      </c>
      <c r="B3448" s="12" t="s">
        <v>12434</v>
      </c>
      <c r="C3448" s="12" t="s">
        <v>8545</v>
      </c>
      <c r="D3448" s="12" t="s">
        <v>1908</v>
      </c>
      <c r="E3448" s="12" t="s">
        <v>12435</v>
      </c>
      <c r="F3448" s="12" t="s">
        <v>60</v>
      </c>
      <c r="G3448" s="14"/>
      <c r="H3448" s="12" t="s">
        <v>61</v>
      </c>
      <c r="I3448" s="12" t="s">
        <v>230</v>
      </c>
      <c r="J3448" s="12" t="s">
        <v>419</v>
      </c>
      <c r="K3448" s="12" t="s">
        <v>199</v>
      </c>
      <c r="L3448" s="14"/>
      <c r="M3448" s="12" t="s">
        <v>43</v>
      </c>
      <c r="N3448" s="12" t="s">
        <v>84</v>
      </c>
      <c r="O3448" s="12" t="s">
        <v>12436</v>
      </c>
      <c r="P3448" s="12" t="s">
        <v>66</v>
      </c>
      <c r="Q3448" s="12" t="s">
        <v>67</v>
      </c>
      <c r="R3448" s="12" t="s">
        <v>421</v>
      </c>
      <c r="S3448" s="13">
        <v>197804362974</v>
      </c>
      <c r="T3448" s="12" t="s">
        <v>49</v>
      </c>
      <c r="U3448" s="12" t="s">
        <v>60</v>
      </c>
      <c r="V3448" s="12" t="s">
        <v>665</v>
      </c>
      <c r="W3448" s="12" t="s">
        <v>51</v>
      </c>
      <c r="X3448" s="14"/>
      <c r="Y3448" s="14"/>
      <c r="Z3448" s="14"/>
      <c r="AA3448" s="14"/>
      <c r="AB3448" s="14"/>
      <c r="AC3448" s="15">
        <v>19.100000000000001</v>
      </c>
      <c r="AD3448" s="15">
        <f>AC3448*AG3448</f>
        <v>19.100000000000001</v>
      </c>
      <c r="AE3448" s="15">
        <v>42</v>
      </c>
      <c r="AF3448" s="15">
        <f>AE3448*AG3448</f>
        <v>42</v>
      </c>
      <c r="AG3448" s="16">
        <v>1</v>
      </c>
    </row>
    <row r="3449" spans="1:33" ht="15" customHeight="1" x14ac:dyDescent="0.2">
      <c r="A3449" s="11" t="str">
        <f>HYPERLINK("https://assets.vans.eu/images/VN000PNJFS8-HERO/1","VN000PNJFS81")</f>
        <v>VN000PNJFS81</v>
      </c>
      <c r="B3449" s="12" t="s">
        <v>12437</v>
      </c>
      <c r="C3449" s="12" t="s">
        <v>12438</v>
      </c>
      <c r="D3449" s="12" t="s">
        <v>239</v>
      </c>
      <c r="E3449" s="12" t="s">
        <v>12439</v>
      </c>
      <c r="F3449" s="12" t="s">
        <v>153</v>
      </c>
      <c r="G3449" s="14"/>
      <c r="H3449" s="12" t="s">
        <v>61</v>
      </c>
      <c r="I3449" s="12" t="s">
        <v>230</v>
      </c>
      <c r="J3449" s="12" t="s">
        <v>419</v>
      </c>
      <c r="K3449" s="12" t="s">
        <v>199</v>
      </c>
      <c r="L3449" s="14"/>
      <c r="M3449" s="12" t="s">
        <v>43</v>
      </c>
      <c r="N3449" s="12" t="s">
        <v>84</v>
      </c>
      <c r="O3449" s="12" t="s">
        <v>12440</v>
      </c>
      <c r="P3449" s="12" t="s">
        <v>66</v>
      </c>
      <c r="Q3449" s="12" t="s">
        <v>67</v>
      </c>
      <c r="R3449" s="12" t="s">
        <v>421</v>
      </c>
      <c r="S3449" s="13">
        <v>197804610754</v>
      </c>
      <c r="T3449" s="12" t="s">
        <v>49</v>
      </c>
      <c r="U3449" s="12" t="s">
        <v>153</v>
      </c>
      <c r="V3449" s="12" t="s">
        <v>665</v>
      </c>
      <c r="W3449" s="12" t="s">
        <v>175</v>
      </c>
      <c r="X3449" s="14"/>
      <c r="Y3449" s="14"/>
      <c r="Z3449" s="14"/>
      <c r="AA3449" s="14"/>
      <c r="AB3449" s="14"/>
      <c r="AC3449" s="15">
        <v>19.100000000000001</v>
      </c>
      <c r="AD3449" s="15">
        <f>AC3449*AG3449</f>
        <v>19.100000000000001</v>
      </c>
      <c r="AE3449" s="15">
        <v>42</v>
      </c>
      <c r="AF3449" s="15">
        <f>AE3449*AG3449</f>
        <v>42</v>
      </c>
      <c r="AG3449" s="16">
        <v>1</v>
      </c>
    </row>
    <row r="3450" spans="1:33" ht="15" customHeight="1" x14ac:dyDescent="0.2">
      <c r="A3450" s="11" t="str">
        <f>HYPERLINK("https://assets.vans.eu/images/VN000PNKEMJ-HERO/1","VN000PNKEMJ1")</f>
        <v>VN000PNKEMJ1</v>
      </c>
      <c r="B3450" s="12" t="s">
        <v>12441</v>
      </c>
      <c r="C3450" s="12" t="s">
        <v>4214</v>
      </c>
      <c r="D3450" s="12" t="s">
        <v>768</v>
      </c>
      <c r="E3450" s="12" t="s">
        <v>12442</v>
      </c>
      <c r="F3450" s="12" t="s">
        <v>170</v>
      </c>
      <c r="G3450" s="14"/>
      <c r="H3450" s="12" t="s">
        <v>61</v>
      </c>
      <c r="I3450" s="12" t="s">
        <v>230</v>
      </c>
      <c r="J3450" s="12" t="s">
        <v>419</v>
      </c>
      <c r="K3450" s="12" t="s">
        <v>199</v>
      </c>
      <c r="L3450" s="14"/>
      <c r="M3450" s="12" t="s">
        <v>43</v>
      </c>
      <c r="N3450" s="12" t="s">
        <v>84</v>
      </c>
      <c r="O3450" s="12" t="s">
        <v>12443</v>
      </c>
      <c r="P3450" s="12" t="s">
        <v>66</v>
      </c>
      <c r="Q3450" s="12" t="s">
        <v>67</v>
      </c>
      <c r="R3450" s="12" t="s">
        <v>421</v>
      </c>
      <c r="S3450" s="13">
        <v>197804362745</v>
      </c>
      <c r="T3450" s="12" t="s">
        <v>49</v>
      </c>
      <c r="U3450" s="12" t="s">
        <v>170</v>
      </c>
      <c r="V3450" s="12" t="s">
        <v>665</v>
      </c>
      <c r="W3450" s="12" t="s">
        <v>625</v>
      </c>
      <c r="X3450" s="14"/>
      <c r="Y3450" s="14"/>
      <c r="Z3450" s="14"/>
      <c r="AA3450" s="14"/>
      <c r="AB3450" s="14"/>
      <c r="AC3450" s="15">
        <v>19.100000000000001</v>
      </c>
      <c r="AD3450" s="15">
        <f>AC3450*AG3450</f>
        <v>19.100000000000001</v>
      </c>
      <c r="AE3450" s="15">
        <v>42</v>
      </c>
      <c r="AF3450" s="15">
        <f>AE3450*AG3450</f>
        <v>42</v>
      </c>
      <c r="AG3450" s="16">
        <v>1</v>
      </c>
    </row>
    <row r="3451" spans="1:33" ht="15" customHeight="1" x14ac:dyDescent="0.2">
      <c r="A3451" s="11" t="str">
        <f>HYPERLINK("https://assets.vans.eu/images/VN000PNMEMT-HERO/1","VN000PNMEMT1")</f>
        <v>VN000PNMEMT1</v>
      </c>
      <c r="B3451" s="12" t="s">
        <v>12444</v>
      </c>
      <c r="C3451" s="12" t="s">
        <v>12445</v>
      </c>
      <c r="D3451" s="12" t="s">
        <v>5149</v>
      </c>
      <c r="E3451" s="12" t="s">
        <v>12446</v>
      </c>
      <c r="F3451" s="12" t="s">
        <v>179</v>
      </c>
      <c r="G3451" s="14"/>
      <c r="H3451" s="12" t="s">
        <v>61</v>
      </c>
      <c r="I3451" s="12" t="s">
        <v>230</v>
      </c>
      <c r="J3451" s="12" t="s">
        <v>419</v>
      </c>
      <c r="K3451" s="12" t="s">
        <v>199</v>
      </c>
      <c r="L3451" s="14"/>
      <c r="M3451" s="12" t="s">
        <v>43</v>
      </c>
      <c r="N3451" s="12" t="s">
        <v>84</v>
      </c>
      <c r="O3451" s="12" t="s">
        <v>12447</v>
      </c>
      <c r="P3451" s="12" t="s">
        <v>66</v>
      </c>
      <c r="Q3451" s="12" t="s">
        <v>67</v>
      </c>
      <c r="R3451" s="12" t="s">
        <v>421</v>
      </c>
      <c r="S3451" s="13">
        <v>197804362592</v>
      </c>
      <c r="T3451" s="12" t="s">
        <v>49</v>
      </c>
      <c r="U3451" s="12" t="s">
        <v>179</v>
      </c>
      <c r="V3451" s="12" t="s">
        <v>665</v>
      </c>
      <c r="W3451" s="12" t="s">
        <v>284</v>
      </c>
      <c r="X3451" s="14"/>
      <c r="Y3451" s="14"/>
      <c r="Z3451" s="14"/>
      <c r="AA3451" s="14"/>
      <c r="AB3451" s="14"/>
      <c r="AC3451" s="15">
        <v>19.100000000000001</v>
      </c>
      <c r="AD3451" s="15">
        <f>AC3451*AG3451</f>
        <v>19.100000000000001</v>
      </c>
      <c r="AE3451" s="15">
        <v>42</v>
      </c>
      <c r="AF3451" s="15">
        <f>AE3451*AG3451</f>
        <v>42</v>
      </c>
      <c r="AG3451" s="16">
        <v>1</v>
      </c>
    </row>
    <row r="3452" spans="1:33" ht="15" customHeight="1" x14ac:dyDescent="0.2">
      <c r="A3452" s="11" t="str">
        <f>HYPERLINK("https://assets.vans.eu/images/VN000PPFEN9-HERO/1","VN000PPFEN91")</f>
        <v>VN000PPFEN91</v>
      </c>
      <c r="B3452" s="12" t="s">
        <v>12448</v>
      </c>
      <c r="C3452" s="12" t="s">
        <v>12449</v>
      </c>
      <c r="D3452" s="12" t="s">
        <v>982</v>
      </c>
      <c r="E3452" s="12" t="s">
        <v>12450</v>
      </c>
      <c r="F3452" s="12" t="s">
        <v>403</v>
      </c>
      <c r="G3452" s="14"/>
      <c r="H3452" s="12" t="s">
        <v>61</v>
      </c>
      <c r="I3452" s="12" t="s">
        <v>62</v>
      </c>
      <c r="J3452" s="12" t="s">
        <v>63</v>
      </c>
      <c r="K3452" s="12" t="s">
        <v>1022</v>
      </c>
      <c r="L3452" s="14"/>
      <c r="M3452" s="12" t="s">
        <v>43</v>
      </c>
      <c r="N3452" s="12" t="s">
        <v>84</v>
      </c>
      <c r="O3452" s="12" t="s">
        <v>12451</v>
      </c>
      <c r="P3452" s="12" t="s">
        <v>66</v>
      </c>
      <c r="Q3452" s="12" t="s">
        <v>67</v>
      </c>
      <c r="R3452" s="12" t="s">
        <v>730</v>
      </c>
      <c r="S3452" s="13">
        <v>197804363155</v>
      </c>
      <c r="T3452" s="12" t="s">
        <v>709</v>
      </c>
      <c r="U3452" s="12" t="s">
        <v>403</v>
      </c>
      <c r="V3452" s="12" t="s">
        <v>710</v>
      </c>
      <c r="W3452" s="12" t="s">
        <v>455</v>
      </c>
      <c r="X3452" s="14"/>
      <c r="Y3452" s="14"/>
      <c r="Z3452" s="14"/>
      <c r="AA3452" s="14"/>
      <c r="AB3452" s="14"/>
      <c r="AC3452" s="15">
        <v>25</v>
      </c>
      <c r="AD3452" s="15">
        <f>AC3452*AG3452</f>
        <v>25</v>
      </c>
      <c r="AE3452" s="15">
        <v>55</v>
      </c>
      <c r="AF3452" s="15">
        <f>AE3452*AG3452</f>
        <v>55</v>
      </c>
      <c r="AG3452" s="16">
        <v>1</v>
      </c>
    </row>
    <row r="3453" spans="1:33" ht="15" customHeight="1" x14ac:dyDescent="0.2">
      <c r="A3453" s="11" t="str">
        <f t="shared" si="933"/>
        <v>VN000PPKEMP1</v>
      </c>
      <c r="B3453" s="12" t="s">
        <v>12452</v>
      </c>
      <c r="C3453" s="12" t="s">
        <v>8552</v>
      </c>
      <c r="D3453" s="12" t="s">
        <v>704</v>
      </c>
      <c r="E3453" s="12" t="s">
        <v>12453</v>
      </c>
      <c r="F3453" s="12" t="s">
        <v>170</v>
      </c>
      <c r="G3453" s="14"/>
      <c r="H3453" s="12" t="s">
        <v>61</v>
      </c>
      <c r="I3453" s="12" t="s">
        <v>62</v>
      </c>
      <c r="J3453" s="12" t="s">
        <v>63</v>
      </c>
      <c r="K3453" s="12" t="s">
        <v>1022</v>
      </c>
      <c r="L3453" s="14"/>
      <c r="M3453" s="12" t="s">
        <v>43</v>
      </c>
      <c r="N3453" s="12" t="s">
        <v>84</v>
      </c>
      <c r="O3453" s="12" t="s">
        <v>12454</v>
      </c>
      <c r="P3453" s="12" t="s">
        <v>66</v>
      </c>
      <c r="Q3453" s="12" t="s">
        <v>67</v>
      </c>
      <c r="R3453" s="12" t="s">
        <v>730</v>
      </c>
      <c r="S3453" s="13">
        <v>197804363209</v>
      </c>
      <c r="T3453" s="12" t="s">
        <v>709</v>
      </c>
      <c r="U3453" s="12" t="s">
        <v>170</v>
      </c>
      <c r="V3453" s="12" t="s">
        <v>710</v>
      </c>
      <c r="W3453" s="12" t="s">
        <v>186</v>
      </c>
      <c r="X3453" s="14"/>
      <c r="Y3453" s="14"/>
      <c r="Z3453" s="14"/>
      <c r="AA3453" s="14"/>
      <c r="AB3453" s="14"/>
      <c r="AC3453" s="15">
        <v>31.85</v>
      </c>
      <c r="AD3453" s="15">
        <f>AC3453*AG3453</f>
        <v>31.85</v>
      </c>
      <c r="AE3453" s="15">
        <v>70</v>
      </c>
      <c r="AF3453" s="15">
        <f>AE3453*AG3453</f>
        <v>70</v>
      </c>
      <c r="AG3453" s="16">
        <v>1</v>
      </c>
    </row>
    <row r="3454" spans="1:33" ht="15" customHeight="1" x14ac:dyDescent="0.2">
      <c r="A3454" s="11" t="str">
        <f>HYPERLINK("https://assets.vans.eu/images/VN000PPMBLK-HERO/1","VN000PPMBLK1")</f>
        <v>VN000PPMBLK1</v>
      </c>
      <c r="B3454" s="12" t="s">
        <v>12455</v>
      </c>
      <c r="C3454" s="12" t="s">
        <v>1649</v>
      </c>
      <c r="D3454" s="12" t="s">
        <v>76</v>
      </c>
      <c r="E3454" s="12" t="s">
        <v>12456</v>
      </c>
      <c r="F3454" s="12" t="s">
        <v>170</v>
      </c>
      <c r="G3454" s="14"/>
      <c r="H3454" s="12" t="s">
        <v>61</v>
      </c>
      <c r="I3454" s="12" t="s">
        <v>62</v>
      </c>
      <c r="J3454" s="12" t="s">
        <v>63</v>
      </c>
      <c r="K3454" s="12" t="s">
        <v>1022</v>
      </c>
      <c r="L3454" s="14"/>
      <c r="M3454" s="12" t="s">
        <v>43</v>
      </c>
      <c r="N3454" s="12" t="s">
        <v>84</v>
      </c>
      <c r="O3454" s="12" t="s">
        <v>12457</v>
      </c>
      <c r="P3454" s="12" t="s">
        <v>66</v>
      </c>
      <c r="Q3454" s="12" t="s">
        <v>67</v>
      </c>
      <c r="R3454" s="12" t="s">
        <v>730</v>
      </c>
      <c r="S3454" s="13">
        <v>197804363223</v>
      </c>
      <c r="T3454" s="12" t="s">
        <v>709</v>
      </c>
      <c r="U3454" s="12" t="s">
        <v>170</v>
      </c>
      <c r="V3454" s="12" t="s">
        <v>710</v>
      </c>
      <c r="W3454" s="12" t="s">
        <v>51</v>
      </c>
      <c r="X3454" s="14"/>
      <c r="Y3454" s="14"/>
      <c r="Z3454" s="14"/>
      <c r="AA3454" s="14"/>
      <c r="AB3454" s="14"/>
      <c r="AC3454" s="15">
        <v>31.85</v>
      </c>
      <c r="AD3454" s="15">
        <f>AC3454*AG3454</f>
        <v>31.85</v>
      </c>
      <c r="AE3454" s="15">
        <v>70</v>
      </c>
      <c r="AF3454" s="15">
        <f>AE3454*AG3454</f>
        <v>70</v>
      </c>
      <c r="AG3454" s="16">
        <v>1</v>
      </c>
    </row>
    <row r="3455" spans="1:33" ht="15" customHeight="1" x14ac:dyDescent="0.2">
      <c r="A3455" s="11" t="str">
        <f t="shared" si="934"/>
        <v>VN000PPUEN71</v>
      </c>
      <c r="B3455" s="12" t="s">
        <v>12458</v>
      </c>
      <c r="C3455" s="12" t="s">
        <v>6711</v>
      </c>
      <c r="D3455" s="12" t="s">
        <v>295</v>
      </c>
      <c r="E3455" s="12" t="s">
        <v>12459</v>
      </c>
      <c r="F3455" s="12" t="s">
        <v>60</v>
      </c>
      <c r="G3455" s="14"/>
      <c r="H3455" s="12" t="s">
        <v>61</v>
      </c>
      <c r="I3455" s="12" t="s">
        <v>62</v>
      </c>
      <c r="J3455" s="12" t="s">
        <v>63</v>
      </c>
      <c r="K3455" s="12" t="s">
        <v>1022</v>
      </c>
      <c r="L3455" s="14"/>
      <c r="M3455" s="12" t="s">
        <v>43</v>
      </c>
      <c r="N3455" s="12" t="s">
        <v>84</v>
      </c>
      <c r="O3455" s="12" t="s">
        <v>12460</v>
      </c>
      <c r="P3455" s="12" t="s">
        <v>66</v>
      </c>
      <c r="Q3455" s="12" t="s">
        <v>67</v>
      </c>
      <c r="R3455" s="12" t="s">
        <v>730</v>
      </c>
      <c r="S3455" s="13">
        <v>197804363407</v>
      </c>
      <c r="T3455" s="12" t="s">
        <v>709</v>
      </c>
      <c r="U3455" s="12" t="s">
        <v>60</v>
      </c>
      <c r="V3455" s="12" t="s">
        <v>710</v>
      </c>
      <c r="W3455" s="12" t="s">
        <v>299</v>
      </c>
      <c r="X3455" s="14"/>
      <c r="Y3455" s="14"/>
      <c r="Z3455" s="14"/>
      <c r="AA3455" s="14"/>
      <c r="AB3455" s="14"/>
      <c r="AC3455" s="15">
        <v>27.3</v>
      </c>
      <c r="AD3455" s="15">
        <f>AC3455*AG3455</f>
        <v>27.3</v>
      </c>
      <c r="AE3455" s="15">
        <v>60</v>
      </c>
      <c r="AF3455" s="15">
        <f>AE3455*AG3455</f>
        <v>60</v>
      </c>
      <c r="AG3455" s="16">
        <v>1</v>
      </c>
    </row>
    <row r="3456" spans="1:33" ht="15" customHeight="1" x14ac:dyDescent="0.2">
      <c r="A3456" s="11" t="str">
        <f>HYPERLINK("https://assets.vans.eu/images/VN000PPZY7J-HERO/1","VN000PPZY7J1")</f>
        <v>VN000PPZY7J1</v>
      </c>
      <c r="B3456" s="12" t="s">
        <v>12461</v>
      </c>
      <c r="C3456" s="12" t="s">
        <v>12462</v>
      </c>
      <c r="D3456" s="12" t="s">
        <v>4151</v>
      </c>
      <c r="E3456" s="12" t="s">
        <v>12463</v>
      </c>
      <c r="F3456" s="13">
        <v>7</v>
      </c>
      <c r="G3456" s="14"/>
      <c r="H3456" s="12" t="s">
        <v>61</v>
      </c>
      <c r="I3456" s="12" t="s">
        <v>62</v>
      </c>
      <c r="J3456" s="12" t="s">
        <v>972</v>
      </c>
      <c r="K3456" s="12" t="s">
        <v>1022</v>
      </c>
      <c r="L3456" s="14"/>
      <c r="M3456" s="12" t="s">
        <v>43</v>
      </c>
      <c r="N3456" s="12" t="s">
        <v>84</v>
      </c>
      <c r="O3456" s="12" t="s">
        <v>12464</v>
      </c>
      <c r="P3456" s="12" t="s">
        <v>66</v>
      </c>
      <c r="Q3456" s="12" t="s">
        <v>233</v>
      </c>
      <c r="R3456" s="12" t="s">
        <v>974</v>
      </c>
      <c r="S3456" s="13">
        <v>197804389148</v>
      </c>
      <c r="T3456" s="12" t="s">
        <v>235</v>
      </c>
      <c r="U3456" s="13">
        <v>7</v>
      </c>
      <c r="V3456" s="12" t="s">
        <v>665</v>
      </c>
      <c r="W3456" s="12" t="s">
        <v>455</v>
      </c>
      <c r="X3456" s="14"/>
      <c r="Y3456" s="14"/>
      <c r="Z3456" s="14"/>
      <c r="AA3456" s="14"/>
      <c r="AB3456" s="14"/>
      <c r="AC3456" s="15">
        <v>29.55</v>
      </c>
      <c r="AD3456" s="15">
        <f>AC3456*AG3456</f>
        <v>29.55</v>
      </c>
      <c r="AE3456" s="15">
        <v>65</v>
      </c>
      <c r="AF3456" s="15">
        <f>AE3456*AG3456</f>
        <v>65</v>
      </c>
      <c r="AG3456" s="16">
        <v>1</v>
      </c>
    </row>
    <row r="3457" spans="1:33" ht="15" customHeight="1" x14ac:dyDescent="0.2">
      <c r="A3457" s="11" t="str">
        <f>HYPERLINK("https://assets.vans.eu/images/VN000PQHE90-HERO/1","VN000PQHE901")</f>
        <v>VN000PQHE901</v>
      </c>
      <c r="B3457" s="12" t="s">
        <v>12465</v>
      </c>
      <c r="C3457" s="12" t="s">
        <v>2921</v>
      </c>
      <c r="D3457" s="12" t="s">
        <v>2922</v>
      </c>
      <c r="E3457" s="12" t="s">
        <v>12466</v>
      </c>
      <c r="F3457" s="13">
        <v>32</v>
      </c>
      <c r="G3457" s="14"/>
      <c r="H3457" s="12" t="s">
        <v>61</v>
      </c>
      <c r="I3457" s="12" t="s">
        <v>230</v>
      </c>
      <c r="J3457" s="12" t="s">
        <v>231</v>
      </c>
      <c r="K3457" s="12" t="s">
        <v>199</v>
      </c>
      <c r="L3457" s="14"/>
      <c r="M3457" s="12" t="s">
        <v>43</v>
      </c>
      <c r="N3457" s="12" t="s">
        <v>84</v>
      </c>
      <c r="O3457" s="12" t="s">
        <v>12467</v>
      </c>
      <c r="P3457" s="12" t="s">
        <v>66</v>
      </c>
      <c r="Q3457" s="12" t="s">
        <v>233</v>
      </c>
      <c r="R3457" s="12" t="s">
        <v>361</v>
      </c>
      <c r="S3457" s="13">
        <v>197804582730</v>
      </c>
      <c r="T3457" s="12" t="s">
        <v>235</v>
      </c>
      <c r="U3457" s="13">
        <v>32</v>
      </c>
      <c r="V3457" s="12" t="s">
        <v>665</v>
      </c>
      <c r="W3457" s="12" t="s">
        <v>598</v>
      </c>
      <c r="X3457" s="14"/>
      <c r="Y3457" s="14"/>
      <c r="Z3457" s="14"/>
      <c r="AA3457" s="14"/>
      <c r="AB3457" s="14"/>
      <c r="AC3457" s="15">
        <v>36.4</v>
      </c>
      <c r="AD3457" s="15">
        <f>AC3457*AG3457</f>
        <v>36.4</v>
      </c>
      <c r="AE3457" s="15">
        <v>80</v>
      </c>
      <c r="AF3457" s="15">
        <f>AE3457*AG3457</f>
        <v>80</v>
      </c>
      <c r="AG3457" s="16">
        <v>1</v>
      </c>
    </row>
    <row r="3458" spans="1:33" ht="15" customHeight="1" x14ac:dyDescent="0.2">
      <c r="A3458" s="11" t="str">
        <f>HYPERLINK("https://assets.vans.eu/images/VN000PQHE90-HERO/1","VN000PQHE901")</f>
        <v>VN000PQHE901</v>
      </c>
      <c r="B3458" s="12" t="s">
        <v>12468</v>
      </c>
      <c r="C3458" s="12" t="s">
        <v>2921</v>
      </c>
      <c r="D3458" s="12" t="s">
        <v>2922</v>
      </c>
      <c r="E3458" s="12" t="s">
        <v>12469</v>
      </c>
      <c r="F3458" s="13">
        <v>34</v>
      </c>
      <c r="G3458" s="14"/>
      <c r="H3458" s="12" t="s">
        <v>61</v>
      </c>
      <c r="I3458" s="12" t="s">
        <v>230</v>
      </c>
      <c r="J3458" s="12" t="s">
        <v>231</v>
      </c>
      <c r="K3458" s="12" t="s">
        <v>199</v>
      </c>
      <c r="L3458" s="14"/>
      <c r="M3458" s="12" t="s">
        <v>43</v>
      </c>
      <c r="N3458" s="12" t="s">
        <v>84</v>
      </c>
      <c r="O3458" s="12" t="s">
        <v>12470</v>
      </c>
      <c r="P3458" s="12" t="s">
        <v>66</v>
      </c>
      <c r="Q3458" s="12" t="s">
        <v>233</v>
      </c>
      <c r="R3458" s="12" t="s">
        <v>361</v>
      </c>
      <c r="S3458" s="13">
        <v>197804583249</v>
      </c>
      <c r="T3458" s="12" t="s">
        <v>235</v>
      </c>
      <c r="U3458" s="13">
        <v>34</v>
      </c>
      <c r="V3458" s="12" t="s">
        <v>665</v>
      </c>
      <c r="W3458" s="12" t="s">
        <v>598</v>
      </c>
      <c r="X3458" s="14"/>
      <c r="Y3458" s="14"/>
      <c r="Z3458" s="14"/>
      <c r="AA3458" s="14"/>
      <c r="AB3458" s="14"/>
      <c r="AC3458" s="15">
        <v>36.4</v>
      </c>
      <c r="AD3458" s="15">
        <f>AC3458*AG3458</f>
        <v>36.4</v>
      </c>
      <c r="AE3458" s="15">
        <v>80</v>
      </c>
      <c r="AF3458" s="15">
        <f>AE3458*AG3458</f>
        <v>80</v>
      </c>
      <c r="AG3458" s="16">
        <v>1</v>
      </c>
    </row>
    <row r="3459" spans="1:33" ht="15" customHeight="1" x14ac:dyDescent="0.2">
      <c r="A3459" s="11" t="str">
        <f t="shared" si="728"/>
        <v>VN000PQWBLK1</v>
      </c>
      <c r="B3459" s="12" t="s">
        <v>12471</v>
      </c>
      <c r="C3459" s="12" t="s">
        <v>4766</v>
      </c>
      <c r="D3459" s="12" t="s">
        <v>76</v>
      </c>
      <c r="E3459" s="12" t="s">
        <v>12472</v>
      </c>
      <c r="F3459" s="12" t="s">
        <v>170</v>
      </c>
      <c r="G3459" s="14"/>
      <c r="H3459" s="12" t="s">
        <v>61</v>
      </c>
      <c r="I3459" s="12" t="s">
        <v>289</v>
      </c>
      <c r="J3459" s="12" t="s">
        <v>706</v>
      </c>
      <c r="K3459" s="12" t="s">
        <v>100</v>
      </c>
      <c r="L3459" s="14"/>
      <c r="M3459" s="12" t="s">
        <v>43</v>
      </c>
      <c r="N3459" s="12" t="s">
        <v>84</v>
      </c>
      <c r="O3459" s="12" t="s">
        <v>12473</v>
      </c>
      <c r="P3459" s="12" t="s">
        <v>66</v>
      </c>
      <c r="Q3459" s="12" t="s">
        <v>67</v>
      </c>
      <c r="R3459" s="12" t="s">
        <v>1146</v>
      </c>
      <c r="S3459" s="13">
        <v>197804611409</v>
      </c>
      <c r="T3459" s="12" t="s">
        <v>709</v>
      </c>
      <c r="U3459" s="12" t="s">
        <v>170</v>
      </c>
      <c r="V3459" s="12" t="s">
        <v>665</v>
      </c>
      <c r="W3459" s="12" t="s">
        <v>51</v>
      </c>
      <c r="X3459" s="14"/>
      <c r="Y3459" s="14"/>
      <c r="Z3459" s="14"/>
      <c r="AA3459" s="14"/>
      <c r="AB3459" s="14"/>
      <c r="AC3459" s="15">
        <v>13.65</v>
      </c>
      <c r="AD3459" s="15">
        <f>AC3459*AG3459</f>
        <v>13.65</v>
      </c>
      <c r="AE3459" s="15">
        <v>30</v>
      </c>
      <c r="AF3459" s="15">
        <f>AE3459*AG3459</f>
        <v>30</v>
      </c>
      <c r="AG3459" s="16">
        <v>1</v>
      </c>
    </row>
    <row r="3460" spans="1:33" ht="15" customHeight="1" x14ac:dyDescent="0.2">
      <c r="A3460" s="11" t="str">
        <f>HYPERLINK("https://assets.vans.eu/images/VN000PQWEMF-HERO/1","VN000PQWEMF1")</f>
        <v>VN000PQWEMF1</v>
      </c>
      <c r="B3460" s="12" t="s">
        <v>12474</v>
      </c>
      <c r="C3460" s="12" t="s">
        <v>4766</v>
      </c>
      <c r="D3460" s="12" t="s">
        <v>1282</v>
      </c>
      <c r="E3460" s="12" t="s">
        <v>12475</v>
      </c>
      <c r="F3460" s="12" t="s">
        <v>60</v>
      </c>
      <c r="G3460" s="14"/>
      <c r="H3460" s="12" t="s">
        <v>61</v>
      </c>
      <c r="I3460" s="12" t="s">
        <v>289</v>
      </c>
      <c r="J3460" s="12" t="s">
        <v>706</v>
      </c>
      <c r="K3460" s="12" t="s">
        <v>100</v>
      </c>
      <c r="L3460" s="14"/>
      <c r="M3460" s="12" t="s">
        <v>43</v>
      </c>
      <c r="N3460" s="12" t="s">
        <v>84</v>
      </c>
      <c r="O3460" s="12" t="s">
        <v>12476</v>
      </c>
      <c r="P3460" s="12" t="s">
        <v>66</v>
      </c>
      <c r="Q3460" s="12" t="s">
        <v>67</v>
      </c>
      <c r="R3460" s="12" t="s">
        <v>1146</v>
      </c>
      <c r="S3460" s="13">
        <v>197804611706</v>
      </c>
      <c r="T3460" s="12" t="s">
        <v>709</v>
      </c>
      <c r="U3460" s="12" t="s">
        <v>60</v>
      </c>
      <c r="V3460" s="12" t="s">
        <v>665</v>
      </c>
      <c r="W3460" s="12" t="s">
        <v>118</v>
      </c>
      <c r="X3460" s="14"/>
      <c r="Y3460" s="14"/>
      <c r="Z3460" s="14"/>
      <c r="AA3460" s="14"/>
      <c r="AB3460" s="14"/>
      <c r="AC3460" s="15">
        <v>13.65</v>
      </c>
      <c r="AD3460" s="15">
        <f>AC3460*AG3460</f>
        <v>13.65</v>
      </c>
      <c r="AE3460" s="15">
        <v>30</v>
      </c>
      <c r="AF3460" s="15">
        <f>AE3460*AG3460</f>
        <v>30</v>
      </c>
      <c r="AG3460" s="16">
        <v>1</v>
      </c>
    </row>
    <row r="3461" spans="1:33" ht="15" customHeight="1" x14ac:dyDescent="0.2">
      <c r="A3461" s="11" t="str">
        <f>HYPERLINK("https://assets.vans.eu/images/VN000PR2BLK-HERO/1","VN000PR2BLK1")</f>
        <v>VN000PR2BLK1</v>
      </c>
      <c r="B3461" s="12" t="s">
        <v>12477</v>
      </c>
      <c r="C3461" s="12" t="s">
        <v>6727</v>
      </c>
      <c r="D3461" s="12" t="s">
        <v>76</v>
      </c>
      <c r="E3461" s="12" t="s">
        <v>12478</v>
      </c>
      <c r="F3461" s="12" t="s">
        <v>179</v>
      </c>
      <c r="G3461" s="14"/>
      <c r="H3461" s="12" t="s">
        <v>61</v>
      </c>
      <c r="I3461" s="12" t="s">
        <v>289</v>
      </c>
      <c r="J3461" s="12" t="s">
        <v>706</v>
      </c>
      <c r="K3461" s="12" t="s">
        <v>100</v>
      </c>
      <c r="L3461" s="14"/>
      <c r="M3461" s="12" t="s">
        <v>43</v>
      </c>
      <c r="N3461" s="12" t="s">
        <v>84</v>
      </c>
      <c r="O3461" s="12" t="s">
        <v>12479</v>
      </c>
      <c r="P3461" s="12" t="s">
        <v>66</v>
      </c>
      <c r="Q3461" s="12" t="s">
        <v>67</v>
      </c>
      <c r="R3461" s="12" t="s">
        <v>1146</v>
      </c>
      <c r="S3461" s="13">
        <v>197804611294</v>
      </c>
      <c r="T3461" s="12" t="s">
        <v>709</v>
      </c>
      <c r="U3461" s="12" t="s">
        <v>179</v>
      </c>
      <c r="V3461" s="12" t="s">
        <v>665</v>
      </c>
      <c r="W3461" s="12" t="s">
        <v>51</v>
      </c>
      <c r="X3461" s="14"/>
      <c r="Y3461" s="14"/>
      <c r="Z3461" s="14"/>
      <c r="AA3461" s="14"/>
      <c r="AB3461" s="14"/>
      <c r="AC3461" s="15">
        <v>15.95</v>
      </c>
      <c r="AD3461" s="15">
        <f>AC3461*AG3461</f>
        <v>15.95</v>
      </c>
      <c r="AE3461" s="15">
        <v>35</v>
      </c>
      <c r="AF3461" s="15">
        <f>AE3461*AG3461</f>
        <v>35</v>
      </c>
      <c r="AG3461" s="16">
        <v>1</v>
      </c>
    </row>
    <row r="3462" spans="1:33" ht="15" customHeight="1" x14ac:dyDescent="0.2">
      <c r="A3462" s="11" t="str">
        <f t="shared" si="935"/>
        <v>VN000PR3BLK1</v>
      </c>
      <c r="B3462" s="12" t="s">
        <v>12480</v>
      </c>
      <c r="C3462" s="12" t="s">
        <v>2926</v>
      </c>
      <c r="D3462" s="12" t="s">
        <v>76</v>
      </c>
      <c r="E3462" s="12" t="s">
        <v>12481</v>
      </c>
      <c r="F3462" s="12" t="s">
        <v>153</v>
      </c>
      <c r="G3462" s="14"/>
      <c r="H3462" s="12" t="s">
        <v>61</v>
      </c>
      <c r="I3462" s="12" t="s">
        <v>289</v>
      </c>
      <c r="J3462" s="12" t="s">
        <v>706</v>
      </c>
      <c r="K3462" s="12" t="s">
        <v>100</v>
      </c>
      <c r="L3462" s="14"/>
      <c r="M3462" s="12" t="s">
        <v>43</v>
      </c>
      <c r="N3462" s="12" t="s">
        <v>84</v>
      </c>
      <c r="O3462" s="12" t="s">
        <v>12482</v>
      </c>
      <c r="P3462" s="12" t="s">
        <v>66</v>
      </c>
      <c r="Q3462" s="12" t="s">
        <v>67</v>
      </c>
      <c r="R3462" s="12" t="s">
        <v>1146</v>
      </c>
      <c r="S3462" s="13">
        <v>197804393671</v>
      </c>
      <c r="T3462" s="12" t="s">
        <v>709</v>
      </c>
      <c r="U3462" s="12" t="s">
        <v>153</v>
      </c>
      <c r="V3462" s="12" t="s">
        <v>665</v>
      </c>
      <c r="W3462" s="12" t="s">
        <v>51</v>
      </c>
      <c r="X3462" s="14"/>
      <c r="Y3462" s="14"/>
      <c r="Z3462" s="14"/>
      <c r="AA3462" s="14"/>
      <c r="AB3462" s="14"/>
      <c r="AC3462" s="15">
        <v>15.95</v>
      </c>
      <c r="AD3462" s="15">
        <f>AC3462*AG3462</f>
        <v>15.95</v>
      </c>
      <c r="AE3462" s="15">
        <v>35</v>
      </c>
      <c r="AF3462" s="15">
        <f>AE3462*AG3462</f>
        <v>35</v>
      </c>
      <c r="AG3462" s="16">
        <v>1</v>
      </c>
    </row>
    <row r="3463" spans="1:33" ht="15" customHeight="1" x14ac:dyDescent="0.2">
      <c r="A3463" s="11" t="str">
        <f t="shared" si="731"/>
        <v>VN000PR3EN91</v>
      </c>
      <c r="B3463" s="12" t="s">
        <v>12483</v>
      </c>
      <c r="C3463" s="12" t="s">
        <v>2926</v>
      </c>
      <c r="D3463" s="12" t="s">
        <v>982</v>
      </c>
      <c r="E3463" s="12" t="s">
        <v>12484</v>
      </c>
      <c r="F3463" s="12" t="s">
        <v>153</v>
      </c>
      <c r="G3463" s="14"/>
      <c r="H3463" s="12" t="s">
        <v>61</v>
      </c>
      <c r="I3463" s="12" t="s">
        <v>289</v>
      </c>
      <c r="J3463" s="12" t="s">
        <v>706</v>
      </c>
      <c r="K3463" s="12" t="s">
        <v>100</v>
      </c>
      <c r="L3463" s="14"/>
      <c r="M3463" s="12" t="s">
        <v>43</v>
      </c>
      <c r="N3463" s="12" t="s">
        <v>84</v>
      </c>
      <c r="O3463" s="12" t="s">
        <v>12485</v>
      </c>
      <c r="P3463" s="12" t="s">
        <v>66</v>
      </c>
      <c r="Q3463" s="12" t="s">
        <v>67</v>
      </c>
      <c r="R3463" s="12" t="s">
        <v>1146</v>
      </c>
      <c r="S3463" s="13">
        <v>197804393862</v>
      </c>
      <c r="T3463" s="12" t="s">
        <v>709</v>
      </c>
      <c r="U3463" s="12" t="s">
        <v>153</v>
      </c>
      <c r="V3463" s="12" t="s">
        <v>665</v>
      </c>
      <c r="W3463" s="12" t="s">
        <v>455</v>
      </c>
      <c r="X3463" s="14"/>
      <c r="Y3463" s="14"/>
      <c r="Z3463" s="14"/>
      <c r="AA3463" s="14"/>
      <c r="AB3463" s="14"/>
      <c r="AC3463" s="15">
        <v>15.95</v>
      </c>
      <c r="AD3463" s="15">
        <f>AC3463*AG3463</f>
        <v>15.95</v>
      </c>
      <c r="AE3463" s="15">
        <v>35</v>
      </c>
      <c r="AF3463" s="15">
        <f>AE3463*AG3463</f>
        <v>35</v>
      </c>
      <c r="AG3463" s="16">
        <v>1</v>
      </c>
    </row>
    <row r="3464" spans="1:33" ht="15" customHeight="1" x14ac:dyDescent="0.2">
      <c r="A3464" s="11" t="str">
        <f t="shared" ref="A3464:A3465" si="1214">HYPERLINK("https://assets.vans.eu/images/VN000PR4EMV-HERO/1","VN000PR4EMV1")</f>
        <v>VN000PR4EMV1</v>
      </c>
      <c r="B3464" s="12" t="s">
        <v>12486</v>
      </c>
      <c r="C3464" s="12" t="s">
        <v>4773</v>
      </c>
      <c r="D3464" s="12" t="s">
        <v>1908</v>
      </c>
      <c r="E3464" s="12" t="s">
        <v>12487</v>
      </c>
      <c r="F3464" s="12" t="s">
        <v>403</v>
      </c>
      <c r="G3464" s="14"/>
      <c r="H3464" s="12" t="s">
        <v>61</v>
      </c>
      <c r="I3464" s="12" t="s">
        <v>289</v>
      </c>
      <c r="J3464" s="12" t="s">
        <v>706</v>
      </c>
      <c r="K3464" s="12" t="s">
        <v>100</v>
      </c>
      <c r="L3464" s="14"/>
      <c r="M3464" s="12" t="s">
        <v>43</v>
      </c>
      <c r="N3464" s="12" t="s">
        <v>84</v>
      </c>
      <c r="O3464" s="12" t="s">
        <v>12488</v>
      </c>
      <c r="P3464" s="12" t="s">
        <v>66</v>
      </c>
      <c r="Q3464" s="12" t="s">
        <v>67</v>
      </c>
      <c r="R3464" s="12" t="s">
        <v>1146</v>
      </c>
      <c r="S3464" s="13">
        <v>197804363629</v>
      </c>
      <c r="T3464" s="12" t="s">
        <v>49</v>
      </c>
      <c r="U3464" s="12" t="s">
        <v>403</v>
      </c>
      <c r="V3464" s="12" t="s">
        <v>665</v>
      </c>
      <c r="W3464" s="12" t="s">
        <v>51</v>
      </c>
      <c r="X3464" s="14"/>
      <c r="Y3464" s="14"/>
      <c r="Z3464" s="14"/>
      <c r="AA3464" s="14"/>
      <c r="AB3464" s="14"/>
      <c r="AC3464" s="15">
        <v>18.2</v>
      </c>
      <c r="AD3464" s="15">
        <f>AC3464*AG3464</f>
        <v>18.2</v>
      </c>
      <c r="AE3464" s="15">
        <v>40</v>
      </c>
      <c r="AF3464" s="15">
        <f>AE3464*AG3464</f>
        <v>40</v>
      </c>
      <c r="AG3464" s="16">
        <v>1</v>
      </c>
    </row>
    <row r="3465" spans="1:33" ht="15" customHeight="1" x14ac:dyDescent="0.2">
      <c r="A3465" s="11" t="str">
        <f t="shared" si="1214"/>
        <v>VN000PR4EMV1</v>
      </c>
      <c r="B3465" s="12" t="s">
        <v>12489</v>
      </c>
      <c r="C3465" s="12" t="s">
        <v>4773</v>
      </c>
      <c r="D3465" s="12" t="s">
        <v>1908</v>
      </c>
      <c r="E3465" s="12" t="s">
        <v>12490</v>
      </c>
      <c r="F3465" s="12" t="s">
        <v>60</v>
      </c>
      <c r="G3465" s="14"/>
      <c r="H3465" s="12" t="s">
        <v>61</v>
      </c>
      <c r="I3465" s="12" t="s">
        <v>289</v>
      </c>
      <c r="J3465" s="12" t="s">
        <v>706</v>
      </c>
      <c r="K3465" s="12" t="s">
        <v>100</v>
      </c>
      <c r="L3465" s="14"/>
      <c r="M3465" s="12" t="s">
        <v>43</v>
      </c>
      <c r="N3465" s="12" t="s">
        <v>84</v>
      </c>
      <c r="O3465" s="12" t="s">
        <v>12491</v>
      </c>
      <c r="P3465" s="12" t="s">
        <v>66</v>
      </c>
      <c r="Q3465" s="12" t="s">
        <v>67</v>
      </c>
      <c r="R3465" s="12" t="s">
        <v>1146</v>
      </c>
      <c r="S3465" s="13">
        <v>197804363674</v>
      </c>
      <c r="T3465" s="12" t="s">
        <v>49</v>
      </c>
      <c r="U3465" s="12" t="s">
        <v>60</v>
      </c>
      <c r="V3465" s="12" t="s">
        <v>665</v>
      </c>
      <c r="W3465" s="12" t="s">
        <v>51</v>
      </c>
      <c r="X3465" s="14"/>
      <c r="Y3465" s="14"/>
      <c r="Z3465" s="14"/>
      <c r="AA3465" s="14"/>
      <c r="AB3465" s="14"/>
      <c r="AC3465" s="15">
        <v>18.2</v>
      </c>
      <c r="AD3465" s="15">
        <f>AC3465*AG3465</f>
        <v>18.2</v>
      </c>
      <c r="AE3465" s="15">
        <v>40</v>
      </c>
      <c r="AF3465" s="15">
        <f>AE3465*AG3465</f>
        <v>40</v>
      </c>
      <c r="AG3465" s="16">
        <v>1</v>
      </c>
    </row>
    <row r="3466" spans="1:33" ht="15" customHeight="1" x14ac:dyDescent="0.2">
      <c r="A3466" s="11" t="str">
        <f>HYPERLINK("https://assets.vans.eu/images/VN000PTBF0W-HERO/1","VN000PTBF0W1")</f>
        <v>VN000PTBF0W1</v>
      </c>
      <c r="B3466" s="12" t="s">
        <v>12492</v>
      </c>
      <c r="C3466" s="12" t="s">
        <v>4218</v>
      </c>
      <c r="D3466" s="12" t="s">
        <v>4219</v>
      </c>
      <c r="E3466" s="12" t="s">
        <v>12493</v>
      </c>
      <c r="F3466" s="12" t="s">
        <v>403</v>
      </c>
      <c r="G3466" s="14"/>
      <c r="H3466" s="12" t="s">
        <v>61</v>
      </c>
      <c r="I3466" s="12" t="s">
        <v>230</v>
      </c>
      <c r="J3466" s="12" t="s">
        <v>762</v>
      </c>
      <c r="K3466" s="12" t="s">
        <v>199</v>
      </c>
      <c r="L3466" s="14"/>
      <c r="M3466" s="12" t="s">
        <v>43</v>
      </c>
      <c r="N3466" s="12" t="s">
        <v>84</v>
      </c>
      <c r="O3466" s="12" t="s">
        <v>12494</v>
      </c>
      <c r="P3466" s="12" t="s">
        <v>66</v>
      </c>
      <c r="Q3466" s="12" t="s">
        <v>764</v>
      </c>
      <c r="R3466" s="12" t="s">
        <v>765</v>
      </c>
      <c r="S3466" s="13">
        <v>197804364152</v>
      </c>
      <c r="T3466" s="12" t="s">
        <v>235</v>
      </c>
      <c r="U3466" s="12" t="s">
        <v>403</v>
      </c>
      <c r="V3466" s="12" t="s">
        <v>90</v>
      </c>
      <c r="W3466" s="12" t="s">
        <v>625</v>
      </c>
      <c r="X3466" s="14"/>
      <c r="Y3466" s="14"/>
      <c r="Z3466" s="14"/>
      <c r="AA3466" s="14"/>
      <c r="AB3466" s="14"/>
      <c r="AC3466" s="15">
        <v>54.55</v>
      </c>
      <c r="AD3466" s="15">
        <f>AC3466*AG3466</f>
        <v>54.55</v>
      </c>
      <c r="AE3466" s="15">
        <v>120</v>
      </c>
      <c r="AF3466" s="15">
        <f>AE3466*AG3466</f>
        <v>120</v>
      </c>
      <c r="AG3466" s="16">
        <v>1</v>
      </c>
    </row>
    <row r="3467" spans="1:33" ht="15" customHeight="1" x14ac:dyDescent="0.2">
      <c r="A3467" s="11" t="str">
        <f t="shared" si="583"/>
        <v>VN000PTGEN71</v>
      </c>
      <c r="B3467" s="12" t="s">
        <v>12495</v>
      </c>
      <c r="C3467" s="12" t="s">
        <v>5484</v>
      </c>
      <c r="D3467" s="12" t="s">
        <v>295</v>
      </c>
      <c r="E3467" s="12" t="s">
        <v>12496</v>
      </c>
      <c r="F3467" s="12" t="s">
        <v>60</v>
      </c>
      <c r="G3467" s="14"/>
      <c r="H3467" s="12" t="s">
        <v>61</v>
      </c>
      <c r="I3467" s="12" t="s">
        <v>62</v>
      </c>
      <c r="J3467" s="12" t="s">
        <v>63</v>
      </c>
      <c r="K3467" s="12" t="s">
        <v>1022</v>
      </c>
      <c r="L3467" s="14"/>
      <c r="M3467" s="12" t="s">
        <v>43</v>
      </c>
      <c r="N3467" s="12" t="s">
        <v>84</v>
      </c>
      <c r="O3467" s="12" t="s">
        <v>12497</v>
      </c>
      <c r="P3467" s="12" t="s">
        <v>66</v>
      </c>
      <c r="Q3467" s="12" t="s">
        <v>67</v>
      </c>
      <c r="R3467" s="12" t="s">
        <v>68</v>
      </c>
      <c r="S3467" s="13">
        <v>197804364398</v>
      </c>
      <c r="T3467" s="12" t="s">
        <v>709</v>
      </c>
      <c r="U3467" s="12" t="s">
        <v>60</v>
      </c>
      <c r="V3467" s="12" t="s">
        <v>423</v>
      </c>
      <c r="W3467" s="12" t="s">
        <v>299</v>
      </c>
      <c r="X3467" s="14"/>
      <c r="Y3467" s="14"/>
      <c r="Z3467" s="14"/>
      <c r="AA3467" s="14"/>
      <c r="AB3467" s="14"/>
      <c r="AC3467" s="15">
        <v>13.65</v>
      </c>
      <c r="AD3467" s="15">
        <f>AC3467*AG3467</f>
        <v>13.65</v>
      </c>
      <c r="AE3467" s="15">
        <v>30</v>
      </c>
      <c r="AF3467" s="15">
        <f>AE3467*AG3467</f>
        <v>30</v>
      </c>
      <c r="AG3467" s="16">
        <v>1</v>
      </c>
    </row>
    <row r="3468" spans="1:33" ht="15" customHeight="1" x14ac:dyDescent="0.2">
      <c r="A3468" s="11" t="str">
        <f t="shared" ref="A3468:A3471" si="1215">HYPERLINK("https://assets.vans.eu/images/VN000PTHWHT-HERO/1","VN000PTHWHT1")</f>
        <v>VN000PTHWHT1</v>
      </c>
      <c r="B3468" s="12" t="s">
        <v>12498</v>
      </c>
      <c r="C3468" s="12" t="s">
        <v>12499</v>
      </c>
      <c r="D3468" s="12" t="s">
        <v>168</v>
      </c>
      <c r="E3468" s="12" t="s">
        <v>12500</v>
      </c>
      <c r="F3468" s="12" t="s">
        <v>179</v>
      </c>
      <c r="G3468" s="14"/>
      <c r="H3468" s="12" t="s">
        <v>61</v>
      </c>
      <c r="I3468" s="12" t="s">
        <v>62</v>
      </c>
      <c r="J3468" s="12" t="s">
        <v>63</v>
      </c>
      <c r="K3468" s="12" t="s">
        <v>1022</v>
      </c>
      <c r="L3468" s="14"/>
      <c r="M3468" s="12" t="s">
        <v>43</v>
      </c>
      <c r="N3468" s="12" t="s">
        <v>84</v>
      </c>
      <c r="O3468" s="12" t="s">
        <v>12501</v>
      </c>
      <c r="P3468" s="12" t="s">
        <v>66</v>
      </c>
      <c r="Q3468" s="12" t="s">
        <v>67</v>
      </c>
      <c r="R3468" s="12" t="s">
        <v>68</v>
      </c>
      <c r="S3468" s="13">
        <v>197804364039</v>
      </c>
      <c r="T3468" s="12" t="s">
        <v>709</v>
      </c>
      <c r="U3468" s="12" t="s">
        <v>179</v>
      </c>
      <c r="V3468" s="12" t="s">
        <v>423</v>
      </c>
      <c r="W3468" s="12" t="s">
        <v>175</v>
      </c>
      <c r="X3468" s="14"/>
      <c r="Y3468" s="14"/>
      <c r="Z3468" s="14"/>
      <c r="AA3468" s="14"/>
      <c r="AB3468" s="14"/>
      <c r="AC3468" s="15">
        <v>15.95</v>
      </c>
      <c r="AD3468" s="15">
        <f>AC3468*AG3468</f>
        <v>15.95</v>
      </c>
      <c r="AE3468" s="15">
        <v>35</v>
      </c>
      <c r="AF3468" s="15">
        <f>AE3468*AG3468</f>
        <v>35</v>
      </c>
      <c r="AG3468" s="16">
        <v>1</v>
      </c>
    </row>
    <row r="3469" spans="1:33" ht="15" customHeight="1" x14ac:dyDescent="0.2">
      <c r="A3469" s="11" t="str">
        <f t="shared" si="1215"/>
        <v>VN000PTHWHT1</v>
      </c>
      <c r="B3469" s="12" t="s">
        <v>12502</v>
      </c>
      <c r="C3469" s="12" t="s">
        <v>12499</v>
      </c>
      <c r="D3469" s="12" t="s">
        <v>168</v>
      </c>
      <c r="E3469" s="12" t="s">
        <v>12503</v>
      </c>
      <c r="F3469" s="12" t="s">
        <v>170</v>
      </c>
      <c r="G3469" s="14"/>
      <c r="H3469" s="12" t="s">
        <v>61</v>
      </c>
      <c r="I3469" s="12" t="s">
        <v>62</v>
      </c>
      <c r="J3469" s="12" t="s">
        <v>63</v>
      </c>
      <c r="K3469" s="12" t="s">
        <v>1022</v>
      </c>
      <c r="L3469" s="14"/>
      <c r="M3469" s="12" t="s">
        <v>43</v>
      </c>
      <c r="N3469" s="12" t="s">
        <v>84</v>
      </c>
      <c r="O3469" s="12" t="s">
        <v>12504</v>
      </c>
      <c r="P3469" s="12" t="s">
        <v>66</v>
      </c>
      <c r="Q3469" s="12" t="s">
        <v>67</v>
      </c>
      <c r="R3469" s="12" t="s">
        <v>68</v>
      </c>
      <c r="S3469" s="13">
        <v>197804364084</v>
      </c>
      <c r="T3469" s="12" t="s">
        <v>709</v>
      </c>
      <c r="U3469" s="12" t="s">
        <v>170</v>
      </c>
      <c r="V3469" s="12" t="s">
        <v>423</v>
      </c>
      <c r="W3469" s="12" t="s">
        <v>175</v>
      </c>
      <c r="X3469" s="14"/>
      <c r="Y3469" s="14"/>
      <c r="Z3469" s="14"/>
      <c r="AA3469" s="14"/>
      <c r="AB3469" s="14"/>
      <c r="AC3469" s="15">
        <v>15.95</v>
      </c>
      <c r="AD3469" s="15">
        <f>AC3469*AG3469</f>
        <v>15.95</v>
      </c>
      <c r="AE3469" s="15">
        <v>35</v>
      </c>
      <c r="AF3469" s="15">
        <f>AE3469*AG3469</f>
        <v>35</v>
      </c>
      <c r="AG3469" s="16">
        <v>1</v>
      </c>
    </row>
    <row r="3470" spans="1:33" ht="15" customHeight="1" x14ac:dyDescent="0.2">
      <c r="A3470" s="11" t="str">
        <f t="shared" si="1215"/>
        <v>VN000PTHWHT1</v>
      </c>
      <c r="B3470" s="12" t="s">
        <v>12505</v>
      </c>
      <c r="C3470" s="12" t="s">
        <v>12499</v>
      </c>
      <c r="D3470" s="12" t="s">
        <v>168</v>
      </c>
      <c r="E3470" s="12" t="s">
        <v>12506</v>
      </c>
      <c r="F3470" s="12" t="s">
        <v>403</v>
      </c>
      <c r="G3470" s="14"/>
      <c r="H3470" s="12" t="s">
        <v>61</v>
      </c>
      <c r="I3470" s="12" t="s">
        <v>62</v>
      </c>
      <c r="J3470" s="12" t="s">
        <v>63</v>
      </c>
      <c r="K3470" s="12" t="s">
        <v>1022</v>
      </c>
      <c r="L3470" s="14"/>
      <c r="M3470" s="12" t="s">
        <v>43</v>
      </c>
      <c r="N3470" s="12" t="s">
        <v>84</v>
      </c>
      <c r="O3470" s="12" t="s">
        <v>12507</v>
      </c>
      <c r="P3470" s="12" t="s">
        <v>66</v>
      </c>
      <c r="Q3470" s="12" t="s">
        <v>67</v>
      </c>
      <c r="R3470" s="12" t="s">
        <v>68</v>
      </c>
      <c r="S3470" s="13">
        <v>197804364428</v>
      </c>
      <c r="T3470" s="12" t="s">
        <v>709</v>
      </c>
      <c r="U3470" s="12" t="s">
        <v>403</v>
      </c>
      <c r="V3470" s="12" t="s">
        <v>423</v>
      </c>
      <c r="W3470" s="12" t="s">
        <v>175</v>
      </c>
      <c r="X3470" s="14"/>
      <c r="Y3470" s="14"/>
      <c r="Z3470" s="14"/>
      <c r="AA3470" s="14"/>
      <c r="AB3470" s="14"/>
      <c r="AC3470" s="15">
        <v>15.95</v>
      </c>
      <c r="AD3470" s="15">
        <f>AC3470*AG3470</f>
        <v>15.95</v>
      </c>
      <c r="AE3470" s="15">
        <v>35</v>
      </c>
      <c r="AF3470" s="15">
        <f>AE3470*AG3470</f>
        <v>35</v>
      </c>
      <c r="AG3470" s="16">
        <v>1</v>
      </c>
    </row>
    <row r="3471" spans="1:33" ht="15" customHeight="1" x14ac:dyDescent="0.2">
      <c r="A3471" s="11" t="str">
        <f t="shared" si="1215"/>
        <v>VN000PTHWHT1</v>
      </c>
      <c r="B3471" s="12" t="s">
        <v>12508</v>
      </c>
      <c r="C3471" s="12" t="s">
        <v>12499</v>
      </c>
      <c r="D3471" s="12" t="s">
        <v>168</v>
      </c>
      <c r="E3471" s="12" t="s">
        <v>12509</v>
      </c>
      <c r="F3471" s="12" t="s">
        <v>60</v>
      </c>
      <c r="G3471" s="14"/>
      <c r="H3471" s="12" t="s">
        <v>61</v>
      </c>
      <c r="I3471" s="12" t="s">
        <v>62</v>
      </c>
      <c r="J3471" s="12" t="s">
        <v>63</v>
      </c>
      <c r="K3471" s="12" t="s">
        <v>1022</v>
      </c>
      <c r="L3471" s="14"/>
      <c r="M3471" s="12" t="s">
        <v>43</v>
      </c>
      <c r="N3471" s="12" t="s">
        <v>84</v>
      </c>
      <c r="O3471" s="12" t="s">
        <v>12510</v>
      </c>
      <c r="P3471" s="12" t="s">
        <v>66</v>
      </c>
      <c r="Q3471" s="12" t="s">
        <v>67</v>
      </c>
      <c r="R3471" s="12" t="s">
        <v>68</v>
      </c>
      <c r="S3471" s="13">
        <v>197804364473</v>
      </c>
      <c r="T3471" s="12" t="s">
        <v>709</v>
      </c>
      <c r="U3471" s="12" t="s">
        <v>60</v>
      </c>
      <c r="V3471" s="12" t="s">
        <v>423</v>
      </c>
      <c r="W3471" s="12" t="s">
        <v>175</v>
      </c>
      <c r="X3471" s="14"/>
      <c r="Y3471" s="14"/>
      <c r="Z3471" s="14"/>
      <c r="AA3471" s="14"/>
      <c r="AB3471" s="14"/>
      <c r="AC3471" s="15">
        <v>15.95</v>
      </c>
      <c r="AD3471" s="15">
        <f>AC3471*AG3471</f>
        <v>15.95</v>
      </c>
      <c r="AE3471" s="15">
        <v>35</v>
      </c>
      <c r="AF3471" s="15">
        <f>AE3471*AG3471</f>
        <v>35</v>
      </c>
      <c r="AG3471" s="16">
        <v>1</v>
      </c>
    </row>
    <row r="3472" spans="1:33" ht="15" customHeight="1" x14ac:dyDescent="0.2">
      <c r="A3472" s="11" t="str">
        <f>HYPERLINK("https://assets.vans.eu/images/VN000PTTBRD-HERO/1","VN000PTTBRD1")</f>
        <v>VN000PTTBRD1</v>
      </c>
      <c r="B3472" s="12" t="s">
        <v>12511</v>
      </c>
      <c r="C3472" s="12" t="s">
        <v>8608</v>
      </c>
      <c r="D3472" s="12" t="s">
        <v>590</v>
      </c>
      <c r="E3472" s="12" t="s">
        <v>12512</v>
      </c>
      <c r="F3472" s="12" t="s">
        <v>60</v>
      </c>
      <c r="G3472" s="14"/>
      <c r="H3472" s="12" t="s">
        <v>61</v>
      </c>
      <c r="I3472" s="12" t="s">
        <v>62</v>
      </c>
      <c r="J3472" s="12" t="s">
        <v>63</v>
      </c>
      <c r="K3472" s="12" t="s">
        <v>1022</v>
      </c>
      <c r="L3472" s="14"/>
      <c r="M3472" s="12" t="s">
        <v>43</v>
      </c>
      <c r="N3472" s="12" t="s">
        <v>84</v>
      </c>
      <c r="O3472" s="12" t="s">
        <v>12513</v>
      </c>
      <c r="P3472" s="12" t="s">
        <v>66</v>
      </c>
      <c r="Q3472" s="12" t="s">
        <v>67</v>
      </c>
      <c r="R3472" s="12" t="s">
        <v>68</v>
      </c>
      <c r="S3472" s="13">
        <v>197804582068</v>
      </c>
      <c r="T3472" s="12" t="s">
        <v>915</v>
      </c>
      <c r="U3472" s="12" t="s">
        <v>60</v>
      </c>
      <c r="V3472" s="12" t="s">
        <v>1028</v>
      </c>
      <c r="W3472" s="12" t="s">
        <v>262</v>
      </c>
      <c r="X3472" s="14"/>
      <c r="Y3472" s="14"/>
      <c r="Z3472" s="14"/>
      <c r="AA3472" s="14"/>
      <c r="AB3472" s="14"/>
      <c r="AC3472" s="15">
        <v>13.65</v>
      </c>
      <c r="AD3472" s="15">
        <f>AC3472*AG3472</f>
        <v>13.65</v>
      </c>
      <c r="AE3472" s="15">
        <v>30</v>
      </c>
      <c r="AF3472" s="15">
        <f>AE3472*AG3472</f>
        <v>30</v>
      </c>
      <c r="AG3472" s="16">
        <v>1</v>
      </c>
    </row>
    <row r="3473" spans="1:33" ht="15" customHeight="1" x14ac:dyDescent="0.2">
      <c r="A3473" s="11" t="str">
        <f>HYPERLINK("https://assets.vans.eu/images/VN000PTTWHT-HERO/1","VN000PTTWHT1")</f>
        <v>VN000PTTWHT1</v>
      </c>
      <c r="B3473" s="12" t="s">
        <v>12514</v>
      </c>
      <c r="C3473" s="12" t="s">
        <v>8608</v>
      </c>
      <c r="D3473" s="12" t="s">
        <v>168</v>
      </c>
      <c r="E3473" s="12" t="s">
        <v>12515</v>
      </c>
      <c r="F3473" s="12" t="s">
        <v>170</v>
      </c>
      <c r="G3473" s="14"/>
      <c r="H3473" s="12" t="s">
        <v>61</v>
      </c>
      <c r="I3473" s="12" t="s">
        <v>62</v>
      </c>
      <c r="J3473" s="12" t="s">
        <v>63</v>
      </c>
      <c r="K3473" s="12" t="s">
        <v>1022</v>
      </c>
      <c r="L3473" s="14"/>
      <c r="M3473" s="12" t="s">
        <v>43</v>
      </c>
      <c r="N3473" s="12" t="s">
        <v>84</v>
      </c>
      <c r="O3473" s="12" t="s">
        <v>12516</v>
      </c>
      <c r="P3473" s="12" t="s">
        <v>66</v>
      </c>
      <c r="Q3473" s="12" t="s">
        <v>67</v>
      </c>
      <c r="R3473" s="12" t="s">
        <v>68</v>
      </c>
      <c r="S3473" s="13">
        <v>197804364336</v>
      </c>
      <c r="T3473" s="12" t="s">
        <v>915</v>
      </c>
      <c r="U3473" s="12" t="s">
        <v>170</v>
      </c>
      <c r="V3473" s="12" t="s">
        <v>1028</v>
      </c>
      <c r="W3473" s="12" t="s">
        <v>175</v>
      </c>
      <c r="X3473" s="14"/>
      <c r="Y3473" s="14"/>
      <c r="Z3473" s="14"/>
      <c r="AA3473" s="14"/>
      <c r="AB3473" s="14"/>
      <c r="AC3473" s="15">
        <v>13.65</v>
      </c>
      <c r="AD3473" s="15">
        <f>AC3473*AG3473</f>
        <v>13.65</v>
      </c>
      <c r="AE3473" s="15">
        <v>30</v>
      </c>
      <c r="AF3473" s="15">
        <f>AE3473*AG3473</f>
        <v>30</v>
      </c>
      <c r="AG3473" s="16">
        <v>1</v>
      </c>
    </row>
    <row r="3474" spans="1:33" ht="15" customHeight="1" x14ac:dyDescent="0.2">
      <c r="A3474" s="11" t="str">
        <f t="shared" si="584"/>
        <v>VN000PUEFS81</v>
      </c>
      <c r="B3474" s="12" t="s">
        <v>12517</v>
      </c>
      <c r="C3474" s="12" t="s">
        <v>5488</v>
      </c>
      <c r="D3474" s="12" t="s">
        <v>239</v>
      </c>
      <c r="E3474" s="12" t="s">
        <v>12518</v>
      </c>
      <c r="F3474" s="12" t="s">
        <v>179</v>
      </c>
      <c r="G3474" s="14"/>
      <c r="H3474" s="12" t="s">
        <v>61</v>
      </c>
      <c r="I3474" s="12" t="s">
        <v>62</v>
      </c>
      <c r="J3474" s="12" t="s">
        <v>63</v>
      </c>
      <c r="K3474" s="12" t="s">
        <v>1022</v>
      </c>
      <c r="L3474" s="14"/>
      <c r="M3474" s="12" t="s">
        <v>43</v>
      </c>
      <c r="N3474" s="12" t="s">
        <v>84</v>
      </c>
      <c r="O3474" s="12" t="s">
        <v>12519</v>
      </c>
      <c r="P3474" s="12" t="s">
        <v>66</v>
      </c>
      <c r="Q3474" s="12" t="s">
        <v>67</v>
      </c>
      <c r="R3474" s="12" t="s">
        <v>68</v>
      </c>
      <c r="S3474" s="13">
        <v>197804364596</v>
      </c>
      <c r="T3474" s="12" t="s">
        <v>915</v>
      </c>
      <c r="U3474" s="12" t="s">
        <v>179</v>
      </c>
      <c r="V3474" s="12" t="s">
        <v>1028</v>
      </c>
      <c r="W3474" s="12" t="s">
        <v>175</v>
      </c>
      <c r="X3474" s="14"/>
      <c r="Y3474" s="14"/>
      <c r="Z3474" s="14"/>
      <c r="AA3474" s="14"/>
      <c r="AB3474" s="14"/>
      <c r="AC3474" s="15">
        <v>15.95</v>
      </c>
      <c r="AD3474" s="15">
        <f>AC3474*AG3474</f>
        <v>15.95</v>
      </c>
      <c r="AE3474" s="15">
        <v>35</v>
      </c>
      <c r="AF3474" s="15">
        <f>AE3474*AG3474</f>
        <v>35</v>
      </c>
      <c r="AG3474" s="16">
        <v>1</v>
      </c>
    </row>
    <row r="3475" spans="1:33" ht="15" customHeight="1" x14ac:dyDescent="0.2">
      <c r="A3475" s="11" t="str">
        <f>HYPERLINK("https://assets.vans.eu/images/VN000PUEFS8-HERO/1","VN000PUEFS81")</f>
        <v>VN000PUEFS81</v>
      </c>
      <c r="B3475" s="12" t="s">
        <v>12520</v>
      </c>
      <c r="C3475" s="12" t="s">
        <v>5488</v>
      </c>
      <c r="D3475" s="12" t="s">
        <v>239</v>
      </c>
      <c r="E3475" s="12" t="s">
        <v>12521</v>
      </c>
      <c r="F3475" s="12" t="s">
        <v>170</v>
      </c>
      <c r="G3475" s="14"/>
      <c r="H3475" s="12" t="s">
        <v>61</v>
      </c>
      <c r="I3475" s="12" t="s">
        <v>62</v>
      </c>
      <c r="J3475" s="12" t="s">
        <v>63</v>
      </c>
      <c r="K3475" s="12" t="s">
        <v>1022</v>
      </c>
      <c r="L3475" s="14"/>
      <c r="M3475" s="12" t="s">
        <v>43</v>
      </c>
      <c r="N3475" s="12" t="s">
        <v>84</v>
      </c>
      <c r="O3475" s="12" t="s">
        <v>12522</v>
      </c>
      <c r="P3475" s="12" t="s">
        <v>66</v>
      </c>
      <c r="Q3475" s="12" t="s">
        <v>67</v>
      </c>
      <c r="R3475" s="12" t="s">
        <v>68</v>
      </c>
      <c r="S3475" s="13">
        <v>197804364718</v>
      </c>
      <c r="T3475" s="12" t="s">
        <v>915</v>
      </c>
      <c r="U3475" s="12" t="s">
        <v>170</v>
      </c>
      <c r="V3475" s="12" t="s">
        <v>1028</v>
      </c>
      <c r="W3475" s="12" t="s">
        <v>175</v>
      </c>
      <c r="X3475" s="14"/>
      <c r="Y3475" s="14"/>
      <c r="Z3475" s="14"/>
      <c r="AA3475" s="14"/>
      <c r="AB3475" s="14"/>
      <c r="AC3475" s="15">
        <v>15.95</v>
      </c>
      <c r="AD3475" s="15">
        <f>AC3475*AG3475</f>
        <v>15.95</v>
      </c>
      <c r="AE3475" s="15">
        <v>35</v>
      </c>
      <c r="AF3475" s="15">
        <f>AE3475*AG3475</f>
        <v>35</v>
      </c>
      <c r="AG3475" s="16">
        <v>1</v>
      </c>
    </row>
    <row r="3476" spans="1:33" ht="15" customHeight="1" x14ac:dyDescent="0.2">
      <c r="A3476" s="11" t="str">
        <f t="shared" ref="A3476:A3478" si="1216">HYPERLINK("https://assets.vans.eu/images/VN000PWCF0G-HERO/1","VN000PWCF0G1")</f>
        <v>VN000PWCF0G1</v>
      </c>
      <c r="B3476" s="12" t="s">
        <v>12523</v>
      </c>
      <c r="C3476" s="12" t="s">
        <v>12026</v>
      </c>
      <c r="D3476" s="12" t="s">
        <v>12524</v>
      </c>
      <c r="E3476" s="12" t="s">
        <v>12525</v>
      </c>
      <c r="F3476" s="12" t="s">
        <v>179</v>
      </c>
      <c r="G3476" s="14"/>
      <c r="H3476" s="12" t="s">
        <v>61</v>
      </c>
      <c r="I3476" s="12" t="s">
        <v>62</v>
      </c>
      <c r="J3476" s="12" t="s">
        <v>63</v>
      </c>
      <c r="K3476" s="12" t="s">
        <v>64</v>
      </c>
      <c r="L3476" s="14"/>
      <c r="M3476" s="12" t="s">
        <v>43</v>
      </c>
      <c r="N3476" s="12" t="s">
        <v>84</v>
      </c>
      <c r="O3476" s="12" t="s">
        <v>12526</v>
      </c>
      <c r="P3476" s="12" t="s">
        <v>66</v>
      </c>
      <c r="Q3476" s="12" t="s">
        <v>67</v>
      </c>
      <c r="R3476" s="12" t="s">
        <v>1791</v>
      </c>
      <c r="S3476" s="13">
        <v>197804364657</v>
      </c>
      <c r="T3476" s="12" t="s">
        <v>235</v>
      </c>
      <c r="U3476" s="12" t="s">
        <v>179</v>
      </c>
      <c r="V3476" s="12" t="s">
        <v>665</v>
      </c>
      <c r="W3476" s="12" t="s">
        <v>598</v>
      </c>
      <c r="X3476" s="14"/>
      <c r="Y3476" s="14"/>
      <c r="Z3476" s="14"/>
      <c r="AA3476" s="14"/>
      <c r="AB3476" s="14"/>
      <c r="AC3476" s="15">
        <v>25</v>
      </c>
      <c r="AD3476" s="15">
        <f>AC3476*AG3476</f>
        <v>25</v>
      </c>
      <c r="AE3476" s="15">
        <v>55</v>
      </c>
      <c r="AF3476" s="15">
        <f>AE3476*AG3476</f>
        <v>55</v>
      </c>
      <c r="AG3476" s="16">
        <v>1</v>
      </c>
    </row>
    <row r="3477" spans="1:33" ht="15" customHeight="1" x14ac:dyDescent="0.2">
      <c r="A3477" s="11" t="str">
        <f t="shared" si="1216"/>
        <v>VN000PWCF0G1</v>
      </c>
      <c r="B3477" s="12" t="s">
        <v>12527</v>
      </c>
      <c r="C3477" s="12" t="s">
        <v>12026</v>
      </c>
      <c r="D3477" s="12" t="s">
        <v>12524</v>
      </c>
      <c r="E3477" s="12" t="s">
        <v>12528</v>
      </c>
      <c r="F3477" s="12" t="s">
        <v>403</v>
      </c>
      <c r="G3477" s="14"/>
      <c r="H3477" s="12" t="s">
        <v>61</v>
      </c>
      <c r="I3477" s="12" t="s">
        <v>62</v>
      </c>
      <c r="J3477" s="12" t="s">
        <v>63</v>
      </c>
      <c r="K3477" s="12" t="s">
        <v>64</v>
      </c>
      <c r="L3477" s="14"/>
      <c r="M3477" s="12" t="s">
        <v>43</v>
      </c>
      <c r="N3477" s="12" t="s">
        <v>84</v>
      </c>
      <c r="O3477" s="12" t="s">
        <v>12529</v>
      </c>
      <c r="P3477" s="12" t="s">
        <v>66</v>
      </c>
      <c r="Q3477" s="12" t="s">
        <v>67</v>
      </c>
      <c r="R3477" s="12" t="s">
        <v>1791</v>
      </c>
      <c r="S3477" s="13">
        <v>197804364848</v>
      </c>
      <c r="T3477" s="12" t="s">
        <v>235</v>
      </c>
      <c r="U3477" s="12" t="s">
        <v>403</v>
      </c>
      <c r="V3477" s="12" t="s">
        <v>665</v>
      </c>
      <c r="W3477" s="12" t="s">
        <v>598</v>
      </c>
      <c r="X3477" s="14"/>
      <c r="Y3477" s="14"/>
      <c r="Z3477" s="14"/>
      <c r="AA3477" s="14"/>
      <c r="AB3477" s="14"/>
      <c r="AC3477" s="15">
        <v>25</v>
      </c>
      <c r="AD3477" s="15">
        <f>AC3477*AG3477</f>
        <v>25</v>
      </c>
      <c r="AE3477" s="15">
        <v>55</v>
      </c>
      <c r="AF3477" s="15">
        <f>AE3477*AG3477</f>
        <v>55</v>
      </c>
      <c r="AG3477" s="16">
        <v>1</v>
      </c>
    </row>
    <row r="3478" spans="1:33" ht="15" customHeight="1" x14ac:dyDescent="0.2">
      <c r="A3478" s="11" t="str">
        <f t="shared" si="1216"/>
        <v>VN000PWCF0G1</v>
      </c>
      <c r="B3478" s="12" t="s">
        <v>12530</v>
      </c>
      <c r="C3478" s="12" t="s">
        <v>12026</v>
      </c>
      <c r="D3478" s="12" t="s">
        <v>12524</v>
      </c>
      <c r="E3478" s="12" t="s">
        <v>12531</v>
      </c>
      <c r="F3478" s="12" t="s">
        <v>60</v>
      </c>
      <c r="G3478" s="14"/>
      <c r="H3478" s="12" t="s">
        <v>61</v>
      </c>
      <c r="I3478" s="12" t="s">
        <v>62</v>
      </c>
      <c r="J3478" s="12" t="s">
        <v>63</v>
      </c>
      <c r="K3478" s="12" t="s">
        <v>64</v>
      </c>
      <c r="L3478" s="14"/>
      <c r="M3478" s="12" t="s">
        <v>43</v>
      </c>
      <c r="N3478" s="12" t="s">
        <v>84</v>
      </c>
      <c r="O3478" s="12" t="s">
        <v>12532</v>
      </c>
      <c r="P3478" s="12" t="s">
        <v>66</v>
      </c>
      <c r="Q3478" s="12" t="s">
        <v>67</v>
      </c>
      <c r="R3478" s="12" t="s">
        <v>1791</v>
      </c>
      <c r="S3478" s="13">
        <v>197804364893</v>
      </c>
      <c r="T3478" s="12" t="s">
        <v>235</v>
      </c>
      <c r="U3478" s="12" t="s">
        <v>60</v>
      </c>
      <c r="V3478" s="12" t="s">
        <v>665</v>
      </c>
      <c r="W3478" s="12" t="s">
        <v>598</v>
      </c>
      <c r="X3478" s="14"/>
      <c r="Y3478" s="14"/>
      <c r="Z3478" s="14"/>
      <c r="AA3478" s="14"/>
      <c r="AB3478" s="14"/>
      <c r="AC3478" s="15">
        <v>25</v>
      </c>
      <c r="AD3478" s="15">
        <f>AC3478*AG3478</f>
        <v>25</v>
      </c>
      <c r="AE3478" s="15">
        <v>55</v>
      </c>
      <c r="AF3478" s="15">
        <f>AE3478*AG3478</f>
        <v>55</v>
      </c>
      <c r="AG3478" s="16">
        <v>1</v>
      </c>
    </row>
    <row r="3479" spans="1:33" ht="15" customHeight="1" x14ac:dyDescent="0.2">
      <c r="A3479" s="11" t="str">
        <f>HYPERLINK("https://assets.vans.eu/images/VN000PWVBLK-HERO/1","VN000PWVBLK1")</f>
        <v>VN000PWVBLK1</v>
      </c>
      <c r="B3479" s="12" t="s">
        <v>12533</v>
      </c>
      <c r="C3479" s="12" t="s">
        <v>6755</v>
      </c>
      <c r="D3479" s="12" t="s">
        <v>76</v>
      </c>
      <c r="E3479" s="12" t="s">
        <v>12534</v>
      </c>
      <c r="F3479" s="12" t="s">
        <v>403</v>
      </c>
      <c r="G3479" s="14"/>
      <c r="H3479" s="12" t="s">
        <v>61</v>
      </c>
      <c r="I3479" s="12" t="s">
        <v>62</v>
      </c>
      <c r="J3479" s="12" t="s">
        <v>63</v>
      </c>
      <c r="K3479" s="12" t="s">
        <v>64</v>
      </c>
      <c r="L3479" s="14"/>
      <c r="M3479" s="12" t="s">
        <v>43</v>
      </c>
      <c r="N3479" s="12" t="s">
        <v>84</v>
      </c>
      <c r="O3479" s="12" t="s">
        <v>12535</v>
      </c>
      <c r="P3479" s="12" t="s">
        <v>66</v>
      </c>
      <c r="Q3479" s="12" t="s">
        <v>67</v>
      </c>
      <c r="R3479" s="12" t="s">
        <v>730</v>
      </c>
      <c r="S3479" s="13">
        <v>197804365203</v>
      </c>
      <c r="T3479" s="12" t="s">
        <v>709</v>
      </c>
      <c r="U3479" s="12" t="s">
        <v>403</v>
      </c>
      <c r="V3479" s="12" t="s">
        <v>710</v>
      </c>
      <c r="W3479" s="12" t="s">
        <v>51</v>
      </c>
      <c r="X3479" s="14"/>
      <c r="Y3479" s="14"/>
      <c r="Z3479" s="14"/>
      <c r="AA3479" s="14"/>
      <c r="AB3479" s="14"/>
      <c r="AC3479" s="15">
        <v>25</v>
      </c>
      <c r="AD3479" s="15">
        <f>AC3479*AG3479</f>
        <v>25</v>
      </c>
      <c r="AE3479" s="15">
        <v>55</v>
      </c>
      <c r="AF3479" s="15">
        <f>AE3479*AG3479</f>
        <v>55</v>
      </c>
      <c r="AG3479" s="16">
        <v>1</v>
      </c>
    </row>
    <row r="3480" spans="1:33" ht="15" customHeight="1" x14ac:dyDescent="0.2">
      <c r="A3480" s="11" t="str">
        <f>HYPERLINK("https://assets.vans.eu/images/VN000PWVEMW-HERO/1","VN000PWVEMW1")</f>
        <v>VN000PWVEMW1</v>
      </c>
      <c r="B3480" s="12" t="s">
        <v>12536</v>
      </c>
      <c r="C3480" s="12" t="s">
        <v>6755</v>
      </c>
      <c r="D3480" s="12" t="s">
        <v>147</v>
      </c>
      <c r="E3480" s="12" t="s">
        <v>12537</v>
      </c>
      <c r="F3480" s="12" t="s">
        <v>403</v>
      </c>
      <c r="G3480" s="14"/>
      <c r="H3480" s="12" t="s">
        <v>61</v>
      </c>
      <c r="I3480" s="12" t="s">
        <v>62</v>
      </c>
      <c r="J3480" s="12" t="s">
        <v>63</v>
      </c>
      <c r="K3480" s="12" t="s">
        <v>64</v>
      </c>
      <c r="L3480" s="14"/>
      <c r="M3480" s="12" t="s">
        <v>43</v>
      </c>
      <c r="N3480" s="12" t="s">
        <v>84</v>
      </c>
      <c r="O3480" s="12" t="s">
        <v>12538</v>
      </c>
      <c r="P3480" s="12" t="s">
        <v>66</v>
      </c>
      <c r="Q3480" s="12" t="s">
        <v>67</v>
      </c>
      <c r="R3480" s="12" t="s">
        <v>730</v>
      </c>
      <c r="S3480" s="13">
        <v>197804364985</v>
      </c>
      <c r="T3480" s="12" t="s">
        <v>709</v>
      </c>
      <c r="U3480" s="12" t="s">
        <v>403</v>
      </c>
      <c r="V3480" s="12" t="s">
        <v>710</v>
      </c>
      <c r="W3480" s="12" t="s">
        <v>118</v>
      </c>
      <c r="X3480" s="14"/>
      <c r="Y3480" s="14"/>
      <c r="Z3480" s="14"/>
      <c r="AA3480" s="14"/>
      <c r="AB3480" s="14"/>
      <c r="AC3480" s="15">
        <v>25</v>
      </c>
      <c r="AD3480" s="15">
        <f>AC3480*AG3480</f>
        <v>25</v>
      </c>
      <c r="AE3480" s="15">
        <v>55</v>
      </c>
      <c r="AF3480" s="15">
        <f>AE3480*AG3480</f>
        <v>55</v>
      </c>
      <c r="AG3480" s="16">
        <v>1</v>
      </c>
    </row>
    <row r="3481" spans="1:33" ht="15" customHeight="1" x14ac:dyDescent="0.2">
      <c r="A3481" s="11" t="str">
        <f>HYPERLINK("https://assets.vans.eu/images/VN000PWXBLK-HERO/1","VN000PWXBLK1")</f>
        <v>VN000PWXBLK1</v>
      </c>
      <c r="B3481" s="12" t="s">
        <v>12539</v>
      </c>
      <c r="C3481" s="12" t="s">
        <v>3761</v>
      </c>
      <c r="D3481" s="12" t="s">
        <v>76</v>
      </c>
      <c r="E3481" s="12" t="s">
        <v>12540</v>
      </c>
      <c r="F3481" s="12" t="s">
        <v>170</v>
      </c>
      <c r="G3481" s="14"/>
      <c r="H3481" s="12" t="s">
        <v>61</v>
      </c>
      <c r="I3481" s="12" t="s">
        <v>62</v>
      </c>
      <c r="J3481" s="12" t="s">
        <v>63</v>
      </c>
      <c r="K3481" s="12" t="s">
        <v>64</v>
      </c>
      <c r="L3481" s="14"/>
      <c r="M3481" s="12" t="s">
        <v>43</v>
      </c>
      <c r="N3481" s="12" t="s">
        <v>84</v>
      </c>
      <c r="O3481" s="12" t="s">
        <v>12541</v>
      </c>
      <c r="P3481" s="12" t="s">
        <v>66</v>
      </c>
      <c r="Q3481" s="12" t="s">
        <v>67</v>
      </c>
      <c r="R3481" s="12" t="s">
        <v>730</v>
      </c>
      <c r="S3481" s="13">
        <v>197804365050</v>
      </c>
      <c r="T3481" s="12" t="s">
        <v>709</v>
      </c>
      <c r="U3481" s="12" t="s">
        <v>170</v>
      </c>
      <c r="V3481" s="12" t="s">
        <v>710</v>
      </c>
      <c r="W3481" s="12" t="s">
        <v>51</v>
      </c>
      <c r="X3481" s="14"/>
      <c r="Y3481" s="14"/>
      <c r="Z3481" s="14"/>
      <c r="AA3481" s="14"/>
      <c r="AB3481" s="14"/>
      <c r="AC3481" s="15">
        <v>27.3</v>
      </c>
      <c r="AD3481" s="15">
        <f>AC3481*AG3481</f>
        <v>27.3</v>
      </c>
      <c r="AE3481" s="15">
        <v>60</v>
      </c>
      <c r="AF3481" s="15">
        <f>AE3481*AG3481</f>
        <v>60</v>
      </c>
      <c r="AG3481" s="16">
        <v>1</v>
      </c>
    </row>
    <row r="3482" spans="1:33" ht="15" customHeight="1" x14ac:dyDescent="0.2">
      <c r="A3482" s="11" t="str">
        <f t="shared" si="735"/>
        <v>VN000PX2EMP1</v>
      </c>
      <c r="B3482" s="12" t="s">
        <v>12542</v>
      </c>
      <c r="C3482" s="12" t="s">
        <v>6768</v>
      </c>
      <c r="D3482" s="12" t="s">
        <v>704</v>
      </c>
      <c r="E3482" s="12" t="s">
        <v>12543</v>
      </c>
      <c r="F3482" s="12" t="s">
        <v>60</v>
      </c>
      <c r="G3482" s="14"/>
      <c r="H3482" s="12" t="s">
        <v>61</v>
      </c>
      <c r="I3482" s="12" t="s">
        <v>62</v>
      </c>
      <c r="J3482" s="12" t="s">
        <v>63</v>
      </c>
      <c r="K3482" s="12" t="s">
        <v>64</v>
      </c>
      <c r="L3482" s="14"/>
      <c r="M3482" s="12" t="s">
        <v>43</v>
      </c>
      <c r="N3482" s="12" t="s">
        <v>84</v>
      </c>
      <c r="O3482" s="12" t="s">
        <v>12544</v>
      </c>
      <c r="P3482" s="12" t="s">
        <v>66</v>
      </c>
      <c r="Q3482" s="12" t="s">
        <v>67</v>
      </c>
      <c r="R3482" s="12" t="s">
        <v>730</v>
      </c>
      <c r="S3482" s="13">
        <v>197804582280</v>
      </c>
      <c r="T3482" s="12" t="s">
        <v>49</v>
      </c>
      <c r="U3482" s="12" t="s">
        <v>60</v>
      </c>
      <c r="V3482" s="12" t="s">
        <v>710</v>
      </c>
      <c r="W3482" s="12" t="s">
        <v>186</v>
      </c>
      <c r="X3482" s="14"/>
      <c r="Y3482" s="14"/>
      <c r="Z3482" s="14"/>
      <c r="AA3482" s="14"/>
      <c r="AB3482" s="14"/>
      <c r="AC3482" s="15">
        <v>31.85</v>
      </c>
      <c r="AD3482" s="15">
        <f>AC3482*AG3482</f>
        <v>31.85</v>
      </c>
      <c r="AE3482" s="15">
        <v>70</v>
      </c>
      <c r="AF3482" s="15">
        <f>AE3482*AG3482</f>
        <v>70</v>
      </c>
      <c r="AG3482" s="16">
        <v>1</v>
      </c>
    </row>
    <row r="3483" spans="1:33" ht="15" customHeight="1" x14ac:dyDescent="0.2">
      <c r="A3483" s="11" t="str">
        <f t="shared" si="941"/>
        <v>VN000PX3BLK1</v>
      </c>
      <c r="B3483" s="12" t="s">
        <v>12545</v>
      </c>
      <c r="C3483" s="12" t="s">
        <v>1345</v>
      </c>
      <c r="D3483" s="12" t="s">
        <v>76</v>
      </c>
      <c r="E3483" s="12" t="s">
        <v>12546</v>
      </c>
      <c r="F3483" s="12" t="s">
        <v>403</v>
      </c>
      <c r="G3483" s="14"/>
      <c r="H3483" s="12" t="s">
        <v>61</v>
      </c>
      <c r="I3483" s="12" t="s">
        <v>62</v>
      </c>
      <c r="J3483" s="12" t="s">
        <v>63</v>
      </c>
      <c r="K3483" s="12" t="s">
        <v>64</v>
      </c>
      <c r="L3483" s="14"/>
      <c r="M3483" s="12" t="s">
        <v>43</v>
      </c>
      <c r="N3483" s="12" t="s">
        <v>84</v>
      </c>
      <c r="O3483" s="12" t="s">
        <v>12547</v>
      </c>
      <c r="P3483" s="12" t="s">
        <v>66</v>
      </c>
      <c r="Q3483" s="12" t="s">
        <v>67</v>
      </c>
      <c r="R3483" s="12" t="s">
        <v>730</v>
      </c>
      <c r="S3483" s="13">
        <v>197804582303</v>
      </c>
      <c r="T3483" s="12" t="s">
        <v>49</v>
      </c>
      <c r="U3483" s="12" t="s">
        <v>403</v>
      </c>
      <c r="V3483" s="12" t="s">
        <v>710</v>
      </c>
      <c r="W3483" s="12" t="s">
        <v>51</v>
      </c>
      <c r="X3483" s="14"/>
      <c r="Y3483" s="14"/>
      <c r="Z3483" s="14"/>
      <c r="AA3483" s="14"/>
      <c r="AB3483" s="14"/>
      <c r="AC3483" s="15">
        <v>31.85</v>
      </c>
      <c r="AD3483" s="15">
        <f>AC3483*AG3483</f>
        <v>31.85</v>
      </c>
      <c r="AE3483" s="15">
        <v>70</v>
      </c>
      <c r="AF3483" s="15">
        <f>AE3483*AG3483</f>
        <v>70</v>
      </c>
      <c r="AG3483" s="16">
        <v>1</v>
      </c>
    </row>
    <row r="3484" spans="1:33" ht="15" customHeight="1" x14ac:dyDescent="0.2">
      <c r="A3484" s="11" t="str">
        <f t="shared" si="736"/>
        <v>VN000PX3EN61</v>
      </c>
      <c r="B3484" s="12" t="s">
        <v>12548</v>
      </c>
      <c r="C3484" s="12" t="s">
        <v>1345</v>
      </c>
      <c r="D3484" s="12" t="s">
        <v>189</v>
      </c>
      <c r="E3484" s="12" t="s">
        <v>12549</v>
      </c>
      <c r="F3484" s="12" t="s">
        <v>60</v>
      </c>
      <c r="G3484" s="14"/>
      <c r="H3484" s="12" t="s">
        <v>61</v>
      </c>
      <c r="I3484" s="12" t="s">
        <v>62</v>
      </c>
      <c r="J3484" s="12" t="s">
        <v>63</v>
      </c>
      <c r="K3484" s="12" t="s">
        <v>64</v>
      </c>
      <c r="L3484" s="14"/>
      <c r="M3484" s="12" t="s">
        <v>43</v>
      </c>
      <c r="N3484" s="12" t="s">
        <v>84</v>
      </c>
      <c r="O3484" s="12" t="s">
        <v>12550</v>
      </c>
      <c r="P3484" s="12" t="s">
        <v>66</v>
      </c>
      <c r="Q3484" s="12" t="s">
        <v>67</v>
      </c>
      <c r="R3484" s="12" t="s">
        <v>730</v>
      </c>
      <c r="S3484" s="13">
        <v>197804365425</v>
      </c>
      <c r="T3484" s="12" t="s">
        <v>49</v>
      </c>
      <c r="U3484" s="12" t="s">
        <v>60</v>
      </c>
      <c r="V3484" s="12" t="s">
        <v>710</v>
      </c>
      <c r="W3484" s="12" t="s">
        <v>118</v>
      </c>
      <c r="X3484" s="14"/>
      <c r="Y3484" s="14"/>
      <c r="Z3484" s="14"/>
      <c r="AA3484" s="14"/>
      <c r="AB3484" s="14"/>
      <c r="AC3484" s="15">
        <v>31.85</v>
      </c>
      <c r="AD3484" s="15">
        <f>AC3484*AG3484</f>
        <v>31.85</v>
      </c>
      <c r="AE3484" s="15">
        <v>70</v>
      </c>
      <c r="AF3484" s="15">
        <f>AE3484*AG3484</f>
        <v>70</v>
      </c>
      <c r="AG3484" s="16">
        <v>1</v>
      </c>
    </row>
    <row r="3485" spans="1:33" ht="15" customHeight="1" x14ac:dyDescent="0.2">
      <c r="A3485" s="11" t="str">
        <f t="shared" ref="A3485:A3486" si="1217">HYPERLINK("https://assets.vans.eu/images/VN000PX8LUT-HERO/1","VN000PX8LUT1")</f>
        <v>VN000PX8LUT1</v>
      </c>
      <c r="B3485" s="12" t="s">
        <v>12551</v>
      </c>
      <c r="C3485" s="12" t="s">
        <v>12552</v>
      </c>
      <c r="D3485" s="12" t="s">
        <v>12553</v>
      </c>
      <c r="E3485" s="12" t="s">
        <v>12554</v>
      </c>
      <c r="F3485" s="12" t="s">
        <v>170</v>
      </c>
      <c r="G3485" s="14"/>
      <c r="H3485" s="12" t="s">
        <v>61</v>
      </c>
      <c r="I3485" s="12" t="s">
        <v>62</v>
      </c>
      <c r="J3485" s="12" t="s">
        <v>63</v>
      </c>
      <c r="K3485" s="12" t="s">
        <v>64</v>
      </c>
      <c r="L3485" s="14"/>
      <c r="M3485" s="12" t="s">
        <v>43</v>
      </c>
      <c r="N3485" s="12" t="s">
        <v>84</v>
      </c>
      <c r="O3485" s="12" t="s">
        <v>12555</v>
      </c>
      <c r="P3485" s="12" t="s">
        <v>66</v>
      </c>
      <c r="Q3485" s="12" t="s">
        <v>67</v>
      </c>
      <c r="R3485" s="12" t="s">
        <v>730</v>
      </c>
      <c r="S3485" s="13">
        <v>197804611027</v>
      </c>
      <c r="T3485" s="12" t="s">
        <v>49</v>
      </c>
      <c r="U3485" s="12" t="s">
        <v>170</v>
      </c>
      <c r="V3485" s="12" t="s">
        <v>1726</v>
      </c>
      <c r="W3485" s="12" t="s">
        <v>51</v>
      </c>
      <c r="X3485" s="14"/>
      <c r="Y3485" s="14"/>
      <c r="Z3485" s="14"/>
      <c r="AA3485" s="14"/>
      <c r="AB3485" s="14"/>
      <c r="AC3485" s="15">
        <v>38.65</v>
      </c>
      <c r="AD3485" s="15">
        <f>AC3485*AG3485</f>
        <v>38.65</v>
      </c>
      <c r="AE3485" s="15">
        <v>85</v>
      </c>
      <c r="AF3485" s="15">
        <f>AE3485*AG3485</f>
        <v>85</v>
      </c>
      <c r="AG3485" s="16">
        <v>1</v>
      </c>
    </row>
    <row r="3486" spans="1:33" ht="15" customHeight="1" x14ac:dyDescent="0.2">
      <c r="A3486" s="11" t="str">
        <f t="shared" si="1217"/>
        <v>VN000PX8LUT1</v>
      </c>
      <c r="B3486" s="12" t="s">
        <v>12556</v>
      </c>
      <c r="C3486" s="12" t="s">
        <v>12552</v>
      </c>
      <c r="D3486" s="12" t="s">
        <v>12553</v>
      </c>
      <c r="E3486" s="12" t="s">
        <v>12557</v>
      </c>
      <c r="F3486" s="12" t="s">
        <v>403</v>
      </c>
      <c r="G3486" s="14"/>
      <c r="H3486" s="12" t="s">
        <v>61</v>
      </c>
      <c r="I3486" s="12" t="s">
        <v>62</v>
      </c>
      <c r="J3486" s="12" t="s">
        <v>63</v>
      </c>
      <c r="K3486" s="12" t="s">
        <v>64</v>
      </c>
      <c r="L3486" s="14"/>
      <c r="M3486" s="12" t="s">
        <v>43</v>
      </c>
      <c r="N3486" s="12" t="s">
        <v>84</v>
      </c>
      <c r="O3486" s="12" t="s">
        <v>12558</v>
      </c>
      <c r="P3486" s="12" t="s">
        <v>66</v>
      </c>
      <c r="Q3486" s="12" t="s">
        <v>67</v>
      </c>
      <c r="R3486" s="12" t="s">
        <v>730</v>
      </c>
      <c r="S3486" s="13">
        <v>197804611058</v>
      </c>
      <c r="T3486" s="12" t="s">
        <v>49</v>
      </c>
      <c r="U3486" s="12" t="s">
        <v>403</v>
      </c>
      <c r="V3486" s="12" t="s">
        <v>1726</v>
      </c>
      <c r="W3486" s="12" t="s">
        <v>51</v>
      </c>
      <c r="X3486" s="14"/>
      <c r="Y3486" s="14"/>
      <c r="Z3486" s="14"/>
      <c r="AA3486" s="14"/>
      <c r="AB3486" s="14"/>
      <c r="AC3486" s="15">
        <v>38.65</v>
      </c>
      <c r="AD3486" s="15">
        <f>AC3486*AG3486</f>
        <v>38.65</v>
      </c>
      <c r="AE3486" s="15">
        <v>85</v>
      </c>
      <c r="AF3486" s="15">
        <f>AE3486*AG3486</f>
        <v>85</v>
      </c>
      <c r="AG3486" s="16">
        <v>1</v>
      </c>
    </row>
    <row r="3487" spans="1:33" ht="15" customHeight="1" x14ac:dyDescent="0.2">
      <c r="A3487" s="11" t="str">
        <f>HYPERLINK("https://assets.vans.eu/images/VN000PXBEN7-HERO/1","VN000PXBEN71")</f>
        <v>VN000PXBEN71</v>
      </c>
      <c r="B3487" s="12" t="s">
        <v>12559</v>
      </c>
      <c r="C3487" s="12" t="s">
        <v>12560</v>
      </c>
      <c r="D3487" s="12" t="s">
        <v>295</v>
      </c>
      <c r="E3487" s="12" t="s">
        <v>12561</v>
      </c>
      <c r="F3487" s="12" t="s">
        <v>60</v>
      </c>
      <c r="G3487" s="14"/>
      <c r="H3487" s="12" t="s">
        <v>61</v>
      </c>
      <c r="I3487" s="12" t="s">
        <v>62</v>
      </c>
      <c r="J3487" s="12" t="s">
        <v>63</v>
      </c>
      <c r="K3487" s="12" t="s">
        <v>64</v>
      </c>
      <c r="L3487" s="14"/>
      <c r="M3487" s="12" t="s">
        <v>43</v>
      </c>
      <c r="N3487" s="12" t="s">
        <v>84</v>
      </c>
      <c r="O3487" s="12" t="s">
        <v>12562</v>
      </c>
      <c r="P3487" s="12" t="s">
        <v>66</v>
      </c>
      <c r="Q3487" s="12" t="s">
        <v>67</v>
      </c>
      <c r="R3487" s="12" t="s">
        <v>730</v>
      </c>
      <c r="S3487" s="13">
        <v>197804365388</v>
      </c>
      <c r="T3487" s="12" t="s">
        <v>709</v>
      </c>
      <c r="U3487" s="12" t="s">
        <v>60</v>
      </c>
      <c r="V3487" s="12" t="s">
        <v>710</v>
      </c>
      <c r="W3487" s="12" t="s">
        <v>299</v>
      </c>
      <c r="X3487" s="14"/>
      <c r="Y3487" s="14"/>
      <c r="Z3487" s="14"/>
      <c r="AA3487" s="14"/>
      <c r="AB3487" s="14"/>
      <c r="AC3487" s="15">
        <v>29.55</v>
      </c>
      <c r="AD3487" s="15">
        <f>AC3487*AG3487</f>
        <v>29.55</v>
      </c>
      <c r="AE3487" s="15">
        <v>65</v>
      </c>
      <c r="AF3487" s="15">
        <f>AE3487*AG3487</f>
        <v>65</v>
      </c>
      <c r="AG3487" s="16">
        <v>1</v>
      </c>
    </row>
    <row r="3488" spans="1:33" ht="15" customHeight="1" x14ac:dyDescent="0.2">
      <c r="A3488" s="11" t="str">
        <f t="shared" si="392"/>
        <v>VN000PXEEMS1</v>
      </c>
      <c r="B3488" s="12" t="s">
        <v>12563</v>
      </c>
      <c r="C3488" s="12" t="s">
        <v>2729</v>
      </c>
      <c r="D3488" s="12" t="s">
        <v>863</v>
      </c>
      <c r="E3488" s="12" t="s">
        <v>12564</v>
      </c>
      <c r="F3488" s="12" t="s">
        <v>60</v>
      </c>
      <c r="G3488" s="14"/>
      <c r="H3488" s="12" t="s">
        <v>61</v>
      </c>
      <c r="I3488" s="12" t="s">
        <v>62</v>
      </c>
      <c r="J3488" s="12" t="s">
        <v>63</v>
      </c>
      <c r="K3488" s="12" t="s">
        <v>64</v>
      </c>
      <c r="L3488" s="14"/>
      <c r="M3488" s="12" t="s">
        <v>43</v>
      </c>
      <c r="N3488" s="12" t="s">
        <v>84</v>
      </c>
      <c r="O3488" s="12" t="s">
        <v>12565</v>
      </c>
      <c r="P3488" s="12" t="s">
        <v>66</v>
      </c>
      <c r="Q3488" s="12" t="s">
        <v>67</v>
      </c>
      <c r="R3488" s="12" t="s">
        <v>730</v>
      </c>
      <c r="S3488" s="13">
        <v>197804365647</v>
      </c>
      <c r="T3488" s="12" t="s">
        <v>709</v>
      </c>
      <c r="U3488" s="12" t="s">
        <v>60</v>
      </c>
      <c r="V3488" s="12" t="s">
        <v>710</v>
      </c>
      <c r="W3488" s="12" t="s">
        <v>107</v>
      </c>
      <c r="X3488" s="14"/>
      <c r="Y3488" s="14"/>
      <c r="Z3488" s="14"/>
      <c r="AA3488" s="14"/>
      <c r="AB3488" s="14"/>
      <c r="AC3488" s="15">
        <v>29.55</v>
      </c>
      <c r="AD3488" s="15">
        <f>AC3488*AG3488</f>
        <v>29.55</v>
      </c>
      <c r="AE3488" s="15">
        <v>65</v>
      </c>
      <c r="AF3488" s="15">
        <f>AE3488*AG3488</f>
        <v>65</v>
      </c>
      <c r="AG3488" s="16">
        <v>1</v>
      </c>
    </row>
    <row r="3489" spans="1:33" ht="15" customHeight="1" x14ac:dyDescent="0.2">
      <c r="A3489" s="11" t="str">
        <f>HYPERLINK("https://assets.vans.eu/images/VN000PXMCDX-HERO/1","VN000PXMCDX1")</f>
        <v>VN000PXMCDX1</v>
      </c>
      <c r="B3489" s="12" t="s">
        <v>12566</v>
      </c>
      <c r="C3489" s="12" t="s">
        <v>759</v>
      </c>
      <c r="D3489" s="12" t="s">
        <v>760</v>
      </c>
      <c r="E3489" s="12" t="s">
        <v>12567</v>
      </c>
      <c r="F3489" s="12" t="s">
        <v>170</v>
      </c>
      <c r="G3489" s="14"/>
      <c r="H3489" s="12" t="s">
        <v>61</v>
      </c>
      <c r="I3489" s="12" t="s">
        <v>62</v>
      </c>
      <c r="J3489" s="12" t="s">
        <v>2938</v>
      </c>
      <c r="K3489" s="12" t="s">
        <v>64</v>
      </c>
      <c r="L3489" s="14"/>
      <c r="M3489" s="12" t="s">
        <v>43</v>
      </c>
      <c r="N3489" s="12" t="s">
        <v>84</v>
      </c>
      <c r="O3489" s="12" t="s">
        <v>12568</v>
      </c>
      <c r="P3489" s="12" t="s">
        <v>66</v>
      </c>
      <c r="Q3489" s="12" t="s">
        <v>764</v>
      </c>
      <c r="R3489" s="12" t="s">
        <v>2940</v>
      </c>
      <c r="S3489" s="13">
        <v>197804365814</v>
      </c>
      <c r="T3489" s="12" t="s">
        <v>235</v>
      </c>
      <c r="U3489" s="12" t="s">
        <v>170</v>
      </c>
      <c r="V3489" s="12" t="s">
        <v>665</v>
      </c>
      <c r="W3489" s="12" t="s">
        <v>284</v>
      </c>
      <c r="X3489" s="14"/>
      <c r="Y3489" s="14"/>
      <c r="Z3489" s="14"/>
      <c r="AA3489" s="14"/>
      <c r="AB3489" s="14"/>
      <c r="AC3489" s="15">
        <v>50</v>
      </c>
      <c r="AD3489" s="15">
        <f>AC3489*AG3489</f>
        <v>50</v>
      </c>
      <c r="AE3489" s="15">
        <v>110</v>
      </c>
      <c r="AF3489" s="15">
        <f>AE3489*AG3489</f>
        <v>110</v>
      </c>
      <c r="AG3489" s="16">
        <v>1</v>
      </c>
    </row>
    <row r="3490" spans="1:33" ht="15" customHeight="1" x14ac:dyDescent="0.2">
      <c r="A3490" s="11" t="str">
        <f t="shared" si="942"/>
        <v>VN000PXNJDU1</v>
      </c>
      <c r="B3490" s="12" t="s">
        <v>12569</v>
      </c>
      <c r="C3490" s="12" t="s">
        <v>8639</v>
      </c>
      <c r="D3490" s="12" t="s">
        <v>814</v>
      </c>
      <c r="E3490" s="12" t="s">
        <v>12570</v>
      </c>
      <c r="F3490" s="12" t="s">
        <v>179</v>
      </c>
      <c r="G3490" s="14"/>
      <c r="H3490" s="12" t="s">
        <v>61</v>
      </c>
      <c r="I3490" s="12" t="s">
        <v>62</v>
      </c>
      <c r="J3490" s="12" t="s">
        <v>2938</v>
      </c>
      <c r="K3490" s="12" t="s">
        <v>64</v>
      </c>
      <c r="L3490" s="14"/>
      <c r="M3490" s="12" t="s">
        <v>43</v>
      </c>
      <c r="N3490" s="12" t="s">
        <v>84</v>
      </c>
      <c r="O3490" s="12" t="s">
        <v>12571</v>
      </c>
      <c r="P3490" s="12" t="s">
        <v>66</v>
      </c>
      <c r="Q3490" s="12" t="s">
        <v>764</v>
      </c>
      <c r="R3490" s="12" t="s">
        <v>2940</v>
      </c>
      <c r="S3490" s="13">
        <v>197804365661</v>
      </c>
      <c r="T3490" s="12" t="s">
        <v>235</v>
      </c>
      <c r="U3490" s="12" t="s">
        <v>179</v>
      </c>
      <c r="V3490" s="12" t="s">
        <v>665</v>
      </c>
      <c r="W3490" s="12" t="s">
        <v>284</v>
      </c>
      <c r="X3490" s="14"/>
      <c r="Y3490" s="14"/>
      <c r="Z3490" s="14"/>
      <c r="AA3490" s="14"/>
      <c r="AB3490" s="14"/>
      <c r="AC3490" s="15">
        <v>36.4</v>
      </c>
      <c r="AD3490" s="15">
        <f>AC3490*AG3490</f>
        <v>36.4</v>
      </c>
      <c r="AE3490" s="15">
        <v>80</v>
      </c>
      <c r="AF3490" s="15">
        <f>AE3490*AG3490</f>
        <v>80</v>
      </c>
      <c r="AG3490" s="16">
        <v>1</v>
      </c>
    </row>
    <row r="3491" spans="1:33" ht="15" customHeight="1" x14ac:dyDescent="0.2">
      <c r="A3491" s="11" t="str">
        <f t="shared" si="224"/>
        <v>VN000PXTBLK1</v>
      </c>
      <c r="B3491" s="12" t="s">
        <v>12572</v>
      </c>
      <c r="C3491" s="12" t="s">
        <v>2385</v>
      </c>
      <c r="D3491" s="12" t="s">
        <v>76</v>
      </c>
      <c r="E3491" s="12" t="s">
        <v>12573</v>
      </c>
      <c r="F3491" s="12" t="s">
        <v>170</v>
      </c>
      <c r="G3491" s="14"/>
      <c r="H3491" s="12" t="s">
        <v>61</v>
      </c>
      <c r="I3491" s="12" t="s">
        <v>62</v>
      </c>
      <c r="J3491" s="12" t="s">
        <v>63</v>
      </c>
      <c r="K3491" s="12" t="s">
        <v>64</v>
      </c>
      <c r="L3491" s="14"/>
      <c r="M3491" s="12" t="s">
        <v>43</v>
      </c>
      <c r="N3491" s="12" t="s">
        <v>84</v>
      </c>
      <c r="O3491" s="12" t="s">
        <v>12574</v>
      </c>
      <c r="P3491" s="12" t="s">
        <v>66</v>
      </c>
      <c r="Q3491" s="12" t="s">
        <v>67</v>
      </c>
      <c r="R3491" s="12" t="s">
        <v>68</v>
      </c>
      <c r="S3491" s="13">
        <v>197804607112</v>
      </c>
      <c r="T3491" s="12" t="s">
        <v>69</v>
      </c>
      <c r="U3491" s="12" t="s">
        <v>170</v>
      </c>
      <c r="V3491" s="12" t="s">
        <v>70</v>
      </c>
      <c r="W3491" s="12" t="s">
        <v>51</v>
      </c>
      <c r="X3491" s="14"/>
      <c r="Y3491" s="14"/>
      <c r="Z3491" s="14"/>
      <c r="AA3491" s="14"/>
      <c r="AB3491" s="14"/>
      <c r="AC3491" s="15">
        <v>13.65</v>
      </c>
      <c r="AD3491" s="15">
        <f>AC3491*AG3491</f>
        <v>13.65</v>
      </c>
      <c r="AE3491" s="15">
        <v>30</v>
      </c>
      <c r="AF3491" s="15">
        <f>AE3491*AG3491</f>
        <v>30</v>
      </c>
      <c r="AG3491" s="16">
        <v>1</v>
      </c>
    </row>
    <row r="3492" spans="1:33" ht="15" customHeight="1" x14ac:dyDescent="0.2">
      <c r="A3492" s="11" t="str">
        <f>HYPERLINK("https://assets.vans.eu/images/VN000PXTBLK-HERO/1","VN000PXTBLK1")</f>
        <v>VN000PXTBLK1</v>
      </c>
      <c r="B3492" s="12" t="s">
        <v>12575</v>
      </c>
      <c r="C3492" s="12" t="s">
        <v>2385</v>
      </c>
      <c r="D3492" s="12" t="s">
        <v>76</v>
      </c>
      <c r="E3492" s="12" t="s">
        <v>12576</v>
      </c>
      <c r="F3492" s="12" t="s">
        <v>403</v>
      </c>
      <c r="G3492" s="14"/>
      <c r="H3492" s="12" t="s">
        <v>61</v>
      </c>
      <c r="I3492" s="12" t="s">
        <v>62</v>
      </c>
      <c r="J3492" s="12" t="s">
        <v>63</v>
      </c>
      <c r="K3492" s="12" t="s">
        <v>64</v>
      </c>
      <c r="L3492" s="14"/>
      <c r="M3492" s="12" t="s">
        <v>43</v>
      </c>
      <c r="N3492" s="12" t="s">
        <v>84</v>
      </c>
      <c r="O3492" s="12" t="s">
        <v>12577</v>
      </c>
      <c r="P3492" s="12" t="s">
        <v>66</v>
      </c>
      <c r="Q3492" s="12" t="s">
        <v>67</v>
      </c>
      <c r="R3492" s="12" t="s">
        <v>68</v>
      </c>
      <c r="S3492" s="13">
        <v>197804607129</v>
      </c>
      <c r="T3492" s="12" t="s">
        <v>69</v>
      </c>
      <c r="U3492" s="12" t="s">
        <v>403</v>
      </c>
      <c r="V3492" s="12" t="s">
        <v>70</v>
      </c>
      <c r="W3492" s="12" t="s">
        <v>51</v>
      </c>
      <c r="X3492" s="14"/>
      <c r="Y3492" s="14"/>
      <c r="Z3492" s="14"/>
      <c r="AA3492" s="14"/>
      <c r="AB3492" s="14"/>
      <c r="AC3492" s="15">
        <v>13.65</v>
      </c>
      <c r="AD3492" s="15">
        <f>AC3492*AG3492</f>
        <v>13.65</v>
      </c>
      <c r="AE3492" s="15">
        <v>30</v>
      </c>
      <c r="AF3492" s="15">
        <f>AE3492*AG3492</f>
        <v>30</v>
      </c>
      <c r="AG3492" s="16">
        <v>1</v>
      </c>
    </row>
    <row r="3493" spans="1:33" ht="15" customHeight="1" x14ac:dyDescent="0.2">
      <c r="A3493" s="11" t="str">
        <f>HYPERLINK("https://assets.vans.eu/images/VN000PXUBLK-HERO/1","VN000PXUBLK1")</f>
        <v>VN000PXUBLK1</v>
      </c>
      <c r="B3493" s="12" t="s">
        <v>12578</v>
      </c>
      <c r="C3493" s="12" t="s">
        <v>12579</v>
      </c>
      <c r="D3493" s="12" t="s">
        <v>76</v>
      </c>
      <c r="E3493" s="12" t="s">
        <v>12580</v>
      </c>
      <c r="F3493" s="12" t="s">
        <v>179</v>
      </c>
      <c r="G3493" s="14"/>
      <c r="H3493" s="12" t="s">
        <v>61</v>
      </c>
      <c r="I3493" s="12" t="s">
        <v>62</v>
      </c>
      <c r="J3493" s="12" t="s">
        <v>63</v>
      </c>
      <c r="K3493" s="12" t="s">
        <v>64</v>
      </c>
      <c r="L3493" s="14"/>
      <c r="M3493" s="12" t="s">
        <v>43</v>
      </c>
      <c r="N3493" s="12" t="s">
        <v>84</v>
      </c>
      <c r="O3493" s="12" t="s">
        <v>12581</v>
      </c>
      <c r="P3493" s="12" t="s">
        <v>66</v>
      </c>
      <c r="Q3493" s="12" t="s">
        <v>67</v>
      </c>
      <c r="R3493" s="12" t="s">
        <v>68</v>
      </c>
      <c r="S3493" s="13">
        <v>197804365845</v>
      </c>
      <c r="T3493" s="12" t="s">
        <v>915</v>
      </c>
      <c r="U3493" s="12" t="s">
        <v>179</v>
      </c>
      <c r="V3493" s="12" t="s">
        <v>1028</v>
      </c>
      <c r="W3493" s="12" t="s">
        <v>51</v>
      </c>
      <c r="X3493" s="14"/>
      <c r="Y3493" s="14"/>
      <c r="Z3493" s="14"/>
      <c r="AA3493" s="14"/>
      <c r="AB3493" s="14"/>
      <c r="AC3493" s="15">
        <v>13.65</v>
      </c>
      <c r="AD3493" s="15">
        <f>AC3493*AG3493</f>
        <v>13.65</v>
      </c>
      <c r="AE3493" s="15">
        <v>30</v>
      </c>
      <c r="AF3493" s="15">
        <f>AE3493*AG3493</f>
        <v>30</v>
      </c>
      <c r="AG3493" s="16">
        <v>1</v>
      </c>
    </row>
    <row r="3494" spans="1:33" ht="15" customHeight="1" x14ac:dyDescent="0.2">
      <c r="A3494" s="11" t="str">
        <f t="shared" si="740"/>
        <v>VN000PXWWHT1</v>
      </c>
      <c r="B3494" s="12" t="s">
        <v>12582</v>
      </c>
      <c r="C3494" s="12" t="s">
        <v>3164</v>
      </c>
      <c r="D3494" s="12" t="s">
        <v>168</v>
      </c>
      <c r="E3494" s="12" t="s">
        <v>12583</v>
      </c>
      <c r="F3494" s="12" t="s">
        <v>170</v>
      </c>
      <c r="G3494" s="14"/>
      <c r="H3494" s="12" t="s">
        <v>61</v>
      </c>
      <c r="I3494" s="12" t="s">
        <v>62</v>
      </c>
      <c r="J3494" s="12" t="s">
        <v>63</v>
      </c>
      <c r="K3494" s="12" t="s">
        <v>64</v>
      </c>
      <c r="L3494" s="14"/>
      <c r="M3494" s="12" t="s">
        <v>43</v>
      </c>
      <c r="N3494" s="12" t="s">
        <v>84</v>
      </c>
      <c r="O3494" s="12" t="s">
        <v>12584</v>
      </c>
      <c r="P3494" s="12" t="s">
        <v>66</v>
      </c>
      <c r="Q3494" s="12" t="s">
        <v>67</v>
      </c>
      <c r="R3494" s="12" t="s">
        <v>68</v>
      </c>
      <c r="S3494" s="13">
        <v>197804765973</v>
      </c>
      <c r="T3494" s="12" t="s">
        <v>915</v>
      </c>
      <c r="U3494" s="12" t="s">
        <v>170</v>
      </c>
      <c r="V3494" s="12" t="s">
        <v>1028</v>
      </c>
      <c r="W3494" s="12" t="s">
        <v>175</v>
      </c>
      <c r="X3494" s="14"/>
      <c r="Y3494" s="14"/>
      <c r="Z3494" s="14"/>
      <c r="AA3494" s="14"/>
      <c r="AB3494" s="14"/>
      <c r="AC3494" s="15">
        <v>15.95</v>
      </c>
      <c r="AD3494" s="15">
        <f>AC3494*AG3494</f>
        <v>15.95</v>
      </c>
      <c r="AE3494" s="15">
        <v>35</v>
      </c>
      <c r="AF3494" s="15">
        <f>AE3494*AG3494</f>
        <v>35</v>
      </c>
      <c r="AG3494" s="16">
        <v>1</v>
      </c>
    </row>
    <row r="3495" spans="1:33" ht="15" customHeight="1" x14ac:dyDescent="0.2">
      <c r="A3495" s="11" t="str">
        <f t="shared" si="943"/>
        <v>VN000PXXWHT1</v>
      </c>
      <c r="B3495" s="12" t="s">
        <v>12585</v>
      </c>
      <c r="C3495" s="12" t="s">
        <v>1912</v>
      </c>
      <c r="D3495" s="12" t="s">
        <v>168</v>
      </c>
      <c r="E3495" s="12" t="s">
        <v>12586</v>
      </c>
      <c r="F3495" s="12" t="s">
        <v>403</v>
      </c>
      <c r="G3495" s="14"/>
      <c r="H3495" s="12" t="s">
        <v>61</v>
      </c>
      <c r="I3495" s="12" t="s">
        <v>62</v>
      </c>
      <c r="J3495" s="12" t="s">
        <v>63</v>
      </c>
      <c r="K3495" s="12" t="s">
        <v>64</v>
      </c>
      <c r="L3495" s="14"/>
      <c r="M3495" s="12" t="s">
        <v>43</v>
      </c>
      <c r="N3495" s="12" t="s">
        <v>84</v>
      </c>
      <c r="O3495" s="12" t="s">
        <v>12587</v>
      </c>
      <c r="P3495" s="12" t="s">
        <v>66</v>
      </c>
      <c r="Q3495" s="12" t="s">
        <v>67</v>
      </c>
      <c r="R3495" s="12" t="s">
        <v>68</v>
      </c>
      <c r="S3495" s="13">
        <v>197804617241</v>
      </c>
      <c r="T3495" s="12" t="s">
        <v>422</v>
      </c>
      <c r="U3495" s="12" t="s">
        <v>403</v>
      </c>
      <c r="V3495" s="12" t="s">
        <v>70</v>
      </c>
      <c r="W3495" s="12" t="s">
        <v>175</v>
      </c>
      <c r="X3495" s="14"/>
      <c r="Y3495" s="14"/>
      <c r="Z3495" s="14"/>
      <c r="AA3495" s="14"/>
      <c r="AB3495" s="14"/>
      <c r="AC3495" s="15">
        <v>13.65</v>
      </c>
      <c r="AD3495" s="15">
        <f>AC3495*AG3495</f>
        <v>13.65</v>
      </c>
      <c r="AE3495" s="15">
        <v>30</v>
      </c>
      <c r="AF3495" s="15">
        <f>AE3495*AG3495</f>
        <v>30</v>
      </c>
      <c r="AG3495" s="16">
        <v>1</v>
      </c>
    </row>
    <row r="3496" spans="1:33" ht="15" customHeight="1" x14ac:dyDescent="0.2">
      <c r="A3496" s="11" t="str">
        <f>HYPERLINK("https://assets.vans.eu/images/VN000PY6BLK-HERO/1","VN000PY6BLK1")</f>
        <v>VN000PY6BLK1</v>
      </c>
      <c r="B3496" s="12" t="s">
        <v>12588</v>
      </c>
      <c r="C3496" s="12" t="s">
        <v>12589</v>
      </c>
      <c r="D3496" s="12" t="s">
        <v>76</v>
      </c>
      <c r="E3496" s="12" t="s">
        <v>12590</v>
      </c>
      <c r="F3496" s="12" t="s">
        <v>179</v>
      </c>
      <c r="G3496" s="14"/>
      <c r="H3496" s="12" t="s">
        <v>61</v>
      </c>
      <c r="I3496" s="12" t="s">
        <v>62</v>
      </c>
      <c r="J3496" s="12" t="s">
        <v>63</v>
      </c>
      <c r="K3496" s="12" t="s">
        <v>64</v>
      </c>
      <c r="L3496" s="14"/>
      <c r="M3496" s="12" t="s">
        <v>43</v>
      </c>
      <c r="N3496" s="12" t="s">
        <v>84</v>
      </c>
      <c r="O3496" s="12" t="s">
        <v>12591</v>
      </c>
      <c r="P3496" s="12" t="s">
        <v>66</v>
      </c>
      <c r="Q3496" s="12" t="s">
        <v>67</v>
      </c>
      <c r="R3496" s="12" t="s">
        <v>68</v>
      </c>
      <c r="S3496" s="13">
        <v>197804366194</v>
      </c>
      <c r="T3496" s="12" t="s">
        <v>915</v>
      </c>
      <c r="U3496" s="12" t="s">
        <v>179</v>
      </c>
      <c r="V3496" s="12" t="s">
        <v>1028</v>
      </c>
      <c r="W3496" s="12" t="s">
        <v>51</v>
      </c>
      <c r="X3496" s="14"/>
      <c r="Y3496" s="14"/>
      <c r="Z3496" s="14"/>
      <c r="AA3496" s="14"/>
      <c r="AB3496" s="14"/>
      <c r="AC3496" s="15">
        <v>15.95</v>
      </c>
      <c r="AD3496" s="15">
        <f>AC3496*AG3496</f>
        <v>15.95</v>
      </c>
      <c r="AE3496" s="15">
        <v>35</v>
      </c>
      <c r="AF3496" s="15">
        <f>AE3496*AG3496</f>
        <v>35</v>
      </c>
      <c r="AG3496" s="16">
        <v>1</v>
      </c>
    </row>
    <row r="3497" spans="1:33" ht="15" customHeight="1" x14ac:dyDescent="0.2">
      <c r="A3497" s="11" t="str">
        <f t="shared" si="944"/>
        <v>VN000Q09GC61</v>
      </c>
      <c r="B3497" s="12" t="s">
        <v>12592</v>
      </c>
      <c r="C3497" s="12" t="s">
        <v>1577</v>
      </c>
      <c r="D3497" s="12" t="s">
        <v>1744</v>
      </c>
      <c r="E3497" s="12" t="s">
        <v>12593</v>
      </c>
      <c r="F3497" s="13">
        <v>24</v>
      </c>
      <c r="G3497" s="14"/>
      <c r="H3497" s="12" t="s">
        <v>61</v>
      </c>
      <c r="I3497" s="12" t="s">
        <v>62</v>
      </c>
      <c r="J3497" s="12" t="s">
        <v>972</v>
      </c>
      <c r="K3497" s="12" t="s">
        <v>64</v>
      </c>
      <c r="L3497" s="14"/>
      <c r="M3497" s="12" t="s">
        <v>43</v>
      </c>
      <c r="N3497" s="12" t="s">
        <v>84</v>
      </c>
      <c r="O3497" s="12" t="s">
        <v>12594</v>
      </c>
      <c r="P3497" s="12" t="s">
        <v>66</v>
      </c>
      <c r="Q3497" s="12" t="s">
        <v>233</v>
      </c>
      <c r="R3497" s="12" t="s">
        <v>974</v>
      </c>
      <c r="S3497" s="13">
        <v>197804669332</v>
      </c>
      <c r="T3497" s="12" t="s">
        <v>235</v>
      </c>
      <c r="U3497" s="13">
        <v>24</v>
      </c>
      <c r="V3497" s="12" t="s">
        <v>665</v>
      </c>
      <c r="W3497" s="12" t="s">
        <v>284</v>
      </c>
      <c r="X3497" s="14"/>
      <c r="Y3497" s="14"/>
      <c r="Z3497" s="14"/>
      <c r="AA3497" s="14"/>
      <c r="AB3497" s="14"/>
      <c r="AC3497" s="15">
        <v>29.55</v>
      </c>
      <c r="AD3497" s="15">
        <f>AC3497*AG3497</f>
        <v>29.55</v>
      </c>
      <c r="AE3497" s="15">
        <v>65</v>
      </c>
      <c r="AF3497" s="15">
        <f>AE3497*AG3497</f>
        <v>65</v>
      </c>
      <c r="AG3497" s="16">
        <v>1</v>
      </c>
    </row>
    <row r="3498" spans="1:33" ht="15" customHeight="1" x14ac:dyDescent="0.2">
      <c r="A3498" s="11" t="str">
        <f t="shared" ref="A3498:A3500" si="1218">HYPERLINK("https://assets.vans.eu/images/VN000Q0ACDX-HERO/1","VN000Q0ACDX1")</f>
        <v>VN000Q0ACDX1</v>
      </c>
      <c r="B3498" s="12" t="s">
        <v>12595</v>
      </c>
      <c r="C3498" s="12" t="s">
        <v>6816</v>
      </c>
      <c r="D3498" s="12" t="s">
        <v>760</v>
      </c>
      <c r="E3498" s="12" t="s">
        <v>12596</v>
      </c>
      <c r="F3498" s="13">
        <v>24</v>
      </c>
      <c r="G3498" s="14"/>
      <c r="H3498" s="12" t="s">
        <v>61</v>
      </c>
      <c r="I3498" s="12" t="s">
        <v>62</v>
      </c>
      <c r="J3498" s="12" t="s">
        <v>972</v>
      </c>
      <c r="K3498" s="12" t="s">
        <v>64</v>
      </c>
      <c r="L3498" s="14"/>
      <c r="M3498" s="12" t="s">
        <v>43</v>
      </c>
      <c r="N3498" s="12" t="s">
        <v>84</v>
      </c>
      <c r="O3498" s="12" t="s">
        <v>12597</v>
      </c>
      <c r="P3498" s="12" t="s">
        <v>66</v>
      </c>
      <c r="Q3498" s="12" t="s">
        <v>233</v>
      </c>
      <c r="R3498" s="12" t="s">
        <v>974</v>
      </c>
      <c r="S3498" s="13">
        <v>197804669233</v>
      </c>
      <c r="T3498" s="12" t="s">
        <v>235</v>
      </c>
      <c r="U3498" s="13">
        <v>24</v>
      </c>
      <c r="V3498" s="12" t="s">
        <v>665</v>
      </c>
      <c r="W3498" s="12" t="s">
        <v>284</v>
      </c>
      <c r="X3498" s="14"/>
      <c r="Y3498" s="14"/>
      <c r="Z3498" s="14"/>
      <c r="AA3498" s="14"/>
      <c r="AB3498" s="14"/>
      <c r="AC3498" s="15">
        <v>31.85</v>
      </c>
      <c r="AD3498" s="15">
        <f>AC3498*AG3498</f>
        <v>31.85</v>
      </c>
      <c r="AE3498" s="15">
        <v>70</v>
      </c>
      <c r="AF3498" s="15">
        <f>AE3498*AG3498</f>
        <v>70</v>
      </c>
      <c r="AG3498" s="16">
        <v>1</v>
      </c>
    </row>
    <row r="3499" spans="1:33" ht="15" customHeight="1" x14ac:dyDescent="0.2">
      <c r="A3499" s="11" t="str">
        <f t="shared" si="1218"/>
        <v>VN000Q0ACDX1</v>
      </c>
      <c r="B3499" s="12" t="s">
        <v>12598</v>
      </c>
      <c r="C3499" s="12" t="s">
        <v>6816</v>
      </c>
      <c r="D3499" s="12" t="s">
        <v>760</v>
      </c>
      <c r="E3499" s="12" t="s">
        <v>12599</v>
      </c>
      <c r="F3499" s="13">
        <v>25</v>
      </c>
      <c r="G3499" s="14"/>
      <c r="H3499" s="12" t="s">
        <v>61</v>
      </c>
      <c r="I3499" s="12" t="s">
        <v>62</v>
      </c>
      <c r="J3499" s="12" t="s">
        <v>972</v>
      </c>
      <c r="K3499" s="12" t="s">
        <v>64</v>
      </c>
      <c r="L3499" s="14"/>
      <c r="M3499" s="12" t="s">
        <v>43</v>
      </c>
      <c r="N3499" s="12" t="s">
        <v>84</v>
      </c>
      <c r="O3499" s="12" t="s">
        <v>12600</v>
      </c>
      <c r="P3499" s="12" t="s">
        <v>66</v>
      </c>
      <c r="Q3499" s="12" t="s">
        <v>233</v>
      </c>
      <c r="R3499" s="12" t="s">
        <v>974</v>
      </c>
      <c r="S3499" s="13">
        <v>197804669257</v>
      </c>
      <c r="T3499" s="12" t="s">
        <v>235</v>
      </c>
      <c r="U3499" s="13">
        <v>25</v>
      </c>
      <c r="V3499" s="12" t="s">
        <v>665</v>
      </c>
      <c r="W3499" s="12" t="s">
        <v>284</v>
      </c>
      <c r="X3499" s="14"/>
      <c r="Y3499" s="14"/>
      <c r="Z3499" s="14"/>
      <c r="AA3499" s="14"/>
      <c r="AB3499" s="14"/>
      <c r="AC3499" s="15">
        <v>31.85</v>
      </c>
      <c r="AD3499" s="15">
        <f>AC3499*AG3499</f>
        <v>31.85</v>
      </c>
      <c r="AE3499" s="15">
        <v>70</v>
      </c>
      <c r="AF3499" s="15">
        <f>AE3499*AG3499</f>
        <v>70</v>
      </c>
      <c r="AG3499" s="16">
        <v>1</v>
      </c>
    </row>
    <row r="3500" spans="1:33" ht="15" customHeight="1" x14ac:dyDescent="0.2">
      <c r="A3500" s="11" t="str">
        <f t="shared" si="1218"/>
        <v>VN000Q0ACDX1</v>
      </c>
      <c r="B3500" s="12" t="s">
        <v>12601</v>
      </c>
      <c r="C3500" s="12" t="s">
        <v>6816</v>
      </c>
      <c r="D3500" s="12" t="s">
        <v>760</v>
      </c>
      <c r="E3500" s="12" t="s">
        <v>12602</v>
      </c>
      <c r="F3500" s="13">
        <v>28</v>
      </c>
      <c r="G3500" s="14"/>
      <c r="H3500" s="12" t="s">
        <v>61</v>
      </c>
      <c r="I3500" s="12" t="s">
        <v>62</v>
      </c>
      <c r="J3500" s="12" t="s">
        <v>972</v>
      </c>
      <c r="K3500" s="12" t="s">
        <v>64</v>
      </c>
      <c r="L3500" s="14"/>
      <c r="M3500" s="12" t="s">
        <v>43</v>
      </c>
      <c r="N3500" s="12" t="s">
        <v>84</v>
      </c>
      <c r="O3500" s="12" t="s">
        <v>12603</v>
      </c>
      <c r="P3500" s="12" t="s">
        <v>66</v>
      </c>
      <c r="Q3500" s="12" t="s">
        <v>233</v>
      </c>
      <c r="R3500" s="12" t="s">
        <v>974</v>
      </c>
      <c r="S3500" s="13">
        <v>197804669516</v>
      </c>
      <c r="T3500" s="12" t="s">
        <v>235</v>
      </c>
      <c r="U3500" s="13">
        <v>28</v>
      </c>
      <c r="V3500" s="12" t="s">
        <v>665</v>
      </c>
      <c r="W3500" s="12" t="s">
        <v>284</v>
      </c>
      <c r="X3500" s="14"/>
      <c r="Y3500" s="14"/>
      <c r="Z3500" s="14"/>
      <c r="AA3500" s="14"/>
      <c r="AB3500" s="14"/>
      <c r="AC3500" s="15">
        <v>31.85</v>
      </c>
      <c r="AD3500" s="15">
        <f>AC3500*AG3500</f>
        <v>31.85</v>
      </c>
      <c r="AE3500" s="15">
        <v>70</v>
      </c>
      <c r="AF3500" s="15">
        <f>AE3500*AG3500</f>
        <v>70</v>
      </c>
      <c r="AG3500" s="16">
        <v>1</v>
      </c>
    </row>
    <row r="3501" spans="1:33" ht="15" customHeight="1" x14ac:dyDescent="0.2">
      <c r="A3501" s="11" t="str">
        <f t="shared" ref="A3501:A3502" si="1219">HYPERLINK("https://assets.vans.eu/images/VN000Q0PEMP-HERO/1","VN000Q0PEMP1")</f>
        <v>VN000Q0PEMP1</v>
      </c>
      <c r="B3501" s="12" t="s">
        <v>12604</v>
      </c>
      <c r="C3501" s="12" t="s">
        <v>2737</v>
      </c>
      <c r="D3501" s="12" t="s">
        <v>704</v>
      </c>
      <c r="E3501" s="12" t="s">
        <v>12605</v>
      </c>
      <c r="F3501" s="12" t="s">
        <v>179</v>
      </c>
      <c r="G3501" s="14"/>
      <c r="H3501" s="12" t="s">
        <v>61</v>
      </c>
      <c r="I3501" s="12" t="s">
        <v>289</v>
      </c>
      <c r="J3501" s="12" t="s">
        <v>706</v>
      </c>
      <c r="K3501" s="12" t="s">
        <v>100</v>
      </c>
      <c r="L3501" s="14"/>
      <c r="M3501" s="12" t="s">
        <v>43</v>
      </c>
      <c r="N3501" s="12" t="s">
        <v>84</v>
      </c>
      <c r="O3501" s="12" t="s">
        <v>12606</v>
      </c>
      <c r="P3501" s="12" t="s">
        <v>66</v>
      </c>
      <c r="Q3501" s="12" t="s">
        <v>67</v>
      </c>
      <c r="R3501" s="12" t="s">
        <v>1200</v>
      </c>
      <c r="S3501" s="13">
        <v>197804582457</v>
      </c>
      <c r="T3501" s="12" t="s">
        <v>49</v>
      </c>
      <c r="U3501" s="12" t="s">
        <v>179</v>
      </c>
      <c r="V3501" s="12" t="s">
        <v>665</v>
      </c>
      <c r="W3501" s="12" t="s">
        <v>186</v>
      </c>
      <c r="X3501" s="14"/>
      <c r="Y3501" s="14"/>
      <c r="Z3501" s="14"/>
      <c r="AA3501" s="14"/>
      <c r="AB3501" s="14"/>
      <c r="AC3501" s="15">
        <v>20.5</v>
      </c>
      <c r="AD3501" s="15">
        <f>AC3501*AG3501</f>
        <v>20.5</v>
      </c>
      <c r="AE3501" s="15">
        <v>45</v>
      </c>
      <c r="AF3501" s="15">
        <f>AE3501*AG3501</f>
        <v>45</v>
      </c>
      <c r="AG3501" s="16">
        <v>1</v>
      </c>
    </row>
    <row r="3502" spans="1:33" ht="15" customHeight="1" x14ac:dyDescent="0.2">
      <c r="A3502" s="11" t="str">
        <f t="shared" si="1219"/>
        <v>VN000Q0PEMP1</v>
      </c>
      <c r="B3502" s="12" t="s">
        <v>12607</v>
      </c>
      <c r="C3502" s="12" t="s">
        <v>2737</v>
      </c>
      <c r="D3502" s="12" t="s">
        <v>704</v>
      </c>
      <c r="E3502" s="12" t="s">
        <v>12608</v>
      </c>
      <c r="F3502" s="12" t="s">
        <v>403</v>
      </c>
      <c r="G3502" s="14"/>
      <c r="H3502" s="12" t="s">
        <v>61</v>
      </c>
      <c r="I3502" s="12" t="s">
        <v>289</v>
      </c>
      <c r="J3502" s="12" t="s">
        <v>706</v>
      </c>
      <c r="K3502" s="12" t="s">
        <v>100</v>
      </c>
      <c r="L3502" s="14"/>
      <c r="M3502" s="12" t="s">
        <v>43</v>
      </c>
      <c r="N3502" s="12" t="s">
        <v>84</v>
      </c>
      <c r="O3502" s="12" t="s">
        <v>12609</v>
      </c>
      <c r="P3502" s="12" t="s">
        <v>66</v>
      </c>
      <c r="Q3502" s="12" t="s">
        <v>67</v>
      </c>
      <c r="R3502" s="12" t="s">
        <v>1200</v>
      </c>
      <c r="S3502" s="13">
        <v>197804582471</v>
      </c>
      <c r="T3502" s="12" t="s">
        <v>49</v>
      </c>
      <c r="U3502" s="12" t="s">
        <v>403</v>
      </c>
      <c r="V3502" s="12" t="s">
        <v>665</v>
      </c>
      <c r="W3502" s="12" t="s">
        <v>186</v>
      </c>
      <c r="X3502" s="14"/>
      <c r="Y3502" s="14"/>
      <c r="Z3502" s="14"/>
      <c r="AA3502" s="14"/>
      <c r="AB3502" s="14"/>
      <c r="AC3502" s="15">
        <v>20.5</v>
      </c>
      <c r="AD3502" s="15">
        <f>AC3502*AG3502</f>
        <v>20.5</v>
      </c>
      <c r="AE3502" s="15">
        <v>45</v>
      </c>
      <c r="AF3502" s="15">
        <f>AE3502*AG3502</f>
        <v>45</v>
      </c>
      <c r="AG3502" s="16">
        <v>1</v>
      </c>
    </row>
    <row r="3503" spans="1:33" ht="15" customHeight="1" x14ac:dyDescent="0.2">
      <c r="A3503" s="11" t="str">
        <f>HYPERLINK("https://assets.vans.eu/images/VN000Q0VBLK-HERO/1","VN000Q0VBLK1")</f>
        <v>VN000Q0VBLK1</v>
      </c>
      <c r="B3503" s="12" t="s">
        <v>12610</v>
      </c>
      <c r="C3503" s="12" t="s">
        <v>3783</v>
      </c>
      <c r="D3503" s="12" t="s">
        <v>76</v>
      </c>
      <c r="E3503" s="12" t="s">
        <v>12611</v>
      </c>
      <c r="F3503" s="12" t="s">
        <v>403</v>
      </c>
      <c r="G3503" s="14"/>
      <c r="H3503" s="12" t="s">
        <v>61</v>
      </c>
      <c r="I3503" s="12" t="s">
        <v>289</v>
      </c>
      <c r="J3503" s="12" t="s">
        <v>706</v>
      </c>
      <c r="K3503" s="12" t="s">
        <v>100</v>
      </c>
      <c r="L3503" s="14"/>
      <c r="M3503" s="12" t="s">
        <v>43</v>
      </c>
      <c r="N3503" s="12" t="s">
        <v>84</v>
      </c>
      <c r="O3503" s="12" t="s">
        <v>12612</v>
      </c>
      <c r="P3503" s="12" t="s">
        <v>66</v>
      </c>
      <c r="Q3503" s="12" t="s">
        <v>67</v>
      </c>
      <c r="R3503" s="12" t="s">
        <v>1200</v>
      </c>
      <c r="S3503" s="13">
        <v>197804656141</v>
      </c>
      <c r="T3503" s="12" t="s">
        <v>49</v>
      </c>
      <c r="U3503" s="12" t="s">
        <v>403</v>
      </c>
      <c r="V3503" s="12" t="s">
        <v>3786</v>
      </c>
      <c r="W3503" s="12" t="s">
        <v>51</v>
      </c>
      <c r="X3503" s="14"/>
      <c r="Y3503" s="14"/>
      <c r="Z3503" s="14"/>
      <c r="AA3503" s="14"/>
      <c r="AB3503" s="14"/>
      <c r="AC3503" s="15">
        <v>20.5</v>
      </c>
      <c r="AD3503" s="15">
        <f>AC3503*AG3503</f>
        <v>20.5</v>
      </c>
      <c r="AE3503" s="15">
        <v>45</v>
      </c>
      <c r="AF3503" s="15">
        <f>AE3503*AG3503</f>
        <v>45</v>
      </c>
      <c r="AG3503" s="16">
        <v>1</v>
      </c>
    </row>
    <row r="3504" spans="1:33" ht="15" customHeight="1" x14ac:dyDescent="0.2">
      <c r="A3504" s="11" t="str">
        <f>HYPERLINK("https://assets.vans.eu/images/VN000Q11BLK-HERO/1","VN000Q11BLK1")</f>
        <v>VN000Q11BLK1</v>
      </c>
      <c r="B3504" s="12" t="s">
        <v>12613</v>
      </c>
      <c r="C3504" s="12" t="s">
        <v>12614</v>
      </c>
      <c r="D3504" s="12" t="s">
        <v>76</v>
      </c>
      <c r="E3504" s="12" t="s">
        <v>12615</v>
      </c>
      <c r="F3504" s="12" t="s">
        <v>403</v>
      </c>
      <c r="G3504" s="14"/>
      <c r="H3504" s="12" t="s">
        <v>61</v>
      </c>
      <c r="I3504" s="12" t="s">
        <v>289</v>
      </c>
      <c r="J3504" s="12" t="s">
        <v>706</v>
      </c>
      <c r="K3504" s="12" t="s">
        <v>100</v>
      </c>
      <c r="L3504" s="14"/>
      <c r="M3504" s="12" t="s">
        <v>43</v>
      </c>
      <c r="N3504" s="12" t="s">
        <v>84</v>
      </c>
      <c r="O3504" s="12" t="s">
        <v>12616</v>
      </c>
      <c r="P3504" s="12" t="s">
        <v>66</v>
      </c>
      <c r="Q3504" s="12" t="s">
        <v>67</v>
      </c>
      <c r="R3504" s="12" t="s">
        <v>1200</v>
      </c>
      <c r="S3504" s="13">
        <v>197804367702</v>
      </c>
      <c r="T3504" s="12" t="s">
        <v>235</v>
      </c>
      <c r="U3504" s="12" t="s">
        <v>403</v>
      </c>
      <c r="V3504" s="12" t="s">
        <v>665</v>
      </c>
      <c r="W3504" s="12" t="s">
        <v>51</v>
      </c>
      <c r="X3504" s="14"/>
      <c r="Y3504" s="14"/>
      <c r="Z3504" s="14"/>
      <c r="AA3504" s="14"/>
      <c r="AB3504" s="14"/>
      <c r="AC3504" s="15">
        <v>27.3</v>
      </c>
      <c r="AD3504" s="15">
        <f>AC3504*AG3504</f>
        <v>27.3</v>
      </c>
      <c r="AE3504" s="15">
        <v>60</v>
      </c>
      <c r="AF3504" s="15">
        <f>AE3504*AG3504</f>
        <v>60</v>
      </c>
      <c r="AG3504" s="16">
        <v>1</v>
      </c>
    </row>
    <row r="3505" spans="1:33" ht="15" customHeight="1" x14ac:dyDescent="0.2">
      <c r="A3505" s="11" t="str">
        <f>HYPERLINK("https://assets.vans.eu/images/VN000Q2ABLK-HERO/1","VN000Q2ABLK1")</f>
        <v>VN000Q2ABLK1</v>
      </c>
      <c r="B3505" s="12" t="s">
        <v>12617</v>
      </c>
      <c r="C3505" s="12" t="s">
        <v>12618</v>
      </c>
      <c r="D3505" s="12" t="s">
        <v>76</v>
      </c>
      <c r="E3505" s="12" t="s">
        <v>12619</v>
      </c>
      <c r="F3505" s="12" t="s">
        <v>153</v>
      </c>
      <c r="G3505" s="14"/>
      <c r="H3505" s="12" t="s">
        <v>61</v>
      </c>
      <c r="I3505" s="12" t="s">
        <v>289</v>
      </c>
      <c r="J3505" s="12" t="s">
        <v>706</v>
      </c>
      <c r="K3505" s="12" t="s">
        <v>100</v>
      </c>
      <c r="L3505" s="14"/>
      <c r="M3505" s="12" t="s">
        <v>43</v>
      </c>
      <c r="N3505" s="12" t="s">
        <v>84</v>
      </c>
      <c r="O3505" s="12" t="s">
        <v>12620</v>
      </c>
      <c r="P3505" s="12" t="s">
        <v>66</v>
      </c>
      <c r="Q3505" s="12" t="s">
        <v>67</v>
      </c>
      <c r="R3505" s="12" t="s">
        <v>1782</v>
      </c>
      <c r="S3505" s="13">
        <v>197804368105</v>
      </c>
      <c r="T3505" s="12" t="s">
        <v>105</v>
      </c>
      <c r="U3505" s="12" t="s">
        <v>153</v>
      </c>
      <c r="V3505" s="12" t="s">
        <v>665</v>
      </c>
      <c r="W3505" s="12" t="s">
        <v>51</v>
      </c>
      <c r="X3505" s="14"/>
      <c r="Y3505" s="14"/>
      <c r="Z3505" s="14"/>
      <c r="AA3505" s="14"/>
      <c r="AB3505" s="14"/>
      <c r="AC3505" s="15">
        <v>43.2</v>
      </c>
      <c r="AD3505" s="15">
        <f>AC3505*AG3505</f>
        <v>43.2</v>
      </c>
      <c r="AE3505" s="15">
        <v>95</v>
      </c>
      <c r="AF3505" s="15">
        <f>AE3505*AG3505</f>
        <v>95</v>
      </c>
      <c r="AG3505" s="16">
        <v>1</v>
      </c>
    </row>
    <row r="3506" spans="1:33" ht="15" customHeight="1" x14ac:dyDescent="0.2">
      <c r="A3506" s="11" t="str">
        <f t="shared" si="744"/>
        <v>VN000Q3002F1</v>
      </c>
      <c r="B3506" s="12" t="s">
        <v>12621</v>
      </c>
      <c r="C3506" s="12" t="s">
        <v>3472</v>
      </c>
      <c r="D3506" s="12" t="s">
        <v>857</v>
      </c>
      <c r="E3506" s="12" t="s">
        <v>12622</v>
      </c>
      <c r="F3506" s="12" t="s">
        <v>153</v>
      </c>
      <c r="G3506" s="14"/>
      <c r="H3506" s="12" t="s">
        <v>61</v>
      </c>
      <c r="I3506" s="12" t="s">
        <v>289</v>
      </c>
      <c r="J3506" s="12" t="s">
        <v>706</v>
      </c>
      <c r="K3506" s="12" t="s">
        <v>100</v>
      </c>
      <c r="L3506" s="14"/>
      <c r="M3506" s="12" t="s">
        <v>43</v>
      </c>
      <c r="N3506" s="12" t="s">
        <v>84</v>
      </c>
      <c r="O3506" s="12" t="s">
        <v>12623</v>
      </c>
      <c r="P3506" s="12" t="s">
        <v>66</v>
      </c>
      <c r="Q3506" s="12" t="s">
        <v>67</v>
      </c>
      <c r="R3506" s="12" t="s">
        <v>708</v>
      </c>
      <c r="S3506" s="13">
        <v>197804368259</v>
      </c>
      <c r="T3506" s="12" t="s">
        <v>709</v>
      </c>
      <c r="U3506" s="12" t="s">
        <v>153</v>
      </c>
      <c r="V3506" s="12" t="s">
        <v>1092</v>
      </c>
      <c r="W3506" s="12" t="s">
        <v>455</v>
      </c>
      <c r="X3506" s="14"/>
      <c r="Y3506" s="14"/>
      <c r="Z3506" s="14"/>
      <c r="AA3506" s="14"/>
      <c r="AB3506" s="14"/>
      <c r="AC3506" s="15">
        <v>31.85</v>
      </c>
      <c r="AD3506" s="15">
        <f>AC3506*AG3506</f>
        <v>31.85</v>
      </c>
      <c r="AE3506" s="15">
        <v>70</v>
      </c>
      <c r="AF3506" s="15">
        <f>AE3506*AG3506</f>
        <v>70</v>
      </c>
      <c r="AG3506" s="16">
        <v>1</v>
      </c>
    </row>
    <row r="3507" spans="1:33" ht="15" customHeight="1" x14ac:dyDescent="0.2">
      <c r="A3507" s="11" t="str">
        <f t="shared" si="445"/>
        <v>VN000Q35RV21</v>
      </c>
      <c r="B3507" s="12" t="s">
        <v>12624</v>
      </c>
      <c r="C3507" s="12" t="s">
        <v>703</v>
      </c>
      <c r="D3507" s="12" t="s">
        <v>1428</v>
      </c>
      <c r="E3507" s="12" t="s">
        <v>12625</v>
      </c>
      <c r="F3507" s="12" t="s">
        <v>153</v>
      </c>
      <c r="G3507" s="14"/>
      <c r="H3507" s="12" t="s">
        <v>61</v>
      </c>
      <c r="I3507" s="12" t="s">
        <v>289</v>
      </c>
      <c r="J3507" s="12" t="s">
        <v>706</v>
      </c>
      <c r="K3507" s="12" t="s">
        <v>100</v>
      </c>
      <c r="L3507" s="14"/>
      <c r="M3507" s="12" t="s">
        <v>43</v>
      </c>
      <c r="N3507" s="12" t="s">
        <v>84</v>
      </c>
      <c r="O3507" s="12" t="s">
        <v>12626</v>
      </c>
      <c r="P3507" s="12" t="s">
        <v>66</v>
      </c>
      <c r="Q3507" s="12" t="s">
        <v>67</v>
      </c>
      <c r="R3507" s="12" t="s">
        <v>708</v>
      </c>
      <c r="S3507" s="13">
        <v>197804368440</v>
      </c>
      <c r="T3507" s="12" t="s">
        <v>709</v>
      </c>
      <c r="U3507" s="12" t="s">
        <v>153</v>
      </c>
      <c r="V3507" s="12" t="s">
        <v>710</v>
      </c>
      <c r="W3507" s="12" t="s">
        <v>51</v>
      </c>
      <c r="X3507" s="14"/>
      <c r="Y3507" s="14"/>
      <c r="Z3507" s="14"/>
      <c r="AA3507" s="14"/>
      <c r="AB3507" s="14"/>
      <c r="AC3507" s="15">
        <v>34.1</v>
      </c>
      <c r="AD3507" s="15">
        <f>AC3507*AG3507</f>
        <v>34.1</v>
      </c>
      <c r="AE3507" s="15">
        <v>75</v>
      </c>
      <c r="AF3507" s="15">
        <f>AE3507*AG3507</f>
        <v>75</v>
      </c>
      <c r="AG3507" s="16">
        <v>1</v>
      </c>
    </row>
    <row r="3508" spans="1:33" ht="15" customHeight="1" x14ac:dyDescent="0.2">
      <c r="A3508" s="11" t="str">
        <f>HYPERLINK("https://assets.vans.eu/images/VN000Q35RV2-HERO/1","VN000Q35RV21")</f>
        <v>VN000Q35RV21</v>
      </c>
      <c r="B3508" s="12" t="s">
        <v>12627</v>
      </c>
      <c r="C3508" s="12" t="s">
        <v>703</v>
      </c>
      <c r="D3508" s="12" t="s">
        <v>1428</v>
      </c>
      <c r="E3508" s="12" t="s">
        <v>12628</v>
      </c>
      <c r="F3508" s="12" t="s">
        <v>138</v>
      </c>
      <c r="G3508" s="14"/>
      <c r="H3508" s="12" t="s">
        <v>61</v>
      </c>
      <c r="I3508" s="12" t="s">
        <v>289</v>
      </c>
      <c r="J3508" s="12" t="s">
        <v>706</v>
      </c>
      <c r="K3508" s="12" t="s">
        <v>100</v>
      </c>
      <c r="L3508" s="14"/>
      <c r="M3508" s="12" t="s">
        <v>43</v>
      </c>
      <c r="N3508" s="12" t="s">
        <v>84</v>
      </c>
      <c r="O3508" s="12" t="s">
        <v>12629</v>
      </c>
      <c r="P3508" s="12" t="s">
        <v>66</v>
      </c>
      <c r="Q3508" s="12" t="s">
        <v>67</v>
      </c>
      <c r="R3508" s="12" t="s">
        <v>708</v>
      </c>
      <c r="S3508" s="13">
        <v>197804368631</v>
      </c>
      <c r="T3508" s="12" t="s">
        <v>709</v>
      </c>
      <c r="U3508" s="12" t="s">
        <v>138</v>
      </c>
      <c r="V3508" s="12" t="s">
        <v>710</v>
      </c>
      <c r="W3508" s="12" t="s">
        <v>51</v>
      </c>
      <c r="X3508" s="14"/>
      <c r="Y3508" s="14"/>
      <c r="Z3508" s="14"/>
      <c r="AA3508" s="14"/>
      <c r="AB3508" s="14"/>
      <c r="AC3508" s="15">
        <v>34.1</v>
      </c>
      <c r="AD3508" s="15">
        <f>AC3508*AG3508</f>
        <v>34.1</v>
      </c>
      <c r="AE3508" s="15">
        <v>75</v>
      </c>
      <c r="AF3508" s="15">
        <f>AE3508*AG3508</f>
        <v>75</v>
      </c>
      <c r="AG3508" s="16">
        <v>1</v>
      </c>
    </row>
    <row r="3509" spans="1:33" ht="15" customHeight="1" x14ac:dyDescent="0.2">
      <c r="A3509" s="11" t="str">
        <f t="shared" ref="A3509:A3510" si="1220">HYPERLINK("https://assets.vans.eu/images/VN000Q38BLK-HERO/1","VN000Q38BLK1")</f>
        <v>VN000Q38BLK1</v>
      </c>
      <c r="B3509" s="12" t="s">
        <v>12630</v>
      </c>
      <c r="C3509" s="12" t="s">
        <v>12631</v>
      </c>
      <c r="D3509" s="12" t="s">
        <v>76</v>
      </c>
      <c r="E3509" s="12" t="s">
        <v>12632</v>
      </c>
      <c r="F3509" s="12" t="s">
        <v>60</v>
      </c>
      <c r="G3509" s="14"/>
      <c r="H3509" s="12" t="s">
        <v>61</v>
      </c>
      <c r="I3509" s="12" t="s">
        <v>289</v>
      </c>
      <c r="J3509" s="12" t="s">
        <v>706</v>
      </c>
      <c r="K3509" s="12" t="s">
        <v>100</v>
      </c>
      <c r="L3509" s="14"/>
      <c r="M3509" s="12" t="s">
        <v>43</v>
      </c>
      <c r="N3509" s="12" t="s">
        <v>84</v>
      </c>
      <c r="O3509" s="12" t="s">
        <v>12633</v>
      </c>
      <c r="P3509" s="12" t="s">
        <v>66</v>
      </c>
      <c r="Q3509" s="12" t="s">
        <v>67</v>
      </c>
      <c r="R3509" s="12" t="s">
        <v>708</v>
      </c>
      <c r="S3509" s="13">
        <v>197804368617</v>
      </c>
      <c r="T3509" s="12" t="s">
        <v>709</v>
      </c>
      <c r="U3509" s="12" t="s">
        <v>60</v>
      </c>
      <c r="V3509" s="12" t="s">
        <v>710</v>
      </c>
      <c r="W3509" s="12" t="s">
        <v>51</v>
      </c>
      <c r="X3509" s="14"/>
      <c r="Y3509" s="14"/>
      <c r="Z3509" s="14"/>
      <c r="AA3509" s="14"/>
      <c r="AB3509" s="14"/>
      <c r="AC3509" s="15">
        <v>34.1</v>
      </c>
      <c r="AD3509" s="15">
        <f>AC3509*AG3509</f>
        <v>34.1</v>
      </c>
      <c r="AE3509" s="15">
        <v>75</v>
      </c>
      <c r="AF3509" s="15">
        <f>AE3509*AG3509</f>
        <v>75</v>
      </c>
      <c r="AG3509" s="16">
        <v>1</v>
      </c>
    </row>
    <row r="3510" spans="1:33" ht="15" customHeight="1" x14ac:dyDescent="0.2">
      <c r="A3510" s="11" t="str">
        <f t="shared" si="1220"/>
        <v>VN000Q38BLK1</v>
      </c>
      <c r="B3510" s="12" t="s">
        <v>12634</v>
      </c>
      <c r="C3510" s="12" t="s">
        <v>12631</v>
      </c>
      <c r="D3510" s="12" t="s">
        <v>76</v>
      </c>
      <c r="E3510" s="12" t="s">
        <v>12635</v>
      </c>
      <c r="F3510" s="12" t="s">
        <v>138</v>
      </c>
      <c r="G3510" s="14"/>
      <c r="H3510" s="12" t="s">
        <v>61</v>
      </c>
      <c r="I3510" s="12" t="s">
        <v>289</v>
      </c>
      <c r="J3510" s="12" t="s">
        <v>706</v>
      </c>
      <c r="K3510" s="12" t="s">
        <v>100</v>
      </c>
      <c r="L3510" s="14"/>
      <c r="M3510" s="12" t="s">
        <v>43</v>
      </c>
      <c r="N3510" s="12" t="s">
        <v>84</v>
      </c>
      <c r="O3510" s="12" t="s">
        <v>12636</v>
      </c>
      <c r="P3510" s="12" t="s">
        <v>66</v>
      </c>
      <c r="Q3510" s="12" t="s">
        <v>67</v>
      </c>
      <c r="R3510" s="12" t="s">
        <v>708</v>
      </c>
      <c r="S3510" s="13">
        <v>197804368815</v>
      </c>
      <c r="T3510" s="12" t="s">
        <v>709</v>
      </c>
      <c r="U3510" s="12" t="s">
        <v>138</v>
      </c>
      <c r="V3510" s="12" t="s">
        <v>710</v>
      </c>
      <c r="W3510" s="12" t="s">
        <v>51</v>
      </c>
      <c r="X3510" s="14"/>
      <c r="Y3510" s="14"/>
      <c r="Z3510" s="14"/>
      <c r="AA3510" s="14"/>
      <c r="AB3510" s="14"/>
      <c r="AC3510" s="15">
        <v>34.1</v>
      </c>
      <c r="AD3510" s="15">
        <f>AC3510*AG3510</f>
        <v>34.1</v>
      </c>
      <c r="AE3510" s="15">
        <v>75</v>
      </c>
      <c r="AF3510" s="15">
        <f>AE3510*AG3510</f>
        <v>75</v>
      </c>
      <c r="AG3510" s="16">
        <v>1</v>
      </c>
    </row>
    <row r="3511" spans="1:33" ht="15" customHeight="1" x14ac:dyDescent="0.2">
      <c r="A3511" s="11" t="str">
        <f t="shared" ref="A3511:A3514" si="1221">HYPERLINK("https://assets.vans.eu/images/VN000Q43EN6-HERO/1","VN000Q43EN61")</f>
        <v>VN000Q43EN61</v>
      </c>
      <c r="B3511" s="12" t="s">
        <v>12637</v>
      </c>
      <c r="C3511" s="12" t="s">
        <v>8674</v>
      </c>
      <c r="D3511" s="12" t="s">
        <v>189</v>
      </c>
      <c r="E3511" s="12" t="s">
        <v>12638</v>
      </c>
      <c r="F3511" s="12" t="s">
        <v>179</v>
      </c>
      <c r="G3511" s="14"/>
      <c r="H3511" s="12" t="s">
        <v>61</v>
      </c>
      <c r="I3511" s="12" t="s">
        <v>289</v>
      </c>
      <c r="J3511" s="12" t="s">
        <v>706</v>
      </c>
      <c r="K3511" s="12" t="s">
        <v>100</v>
      </c>
      <c r="L3511" s="14"/>
      <c r="M3511" s="12" t="s">
        <v>43</v>
      </c>
      <c r="N3511" s="12" t="s">
        <v>84</v>
      </c>
      <c r="O3511" s="12" t="s">
        <v>12639</v>
      </c>
      <c r="P3511" s="12" t="s">
        <v>66</v>
      </c>
      <c r="Q3511" s="12" t="s">
        <v>67</v>
      </c>
      <c r="R3511" s="12" t="s">
        <v>708</v>
      </c>
      <c r="S3511" s="13">
        <v>197804368907</v>
      </c>
      <c r="T3511" s="12" t="s">
        <v>709</v>
      </c>
      <c r="U3511" s="12" t="s">
        <v>179</v>
      </c>
      <c r="V3511" s="12" t="s">
        <v>710</v>
      </c>
      <c r="W3511" s="12" t="s">
        <v>118</v>
      </c>
      <c r="X3511" s="14"/>
      <c r="Y3511" s="14"/>
      <c r="Z3511" s="14"/>
      <c r="AA3511" s="14"/>
      <c r="AB3511" s="14"/>
      <c r="AC3511" s="15">
        <v>36.4</v>
      </c>
      <c r="AD3511" s="15">
        <f>AC3511*AG3511</f>
        <v>36.4</v>
      </c>
      <c r="AE3511" s="15">
        <v>80</v>
      </c>
      <c r="AF3511" s="15">
        <f>AE3511*AG3511</f>
        <v>80</v>
      </c>
      <c r="AG3511" s="16">
        <v>1</v>
      </c>
    </row>
    <row r="3512" spans="1:33" ht="15" customHeight="1" x14ac:dyDescent="0.2">
      <c r="A3512" s="11" t="str">
        <f t="shared" si="1221"/>
        <v>VN000Q43EN61</v>
      </c>
      <c r="B3512" s="12" t="s">
        <v>12640</v>
      </c>
      <c r="C3512" s="12" t="s">
        <v>8674</v>
      </c>
      <c r="D3512" s="12" t="s">
        <v>189</v>
      </c>
      <c r="E3512" s="12" t="s">
        <v>12641</v>
      </c>
      <c r="F3512" s="12" t="s">
        <v>170</v>
      </c>
      <c r="G3512" s="14"/>
      <c r="H3512" s="12" t="s">
        <v>61</v>
      </c>
      <c r="I3512" s="12" t="s">
        <v>289</v>
      </c>
      <c r="J3512" s="12" t="s">
        <v>706</v>
      </c>
      <c r="K3512" s="12" t="s">
        <v>100</v>
      </c>
      <c r="L3512" s="14"/>
      <c r="M3512" s="12" t="s">
        <v>43</v>
      </c>
      <c r="N3512" s="12" t="s">
        <v>84</v>
      </c>
      <c r="O3512" s="12" t="s">
        <v>12642</v>
      </c>
      <c r="P3512" s="12" t="s">
        <v>66</v>
      </c>
      <c r="Q3512" s="12" t="s">
        <v>67</v>
      </c>
      <c r="R3512" s="12" t="s">
        <v>708</v>
      </c>
      <c r="S3512" s="13">
        <v>197804368976</v>
      </c>
      <c r="T3512" s="12" t="s">
        <v>709</v>
      </c>
      <c r="U3512" s="12" t="s">
        <v>170</v>
      </c>
      <c r="V3512" s="12" t="s">
        <v>710</v>
      </c>
      <c r="W3512" s="12" t="s">
        <v>118</v>
      </c>
      <c r="X3512" s="14"/>
      <c r="Y3512" s="14"/>
      <c r="Z3512" s="14"/>
      <c r="AA3512" s="14"/>
      <c r="AB3512" s="14"/>
      <c r="AC3512" s="15">
        <v>36.4</v>
      </c>
      <c r="AD3512" s="15">
        <f>AC3512*AG3512</f>
        <v>36.4</v>
      </c>
      <c r="AE3512" s="15">
        <v>80</v>
      </c>
      <c r="AF3512" s="15">
        <f>AE3512*AG3512</f>
        <v>80</v>
      </c>
      <c r="AG3512" s="16">
        <v>1</v>
      </c>
    </row>
    <row r="3513" spans="1:33" ht="15" customHeight="1" x14ac:dyDescent="0.2">
      <c r="A3513" s="11" t="str">
        <f t="shared" si="1221"/>
        <v>VN000Q43EN61</v>
      </c>
      <c r="B3513" s="12" t="s">
        <v>12643</v>
      </c>
      <c r="C3513" s="12" t="s">
        <v>8674</v>
      </c>
      <c r="D3513" s="12" t="s">
        <v>189</v>
      </c>
      <c r="E3513" s="12" t="s">
        <v>12644</v>
      </c>
      <c r="F3513" s="12" t="s">
        <v>403</v>
      </c>
      <c r="G3513" s="14"/>
      <c r="H3513" s="12" t="s">
        <v>61</v>
      </c>
      <c r="I3513" s="12" t="s">
        <v>289</v>
      </c>
      <c r="J3513" s="12" t="s">
        <v>706</v>
      </c>
      <c r="K3513" s="12" t="s">
        <v>100</v>
      </c>
      <c r="L3513" s="14"/>
      <c r="M3513" s="12" t="s">
        <v>43</v>
      </c>
      <c r="N3513" s="12" t="s">
        <v>84</v>
      </c>
      <c r="O3513" s="12" t="s">
        <v>12645</v>
      </c>
      <c r="P3513" s="12" t="s">
        <v>66</v>
      </c>
      <c r="Q3513" s="12" t="s">
        <v>67</v>
      </c>
      <c r="R3513" s="12" t="s">
        <v>708</v>
      </c>
      <c r="S3513" s="13">
        <v>197804369027</v>
      </c>
      <c r="T3513" s="12" t="s">
        <v>709</v>
      </c>
      <c r="U3513" s="12" t="s">
        <v>403</v>
      </c>
      <c r="V3513" s="12" t="s">
        <v>710</v>
      </c>
      <c r="W3513" s="12" t="s">
        <v>118</v>
      </c>
      <c r="X3513" s="14"/>
      <c r="Y3513" s="14"/>
      <c r="Z3513" s="14"/>
      <c r="AA3513" s="14"/>
      <c r="AB3513" s="14"/>
      <c r="AC3513" s="15">
        <v>36.4</v>
      </c>
      <c r="AD3513" s="15">
        <f>AC3513*AG3513</f>
        <v>36.4</v>
      </c>
      <c r="AE3513" s="15">
        <v>80</v>
      </c>
      <c r="AF3513" s="15">
        <f>AE3513*AG3513</f>
        <v>80</v>
      </c>
      <c r="AG3513" s="16">
        <v>1</v>
      </c>
    </row>
    <row r="3514" spans="1:33" ht="15" customHeight="1" x14ac:dyDescent="0.2">
      <c r="A3514" s="11" t="str">
        <f t="shared" si="1221"/>
        <v>VN000Q43EN61</v>
      </c>
      <c r="B3514" s="12" t="s">
        <v>12646</v>
      </c>
      <c r="C3514" s="12" t="s">
        <v>8674</v>
      </c>
      <c r="D3514" s="12" t="s">
        <v>189</v>
      </c>
      <c r="E3514" s="12" t="s">
        <v>12647</v>
      </c>
      <c r="F3514" s="12" t="s">
        <v>153</v>
      </c>
      <c r="G3514" s="14"/>
      <c r="H3514" s="12" t="s">
        <v>61</v>
      </c>
      <c r="I3514" s="12" t="s">
        <v>289</v>
      </c>
      <c r="J3514" s="12" t="s">
        <v>706</v>
      </c>
      <c r="K3514" s="12" t="s">
        <v>100</v>
      </c>
      <c r="L3514" s="14"/>
      <c r="M3514" s="12" t="s">
        <v>43</v>
      </c>
      <c r="N3514" s="12" t="s">
        <v>84</v>
      </c>
      <c r="O3514" s="12" t="s">
        <v>12648</v>
      </c>
      <c r="P3514" s="12" t="s">
        <v>66</v>
      </c>
      <c r="Q3514" s="12" t="s">
        <v>67</v>
      </c>
      <c r="R3514" s="12" t="s">
        <v>708</v>
      </c>
      <c r="S3514" s="13">
        <v>197804369157</v>
      </c>
      <c r="T3514" s="12" t="s">
        <v>709</v>
      </c>
      <c r="U3514" s="12" t="s">
        <v>153</v>
      </c>
      <c r="V3514" s="12" t="s">
        <v>710</v>
      </c>
      <c r="W3514" s="12" t="s">
        <v>118</v>
      </c>
      <c r="X3514" s="14"/>
      <c r="Y3514" s="14"/>
      <c r="Z3514" s="14"/>
      <c r="AA3514" s="14"/>
      <c r="AB3514" s="14"/>
      <c r="AC3514" s="15">
        <v>36.4</v>
      </c>
      <c r="AD3514" s="15">
        <f>AC3514*AG3514</f>
        <v>36.4</v>
      </c>
      <c r="AE3514" s="15">
        <v>80</v>
      </c>
      <c r="AF3514" s="15">
        <f>AE3514*AG3514</f>
        <v>80</v>
      </c>
      <c r="AG3514" s="16">
        <v>1</v>
      </c>
    </row>
    <row r="3515" spans="1:33" ht="15" customHeight="1" x14ac:dyDescent="0.2">
      <c r="A3515" s="11" t="str">
        <f t="shared" si="945"/>
        <v>VN000Q43JDU1</v>
      </c>
      <c r="B3515" s="12" t="s">
        <v>12649</v>
      </c>
      <c r="C3515" s="12" t="s">
        <v>8674</v>
      </c>
      <c r="D3515" s="12" t="s">
        <v>814</v>
      </c>
      <c r="E3515" s="12" t="s">
        <v>12650</v>
      </c>
      <c r="F3515" s="12" t="s">
        <v>179</v>
      </c>
      <c r="G3515" s="14"/>
      <c r="H3515" s="12" t="s">
        <v>61</v>
      </c>
      <c r="I3515" s="12" t="s">
        <v>289</v>
      </c>
      <c r="J3515" s="12" t="s">
        <v>706</v>
      </c>
      <c r="K3515" s="12" t="s">
        <v>100</v>
      </c>
      <c r="L3515" s="14"/>
      <c r="M3515" s="12" t="s">
        <v>43</v>
      </c>
      <c r="N3515" s="12" t="s">
        <v>84</v>
      </c>
      <c r="O3515" s="12" t="s">
        <v>12651</v>
      </c>
      <c r="P3515" s="12" t="s">
        <v>66</v>
      </c>
      <c r="Q3515" s="12" t="s">
        <v>67</v>
      </c>
      <c r="R3515" s="12" t="s">
        <v>708</v>
      </c>
      <c r="S3515" s="13">
        <v>197804686858</v>
      </c>
      <c r="T3515" s="12" t="s">
        <v>709</v>
      </c>
      <c r="U3515" s="12" t="s">
        <v>179</v>
      </c>
      <c r="V3515" s="12" t="s">
        <v>710</v>
      </c>
      <c r="W3515" s="12" t="s">
        <v>284</v>
      </c>
      <c r="X3515" s="14"/>
      <c r="Y3515" s="14"/>
      <c r="Z3515" s="14"/>
      <c r="AA3515" s="14"/>
      <c r="AB3515" s="14"/>
      <c r="AC3515" s="15">
        <v>36.4</v>
      </c>
      <c r="AD3515" s="15">
        <f>AC3515*AG3515</f>
        <v>36.4</v>
      </c>
      <c r="AE3515" s="15">
        <v>80</v>
      </c>
      <c r="AF3515" s="15">
        <f>AE3515*AG3515</f>
        <v>80</v>
      </c>
      <c r="AG3515" s="16">
        <v>1</v>
      </c>
    </row>
    <row r="3516" spans="1:33" ht="15" customHeight="1" x14ac:dyDescent="0.2">
      <c r="A3516" s="11" t="str">
        <f t="shared" ref="A3516:A3518" si="1222">HYPERLINK("https://assets.vans.eu/images/VN000Q43JDU-HERO/1","VN000Q43JDU1")</f>
        <v>VN000Q43JDU1</v>
      </c>
      <c r="B3516" s="12" t="s">
        <v>12652</v>
      </c>
      <c r="C3516" s="12" t="s">
        <v>8674</v>
      </c>
      <c r="D3516" s="12" t="s">
        <v>814</v>
      </c>
      <c r="E3516" s="12" t="s">
        <v>12653</v>
      </c>
      <c r="F3516" s="12" t="s">
        <v>170</v>
      </c>
      <c r="G3516" s="14"/>
      <c r="H3516" s="12" t="s">
        <v>61</v>
      </c>
      <c r="I3516" s="12" t="s">
        <v>289</v>
      </c>
      <c r="J3516" s="12" t="s">
        <v>706</v>
      </c>
      <c r="K3516" s="12" t="s">
        <v>100</v>
      </c>
      <c r="L3516" s="14"/>
      <c r="M3516" s="12" t="s">
        <v>43</v>
      </c>
      <c r="N3516" s="12" t="s">
        <v>84</v>
      </c>
      <c r="O3516" s="12" t="s">
        <v>12654</v>
      </c>
      <c r="P3516" s="12" t="s">
        <v>66</v>
      </c>
      <c r="Q3516" s="12" t="s">
        <v>67</v>
      </c>
      <c r="R3516" s="12" t="s">
        <v>708</v>
      </c>
      <c r="S3516" s="13">
        <v>197804686889</v>
      </c>
      <c r="T3516" s="12" t="s">
        <v>709</v>
      </c>
      <c r="U3516" s="12" t="s">
        <v>170</v>
      </c>
      <c r="V3516" s="12" t="s">
        <v>710</v>
      </c>
      <c r="W3516" s="12" t="s">
        <v>284</v>
      </c>
      <c r="X3516" s="14"/>
      <c r="Y3516" s="14"/>
      <c r="Z3516" s="14"/>
      <c r="AA3516" s="14"/>
      <c r="AB3516" s="14"/>
      <c r="AC3516" s="15">
        <v>36.4</v>
      </c>
      <c r="AD3516" s="15">
        <f>AC3516*AG3516</f>
        <v>36.4</v>
      </c>
      <c r="AE3516" s="15">
        <v>80</v>
      </c>
      <c r="AF3516" s="15">
        <f>AE3516*AG3516</f>
        <v>80</v>
      </c>
      <c r="AG3516" s="16">
        <v>1</v>
      </c>
    </row>
    <row r="3517" spans="1:33" ht="15" customHeight="1" x14ac:dyDescent="0.2">
      <c r="A3517" s="11" t="str">
        <f t="shared" si="1222"/>
        <v>VN000Q43JDU1</v>
      </c>
      <c r="B3517" s="12" t="s">
        <v>12655</v>
      </c>
      <c r="C3517" s="12" t="s">
        <v>8674</v>
      </c>
      <c r="D3517" s="12" t="s">
        <v>814</v>
      </c>
      <c r="E3517" s="12" t="s">
        <v>12656</v>
      </c>
      <c r="F3517" s="12" t="s">
        <v>153</v>
      </c>
      <c r="G3517" s="14"/>
      <c r="H3517" s="12" t="s">
        <v>61</v>
      </c>
      <c r="I3517" s="12" t="s">
        <v>289</v>
      </c>
      <c r="J3517" s="12" t="s">
        <v>706</v>
      </c>
      <c r="K3517" s="12" t="s">
        <v>100</v>
      </c>
      <c r="L3517" s="14"/>
      <c r="M3517" s="12" t="s">
        <v>43</v>
      </c>
      <c r="N3517" s="12" t="s">
        <v>84</v>
      </c>
      <c r="O3517" s="12" t="s">
        <v>12657</v>
      </c>
      <c r="P3517" s="12" t="s">
        <v>66</v>
      </c>
      <c r="Q3517" s="12" t="s">
        <v>67</v>
      </c>
      <c r="R3517" s="12" t="s">
        <v>708</v>
      </c>
      <c r="S3517" s="13">
        <v>197804686971</v>
      </c>
      <c r="T3517" s="12" t="s">
        <v>709</v>
      </c>
      <c r="U3517" s="12" t="s">
        <v>153</v>
      </c>
      <c r="V3517" s="12" t="s">
        <v>710</v>
      </c>
      <c r="W3517" s="12" t="s">
        <v>284</v>
      </c>
      <c r="X3517" s="14"/>
      <c r="Y3517" s="14"/>
      <c r="Z3517" s="14"/>
      <c r="AA3517" s="14"/>
      <c r="AB3517" s="14"/>
      <c r="AC3517" s="15">
        <v>36.4</v>
      </c>
      <c r="AD3517" s="15">
        <f>AC3517*AG3517</f>
        <v>36.4</v>
      </c>
      <c r="AE3517" s="15">
        <v>80</v>
      </c>
      <c r="AF3517" s="15">
        <f>AE3517*AG3517</f>
        <v>80</v>
      </c>
      <c r="AG3517" s="16">
        <v>1</v>
      </c>
    </row>
    <row r="3518" spans="1:33" ht="15" customHeight="1" x14ac:dyDescent="0.2">
      <c r="A3518" s="11" t="str">
        <f t="shared" si="1222"/>
        <v>VN000Q43JDU1</v>
      </c>
      <c r="B3518" s="12" t="s">
        <v>12658</v>
      </c>
      <c r="C3518" s="12" t="s">
        <v>8674</v>
      </c>
      <c r="D3518" s="12" t="s">
        <v>814</v>
      </c>
      <c r="E3518" s="12" t="s">
        <v>12659</v>
      </c>
      <c r="F3518" s="12" t="s">
        <v>138</v>
      </c>
      <c r="G3518" s="14"/>
      <c r="H3518" s="12" t="s">
        <v>61</v>
      </c>
      <c r="I3518" s="12" t="s">
        <v>289</v>
      </c>
      <c r="J3518" s="12" t="s">
        <v>706</v>
      </c>
      <c r="K3518" s="12" t="s">
        <v>100</v>
      </c>
      <c r="L3518" s="14"/>
      <c r="M3518" s="12" t="s">
        <v>43</v>
      </c>
      <c r="N3518" s="12" t="s">
        <v>84</v>
      </c>
      <c r="O3518" s="12" t="s">
        <v>12660</v>
      </c>
      <c r="P3518" s="12" t="s">
        <v>66</v>
      </c>
      <c r="Q3518" s="12" t="s">
        <v>67</v>
      </c>
      <c r="R3518" s="12" t="s">
        <v>708</v>
      </c>
      <c r="S3518" s="13">
        <v>197804687138</v>
      </c>
      <c r="T3518" s="12" t="s">
        <v>709</v>
      </c>
      <c r="U3518" s="12" t="s">
        <v>138</v>
      </c>
      <c r="V3518" s="12" t="s">
        <v>710</v>
      </c>
      <c r="W3518" s="12" t="s">
        <v>284</v>
      </c>
      <c r="X3518" s="14"/>
      <c r="Y3518" s="14"/>
      <c r="Z3518" s="14"/>
      <c r="AA3518" s="14"/>
      <c r="AB3518" s="14"/>
      <c r="AC3518" s="15">
        <v>36.4</v>
      </c>
      <c r="AD3518" s="15">
        <f>AC3518*AG3518</f>
        <v>36.4</v>
      </c>
      <c r="AE3518" s="15">
        <v>80</v>
      </c>
      <c r="AF3518" s="15">
        <f>AE3518*AG3518</f>
        <v>80</v>
      </c>
      <c r="AG3518" s="16">
        <v>1</v>
      </c>
    </row>
    <row r="3519" spans="1:33" ht="15" customHeight="1" x14ac:dyDescent="0.2">
      <c r="A3519" s="11" t="str">
        <f t="shared" ref="A3519:A3520" si="1223">HYPERLINK("https://assets.vans.eu/images/VN000Q49BLK-HERO/1","VN000Q49BLK1")</f>
        <v>VN000Q49BLK1</v>
      </c>
      <c r="B3519" s="12" t="s">
        <v>12661</v>
      </c>
      <c r="C3519" s="12" t="s">
        <v>8678</v>
      </c>
      <c r="D3519" s="12" t="s">
        <v>76</v>
      </c>
      <c r="E3519" s="12" t="s">
        <v>12662</v>
      </c>
      <c r="F3519" s="12" t="s">
        <v>403</v>
      </c>
      <c r="G3519" s="14"/>
      <c r="H3519" s="12" t="s">
        <v>61</v>
      </c>
      <c r="I3519" s="12" t="s">
        <v>289</v>
      </c>
      <c r="J3519" s="12" t="s">
        <v>706</v>
      </c>
      <c r="K3519" s="12" t="s">
        <v>100</v>
      </c>
      <c r="L3519" s="14"/>
      <c r="M3519" s="12" t="s">
        <v>43</v>
      </c>
      <c r="N3519" s="12" t="s">
        <v>84</v>
      </c>
      <c r="O3519" s="12" t="s">
        <v>12663</v>
      </c>
      <c r="P3519" s="12" t="s">
        <v>66</v>
      </c>
      <c r="Q3519" s="12" t="s">
        <v>67</v>
      </c>
      <c r="R3519" s="12" t="s">
        <v>708</v>
      </c>
      <c r="S3519" s="13">
        <v>197804582839</v>
      </c>
      <c r="T3519" s="12" t="s">
        <v>49</v>
      </c>
      <c r="U3519" s="12" t="s">
        <v>403</v>
      </c>
      <c r="V3519" s="12" t="s">
        <v>8681</v>
      </c>
      <c r="W3519" s="12" t="s">
        <v>51</v>
      </c>
      <c r="X3519" s="14"/>
      <c r="Y3519" s="14"/>
      <c r="Z3519" s="14"/>
      <c r="AA3519" s="14"/>
      <c r="AB3519" s="14"/>
      <c r="AC3519" s="15">
        <v>40.950000000000003</v>
      </c>
      <c r="AD3519" s="15">
        <f>AC3519*AG3519</f>
        <v>40.950000000000003</v>
      </c>
      <c r="AE3519" s="15">
        <v>90</v>
      </c>
      <c r="AF3519" s="15">
        <f>AE3519*AG3519</f>
        <v>90</v>
      </c>
      <c r="AG3519" s="16">
        <v>1</v>
      </c>
    </row>
    <row r="3520" spans="1:33" ht="15" customHeight="1" x14ac:dyDescent="0.2">
      <c r="A3520" s="11" t="str">
        <f t="shared" si="1223"/>
        <v>VN000Q49BLK1</v>
      </c>
      <c r="B3520" s="12" t="s">
        <v>12664</v>
      </c>
      <c r="C3520" s="12" t="s">
        <v>8678</v>
      </c>
      <c r="D3520" s="12" t="s">
        <v>76</v>
      </c>
      <c r="E3520" s="12" t="s">
        <v>12665</v>
      </c>
      <c r="F3520" s="12" t="s">
        <v>153</v>
      </c>
      <c r="G3520" s="14"/>
      <c r="H3520" s="12" t="s">
        <v>61</v>
      </c>
      <c r="I3520" s="12" t="s">
        <v>289</v>
      </c>
      <c r="J3520" s="12" t="s">
        <v>706</v>
      </c>
      <c r="K3520" s="12" t="s">
        <v>100</v>
      </c>
      <c r="L3520" s="14"/>
      <c r="M3520" s="12" t="s">
        <v>43</v>
      </c>
      <c r="N3520" s="12" t="s">
        <v>84</v>
      </c>
      <c r="O3520" s="12" t="s">
        <v>12666</v>
      </c>
      <c r="P3520" s="12" t="s">
        <v>66</v>
      </c>
      <c r="Q3520" s="12" t="s">
        <v>67</v>
      </c>
      <c r="R3520" s="12" t="s">
        <v>708</v>
      </c>
      <c r="S3520" s="13">
        <v>197804583065</v>
      </c>
      <c r="T3520" s="12" t="s">
        <v>49</v>
      </c>
      <c r="U3520" s="12" t="s">
        <v>153</v>
      </c>
      <c r="V3520" s="12" t="s">
        <v>8681</v>
      </c>
      <c r="W3520" s="12" t="s">
        <v>51</v>
      </c>
      <c r="X3520" s="14"/>
      <c r="Y3520" s="14"/>
      <c r="Z3520" s="14"/>
      <c r="AA3520" s="14"/>
      <c r="AB3520" s="14"/>
      <c r="AC3520" s="15">
        <v>40.950000000000003</v>
      </c>
      <c r="AD3520" s="15">
        <f>AC3520*AG3520</f>
        <v>40.950000000000003</v>
      </c>
      <c r="AE3520" s="15">
        <v>90</v>
      </c>
      <c r="AF3520" s="15">
        <f>AE3520*AG3520</f>
        <v>90</v>
      </c>
      <c r="AG3520" s="16">
        <v>1</v>
      </c>
    </row>
    <row r="3521" spans="1:33" ht="15" customHeight="1" x14ac:dyDescent="0.2">
      <c r="A3521" s="11" t="str">
        <f t="shared" ref="A3521:A3523" si="1224">HYPERLINK("https://assets.vans.eu/images/VN000Q67EMX-HERO/1","VN000Q67EMX1")</f>
        <v>VN000Q67EMX1</v>
      </c>
      <c r="B3521" s="12" t="s">
        <v>12667</v>
      </c>
      <c r="C3521" s="12" t="s">
        <v>3788</v>
      </c>
      <c r="D3521" s="12" t="s">
        <v>2969</v>
      </c>
      <c r="E3521" s="12" t="s">
        <v>12668</v>
      </c>
      <c r="F3521" s="13">
        <v>25</v>
      </c>
      <c r="G3521" s="14"/>
      <c r="H3521" s="12" t="s">
        <v>61</v>
      </c>
      <c r="I3521" s="12" t="s">
        <v>289</v>
      </c>
      <c r="J3521" s="12" t="s">
        <v>290</v>
      </c>
      <c r="K3521" s="12" t="s">
        <v>100</v>
      </c>
      <c r="L3521" s="14"/>
      <c r="M3521" s="12" t="s">
        <v>43</v>
      </c>
      <c r="N3521" s="12" t="s">
        <v>84</v>
      </c>
      <c r="O3521" s="12" t="s">
        <v>12669</v>
      </c>
      <c r="P3521" s="12" t="s">
        <v>66</v>
      </c>
      <c r="Q3521" s="12" t="s">
        <v>233</v>
      </c>
      <c r="R3521" s="12" t="s">
        <v>664</v>
      </c>
      <c r="S3521" s="13">
        <v>197804393046</v>
      </c>
      <c r="T3521" s="12" t="s">
        <v>235</v>
      </c>
      <c r="U3521" s="13">
        <v>25</v>
      </c>
      <c r="V3521" s="12" t="s">
        <v>665</v>
      </c>
      <c r="W3521" s="12" t="s">
        <v>625</v>
      </c>
      <c r="X3521" s="14"/>
      <c r="Y3521" s="14"/>
      <c r="Z3521" s="14"/>
      <c r="AA3521" s="14"/>
      <c r="AB3521" s="14"/>
      <c r="AC3521" s="15">
        <v>36.4</v>
      </c>
      <c r="AD3521" s="15">
        <f>AC3521*AG3521</f>
        <v>36.4</v>
      </c>
      <c r="AE3521" s="15">
        <v>80</v>
      </c>
      <c r="AF3521" s="15">
        <f>AE3521*AG3521</f>
        <v>80</v>
      </c>
      <c r="AG3521" s="16">
        <v>1</v>
      </c>
    </row>
    <row r="3522" spans="1:33" ht="15" customHeight="1" x14ac:dyDescent="0.2">
      <c r="A3522" s="11" t="str">
        <f t="shared" si="1224"/>
        <v>VN000Q67EMX1</v>
      </c>
      <c r="B3522" s="12" t="s">
        <v>12670</v>
      </c>
      <c r="C3522" s="12" t="s">
        <v>3788</v>
      </c>
      <c r="D3522" s="12" t="s">
        <v>2969</v>
      </c>
      <c r="E3522" s="12" t="s">
        <v>12671</v>
      </c>
      <c r="F3522" s="13">
        <v>26</v>
      </c>
      <c r="G3522" s="14"/>
      <c r="H3522" s="12" t="s">
        <v>61</v>
      </c>
      <c r="I3522" s="12" t="s">
        <v>289</v>
      </c>
      <c r="J3522" s="12" t="s">
        <v>290</v>
      </c>
      <c r="K3522" s="12" t="s">
        <v>100</v>
      </c>
      <c r="L3522" s="14"/>
      <c r="M3522" s="12" t="s">
        <v>43</v>
      </c>
      <c r="N3522" s="12" t="s">
        <v>84</v>
      </c>
      <c r="O3522" s="12" t="s">
        <v>12672</v>
      </c>
      <c r="P3522" s="12" t="s">
        <v>66</v>
      </c>
      <c r="Q3522" s="12" t="s">
        <v>233</v>
      </c>
      <c r="R3522" s="12" t="s">
        <v>664</v>
      </c>
      <c r="S3522" s="13">
        <v>197804393084</v>
      </c>
      <c r="T3522" s="12" t="s">
        <v>235</v>
      </c>
      <c r="U3522" s="13">
        <v>26</v>
      </c>
      <c r="V3522" s="12" t="s">
        <v>665</v>
      </c>
      <c r="W3522" s="12" t="s">
        <v>625</v>
      </c>
      <c r="X3522" s="14"/>
      <c r="Y3522" s="14"/>
      <c r="Z3522" s="14"/>
      <c r="AA3522" s="14"/>
      <c r="AB3522" s="14"/>
      <c r="AC3522" s="15">
        <v>36.4</v>
      </c>
      <c r="AD3522" s="15">
        <f>AC3522*AG3522</f>
        <v>36.4</v>
      </c>
      <c r="AE3522" s="15">
        <v>80</v>
      </c>
      <c r="AF3522" s="15">
        <f>AE3522*AG3522</f>
        <v>80</v>
      </c>
      <c r="AG3522" s="16">
        <v>1</v>
      </c>
    </row>
    <row r="3523" spans="1:33" ht="15" customHeight="1" x14ac:dyDescent="0.2">
      <c r="A3523" s="11" t="str">
        <f t="shared" si="1224"/>
        <v>VN000Q67EMX1</v>
      </c>
      <c r="B3523" s="12" t="s">
        <v>12673</v>
      </c>
      <c r="C3523" s="12" t="s">
        <v>3788</v>
      </c>
      <c r="D3523" s="12" t="s">
        <v>2969</v>
      </c>
      <c r="E3523" s="12" t="s">
        <v>12674</v>
      </c>
      <c r="F3523" s="13">
        <v>32</v>
      </c>
      <c r="G3523" s="14"/>
      <c r="H3523" s="12" t="s">
        <v>61</v>
      </c>
      <c r="I3523" s="12" t="s">
        <v>289</v>
      </c>
      <c r="J3523" s="12" t="s">
        <v>290</v>
      </c>
      <c r="K3523" s="12" t="s">
        <v>100</v>
      </c>
      <c r="L3523" s="14"/>
      <c r="M3523" s="12" t="s">
        <v>43</v>
      </c>
      <c r="N3523" s="12" t="s">
        <v>84</v>
      </c>
      <c r="O3523" s="12" t="s">
        <v>12675</v>
      </c>
      <c r="P3523" s="12" t="s">
        <v>66</v>
      </c>
      <c r="Q3523" s="12" t="s">
        <v>233</v>
      </c>
      <c r="R3523" s="12" t="s">
        <v>664</v>
      </c>
      <c r="S3523" s="13">
        <v>197804393718</v>
      </c>
      <c r="T3523" s="12" t="s">
        <v>235</v>
      </c>
      <c r="U3523" s="13">
        <v>32</v>
      </c>
      <c r="V3523" s="12" t="s">
        <v>665</v>
      </c>
      <c r="W3523" s="12" t="s">
        <v>625</v>
      </c>
      <c r="X3523" s="14"/>
      <c r="Y3523" s="14"/>
      <c r="Z3523" s="14"/>
      <c r="AA3523" s="14"/>
      <c r="AB3523" s="14"/>
      <c r="AC3523" s="15">
        <v>36.4</v>
      </c>
      <c r="AD3523" s="15">
        <f>AC3523*AG3523</f>
        <v>36.4</v>
      </c>
      <c r="AE3523" s="15">
        <v>80</v>
      </c>
      <c r="AF3523" s="15">
        <f>AE3523*AG3523</f>
        <v>80</v>
      </c>
      <c r="AG3523" s="16">
        <v>1</v>
      </c>
    </row>
    <row r="3524" spans="1:33" ht="15" customHeight="1" x14ac:dyDescent="0.2">
      <c r="A3524" s="11" t="str">
        <f t="shared" si="947"/>
        <v>VN000Q7429B1</v>
      </c>
      <c r="B3524" s="12" t="s">
        <v>12676</v>
      </c>
      <c r="C3524" s="12" t="s">
        <v>3186</v>
      </c>
      <c r="D3524" s="12" t="s">
        <v>5629</v>
      </c>
      <c r="E3524" s="12" t="s">
        <v>12677</v>
      </c>
      <c r="F3524" s="13">
        <v>26</v>
      </c>
      <c r="G3524" s="14"/>
      <c r="H3524" s="12" t="s">
        <v>61</v>
      </c>
      <c r="I3524" s="12" t="s">
        <v>230</v>
      </c>
      <c r="J3524" s="12" t="s">
        <v>231</v>
      </c>
      <c r="K3524" s="12" t="s">
        <v>199</v>
      </c>
      <c r="L3524" s="14"/>
      <c r="M3524" s="12" t="s">
        <v>43</v>
      </c>
      <c r="N3524" s="12" t="s">
        <v>84</v>
      </c>
      <c r="O3524" s="12" t="s">
        <v>12678</v>
      </c>
      <c r="P3524" s="12" t="s">
        <v>66</v>
      </c>
      <c r="Q3524" s="12" t="s">
        <v>233</v>
      </c>
      <c r="R3524" s="12" t="s">
        <v>361</v>
      </c>
      <c r="S3524" s="13">
        <v>197804583102</v>
      </c>
      <c r="T3524" s="12" t="s">
        <v>235</v>
      </c>
      <c r="U3524" s="13">
        <v>26</v>
      </c>
      <c r="V3524" s="12" t="s">
        <v>423</v>
      </c>
      <c r="W3524" s="12" t="s">
        <v>51</v>
      </c>
      <c r="X3524" s="14"/>
      <c r="Y3524" s="14"/>
      <c r="Z3524" s="14"/>
      <c r="AA3524" s="14"/>
      <c r="AB3524" s="14"/>
      <c r="AC3524" s="15">
        <v>36.4</v>
      </c>
      <c r="AD3524" s="15">
        <f>AC3524*AG3524</f>
        <v>36.4</v>
      </c>
      <c r="AE3524" s="15">
        <v>80</v>
      </c>
      <c r="AF3524" s="15">
        <f>AE3524*AG3524</f>
        <v>80</v>
      </c>
      <c r="AG3524" s="16">
        <v>1</v>
      </c>
    </row>
    <row r="3525" spans="1:33" ht="15" customHeight="1" x14ac:dyDescent="0.2">
      <c r="A3525" s="11" t="str">
        <f t="shared" ref="A3525:A3526" si="1225">HYPERLINK("https://assets.vans.eu/images/VN000Q7429B-HERO/1","VN000Q7429B1")</f>
        <v>VN000Q7429B1</v>
      </c>
      <c r="B3525" s="12" t="s">
        <v>12679</v>
      </c>
      <c r="C3525" s="12" t="s">
        <v>3186</v>
      </c>
      <c r="D3525" s="12" t="s">
        <v>5629</v>
      </c>
      <c r="E3525" s="12" t="s">
        <v>12680</v>
      </c>
      <c r="F3525" s="13">
        <v>29</v>
      </c>
      <c r="G3525" s="14"/>
      <c r="H3525" s="12" t="s">
        <v>61</v>
      </c>
      <c r="I3525" s="12" t="s">
        <v>230</v>
      </c>
      <c r="J3525" s="12" t="s">
        <v>231</v>
      </c>
      <c r="K3525" s="12" t="s">
        <v>199</v>
      </c>
      <c r="L3525" s="14"/>
      <c r="M3525" s="12" t="s">
        <v>43</v>
      </c>
      <c r="N3525" s="12" t="s">
        <v>84</v>
      </c>
      <c r="O3525" s="12" t="s">
        <v>12681</v>
      </c>
      <c r="P3525" s="12" t="s">
        <v>66</v>
      </c>
      <c r="Q3525" s="12" t="s">
        <v>233</v>
      </c>
      <c r="R3525" s="12" t="s">
        <v>361</v>
      </c>
      <c r="S3525" s="13">
        <v>197804583508</v>
      </c>
      <c r="T3525" s="12" t="s">
        <v>235</v>
      </c>
      <c r="U3525" s="13">
        <v>29</v>
      </c>
      <c r="V3525" s="12" t="s">
        <v>423</v>
      </c>
      <c r="W3525" s="12" t="s">
        <v>51</v>
      </c>
      <c r="X3525" s="14"/>
      <c r="Y3525" s="14"/>
      <c r="Z3525" s="14"/>
      <c r="AA3525" s="14"/>
      <c r="AB3525" s="14"/>
      <c r="AC3525" s="15">
        <v>36.4</v>
      </c>
      <c r="AD3525" s="15">
        <f>AC3525*AG3525</f>
        <v>36.4</v>
      </c>
      <c r="AE3525" s="15">
        <v>80</v>
      </c>
      <c r="AF3525" s="15">
        <f>AE3525*AG3525</f>
        <v>80</v>
      </c>
      <c r="AG3525" s="16">
        <v>1</v>
      </c>
    </row>
    <row r="3526" spans="1:33" ht="15" customHeight="1" x14ac:dyDescent="0.2">
      <c r="A3526" s="11" t="str">
        <f t="shared" si="1225"/>
        <v>VN000Q7429B1</v>
      </c>
      <c r="B3526" s="12" t="s">
        <v>12682</v>
      </c>
      <c r="C3526" s="12" t="s">
        <v>3186</v>
      </c>
      <c r="D3526" s="12" t="s">
        <v>5629</v>
      </c>
      <c r="E3526" s="12" t="s">
        <v>12683</v>
      </c>
      <c r="F3526" s="13">
        <v>30</v>
      </c>
      <c r="G3526" s="14"/>
      <c r="H3526" s="12" t="s">
        <v>61</v>
      </c>
      <c r="I3526" s="12" t="s">
        <v>230</v>
      </c>
      <c r="J3526" s="12" t="s">
        <v>231</v>
      </c>
      <c r="K3526" s="12" t="s">
        <v>199</v>
      </c>
      <c r="L3526" s="14"/>
      <c r="M3526" s="12" t="s">
        <v>43</v>
      </c>
      <c r="N3526" s="12" t="s">
        <v>84</v>
      </c>
      <c r="O3526" s="12" t="s">
        <v>12684</v>
      </c>
      <c r="P3526" s="12" t="s">
        <v>66</v>
      </c>
      <c r="Q3526" s="12" t="s">
        <v>233</v>
      </c>
      <c r="R3526" s="12" t="s">
        <v>361</v>
      </c>
      <c r="S3526" s="13">
        <v>197804583560</v>
      </c>
      <c r="T3526" s="12" t="s">
        <v>235</v>
      </c>
      <c r="U3526" s="13">
        <v>30</v>
      </c>
      <c r="V3526" s="12" t="s">
        <v>423</v>
      </c>
      <c r="W3526" s="12" t="s">
        <v>51</v>
      </c>
      <c r="X3526" s="14"/>
      <c r="Y3526" s="14"/>
      <c r="Z3526" s="14"/>
      <c r="AA3526" s="14"/>
      <c r="AB3526" s="14"/>
      <c r="AC3526" s="15">
        <v>36.4</v>
      </c>
      <c r="AD3526" s="15">
        <f>AC3526*AG3526</f>
        <v>36.4</v>
      </c>
      <c r="AE3526" s="15">
        <v>80</v>
      </c>
      <c r="AF3526" s="15">
        <f>AE3526*AG3526</f>
        <v>80</v>
      </c>
      <c r="AG3526" s="16">
        <v>1</v>
      </c>
    </row>
    <row r="3527" spans="1:33" ht="15" customHeight="1" x14ac:dyDescent="0.2">
      <c r="A3527" s="11" t="str">
        <f t="shared" si="948"/>
        <v>VN000Q74EN61</v>
      </c>
      <c r="B3527" s="12" t="s">
        <v>12685</v>
      </c>
      <c r="C3527" s="12" t="s">
        <v>3186</v>
      </c>
      <c r="D3527" s="12" t="s">
        <v>189</v>
      </c>
      <c r="E3527" s="12" t="s">
        <v>12686</v>
      </c>
      <c r="F3527" s="13">
        <v>26</v>
      </c>
      <c r="G3527" s="14"/>
      <c r="H3527" s="12" t="s">
        <v>61</v>
      </c>
      <c r="I3527" s="12" t="s">
        <v>230</v>
      </c>
      <c r="J3527" s="12" t="s">
        <v>231</v>
      </c>
      <c r="K3527" s="12" t="s">
        <v>199</v>
      </c>
      <c r="L3527" s="14"/>
      <c r="M3527" s="12" t="s">
        <v>43</v>
      </c>
      <c r="N3527" s="12" t="s">
        <v>84</v>
      </c>
      <c r="O3527" s="12" t="s">
        <v>12687</v>
      </c>
      <c r="P3527" s="12" t="s">
        <v>66</v>
      </c>
      <c r="Q3527" s="12" t="s">
        <v>233</v>
      </c>
      <c r="R3527" s="12" t="s">
        <v>361</v>
      </c>
      <c r="S3527" s="13">
        <v>197804582976</v>
      </c>
      <c r="T3527" s="12" t="s">
        <v>235</v>
      </c>
      <c r="U3527" s="13">
        <v>26</v>
      </c>
      <c r="V3527" s="12" t="s">
        <v>423</v>
      </c>
      <c r="W3527" s="12" t="s">
        <v>118</v>
      </c>
      <c r="X3527" s="14"/>
      <c r="Y3527" s="14"/>
      <c r="Z3527" s="14"/>
      <c r="AA3527" s="14"/>
      <c r="AB3527" s="14"/>
      <c r="AC3527" s="15">
        <v>36.4</v>
      </c>
      <c r="AD3527" s="15">
        <f>AC3527*AG3527</f>
        <v>36.4</v>
      </c>
      <c r="AE3527" s="15">
        <v>80</v>
      </c>
      <c r="AF3527" s="15">
        <f>AE3527*AG3527</f>
        <v>80</v>
      </c>
      <c r="AG3527" s="16">
        <v>1</v>
      </c>
    </row>
    <row r="3528" spans="1:33" ht="15" customHeight="1" x14ac:dyDescent="0.2">
      <c r="A3528" s="11" t="str">
        <f t="shared" ref="A3528:A3529" si="1226">HYPERLINK("https://assets.vans.eu/images/VN000Q74EN6-HERO/1","VN000Q74EN61")</f>
        <v>VN000Q74EN61</v>
      </c>
      <c r="B3528" s="12" t="s">
        <v>12688</v>
      </c>
      <c r="C3528" s="12" t="s">
        <v>3186</v>
      </c>
      <c r="D3528" s="12" t="s">
        <v>189</v>
      </c>
      <c r="E3528" s="12" t="s">
        <v>12689</v>
      </c>
      <c r="F3528" s="13">
        <v>27</v>
      </c>
      <c r="G3528" s="14"/>
      <c r="H3528" s="12" t="s">
        <v>61</v>
      </c>
      <c r="I3528" s="12" t="s">
        <v>230</v>
      </c>
      <c r="J3528" s="12" t="s">
        <v>231</v>
      </c>
      <c r="K3528" s="12" t="s">
        <v>199</v>
      </c>
      <c r="L3528" s="14"/>
      <c r="M3528" s="12" t="s">
        <v>43</v>
      </c>
      <c r="N3528" s="12" t="s">
        <v>84</v>
      </c>
      <c r="O3528" s="12" t="s">
        <v>12690</v>
      </c>
      <c r="P3528" s="12" t="s">
        <v>66</v>
      </c>
      <c r="Q3528" s="12" t="s">
        <v>233</v>
      </c>
      <c r="R3528" s="12" t="s">
        <v>361</v>
      </c>
      <c r="S3528" s="13">
        <v>197804583300</v>
      </c>
      <c r="T3528" s="12" t="s">
        <v>235</v>
      </c>
      <c r="U3528" s="13">
        <v>27</v>
      </c>
      <c r="V3528" s="12" t="s">
        <v>423</v>
      </c>
      <c r="W3528" s="12" t="s">
        <v>118</v>
      </c>
      <c r="X3528" s="14"/>
      <c r="Y3528" s="14"/>
      <c r="Z3528" s="14"/>
      <c r="AA3528" s="14"/>
      <c r="AB3528" s="14"/>
      <c r="AC3528" s="15">
        <v>36.4</v>
      </c>
      <c r="AD3528" s="15">
        <f>AC3528*AG3528</f>
        <v>36.4</v>
      </c>
      <c r="AE3528" s="15">
        <v>80</v>
      </c>
      <c r="AF3528" s="15">
        <f>AE3528*AG3528</f>
        <v>80</v>
      </c>
      <c r="AG3528" s="16">
        <v>1</v>
      </c>
    </row>
    <row r="3529" spans="1:33" ht="15" customHeight="1" x14ac:dyDescent="0.2">
      <c r="A3529" s="11" t="str">
        <f t="shared" si="1226"/>
        <v>VN000Q74EN61</v>
      </c>
      <c r="B3529" s="12" t="s">
        <v>12691</v>
      </c>
      <c r="C3529" s="12" t="s">
        <v>3186</v>
      </c>
      <c r="D3529" s="12" t="s">
        <v>189</v>
      </c>
      <c r="E3529" s="12" t="s">
        <v>12692</v>
      </c>
      <c r="F3529" s="13">
        <v>33</v>
      </c>
      <c r="G3529" s="14"/>
      <c r="H3529" s="12" t="s">
        <v>61</v>
      </c>
      <c r="I3529" s="12" t="s">
        <v>230</v>
      </c>
      <c r="J3529" s="12" t="s">
        <v>231</v>
      </c>
      <c r="K3529" s="12" t="s">
        <v>199</v>
      </c>
      <c r="L3529" s="14"/>
      <c r="M3529" s="12" t="s">
        <v>43</v>
      </c>
      <c r="N3529" s="12" t="s">
        <v>84</v>
      </c>
      <c r="O3529" s="12" t="s">
        <v>12693</v>
      </c>
      <c r="P3529" s="12" t="s">
        <v>66</v>
      </c>
      <c r="Q3529" s="12" t="s">
        <v>233</v>
      </c>
      <c r="R3529" s="12" t="s">
        <v>361</v>
      </c>
      <c r="S3529" s="13">
        <v>197804583669</v>
      </c>
      <c r="T3529" s="12" t="s">
        <v>235</v>
      </c>
      <c r="U3529" s="13">
        <v>33</v>
      </c>
      <c r="V3529" s="12" t="s">
        <v>423</v>
      </c>
      <c r="W3529" s="12" t="s">
        <v>118</v>
      </c>
      <c r="X3529" s="14"/>
      <c r="Y3529" s="14"/>
      <c r="Z3529" s="14"/>
      <c r="AA3529" s="14"/>
      <c r="AB3529" s="14"/>
      <c r="AC3529" s="15">
        <v>36.4</v>
      </c>
      <c r="AD3529" s="15">
        <f>AC3529*AG3529</f>
        <v>36.4</v>
      </c>
      <c r="AE3529" s="15">
        <v>80</v>
      </c>
      <c r="AF3529" s="15">
        <f>AE3529*AG3529</f>
        <v>80</v>
      </c>
      <c r="AG3529" s="16">
        <v>1</v>
      </c>
    </row>
    <row r="3530" spans="1:33" ht="15" customHeight="1" x14ac:dyDescent="0.2">
      <c r="A3530" s="11" t="str">
        <f>HYPERLINK("https://assets.vans.eu/images/VN000Q7712Q-HERO/1","VN000Q7712Q1")</f>
        <v>VN000Q7712Q1</v>
      </c>
      <c r="B3530" s="12" t="s">
        <v>12694</v>
      </c>
      <c r="C3530" s="12" t="s">
        <v>4784</v>
      </c>
      <c r="D3530" s="12" t="s">
        <v>2466</v>
      </c>
      <c r="E3530" s="12" t="s">
        <v>12695</v>
      </c>
      <c r="F3530" s="12" t="s">
        <v>621</v>
      </c>
      <c r="G3530" s="14"/>
      <c r="H3530" s="12" t="s">
        <v>61</v>
      </c>
      <c r="I3530" s="12" t="s">
        <v>230</v>
      </c>
      <c r="J3530" s="12" t="s">
        <v>419</v>
      </c>
      <c r="K3530" s="12" t="s">
        <v>199</v>
      </c>
      <c r="L3530" s="14"/>
      <c r="M3530" s="12" t="s">
        <v>43</v>
      </c>
      <c r="N3530" s="12" t="s">
        <v>84</v>
      </c>
      <c r="O3530" s="12" t="s">
        <v>12696</v>
      </c>
      <c r="P3530" s="12" t="s">
        <v>66</v>
      </c>
      <c r="Q3530" s="12" t="s">
        <v>67</v>
      </c>
      <c r="R3530" s="12" t="s">
        <v>623</v>
      </c>
      <c r="S3530" s="13">
        <v>197804369560</v>
      </c>
      <c r="T3530" s="12" t="s">
        <v>49</v>
      </c>
      <c r="U3530" s="12" t="s">
        <v>621</v>
      </c>
      <c r="V3530" s="12" t="s">
        <v>1731</v>
      </c>
      <c r="W3530" s="12" t="s">
        <v>625</v>
      </c>
      <c r="X3530" s="14"/>
      <c r="Y3530" s="14"/>
      <c r="Z3530" s="14"/>
      <c r="AA3530" s="14"/>
      <c r="AB3530" s="14"/>
      <c r="AC3530" s="15">
        <v>45.5</v>
      </c>
      <c r="AD3530" s="15">
        <f>AC3530*AG3530</f>
        <v>45.5</v>
      </c>
      <c r="AE3530" s="15">
        <v>100</v>
      </c>
      <c r="AF3530" s="15">
        <f>AE3530*AG3530</f>
        <v>100</v>
      </c>
      <c r="AG3530" s="16">
        <v>1</v>
      </c>
    </row>
    <row r="3531" spans="1:33" ht="15" customHeight="1" x14ac:dyDescent="0.2">
      <c r="A3531" s="11" t="str">
        <f t="shared" si="591"/>
        <v>VN000Q77BLK1</v>
      </c>
      <c r="B3531" s="12" t="s">
        <v>12697</v>
      </c>
      <c r="C3531" s="12" t="s">
        <v>4784</v>
      </c>
      <c r="D3531" s="12" t="s">
        <v>76</v>
      </c>
      <c r="E3531" s="12" t="s">
        <v>12698</v>
      </c>
      <c r="F3531" s="12" t="s">
        <v>179</v>
      </c>
      <c r="G3531" s="14"/>
      <c r="H3531" s="12" t="s">
        <v>61</v>
      </c>
      <c r="I3531" s="12" t="s">
        <v>230</v>
      </c>
      <c r="J3531" s="12" t="s">
        <v>419</v>
      </c>
      <c r="K3531" s="12" t="s">
        <v>199</v>
      </c>
      <c r="L3531" s="14"/>
      <c r="M3531" s="12" t="s">
        <v>43</v>
      </c>
      <c r="N3531" s="12" t="s">
        <v>84</v>
      </c>
      <c r="O3531" s="12" t="s">
        <v>12699</v>
      </c>
      <c r="P3531" s="12" t="s">
        <v>66</v>
      </c>
      <c r="Q3531" s="12" t="s">
        <v>67</v>
      </c>
      <c r="R3531" s="12" t="s">
        <v>623</v>
      </c>
      <c r="S3531" s="13">
        <v>197804582853</v>
      </c>
      <c r="T3531" s="12" t="s">
        <v>49</v>
      </c>
      <c r="U3531" s="12" t="s">
        <v>179</v>
      </c>
      <c r="V3531" s="12" t="s">
        <v>1731</v>
      </c>
      <c r="W3531" s="12" t="s">
        <v>51</v>
      </c>
      <c r="X3531" s="14"/>
      <c r="Y3531" s="14"/>
      <c r="Z3531" s="14"/>
      <c r="AA3531" s="14"/>
      <c r="AB3531" s="14"/>
      <c r="AC3531" s="15">
        <v>45.5</v>
      </c>
      <c r="AD3531" s="15">
        <f>AC3531*AG3531</f>
        <v>45.5</v>
      </c>
      <c r="AE3531" s="15">
        <v>100</v>
      </c>
      <c r="AF3531" s="15">
        <f>AE3531*AG3531</f>
        <v>100</v>
      </c>
      <c r="AG3531" s="16">
        <v>1</v>
      </c>
    </row>
    <row r="3532" spans="1:33" ht="15" customHeight="1" x14ac:dyDescent="0.2">
      <c r="A3532" s="11" t="str">
        <f>HYPERLINK("https://assets.vans.eu/images/VN000Q77BLK-HERO/1","VN000Q77BLK1")</f>
        <v>VN000Q77BLK1</v>
      </c>
      <c r="B3532" s="12" t="s">
        <v>12700</v>
      </c>
      <c r="C3532" s="12" t="s">
        <v>4784</v>
      </c>
      <c r="D3532" s="12" t="s">
        <v>76</v>
      </c>
      <c r="E3532" s="12" t="s">
        <v>12701</v>
      </c>
      <c r="F3532" s="12" t="s">
        <v>60</v>
      </c>
      <c r="G3532" s="14"/>
      <c r="H3532" s="12" t="s">
        <v>61</v>
      </c>
      <c r="I3532" s="12" t="s">
        <v>230</v>
      </c>
      <c r="J3532" s="12" t="s">
        <v>419</v>
      </c>
      <c r="K3532" s="12" t="s">
        <v>199</v>
      </c>
      <c r="L3532" s="14"/>
      <c r="M3532" s="12" t="s">
        <v>43</v>
      </c>
      <c r="N3532" s="12" t="s">
        <v>84</v>
      </c>
      <c r="O3532" s="12" t="s">
        <v>12702</v>
      </c>
      <c r="P3532" s="12" t="s">
        <v>66</v>
      </c>
      <c r="Q3532" s="12" t="s">
        <v>67</v>
      </c>
      <c r="R3532" s="12" t="s">
        <v>623</v>
      </c>
      <c r="S3532" s="13">
        <v>197804583232</v>
      </c>
      <c r="T3532" s="12" t="s">
        <v>49</v>
      </c>
      <c r="U3532" s="12" t="s">
        <v>60</v>
      </c>
      <c r="V3532" s="12" t="s">
        <v>1731</v>
      </c>
      <c r="W3532" s="12" t="s">
        <v>51</v>
      </c>
      <c r="X3532" s="14"/>
      <c r="Y3532" s="14"/>
      <c r="Z3532" s="14"/>
      <c r="AA3532" s="14"/>
      <c r="AB3532" s="14"/>
      <c r="AC3532" s="15">
        <v>45.5</v>
      </c>
      <c r="AD3532" s="15">
        <f>AC3532*AG3532</f>
        <v>45.5</v>
      </c>
      <c r="AE3532" s="15">
        <v>100</v>
      </c>
      <c r="AF3532" s="15">
        <f>AE3532*AG3532</f>
        <v>100</v>
      </c>
      <c r="AG3532" s="16">
        <v>1</v>
      </c>
    </row>
    <row r="3533" spans="1:33" ht="15" customHeight="1" x14ac:dyDescent="0.2">
      <c r="A3533" s="11" t="str">
        <f>HYPERLINK("https://assets.vans.eu/images/VN000QF32N1-HERO/1","VN000QF32N11")</f>
        <v>VN000QF32N11</v>
      </c>
      <c r="B3533" s="12" t="s">
        <v>12703</v>
      </c>
      <c r="C3533" s="12" t="s">
        <v>1509</v>
      </c>
      <c r="D3533" s="12" t="s">
        <v>1082</v>
      </c>
      <c r="E3533" s="12" t="s">
        <v>12704</v>
      </c>
      <c r="F3533" s="12" t="s">
        <v>179</v>
      </c>
      <c r="G3533" s="14"/>
      <c r="H3533" s="12" t="s">
        <v>61</v>
      </c>
      <c r="I3533" s="12" t="s">
        <v>289</v>
      </c>
      <c r="J3533" s="12" t="s">
        <v>706</v>
      </c>
      <c r="K3533" s="12" t="s">
        <v>100</v>
      </c>
      <c r="L3533" s="14"/>
      <c r="M3533" s="12" t="s">
        <v>43</v>
      </c>
      <c r="N3533" s="12" t="s">
        <v>84</v>
      </c>
      <c r="O3533" s="12" t="s">
        <v>12705</v>
      </c>
      <c r="P3533" s="12" t="s">
        <v>66</v>
      </c>
      <c r="Q3533" s="12" t="s">
        <v>67</v>
      </c>
      <c r="R3533" s="12" t="s">
        <v>708</v>
      </c>
      <c r="S3533" s="13">
        <v>197804369331</v>
      </c>
      <c r="T3533" s="12" t="s">
        <v>709</v>
      </c>
      <c r="U3533" s="12" t="s">
        <v>179</v>
      </c>
      <c r="V3533" s="12" t="s">
        <v>710</v>
      </c>
      <c r="W3533" s="12" t="s">
        <v>580</v>
      </c>
      <c r="X3533" s="14"/>
      <c r="Y3533" s="14"/>
      <c r="Z3533" s="14"/>
      <c r="AA3533" s="14"/>
      <c r="AB3533" s="14"/>
      <c r="AC3533" s="15">
        <v>38.65</v>
      </c>
      <c r="AD3533" s="15">
        <f>AC3533*AG3533</f>
        <v>38.65</v>
      </c>
      <c r="AE3533" s="15">
        <v>85</v>
      </c>
      <c r="AF3533" s="15">
        <f>AE3533*AG3533</f>
        <v>85</v>
      </c>
      <c r="AG3533" s="16">
        <v>1</v>
      </c>
    </row>
    <row r="3534" spans="1:33" ht="15" customHeight="1" x14ac:dyDescent="0.2">
      <c r="A3534" s="11" t="str">
        <f t="shared" si="746"/>
        <v>VN000QFGDJR1</v>
      </c>
      <c r="B3534" s="12" t="s">
        <v>12706</v>
      </c>
      <c r="C3534" s="12" t="s">
        <v>6844</v>
      </c>
      <c r="D3534" s="12" t="s">
        <v>2829</v>
      </c>
      <c r="E3534" s="12" t="s">
        <v>12707</v>
      </c>
      <c r="F3534" s="12" t="s">
        <v>179</v>
      </c>
      <c r="G3534" s="14"/>
      <c r="H3534" s="12" t="s">
        <v>61</v>
      </c>
      <c r="I3534" s="12" t="s">
        <v>289</v>
      </c>
      <c r="J3534" s="12" t="s">
        <v>706</v>
      </c>
      <c r="K3534" s="12" t="s">
        <v>100</v>
      </c>
      <c r="L3534" s="12" t="s">
        <v>115</v>
      </c>
      <c r="M3534" s="12" t="s">
        <v>43</v>
      </c>
      <c r="N3534" s="12" t="s">
        <v>161</v>
      </c>
      <c r="O3534" s="12" t="s">
        <v>12708</v>
      </c>
      <c r="P3534" s="12" t="s">
        <v>66</v>
      </c>
      <c r="Q3534" s="12" t="s">
        <v>67</v>
      </c>
      <c r="R3534" s="12" t="s">
        <v>1146</v>
      </c>
      <c r="S3534" s="13">
        <v>197803466031</v>
      </c>
      <c r="T3534" s="12" t="s">
        <v>422</v>
      </c>
      <c r="U3534" s="12" t="s">
        <v>179</v>
      </c>
      <c r="V3534" s="12" t="s">
        <v>70</v>
      </c>
      <c r="W3534" s="12" t="s">
        <v>175</v>
      </c>
      <c r="X3534" s="13">
        <v>0</v>
      </c>
      <c r="Y3534" s="12" t="s">
        <v>53</v>
      </c>
      <c r="Z3534" s="12" t="s">
        <v>6847</v>
      </c>
      <c r="AA3534" s="12" t="s">
        <v>93</v>
      </c>
      <c r="AB3534" s="12" t="s">
        <v>94</v>
      </c>
      <c r="AC3534" s="15">
        <v>20.5</v>
      </c>
      <c r="AD3534" s="15">
        <f>AC3534*AG3534</f>
        <v>20.5</v>
      </c>
      <c r="AE3534" s="15">
        <v>45</v>
      </c>
      <c r="AF3534" s="15">
        <f>AE3534*AG3534</f>
        <v>45</v>
      </c>
      <c r="AG3534" s="16">
        <v>1</v>
      </c>
    </row>
    <row r="3535" spans="1:33" ht="15" customHeight="1" x14ac:dyDescent="0.2">
      <c r="A3535" s="11" t="str">
        <f>HYPERLINK("https://assets.vans.eu/images/VN000QFGDJR-HERO/1","VN000QFGDJR1")</f>
        <v>VN000QFGDJR1</v>
      </c>
      <c r="B3535" s="12" t="s">
        <v>12709</v>
      </c>
      <c r="C3535" s="12" t="s">
        <v>6844</v>
      </c>
      <c r="D3535" s="12" t="s">
        <v>2829</v>
      </c>
      <c r="E3535" s="12" t="s">
        <v>12710</v>
      </c>
      <c r="F3535" s="12" t="s">
        <v>153</v>
      </c>
      <c r="G3535" s="14"/>
      <c r="H3535" s="12" t="s">
        <v>61</v>
      </c>
      <c r="I3535" s="12" t="s">
        <v>289</v>
      </c>
      <c r="J3535" s="12" t="s">
        <v>706</v>
      </c>
      <c r="K3535" s="12" t="s">
        <v>100</v>
      </c>
      <c r="L3535" s="12" t="s">
        <v>115</v>
      </c>
      <c r="M3535" s="12" t="s">
        <v>43</v>
      </c>
      <c r="N3535" s="12" t="s">
        <v>161</v>
      </c>
      <c r="O3535" s="12" t="s">
        <v>12711</v>
      </c>
      <c r="P3535" s="12" t="s">
        <v>66</v>
      </c>
      <c r="Q3535" s="12" t="s">
        <v>67</v>
      </c>
      <c r="R3535" s="12" t="s">
        <v>1146</v>
      </c>
      <c r="S3535" s="13">
        <v>197803466215</v>
      </c>
      <c r="T3535" s="12" t="s">
        <v>422</v>
      </c>
      <c r="U3535" s="12" t="s">
        <v>153</v>
      </c>
      <c r="V3535" s="12" t="s">
        <v>70</v>
      </c>
      <c r="W3535" s="12" t="s">
        <v>175</v>
      </c>
      <c r="X3535" s="13">
        <v>0</v>
      </c>
      <c r="Y3535" s="12" t="s">
        <v>53</v>
      </c>
      <c r="Z3535" s="12" t="s">
        <v>6847</v>
      </c>
      <c r="AA3535" s="12" t="s">
        <v>93</v>
      </c>
      <c r="AB3535" s="12" t="s">
        <v>94</v>
      </c>
      <c r="AC3535" s="15">
        <v>20.5</v>
      </c>
      <c r="AD3535" s="15">
        <f>AC3535*AG3535</f>
        <v>20.5</v>
      </c>
      <c r="AE3535" s="15">
        <v>45</v>
      </c>
      <c r="AF3535" s="15">
        <f>AE3535*AG3535</f>
        <v>45</v>
      </c>
      <c r="AG3535" s="16">
        <v>1</v>
      </c>
    </row>
    <row r="3536" spans="1:33" ht="15" customHeight="1" x14ac:dyDescent="0.2">
      <c r="A3536" s="11" t="str">
        <f>HYPERLINK("https://assets.vans.eu/images/VN000QFSBLK-HERO/1","VN000QFSBLK1")</f>
        <v>VN000QFSBLK1</v>
      </c>
      <c r="B3536" s="12" t="s">
        <v>12712</v>
      </c>
      <c r="C3536" s="12" t="s">
        <v>12713</v>
      </c>
      <c r="D3536" s="12" t="s">
        <v>76</v>
      </c>
      <c r="E3536" s="12" t="s">
        <v>12714</v>
      </c>
      <c r="F3536" s="12" t="s">
        <v>153</v>
      </c>
      <c r="G3536" s="14"/>
      <c r="H3536" s="12" t="s">
        <v>61</v>
      </c>
      <c r="I3536" s="12" t="s">
        <v>289</v>
      </c>
      <c r="J3536" s="12" t="s">
        <v>706</v>
      </c>
      <c r="K3536" s="12" t="s">
        <v>100</v>
      </c>
      <c r="L3536" s="12" t="s">
        <v>115</v>
      </c>
      <c r="M3536" s="12" t="s">
        <v>43</v>
      </c>
      <c r="N3536" s="12" t="s">
        <v>161</v>
      </c>
      <c r="O3536" s="12" t="s">
        <v>12715</v>
      </c>
      <c r="P3536" s="12" t="s">
        <v>66</v>
      </c>
      <c r="Q3536" s="12" t="s">
        <v>67</v>
      </c>
      <c r="R3536" s="12" t="s">
        <v>708</v>
      </c>
      <c r="S3536" s="13">
        <v>197803466222</v>
      </c>
      <c r="T3536" s="12" t="s">
        <v>69</v>
      </c>
      <c r="U3536" s="12" t="s">
        <v>153</v>
      </c>
      <c r="V3536" s="12" t="s">
        <v>1378</v>
      </c>
      <c r="W3536" s="12" t="s">
        <v>51</v>
      </c>
      <c r="X3536" s="13">
        <v>0</v>
      </c>
      <c r="Y3536" s="12" t="s">
        <v>53</v>
      </c>
      <c r="Z3536" s="12" t="s">
        <v>6847</v>
      </c>
      <c r="AA3536" s="12" t="s">
        <v>93</v>
      </c>
      <c r="AB3536" s="12" t="s">
        <v>94</v>
      </c>
      <c r="AC3536" s="15">
        <v>38.65</v>
      </c>
      <c r="AD3536" s="15">
        <f>AC3536*AG3536</f>
        <v>38.65</v>
      </c>
      <c r="AE3536" s="15">
        <v>85</v>
      </c>
      <c r="AF3536" s="15">
        <f>AE3536*AG3536</f>
        <v>85</v>
      </c>
      <c r="AG3536" s="16">
        <v>1</v>
      </c>
    </row>
    <row r="3537" spans="1:33" ht="15" customHeight="1" x14ac:dyDescent="0.2">
      <c r="A3537" s="11" t="str">
        <f t="shared" ref="A3537:A3538" si="1227">HYPERLINK("https://assets.vans.eu/images/VN000QJPWHT-HERO/1","VN000QJPWHT1")</f>
        <v>VN000QJPWHT1</v>
      </c>
      <c r="B3537" s="12" t="s">
        <v>12716</v>
      </c>
      <c r="C3537" s="12" t="s">
        <v>12717</v>
      </c>
      <c r="D3537" s="12" t="s">
        <v>168</v>
      </c>
      <c r="E3537" s="12" t="s">
        <v>12718</v>
      </c>
      <c r="F3537" s="12" t="s">
        <v>170</v>
      </c>
      <c r="G3537" s="14"/>
      <c r="H3537" s="12" t="s">
        <v>61</v>
      </c>
      <c r="I3537" s="12" t="s">
        <v>230</v>
      </c>
      <c r="J3537" s="12" t="s">
        <v>419</v>
      </c>
      <c r="K3537" s="12" t="s">
        <v>199</v>
      </c>
      <c r="L3537" s="14"/>
      <c r="M3537" s="12" t="s">
        <v>43</v>
      </c>
      <c r="N3537" s="12" t="s">
        <v>84</v>
      </c>
      <c r="O3537" s="12" t="s">
        <v>12719</v>
      </c>
      <c r="P3537" s="12" t="s">
        <v>66</v>
      </c>
      <c r="Q3537" s="12" t="s">
        <v>67</v>
      </c>
      <c r="R3537" s="12" t="s">
        <v>421</v>
      </c>
      <c r="S3537" s="13">
        <v>197804584949</v>
      </c>
      <c r="T3537" s="12" t="s">
        <v>49</v>
      </c>
      <c r="U3537" s="12" t="s">
        <v>170</v>
      </c>
      <c r="V3537" s="12" t="s">
        <v>665</v>
      </c>
      <c r="W3537" s="12" t="s">
        <v>175</v>
      </c>
      <c r="X3537" s="14"/>
      <c r="Y3537" s="14"/>
      <c r="Z3537" s="14"/>
      <c r="AA3537" s="14"/>
      <c r="AB3537" s="14"/>
      <c r="AC3537" s="15">
        <v>19.100000000000001</v>
      </c>
      <c r="AD3537" s="15">
        <f>AC3537*AG3537</f>
        <v>19.100000000000001</v>
      </c>
      <c r="AE3537" s="15">
        <v>42</v>
      </c>
      <c r="AF3537" s="15">
        <f>AE3537*AG3537</f>
        <v>42</v>
      </c>
      <c r="AG3537" s="16">
        <v>1</v>
      </c>
    </row>
    <row r="3538" spans="1:33" ht="15" customHeight="1" x14ac:dyDescent="0.2">
      <c r="A3538" s="11" t="str">
        <f t="shared" si="1227"/>
        <v>VN000QJPWHT1</v>
      </c>
      <c r="B3538" s="12" t="s">
        <v>12720</v>
      </c>
      <c r="C3538" s="12" t="s">
        <v>12717</v>
      </c>
      <c r="D3538" s="12" t="s">
        <v>168</v>
      </c>
      <c r="E3538" s="12" t="s">
        <v>12721</v>
      </c>
      <c r="F3538" s="12" t="s">
        <v>60</v>
      </c>
      <c r="G3538" s="14"/>
      <c r="H3538" s="12" t="s">
        <v>61</v>
      </c>
      <c r="I3538" s="12" t="s">
        <v>230</v>
      </c>
      <c r="J3538" s="12" t="s">
        <v>419</v>
      </c>
      <c r="K3538" s="12" t="s">
        <v>199</v>
      </c>
      <c r="L3538" s="14"/>
      <c r="M3538" s="12" t="s">
        <v>43</v>
      </c>
      <c r="N3538" s="12" t="s">
        <v>84</v>
      </c>
      <c r="O3538" s="12" t="s">
        <v>12722</v>
      </c>
      <c r="P3538" s="12" t="s">
        <v>66</v>
      </c>
      <c r="Q3538" s="12" t="s">
        <v>67</v>
      </c>
      <c r="R3538" s="12" t="s">
        <v>421</v>
      </c>
      <c r="S3538" s="13">
        <v>197804585236</v>
      </c>
      <c r="T3538" s="12" t="s">
        <v>49</v>
      </c>
      <c r="U3538" s="12" t="s">
        <v>60</v>
      </c>
      <c r="V3538" s="12" t="s">
        <v>665</v>
      </c>
      <c r="W3538" s="12" t="s">
        <v>175</v>
      </c>
      <c r="X3538" s="14"/>
      <c r="Y3538" s="14"/>
      <c r="Z3538" s="14"/>
      <c r="AA3538" s="14"/>
      <c r="AB3538" s="14"/>
      <c r="AC3538" s="15">
        <v>19.100000000000001</v>
      </c>
      <c r="AD3538" s="15">
        <f>AC3538*AG3538</f>
        <v>19.100000000000001</v>
      </c>
      <c r="AE3538" s="15">
        <v>42</v>
      </c>
      <c r="AF3538" s="15">
        <f>AE3538*AG3538</f>
        <v>42</v>
      </c>
      <c r="AG3538" s="16">
        <v>1</v>
      </c>
    </row>
    <row r="3539" spans="1:33" ht="15" customHeight="1" x14ac:dyDescent="0.2">
      <c r="A3539" s="11" t="str">
        <f>HYPERLINK("https://assets.vans.eu/images/VN000QN8Y28-HERO/1","VN000QN8Y281")</f>
        <v>VN000QN8Y281</v>
      </c>
      <c r="B3539" s="12" t="s">
        <v>12723</v>
      </c>
      <c r="C3539" s="12" t="s">
        <v>6849</v>
      </c>
      <c r="D3539" s="12" t="s">
        <v>58</v>
      </c>
      <c r="E3539" s="12" t="s">
        <v>12724</v>
      </c>
      <c r="F3539" s="12" t="s">
        <v>170</v>
      </c>
      <c r="G3539" s="14"/>
      <c r="H3539" s="12" t="s">
        <v>61</v>
      </c>
      <c r="I3539" s="12" t="s">
        <v>230</v>
      </c>
      <c r="J3539" s="12" t="s">
        <v>419</v>
      </c>
      <c r="K3539" s="12" t="s">
        <v>199</v>
      </c>
      <c r="L3539" s="14"/>
      <c r="M3539" s="12" t="s">
        <v>43</v>
      </c>
      <c r="N3539" s="12" t="s">
        <v>44</v>
      </c>
      <c r="O3539" s="12" t="s">
        <v>12725</v>
      </c>
      <c r="P3539" s="12" t="s">
        <v>66</v>
      </c>
      <c r="Q3539" s="12" t="s">
        <v>67</v>
      </c>
      <c r="R3539" s="12" t="s">
        <v>421</v>
      </c>
      <c r="S3539" s="13">
        <v>190284779331</v>
      </c>
      <c r="T3539" s="12" t="s">
        <v>422</v>
      </c>
      <c r="U3539" s="12" t="s">
        <v>170</v>
      </c>
      <c r="V3539" s="12" t="s">
        <v>70</v>
      </c>
      <c r="W3539" s="12" t="s">
        <v>51</v>
      </c>
      <c r="X3539" s="13">
        <v>0</v>
      </c>
      <c r="Y3539" s="12" t="s">
        <v>91</v>
      </c>
      <c r="Z3539" s="12" t="s">
        <v>108</v>
      </c>
      <c r="AA3539" s="13">
        <v>0</v>
      </c>
      <c r="AB3539" s="13">
        <v>0</v>
      </c>
      <c r="AC3539" s="15">
        <v>14.55</v>
      </c>
      <c r="AD3539" s="15">
        <f>AC3539*AG3539</f>
        <v>14.55</v>
      </c>
      <c r="AE3539" s="15">
        <v>32</v>
      </c>
      <c r="AF3539" s="15">
        <f>AE3539*AG3539</f>
        <v>32</v>
      </c>
      <c r="AG3539" s="16">
        <v>1</v>
      </c>
    </row>
    <row r="3540" spans="1:33" ht="15" customHeight="1" x14ac:dyDescent="0.2">
      <c r="A3540" s="11" t="str">
        <f>HYPERLINK("https://assets.vans.eu/images/VN000QN8YB2-HERO/1","VN000QN8YB21")</f>
        <v>VN000QN8YB21</v>
      </c>
      <c r="B3540" s="12" t="s">
        <v>12726</v>
      </c>
      <c r="C3540" s="12" t="s">
        <v>6849</v>
      </c>
      <c r="D3540" s="12" t="s">
        <v>1138</v>
      </c>
      <c r="E3540" s="12" t="s">
        <v>12727</v>
      </c>
      <c r="F3540" s="12" t="s">
        <v>153</v>
      </c>
      <c r="G3540" s="14"/>
      <c r="H3540" s="12" t="s">
        <v>61</v>
      </c>
      <c r="I3540" s="12" t="s">
        <v>230</v>
      </c>
      <c r="J3540" s="12" t="s">
        <v>419</v>
      </c>
      <c r="K3540" s="12" t="s">
        <v>199</v>
      </c>
      <c r="L3540" s="14"/>
      <c r="M3540" s="12" t="s">
        <v>43</v>
      </c>
      <c r="N3540" s="12" t="s">
        <v>44</v>
      </c>
      <c r="O3540" s="12" t="s">
        <v>12728</v>
      </c>
      <c r="P3540" s="12" t="s">
        <v>66</v>
      </c>
      <c r="Q3540" s="12" t="s">
        <v>67</v>
      </c>
      <c r="R3540" s="12" t="s">
        <v>421</v>
      </c>
      <c r="S3540" s="13">
        <v>889589552069</v>
      </c>
      <c r="T3540" s="12" t="s">
        <v>422</v>
      </c>
      <c r="U3540" s="12" t="s">
        <v>153</v>
      </c>
      <c r="V3540" s="12" t="s">
        <v>70</v>
      </c>
      <c r="W3540" s="12" t="s">
        <v>175</v>
      </c>
      <c r="X3540" s="13">
        <v>0</v>
      </c>
      <c r="Y3540" s="12" t="s">
        <v>91</v>
      </c>
      <c r="Z3540" s="12" t="s">
        <v>108</v>
      </c>
      <c r="AA3540" s="13">
        <v>0</v>
      </c>
      <c r="AB3540" s="13">
        <v>0</v>
      </c>
      <c r="AC3540" s="15">
        <v>14.55</v>
      </c>
      <c r="AD3540" s="15">
        <f>AC3540*AG3540</f>
        <v>14.55</v>
      </c>
      <c r="AE3540" s="15">
        <v>32</v>
      </c>
      <c r="AF3540" s="15">
        <f>AE3540*AG3540</f>
        <v>32</v>
      </c>
      <c r="AG3540" s="16">
        <v>1</v>
      </c>
    </row>
    <row r="3541" spans="1:33" ht="15" customHeight="1" x14ac:dyDescent="0.2">
      <c r="A3541" s="11" t="str">
        <f>HYPERLINK("https://assets.vans.eu/images/VN000QYB02F-HERO/1","VN000QYB02F1")</f>
        <v>VN000QYB02F1</v>
      </c>
      <c r="B3541" s="12" t="s">
        <v>12729</v>
      </c>
      <c r="C3541" s="12" t="s">
        <v>12730</v>
      </c>
      <c r="D3541" s="12" t="s">
        <v>857</v>
      </c>
      <c r="E3541" s="12" t="s">
        <v>12731</v>
      </c>
      <c r="F3541" s="12" t="s">
        <v>170</v>
      </c>
      <c r="G3541" s="14"/>
      <c r="H3541" s="12" t="s">
        <v>61</v>
      </c>
      <c r="I3541" s="12" t="s">
        <v>62</v>
      </c>
      <c r="J3541" s="12" t="s">
        <v>63</v>
      </c>
      <c r="K3541" s="12" t="s">
        <v>64</v>
      </c>
      <c r="L3541" s="14"/>
      <c r="M3541" s="12" t="s">
        <v>43</v>
      </c>
      <c r="N3541" s="12" t="s">
        <v>84</v>
      </c>
      <c r="O3541" s="12" t="s">
        <v>12732</v>
      </c>
      <c r="P3541" s="12" t="s">
        <v>66</v>
      </c>
      <c r="Q3541" s="12" t="s">
        <v>67</v>
      </c>
      <c r="R3541" s="12" t="s">
        <v>730</v>
      </c>
      <c r="S3541" s="13">
        <v>197804611423</v>
      </c>
      <c r="T3541" s="12" t="s">
        <v>49</v>
      </c>
      <c r="U3541" s="12" t="s">
        <v>170</v>
      </c>
      <c r="V3541" s="12" t="s">
        <v>12733</v>
      </c>
      <c r="W3541" s="12" t="s">
        <v>455</v>
      </c>
      <c r="X3541" s="14"/>
      <c r="Y3541" s="14"/>
      <c r="Z3541" s="14"/>
      <c r="AA3541" s="14"/>
      <c r="AB3541" s="14"/>
      <c r="AC3541" s="15">
        <v>27.3</v>
      </c>
      <c r="AD3541" s="15">
        <f>AC3541*AG3541</f>
        <v>27.3</v>
      </c>
      <c r="AE3541" s="15">
        <v>60</v>
      </c>
      <c r="AF3541" s="15">
        <f>AE3541*AG3541</f>
        <v>60</v>
      </c>
      <c r="AG3541" s="16">
        <v>1</v>
      </c>
    </row>
    <row r="3542" spans="1:33" ht="15" customHeight="1" x14ac:dyDescent="0.2">
      <c r="A3542" s="11" t="str">
        <f>HYPERLINK("https://assets.vans.eu/images/VN000R02RV2-HERO/1","VN000R02RV21")</f>
        <v>VN000R02RV21</v>
      </c>
      <c r="B3542" s="12" t="s">
        <v>12734</v>
      </c>
      <c r="C3542" s="12" t="s">
        <v>3692</v>
      </c>
      <c r="D3542" s="12" t="s">
        <v>1428</v>
      </c>
      <c r="E3542" s="12" t="s">
        <v>12735</v>
      </c>
      <c r="F3542" s="12" t="s">
        <v>60</v>
      </c>
      <c r="G3542" s="14"/>
      <c r="H3542" s="12" t="s">
        <v>61</v>
      </c>
      <c r="I3542" s="12" t="s">
        <v>62</v>
      </c>
      <c r="J3542" s="12" t="s">
        <v>63</v>
      </c>
      <c r="K3542" s="12" t="s">
        <v>64</v>
      </c>
      <c r="L3542" s="14"/>
      <c r="M3542" s="12" t="s">
        <v>43</v>
      </c>
      <c r="N3542" s="12" t="s">
        <v>84</v>
      </c>
      <c r="O3542" s="12" t="s">
        <v>12736</v>
      </c>
      <c r="P3542" s="12" t="s">
        <v>66</v>
      </c>
      <c r="Q3542" s="12" t="s">
        <v>67</v>
      </c>
      <c r="R3542" s="12" t="s">
        <v>68</v>
      </c>
      <c r="S3542" s="13">
        <v>197804585106</v>
      </c>
      <c r="T3542" s="12" t="s">
        <v>915</v>
      </c>
      <c r="U3542" s="12" t="s">
        <v>60</v>
      </c>
      <c r="V3542" s="12" t="s">
        <v>1028</v>
      </c>
      <c r="W3542" s="12" t="s">
        <v>51</v>
      </c>
      <c r="X3542" s="14"/>
      <c r="Y3542" s="14"/>
      <c r="Z3542" s="14"/>
      <c r="AA3542" s="14"/>
      <c r="AB3542" s="14"/>
      <c r="AC3542" s="15">
        <v>15.95</v>
      </c>
      <c r="AD3542" s="15">
        <f>AC3542*AG3542</f>
        <v>15.95</v>
      </c>
      <c r="AE3542" s="15">
        <v>35</v>
      </c>
      <c r="AF3542" s="15">
        <f>AE3542*AG3542</f>
        <v>35</v>
      </c>
      <c r="AG3542" s="16">
        <v>1</v>
      </c>
    </row>
    <row r="3543" spans="1:33" ht="15" customHeight="1" x14ac:dyDescent="0.2">
      <c r="A3543" s="11" t="str">
        <f t="shared" si="949"/>
        <v>VN000R02WHT1</v>
      </c>
      <c r="B3543" s="12" t="s">
        <v>12737</v>
      </c>
      <c r="C3543" s="12" t="s">
        <v>3692</v>
      </c>
      <c r="D3543" s="12" t="s">
        <v>168</v>
      </c>
      <c r="E3543" s="12" t="s">
        <v>12738</v>
      </c>
      <c r="F3543" s="12" t="s">
        <v>60</v>
      </c>
      <c r="G3543" s="14"/>
      <c r="H3543" s="12" t="s">
        <v>61</v>
      </c>
      <c r="I3543" s="12" t="s">
        <v>62</v>
      </c>
      <c r="J3543" s="12" t="s">
        <v>63</v>
      </c>
      <c r="K3543" s="12" t="s">
        <v>64</v>
      </c>
      <c r="L3543" s="14"/>
      <c r="M3543" s="12" t="s">
        <v>43</v>
      </c>
      <c r="N3543" s="12" t="s">
        <v>84</v>
      </c>
      <c r="O3543" s="12" t="s">
        <v>12739</v>
      </c>
      <c r="P3543" s="12" t="s">
        <v>66</v>
      </c>
      <c r="Q3543" s="12" t="s">
        <v>67</v>
      </c>
      <c r="R3543" s="12" t="s">
        <v>68</v>
      </c>
      <c r="S3543" s="13">
        <v>197804585076</v>
      </c>
      <c r="T3543" s="12" t="s">
        <v>915</v>
      </c>
      <c r="U3543" s="12" t="s">
        <v>60</v>
      </c>
      <c r="V3543" s="12" t="s">
        <v>1028</v>
      </c>
      <c r="W3543" s="12" t="s">
        <v>175</v>
      </c>
      <c r="X3543" s="14"/>
      <c r="Y3543" s="14"/>
      <c r="Z3543" s="14"/>
      <c r="AA3543" s="14"/>
      <c r="AB3543" s="14"/>
      <c r="AC3543" s="15">
        <v>15.95</v>
      </c>
      <c r="AD3543" s="15">
        <f>AC3543*AG3543</f>
        <v>15.95</v>
      </c>
      <c r="AE3543" s="15">
        <v>35</v>
      </c>
      <c r="AF3543" s="15">
        <f>AE3543*AG3543</f>
        <v>35</v>
      </c>
      <c r="AG3543" s="16">
        <v>1</v>
      </c>
    </row>
    <row r="3544" spans="1:33" ht="15" customHeight="1" x14ac:dyDescent="0.2">
      <c r="A3544" s="11" t="str">
        <f t="shared" si="950"/>
        <v>VN000R15EML1</v>
      </c>
      <c r="B3544" s="12" t="s">
        <v>12740</v>
      </c>
      <c r="C3544" s="12" t="s">
        <v>8710</v>
      </c>
      <c r="D3544" s="12" t="s">
        <v>3126</v>
      </c>
      <c r="E3544" s="12" t="s">
        <v>12741</v>
      </c>
      <c r="F3544" s="12" t="s">
        <v>179</v>
      </c>
      <c r="G3544" s="14"/>
      <c r="H3544" s="12" t="s">
        <v>61</v>
      </c>
      <c r="I3544" s="12" t="s">
        <v>230</v>
      </c>
      <c r="J3544" s="12" t="s">
        <v>419</v>
      </c>
      <c r="K3544" s="12" t="s">
        <v>199</v>
      </c>
      <c r="L3544" s="14"/>
      <c r="M3544" s="12" t="s">
        <v>43</v>
      </c>
      <c r="N3544" s="12" t="s">
        <v>84</v>
      </c>
      <c r="O3544" s="12" t="s">
        <v>12742</v>
      </c>
      <c r="P3544" s="12" t="s">
        <v>66</v>
      </c>
      <c r="Q3544" s="12" t="s">
        <v>67</v>
      </c>
      <c r="R3544" s="12" t="s">
        <v>421</v>
      </c>
      <c r="S3544" s="13">
        <v>197804689941</v>
      </c>
      <c r="T3544" s="12" t="s">
        <v>915</v>
      </c>
      <c r="U3544" s="12" t="s">
        <v>179</v>
      </c>
      <c r="V3544" s="12" t="s">
        <v>979</v>
      </c>
      <c r="W3544" s="12" t="s">
        <v>284</v>
      </c>
      <c r="X3544" s="14"/>
      <c r="Y3544" s="14"/>
      <c r="Z3544" s="14"/>
      <c r="AA3544" s="14"/>
      <c r="AB3544" s="14"/>
      <c r="AC3544" s="15">
        <v>18.2</v>
      </c>
      <c r="AD3544" s="15">
        <f>AC3544*AG3544</f>
        <v>18.2</v>
      </c>
      <c r="AE3544" s="15">
        <v>40</v>
      </c>
      <c r="AF3544" s="15">
        <f>AE3544*AG3544</f>
        <v>40</v>
      </c>
      <c r="AG3544" s="16">
        <v>1</v>
      </c>
    </row>
    <row r="3545" spans="1:33" ht="15" customHeight="1" x14ac:dyDescent="0.2">
      <c r="A3545" s="11" t="str">
        <f t="shared" ref="A3545:A3546" si="1228">HYPERLINK("https://assets.vans.eu/images/VN000R15EML-HERO/1","VN000R15EML1")</f>
        <v>VN000R15EML1</v>
      </c>
      <c r="B3545" s="12" t="s">
        <v>12743</v>
      </c>
      <c r="C3545" s="12" t="s">
        <v>8710</v>
      </c>
      <c r="D3545" s="12" t="s">
        <v>3126</v>
      </c>
      <c r="E3545" s="12" t="s">
        <v>12744</v>
      </c>
      <c r="F3545" s="12" t="s">
        <v>403</v>
      </c>
      <c r="G3545" s="14"/>
      <c r="H3545" s="12" t="s">
        <v>61</v>
      </c>
      <c r="I3545" s="12" t="s">
        <v>230</v>
      </c>
      <c r="J3545" s="12" t="s">
        <v>419</v>
      </c>
      <c r="K3545" s="12" t="s">
        <v>199</v>
      </c>
      <c r="L3545" s="14"/>
      <c r="M3545" s="12" t="s">
        <v>43</v>
      </c>
      <c r="N3545" s="12" t="s">
        <v>84</v>
      </c>
      <c r="O3545" s="12" t="s">
        <v>12745</v>
      </c>
      <c r="P3545" s="12" t="s">
        <v>66</v>
      </c>
      <c r="Q3545" s="12" t="s">
        <v>67</v>
      </c>
      <c r="R3545" s="12" t="s">
        <v>421</v>
      </c>
      <c r="S3545" s="13">
        <v>197804690022</v>
      </c>
      <c r="T3545" s="12" t="s">
        <v>915</v>
      </c>
      <c r="U3545" s="12" t="s">
        <v>403</v>
      </c>
      <c r="V3545" s="12" t="s">
        <v>979</v>
      </c>
      <c r="W3545" s="12" t="s">
        <v>284</v>
      </c>
      <c r="X3545" s="14"/>
      <c r="Y3545" s="14"/>
      <c r="Z3545" s="14"/>
      <c r="AA3545" s="14"/>
      <c r="AB3545" s="14"/>
      <c r="AC3545" s="15">
        <v>18.2</v>
      </c>
      <c r="AD3545" s="15">
        <f>AC3545*AG3545</f>
        <v>18.2</v>
      </c>
      <c r="AE3545" s="15">
        <v>40</v>
      </c>
      <c r="AF3545" s="15">
        <f>AE3545*AG3545</f>
        <v>40</v>
      </c>
      <c r="AG3545" s="16">
        <v>1</v>
      </c>
    </row>
    <row r="3546" spans="1:33" ht="15" customHeight="1" x14ac:dyDescent="0.2">
      <c r="A3546" s="11" t="str">
        <f t="shared" si="1228"/>
        <v>VN000R15EML1</v>
      </c>
      <c r="B3546" s="12" t="s">
        <v>12746</v>
      </c>
      <c r="C3546" s="12" t="s">
        <v>8710</v>
      </c>
      <c r="D3546" s="12" t="s">
        <v>3126</v>
      </c>
      <c r="E3546" s="12" t="s">
        <v>12747</v>
      </c>
      <c r="F3546" s="12" t="s">
        <v>60</v>
      </c>
      <c r="G3546" s="14"/>
      <c r="H3546" s="12" t="s">
        <v>61</v>
      </c>
      <c r="I3546" s="12" t="s">
        <v>230</v>
      </c>
      <c r="J3546" s="12" t="s">
        <v>419</v>
      </c>
      <c r="K3546" s="12" t="s">
        <v>199</v>
      </c>
      <c r="L3546" s="14"/>
      <c r="M3546" s="12" t="s">
        <v>43</v>
      </c>
      <c r="N3546" s="12" t="s">
        <v>84</v>
      </c>
      <c r="O3546" s="12" t="s">
        <v>12748</v>
      </c>
      <c r="P3546" s="12" t="s">
        <v>66</v>
      </c>
      <c r="Q3546" s="12" t="s">
        <v>67</v>
      </c>
      <c r="R3546" s="12" t="s">
        <v>421</v>
      </c>
      <c r="S3546" s="13">
        <v>197804690053</v>
      </c>
      <c r="T3546" s="12" t="s">
        <v>915</v>
      </c>
      <c r="U3546" s="12" t="s">
        <v>60</v>
      </c>
      <c r="V3546" s="12" t="s">
        <v>979</v>
      </c>
      <c r="W3546" s="12" t="s">
        <v>284</v>
      </c>
      <c r="X3546" s="14"/>
      <c r="Y3546" s="14"/>
      <c r="Z3546" s="14"/>
      <c r="AA3546" s="14"/>
      <c r="AB3546" s="14"/>
      <c r="AC3546" s="15">
        <v>18.2</v>
      </c>
      <c r="AD3546" s="15">
        <f>AC3546*AG3546</f>
        <v>18.2</v>
      </c>
      <c r="AE3546" s="15">
        <v>40</v>
      </c>
      <c r="AF3546" s="15">
        <f>AE3546*AG3546</f>
        <v>40</v>
      </c>
      <c r="AG3546" s="16">
        <v>1</v>
      </c>
    </row>
    <row r="3547" spans="1:33" ht="15" customHeight="1" x14ac:dyDescent="0.2">
      <c r="A3547" s="11" t="str">
        <f t="shared" si="951"/>
        <v>VN000R15FS81</v>
      </c>
      <c r="B3547" s="12" t="s">
        <v>12749</v>
      </c>
      <c r="C3547" s="12" t="s">
        <v>8710</v>
      </c>
      <c r="D3547" s="12" t="s">
        <v>239</v>
      </c>
      <c r="E3547" s="12" t="s">
        <v>12750</v>
      </c>
      <c r="F3547" s="12" t="s">
        <v>403</v>
      </c>
      <c r="G3547" s="14"/>
      <c r="H3547" s="12" t="s">
        <v>61</v>
      </c>
      <c r="I3547" s="12" t="s">
        <v>230</v>
      </c>
      <c r="J3547" s="12" t="s">
        <v>419</v>
      </c>
      <c r="K3547" s="12" t="s">
        <v>199</v>
      </c>
      <c r="L3547" s="14"/>
      <c r="M3547" s="12" t="s">
        <v>43</v>
      </c>
      <c r="N3547" s="12" t="s">
        <v>84</v>
      </c>
      <c r="O3547" s="12" t="s">
        <v>12751</v>
      </c>
      <c r="P3547" s="12" t="s">
        <v>66</v>
      </c>
      <c r="Q3547" s="12" t="s">
        <v>67</v>
      </c>
      <c r="R3547" s="12" t="s">
        <v>421</v>
      </c>
      <c r="S3547" s="13">
        <v>197804690015</v>
      </c>
      <c r="T3547" s="12" t="s">
        <v>915</v>
      </c>
      <c r="U3547" s="12" t="s">
        <v>403</v>
      </c>
      <c r="V3547" s="12" t="s">
        <v>979</v>
      </c>
      <c r="W3547" s="12" t="s">
        <v>175</v>
      </c>
      <c r="X3547" s="14"/>
      <c r="Y3547" s="14"/>
      <c r="Z3547" s="14"/>
      <c r="AA3547" s="14"/>
      <c r="AB3547" s="14"/>
      <c r="AC3547" s="15">
        <v>18.2</v>
      </c>
      <c r="AD3547" s="15">
        <f>AC3547*AG3547</f>
        <v>18.2</v>
      </c>
      <c r="AE3547" s="15">
        <v>40</v>
      </c>
      <c r="AF3547" s="15">
        <f>AE3547*AG3547</f>
        <v>40</v>
      </c>
      <c r="AG3547" s="16">
        <v>1</v>
      </c>
    </row>
    <row r="3548" spans="1:33" ht="15" customHeight="1" x14ac:dyDescent="0.2">
      <c r="A3548" s="11" t="str">
        <f>HYPERLINK("https://assets.vans.eu/images/VN000R15FS8-HERO/1","VN000R15FS81")</f>
        <v>VN000R15FS81</v>
      </c>
      <c r="B3548" s="12" t="s">
        <v>12752</v>
      </c>
      <c r="C3548" s="12" t="s">
        <v>8710</v>
      </c>
      <c r="D3548" s="12" t="s">
        <v>239</v>
      </c>
      <c r="E3548" s="12" t="s">
        <v>12753</v>
      </c>
      <c r="F3548" s="12" t="s">
        <v>60</v>
      </c>
      <c r="G3548" s="14"/>
      <c r="H3548" s="12" t="s">
        <v>61</v>
      </c>
      <c r="I3548" s="12" t="s">
        <v>230</v>
      </c>
      <c r="J3548" s="12" t="s">
        <v>419</v>
      </c>
      <c r="K3548" s="12" t="s">
        <v>199</v>
      </c>
      <c r="L3548" s="14"/>
      <c r="M3548" s="12" t="s">
        <v>43</v>
      </c>
      <c r="N3548" s="12" t="s">
        <v>84</v>
      </c>
      <c r="O3548" s="12" t="s">
        <v>12754</v>
      </c>
      <c r="P3548" s="12" t="s">
        <v>66</v>
      </c>
      <c r="Q3548" s="12" t="s">
        <v>67</v>
      </c>
      <c r="R3548" s="12" t="s">
        <v>421</v>
      </c>
      <c r="S3548" s="13">
        <v>197804690060</v>
      </c>
      <c r="T3548" s="12" t="s">
        <v>915</v>
      </c>
      <c r="U3548" s="12" t="s">
        <v>60</v>
      </c>
      <c r="V3548" s="12" t="s">
        <v>979</v>
      </c>
      <c r="W3548" s="12" t="s">
        <v>175</v>
      </c>
      <c r="X3548" s="14"/>
      <c r="Y3548" s="14"/>
      <c r="Z3548" s="14"/>
      <c r="AA3548" s="14"/>
      <c r="AB3548" s="14"/>
      <c r="AC3548" s="15">
        <v>18.2</v>
      </c>
      <c r="AD3548" s="15">
        <f>AC3548*AG3548</f>
        <v>18.2</v>
      </c>
      <c r="AE3548" s="15">
        <v>40</v>
      </c>
      <c r="AF3548" s="15">
        <f>AE3548*AG3548</f>
        <v>40</v>
      </c>
      <c r="AG3548" s="16">
        <v>1</v>
      </c>
    </row>
    <row r="3549" spans="1:33" ht="15" customHeight="1" x14ac:dyDescent="0.2">
      <c r="A3549" s="11" t="str">
        <f t="shared" ref="A3549:A3550" si="1229">HYPERLINK("https://assets.vans.eu/images/VN000R3FBLK-HERO/1","VN000R3FBLK1")</f>
        <v>VN000R3FBLK1</v>
      </c>
      <c r="B3549" s="12" t="s">
        <v>12755</v>
      </c>
      <c r="C3549" s="12" t="s">
        <v>12756</v>
      </c>
      <c r="D3549" s="12" t="s">
        <v>76</v>
      </c>
      <c r="E3549" s="12" t="s">
        <v>12757</v>
      </c>
      <c r="F3549" s="12" t="s">
        <v>170</v>
      </c>
      <c r="G3549" s="14"/>
      <c r="H3549" s="12" t="s">
        <v>61</v>
      </c>
      <c r="I3549" s="12" t="s">
        <v>289</v>
      </c>
      <c r="J3549" s="12" t="s">
        <v>706</v>
      </c>
      <c r="K3549" s="12" t="s">
        <v>100</v>
      </c>
      <c r="L3549" s="14"/>
      <c r="M3549" s="12" t="s">
        <v>43</v>
      </c>
      <c r="N3549" s="12" t="s">
        <v>84</v>
      </c>
      <c r="O3549" s="12" t="s">
        <v>12758</v>
      </c>
      <c r="P3549" s="12" t="s">
        <v>66</v>
      </c>
      <c r="Q3549" s="12" t="s">
        <v>67</v>
      </c>
      <c r="R3549" s="12" t="s">
        <v>708</v>
      </c>
      <c r="S3549" s="13">
        <v>197804585403</v>
      </c>
      <c r="T3549" s="12" t="s">
        <v>49</v>
      </c>
      <c r="U3549" s="12" t="s">
        <v>170</v>
      </c>
      <c r="V3549" s="12" t="s">
        <v>12759</v>
      </c>
      <c r="W3549" s="12" t="s">
        <v>51</v>
      </c>
      <c r="X3549" s="14"/>
      <c r="Y3549" s="14"/>
      <c r="Z3549" s="14"/>
      <c r="AA3549" s="14"/>
      <c r="AB3549" s="14"/>
      <c r="AC3549" s="15">
        <v>43.2</v>
      </c>
      <c r="AD3549" s="15">
        <f>AC3549*AG3549</f>
        <v>43.2</v>
      </c>
      <c r="AE3549" s="15">
        <v>95</v>
      </c>
      <c r="AF3549" s="15">
        <f>AE3549*AG3549</f>
        <v>95</v>
      </c>
      <c r="AG3549" s="16">
        <v>1</v>
      </c>
    </row>
    <row r="3550" spans="1:33" ht="15" customHeight="1" x14ac:dyDescent="0.2">
      <c r="A3550" s="11" t="str">
        <f t="shared" si="1229"/>
        <v>VN000R3FBLK1</v>
      </c>
      <c r="B3550" s="12" t="s">
        <v>12760</v>
      </c>
      <c r="C3550" s="12" t="s">
        <v>12756</v>
      </c>
      <c r="D3550" s="12" t="s">
        <v>76</v>
      </c>
      <c r="E3550" s="12" t="s">
        <v>12761</v>
      </c>
      <c r="F3550" s="12" t="s">
        <v>153</v>
      </c>
      <c r="G3550" s="14"/>
      <c r="H3550" s="12" t="s">
        <v>61</v>
      </c>
      <c r="I3550" s="12" t="s">
        <v>289</v>
      </c>
      <c r="J3550" s="12" t="s">
        <v>706</v>
      </c>
      <c r="K3550" s="12" t="s">
        <v>100</v>
      </c>
      <c r="L3550" s="14"/>
      <c r="M3550" s="12" t="s">
        <v>43</v>
      </c>
      <c r="N3550" s="12" t="s">
        <v>84</v>
      </c>
      <c r="O3550" s="12" t="s">
        <v>12762</v>
      </c>
      <c r="P3550" s="12" t="s">
        <v>66</v>
      </c>
      <c r="Q3550" s="12" t="s">
        <v>67</v>
      </c>
      <c r="R3550" s="12" t="s">
        <v>708</v>
      </c>
      <c r="S3550" s="13">
        <v>197804585434</v>
      </c>
      <c r="T3550" s="12" t="s">
        <v>49</v>
      </c>
      <c r="U3550" s="12" t="s">
        <v>153</v>
      </c>
      <c r="V3550" s="12" t="s">
        <v>12759</v>
      </c>
      <c r="W3550" s="12" t="s">
        <v>51</v>
      </c>
      <c r="X3550" s="14"/>
      <c r="Y3550" s="14"/>
      <c r="Z3550" s="14"/>
      <c r="AA3550" s="14"/>
      <c r="AB3550" s="14"/>
      <c r="AC3550" s="15">
        <v>43.2</v>
      </c>
      <c r="AD3550" s="15">
        <f>AC3550*AG3550</f>
        <v>43.2</v>
      </c>
      <c r="AE3550" s="15">
        <v>95</v>
      </c>
      <c r="AF3550" s="15">
        <f>AE3550*AG3550</f>
        <v>95</v>
      </c>
      <c r="AG3550" s="16">
        <v>1</v>
      </c>
    </row>
    <row r="3551" spans="1:33" ht="15" customHeight="1" x14ac:dyDescent="0.2">
      <c r="A3551" s="11" t="str">
        <f t="shared" ref="A3551:A3553" si="1230">HYPERLINK("https://assets.vans.eu/images/VN000R4ZEMP-HERO/1","VN000R4ZEMP1")</f>
        <v>VN000R4ZEMP1</v>
      </c>
      <c r="B3551" s="12" t="s">
        <v>12763</v>
      </c>
      <c r="C3551" s="12" t="s">
        <v>3186</v>
      </c>
      <c r="D3551" s="12" t="s">
        <v>704</v>
      </c>
      <c r="E3551" s="12" t="s">
        <v>12764</v>
      </c>
      <c r="F3551" s="13">
        <v>31</v>
      </c>
      <c r="G3551" s="14"/>
      <c r="H3551" s="12" t="s">
        <v>61</v>
      </c>
      <c r="I3551" s="12" t="s">
        <v>230</v>
      </c>
      <c r="J3551" s="12" t="s">
        <v>231</v>
      </c>
      <c r="K3551" s="12" t="s">
        <v>199</v>
      </c>
      <c r="L3551" s="14"/>
      <c r="M3551" s="12" t="s">
        <v>43</v>
      </c>
      <c r="N3551" s="12" t="s">
        <v>84</v>
      </c>
      <c r="O3551" s="12" t="s">
        <v>12765</v>
      </c>
      <c r="P3551" s="12" t="s">
        <v>66</v>
      </c>
      <c r="Q3551" s="12" t="s">
        <v>233</v>
      </c>
      <c r="R3551" s="12" t="s">
        <v>361</v>
      </c>
      <c r="S3551" s="13">
        <v>197804585847</v>
      </c>
      <c r="T3551" s="12" t="s">
        <v>235</v>
      </c>
      <c r="U3551" s="13">
        <v>31</v>
      </c>
      <c r="V3551" s="12" t="s">
        <v>665</v>
      </c>
      <c r="W3551" s="12" t="s">
        <v>186</v>
      </c>
      <c r="X3551" s="14"/>
      <c r="Y3551" s="14"/>
      <c r="Z3551" s="14"/>
      <c r="AA3551" s="14"/>
      <c r="AB3551" s="14"/>
      <c r="AC3551" s="15">
        <v>34.1</v>
      </c>
      <c r="AD3551" s="15">
        <f>AC3551*AG3551</f>
        <v>34.1</v>
      </c>
      <c r="AE3551" s="15">
        <v>75</v>
      </c>
      <c r="AF3551" s="15">
        <f>AE3551*AG3551</f>
        <v>75</v>
      </c>
      <c r="AG3551" s="16">
        <v>1</v>
      </c>
    </row>
    <row r="3552" spans="1:33" ht="15" customHeight="1" x14ac:dyDescent="0.2">
      <c r="A3552" s="11" t="str">
        <f t="shared" si="1230"/>
        <v>VN000R4ZEMP1</v>
      </c>
      <c r="B3552" s="12" t="s">
        <v>12766</v>
      </c>
      <c r="C3552" s="12" t="s">
        <v>3186</v>
      </c>
      <c r="D3552" s="12" t="s">
        <v>704</v>
      </c>
      <c r="E3552" s="12" t="s">
        <v>12767</v>
      </c>
      <c r="F3552" s="13">
        <v>32</v>
      </c>
      <c r="G3552" s="14"/>
      <c r="H3552" s="12" t="s">
        <v>61</v>
      </c>
      <c r="I3552" s="12" t="s">
        <v>230</v>
      </c>
      <c r="J3552" s="12" t="s">
        <v>231</v>
      </c>
      <c r="K3552" s="12" t="s">
        <v>199</v>
      </c>
      <c r="L3552" s="14"/>
      <c r="M3552" s="12" t="s">
        <v>43</v>
      </c>
      <c r="N3552" s="12" t="s">
        <v>84</v>
      </c>
      <c r="O3552" s="12" t="s">
        <v>12768</v>
      </c>
      <c r="P3552" s="12" t="s">
        <v>66</v>
      </c>
      <c r="Q3552" s="12" t="s">
        <v>233</v>
      </c>
      <c r="R3552" s="12" t="s">
        <v>361</v>
      </c>
      <c r="S3552" s="13">
        <v>197804585861</v>
      </c>
      <c r="T3552" s="12" t="s">
        <v>235</v>
      </c>
      <c r="U3552" s="13">
        <v>32</v>
      </c>
      <c r="V3552" s="12" t="s">
        <v>665</v>
      </c>
      <c r="W3552" s="12" t="s">
        <v>186</v>
      </c>
      <c r="X3552" s="14"/>
      <c r="Y3552" s="14"/>
      <c r="Z3552" s="14"/>
      <c r="AA3552" s="14"/>
      <c r="AB3552" s="14"/>
      <c r="AC3552" s="15">
        <v>34.1</v>
      </c>
      <c r="AD3552" s="15">
        <f>AC3552*AG3552</f>
        <v>34.1</v>
      </c>
      <c r="AE3552" s="15">
        <v>75</v>
      </c>
      <c r="AF3552" s="15">
        <f>AE3552*AG3552</f>
        <v>75</v>
      </c>
      <c r="AG3552" s="16">
        <v>1</v>
      </c>
    </row>
    <row r="3553" spans="1:33" ht="15" customHeight="1" x14ac:dyDescent="0.2">
      <c r="A3553" s="11" t="str">
        <f t="shared" si="1230"/>
        <v>VN000R4ZEMP1</v>
      </c>
      <c r="B3553" s="12" t="s">
        <v>12769</v>
      </c>
      <c r="C3553" s="12" t="s">
        <v>3186</v>
      </c>
      <c r="D3553" s="12" t="s">
        <v>704</v>
      </c>
      <c r="E3553" s="12" t="s">
        <v>12770</v>
      </c>
      <c r="F3553" s="13">
        <v>33</v>
      </c>
      <c r="G3553" s="14"/>
      <c r="H3553" s="12" t="s">
        <v>61</v>
      </c>
      <c r="I3553" s="12" t="s">
        <v>230</v>
      </c>
      <c r="J3553" s="12" t="s">
        <v>231</v>
      </c>
      <c r="K3553" s="12" t="s">
        <v>199</v>
      </c>
      <c r="L3553" s="14"/>
      <c r="M3553" s="12" t="s">
        <v>43</v>
      </c>
      <c r="N3553" s="12" t="s">
        <v>84</v>
      </c>
      <c r="O3553" s="12" t="s">
        <v>12771</v>
      </c>
      <c r="P3553" s="12" t="s">
        <v>66</v>
      </c>
      <c r="Q3553" s="12" t="s">
        <v>233</v>
      </c>
      <c r="R3553" s="12" t="s">
        <v>361</v>
      </c>
      <c r="S3553" s="13">
        <v>197804585885</v>
      </c>
      <c r="T3553" s="12" t="s">
        <v>235</v>
      </c>
      <c r="U3553" s="13">
        <v>33</v>
      </c>
      <c r="V3553" s="12" t="s">
        <v>665</v>
      </c>
      <c r="W3553" s="12" t="s">
        <v>186</v>
      </c>
      <c r="X3553" s="14"/>
      <c r="Y3553" s="14"/>
      <c r="Z3553" s="14"/>
      <c r="AA3553" s="14"/>
      <c r="AB3553" s="14"/>
      <c r="AC3553" s="15">
        <v>34.1</v>
      </c>
      <c r="AD3553" s="15">
        <f>AC3553*AG3553</f>
        <v>34.1</v>
      </c>
      <c r="AE3553" s="15">
        <v>75</v>
      </c>
      <c r="AF3553" s="15">
        <f>AE3553*AG3553</f>
        <v>75</v>
      </c>
      <c r="AG3553" s="16">
        <v>1</v>
      </c>
    </row>
    <row r="3554" spans="1:33" ht="15" customHeight="1" x14ac:dyDescent="0.2">
      <c r="A3554" s="11" t="str">
        <f t="shared" ref="A3554:A3555" si="1231">HYPERLINK("https://assets.vans.eu/images/VN000R74BLK-HERO/1","VN000R74BLK1")</f>
        <v>VN000R74BLK1</v>
      </c>
      <c r="B3554" s="12" t="s">
        <v>12772</v>
      </c>
      <c r="C3554" s="12" t="s">
        <v>2553</v>
      </c>
      <c r="D3554" s="12" t="s">
        <v>76</v>
      </c>
      <c r="E3554" s="12" t="s">
        <v>12773</v>
      </c>
      <c r="F3554" s="12" t="s">
        <v>403</v>
      </c>
      <c r="G3554" s="14"/>
      <c r="H3554" s="12" t="s">
        <v>61</v>
      </c>
      <c r="I3554" s="12" t="s">
        <v>289</v>
      </c>
      <c r="J3554" s="12" t="s">
        <v>706</v>
      </c>
      <c r="K3554" s="12" t="s">
        <v>100</v>
      </c>
      <c r="L3554" s="12" t="s">
        <v>83</v>
      </c>
      <c r="M3554" s="12" t="s">
        <v>43</v>
      </c>
      <c r="N3554" s="12" t="s">
        <v>84</v>
      </c>
      <c r="O3554" s="12" t="s">
        <v>12774</v>
      </c>
      <c r="P3554" s="12" t="s">
        <v>66</v>
      </c>
      <c r="Q3554" s="12" t="s">
        <v>67</v>
      </c>
      <c r="R3554" s="12" t="s">
        <v>1146</v>
      </c>
      <c r="S3554" s="13">
        <v>197804296859</v>
      </c>
      <c r="T3554" s="12" t="s">
        <v>69</v>
      </c>
      <c r="U3554" s="12" t="s">
        <v>403</v>
      </c>
      <c r="V3554" s="12" t="s">
        <v>2556</v>
      </c>
      <c r="W3554" s="12" t="s">
        <v>51</v>
      </c>
      <c r="X3554" s="14"/>
      <c r="Y3554" s="14"/>
      <c r="Z3554" s="14"/>
      <c r="AA3554" s="14"/>
      <c r="AB3554" s="14"/>
      <c r="AC3554" s="15">
        <v>18.2</v>
      </c>
      <c r="AD3554" s="15">
        <f>AC3554*AG3554</f>
        <v>18.2</v>
      </c>
      <c r="AE3554" s="15">
        <v>40</v>
      </c>
      <c r="AF3554" s="15">
        <f>AE3554*AG3554</f>
        <v>40</v>
      </c>
      <c r="AG3554" s="16">
        <v>1</v>
      </c>
    </row>
    <row r="3555" spans="1:33" ht="15" customHeight="1" x14ac:dyDescent="0.2">
      <c r="A3555" s="11" t="str">
        <f t="shared" si="1231"/>
        <v>VN000R74BLK1</v>
      </c>
      <c r="B3555" s="12" t="s">
        <v>12775</v>
      </c>
      <c r="C3555" s="12" t="s">
        <v>2553</v>
      </c>
      <c r="D3555" s="12" t="s">
        <v>76</v>
      </c>
      <c r="E3555" s="12" t="s">
        <v>12776</v>
      </c>
      <c r="F3555" s="12" t="s">
        <v>138</v>
      </c>
      <c r="G3555" s="14"/>
      <c r="H3555" s="12" t="s">
        <v>61</v>
      </c>
      <c r="I3555" s="12" t="s">
        <v>289</v>
      </c>
      <c r="J3555" s="12" t="s">
        <v>706</v>
      </c>
      <c r="K3555" s="12" t="s">
        <v>100</v>
      </c>
      <c r="L3555" s="12" t="s">
        <v>83</v>
      </c>
      <c r="M3555" s="12" t="s">
        <v>43</v>
      </c>
      <c r="N3555" s="12" t="s">
        <v>84</v>
      </c>
      <c r="O3555" s="12" t="s">
        <v>12777</v>
      </c>
      <c r="P3555" s="12" t="s">
        <v>66</v>
      </c>
      <c r="Q3555" s="12" t="s">
        <v>67</v>
      </c>
      <c r="R3555" s="12" t="s">
        <v>1146</v>
      </c>
      <c r="S3555" s="13">
        <v>197804297504</v>
      </c>
      <c r="T3555" s="12" t="s">
        <v>69</v>
      </c>
      <c r="U3555" s="12" t="s">
        <v>138</v>
      </c>
      <c r="V3555" s="12" t="s">
        <v>2556</v>
      </c>
      <c r="W3555" s="12" t="s">
        <v>51</v>
      </c>
      <c r="X3555" s="14"/>
      <c r="Y3555" s="14"/>
      <c r="Z3555" s="14"/>
      <c r="AA3555" s="14"/>
      <c r="AB3555" s="14"/>
      <c r="AC3555" s="15">
        <v>18.2</v>
      </c>
      <c r="AD3555" s="15">
        <f>AC3555*AG3555</f>
        <v>18.2</v>
      </c>
      <c r="AE3555" s="15">
        <v>40</v>
      </c>
      <c r="AF3555" s="15">
        <f>AE3555*AG3555</f>
        <v>40</v>
      </c>
      <c r="AG3555" s="16">
        <v>1</v>
      </c>
    </row>
    <row r="3556" spans="1:33" ht="15" customHeight="1" x14ac:dyDescent="0.2">
      <c r="A3556" s="11" t="str">
        <f>HYPERLINK("https://assets.vans.eu/images/VN000R74EMS-HERO/1","VN000R74EMS1")</f>
        <v>VN000R74EMS1</v>
      </c>
      <c r="B3556" s="12" t="s">
        <v>12778</v>
      </c>
      <c r="C3556" s="12" t="s">
        <v>2553</v>
      </c>
      <c r="D3556" s="12" t="s">
        <v>863</v>
      </c>
      <c r="E3556" s="12" t="s">
        <v>12779</v>
      </c>
      <c r="F3556" s="12" t="s">
        <v>403</v>
      </c>
      <c r="G3556" s="14"/>
      <c r="H3556" s="12" t="s">
        <v>61</v>
      </c>
      <c r="I3556" s="12" t="s">
        <v>289</v>
      </c>
      <c r="J3556" s="12" t="s">
        <v>706</v>
      </c>
      <c r="K3556" s="12" t="s">
        <v>100</v>
      </c>
      <c r="L3556" s="12" t="s">
        <v>83</v>
      </c>
      <c r="M3556" s="12" t="s">
        <v>43</v>
      </c>
      <c r="N3556" s="12" t="s">
        <v>84</v>
      </c>
      <c r="O3556" s="12" t="s">
        <v>12780</v>
      </c>
      <c r="P3556" s="12" t="s">
        <v>66</v>
      </c>
      <c r="Q3556" s="12" t="s">
        <v>67</v>
      </c>
      <c r="R3556" s="12" t="s">
        <v>1146</v>
      </c>
      <c r="S3556" s="13">
        <v>197805956608</v>
      </c>
      <c r="T3556" s="12" t="s">
        <v>69</v>
      </c>
      <c r="U3556" s="12" t="s">
        <v>403</v>
      </c>
      <c r="V3556" s="12" t="s">
        <v>2556</v>
      </c>
      <c r="W3556" s="12" t="s">
        <v>107</v>
      </c>
      <c r="X3556" s="14"/>
      <c r="Y3556" s="14"/>
      <c r="Z3556" s="14"/>
      <c r="AA3556" s="14"/>
      <c r="AB3556" s="14"/>
      <c r="AC3556" s="15">
        <v>18.2</v>
      </c>
      <c r="AD3556" s="15">
        <f>AC3556*AG3556</f>
        <v>18.2</v>
      </c>
      <c r="AE3556" s="15">
        <v>40</v>
      </c>
      <c r="AF3556" s="15">
        <f>AE3556*AG3556</f>
        <v>40</v>
      </c>
      <c r="AG3556" s="16">
        <v>1</v>
      </c>
    </row>
    <row r="3557" spans="1:33" ht="15" customHeight="1" x14ac:dyDescent="0.2">
      <c r="A3557" s="11" t="str">
        <f t="shared" si="952"/>
        <v>VN000R7AY281</v>
      </c>
      <c r="B3557" s="12" t="s">
        <v>12781</v>
      </c>
      <c r="C3557" s="12" t="s">
        <v>2748</v>
      </c>
      <c r="D3557" s="12" t="s">
        <v>58</v>
      </c>
      <c r="E3557" s="12" t="s">
        <v>12782</v>
      </c>
      <c r="F3557" s="12" t="s">
        <v>621</v>
      </c>
      <c r="G3557" s="14"/>
      <c r="H3557" s="12" t="s">
        <v>61</v>
      </c>
      <c r="I3557" s="12" t="s">
        <v>230</v>
      </c>
      <c r="J3557" s="12" t="s">
        <v>419</v>
      </c>
      <c r="K3557" s="12" t="s">
        <v>199</v>
      </c>
      <c r="L3557" s="12" t="s">
        <v>83</v>
      </c>
      <c r="M3557" s="12" t="s">
        <v>43</v>
      </c>
      <c r="N3557" s="12" t="s">
        <v>84</v>
      </c>
      <c r="O3557" s="12" t="s">
        <v>12783</v>
      </c>
      <c r="P3557" s="12" t="s">
        <v>66</v>
      </c>
      <c r="Q3557" s="12" t="s">
        <v>67</v>
      </c>
      <c r="R3557" s="12" t="s">
        <v>421</v>
      </c>
      <c r="S3557" s="13">
        <v>197804325030</v>
      </c>
      <c r="T3557" s="12" t="s">
        <v>422</v>
      </c>
      <c r="U3557" s="12" t="s">
        <v>621</v>
      </c>
      <c r="V3557" s="12" t="s">
        <v>70</v>
      </c>
      <c r="W3557" s="12" t="s">
        <v>51</v>
      </c>
      <c r="X3557" s="14"/>
      <c r="Y3557" s="14"/>
      <c r="Z3557" s="14"/>
      <c r="AA3557" s="14"/>
      <c r="AB3557" s="14"/>
      <c r="AC3557" s="15">
        <v>20.5</v>
      </c>
      <c r="AD3557" s="15">
        <f>AC3557*AG3557</f>
        <v>20.5</v>
      </c>
      <c r="AE3557" s="15">
        <v>45</v>
      </c>
      <c r="AF3557" s="15">
        <f>AE3557*AG3557</f>
        <v>45</v>
      </c>
      <c r="AG3557" s="16">
        <v>1</v>
      </c>
    </row>
    <row r="3558" spans="1:33" ht="15" customHeight="1" x14ac:dyDescent="0.2">
      <c r="A3558" s="11" t="str">
        <f t="shared" si="953"/>
        <v>VN000R8ZBLK1</v>
      </c>
      <c r="B3558" s="12" t="s">
        <v>12784</v>
      </c>
      <c r="C3558" s="12" t="s">
        <v>8732</v>
      </c>
      <c r="D3558" s="12" t="s">
        <v>76</v>
      </c>
      <c r="E3558" s="12" t="s">
        <v>12785</v>
      </c>
      <c r="F3558" s="12" t="s">
        <v>60</v>
      </c>
      <c r="G3558" s="14"/>
      <c r="H3558" s="12" t="s">
        <v>61</v>
      </c>
      <c r="I3558" s="12" t="s">
        <v>230</v>
      </c>
      <c r="J3558" s="12" t="s">
        <v>762</v>
      </c>
      <c r="K3558" s="12" t="s">
        <v>199</v>
      </c>
      <c r="L3558" s="12" t="s">
        <v>83</v>
      </c>
      <c r="M3558" s="12" t="s">
        <v>43</v>
      </c>
      <c r="N3558" s="12" t="s">
        <v>84</v>
      </c>
      <c r="O3558" s="12" t="s">
        <v>12786</v>
      </c>
      <c r="P3558" s="12" t="s">
        <v>66</v>
      </c>
      <c r="Q3558" s="12" t="s">
        <v>764</v>
      </c>
      <c r="R3558" s="12" t="s">
        <v>765</v>
      </c>
      <c r="S3558" s="13">
        <v>197804296989</v>
      </c>
      <c r="T3558" s="12" t="s">
        <v>235</v>
      </c>
      <c r="U3558" s="12" t="s">
        <v>60</v>
      </c>
      <c r="V3558" s="12" t="s">
        <v>8735</v>
      </c>
      <c r="W3558" s="12" t="s">
        <v>51</v>
      </c>
      <c r="X3558" s="14"/>
      <c r="Y3558" s="14"/>
      <c r="Z3558" s="14"/>
      <c r="AA3558" s="14"/>
      <c r="AB3558" s="14"/>
      <c r="AC3558" s="15">
        <v>63.65</v>
      </c>
      <c r="AD3558" s="15">
        <f>AC3558*AG3558</f>
        <v>63.65</v>
      </c>
      <c r="AE3558" s="15">
        <v>140</v>
      </c>
      <c r="AF3558" s="15">
        <f>AE3558*AG3558</f>
        <v>140</v>
      </c>
      <c r="AG3558" s="16">
        <v>1</v>
      </c>
    </row>
    <row r="3559" spans="1:33" ht="15" customHeight="1" x14ac:dyDescent="0.2">
      <c r="A3559" s="11" t="str">
        <f>HYPERLINK("https://assets.vans.eu/images/VN000R92EMF-HERO/1","VN000R92EMF1")</f>
        <v>VN000R92EMF1</v>
      </c>
      <c r="B3559" s="12" t="s">
        <v>12787</v>
      </c>
      <c r="C3559" s="12" t="s">
        <v>2250</v>
      </c>
      <c r="D3559" s="12" t="s">
        <v>1282</v>
      </c>
      <c r="E3559" s="12" t="s">
        <v>12788</v>
      </c>
      <c r="F3559" s="12" t="s">
        <v>60</v>
      </c>
      <c r="G3559" s="14"/>
      <c r="H3559" s="12" t="s">
        <v>61</v>
      </c>
      <c r="I3559" s="12" t="s">
        <v>230</v>
      </c>
      <c r="J3559" s="12" t="s">
        <v>419</v>
      </c>
      <c r="K3559" s="12" t="s">
        <v>199</v>
      </c>
      <c r="L3559" s="12" t="s">
        <v>83</v>
      </c>
      <c r="M3559" s="12" t="s">
        <v>43</v>
      </c>
      <c r="N3559" s="12" t="s">
        <v>84</v>
      </c>
      <c r="O3559" s="12" t="s">
        <v>12789</v>
      </c>
      <c r="P3559" s="12" t="s">
        <v>66</v>
      </c>
      <c r="Q3559" s="12" t="s">
        <v>67</v>
      </c>
      <c r="R3559" s="12" t="s">
        <v>1490</v>
      </c>
      <c r="S3559" s="13">
        <v>197804664580</v>
      </c>
      <c r="T3559" s="12" t="s">
        <v>2253</v>
      </c>
      <c r="U3559" s="12" t="s">
        <v>60</v>
      </c>
      <c r="V3559" s="12" t="s">
        <v>2254</v>
      </c>
      <c r="W3559" s="12" t="s">
        <v>118</v>
      </c>
      <c r="X3559" s="14"/>
      <c r="Y3559" s="14"/>
      <c r="Z3559" s="14"/>
      <c r="AA3559" s="14"/>
      <c r="AB3559" s="14"/>
      <c r="AC3559" s="15">
        <v>63.65</v>
      </c>
      <c r="AD3559" s="15">
        <f>AC3559*AG3559</f>
        <v>63.65</v>
      </c>
      <c r="AE3559" s="15">
        <v>140</v>
      </c>
      <c r="AF3559" s="15">
        <f>AE3559*AG3559</f>
        <v>140</v>
      </c>
      <c r="AG3559" s="16">
        <v>1</v>
      </c>
    </row>
    <row r="3560" spans="1:33" ht="15" customHeight="1" x14ac:dyDescent="0.2">
      <c r="A3560" s="11" t="str">
        <f t="shared" ref="A3560:A3561" si="1232">HYPERLINK("https://assets.vans.eu/images/VN000R94FS8-HERO/1","VN000R94FS81")</f>
        <v>VN000R94FS81</v>
      </c>
      <c r="B3560" s="12" t="s">
        <v>12790</v>
      </c>
      <c r="C3560" s="12" t="s">
        <v>1985</v>
      </c>
      <c r="D3560" s="12" t="s">
        <v>239</v>
      </c>
      <c r="E3560" s="12" t="s">
        <v>12791</v>
      </c>
      <c r="F3560" s="12" t="s">
        <v>60</v>
      </c>
      <c r="G3560" s="14"/>
      <c r="H3560" s="12" t="s">
        <v>61</v>
      </c>
      <c r="I3560" s="12" t="s">
        <v>230</v>
      </c>
      <c r="J3560" s="12" t="s">
        <v>419</v>
      </c>
      <c r="K3560" s="12" t="s">
        <v>199</v>
      </c>
      <c r="L3560" s="12" t="s">
        <v>83</v>
      </c>
      <c r="M3560" s="12" t="s">
        <v>43</v>
      </c>
      <c r="N3560" s="12" t="s">
        <v>84</v>
      </c>
      <c r="O3560" s="12" t="s">
        <v>12792</v>
      </c>
      <c r="P3560" s="12" t="s">
        <v>66</v>
      </c>
      <c r="Q3560" s="12" t="s">
        <v>67</v>
      </c>
      <c r="R3560" s="12" t="s">
        <v>421</v>
      </c>
      <c r="S3560" s="13">
        <v>197804297245</v>
      </c>
      <c r="T3560" s="12" t="s">
        <v>69</v>
      </c>
      <c r="U3560" s="12" t="s">
        <v>60</v>
      </c>
      <c r="V3560" s="12" t="s">
        <v>665</v>
      </c>
      <c r="W3560" s="12" t="s">
        <v>175</v>
      </c>
      <c r="X3560" s="14"/>
      <c r="Y3560" s="14"/>
      <c r="Z3560" s="14"/>
      <c r="AA3560" s="14"/>
      <c r="AB3560" s="14"/>
      <c r="AC3560" s="15">
        <v>22.75</v>
      </c>
      <c r="AD3560" s="15">
        <f>AC3560*AG3560</f>
        <v>22.75</v>
      </c>
      <c r="AE3560" s="15">
        <v>50</v>
      </c>
      <c r="AF3560" s="15">
        <f>AE3560*AG3560</f>
        <v>50</v>
      </c>
      <c r="AG3560" s="16">
        <v>1</v>
      </c>
    </row>
    <row r="3561" spans="1:33" ht="15" customHeight="1" x14ac:dyDescent="0.2">
      <c r="A3561" s="11" t="str">
        <f t="shared" si="1232"/>
        <v>VN000R94FS81</v>
      </c>
      <c r="B3561" s="12" t="s">
        <v>12793</v>
      </c>
      <c r="C3561" s="12" t="s">
        <v>1985</v>
      </c>
      <c r="D3561" s="12" t="s">
        <v>239</v>
      </c>
      <c r="E3561" s="12" t="s">
        <v>12794</v>
      </c>
      <c r="F3561" s="12" t="s">
        <v>621</v>
      </c>
      <c r="G3561" s="14"/>
      <c r="H3561" s="12" t="s">
        <v>61</v>
      </c>
      <c r="I3561" s="12" t="s">
        <v>230</v>
      </c>
      <c r="J3561" s="12" t="s">
        <v>419</v>
      </c>
      <c r="K3561" s="12" t="s">
        <v>199</v>
      </c>
      <c r="L3561" s="12" t="s">
        <v>83</v>
      </c>
      <c r="M3561" s="12" t="s">
        <v>43</v>
      </c>
      <c r="N3561" s="12" t="s">
        <v>84</v>
      </c>
      <c r="O3561" s="12" t="s">
        <v>12795</v>
      </c>
      <c r="P3561" s="12" t="s">
        <v>66</v>
      </c>
      <c r="Q3561" s="12" t="s">
        <v>67</v>
      </c>
      <c r="R3561" s="12" t="s">
        <v>421</v>
      </c>
      <c r="S3561" s="13">
        <v>197804297467</v>
      </c>
      <c r="T3561" s="12" t="s">
        <v>69</v>
      </c>
      <c r="U3561" s="12" t="s">
        <v>621</v>
      </c>
      <c r="V3561" s="12" t="s">
        <v>665</v>
      </c>
      <c r="W3561" s="12" t="s">
        <v>175</v>
      </c>
      <c r="X3561" s="14"/>
      <c r="Y3561" s="14"/>
      <c r="Z3561" s="14"/>
      <c r="AA3561" s="14"/>
      <c r="AB3561" s="14"/>
      <c r="AC3561" s="15">
        <v>22.75</v>
      </c>
      <c r="AD3561" s="15">
        <f>AC3561*AG3561</f>
        <v>22.75</v>
      </c>
      <c r="AE3561" s="15">
        <v>50</v>
      </c>
      <c r="AF3561" s="15">
        <f>AE3561*AG3561</f>
        <v>50</v>
      </c>
      <c r="AG3561" s="16">
        <v>1</v>
      </c>
    </row>
    <row r="3562" spans="1:33" ht="15" customHeight="1" x14ac:dyDescent="0.2">
      <c r="A3562" s="11" t="str">
        <f t="shared" si="954"/>
        <v>VN000R95EMV1</v>
      </c>
      <c r="B3562" s="12" t="s">
        <v>12796</v>
      </c>
      <c r="C3562" s="12" t="s">
        <v>6900</v>
      </c>
      <c r="D3562" s="12" t="s">
        <v>1908</v>
      </c>
      <c r="E3562" s="12" t="s">
        <v>12797</v>
      </c>
      <c r="F3562" s="12" t="s">
        <v>179</v>
      </c>
      <c r="G3562" s="14"/>
      <c r="H3562" s="12" t="s">
        <v>61</v>
      </c>
      <c r="I3562" s="12" t="s">
        <v>230</v>
      </c>
      <c r="J3562" s="12" t="s">
        <v>419</v>
      </c>
      <c r="K3562" s="12" t="s">
        <v>199</v>
      </c>
      <c r="L3562" s="12" t="s">
        <v>83</v>
      </c>
      <c r="M3562" s="12" t="s">
        <v>43</v>
      </c>
      <c r="N3562" s="12" t="s">
        <v>84</v>
      </c>
      <c r="O3562" s="12" t="s">
        <v>12798</v>
      </c>
      <c r="P3562" s="12" t="s">
        <v>66</v>
      </c>
      <c r="Q3562" s="12" t="s">
        <v>67</v>
      </c>
      <c r="R3562" s="12" t="s">
        <v>421</v>
      </c>
      <c r="S3562" s="13">
        <v>197804296828</v>
      </c>
      <c r="T3562" s="12" t="s">
        <v>69</v>
      </c>
      <c r="U3562" s="12" t="s">
        <v>179</v>
      </c>
      <c r="V3562" s="12" t="s">
        <v>665</v>
      </c>
      <c r="W3562" s="12" t="s">
        <v>51</v>
      </c>
      <c r="X3562" s="14"/>
      <c r="Y3562" s="14"/>
      <c r="Z3562" s="14"/>
      <c r="AA3562" s="14"/>
      <c r="AB3562" s="14"/>
      <c r="AC3562" s="15">
        <v>22.75</v>
      </c>
      <c r="AD3562" s="15">
        <f>AC3562*AG3562</f>
        <v>22.75</v>
      </c>
      <c r="AE3562" s="15">
        <v>50</v>
      </c>
      <c r="AF3562" s="15">
        <f>AE3562*AG3562</f>
        <v>50</v>
      </c>
      <c r="AG3562" s="16">
        <v>1</v>
      </c>
    </row>
    <row r="3563" spans="1:33" ht="15" customHeight="1" x14ac:dyDescent="0.2">
      <c r="A3563" s="11" t="str">
        <f>HYPERLINK("https://assets.vans.eu/images/VN000R96FS8-HERO/1","VN000R96FS81")</f>
        <v>VN000R96FS81</v>
      </c>
      <c r="B3563" s="12" t="s">
        <v>12799</v>
      </c>
      <c r="C3563" s="12" t="s">
        <v>12800</v>
      </c>
      <c r="D3563" s="12" t="s">
        <v>239</v>
      </c>
      <c r="E3563" s="12" t="s">
        <v>12801</v>
      </c>
      <c r="F3563" s="12" t="s">
        <v>60</v>
      </c>
      <c r="G3563" s="14"/>
      <c r="H3563" s="12" t="s">
        <v>61</v>
      </c>
      <c r="I3563" s="12" t="s">
        <v>230</v>
      </c>
      <c r="J3563" s="12" t="s">
        <v>419</v>
      </c>
      <c r="K3563" s="12" t="s">
        <v>199</v>
      </c>
      <c r="L3563" s="12" t="s">
        <v>83</v>
      </c>
      <c r="M3563" s="12" t="s">
        <v>43</v>
      </c>
      <c r="N3563" s="12" t="s">
        <v>84</v>
      </c>
      <c r="O3563" s="12" t="s">
        <v>12802</v>
      </c>
      <c r="P3563" s="12" t="s">
        <v>66</v>
      </c>
      <c r="Q3563" s="12" t="s">
        <v>67</v>
      </c>
      <c r="R3563" s="12" t="s">
        <v>421</v>
      </c>
      <c r="S3563" s="13">
        <v>197804297429</v>
      </c>
      <c r="T3563" s="12" t="s">
        <v>69</v>
      </c>
      <c r="U3563" s="12" t="s">
        <v>60</v>
      </c>
      <c r="V3563" s="12" t="s">
        <v>665</v>
      </c>
      <c r="W3563" s="12" t="s">
        <v>175</v>
      </c>
      <c r="X3563" s="14"/>
      <c r="Y3563" s="14"/>
      <c r="Z3563" s="14"/>
      <c r="AA3563" s="14"/>
      <c r="AB3563" s="14"/>
      <c r="AC3563" s="15">
        <v>25</v>
      </c>
      <c r="AD3563" s="15">
        <f>AC3563*AG3563</f>
        <v>25</v>
      </c>
      <c r="AE3563" s="15">
        <v>55</v>
      </c>
      <c r="AF3563" s="15">
        <f>AE3563*AG3563</f>
        <v>55</v>
      </c>
      <c r="AG3563" s="16">
        <v>1</v>
      </c>
    </row>
    <row r="3564" spans="1:33" ht="15" customHeight="1" x14ac:dyDescent="0.2">
      <c r="A3564" s="11" t="str">
        <f>HYPERLINK("https://assets.vans.eu/images/VN000R97D3A-HERO/1","VN000R97D3A1")</f>
        <v>VN000R97D3A1</v>
      </c>
      <c r="B3564" s="12" t="s">
        <v>12803</v>
      </c>
      <c r="C3564" s="12" t="s">
        <v>12804</v>
      </c>
      <c r="D3564" s="12" t="s">
        <v>12805</v>
      </c>
      <c r="E3564" s="12" t="s">
        <v>12806</v>
      </c>
      <c r="F3564" s="12" t="s">
        <v>621</v>
      </c>
      <c r="G3564" s="14"/>
      <c r="H3564" s="12" t="s">
        <v>61</v>
      </c>
      <c r="I3564" s="12" t="s">
        <v>230</v>
      </c>
      <c r="J3564" s="12" t="s">
        <v>419</v>
      </c>
      <c r="K3564" s="12" t="s">
        <v>199</v>
      </c>
      <c r="L3564" s="12" t="s">
        <v>83</v>
      </c>
      <c r="M3564" s="12" t="s">
        <v>43</v>
      </c>
      <c r="N3564" s="12" t="s">
        <v>84</v>
      </c>
      <c r="O3564" s="12" t="s">
        <v>12807</v>
      </c>
      <c r="P3564" s="12" t="s">
        <v>66</v>
      </c>
      <c r="Q3564" s="12" t="s">
        <v>67</v>
      </c>
      <c r="R3564" s="12" t="s">
        <v>1500</v>
      </c>
      <c r="S3564" s="13">
        <v>197804297481</v>
      </c>
      <c r="T3564" s="12" t="s">
        <v>235</v>
      </c>
      <c r="U3564" s="12" t="s">
        <v>621</v>
      </c>
      <c r="V3564" s="12" t="s">
        <v>665</v>
      </c>
      <c r="W3564" s="12" t="s">
        <v>284</v>
      </c>
      <c r="X3564" s="14"/>
      <c r="Y3564" s="14"/>
      <c r="Z3564" s="14"/>
      <c r="AA3564" s="14"/>
      <c r="AB3564" s="14"/>
      <c r="AC3564" s="15">
        <v>40.950000000000003</v>
      </c>
      <c r="AD3564" s="15">
        <f>AC3564*AG3564</f>
        <v>40.950000000000003</v>
      </c>
      <c r="AE3564" s="15">
        <v>90</v>
      </c>
      <c r="AF3564" s="15">
        <f>AE3564*AG3564</f>
        <v>90</v>
      </c>
      <c r="AG3564" s="16">
        <v>1</v>
      </c>
    </row>
    <row r="3565" spans="1:33" ht="15" customHeight="1" x14ac:dyDescent="0.2">
      <c r="A3565" s="11" t="str">
        <f>HYPERLINK("https://assets.vans.eu/images/VN000R9YEN7-HERO/1","VN000R9YEN71")</f>
        <v>VN000R9YEN71</v>
      </c>
      <c r="B3565" s="12" t="s">
        <v>12808</v>
      </c>
      <c r="C3565" s="12" t="s">
        <v>12809</v>
      </c>
      <c r="D3565" s="12" t="s">
        <v>295</v>
      </c>
      <c r="E3565" s="12" t="s">
        <v>12810</v>
      </c>
      <c r="F3565" s="12" t="s">
        <v>170</v>
      </c>
      <c r="G3565" s="14"/>
      <c r="H3565" s="12" t="s">
        <v>61</v>
      </c>
      <c r="I3565" s="12" t="s">
        <v>230</v>
      </c>
      <c r="J3565" s="12" t="s">
        <v>419</v>
      </c>
      <c r="K3565" s="12" t="s">
        <v>199</v>
      </c>
      <c r="L3565" s="12" t="s">
        <v>83</v>
      </c>
      <c r="M3565" s="12" t="s">
        <v>43</v>
      </c>
      <c r="N3565" s="12" t="s">
        <v>84</v>
      </c>
      <c r="O3565" s="12" t="s">
        <v>12811</v>
      </c>
      <c r="P3565" s="12" t="s">
        <v>66</v>
      </c>
      <c r="Q3565" s="12" t="s">
        <v>67</v>
      </c>
      <c r="R3565" s="12" t="s">
        <v>623</v>
      </c>
      <c r="S3565" s="13">
        <v>197805926465</v>
      </c>
      <c r="T3565" s="12" t="s">
        <v>69</v>
      </c>
      <c r="U3565" s="12" t="s">
        <v>170</v>
      </c>
      <c r="V3565" s="12" t="s">
        <v>1386</v>
      </c>
      <c r="W3565" s="12" t="s">
        <v>299</v>
      </c>
      <c r="X3565" s="14"/>
      <c r="Y3565" s="14"/>
      <c r="Z3565" s="14"/>
      <c r="AA3565" s="14"/>
      <c r="AB3565" s="14"/>
      <c r="AC3565" s="15">
        <v>31.85</v>
      </c>
      <c r="AD3565" s="15">
        <f>AC3565*AG3565</f>
        <v>31.85</v>
      </c>
      <c r="AE3565" s="15">
        <v>70</v>
      </c>
      <c r="AF3565" s="15">
        <f>AE3565*AG3565</f>
        <v>70</v>
      </c>
      <c r="AG3565" s="16">
        <v>1</v>
      </c>
    </row>
    <row r="3566" spans="1:33" ht="15" customHeight="1" x14ac:dyDescent="0.2">
      <c r="A3566" s="11" t="str">
        <f>HYPERLINK("https://assets.vans.eu/images/VN000RA2WHT-HERO/1","VN000RA2WHT1")</f>
        <v>VN000RA2WHT1</v>
      </c>
      <c r="B3566" s="12" t="s">
        <v>12812</v>
      </c>
      <c r="C3566" s="12" t="s">
        <v>12813</v>
      </c>
      <c r="D3566" s="12" t="s">
        <v>168</v>
      </c>
      <c r="E3566" s="12" t="s">
        <v>12814</v>
      </c>
      <c r="F3566" s="12" t="s">
        <v>170</v>
      </c>
      <c r="G3566" s="14"/>
      <c r="H3566" s="12" t="s">
        <v>61</v>
      </c>
      <c r="I3566" s="12" t="s">
        <v>230</v>
      </c>
      <c r="J3566" s="12" t="s">
        <v>419</v>
      </c>
      <c r="K3566" s="12" t="s">
        <v>199</v>
      </c>
      <c r="L3566" s="12" t="s">
        <v>83</v>
      </c>
      <c r="M3566" s="12" t="s">
        <v>43</v>
      </c>
      <c r="N3566" s="12" t="s">
        <v>84</v>
      </c>
      <c r="O3566" s="12" t="s">
        <v>12815</v>
      </c>
      <c r="P3566" s="12" t="s">
        <v>66</v>
      </c>
      <c r="Q3566" s="12" t="s">
        <v>67</v>
      </c>
      <c r="R3566" s="12" t="s">
        <v>421</v>
      </c>
      <c r="S3566" s="13">
        <v>197804325214</v>
      </c>
      <c r="T3566" s="12" t="s">
        <v>422</v>
      </c>
      <c r="U3566" s="12" t="s">
        <v>170</v>
      </c>
      <c r="V3566" s="12" t="s">
        <v>423</v>
      </c>
      <c r="W3566" s="12" t="s">
        <v>175</v>
      </c>
      <c r="X3566" s="14"/>
      <c r="Y3566" s="14"/>
      <c r="Z3566" s="14"/>
      <c r="AA3566" s="14"/>
      <c r="AB3566" s="14"/>
      <c r="AC3566" s="15">
        <v>15.95</v>
      </c>
      <c r="AD3566" s="15">
        <f>AC3566*AG3566</f>
        <v>15.95</v>
      </c>
      <c r="AE3566" s="15">
        <v>35</v>
      </c>
      <c r="AF3566" s="15">
        <f>AE3566*AG3566</f>
        <v>35</v>
      </c>
      <c r="AG3566" s="16">
        <v>1</v>
      </c>
    </row>
    <row r="3567" spans="1:33" ht="15" customHeight="1" x14ac:dyDescent="0.2">
      <c r="A3567" s="11" t="str">
        <f t="shared" ref="A3567:A3570" si="1233">HYPERLINK("https://assets.vans.eu/images/VN000RAP5TU-HERO/1","VN000RAP5TU1")</f>
        <v>VN000RAP5TU1</v>
      </c>
      <c r="B3567" s="12" t="s">
        <v>12816</v>
      </c>
      <c r="C3567" s="12" t="s">
        <v>4806</v>
      </c>
      <c r="D3567" s="12" t="s">
        <v>1356</v>
      </c>
      <c r="E3567" s="12" t="s">
        <v>12817</v>
      </c>
      <c r="F3567" s="12" t="s">
        <v>179</v>
      </c>
      <c r="G3567" s="14"/>
      <c r="H3567" s="12" t="s">
        <v>61</v>
      </c>
      <c r="I3567" s="12" t="s">
        <v>230</v>
      </c>
      <c r="J3567" s="12" t="s">
        <v>419</v>
      </c>
      <c r="K3567" s="12" t="s">
        <v>199</v>
      </c>
      <c r="L3567" s="12" t="s">
        <v>83</v>
      </c>
      <c r="M3567" s="12" t="s">
        <v>43</v>
      </c>
      <c r="N3567" s="12" t="s">
        <v>84</v>
      </c>
      <c r="O3567" s="12" t="s">
        <v>12818</v>
      </c>
      <c r="P3567" s="12" t="s">
        <v>66</v>
      </c>
      <c r="Q3567" s="12" t="s">
        <v>67</v>
      </c>
      <c r="R3567" s="12" t="s">
        <v>421</v>
      </c>
      <c r="S3567" s="13">
        <v>197804325153</v>
      </c>
      <c r="T3567" s="12" t="s">
        <v>422</v>
      </c>
      <c r="U3567" s="12" t="s">
        <v>179</v>
      </c>
      <c r="V3567" s="12" t="s">
        <v>423</v>
      </c>
      <c r="W3567" s="12" t="s">
        <v>284</v>
      </c>
      <c r="X3567" s="14"/>
      <c r="Y3567" s="14"/>
      <c r="Z3567" s="14"/>
      <c r="AA3567" s="14"/>
      <c r="AB3567" s="14"/>
      <c r="AC3567" s="15">
        <v>15.95</v>
      </c>
      <c r="AD3567" s="15">
        <f>AC3567*AG3567</f>
        <v>15.95</v>
      </c>
      <c r="AE3567" s="15">
        <v>35</v>
      </c>
      <c r="AF3567" s="15">
        <f>AE3567*AG3567</f>
        <v>35</v>
      </c>
      <c r="AG3567" s="16">
        <v>1</v>
      </c>
    </row>
    <row r="3568" spans="1:33" ht="15" customHeight="1" x14ac:dyDescent="0.2">
      <c r="A3568" s="11" t="str">
        <f t="shared" si="1233"/>
        <v>VN000RAP5TU1</v>
      </c>
      <c r="B3568" s="12" t="s">
        <v>12819</v>
      </c>
      <c r="C3568" s="12" t="s">
        <v>4806</v>
      </c>
      <c r="D3568" s="12" t="s">
        <v>1356</v>
      </c>
      <c r="E3568" s="12" t="s">
        <v>12820</v>
      </c>
      <c r="F3568" s="12" t="s">
        <v>170</v>
      </c>
      <c r="G3568" s="14"/>
      <c r="H3568" s="12" t="s">
        <v>61</v>
      </c>
      <c r="I3568" s="12" t="s">
        <v>230</v>
      </c>
      <c r="J3568" s="12" t="s">
        <v>419</v>
      </c>
      <c r="K3568" s="12" t="s">
        <v>199</v>
      </c>
      <c r="L3568" s="12" t="s">
        <v>83</v>
      </c>
      <c r="M3568" s="12" t="s">
        <v>43</v>
      </c>
      <c r="N3568" s="12" t="s">
        <v>84</v>
      </c>
      <c r="O3568" s="12" t="s">
        <v>12821</v>
      </c>
      <c r="P3568" s="12" t="s">
        <v>66</v>
      </c>
      <c r="Q3568" s="12" t="s">
        <v>67</v>
      </c>
      <c r="R3568" s="12" t="s">
        <v>421</v>
      </c>
      <c r="S3568" s="13">
        <v>197804325313</v>
      </c>
      <c r="T3568" s="12" t="s">
        <v>422</v>
      </c>
      <c r="U3568" s="12" t="s">
        <v>170</v>
      </c>
      <c r="V3568" s="12" t="s">
        <v>423</v>
      </c>
      <c r="W3568" s="12" t="s">
        <v>284</v>
      </c>
      <c r="X3568" s="14"/>
      <c r="Y3568" s="14"/>
      <c r="Z3568" s="14"/>
      <c r="AA3568" s="14"/>
      <c r="AB3568" s="14"/>
      <c r="AC3568" s="15">
        <v>15.95</v>
      </c>
      <c r="AD3568" s="15">
        <f>AC3568*AG3568</f>
        <v>15.95</v>
      </c>
      <c r="AE3568" s="15">
        <v>35</v>
      </c>
      <c r="AF3568" s="15">
        <f>AE3568*AG3568</f>
        <v>35</v>
      </c>
      <c r="AG3568" s="16">
        <v>1</v>
      </c>
    </row>
    <row r="3569" spans="1:33" ht="15" customHeight="1" x14ac:dyDescent="0.2">
      <c r="A3569" s="11" t="str">
        <f t="shared" si="1233"/>
        <v>VN000RAP5TU1</v>
      </c>
      <c r="B3569" s="12" t="s">
        <v>12822</v>
      </c>
      <c r="C3569" s="12" t="s">
        <v>4806</v>
      </c>
      <c r="D3569" s="12" t="s">
        <v>1356</v>
      </c>
      <c r="E3569" s="12" t="s">
        <v>12823</v>
      </c>
      <c r="F3569" s="12" t="s">
        <v>60</v>
      </c>
      <c r="G3569" s="14"/>
      <c r="H3569" s="12" t="s">
        <v>61</v>
      </c>
      <c r="I3569" s="12" t="s">
        <v>230</v>
      </c>
      <c r="J3569" s="12" t="s">
        <v>419</v>
      </c>
      <c r="K3569" s="12" t="s">
        <v>199</v>
      </c>
      <c r="L3569" s="12" t="s">
        <v>83</v>
      </c>
      <c r="M3569" s="12" t="s">
        <v>43</v>
      </c>
      <c r="N3569" s="12" t="s">
        <v>84</v>
      </c>
      <c r="O3569" s="12" t="s">
        <v>12824</v>
      </c>
      <c r="P3569" s="12" t="s">
        <v>66</v>
      </c>
      <c r="Q3569" s="12" t="s">
        <v>67</v>
      </c>
      <c r="R3569" s="12" t="s">
        <v>421</v>
      </c>
      <c r="S3569" s="13">
        <v>197804325719</v>
      </c>
      <c r="T3569" s="12" t="s">
        <v>422</v>
      </c>
      <c r="U3569" s="12" t="s">
        <v>60</v>
      </c>
      <c r="V3569" s="12" t="s">
        <v>423</v>
      </c>
      <c r="W3569" s="12" t="s">
        <v>284</v>
      </c>
      <c r="X3569" s="14"/>
      <c r="Y3569" s="14"/>
      <c r="Z3569" s="14"/>
      <c r="AA3569" s="14"/>
      <c r="AB3569" s="14"/>
      <c r="AC3569" s="15">
        <v>15.95</v>
      </c>
      <c r="AD3569" s="15">
        <f>AC3569*AG3569</f>
        <v>15.95</v>
      </c>
      <c r="AE3569" s="15">
        <v>35</v>
      </c>
      <c r="AF3569" s="15">
        <f>AE3569*AG3569</f>
        <v>35</v>
      </c>
      <c r="AG3569" s="16">
        <v>1</v>
      </c>
    </row>
    <row r="3570" spans="1:33" ht="15" customHeight="1" x14ac:dyDescent="0.2">
      <c r="A3570" s="11" t="str">
        <f t="shared" si="1233"/>
        <v>VN000RAP5TU1</v>
      </c>
      <c r="B3570" s="12" t="s">
        <v>12825</v>
      </c>
      <c r="C3570" s="12" t="s">
        <v>4806</v>
      </c>
      <c r="D3570" s="12" t="s">
        <v>1356</v>
      </c>
      <c r="E3570" s="12" t="s">
        <v>12826</v>
      </c>
      <c r="F3570" s="12" t="s">
        <v>153</v>
      </c>
      <c r="G3570" s="14"/>
      <c r="H3570" s="12" t="s">
        <v>61</v>
      </c>
      <c r="I3570" s="12" t="s">
        <v>230</v>
      </c>
      <c r="J3570" s="12" t="s">
        <v>419</v>
      </c>
      <c r="K3570" s="12" t="s">
        <v>199</v>
      </c>
      <c r="L3570" s="12" t="s">
        <v>83</v>
      </c>
      <c r="M3570" s="12" t="s">
        <v>43</v>
      </c>
      <c r="N3570" s="12" t="s">
        <v>84</v>
      </c>
      <c r="O3570" s="12" t="s">
        <v>12827</v>
      </c>
      <c r="P3570" s="12" t="s">
        <v>66</v>
      </c>
      <c r="Q3570" s="12" t="s">
        <v>67</v>
      </c>
      <c r="R3570" s="12" t="s">
        <v>421</v>
      </c>
      <c r="S3570" s="13">
        <v>197804325900</v>
      </c>
      <c r="T3570" s="12" t="s">
        <v>422</v>
      </c>
      <c r="U3570" s="12" t="s">
        <v>153</v>
      </c>
      <c r="V3570" s="12" t="s">
        <v>423</v>
      </c>
      <c r="W3570" s="12" t="s">
        <v>284</v>
      </c>
      <c r="X3570" s="14"/>
      <c r="Y3570" s="14"/>
      <c r="Z3570" s="14"/>
      <c r="AA3570" s="14"/>
      <c r="AB3570" s="14"/>
      <c r="AC3570" s="15">
        <v>15.95</v>
      </c>
      <c r="AD3570" s="15">
        <f>AC3570*AG3570</f>
        <v>15.95</v>
      </c>
      <c r="AE3570" s="15">
        <v>35</v>
      </c>
      <c r="AF3570" s="15">
        <f>AE3570*AG3570</f>
        <v>35</v>
      </c>
      <c r="AG3570" s="16">
        <v>1</v>
      </c>
    </row>
    <row r="3571" spans="1:33" ht="15" customHeight="1" x14ac:dyDescent="0.2">
      <c r="A3571" s="11" t="str">
        <f>HYPERLINK("https://assets.vans.eu/images/VN000RAP7D6-HERO/1","VN000RAP7D61")</f>
        <v>VN000RAP7D61</v>
      </c>
      <c r="B3571" s="12" t="s">
        <v>12828</v>
      </c>
      <c r="C3571" s="12" t="s">
        <v>4806</v>
      </c>
      <c r="D3571" s="12" t="s">
        <v>1231</v>
      </c>
      <c r="E3571" s="12" t="s">
        <v>12829</v>
      </c>
      <c r="F3571" s="12" t="s">
        <v>179</v>
      </c>
      <c r="G3571" s="14"/>
      <c r="H3571" s="12" t="s">
        <v>61</v>
      </c>
      <c r="I3571" s="12" t="s">
        <v>230</v>
      </c>
      <c r="J3571" s="12" t="s">
        <v>419</v>
      </c>
      <c r="K3571" s="12" t="s">
        <v>199</v>
      </c>
      <c r="L3571" s="12" t="s">
        <v>83</v>
      </c>
      <c r="M3571" s="12" t="s">
        <v>43</v>
      </c>
      <c r="N3571" s="12" t="s">
        <v>84</v>
      </c>
      <c r="O3571" s="12" t="s">
        <v>12830</v>
      </c>
      <c r="P3571" s="12" t="s">
        <v>66</v>
      </c>
      <c r="Q3571" s="12" t="s">
        <v>67</v>
      </c>
      <c r="R3571" s="12" t="s">
        <v>421</v>
      </c>
      <c r="S3571" s="13">
        <v>197804325061</v>
      </c>
      <c r="T3571" s="12" t="s">
        <v>422</v>
      </c>
      <c r="U3571" s="12" t="s">
        <v>179</v>
      </c>
      <c r="V3571" s="12" t="s">
        <v>423</v>
      </c>
      <c r="W3571" s="12" t="s">
        <v>186</v>
      </c>
      <c r="X3571" s="14"/>
      <c r="Y3571" s="14"/>
      <c r="Z3571" s="14"/>
      <c r="AA3571" s="14"/>
      <c r="AB3571" s="14"/>
      <c r="AC3571" s="15">
        <v>15.95</v>
      </c>
      <c r="AD3571" s="15">
        <f>AC3571*AG3571</f>
        <v>15.95</v>
      </c>
      <c r="AE3571" s="15">
        <v>35</v>
      </c>
      <c r="AF3571" s="15">
        <f>AE3571*AG3571</f>
        <v>35</v>
      </c>
      <c r="AG3571" s="16">
        <v>1</v>
      </c>
    </row>
    <row r="3572" spans="1:33" ht="15" customHeight="1" x14ac:dyDescent="0.2">
      <c r="A3572" s="11" t="str">
        <f>HYPERLINK("https://assets.vans.eu/images/VN000RAR5TU-HERO/1","VN000RAR5TU1")</f>
        <v>VN000RAR5TU1</v>
      </c>
      <c r="B3572" s="12" t="s">
        <v>12831</v>
      </c>
      <c r="C3572" s="12" t="s">
        <v>2945</v>
      </c>
      <c r="D3572" s="12" t="s">
        <v>1356</v>
      </c>
      <c r="E3572" s="12" t="s">
        <v>12832</v>
      </c>
      <c r="F3572" s="12" t="s">
        <v>170</v>
      </c>
      <c r="G3572" s="14"/>
      <c r="H3572" s="12" t="s">
        <v>61</v>
      </c>
      <c r="I3572" s="12" t="s">
        <v>230</v>
      </c>
      <c r="J3572" s="12" t="s">
        <v>419</v>
      </c>
      <c r="K3572" s="12" t="s">
        <v>199</v>
      </c>
      <c r="L3572" s="12" t="s">
        <v>83</v>
      </c>
      <c r="M3572" s="12" t="s">
        <v>43</v>
      </c>
      <c r="N3572" s="12" t="s">
        <v>84</v>
      </c>
      <c r="O3572" s="12" t="s">
        <v>12833</v>
      </c>
      <c r="P3572" s="12" t="s">
        <v>66</v>
      </c>
      <c r="Q3572" s="12" t="s">
        <v>67</v>
      </c>
      <c r="R3572" s="12" t="s">
        <v>623</v>
      </c>
      <c r="S3572" s="13">
        <v>197804350261</v>
      </c>
      <c r="T3572" s="12" t="s">
        <v>69</v>
      </c>
      <c r="U3572" s="12" t="s">
        <v>170</v>
      </c>
      <c r="V3572" s="12" t="s">
        <v>70</v>
      </c>
      <c r="W3572" s="12" t="s">
        <v>284</v>
      </c>
      <c r="X3572" s="14"/>
      <c r="Y3572" s="14"/>
      <c r="Z3572" s="14"/>
      <c r="AA3572" s="14"/>
      <c r="AB3572" s="14"/>
      <c r="AC3572" s="15">
        <v>38.65</v>
      </c>
      <c r="AD3572" s="15">
        <f>AC3572*AG3572</f>
        <v>38.65</v>
      </c>
      <c r="AE3572" s="15">
        <v>85</v>
      </c>
      <c r="AF3572" s="15">
        <f>AE3572*AG3572</f>
        <v>85</v>
      </c>
      <c r="AG3572" s="16">
        <v>1</v>
      </c>
    </row>
    <row r="3573" spans="1:33" ht="15" customHeight="1" x14ac:dyDescent="0.2">
      <c r="A3573" s="11" t="str">
        <f>HYPERLINK("https://assets.vans.eu/images/VN000RAR7D6-HERO/1","VN000RAR7D61")</f>
        <v>VN000RAR7D61</v>
      </c>
      <c r="B3573" s="12" t="s">
        <v>12834</v>
      </c>
      <c r="C3573" s="12" t="s">
        <v>2945</v>
      </c>
      <c r="D3573" s="12" t="s">
        <v>1231</v>
      </c>
      <c r="E3573" s="12" t="s">
        <v>12835</v>
      </c>
      <c r="F3573" s="12" t="s">
        <v>60</v>
      </c>
      <c r="G3573" s="14"/>
      <c r="H3573" s="12" t="s">
        <v>61</v>
      </c>
      <c r="I3573" s="12" t="s">
        <v>230</v>
      </c>
      <c r="J3573" s="12" t="s">
        <v>419</v>
      </c>
      <c r="K3573" s="12" t="s">
        <v>199</v>
      </c>
      <c r="L3573" s="12" t="s">
        <v>83</v>
      </c>
      <c r="M3573" s="12" t="s">
        <v>43</v>
      </c>
      <c r="N3573" s="12" t="s">
        <v>84</v>
      </c>
      <c r="O3573" s="12" t="s">
        <v>12836</v>
      </c>
      <c r="P3573" s="12" t="s">
        <v>66</v>
      </c>
      <c r="Q3573" s="12" t="s">
        <v>67</v>
      </c>
      <c r="R3573" s="12" t="s">
        <v>623</v>
      </c>
      <c r="S3573" s="13">
        <v>197804350360</v>
      </c>
      <c r="T3573" s="12" t="s">
        <v>69</v>
      </c>
      <c r="U3573" s="12" t="s">
        <v>60</v>
      </c>
      <c r="V3573" s="12" t="s">
        <v>70</v>
      </c>
      <c r="W3573" s="12" t="s">
        <v>186</v>
      </c>
      <c r="X3573" s="14"/>
      <c r="Y3573" s="14"/>
      <c r="Z3573" s="14"/>
      <c r="AA3573" s="14"/>
      <c r="AB3573" s="14"/>
      <c r="AC3573" s="15">
        <v>38.65</v>
      </c>
      <c r="AD3573" s="15">
        <f>AC3573*AG3573</f>
        <v>38.65</v>
      </c>
      <c r="AE3573" s="15">
        <v>85</v>
      </c>
      <c r="AF3573" s="15">
        <f>AE3573*AG3573</f>
        <v>85</v>
      </c>
      <c r="AG3573" s="16">
        <v>1</v>
      </c>
    </row>
    <row r="3574" spans="1:33" ht="15" customHeight="1" x14ac:dyDescent="0.2">
      <c r="A3574" s="11" t="str">
        <f>HYPERLINK("https://assets.vans.eu/images/VN000RARFS8-HERO/1","VN000RARFS81")</f>
        <v>VN000RARFS81</v>
      </c>
      <c r="B3574" s="12" t="s">
        <v>12837</v>
      </c>
      <c r="C3574" s="12" t="s">
        <v>2945</v>
      </c>
      <c r="D3574" s="12" t="s">
        <v>239</v>
      </c>
      <c r="E3574" s="12" t="s">
        <v>12838</v>
      </c>
      <c r="F3574" s="12" t="s">
        <v>621</v>
      </c>
      <c r="G3574" s="14"/>
      <c r="H3574" s="12" t="s">
        <v>61</v>
      </c>
      <c r="I3574" s="12" t="s">
        <v>230</v>
      </c>
      <c r="J3574" s="12" t="s">
        <v>419</v>
      </c>
      <c r="K3574" s="12" t="s">
        <v>199</v>
      </c>
      <c r="L3574" s="12" t="s">
        <v>83</v>
      </c>
      <c r="M3574" s="12" t="s">
        <v>43</v>
      </c>
      <c r="N3574" s="12" t="s">
        <v>84</v>
      </c>
      <c r="O3574" s="12" t="s">
        <v>12839</v>
      </c>
      <c r="P3574" s="12" t="s">
        <v>66</v>
      </c>
      <c r="Q3574" s="12" t="s">
        <v>67</v>
      </c>
      <c r="R3574" s="12" t="s">
        <v>623</v>
      </c>
      <c r="S3574" s="13">
        <v>197804350384</v>
      </c>
      <c r="T3574" s="12" t="s">
        <v>69</v>
      </c>
      <c r="U3574" s="12" t="s">
        <v>621</v>
      </c>
      <c r="V3574" s="12" t="s">
        <v>70</v>
      </c>
      <c r="W3574" s="12" t="s">
        <v>175</v>
      </c>
      <c r="X3574" s="13">
        <v>0</v>
      </c>
      <c r="Y3574" s="12" t="s">
        <v>91</v>
      </c>
      <c r="Z3574" s="12" t="s">
        <v>92</v>
      </c>
      <c r="AA3574" s="12" t="s">
        <v>626</v>
      </c>
      <c r="AB3574" s="12" t="s">
        <v>94</v>
      </c>
      <c r="AC3574" s="15">
        <v>38.65</v>
      </c>
      <c r="AD3574" s="15">
        <f>AC3574*AG3574</f>
        <v>38.65</v>
      </c>
      <c r="AE3574" s="15">
        <v>85</v>
      </c>
      <c r="AF3574" s="15">
        <f>AE3574*AG3574</f>
        <v>85</v>
      </c>
      <c r="AG3574" s="16">
        <v>1</v>
      </c>
    </row>
    <row r="3575" spans="1:33" ht="15" customHeight="1" x14ac:dyDescent="0.2">
      <c r="A3575" s="11" t="str">
        <f>HYPERLINK("https://assets.vans.eu/images/VN000RATE30-HERO/1","VN000RATE301")</f>
        <v>VN000RATE301</v>
      </c>
      <c r="B3575" s="12" t="s">
        <v>12840</v>
      </c>
      <c r="C3575" s="12" t="s">
        <v>618</v>
      </c>
      <c r="D3575" s="12" t="s">
        <v>619</v>
      </c>
      <c r="E3575" s="12" t="s">
        <v>12841</v>
      </c>
      <c r="F3575" s="12" t="s">
        <v>179</v>
      </c>
      <c r="G3575" s="14"/>
      <c r="H3575" s="12" t="s">
        <v>61</v>
      </c>
      <c r="I3575" s="12" t="s">
        <v>230</v>
      </c>
      <c r="J3575" s="12" t="s">
        <v>419</v>
      </c>
      <c r="K3575" s="12" t="s">
        <v>199</v>
      </c>
      <c r="L3575" s="12" t="s">
        <v>115</v>
      </c>
      <c r="M3575" s="12" t="s">
        <v>43</v>
      </c>
      <c r="N3575" s="12" t="s">
        <v>44</v>
      </c>
      <c r="O3575" s="12" t="s">
        <v>12842</v>
      </c>
      <c r="P3575" s="12" t="s">
        <v>66</v>
      </c>
      <c r="Q3575" s="12" t="s">
        <v>67</v>
      </c>
      <c r="R3575" s="12" t="s">
        <v>623</v>
      </c>
      <c r="S3575" s="13">
        <v>197804883943</v>
      </c>
      <c r="T3575" s="12" t="s">
        <v>69</v>
      </c>
      <c r="U3575" s="12" t="s">
        <v>179</v>
      </c>
      <c r="V3575" s="12" t="s">
        <v>624</v>
      </c>
      <c r="W3575" s="12" t="s">
        <v>625</v>
      </c>
      <c r="X3575" s="13">
        <v>0</v>
      </c>
      <c r="Y3575" s="12" t="s">
        <v>91</v>
      </c>
      <c r="Z3575" s="12" t="s">
        <v>92</v>
      </c>
      <c r="AA3575" s="12" t="s">
        <v>626</v>
      </c>
      <c r="AB3575" s="12" t="s">
        <v>94</v>
      </c>
      <c r="AC3575" s="15">
        <v>34.1</v>
      </c>
      <c r="AD3575" s="15">
        <f>AC3575*AG3575</f>
        <v>34.1</v>
      </c>
      <c r="AE3575" s="15">
        <v>75</v>
      </c>
      <c r="AF3575" s="15">
        <f>AE3575*AG3575</f>
        <v>75</v>
      </c>
      <c r="AG3575" s="16">
        <v>1</v>
      </c>
    </row>
    <row r="3576" spans="1:33" ht="15" customHeight="1" x14ac:dyDescent="0.2">
      <c r="A3576" s="11" t="str">
        <f t="shared" si="154"/>
        <v>VN000RCB1O71</v>
      </c>
      <c r="B3576" s="12" t="s">
        <v>12843</v>
      </c>
      <c r="C3576" s="12" t="s">
        <v>1819</v>
      </c>
      <c r="D3576" s="12" t="s">
        <v>637</v>
      </c>
      <c r="E3576" s="12" t="s">
        <v>12844</v>
      </c>
      <c r="F3576" s="12" t="s">
        <v>153</v>
      </c>
      <c r="G3576" s="14"/>
      <c r="H3576" s="12" t="s">
        <v>61</v>
      </c>
      <c r="I3576" s="12" t="s">
        <v>289</v>
      </c>
      <c r="J3576" s="12" t="s">
        <v>706</v>
      </c>
      <c r="K3576" s="12" t="s">
        <v>100</v>
      </c>
      <c r="L3576" s="12" t="s">
        <v>83</v>
      </c>
      <c r="M3576" s="12" t="s">
        <v>43</v>
      </c>
      <c r="N3576" s="12" t="s">
        <v>84</v>
      </c>
      <c r="O3576" s="12" t="s">
        <v>12845</v>
      </c>
      <c r="P3576" s="12" t="s">
        <v>66</v>
      </c>
      <c r="Q3576" s="12" t="s">
        <v>67</v>
      </c>
      <c r="R3576" s="12" t="s">
        <v>708</v>
      </c>
      <c r="S3576" s="13">
        <v>197804298426</v>
      </c>
      <c r="T3576" s="12" t="s">
        <v>69</v>
      </c>
      <c r="U3576" s="12" t="s">
        <v>153</v>
      </c>
      <c r="V3576" s="12" t="s">
        <v>1386</v>
      </c>
      <c r="W3576" s="12" t="s">
        <v>455</v>
      </c>
      <c r="X3576" s="14"/>
      <c r="Y3576" s="14"/>
      <c r="Z3576" s="14"/>
      <c r="AA3576" s="14"/>
      <c r="AB3576" s="14"/>
      <c r="AC3576" s="15">
        <v>34.1</v>
      </c>
      <c r="AD3576" s="15">
        <f>AC3576*AG3576</f>
        <v>34.1</v>
      </c>
      <c r="AE3576" s="15">
        <v>75</v>
      </c>
      <c r="AF3576" s="15">
        <f>AE3576*AG3576</f>
        <v>75</v>
      </c>
      <c r="AG3576" s="16">
        <v>1</v>
      </c>
    </row>
    <row r="3577" spans="1:33" ht="15" customHeight="1" x14ac:dyDescent="0.2">
      <c r="A3577" s="11" t="str">
        <f>HYPERLINK("https://assets.vans.eu/images/VN000RCB1O7-HERO/1","VN000RCB1O71")</f>
        <v>VN000RCB1O71</v>
      </c>
      <c r="B3577" s="12" t="s">
        <v>12846</v>
      </c>
      <c r="C3577" s="12" t="s">
        <v>1819</v>
      </c>
      <c r="D3577" s="12" t="s">
        <v>637</v>
      </c>
      <c r="E3577" s="12" t="s">
        <v>12847</v>
      </c>
      <c r="F3577" s="12" t="s">
        <v>138</v>
      </c>
      <c r="G3577" s="14"/>
      <c r="H3577" s="12" t="s">
        <v>61</v>
      </c>
      <c r="I3577" s="12" t="s">
        <v>289</v>
      </c>
      <c r="J3577" s="12" t="s">
        <v>706</v>
      </c>
      <c r="K3577" s="12" t="s">
        <v>100</v>
      </c>
      <c r="L3577" s="12" t="s">
        <v>83</v>
      </c>
      <c r="M3577" s="12" t="s">
        <v>43</v>
      </c>
      <c r="N3577" s="12" t="s">
        <v>84</v>
      </c>
      <c r="O3577" s="12" t="s">
        <v>12848</v>
      </c>
      <c r="P3577" s="12" t="s">
        <v>66</v>
      </c>
      <c r="Q3577" s="12" t="s">
        <v>67</v>
      </c>
      <c r="R3577" s="12" t="s">
        <v>708</v>
      </c>
      <c r="S3577" s="13">
        <v>197804298662</v>
      </c>
      <c r="T3577" s="12" t="s">
        <v>69</v>
      </c>
      <c r="U3577" s="12" t="s">
        <v>138</v>
      </c>
      <c r="V3577" s="12" t="s">
        <v>1386</v>
      </c>
      <c r="W3577" s="12" t="s">
        <v>455</v>
      </c>
      <c r="X3577" s="14"/>
      <c r="Y3577" s="14"/>
      <c r="Z3577" s="14"/>
      <c r="AA3577" s="14"/>
      <c r="AB3577" s="14"/>
      <c r="AC3577" s="15">
        <v>34.1</v>
      </c>
      <c r="AD3577" s="15">
        <f>AC3577*AG3577</f>
        <v>34.1</v>
      </c>
      <c r="AE3577" s="15">
        <v>75</v>
      </c>
      <c r="AF3577" s="15">
        <f>AE3577*AG3577</f>
        <v>75</v>
      </c>
      <c r="AG3577" s="16">
        <v>1</v>
      </c>
    </row>
    <row r="3578" spans="1:33" ht="15" customHeight="1" x14ac:dyDescent="0.2">
      <c r="A3578" s="11" t="str">
        <f t="shared" si="80"/>
        <v>VN000RCEFCT1</v>
      </c>
      <c r="B3578" s="12" t="s">
        <v>12849</v>
      </c>
      <c r="C3578" s="12" t="s">
        <v>1142</v>
      </c>
      <c r="D3578" s="12" t="s">
        <v>1143</v>
      </c>
      <c r="E3578" s="12" t="s">
        <v>12850</v>
      </c>
      <c r="F3578" s="12" t="s">
        <v>179</v>
      </c>
      <c r="G3578" s="14"/>
      <c r="H3578" s="12" t="s">
        <v>61</v>
      </c>
      <c r="I3578" s="12" t="s">
        <v>289</v>
      </c>
      <c r="J3578" s="12" t="s">
        <v>706</v>
      </c>
      <c r="K3578" s="12" t="s">
        <v>100</v>
      </c>
      <c r="L3578" s="12" t="s">
        <v>83</v>
      </c>
      <c r="M3578" s="12" t="s">
        <v>43</v>
      </c>
      <c r="N3578" s="12" t="s">
        <v>84</v>
      </c>
      <c r="O3578" s="12" t="s">
        <v>12851</v>
      </c>
      <c r="P3578" s="12" t="s">
        <v>66</v>
      </c>
      <c r="Q3578" s="12" t="s">
        <v>67</v>
      </c>
      <c r="R3578" s="12" t="s">
        <v>1146</v>
      </c>
      <c r="S3578" s="13">
        <v>197804297900</v>
      </c>
      <c r="T3578" s="12" t="s">
        <v>69</v>
      </c>
      <c r="U3578" s="12" t="s">
        <v>179</v>
      </c>
      <c r="V3578" s="12" t="s">
        <v>423</v>
      </c>
      <c r="W3578" s="12" t="s">
        <v>175</v>
      </c>
      <c r="X3578" s="14"/>
      <c r="Y3578" s="14"/>
      <c r="Z3578" s="14"/>
      <c r="AA3578" s="14"/>
      <c r="AB3578" s="14"/>
      <c r="AC3578" s="15">
        <v>15.95</v>
      </c>
      <c r="AD3578" s="15">
        <f>AC3578*AG3578</f>
        <v>15.95</v>
      </c>
      <c r="AE3578" s="15">
        <v>35</v>
      </c>
      <c r="AF3578" s="15">
        <f>AE3578*AG3578</f>
        <v>35</v>
      </c>
      <c r="AG3578" s="16">
        <v>1</v>
      </c>
    </row>
    <row r="3579" spans="1:33" ht="15" customHeight="1" x14ac:dyDescent="0.2">
      <c r="A3579" s="11" t="str">
        <f>HYPERLINK("https://assets.vans.eu/images/VN000RCEFCT-HERO/1","VN000RCEFCT1")</f>
        <v>VN000RCEFCT1</v>
      </c>
      <c r="B3579" s="12" t="s">
        <v>12852</v>
      </c>
      <c r="C3579" s="12" t="s">
        <v>1142</v>
      </c>
      <c r="D3579" s="12" t="s">
        <v>1143</v>
      </c>
      <c r="E3579" s="12" t="s">
        <v>12853</v>
      </c>
      <c r="F3579" s="12" t="s">
        <v>153</v>
      </c>
      <c r="G3579" s="14"/>
      <c r="H3579" s="12" t="s">
        <v>61</v>
      </c>
      <c r="I3579" s="12" t="s">
        <v>289</v>
      </c>
      <c r="J3579" s="12" t="s">
        <v>706</v>
      </c>
      <c r="K3579" s="12" t="s">
        <v>100</v>
      </c>
      <c r="L3579" s="12" t="s">
        <v>83</v>
      </c>
      <c r="M3579" s="12" t="s">
        <v>43</v>
      </c>
      <c r="N3579" s="12" t="s">
        <v>84</v>
      </c>
      <c r="O3579" s="12" t="s">
        <v>12854</v>
      </c>
      <c r="P3579" s="12" t="s">
        <v>66</v>
      </c>
      <c r="Q3579" s="12" t="s">
        <v>67</v>
      </c>
      <c r="R3579" s="12" t="s">
        <v>1146</v>
      </c>
      <c r="S3579" s="13">
        <v>197804298501</v>
      </c>
      <c r="T3579" s="12" t="s">
        <v>69</v>
      </c>
      <c r="U3579" s="12" t="s">
        <v>153</v>
      </c>
      <c r="V3579" s="12" t="s">
        <v>423</v>
      </c>
      <c r="W3579" s="12" t="s">
        <v>175</v>
      </c>
      <c r="X3579" s="14"/>
      <c r="Y3579" s="14"/>
      <c r="Z3579" s="14"/>
      <c r="AA3579" s="14"/>
      <c r="AB3579" s="14"/>
      <c r="AC3579" s="15">
        <v>15.95</v>
      </c>
      <c r="AD3579" s="15">
        <f>AC3579*AG3579</f>
        <v>15.95</v>
      </c>
      <c r="AE3579" s="15">
        <v>35</v>
      </c>
      <c r="AF3579" s="15">
        <f>AE3579*AG3579</f>
        <v>35</v>
      </c>
      <c r="AG3579" s="16">
        <v>1</v>
      </c>
    </row>
    <row r="3580" spans="1:33" ht="15" customHeight="1" x14ac:dyDescent="0.2">
      <c r="A3580" s="11" t="str">
        <f t="shared" ref="A3580:A3582" si="1234">HYPERLINK("https://assets.vans.eu/images/VN000RCEYB2-HERO/1","VN000RCEYB21")</f>
        <v>VN000RCEYB21</v>
      </c>
      <c r="B3580" s="12" t="s">
        <v>12855</v>
      </c>
      <c r="C3580" s="12" t="s">
        <v>1142</v>
      </c>
      <c r="D3580" s="12" t="s">
        <v>1138</v>
      </c>
      <c r="E3580" s="12" t="s">
        <v>12856</v>
      </c>
      <c r="F3580" s="12" t="s">
        <v>179</v>
      </c>
      <c r="G3580" s="14"/>
      <c r="H3580" s="12" t="s">
        <v>61</v>
      </c>
      <c r="I3580" s="12" t="s">
        <v>289</v>
      </c>
      <c r="J3580" s="12" t="s">
        <v>706</v>
      </c>
      <c r="K3580" s="12" t="s">
        <v>100</v>
      </c>
      <c r="L3580" s="12" t="s">
        <v>83</v>
      </c>
      <c r="M3580" s="12" t="s">
        <v>43</v>
      </c>
      <c r="N3580" s="12" t="s">
        <v>84</v>
      </c>
      <c r="O3580" s="12" t="s">
        <v>12857</v>
      </c>
      <c r="P3580" s="12" t="s">
        <v>66</v>
      </c>
      <c r="Q3580" s="12" t="s">
        <v>67</v>
      </c>
      <c r="R3580" s="12" t="s">
        <v>1146</v>
      </c>
      <c r="S3580" s="13">
        <v>197804297771</v>
      </c>
      <c r="T3580" s="12" t="s">
        <v>69</v>
      </c>
      <c r="U3580" s="12" t="s">
        <v>179</v>
      </c>
      <c r="V3580" s="12" t="s">
        <v>423</v>
      </c>
      <c r="W3580" s="12" t="s">
        <v>175</v>
      </c>
      <c r="X3580" s="14"/>
      <c r="Y3580" s="14"/>
      <c r="Z3580" s="14"/>
      <c r="AA3580" s="14"/>
      <c r="AB3580" s="14"/>
      <c r="AC3580" s="15">
        <v>15.95</v>
      </c>
      <c r="AD3580" s="15">
        <f>AC3580*AG3580</f>
        <v>15.95</v>
      </c>
      <c r="AE3580" s="15">
        <v>35</v>
      </c>
      <c r="AF3580" s="15">
        <f>AE3580*AG3580</f>
        <v>35</v>
      </c>
      <c r="AG3580" s="16">
        <v>1</v>
      </c>
    </row>
    <row r="3581" spans="1:33" ht="15" customHeight="1" x14ac:dyDescent="0.2">
      <c r="A3581" s="11" t="str">
        <f t="shared" si="1234"/>
        <v>VN000RCEYB21</v>
      </c>
      <c r="B3581" s="12" t="s">
        <v>12858</v>
      </c>
      <c r="C3581" s="12" t="s">
        <v>1142</v>
      </c>
      <c r="D3581" s="12" t="s">
        <v>1138</v>
      </c>
      <c r="E3581" s="12" t="s">
        <v>12859</v>
      </c>
      <c r="F3581" s="12" t="s">
        <v>403</v>
      </c>
      <c r="G3581" s="14"/>
      <c r="H3581" s="12" t="s">
        <v>61</v>
      </c>
      <c r="I3581" s="12" t="s">
        <v>289</v>
      </c>
      <c r="J3581" s="12" t="s">
        <v>706</v>
      </c>
      <c r="K3581" s="12" t="s">
        <v>100</v>
      </c>
      <c r="L3581" s="12" t="s">
        <v>83</v>
      </c>
      <c r="M3581" s="12" t="s">
        <v>43</v>
      </c>
      <c r="N3581" s="12" t="s">
        <v>84</v>
      </c>
      <c r="O3581" s="12" t="s">
        <v>12860</v>
      </c>
      <c r="P3581" s="12" t="s">
        <v>66</v>
      </c>
      <c r="Q3581" s="12" t="s">
        <v>67</v>
      </c>
      <c r="R3581" s="12" t="s">
        <v>1146</v>
      </c>
      <c r="S3581" s="13">
        <v>197804298204</v>
      </c>
      <c r="T3581" s="12" t="s">
        <v>69</v>
      </c>
      <c r="U3581" s="12" t="s">
        <v>403</v>
      </c>
      <c r="V3581" s="12" t="s">
        <v>423</v>
      </c>
      <c r="W3581" s="12" t="s">
        <v>175</v>
      </c>
      <c r="X3581" s="14"/>
      <c r="Y3581" s="14"/>
      <c r="Z3581" s="14"/>
      <c r="AA3581" s="14"/>
      <c r="AB3581" s="14"/>
      <c r="AC3581" s="15">
        <v>15.95</v>
      </c>
      <c r="AD3581" s="15">
        <f>AC3581*AG3581</f>
        <v>15.95</v>
      </c>
      <c r="AE3581" s="15">
        <v>35</v>
      </c>
      <c r="AF3581" s="15">
        <f>AE3581*AG3581</f>
        <v>35</v>
      </c>
      <c r="AG3581" s="16">
        <v>1</v>
      </c>
    </row>
    <row r="3582" spans="1:33" ht="15" customHeight="1" x14ac:dyDescent="0.2">
      <c r="A3582" s="11" t="str">
        <f t="shared" si="1234"/>
        <v>VN000RCEYB21</v>
      </c>
      <c r="B3582" s="12" t="s">
        <v>12861</v>
      </c>
      <c r="C3582" s="12" t="s">
        <v>1142</v>
      </c>
      <c r="D3582" s="12" t="s">
        <v>1138</v>
      </c>
      <c r="E3582" s="12" t="s">
        <v>12862</v>
      </c>
      <c r="F3582" s="12" t="s">
        <v>153</v>
      </c>
      <c r="G3582" s="14"/>
      <c r="H3582" s="12" t="s">
        <v>61</v>
      </c>
      <c r="I3582" s="12" t="s">
        <v>289</v>
      </c>
      <c r="J3582" s="12" t="s">
        <v>706</v>
      </c>
      <c r="K3582" s="12" t="s">
        <v>100</v>
      </c>
      <c r="L3582" s="12" t="s">
        <v>83</v>
      </c>
      <c r="M3582" s="12" t="s">
        <v>43</v>
      </c>
      <c r="N3582" s="12" t="s">
        <v>84</v>
      </c>
      <c r="O3582" s="12" t="s">
        <v>12863</v>
      </c>
      <c r="P3582" s="12" t="s">
        <v>66</v>
      </c>
      <c r="Q3582" s="12" t="s">
        <v>67</v>
      </c>
      <c r="R3582" s="12" t="s">
        <v>1146</v>
      </c>
      <c r="S3582" s="13">
        <v>197804298433</v>
      </c>
      <c r="T3582" s="12" t="s">
        <v>69</v>
      </c>
      <c r="U3582" s="12" t="s">
        <v>153</v>
      </c>
      <c r="V3582" s="12" t="s">
        <v>423</v>
      </c>
      <c r="W3582" s="12" t="s">
        <v>175</v>
      </c>
      <c r="X3582" s="14"/>
      <c r="Y3582" s="14"/>
      <c r="Z3582" s="14"/>
      <c r="AA3582" s="14"/>
      <c r="AB3582" s="14"/>
      <c r="AC3582" s="15">
        <v>15.95</v>
      </c>
      <c r="AD3582" s="15">
        <f>AC3582*AG3582</f>
        <v>15.95</v>
      </c>
      <c r="AE3582" s="15">
        <v>35</v>
      </c>
      <c r="AF3582" s="15">
        <f>AE3582*AG3582</f>
        <v>35</v>
      </c>
      <c r="AG3582" s="16">
        <v>1</v>
      </c>
    </row>
    <row r="3583" spans="1:33" ht="15" customHeight="1" x14ac:dyDescent="0.2">
      <c r="A3583" s="11" t="str">
        <f t="shared" si="956"/>
        <v>VN000RD1O321</v>
      </c>
      <c r="B3583" s="12" t="s">
        <v>12864</v>
      </c>
      <c r="C3583" s="12" t="s">
        <v>4260</v>
      </c>
      <c r="D3583" s="12" t="s">
        <v>4815</v>
      </c>
      <c r="E3583" s="12" t="s">
        <v>12865</v>
      </c>
      <c r="F3583" s="12" t="s">
        <v>621</v>
      </c>
      <c r="G3583" s="14"/>
      <c r="H3583" s="12" t="s">
        <v>61</v>
      </c>
      <c r="I3583" s="12" t="s">
        <v>289</v>
      </c>
      <c r="J3583" s="12" t="s">
        <v>706</v>
      </c>
      <c r="K3583" s="12" t="s">
        <v>100</v>
      </c>
      <c r="L3583" s="12" t="s">
        <v>83</v>
      </c>
      <c r="M3583" s="12" t="s">
        <v>43</v>
      </c>
      <c r="N3583" s="12" t="s">
        <v>84</v>
      </c>
      <c r="O3583" s="12" t="s">
        <v>12866</v>
      </c>
      <c r="P3583" s="12" t="s">
        <v>66</v>
      </c>
      <c r="Q3583" s="12" t="s">
        <v>67</v>
      </c>
      <c r="R3583" s="12" t="s">
        <v>1146</v>
      </c>
      <c r="S3583" s="13">
        <v>197804298693</v>
      </c>
      <c r="T3583" s="12" t="s">
        <v>422</v>
      </c>
      <c r="U3583" s="12" t="s">
        <v>621</v>
      </c>
      <c r="V3583" s="12" t="s">
        <v>2556</v>
      </c>
      <c r="W3583" s="12" t="s">
        <v>299</v>
      </c>
      <c r="X3583" s="14"/>
      <c r="Y3583" s="14"/>
      <c r="Z3583" s="14"/>
      <c r="AA3583" s="14"/>
      <c r="AB3583" s="14"/>
      <c r="AC3583" s="15">
        <v>15.95</v>
      </c>
      <c r="AD3583" s="15">
        <f>AC3583*AG3583</f>
        <v>15.95</v>
      </c>
      <c r="AE3583" s="15">
        <v>35</v>
      </c>
      <c r="AF3583" s="15">
        <f>AE3583*AG3583</f>
        <v>35</v>
      </c>
      <c r="AG3583" s="16">
        <v>1</v>
      </c>
    </row>
    <row r="3584" spans="1:33" ht="15" customHeight="1" x14ac:dyDescent="0.2">
      <c r="A3584" s="11" t="str">
        <f t="shared" si="957"/>
        <v>VN000RD4EMP1</v>
      </c>
      <c r="B3584" s="12" t="s">
        <v>12867</v>
      </c>
      <c r="C3584" s="12" t="s">
        <v>431</v>
      </c>
      <c r="D3584" s="12" t="s">
        <v>704</v>
      </c>
      <c r="E3584" s="12" t="s">
        <v>12868</v>
      </c>
      <c r="F3584" s="12" t="s">
        <v>179</v>
      </c>
      <c r="G3584" s="14"/>
      <c r="H3584" s="12" t="s">
        <v>61</v>
      </c>
      <c r="I3584" s="12" t="s">
        <v>230</v>
      </c>
      <c r="J3584" s="12" t="s">
        <v>419</v>
      </c>
      <c r="K3584" s="12" t="s">
        <v>199</v>
      </c>
      <c r="L3584" s="12" t="s">
        <v>83</v>
      </c>
      <c r="M3584" s="12" t="s">
        <v>43</v>
      </c>
      <c r="N3584" s="12" t="s">
        <v>84</v>
      </c>
      <c r="O3584" s="12" t="s">
        <v>12869</v>
      </c>
      <c r="P3584" s="12" t="s">
        <v>66</v>
      </c>
      <c r="Q3584" s="12" t="s">
        <v>67</v>
      </c>
      <c r="R3584" s="12" t="s">
        <v>421</v>
      </c>
      <c r="S3584" s="13">
        <v>197804326266</v>
      </c>
      <c r="T3584" s="12" t="s">
        <v>422</v>
      </c>
      <c r="U3584" s="12" t="s">
        <v>179</v>
      </c>
      <c r="V3584" s="12" t="s">
        <v>423</v>
      </c>
      <c r="W3584" s="12" t="s">
        <v>186</v>
      </c>
      <c r="X3584" s="14"/>
      <c r="Y3584" s="14"/>
      <c r="Z3584" s="14"/>
      <c r="AA3584" s="14"/>
      <c r="AB3584" s="14"/>
      <c r="AC3584" s="15">
        <v>18.2</v>
      </c>
      <c r="AD3584" s="15">
        <f>AC3584*AG3584</f>
        <v>18.2</v>
      </c>
      <c r="AE3584" s="15">
        <v>40</v>
      </c>
      <c r="AF3584" s="15">
        <f>AE3584*AG3584</f>
        <v>40</v>
      </c>
      <c r="AG3584" s="16">
        <v>1</v>
      </c>
    </row>
    <row r="3585" spans="1:33" ht="15" customHeight="1" x14ac:dyDescent="0.2">
      <c r="A3585" s="11" t="str">
        <f t="shared" ref="A3585:A3587" si="1235">HYPERLINK("https://assets.vans.eu/images/VN000RD4EMP-HERO/1","VN000RD4EMP1")</f>
        <v>VN000RD4EMP1</v>
      </c>
      <c r="B3585" s="12" t="s">
        <v>12870</v>
      </c>
      <c r="C3585" s="12" t="s">
        <v>431</v>
      </c>
      <c r="D3585" s="12" t="s">
        <v>704</v>
      </c>
      <c r="E3585" s="12" t="s">
        <v>12871</v>
      </c>
      <c r="F3585" s="12" t="s">
        <v>403</v>
      </c>
      <c r="G3585" s="14"/>
      <c r="H3585" s="12" t="s">
        <v>61</v>
      </c>
      <c r="I3585" s="12" t="s">
        <v>230</v>
      </c>
      <c r="J3585" s="12" t="s">
        <v>419</v>
      </c>
      <c r="K3585" s="12" t="s">
        <v>199</v>
      </c>
      <c r="L3585" s="12" t="s">
        <v>83</v>
      </c>
      <c r="M3585" s="12" t="s">
        <v>43</v>
      </c>
      <c r="N3585" s="12" t="s">
        <v>84</v>
      </c>
      <c r="O3585" s="12" t="s">
        <v>12872</v>
      </c>
      <c r="P3585" s="12" t="s">
        <v>66</v>
      </c>
      <c r="Q3585" s="12" t="s">
        <v>67</v>
      </c>
      <c r="R3585" s="12" t="s">
        <v>421</v>
      </c>
      <c r="S3585" s="13">
        <v>197804326389</v>
      </c>
      <c r="T3585" s="12" t="s">
        <v>422</v>
      </c>
      <c r="U3585" s="12" t="s">
        <v>403</v>
      </c>
      <c r="V3585" s="12" t="s">
        <v>423</v>
      </c>
      <c r="W3585" s="12" t="s">
        <v>186</v>
      </c>
      <c r="X3585" s="14"/>
      <c r="Y3585" s="14"/>
      <c r="Z3585" s="14"/>
      <c r="AA3585" s="14"/>
      <c r="AB3585" s="14"/>
      <c r="AC3585" s="15">
        <v>18.2</v>
      </c>
      <c r="AD3585" s="15">
        <f>AC3585*AG3585</f>
        <v>18.2</v>
      </c>
      <c r="AE3585" s="15">
        <v>40</v>
      </c>
      <c r="AF3585" s="15">
        <f>AE3585*AG3585</f>
        <v>40</v>
      </c>
      <c r="AG3585" s="16">
        <v>1</v>
      </c>
    </row>
    <row r="3586" spans="1:33" ht="15" customHeight="1" x14ac:dyDescent="0.2">
      <c r="A3586" s="11" t="str">
        <f t="shared" si="1235"/>
        <v>VN000RD4EMP1</v>
      </c>
      <c r="B3586" s="12" t="s">
        <v>12873</v>
      </c>
      <c r="C3586" s="12" t="s">
        <v>431</v>
      </c>
      <c r="D3586" s="12" t="s">
        <v>704</v>
      </c>
      <c r="E3586" s="12" t="s">
        <v>12874</v>
      </c>
      <c r="F3586" s="12" t="s">
        <v>60</v>
      </c>
      <c r="G3586" s="14"/>
      <c r="H3586" s="12" t="s">
        <v>61</v>
      </c>
      <c r="I3586" s="12" t="s">
        <v>230</v>
      </c>
      <c r="J3586" s="12" t="s">
        <v>419</v>
      </c>
      <c r="K3586" s="12" t="s">
        <v>199</v>
      </c>
      <c r="L3586" s="12" t="s">
        <v>83</v>
      </c>
      <c r="M3586" s="12" t="s">
        <v>43</v>
      </c>
      <c r="N3586" s="12" t="s">
        <v>84</v>
      </c>
      <c r="O3586" s="12" t="s">
        <v>12875</v>
      </c>
      <c r="P3586" s="12" t="s">
        <v>66</v>
      </c>
      <c r="Q3586" s="12" t="s">
        <v>67</v>
      </c>
      <c r="R3586" s="12" t="s">
        <v>421</v>
      </c>
      <c r="S3586" s="13">
        <v>197804326631</v>
      </c>
      <c r="T3586" s="12" t="s">
        <v>422</v>
      </c>
      <c r="U3586" s="12" t="s">
        <v>60</v>
      </c>
      <c r="V3586" s="12" t="s">
        <v>423</v>
      </c>
      <c r="W3586" s="12" t="s">
        <v>186</v>
      </c>
      <c r="X3586" s="14"/>
      <c r="Y3586" s="14"/>
      <c r="Z3586" s="14"/>
      <c r="AA3586" s="14"/>
      <c r="AB3586" s="14"/>
      <c r="AC3586" s="15">
        <v>18.2</v>
      </c>
      <c r="AD3586" s="15">
        <f>AC3586*AG3586</f>
        <v>18.2</v>
      </c>
      <c r="AE3586" s="15">
        <v>40</v>
      </c>
      <c r="AF3586" s="15">
        <f>AE3586*AG3586</f>
        <v>40</v>
      </c>
      <c r="AG3586" s="16">
        <v>1</v>
      </c>
    </row>
    <row r="3587" spans="1:33" ht="15" customHeight="1" x14ac:dyDescent="0.2">
      <c r="A3587" s="11" t="str">
        <f t="shared" si="1235"/>
        <v>VN000RD4EMP1</v>
      </c>
      <c r="B3587" s="12" t="s">
        <v>12876</v>
      </c>
      <c r="C3587" s="12" t="s">
        <v>431</v>
      </c>
      <c r="D3587" s="12" t="s">
        <v>704</v>
      </c>
      <c r="E3587" s="12" t="s">
        <v>12877</v>
      </c>
      <c r="F3587" s="12" t="s">
        <v>153</v>
      </c>
      <c r="G3587" s="14"/>
      <c r="H3587" s="12" t="s">
        <v>61</v>
      </c>
      <c r="I3587" s="12" t="s">
        <v>230</v>
      </c>
      <c r="J3587" s="12" t="s">
        <v>419</v>
      </c>
      <c r="K3587" s="12" t="s">
        <v>199</v>
      </c>
      <c r="L3587" s="12" t="s">
        <v>83</v>
      </c>
      <c r="M3587" s="12" t="s">
        <v>43</v>
      </c>
      <c r="N3587" s="12" t="s">
        <v>84</v>
      </c>
      <c r="O3587" s="12" t="s">
        <v>12878</v>
      </c>
      <c r="P3587" s="12" t="s">
        <v>66</v>
      </c>
      <c r="Q3587" s="12" t="s">
        <v>67</v>
      </c>
      <c r="R3587" s="12" t="s">
        <v>421</v>
      </c>
      <c r="S3587" s="13">
        <v>197804326693</v>
      </c>
      <c r="T3587" s="12" t="s">
        <v>422</v>
      </c>
      <c r="U3587" s="12" t="s">
        <v>153</v>
      </c>
      <c r="V3587" s="12" t="s">
        <v>423</v>
      </c>
      <c r="W3587" s="12" t="s">
        <v>186</v>
      </c>
      <c r="X3587" s="14"/>
      <c r="Y3587" s="14"/>
      <c r="Z3587" s="14"/>
      <c r="AA3587" s="14"/>
      <c r="AB3587" s="14"/>
      <c r="AC3587" s="15">
        <v>18.2</v>
      </c>
      <c r="AD3587" s="15">
        <f>AC3587*AG3587</f>
        <v>18.2</v>
      </c>
      <c r="AE3587" s="15">
        <v>40</v>
      </c>
      <c r="AF3587" s="15">
        <f>AE3587*AG3587</f>
        <v>40</v>
      </c>
      <c r="AG3587" s="16">
        <v>1</v>
      </c>
    </row>
    <row r="3588" spans="1:33" ht="15" customHeight="1" x14ac:dyDescent="0.2">
      <c r="A3588" s="11" t="str">
        <f t="shared" ref="A3588:A3590" si="1236">HYPERLINK("https://assets.vans.eu/images/VN000RD4EN9-HERO/1","VN000RD4EN91")</f>
        <v>VN000RD4EN91</v>
      </c>
      <c r="B3588" s="12" t="s">
        <v>12879</v>
      </c>
      <c r="C3588" s="12" t="s">
        <v>431</v>
      </c>
      <c r="D3588" s="12" t="s">
        <v>982</v>
      </c>
      <c r="E3588" s="12" t="s">
        <v>12880</v>
      </c>
      <c r="F3588" s="12" t="s">
        <v>403</v>
      </c>
      <c r="G3588" s="14"/>
      <c r="H3588" s="12" t="s">
        <v>61</v>
      </c>
      <c r="I3588" s="12" t="s">
        <v>230</v>
      </c>
      <c r="J3588" s="12" t="s">
        <v>419</v>
      </c>
      <c r="K3588" s="12" t="s">
        <v>199</v>
      </c>
      <c r="L3588" s="12" t="s">
        <v>83</v>
      </c>
      <c r="M3588" s="12" t="s">
        <v>43</v>
      </c>
      <c r="N3588" s="12" t="s">
        <v>84</v>
      </c>
      <c r="O3588" s="12" t="s">
        <v>12881</v>
      </c>
      <c r="P3588" s="12" t="s">
        <v>66</v>
      </c>
      <c r="Q3588" s="12" t="s">
        <v>67</v>
      </c>
      <c r="R3588" s="12" t="s">
        <v>421</v>
      </c>
      <c r="S3588" s="13">
        <v>197804326648</v>
      </c>
      <c r="T3588" s="12" t="s">
        <v>422</v>
      </c>
      <c r="U3588" s="12" t="s">
        <v>403</v>
      </c>
      <c r="V3588" s="12" t="s">
        <v>423</v>
      </c>
      <c r="W3588" s="12" t="s">
        <v>455</v>
      </c>
      <c r="X3588" s="14"/>
      <c r="Y3588" s="14"/>
      <c r="Z3588" s="14"/>
      <c r="AA3588" s="14"/>
      <c r="AB3588" s="14"/>
      <c r="AC3588" s="15">
        <v>18.2</v>
      </c>
      <c r="AD3588" s="15">
        <f>AC3588*AG3588</f>
        <v>18.2</v>
      </c>
      <c r="AE3588" s="15">
        <v>40</v>
      </c>
      <c r="AF3588" s="15">
        <f>AE3588*AG3588</f>
        <v>40</v>
      </c>
      <c r="AG3588" s="16">
        <v>1</v>
      </c>
    </row>
    <row r="3589" spans="1:33" ht="15" customHeight="1" x14ac:dyDescent="0.2">
      <c r="A3589" s="11" t="str">
        <f t="shared" si="1236"/>
        <v>VN000RD4EN91</v>
      </c>
      <c r="B3589" s="12" t="s">
        <v>12882</v>
      </c>
      <c r="C3589" s="12" t="s">
        <v>431</v>
      </c>
      <c r="D3589" s="12" t="s">
        <v>982</v>
      </c>
      <c r="E3589" s="12" t="s">
        <v>12883</v>
      </c>
      <c r="F3589" s="12" t="s">
        <v>60</v>
      </c>
      <c r="G3589" s="14"/>
      <c r="H3589" s="12" t="s">
        <v>61</v>
      </c>
      <c r="I3589" s="12" t="s">
        <v>230</v>
      </c>
      <c r="J3589" s="12" t="s">
        <v>419</v>
      </c>
      <c r="K3589" s="12" t="s">
        <v>199</v>
      </c>
      <c r="L3589" s="12" t="s">
        <v>83</v>
      </c>
      <c r="M3589" s="12" t="s">
        <v>43</v>
      </c>
      <c r="N3589" s="12" t="s">
        <v>84</v>
      </c>
      <c r="O3589" s="12" t="s">
        <v>12884</v>
      </c>
      <c r="P3589" s="12" t="s">
        <v>66</v>
      </c>
      <c r="Q3589" s="12" t="s">
        <v>67</v>
      </c>
      <c r="R3589" s="12" t="s">
        <v>421</v>
      </c>
      <c r="S3589" s="13">
        <v>197804326907</v>
      </c>
      <c r="T3589" s="12" t="s">
        <v>422</v>
      </c>
      <c r="U3589" s="12" t="s">
        <v>60</v>
      </c>
      <c r="V3589" s="12" t="s">
        <v>423</v>
      </c>
      <c r="W3589" s="12" t="s">
        <v>455</v>
      </c>
      <c r="X3589" s="14"/>
      <c r="Y3589" s="14"/>
      <c r="Z3589" s="14"/>
      <c r="AA3589" s="14"/>
      <c r="AB3589" s="14"/>
      <c r="AC3589" s="15">
        <v>18.2</v>
      </c>
      <c r="AD3589" s="15">
        <f>AC3589*AG3589</f>
        <v>18.2</v>
      </c>
      <c r="AE3589" s="15">
        <v>40</v>
      </c>
      <c r="AF3589" s="15">
        <f>AE3589*AG3589</f>
        <v>40</v>
      </c>
      <c r="AG3589" s="16">
        <v>1</v>
      </c>
    </row>
    <row r="3590" spans="1:33" ht="15" customHeight="1" x14ac:dyDescent="0.2">
      <c r="A3590" s="11" t="str">
        <f t="shared" si="1236"/>
        <v>VN000RD4EN91</v>
      </c>
      <c r="B3590" s="12" t="s">
        <v>12885</v>
      </c>
      <c r="C3590" s="12" t="s">
        <v>431</v>
      </c>
      <c r="D3590" s="12" t="s">
        <v>982</v>
      </c>
      <c r="E3590" s="12" t="s">
        <v>12886</v>
      </c>
      <c r="F3590" s="12" t="s">
        <v>153</v>
      </c>
      <c r="G3590" s="14"/>
      <c r="H3590" s="12" t="s">
        <v>61</v>
      </c>
      <c r="I3590" s="12" t="s">
        <v>230</v>
      </c>
      <c r="J3590" s="12" t="s">
        <v>419</v>
      </c>
      <c r="K3590" s="12" t="s">
        <v>199</v>
      </c>
      <c r="L3590" s="12" t="s">
        <v>83</v>
      </c>
      <c r="M3590" s="12" t="s">
        <v>43</v>
      </c>
      <c r="N3590" s="12" t="s">
        <v>84</v>
      </c>
      <c r="O3590" s="12" t="s">
        <v>12887</v>
      </c>
      <c r="P3590" s="12" t="s">
        <v>66</v>
      </c>
      <c r="Q3590" s="12" t="s">
        <v>67</v>
      </c>
      <c r="R3590" s="12" t="s">
        <v>421</v>
      </c>
      <c r="S3590" s="13">
        <v>197804326976</v>
      </c>
      <c r="T3590" s="12" t="s">
        <v>422</v>
      </c>
      <c r="U3590" s="12" t="s">
        <v>153</v>
      </c>
      <c r="V3590" s="12" t="s">
        <v>423</v>
      </c>
      <c r="W3590" s="12" t="s">
        <v>455</v>
      </c>
      <c r="X3590" s="14"/>
      <c r="Y3590" s="14"/>
      <c r="Z3590" s="14"/>
      <c r="AA3590" s="14"/>
      <c r="AB3590" s="14"/>
      <c r="AC3590" s="15">
        <v>18.2</v>
      </c>
      <c r="AD3590" s="15">
        <f>AC3590*AG3590</f>
        <v>18.2</v>
      </c>
      <c r="AE3590" s="15">
        <v>40</v>
      </c>
      <c r="AF3590" s="15">
        <f>AE3590*AG3590</f>
        <v>40</v>
      </c>
      <c r="AG3590" s="16">
        <v>1</v>
      </c>
    </row>
    <row r="3591" spans="1:33" ht="15" customHeight="1" x14ac:dyDescent="0.2">
      <c r="A3591" s="11" t="str">
        <f t="shared" si="270"/>
        <v>VN000RD5EMP1</v>
      </c>
      <c r="B3591" s="12" t="s">
        <v>12888</v>
      </c>
      <c r="C3591" s="12" t="s">
        <v>2752</v>
      </c>
      <c r="D3591" s="12" t="s">
        <v>704</v>
      </c>
      <c r="E3591" s="12" t="s">
        <v>12889</v>
      </c>
      <c r="F3591" s="12" t="s">
        <v>153</v>
      </c>
      <c r="G3591" s="14"/>
      <c r="H3591" s="12" t="s">
        <v>61</v>
      </c>
      <c r="I3591" s="12" t="s">
        <v>230</v>
      </c>
      <c r="J3591" s="12" t="s">
        <v>419</v>
      </c>
      <c r="K3591" s="12" t="s">
        <v>199</v>
      </c>
      <c r="L3591" s="12" t="s">
        <v>83</v>
      </c>
      <c r="M3591" s="12" t="s">
        <v>43</v>
      </c>
      <c r="N3591" s="12" t="s">
        <v>84</v>
      </c>
      <c r="O3591" s="12" t="s">
        <v>12890</v>
      </c>
      <c r="P3591" s="12" t="s">
        <v>66</v>
      </c>
      <c r="Q3591" s="12" t="s">
        <v>67</v>
      </c>
      <c r="R3591" s="12" t="s">
        <v>623</v>
      </c>
      <c r="S3591" s="13">
        <v>197804326914</v>
      </c>
      <c r="T3591" s="12" t="s">
        <v>69</v>
      </c>
      <c r="U3591" s="12" t="s">
        <v>153</v>
      </c>
      <c r="V3591" s="12" t="s">
        <v>70</v>
      </c>
      <c r="W3591" s="12" t="s">
        <v>186</v>
      </c>
      <c r="X3591" s="14"/>
      <c r="Y3591" s="14"/>
      <c r="Z3591" s="14"/>
      <c r="AA3591" s="14"/>
      <c r="AB3591" s="14"/>
      <c r="AC3591" s="15">
        <v>38.65</v>
      </c>
      <c r="AD3591" s="15">
        <f>AC3591*AG3591</f>
        <v>38.65</v>
      </c>
      <c r="AE3591" s="15">
        <v>85</v>
      </c>
      <c r="AF3591" s="15">
        <f>AE3591*AG3591</f>
        <v>85</v>
      </c>
      <c r="AG3591" s="16">
        <v>1</v>
      </c>
    </row>
    <row r="3592" spans="1:33" ht="15" customHeight="1" x14ac:dyDescent="0.2">
      <c r="A3592" s="11" t="str">
        <f>HYPERLINK("https://assets.vans.eu/images/VN000REFWHT-HERO/1","VN000REFWHT1")</f>
        <v>VN000REFWHT1</v>
      </c>
      <c r="B3592" s="12" t="s">
        <v>12891</v>
      </c>
      <c r="C3592" s="12" t="s">
        <v>2392</v>
      </c>
      <c r="D3592" s="12" t="s">
        <v>168</v>
      </c>
      <c r="E3592" s="12" t="s">
        <v>12892</v>
      </c>
      <c r="F3592" s="12" t="s">
        <v>138</v>
      </c>
      <c r="G3592" s="14"/>
      <c r="H3592" s="12" t="s">
        <v>61</v>
      </c>
      <c r="I3592" s="12" t="s">
        <v>289</v>
      </c>
      <c r="J3592" s="12" t="s">
        <v>706</v>
      </c>
      <c r="K3592" s="12" t="s">
        <v>100</v>
      </c>
      <c r="L3592" s="12" t="s">
        <v>83</v>
      </c>
      <c r="M3592" s="12" t="s">
        <v>43</v>
      </c>
      <c r="N3592" s="12" t="s">
        <v>84</v>
      </c>
      <c r="O3592" s="12" t="s">
        <v>12893</v>
      </c>
      <c r="P3592" s="12" t="s">
        <v>66</v>
      </c>
      <c r="Q3592" s="12" t="s">
        <v>67</v>
      </c>
      <c r="R3592" s="12" t="s">
        <v>1146</v>
      </c>
      <c r="S3592" s="13">
        <v>197804299393</v>
      </c>
      <c r="T3592" s="12" t="s">
        <v>422</v>
      </c>
      <c r="U3592" s="12" t="s">
        <v>138</v>
      </c>
      <c r="V3592" s="12" t="s">
        <v>423</v>
      </c>
      <c r="W3592" s="12" t="s">
        <v>175</v>
      </c>
      <c r="X3592" s="14"/>
      <c r="Y3592" s="14"/>
      <c r="Z3592" s="14"/>
      <c r="AA3592" s="14"/>
      <c r="AB3592" s="14"/>
      <c r="AC3592" s="15">
        <v>18.2</v>
      </c>
      <c r="AD3592" s="15">
        <f>AC3592*AG3592</f>
        <v>18.2</v>
      </c>
      <c r="AE3592" s="15">
        <v>40</v>
      </c>
      <c r="AF3592" s="15">
        <f>AE3592*AG3592</f>
        <v>40</v>
      </c>
      <c r="AG3592" s="16">
        <v>1</v>
      </c>
    </row>
    <row r="3593" spans="1:33" ht="15" customHeight="1" x14ac:dyDescent="0.2">
      <c r="A3593" s="11" t="str">
        <f t="shared" si="959"/>
        <v>VN000REMBLK1</v>
      </c>
      <c r="B3593" s="12" t="s">
        <v>12894</v>
      </c>
      <c r="C3593" s="12" t="s">
        <v>3207</v>
      </c>
      <c r="D3593" s="12" t="s">
        <v>76</v>
      </c>
      <c r="E3593" s="12" t="s">
        <v>12895</v>
      </c>
      <c r="F3593" s="12" t="s">
        <v>60</v>
      </c>
      <c r="G3593" s="14"/>
      <c r="H3593" s="12" t="s">
        <v>61</v>
      </c>
      <c r="I3593" s="12" t="s">
        <v>289</v>
      </c>
      <c r="J3593" s="12" t="s">
        <v>706</v>
      </c>
      <c r="K3593" s="12" t="s">
        <v>100</v>
      </c>
      <c r="L3593" s="12" t="s">
        <v>83</v>
      </c>
      <c r="M3593" s="12" t="s">
        <v>43</v>
      </c>
      <c r="N3593" s="12" t="s">
        <v>84</v>
      </c>
      <c r="O3593" s="12" t="s">
        <v>12896</v>
      </c>
      <c r="P3593" s="12" t="s">
        <v>66</v>
      </c>
      <c r="Q3593" s="12" t="s">
        <v>67</v>
      </c>
      <c r="R3593" s="12" t="s">
        <v>708</v>
      </c>
      <c r="S3593" s="13">
        <v>197804299324</v>
      </c>
      <c r="T3593" s="12" t="s">
        <v>69</v>
      </c>
      <c r="U3593" s="12" t="s">
        <v>60</v>
      </c>
      <c r="V3593" s="12" t="s">
        <v>1386</v>
      </c>
      <c r="W3593" s="12" t="s">
        <v>51</v>
      </c>
      <c r="X3593" s="14"/>
      <c r="Y3593" s="14"/>
      <c r="Z3593" s="14"/>
      <c r="AA3593" s="14"/>
      <c r="AB3593" s="14"/>
      <c r="AC3593" s="15">
        <v>38.65</v>
      </c>
      <c r="AD3593" s="15">
        <f>AC3593*AG3593</f>
        <v>38.65</v>
      </c>
      <c r="AE3593" s="15">
        <v>85</v>
      </c>
      <c r="AF3593" s="15">
        <f>AE3593*AG3593</f>
        <v>85</v>
      </c>
      <c r="AG3593" s="16">
        <v>1</v>
      </c>
    </row>
    <row r="3594" spans="1:33" ht="15" customHeight="1" x14ac:dyDescent="0.2">
      <c r="A3594" s="11" t="str">
        <f>HYPERLINK("https://assets.vans.eu/images/VN000RFR1QI-HERO/1","VN000RFR1QI1")</f>
        <v>VN000RFR1QI1</v>
      </c>
      <c r="B3594" s="12" t="s">
        <v>12897</v>
      </c>
      <c r="C3594" s="12" t="s">
        <v>4825</v>
      </c>
      <c r="D3594" s="12" t="s">
        <v>1592</v>
      </c>
      <c r="E3594" s="12" t="s">
        <v>12898</v>
      </c>
      <c r="F3594" s="12" t="s">
        <v>170</v>
      </c>
      <c r="G3594" s="14"/>
      <c r="H3594" s="12" t="s">
        <v>61</v>
      </c>
      <c r="I3594" s="12" t="s">
        <v>230</v>
      </c>
      <c r="J3594" s="12" t="s">
        <v>419</v>
      </c>
      <c r="K3594" s="12" t="s">
        <v>199</v>
      </c>
      <c r="L3594" s="12" t="s">
        <v>83</v>
      </c>
      <c r="M3594" s="12" t="s">
        <v>43</v>
      </c>
      <c r="N3594" s="12" t="s">
        <v>84</v>
      </c>
      <c r="O3594" s="12" t="s">
        <v>12899</v>
      </c>
      <c r="P3594" s="12" t="s">
        <v>66</v>
      </c>
      <c r="Q3594" s="12" t="s">
        <v>67</v>
      </c>
      <c r="R3594" s="12" t="s">
        <v>623</v>
      </c>
      <c r="S3594" s="13">
        <v>197804327638</v>
      </c>
      <c r="T3594" s="12" t="s">
        <v>69</v>
      </c>
      <c r="U3594" s="12" t="s">
        <v>170</v>
      </c>
      <c r="V3594" s="12" t="s">
        <v>1386</v>
      </c>
      <c r="W3594" s="12" t="s">
        <v>455</v>
      </c>
      <c r="X3594" s="14"/>
      <c r="Y3594" s="14"/>
      <c r="Z3594" s="14"/>
      <c r="AA3594" s="14"/>
      <c r="AB3594" s="14"/>
      <c r="AC3594" s="15">
        <v>50</v>
      </c>
      <c r="AD3594" s="15">
        <f>AC3594*AG3594</f>
        <v>50</v>
      </c>
      <c r="AE3594" s="15">
        <v>110</v>
      </c>
      <c r="AF3594" s="15">
        <f>AE3594*AG3594</f>
        <v>110</v>
      </c>
      <c r="AG3594" s="16">
        <v>1</v>
      </c>
    </row>
    <row r="3595" spans="1:33" ht="15" customHeight="1" x14ac:dyDescent="0.2">
      <c r="A3595" s="11" t="str">
        <f t="shared" si="961"/>
        <v>VN000RFRBLK1</v>
      </c>
      <c r="B3595" s="12" t="s">
        <v>12900</v>
      </c>
      <c r="C3595" s="12" t="s">
        <v>4825</v>
      </c>
      <c r="D3595" s="12" t="s">
        <v>76</v>
      </c>
      <c r="E3595" s="12" t="s">
        <v>12901</v>
      </c>
      <c r="F3595" s="12" t="s">
        <v>153</v>
      </c>
      <c r="G3595" s="14"/>
      <c r="H3595" s="12" t="s">
        <v>61</v>
      </c>
      <c r="I3595" s="12" t="s">
        <v>230</v>
      </c>
      <c r="J3595" s="12" t="s">
        <v>419</v>
      </c>
      <c r="K3595" s="12" t="s">
        <v>199</v>
      </c>
      <c r="L3595" s="12" t="s">
        <v>83</v>
      </c>
      <c r="M3595" s="12" t="s">
        <v>43</v>
      </c>
      <c r="N3595" s="12" t="s">
        <v>84</v>
      </c>
      <c r="O3595" s="12" t="s">
        <v>12902</v>
      </c>
      <c r="P3595" s="12" t="s">
        <v>66</v>
      </c>
      <c r="Q3595" s="12" t="s">
        <v>67</v>
      </c>
      <c r="R3595" s="12" t="s">
        <v>623</v>
      </c>
      <c r="S3595" s="13">
        <v>197804328109</v>
      </c>
      <c r="T3595" s="12" t="s">
        <v>69</v>
      </c>
      <c r="U3595" s="12" t="s">
        <v>153</v>
      </c>
      <c r="V3595" s="12" t="s">
        <v>70</v>
      </c>
      <c r="W3595" s="12" t="s">
        <v>51</v>
      </c>
      <c r="X3595" s="14"/>
      <c r="Y3595" s="14"/>
      <c r="Z3595" s="14"/>
      <c r="AA3595" s="14"/>
      <c r="AB3595" s="14"/>
      <c r="AC3595" s="15">
        <v>50</v>
      </c>
      <c r="AD3595" s="15">
        <f>AC3595*AG3595</f>
        <v>50</v>
      </c>
      <c r="AE3595" s="15">
        <v>110</v>
      </c>
      <c r="AF3595" s="15">
        <f>AE3595*AG3595</f>
        <v>110</v>
      </c>
      <c r="AG3595" s="16">
        <v>1</v>
      </c>
    </row>
    <row r="3596" spans="1:33" ht="15" customHeight="1" x14ac:dyDescent="0.2">
      <c r="A3596" s="11" t="str">
        <f>HYPERLINK("https://assets.vans.eu/images/VN000RFUWHT-HERO/1","VN000RFUWHT1")</f>
        <v>VN000RFUWHT1</v>
      </c>
      <c r="B3596" s="12" t="s">
        <v>12903</v>
      </c>
      <c r="C3596" s="12" t="s">
        <v>3509</v>
      </c>
      <c r="D3596" s="12" t="s">
        <v>168</v>
      </c>
      <c r="E3596" s="12" t="s">
        <v>12904</v>
      </c>
      <c r="F3596" s="12" t="s">
        <v>170</v>
      </c>
      <c r="G3596" s="14"/>
      <c r="H3596" s="12" t="s">
        <v>61</v>
      </c>
      <c r="I3596" s="12" t="s">
        <v>230</v>
      </c>
      <c r="J3596" s="12" t="s">
        <v>419</v>
      </c>
      <c r="K3596" s="12" t="s">
        <v>199</v>
      </c>
      <c r="L3596" s="12" t="s">
        <v>83</v>
      </c>
      <c r="M3596" s="12" t="s">
        <v>43</v>
      </c>
      <c r="N3596" s="12" t="s">
        <v>84</v>
      </c>
      <c r="O3596" s="12" t="s">
        <v>12905</v>
      </c>
      <c r="P3596" s="12" t="s">
        <v>66</v>
      </c>
      <c r="Q3596" s="12" t="s">
        <v>67</v>
      </c>
      <c r="R3596" s="12" t="s">
        <v>421</v>
      </c>
      <c r="S3596" s="13">
        <v>197804327676</v>
      </c>
      <c r="T3596" s="12" t="s">
        <v>422</v>
      </c>
      <c r="U3596" s="12" t="s">
        <v>170</v>
      </c>
      <c r="V3596" s="12" t="s">
        <v>423</v>
      </c>
      <c r="W3596" s="12" t="s">
        <v>175</v>
      </c>
      <c r="X3596" s="14"/>
      <c r="Y3596" s="14"/>
      <c r="Z3596" s="14"/>
      <c r="AA3596" s="14"/>
      <c r="AB3596" s="14"/>
      <c r="AC3596" s="15">
        <v>20.5</v>
      </c>
      <c r="AD3596" s="15">
        <f>AC3596*AG3596</f>
        <v>20.5</v>
      </c>
      <c r="AE3596" s="15">
        <v>45</v>
      </c>
      <c r="AF3596" s="15">
        <f>AE3596*AG3596</f>
        <v>45</v>
      </c>
      <c r="AG3596" s="16">
        <v>1</v>
      </c>
    </row>
    <row r="3597" spans="1:33" ht="15" customHeight="1" x14ac:dyDescent="0.2">
      <c r="A3597" s="11" t="str">
        <f t="shared" si="128"/>
        <v>VN000RG21QI1</v>
      </c>
      <c r="B3597" s="12" t="s">
        <v>12906</v>
      </c>
      <c r="C3597" s="12" t="s">
        <v>1383</v>
      </c>
      <c r="D3597" s="12" t="s">
        <v>1592</v>
      </c>
      <c r="E3597" s="12" t="s">
        <v>12907</v>
      </c>
      <c r="F3597" s="12" t="s">
        <v>153</v>
      </c>
      <c r="G3597" s="14"/>
      <c r="H3597" s="12" t="s">
        <v>61</v>
      </c>
      <c r="I3597" s="12" t="s">
        <v>230</v>
      </c>
      <c r="J3597" s="12" t="s">
        <v>419</v>
      </c>
      <c r="K3597" s="12" t="s">
        <v>199</v>
      </c>
      <c r="L3597" s="12" t="s">
        <v>83</v>
      </c>
      <c r="M3597" s="12" t="s">
        <v>43</v>
      </c>
      <c r="N3597" s="12" t="s">
        <v>84</v>
      </c>
      <c r="O3597" s="12" t="s">
        <v>12908</v>
      </c>
      <c r="P3597" s="12" t="s">
        <v>66</v>
      </c>
      <c r="Q3597" s="12" t="s">
        <v>67</v>
      </c>
      <c r="R3597" s="12" t="s">
        <v>623</v>
      </c>
      <c r="S3597" s="13">
        <v>197804328253</v>
      </c>
      <c r="T3597" s="12" t="s">
        <v>69</v>
      </c>
      <c r="U3597" s="12" t="s">
        <v>153</v>
      </c>
      <c r="V3597" s="12" t="s">
        <v>1386</v>
      </c>
      <c r="W3597" s="12" t="s">
        <v>455</v>
      </c>
      <c r="X3597" s="14"/>
      <c r="Y3597" s="14"/>
      <c r="Z3597" s="14"/>
      <c r="AA3597" s="14"/>
      <c r="AB3597" s="14"/>
      <c r="AC3597" s="15">
        <v>45.5</v>
      </c>
      <c r="AD3597" s="15">
        <f>AC3597*AG3597</f>
        <v>45.5</v>
      </c>
      <c r="AE3597" s="15">
        <v>100</v>
      </c>
      <c r="AF3597" s="15">
        <f>AE3597*AG3597</f>
        <v>100</v>
      </c>
      <c r="AG3597" s="16">
        <v>1</v>
      </c>
    </row>
    <row r="3598" spans="1:33" ht="15" customHeight="1" x14ac:dyDescent="0.2">
      <c r="A3598" s="11" t="str">
        <f t="shared" ref="A3598:A3599" si="1237">HYPERLINK("https://assets.vans.eu/images/VN000RG2BLK-HERO/1","VN000RG2BLK1")</f>
        <v>VN000RG2BLK1</v>
      </c>
      <c r="B3598" s="12" t="s">
        <v>12909</v>
      </c>
      <c r="C3598" s="12" t="s">
        <v>1383</v>
      </c>
      <c r="D3598" s="12" t="s">
        <v>76</v>
      </c>
      <c r="E3598" s="12" t="s">
        <v>12910</v>
      </c>
      <c r="F3598" s="12" t="s">
        <v>60</v>
      </c>
      <c r="G3598" s="14"/>
      <c r="H3598" s="12" t="s">
        <v>61</v>
      </c>
      <c r="I3598" s="12" t="s">
        <v>230</v>
      </c>
      <c r="J3598" s="12" t="s">
        <v>419</v>
      </c>
      <c r="K3598" s="12" t="s">
        <v>199</v>
      </c>
      <c r="L3598" s="12" t="s">
        <v>83</v>
      </c>
      <c r="M3598" s="12" t="s">
        <v>43</v>
      </c>
      <c r="N3598" s="12" t="s">
        <v>84</v>
      </c>
      <c r="O3598" s="12" t="s">
        <v>12911</v>
      </c>
      <c r="P3598" s="12" t="s">
        <v>66</v>
      </c>
      <c r="Q3598" s="12" t="s">
        <v>67</v>
      </c>
      <c r="R3598" s="12" t="s">
        <v>623</v>
      </c>
      <c r="S3598" s="13">
        <v>197804328093</v>
      </c>
      <c r="T3598" s="12" t="s">
        <v>69</v>
      </c>
      <c r="U3598" s="12" t="s">
        <v>60</v>
      </c>
      <c r="V3598" s="12" t="s">
        <v>1386</v>
      </c>
      <c r="W3598" s="12" t="s">
        <v>51</v>
      </c>
      <c r="X3598" s="14"/>
      <c r="Y3598" s="14"/>
      <c r="Z3598" s="14"/>
      <c r="AA3598" s="14"/>
      <c r="AB3598" s="14"/>
      <c r="AC3598" s="15">
        <v>45.5</v>
      </c>
      <c r="AD3598" s="15">
        <f>AC3598*AG3598</f>
        <v>45.5</v>
      </c>
      <c r="AE3598" s="15">
        <v>100</v>
      </c>
      <c r="AF3598" s="15">
        <f>AE3598*AG3598</f>
        <v>100</v>
      </c>
      <c r="AG3598" s="16">
        <v>1</v>
      </c>
    </row>
    <row r="3599" spans="1:33" ht="15" customHeight="1" x14ac:dyDescent="0.2">
      <c r="A3599" s="11" t="str">
        <f t="shared" si="1237"/>
        <v>VN000RG2BLK1</v>
      </c>
      <c r="B3599" s="12" t="s">
        <v>12912</v>
      </c>
      <c r="C3599" s="12" t="s">
        <v>1383</v>
      </c>
      <c r="D3599" s="12" t="s">
        <v>76</v>
      </c>
      <c r="E3599" s="12" t="s">
        <v>12913</v>
      </c>
      <c r="F3599" s="12" t="s">
        <v>153</v>
      </c>
      <c r="G3599" s="14"/>
      <c r="H3599" s="12" t="s">
        <v>61</v>
      </c>
      <c r="I3599" s="12" t="s">
        <v>230</v>
      </c>
      <c r="J3599" s="12" t="s">
        <v>419</v>
      </c>
      <c r="K3599" s="12" t="s">
        <v>199</v>
      </c>
      <c r="L3599" s="12" t="s">
        <v>83</v>
      </c>
      <c r="M3599" s="12" t="s">
        <v>43</v>
      </c>
      <c r="N3599" s="12" t="s">
        <v>84</v>
      </c>
      <c r="O3599" s="12" t="s">
        <v>12914</v>
      </c>
      <c r="P3599" s="12" t="s">
        <v>66</v>
      </c>
      <c r="Q3599" s="12" t="s">
        <v>67</v>
      </c>
      <c r="R3599" s="12" t="s">
        <v>623</v>
      </c>
      <c r="S3599" s="13">
        <v>197804328260</v>
      </c>
      <c r="T3599" s="12" t="s">
        <v>69</v>
      </c>
      <c r="U3599" s="12" t="s">
        <v>153</v>
      </c>
      <c r="V3599" s="12" t="s">
        <v>1386</v>
      </c>
      <c r="W3599" s="12" t="s">
        <v>51</v>
      </c>
      <c r="X3599" s="14"/>
      <c r="Y3599" s="14"/>
      <c r="Z3599" s="14"/>
      <c r="AA3599" s="14"/>
      <c r="AB3599" s="14"/>
      <c r="AC3599" s="15">
        <v>45.5</v>
      </c>
      <c r="AD3599" s="15">
        <f>AC3599*AG3599</f>
        <v>45.5</v>
      </c>
      <c r="AE3599" s="15">
        <v>100</v>
      </c>
      <c r="AF3599" s="15">
        <f>AE3599*AG3599</f>
        <v>100</v>
      </c>
      <c r="AG3599" s="16">
        <v>1</v>
      </c>
    </row>
    <row r="3600" spans="1:33" ht="15" customHeight="1" x14ac:dyDescent="0.2">
      <c r="A3600" s="11" t="str">
        <f>HYPERLINK("https://assets.vans.eu/images/VN000RG44QU-HERO/1","VN000RG44QU1")</f>
        <v>VN000RG44QU1</v>
      </c>
      <c r="B3600" s="12" t="s">
        <v>12915</v>
      </c>
      <c r="C3600" s="12" t="s">
        <v>417</v>
      </c>
      <c r="D3600" s="12" t="s">
        <v>1057</v>
      </c>
      <c r="E3600" s="12" t="s">
        <v>12916</v>
      </c>
      <c r="F3600" s="12" t="s">
        <v>153</v>
      </c>
      <c r="G3600" s="14"/>
      <c r="H3600" s="12" t="s">
        <v>61</v>
      </c>
      <c r="I3600" s="12" t="s">
        <v>230</v>
      </c>
      <c r="J3600" s="12" t="s">
        <v>419</v>
      </c>
      <c r="K3600" s="12" t="s">
        <v>199</v>
      </c>
      <c r="L3600" s="12" t="s">
        <v>83</v>
      </c>
      <c r="M3600" s="12" t="s">
        <v>43</v>
      </c>
      <c r="N3600" s="12" t="s">
        <v>84</v>
      </c>
      <c r="O3600" s="12" t="s">
        <v>12917</v>
      </c>
      <c r="P3600" s="12" t="s">
        <v>66</v>
      </c>
      <c r="Q3600" s="12" t="s">
        <v>67</v>
      </c>
      <c r="R3600" s="12" t="s">
        <v>421</v>
      </c>
      <c r="S3600" s="13">
        <v>197804328352</v>
      </c>
      <c r="T3600" s="12" t="s">
        <v>422</v>
      </c>
      <c r="U3600" s="12" t="s">
        <v>153</v>
      </c>
      <c r="V3600" s="12" t="s">
        <v>423</v>
      </c>
      <c r="W3600" s="12" t="s">
        <v>262</v>
      </c>
      <c r="X3600" s="14"/>
      <c r="Y3600" s="14"/>
      <c r="Z3600" s="14"/>
      <c r="AA3600" s="14"/>
      <c r="AB3600" s="14"/>
      <c r="AC3600" s="15">
        <v>20.5</v>
      </c>
      <c r="AD3600" s="15">
        <f>AC3600*AG3600</f>
        <v>20.5</v>
      </c>
      <c r="AE3600" s="15">
        <v>45</v>
      </c>
      <c r="AF3600" s="15">
        <f>AE3600*AG3600</f>
        <v>45</v>
      </c>
      <c r="AG3600" s="16">
        <v>1</v>
      </c>
    </row>
    <row r="3601" spans="1:33" ht="15" customHeight="1" x14ac:dyDescent="0.2">
      <c r="A3601" s="11" t="str">
        <f t="shared" si="271"/>
        <v>VN000RG4BLK1</v>
      </c>
      <c r="B3601" s="12" t="s">
        <v>12918</v>
      </c>
      <c r="C3601" s="12" t="s">
        <v>417</v>
      </c>
      <c r="D3601" s="12" t="s">
        <v>76</v>
      </c>
      <c r="E3601" s="12" t="s">
        <v>12919</v>
      </c>
      <c r="F3601" s="12" t="s">
        <v>153</v>
      </c>
      <c r="G3601" s="14"/>
      <c r="H3601" s="12" t="s">
        <v>61</v>
      </c>
      <c r="I3601" s="12" t="s">
        <v>230</v>
      </c>
      <c r="J3601" s="12" t="s">
        <v>419</v>
      </c>
      <c r="K3601" s="12" t="s">
        <v>199</v>
      </c>
      <c r="L3601" s="12" t="s">
        <v>83</v>
      </c>
      <c r="M3601" s="12" t="s">
        <v>43</v>
      </c>
      <c r="N3601" s="12" t="s">
        <v>84</v>
      </c>
      <c r="O3601" s="12" t="s">
        <v>12920</v>
      </c>
      <c r="P3601" s="12" t="s">
        <v>66</v>
      </c>
      <c r="Q3601" s="12" t="s">
        <v>67</v>
      </c>
      <c r="R3601" s="12" t="s">
        <v>421</v>
      </c>
      <c r="S3601" s="13">
        <v>197804328369</v>
      </c>
      <c r="T3601" s="12" t="s">
        <v>422</v>
      </c>
      <c r="U3601" s="12" t="s">
        <v>153</v>
      </c>
      <c r="V3601" s="12" t="s">
        <v>423</v>
      </c>
      <c r="W3601" s="12" t="s">
        <v>51</v>
      </c>
      <c r="X3601" s="14"/>
      <c r="Y3601" s="14"/>
      <c r="Z3601" s="14"/>
      <c r="AA3601" s="14"/>
      <c r="AB3601" s="14"/>
      <c r="AC3601" s="15">
        <v>20.5</v>
      </c>
      <c r="AD3601" s="15">
        <f>AC3601*AG3601</f>
        <v>20.5</v>
      </c>
      <c r="AE3601" s="15">
        <v>45</v>
      </c>
      <c r="AF3601" s="15">
        <f>AE3601*AG3601</f>
        <v>45</v>
      </c>
      <c r="AG3601" s="16">
        <v>1</v>
      </c>
    </row>
    <row r="3602" spans="1:33" ht="15" customHeight="1" x14ac:dyDescent="0.2">
      <c r="A3602" s="11" t="str">
        <f t="shared" ref="A3602:A3603" si="1238">HYPERLINK("https://assets.vans.eu/images/VN000RJYPWT-HERO/1","VN000RJYPWT1")</f>
        <v>VN000RJYPWT1</v>
      </c>
      <c r="B3602" s="12" t="s">
        <v>12921</v>
      </c>
      <c r="C3602" s="12" t="s">
        <v>8803</v>
      </c>
      <c r="D3602" s="12" t="s">
        <v>2289</v>
      </c>
      <c r="E3602" s="12" t="s">
        <v>12922</v>
      </c>
      <c r="F3602" s="12" t="s">
        <v>403</v>
      </c>
      <c r="G3602" s="14"/>
      <c r="H3602" s="12" t="s">
        <v>61</v>
      </c>
      <c r="I3602" s="12" t="s">
        <v>230</v>
      </c>
      <c r="J3602" s="12" t="s">
        <v>419</v>
      </c>
      <c r="K3602" s="12" t="s">
        <v>199</v>
      </c>
      <c r="L3602" s="14"/>
      <c r="M3602" s="12" t="s">
        <v>43</v>
      </c>
      <c r="N3602" s="12" t="s">
        <v>84</v>
      </c>
      <c r="O3602" s="12" t="s">
        <v>12923</v>
      </c>
      <c r="P3602" s="12" t="s">
        <v>66</v>
      </c>
      <c r="Q3602" s="12" t="s">
        <v>67</v>
      </c>
      <c r="R3602" s="12" t="s">
        <v>623</v>
      </c>
      <c r="S3602" s="13">
        <v>197804791071</v>
      </c>
      <c r="T3602" s="12" t="s">
        <v>49</v>
      </c>
      <c r="U3602" s="12" t="s">
        <v>403</v>
      </c>
      <c r="V3602" s="12" t="s">
        <v>6664</v>
      </c>
      <c r="W3602" s="12" t="s">
        <v>455</v>
      </c>
      <c r="X3602" s="14"/>
      <c r="Y3602" s="14"/>
      <c r="Z3602" s="14"/>
      <c r="AA3602" s="14"/>
      <c r="AB3602" s="14"/>
      <c r="AC3602" s="15">
        <v>38.65</v>
      </c>
      <c r="AD3602" s="15">
        <f>AC3602*AG3602</f>
        <v>38.65</v>
      </c>
      <c r="AE3602" s="15">
        <v>85</v>
      </c>
      <c r="AF3602" s="15">
        <f>AE3602*AG3602</f>
        <v>85</v>
      </c>
      <c r="AG3602" s="16">
        <v>1</v>
      </c>
    </row>
    <row r="3603" spans="1:33" ht="15" customHeight="1" x14ac:dyDescent="0.2">
      <c r="A3603" s="11" t="str">
        <f t="shared" si="1238"/>
        <v>VN000RJYPWT1</v>
      </c>
      <c r="B3603" s="12" t="s">
        <v>12924</v>
      </c>
      <c r="C3603" s="12" t="s">
        <v>8803</v>
      </c>
      <c r="D3603" s="12" t="s">
        <v>2289</v>
      </c>
      <c r="E3603" s="12" t="s">
        <v>12925</v>
      </c>
      <c r="F3603" s="12" t="s">
        <v>60</v>
      </c>
      <c r="G3603" s="14"/>
      <c r="H3603" s="12" t="s">
        <v>61</v>
      </c>
      <c r="I3603" s="12" t="s">
        <v>230</v>
      </c>
      <c r="J3603" s="12" t="s">
        <v>419</v>
      </c>
      <c r="K3603" s="12" t="s">
        <v>199</v>
      </c>
      <c r="L3603" s="14"/>
      <c r="M3603" s="12" t="s">
        <v>43</v>
      </c>
      <c r="N3603" s="12" t="s">
        <v>84</v>
      </c>
      <c r="O3603" s="12" t="s">
        <v>12926</v>
      </c>
      <c r="P3603" s="12" t="s">
        <v>66</v>
      </c>
      <c r="Q3603" s="12" t="s">
        <v>67</v>
      </c>
      <c r="R3603" s="12" t="s">
        <v>623</v>
      </c>
      <c r="S3603" s="13">
        <v>197804791125</v>
      </c>
      <c r="T3603" s="12" t="s">
        <v>49</v>
      </c>
      <c r="U3603" s="12" t="s">
        <v>60</v>
      </c>
      <c r="V3603" s="12" t="s">
        <v>6664</v>
      </c>
      <c r="W3603" s="12" t="s">
        <v>455</v>
      </c>
      <c r="X3603" s="14"/>
      <c r="Y3603" s="14"/>
      <c r="Z3603" s="14"/>
      <c r="AA3603" s="14"/>
      <c r="AB3603" s="14"/>
      <c r="AC3603" s="15">
        <v>38.65</v>
      </c>
      <c r="AD3603" s="15">
        <f>AC3603*AG3603</f>
        <v>38.65</v>
      </c>
      <c r="AE3603" s="15">
        <v>85</v>
      </c>
      <c r="AF3603" s="15">
        <f>AE3603*AG3603</f>
        <v>85</v>
      </c>
      <c r="AG3603" s="16">
        <v>1</v>
      </c>
    </row>
    <row r="3604" spans="1:33" ht="15" customHeight="1" x14ac:dyDescent="0.2">
      <c r="A3604" s="11" t="str">
        <f t="shared" ref="A3604:A3605" si="1239">HYPERLINK("https://assets.vans.eu/images/VN000RM1AHU-HERO/1","VN000RM1AHU1")</f>
        <v>VN000RM1AHU1</v>
      </c>
      <c r="B3604" s="12" t="s">
        <v>12927</v>
      </c>
      <c r="C3604" s="12" t="s">
        <v>12928</v>
      </c>
      <c r="D3604" s="12" t="s">
        <v>12929</v>
      </c>
      <c r="E3604" s="12" t="s">
        <v>12930</v>
      </c>
      <c r="F3604" s="13">
        <v>29</v>
      </c>
      <c r="G3604" s="14"/>
      <c r="H3604" s="12" t="s">
        <v>61</v>
      </c>
      <c r="I3604" s="12" t="s">
        <v>289</v>
      </c>
      <c r="J3604" s="12" t="s">
        <v>290</v>
      </c>
      <c r="K3604" s="12" t="s">
        <v>100</v>
      </c>
      <c r="L3604" s="14"/>
      <c r="M3604" s="12" t="s">
        <v>43</v>
      </c>
      <c r="N3604" s="12" t="s">
        <v>84</v>
      </c>
      <c r="O3604" s="12" t="s">
        <v>12931</v>
      </c>
      <c r="P3604" s="12" t="s">
        <v>66</v>
      </c>
      <c r="Q3604" s="12" t="s">
        <v>233</v>
      </c>
      <c r="R3604" s="12" t="s">
        <v>664</v>
      </c>
      <c r="S3604" s="13">
        <v>197804799589</v>
      </c>
      <c r="T3604" s="12" t="s">
        <v>235</v>
      </c>
      <c r="U3604" s="13">
        <v>29</v>
      </c>
      <c r="V3604" s="12" t="s">
        <v>665</v>
      </c>
      <c r="W3604" s="12" t="s">
        <v>51</v>
      </c>
      <c r="X3604" s="14"/>
      <c r="Y3604" s="14"/>
      <c r="Z3604" s="14"/>
      <c r="AA3604" s="14"/>
      <c r="AB3604" s="14"/>
      <c r="AC3604" s="15">
        <v>36.4</v>
      </c>
      <c r="AD3604" s="15">
        <f>AC3604*AG3604</f>
        <v>36.4</v>
      </c>
      <c r="AE3604" s="15">
        <v>80</v>
      </c>
      <c r="AF3604" s="15">
        <f>AE3604*AG3604</f>
        <v>80</v>
      </c>
      <c r="AG3604" s="16">
        <v>1</v>
      </c>
    </row>
    <row r="3605" spans="1:33" ht="15" customHeight="1" x14ac:dyDescent="0.2">
      <c r="A3605" s="11" t="str">
        <f t="shared" si="1239"/>
        <v>VN000RM1AHU1</v>
      </c>
      <c r="B3605" s="12" t="s">
        <v>12932</v>
      </c>
      <c r="C3605" s="12" t="s">
        <v>12928</v>
      </c>
      <c r="D3605" s="12" t="s">
        <v>12929</v>
      </c>
      <c r="E3605" s="12" t="s">
        <v>12933</v>
      </c>
      <c r="F3605" s="13">
        <v>34</v>
      </c>
      <c r="G3605" s="14"/>
      <c r="H3605" s="12" t="s">
        <v>61</v>
      </c>
      <c r="I3605" s="12" t="s">
        <v>289</v>
      </c>
      <c r="J3605" s="12" t="s">
        <v>290</v>
      </c>
      <c r="K3605" s="12" t="s">
        <v>100</v>
      </c>
      <c r="L3605" s="14"/>
      <c r="M3605" s="12" t="s">
        <v>43</v>
      </c>
      <c r="N3605" s="12" t="s">
        <v>84</v>
      </c>
      <c r="O3605" s="12" t="s">
        <v>12934</v>
      </c>
      <c r="P3605" s="12" t="s">
        <v>66</v>
      </c>
      <c r="Q3605" s="12" t="s">
        <v>233</v>
      </c>
      <c r="R3605" s="12" t="s">
        <v>664</v>
      </c>
      <c r="S3605" s="13">
        <v>197804799619</v>
      </c>
      <c r="T3605" s="12" t="s">
        <v>235</v>
      </c>
      <c r="U3605" s="13">
        <v>34</v>
      </c>
      <c r="V3605" s="12" t="s">
        <v>665</v>
      </c>
      <c r="W3605" s="12" t="s">
        <v>51</v>
      </c>
      <c r="X3605" s="14"/>
      <c r="Y3605" s="14"/>
      <c r="Z3605" s="14"/>
      <c r="AA3605" s="14"/>
      <c r="AB3605" s="14"/>
      <c r="AC3605" s="15">
        <v>36.4</v>
      </c>
      <c r="AD3605" s="15">
        <f>AC3605*AG3605</f>
        <v>36.4</v>
      </c>
      <c r="AE3605" s="15">
        <v>80</v>
      </c>
      <c r="AF3605" s="15">
        <f>AE3605*AG3605</f>
        <v>80</v>
      </c>
      <c r="AG3605" s="16">
        <v>1</v>
      </c>
    </row>
    <row r="3606" spans="1:33" ht="15" customHeight="1" x14ac:dyDescent="0.2">
      <c r="A3606" s="11" t="str">
        <f>HYPERLINK("https://assets.vans.eu/images/VN000SN0JDU-HERO/1","VN000SN0JDU1")</f>
        <v>VN000SN0JDU1</v>
      </c>
      <c r="B3606" s="12" t="s">
        <v>12935</v>
      </c>
      <c r="C3606" s="12" t="s">
        <v>12936</v>
      </c>
      <c r="D3606" s="12" t="s">
        <v>814</v>
      </c>
      <c r="E3606" s="12" t="s">
        <v>12937</v>
      </c>
      <c r="F3606" s="12" t="s">
        <v>179</v>
      </c>
      <c r="G3606" s="14"/>
      <c r="H3606" s="12" t="s">
        <v>61</v>
      </c>
      <c r="I3606" s="12" t="s">
        <v>62</v>
      </c>
      <c r="J3606" s="12" t="s">
        <v>63</v>
      </c>
      <c r="K3606" s="12" t="s">
        <v>64</v>
      </c>
      <c r="L3606" s="14"/>
      <c r="M3606" s="12" t="s">
        <v>43</v>
      </c>
      <c r="N3606" s="12" t="s">
        <v>84</v>
      </c>
      <c r="O3606" s="12" t="s">
        <v>12938</v>
      </c>
      <c r="P3606" s="12" t="s">
        <v>66</v>
      </c>
      <c r="Q3606" s="12" t="s">
        <v>67</v>
      </c>
      <c r="R3606" s="12" t="s">
        <v>730</v>
      </c>
      <c r="S3606" s="13">
        <v>197805981631</v>
      </c>
      <c r="T3606" s="12" t="s">
        <v>709</v>
      </c>
      <c r="U3606" s="12" t="s">
        <v>179</v>
      </c>
      <c r="V3606" s="12" t="s">
        <v>731</v>
      </c>
      <c r="W3606" s="12" t="s">
        <v>284</v>
      </c>
      <c r="X3606" s="14"/>
      <c r="Y3606" s="14"/>
      <c r="Z3606" s="14"/>
      <c r="AA3606" s="14"/>
      <c r="AB3606" s="14"/>
      <c r="AC3606" s="15">
        <v>25</v>
      </c>
      <c r="AD3606" s="15">
        <f>AC3606*AG3606</f>
        <v>25</v>
      </c>
      <c r="AE3606" s="15">
        <v>55</v>
      </c>
      <c r="AF3606" s="15">
        <f>AE3606*AG3606</f>
        <v>55</v>
      </c>
      <c r="AG3606" s="16">
        <v>1</v>
      </c>
    </row>
    <row r="3607" spans="1:33" ht="15" customHeight="1" x14ac:dyDescent="0.2">
      <c r="A3607" s="11" t="str">
        <f>HYPERLINK("https://assets.vans.eu/images/VN000SN6BLK-HERO/1","VN000SN6BLK1")</f>
        <v>VN000SN6BLK1</v>
      </c>
      <c r="B3607" s="12" t="s">
        <v>12939</v>
      </c>
      <c r="C3607" s="12" t="s">
        <v>2101</v>
      </c>
      <c r="D3607" s="12" t="s">
        <v>76</v>
      </c>
      <c r="E3607" s="12" t="s">
        <v>12940</v>
      </c>
      <c r="F3607" s="12" t="s">
        <v>60</v>
      </c>
      <c r="G3607" s="14"/>
      <c r="H3607" s="12" t="s">
        <v>61</v>
      </c>
      <c r="I3607" s="12" t="s">
        <v>62</v>
      </c>
      <c r="J3607" s="12" t="s">
        <v>63</v>
      </c>
      <c r="K3607" s="12" t="s">
        <v>64</v>
      </c>
      <c r="L3607" s="14"/>
      <c r="M3607" s="12" t="s">
        <v>43</v>
      </c>
      <c r="N3607" s="12" t="s">
        <v>84</v>
      </c>
      <c r="O3607" s="12" t="s">
        <v>12941</v>
      </c>
      <c r="P3607" s="12" t="s">
        <v>66</v>
      </c>
      <c r="Q3607" s="12" t="s">
        <v>67</v>
      </c>
      <c r="R3607" s="12" t="s">
        <v>730</v>
      </c>
      <c r="S3607" s="13">
        <v>197805982140</v>
      </c>
      <c r="T3607" s="12" t="s">
        <v>709</v>
      </c>
      <c r="U3607" s="12" t="s">
        <v>60</v>
      </c>
      <c r="V3607" s="12" t="s">
        <v>731</v>
      </c>
      <c r="W3607" s="12" t="s">
        <v>51</v>
      </c>
      <c r="X3607" s="14"/>
      <c r="Y3607" s="14"/>
      <c r="Z3607" s="14"/>
      <c r="AA3607" s="14"/>
      <c r="AB3607" s="14"/>
      <c r="AC3607" s="15">
        <v>29.55</v>
      </c>
      <c r="AD3607" s="15">
        <f>AC3607*AG3607</f>
        <v>29.55</v>
      </c>
      <c r="AE3607" s="15">
        <v>65</v>
      </c>
      <c r="AF3607" s="15">
        <f>AE3607*AG3607</f>
        <v>65</v>
      </c>
      <c r="AG3607" s="16">
        <v>1</v>
      </c>
    </row>
    <row r="3608" spans="1:33" ht="15" customHeight="1" x14ac:dyDescent="0.2">
      <c r="A3608" s="11" t="str">
        <f>HYPERLINK("https://assets.vans.eu/images/VN000SPAZ28-HERO/1","VN000SPAZ281")</f>
        <v>VN000SPAZ281</v>
      </c>
      <c r="B3608" s="12" t="s">
        <v>12942</v>
      </c>
      <c r="C3608" s="12" t="s">
        <v>1061</v>
      </c>
      <c r="D3608" s="12" t="s">
        <v>12943</v>
      </c>
      <c r="E3608" s="12" t="s">
        <v>12944</v>
      </c>
      <c r="F3608" s="12" t="s">
        <v>403</v>
      </c>
      <c r="G3608" s="14"/>
      <c r="H3608" s="12" t="s">
        <v>61</v>
      </c>
      <c r="I3608" s="12" t="s">
        <v>230</v>
      </c>
      <c r="J3608" s="12" t="s">
        <v>419</v>
      </c>
      <c r="K3608" s="12" t="s">
        <v>199</v>
      </c>
      <c r="L3608" s="14"/>
      <c r="M3608" s="12" t="s">
        <v>43</v>
      </c>
      <c r="N3608" s="12" t="s">
        <v>84</v>
      </c>
      <c r="O3608" s="12" t="s">
        <v>12945</v>
      </c>
      <c r="P3608" s="12" t="s">
        <v>66</v>
      </c>
      <c r="Q3608" s="12" t="s">
        <v>67</v>
      </c>
      <c r="R3608" s="12" t="s">
        <v>421</v>
      </c>
      <c r="S3608" s="13">
        <v>197805969455</v>
      </c>
      <c r="T3608" s="12" t="s">
        <v>1065</v>
      </c>
      <c r="U3608" s="12" t="s">
        <v>403</v>
      </c>
      <c r="V3608" s="12" t="s">
        <v>70</v>
      </c>
      <c r="W3608" s="12" t="s">
        <v>107</v>
      </c>
      <c r="X3608" s="14"/>
      <c r="Y3608" s="14"/>
      <c r="Z3608" s="14"/>
      <c r="AA3608" s="14"/>
      <c r="AB3608" s="14"/>
      <c r="AC3608" s="15">
        <v>12.75</v>
      </c>
      <c r="AD3608" s="15">
        <f>AC3608*AG3608</f>
        <v>12.75</v>
      </c>
      <c r="AE3608" s="15">
        <v>28</v>
      </c>
      <c r="AF3608" s="15">
        <f>AE3608*AG3608</f>
        <v>28</v>
      </c>
      <c r="AG3608" s="16">
        <v>1</v>
      </c>
    </row>
    <row r="3609" spans="1:33" ht="15" customHeight="1" x14ac:dyDescent="0.2">
      <c r="A3609" s="11" t="str">
        <f t="shared" ref="A3609:A3611" si="1240">HYPERLINK("https://assets.vans.eu/images/VN000XOIBLK-HERO/1","VN000XOIBLK1")</f>
        <v>VN000XOIBLK1</v>
      </c>
      <c r="B3609" s="12" t="s">
        <v>12946</v>
      </c>
      <c r="C3609" s="12" t="s">
        <v>8817</v>
      </c>
      <c r="D3609" s="12" t="s">
        <v>76</v>
      </c>
      <c r="E3609" s="12" t="s">
        <v>12947</v>
      </c>
      <c r="F3609" s="12" t="s">
        <v>179</v>
      </c>
      <c r="G3609" s="14"/>
      <c r="H3609" s="12" t="s">
        <v>61</v>
      </c>
      <c r="I3609" s="12" t="s">
        <v>62</v>
      </c>
      <c r="J3609" s="12" t="s">
        <v>63</v>
      </c>
      <c r="K3609" s="12" t="s">
        <v>64</v>
      </c>
      <c r="L3609" s="12" t="s">
        <v>83</v>
      </c>
      <c r="M3609" s="12" t="s">
        <v>43</v>
      </c>
      <c r="N3609" s="12" t="s">
        <v>44</v>
      </c>
      <c r="O3609" s="12" t="s">
        <v>12948</v>
      </c>
      <c r="P3609" s="12" t="s">
        <v>66</v>
      </c>
      <c r="Q3609" s="12" t="s">
        <v>67</v>
      </c>
      <c r="R3609" s="12" t="s">
        <v>68</v>
      </c>
      <c r="S3609" s="13">
        <v>888366224816</v>
      </c>
      <c r="T3609" s="12" t="s">
        <v>69</v>
      </c>
      <c r="U3609" s="12" t="s">
        <v>179</v>
      </c>
      <c r="V3609" s="12" t="s">
        <v>423</v>
      </c>
      <c r="W3609" s="12" t="s">
        <v>51</v>
      </c>
      <c r="X3609" s="12" t="s">
        <v>500</v>
      </c>
      <c r="Y3609" s="12" t="s">
        <v>91</v>
      </c>
      <c r="Z3609" s="12" t="s">
        <v>108</v>
      </c>
      <c r="AA3609" s="13">
        <v>0</v>
      </c>
      <c r="AB3609" s="12" t="s">
        <v>616</v>
      </c>
      <c r="AC3609" s="15">
        <v>14.55</v>
      </c>
      <c r="AD3609" s="15">
        <f>AC3609*AG3609</f>
        <v>14.55</v>
      </c>
      <c r="AE3609" s="15">
        <v>32</v>
      </c>
      <c r="AF3609" s="15">
        <f>AE3609*AG3609</f>
        <v>32</v>
      </c>
      <c r="AG3609" s="16">
        <v>1</v>
      </c>
    </row>
    <row r="3610" spans="1:33" ht="15" customHeight="1" x14ac:dyDescent="0.2">
      <c r="A3610" s="11" t="str">
        <f t="shared" si="1240"/>
        <v>VN000XOIBLK1</v>
      </c>
      <c r="B3610" s="12" t="s">
        <v>12949</v>
      </c>
      <c r="C3610" s="12" t="s">
        <v>8817</v>
      </c>
      <c r="D3610" s="12" t="s">
        <v>76</v>
      </c>
      <c r="E3610" s="12" t="s">
        <v>12950</v>
      </c>
      <c r="F3610" s="12" t="s">
        <v>403</v>
      </c>
      <c r="G3610" s="14"/>
      <c r="H3610" s="12" t="s">
        <v>61</v>
      </c>
      <c r="I3610" s="12" t="s">
        <v>62</v>
      </c>
      <c r="J3610" s="12" t="s">
        <v>63</v>
      </c>
      <c r="K3610" s="12" t="s">
        <v>64</v>
      </c>
      <c r="L3610" s="12" t="s">
        <v>83</v>
      </c>
      <c r="M3610" s="12" t="s">
        <v>43</v>
      </c>
      <c r="N3610" s="12" t="s">
        <v>44</v>
      </c>
      <c r="O3610" s="12" t="s">
        <v>12951</v>
      </c>
      <c r="P3610" s="12" t="s">
        <v>66</v>
      </c>
      <c r="Q3610" s="12" t="s">
        <v>67</v>
      </c>
      <c r="R3610" s="12" t="s">
        <v>68</v>
      </c>
      <c r="S3610" s="13">
        <v>888366224830</v>
      </c>
      <c r="T3610" s="12" t="s">
        <v>69</v>
      </c>
      <c r="U3610" s="12" t="s">
        <v>403</v>
      </c>
      <c r="V3610" s="12" t="s">
        <v>423</v>
      </c>
      <c r="W3610" s="12" t="s">
        <v>51</v>
      </c>
      <c r="X3610" s="12" t="s">
        <v>500</v>
      </c>
      <c r="Y3610" s="12" t="s">
        <v>91</v>
      </c>
      <c r="Z3610" s="12" t="s">
        <v>108</v>
      </c>
      <c r="AA3610" s="13">
        <v>0</v>
      </c>
      <c r="AB3610" s="12" t="s">
        <v>616</v>
      </c>
      <c r="AC3610" s="15">
        <v>14.55</v>
      </c>
      <c r="AD3610" s="15">
        <f>AC3610*AG3610</f>
        <v>14.55</v>
      </c>
      <c r="AE3610" s="15">
        <v>32</v>
      </c>
      <c r="AF3610" s="15">
        <f>AE3610*AG3610</f>
        <v>32</v>
      </c>
      <c r="AG3610" s="16">
        <v>1</v>
      </c>
    </row>
    <row r="3611" spans="1:33" ht="15" customHeight="1" x14ac:dyDescent="0.2">
      <c r="A3611" s="11" t="str">
        <f t="shared" si="1240"/>
        <v>VN000XOIBLK1</v>
      </c>
      <c r="B3611" s="12" t="s">
        <v>12952</v>
      </c>
      <c r="C3611" s="12" t="s">
        <v>8817</v>
      </c>
      <c r="D3611" s="12" t="s">
        <v>76</v>
      </c>
      <c r="E3611" s="12" t="s">
        <v>12953</v>
      </c>
      <c r="F3611" s="12" t="s">
        <v>60</v>
      </c>
      <c r="G3611" s="14"/>
      <c r="H3611" s="12" t="s">
        <v>61</v>
      </c>
      <c r="I3611" s="12" t="s">
        <v>62</v>
      </c>
      <c r="J3611" s="12" t="s">
        <v>63</v>
      </c>
      <c r="K3611" s="12" t="s">
        <v>64</v>
      </c>
      <c r="L3611" s="12" t="s">
        <v>83</v>
      </c>
      <c r="M3611" s="12" t="s">
        <v>43</v>
      </c>
      <c r="N3611" s="12" t="s">
        <v>44</v>
      </c>
      <c r="O3611" s="12" t="s">
        <v>12954</v>
      </c>
      <c r="P3611" s="12" t="s">
        <v>66</v>
      </c>
      <c r="Q3611" s="12" t="s">
        <v>67</v>
      </c>
      <c r="R3611" s="12" t="s">
        <v>68</v>
      </c>
      <c r="S3611" s="13">
        <v>888366224878</v>
      </c>
      <c r="T3611" s="12" t="s">
        <v>69</v>
      </c>
      <c r="U3611" s="12" t="s">
        <v>60</v>
      </c>
      <c r="V3611" s="12" t="s">
        <v>423</v>
      </c>
      <c r="W3611" s="12" t="s">
        <v>51</v>
      </c>
      <c r="X3611" s="12" t="s">
        <v>500</v>
      </c>
      <c r="Y3611" s="12" t="s">
        <v>91</v>
      </c>
      <c r="Z3611" s="12" t="s">
        <v>108</v>
      </c>
      <c r="AA3611" s="13">
        <v>0</v>
      </c>
      <c r="AB3611" s="12" t="s">
        <v>616</v>
      </c>
      <c r="AC3611" s="15">
        <v>14.55</v>
      </c>
      <c r="AD3611" s="15">
        <f>AC3611*AG3611</f>
        <v>14.55</v>
      </c>
      <c r="AE3611" s="15">
        <v>32</v>
      </c>
      <c r="AF3611" s="15">
        <f>AE3611*AG3611</f>
        <v>32</v>
      </c>
      <c r="AG3611" s="16">
        <v>1</v>
      </c>
    </row>
    <row r="3612" spans="1:33" ht="15" customHeight="1" x14ac:dyDescent="0.2">
      <c r="A3612" s="11" t="str">
        <f t="shared" si="964"/>
        <v>VN000XOIY281</v>
      </c>
      <c r="B3612" s="12" t="s">
        <v>12955</v>
      </c>
      <c r="C3612" s="12" t="s">
        <v>8817</v>
      </c>
      <c r="D3612" s="12" t="s">
        <v>58</v>
      </c>
      <c r="E3612" s="12" t="s">
        <v>12956</v>
      </c>
      <c r="F3612" s="12" t="s">
        <v>170</v>
      </c>
      <c r="G3612" s="14"/>
      <c r="H3612" s="12" t="s">
        <v>61</v>
      </c>
      <c r="I3612" s="12" t="s">
        <v>62</v>
      </c>
      <c r="J3612" s="12" t="s">
        <v>63</v>
      </c>
      <c r="K3612" s="12" t="s">
        <v>64</v>
      </c>
      <c r="L3612" s="12" t="s">
        <v>83</v>
      </c>
      <c r="M3612" s="12" t="s">
        <v>43</v>
      </c>
      <c r="N3612" s="12" t="s">
        <v>84</v>
      </c>
      <c r="O3612" s="12" t="s">
        <v>12957</v>
      </c>
      <c r="P3612" s="12" t="s">
        <v>66</v>
      </c>
      <c r="Q3612" s="12" t="s">
        <v>67</v>
      </c>
      <c r="R3612" s="12" t="s">
        <v>68</v>
      </c>
      <c r="S3612" s="13">
        <v>191165024861</v>
      </c>
      <c r="T3612" s="12" t="s">
        <v>69</v>
      </c>
      <c r="U3612" s="12" t="s">
        <v>170</v>
      </c>
      <c r="V3612" s="12" t="s">
        <v>70</v>
      </c>
      <c r="W3612" s="12" t="s">
        <v>51</v>
      </c>
      <c r="X3612" s="13">
        <v>0</v>
      </c>
      <c r="Y3612" s="12" t="s">
        <v>91</v>
      </c>
      <c r="Z3612" s="12" t="s">
        <v>108</v>
      </c>
      <c r="AA3612" s="13">
        <v>0</v>
      </c>
      <c r="AB3612" s="13">
        <v>0</v>
      </c>
      <c r="AC3612" s="15">
        <v>15.95</v>
      </c>
      <c r="AD3612" s="15">
        <f>AC3612*AG3612</f>
        <v>15.95</v>
      </c>
      <c r="AE3612" s="15">
        <v>35</v>
      </c>
      <c r="AF3612" s="15">
        <f>AE3612*AG3612</f>
        <v>35</v>
      </c>
      <c r="AG3612" s="16">
        <v>1</v>
      </c>
    </row>
    <row r="3613" spans="1:33" ht="15" customHeight="1" x14ac:dyDescent="0.2">
      <c r="A3613" s="11" t="str">
        <f t="shared" si="965"/>
        <v>VN000XR4FS81</v>
      </c>
      <c r="B3613" s="12" t="s">
        <v>12958</v>
      </c>
      <c r="C3613" s="12" t="s">
        <v>8821</v>
      </c>
      <c r="D3613" s="12" t="s">
        <v>239</v>
      </c>
      <c r="E3613" s="12" t="s">
        <v>12959</v>
      </c>
      <c r="F3613" s="12" t="s">
        <v>179</v>
      </c>
      <c r="G3613" s="14"/>
      <c r="H3613" s="12" t="s">
        <v>61</v>
      </c>
      <c r="I3613" s="12" t="s">
        <v>289</v>
      </c>
      <c r="J3613" s="12" t="s">
        <v>706</v>
      </c>
      <c r="K3613" s="12" t="s">
        <v>100</v>
      </c>
      <c r="L3613" s="12" t="s">
        <v>115</v>
      </c>
      <c r="M3613" s="12" t="s">
        <v>43</v>
      </c>
      <c r="N3613" s="12" t="s">
        <v>84</v>
      </c>
      <c r="O3613" s="12" t="s">
        <v>12960</v>
      </c>
      <c r="P3613" s="12" t="s">
        <v>66</v>
      </c>
      <c r="Q3613" s="12" t="s">
        <v>67</v>
      </c>
      <c r="R3613" s="12" t="s">
        <v>1146</v>
      </c>
      <c r="S3613" s="13">
        <v>198268239796</v>
      </c>
      <c r="T3613" s="12" t="s">
        <v>69</v>
      </c>
      <c r="U3613" s="12" t="s">
        <v>179</v>
      </c>
      <c r="V3613" s="12" t="s">
        <v>423</v>
      </c>
      <c r="W3613" s="12" t="s">
        <v>175</v>
      </c>
      <c r="X3613" s="14"/>
      <c r="Y3613" s="14"/>
      <c r="Z3613" s="14"/>
      <c r="AA3613" s="14"/>
      <c r="AB3613" s="14"/>
      <c r="AC3613" s="15">
        <v>15.95</v>
      </c>
      <c r="AD3613" s="15">
        <f>AC3613*AG3613</f>
        <v>15.95</v>
      </c>
      <c r="AE3613" s="15">
        <v>35</v>
      </c>
      <c r="AF3613" s="15">
        <f>AE3613*AG3613</f>
        <v>35</v>
      </c>
      <c r="AG3613" s="16">
        <v>1</v>
      </c>
    </row>
    <row r="3614" spans="1:33" ht="15" customHeight="1" x14ac:dyDescent="0.2">
      <c r="A3614" s="11" t="str">
        <f>HYPERLINK("https://assets.vans.eu/images/VN000XR4FS8-HERO/1","VN000XR4FS81")</f>
        <v>VN000XR4FS81</v>
      </c>
      <c r="B3614" s="12" t="s">
        <v>12961</v>
      </c>
      <c r="C3614" s="12" t="s">
        <v>8821</v>
      </c>
      <c r="D3614" s="12" t="s">
        <v>239</v>
      </c>
      <c r="E3614" s="12" t="s">
        <v>12962</v>
      </c>
      <c r="F3614" s="12" t="s">
        <v>621</v>
      </c>
      <c r="G3614" s="14"/>
      <c r="H3614" s="12" t="s">
        <v>61</v>
      </c>
      <c r="I3614" s="12" t="s">
        <v>289</v>
      </c>
      <c r="J3614" s="12" t="s">
        <v>706</v>
      </c>
      <c r="K3614" s="12" t="s">
        <v>100</v>
      </c>
      <c r="L3614" s="12" t="s">
        <v>115</v>
      </c>
      <c r="M3614" s="12" t="s">
        <v>43</v>
      </c>
      <c r="N3614" s="12" t="s">
        <v>84</v>
      </c>
      <c r="O3614" s="12" t="s">
        <v>12963</v>
      </c>
      <c r="P3614" s="12" t="s">
        <v>66</v>
      </c>
      <c r="Q3614" s="12" t="s">
        <v>67</v>
      </c>
      <c r="R3614" s="12" t="s">
        <v>1146</v>
      </c>
      <c r="S3614" s="13">
        <v>198268240259</v>
      </c>
      <c r="T3614" s="12" t="s">
        <v>69</v>
      </c>
      <c r="U3614" s="12" t="s">
        <v>621</v>
      </c>
      <c r="V3614" s="12" t="s">
        <v>423</v>
      </c>
      <c r="W3614" s="12" t="s">
        <v>175</v>
      </c>
      <c r="X3614" s="14"/>
      <c r="Y3614" s="14"/>
      <c r="Z3614" s="14"/>
      <c r="AA3614" s="14"/>
      <c r="AB3614" s="14"/>
      <c r="AC3614" s="15">
        <v>15.95</v>
      </c>
      <c r="AD3614" s="15">
        <f>AC3614*AG3614</f>
        <v>15.95</v>
      </c>
      <c r="AE3614" s="15">
        <v>35</v>
      </c>
      <c r="AF3614" s="15">
        <f>AE3614*AG3614</f>
        <v>35</v>
      </c>
      <c r="AG3614" s="16">
        <v>1</v>
      </c>
    </row>
    <row r="3615" spans="1:33" ht="15" customHeight="1" x14ac:dyDescent="0.2">
      <c r="A3615" s="11" t="str">
        <f t="shared" si="967"/>
        <v>VN000Y8VYB21</v>
      </c>
      <c r="B3615" s="12" t="s">
        <v>12964</v>
      </c>
      <c r="C3615" s="12" t="s">
        <v>6926</v>
      </c>
      <c r="D3615" s="12" t="s">
        <v>1138</v>
      </c>
      <c r="E3615" s="12" t="s">
        <v>12965</v>
      </c>
      <c r="F3615" s="12" t="s">
        <v>179</v>
      </c>
      <c r="G3615" s="14"/>
      <c r="H3615" s="12" t="s">
        <v>61</v>
      </c>
      <c r="I3615" s="12" t="s">
        <v>230</v>
      </c>
      <c r="J3615" s="12" t="s">
        <v>419</v>
      </c>
      <c r="K3615" s="12" t="s">
        <v>199</v>
      </c>
      <c r="L3615" s="14"/>
      <c r="M3615" s="12" t="s">
        <v>43</v>
      </c>
      <c r="N3615" s="12" t="s">
        <v>84</v>
      </c>
      <c r="O3615" s="12" t="s">
        <v>12966</v>
      </c>
      <c r="P3615" s="12" t="s">
        <v>66</v>
      </c>
      <c r="Q3615" s="12" t="s">
        <v>67</v>
      </c>
      <c r="R3615" s="12" t="s">
        <v>421</v>
      </c>
      <c r="S3615" s="13">
        <v>888366924662</v>
      </c>
      <c r="T3615" s="12" t="s">
        <v>422</v>
      </c>
      <c r="U3615" s="12" t="s">
        <v>179</v>
      </c>
      <c r="V3615" s="12" t="s">
        <v>70</v>
      </c>
      <c r="W3615" s="12" t="s">
        <v>175</v>
      </c>
      <c r="X3615" s="13">
        <v>0</v>
      </c>
      <c r="Y3615" s="12" t="s">
        <v>91</v>
      </c>
      <c r="Z3615" s="12" t="s">
        <v>108</v>
      </c>
      <c r="AA3615" s="13">
        <v>0</v>
      </c>
      <c r="AB3615" s="13">
        <v>0</v>
      </c>
      <c r="AC3615" s="15">
        <v>13.65</v>
      </c>
      <c r="AD3615" s="15">
        <f>AC3615*AG3615</f>
        <v>13.65</v>
      </c>
      <c r="AE3615" s="15">
        <v>30</v>
      </c>
      <c r="AF3615" s="15">
        <f>AE3615*AG3615</f>
        <v>30</v>
      </c>
      <c r="AG3615" s="16">
        <v>1</v>
      </c>
    </row>
    <row r="3616" spans="1:33" ht="15" customHeight="1" x14ac:dyDescent="0.2">
      <c r="A3616" s="11" t="str">
        <f>HYPERLINK("https://assets.vans.eu/images/VN000Y8VYB2-HERO/1","VN000Y8VYB21")</f>
        <v>VN000Y8VYB21</v>
      </c>
      <c r="B3616" s="12" t="s">
        <v>12967</v>
      </c>
      <c r="C3616" s="12" t="s">
        <v>6926</v>
      </c>
      <c r="D3616" s="12" t="s">
        <v>1138</v>
      </c>
      <c r="E3616" s="12" t="s">
        <v>12968</v>
      </c>
      <c r="F3616" s="12" t="s">
        <v>403</v>
      </c>
      <c r="G3616" s="14"/>
      <c r="H3616" s="12" t="s">
        <v>61</v>
      </c>
      <c r="I3616" s="12" t="s">
        <v>230</v>
      </c>
      <c r="J3616" s="12" t="s">
        <v>419</v>
      </c>
      <c r="K3616" s="12" t="s">
        <v>199</v>
      </c>
      <c r="L3616" s="14"/>
      <c r="M3616" s="12" t="s">
        <v>43</v>
      </c>
      <c r="N3616" s="12" t="s">
        <v>84</v>
      </c>
      <c r="O3616" s="12" t="s">
        <v>12969</v>
      </c>
      <c r="P3616" s="12" t="s">
        <v>66</v>
      </c>
      <c r="Q3616" s="12" t="s">
        <v>67</v>
      </c>
      <c r="R3616" s="12" t="s">
        <v>421</v>
      </c>
      <c r="S3616" s="13">
        <v>888366924563</v>
      </c>
      <c r="T3616" s="12" t="s">
        <v>422</v>
      </c>
      <c r="U3616" s="12" t="s">
        <v>403</v>
      </c>
      <c r="V3616" s="12" t="s">
        <v>70</v>
      </c>
      <c r="W3616" s="12" t="s">
        <v>175</v>
      </c>
      <c r="X3616" s="13">
        <v>0</v>
      </c>
      <c r="Y3616" s="12" t="s">
        <v>91</v>
      </c>
      <c r="Z3616" s="12" t="s">
        <v>108</v>
      </c>
      <c r="AA3616" s="13">
        <v>0</v>
      </c>
      <c r="AB3616" s="13">
        <v>0</v>
      </c>
      <c r="AC3616" s="15">
        <v>13.65</v>
      </c>
      <c r="AD3616" s="15">
        <f>AC3616*AG3616</f>
        <v>13.65</v>
      </c>
      <c r="AE3616" s="15">
        <v>30</v>
      </c>
      <c r="AF3616" s="15">
        <f>AE3616*AG3616</f>
        <v>30</v>
      </c>
      <c r="AG3616" s="16">
        <v>1</v>
      </c>
    </row>
    <row r="3617" spans="1:33" ht="15" customHeight="1" x14ac:dyDescent="0.2">
      <c r="A3617" s="11" t="str">
        <f>HYPERLINK("https://assets.vans.eu/images/VN00104UEMS-HERO/1","VN00104UEMS1")</f>
        <v>VN00104UEMS1</v>
      </c>
      <c r="B3617" s="12" t="s">
        <v>12970</v>
      </c>
      <c r="C3617" s="12" t="s">
        <v>862</v>
      </c>
      <c r="D3617" s="12" t="s">
        <v>863</v>
      </c>
      <c r="E3617" s="12" t="s">
        <v>12971</v>
      </c>
      <c r="F3617" s="12" t="s">
        <v>153</v>
      </c>
      <c r="G3617" s="14"/>
      <c r="H3617" s="12" t="s">
        <v>61</v>
      </c>
      <c r="I3617" s="12" t="s">
        <v>230</v>
      </c>
      <c r="J3617" s="12" t="s">
        <v>419</v>
      </c>
      <c r="K3617" s="12" t="s">
        <v>199</v>
      </c>
      <c r="L3617" s="12" t="s">
        <v>115</v>
      </c>
      <c r="M3617" s="12" t="s">
        <v>43</v>
      </c>
      <c r="N3617" s="12" t="s">
        <v>84</v>
      </c>
      <c r="O3617" s="12" t="s">
        <v>12972</v>
      </c>
      <c r="P3617" s="12" t="s">
        <v>66</v>
      </c>
      <c r="Q3617" s="12" t="s">
        <v>67</v>
      </c>
      <c r="R3617" s="12" t="s">
        <v>421</v>
      </c>
      <c r="S3617" s="13">
        <v>198268437697</v>
      </c>
      <c r="T3617" s="12" t="s">
        <v>69</v>
      </c>
      <c r="U3617" s="12" t="s">
        <v>153</v>
      </c>
      <c r="V3617" s="12" t="s">
        <v>70</v>
      </c>
      <c r="W3617" s="12" t="s">
        <v>107</v>
      </c>
      <c r="X3617" s="14"/>
      <c r="Y3617" s="14"/>
      <c r="Z3617" s="14"/>
      <c r="AA3617" s="14"/>
      <c r="AB3617" s="14"/>
      <c r="AC3617" s="15">
        <v>18.2</v>
      </c>
      <c r="AD3617" s="15">
        <f>AC3617*AG3617</f>
        <v>18.2</v>
      </c>
      <c r="AE3617" s="15">
        <v>40</v>
      </c>
      <c r="AF3617" s="15">
        <f>AE3617*AG3617</f>
        <v>40</v>
      </c>
      <c r="AG3617" s="16">
        <v>1</v>
      </c>
    </row>
    <row r="3618" spans="1:33" ht="15" customHeight="1" x14ac:dyDescent="0.2">
      <c r="A3618" s="11" t="str">
        <f>HYPERLINK("https://assets.vans.eu/images/VN001096BLK-HERO/1","VN001096BLK1")</f>
        <v>VN001096BLK1</v>
      </c>
      <c r="B3618" s="12" t="s">
        <v>12973</v>
      </c>
      <c r="C3618" s="12" t="s">
        <v>8838</v>
      </c>
      <c r="D3618" s="12" t="s">
        <v>76</v>
      </c>
      <c r="E3618" s="12" t="s">
        <v>12974</v>
      </c>
      <c r="F3618" s="12" t="s">
        <v>153</v>
      </c>
      <c r="G3618" s="14"/>
      <c r="H3618" s="12" t="s">
        <v>61</v>
      </c>
      <c r="I3618" s="12" t="s">
        <v>230</v>
      </c>
      <c r="J3618" s="12" t="s">
        <v>419</v>
      </c>
      <c r="K3618" s="12" t="s">
        <v>199</v>
      </c>
      <c r="L3618" s="14"/>
      <c r="M3618" s="12" t="s">
        <v>43</v>
      </c>
      <c r="N3618" s="12" t="s">
        <v>84</v>
      </c>
      <c r="O3618" s="12" t="s">
        <v>12975</v>
      </c>
      <c r="P3618" s="12" t="s">
        <v>66</v>
      </c>
      <c r="Q3618" s="12" t="s">
        <v>67</v>
      </c>
      <c r="R3618" s="12" t="s">
        <v>421</v>
      </c>
      <c r="S3618" s="13">
        <v>198268842859</v>
      </c>
      <c r="T3618" s="12" t="s">
        <v>1065</v>
      </c>
      <c r="U3618" s="12" t="s">
        <v>153</v>
      </c>
      <c r="V3618" s="12" t="s">
        <v>70</v>
      </c>
      <c r="W3618" s="12" t="s">
        <v>51</v>
      </c>
      <c r="X3618" s="14"/>
      <c r="Y3618" s="14"/>
      <c r="Z3618" s="14"/>
      <c r="AA3618" s="14"/>
      <c r="AB3618" s="14"/>
      <c r="AC3618" s="15">
        <v>18.2</v>
      </c>
      <c r="AD3618" s="15">
        <f>AC3618*AG3618</f>
        <v>18.2</v>
      </c>
      <c r="AE3618" s="15">
        <v>40</v>
      </c>
      <c r="AF3618" s="15">
        <f>AE3618*AG3618</f>
        <v>40</v>
      </c>
      <c r="AG3618" s="16">
        <v>1</v>
      </c>
    </row>
    <row r="3619" spans="1:33" ht="15" customHeight="1" x14ac:dyDescent="0.2">
      <c r="A3619" s="11" t="str">
        <f t="shared" ref="A3619:A3620" si="1241">HYPERLINK("https://assets.vans.eu/images/VN0010J9BLK-HERO/1","VN0010J9BLK1")</f>
        <v>VN0010J9BLK1</v>
      </c>
      <c r="B3619" s="12" t="s">
        <v>12976</v>
      </c>
      <c r="C3619" s="12" t="s">
        <v>988</v>
      </c>
      <c r="D3619" s="12" t="s">
        <v>76</v>
      </c>
      <c r="E3619" s="12" t="s">
        <v>12977</v>
      </c>
      <c r="F3619" s="12" t="s">
        <v>170</v>
      </c>
      <c r="G3619" s="14"/>
      <c r="H3619" s="12" t="s">
        <v>61</v>
      </c>
      <c r="I3619" s="12" t="s">
        <v>230</v>
      </c>
      <c r="J3619" s="12" t="s">
        <v>419</v>
      </c>
      <c r="K3619" s="12" t="s">
        <v>199</v>
      </c>
      <c r="L3619" s="12" t="s">
        <v>115</v>
      </c>
      <c r="M3619" s="12" t="s">
        <v>43</v>
      </c>
      <c r="N3619" s="12" t="s">
        <v>84</v>
      </c>
      <c r="O3619" s="12" t="s">
        <v>12978</v>
      </c>
      <c r="P3619" s="12" t="s">
        <v>66</v>
      </c>
      <c r="Q3619" s="12" t="s">
        <v>67</v>
      </c>
      <c r="R3619" s="12" t="s">
        <v>421</v>
      </c>
      <c r="S3619" s="13">
        <v>198269183852</v>
      </c>
      <c r="T3619" s="12" t="s">
        <v>69</v>
      </c>
      <c r="U3619" s="12" t="s">
        <v>170</v>
      </c>
      <c r="V3619" s="12" t="s">
        <v>665</v>
      </c>
      <c r="W3619" s="12" t="s">
        <v>51</v>
      </c>
      <c r="X3619" s="14"/>
      <c r="Y3619" s="14"/>
      <c r="Z3619" s="14"/>
      <c r="AA3619" s="14"/>
      <c r="AB3619" s="14"/>
      <c r="AC3619" s="15">
        <v>18.2</v>
      </c>
      <c r="AD3619" s="15">
        <f>AC3619*AG3619</f>
        <v>18.2</v>
      </c>
      <c r="AE3619" s="15">
        <v>40</v>
      </c>
      <c r="AF3619" s="15">
        <f>AE3619*AG3619</f>
        <v>40</v>
      </c>
      <c r="AG3619" s="16">
        <v>1</v>
      </c>
    </row>
    <row r="3620" spans="1:33" ht="15" customHeight="1" x14ac:dyDescent="0.2">
      <c r="A3620" s="11" t="str">
        <f t="shared" si="1241"/>
        <v>VN0010J9BLK1</v>
      </c>
      <c r="B3620" s="12" t="s">
        <v>12979</v>
      </c>
      <c r="C3620" s="12" t="s">
        <v>988</v>
      </c>
      <c r="D3620" s="12" t="s">
        <v>76</v>
      </c>
      <c r="E3620" s="12" t="s">
        <v>12980</v>
      </c>
      <c r="F3620" s="12" t="s">
        <v>153</v>
      </c>
      <c r="G3620" s="14"/>
      <c r="H3620" s="12" t="s">
        <v>61</v>
      </c>
      <c r="I3620" s="12" t="s">
        <v>230</v>
      </c>
      <c r="J3620" s="12" t="s">
        <v>419</v>
      </c>
      <c r="K3620" s="12" t="s">
        <v>199</v>
      </c>
      <c r="L3620" s="12" t="s">
        <v>115</v>
      </c>
      <c r="M3620" s="12" t="s">
        <v>43</v>
      </c>
      <c r="N3620" s="12" t="s">
        <v>84</v>
      </c>
      <c r="O3620" s="12" t="s">
        <v>12981</v>
      </c>
      <c r="P3620" s="12" t="s">
        <v>66</v>
      </c>
      <c r="Q3620" s="12" t="s">
        <v>67</v>
      </c>
      <c r="R3620" s="12" t="s">
        <v>421</v>
      </c>
      <c r="S3620" s="13">
        <v>198269183883</v>
      </c>
      <c r="T3620" s="12" t="s">
        <v>69</v>
      </c>
      <c r="U3620" s="12" t="s">
        <v>153</v>
      </c>
      <c r="V3620" s="12" t="s">
        <v>665</v>
      </c>
      <c r="W3620" s="12" t="s">
        <v>51</v>
      </c>
      <c r="X3620" s="14"/>
      <c r="Y3620" s="14"/>
      <c r="Z3620" s="14"/>
      <c r="AA3620" s="14"/>
      <c r="AB3620" s="14"/>
      <c r="AC3620" s="15">
        <v>18.2</v>
      </c>
      <c r="AD3620" s="15">
        <f>AC3620*AG3620</f>
        <v>18.2</v>
      </c>
      <c r="AE3620" s="15">
        <v>40</v>
      </c>
      <c r="AF3620" s="15">
        <f>AE3620*AG3620</f>
        <v>40</v>
      </c>
      <c r="AG3620" s="16">
        <v>1</v>
      </c>
    </row>
    <row r="3621" spans="1:33" ht="15" customHeight="1" x14ac:dyDescent="0.2">
      <c r="A3621" s="11" t="str">
        <f t="shared" ref="A3621:A3622" si="1242">HYPERLINK("https://assets.vans.eu/images/VN0010J9WHT-HERO/1","VN0010J9WHT1")</f>
        <v>VN0010J9WHT1</v>
      </c>
      <c r="B3621" s="12" t="s">
        <v>12982</v>
      </c>
      <c r="C3621" s="12" t="s">
        <v>988</v>
      </c>
      <c r="D3621" s="12" t="s">
        <v>168</v>
      </c>
      <c r="E3621" s="12" t="s">
        <v>12983</v>
      </c>
      <c r="F3621" s="12" t="s">
        <v>403</v>
      </c>
      <c r="G3621" s="14"/>
      <c r="H3621" s="12" t="s">
        <v>61</v>
      </c>
      <c r="I3621" s="12" t="s">
        <v>230</v>
      </c>
      <c r="J3621" s="12" t="s">
        <v>419</v>
      </c>
      <c r="K3621" s="12" t="s">
        <v>199</v>
      </c>
      <c r="L3621" s="12" t="s">
        <v>115</v>
      </c>
      <c r="M3621" s="12" t="s">
        <v>43</v>
      </c>
      <c r="N3621" s="12" t="s">
        <v>84</v>
      </c>
      <c r="O3621" s="12" t="s">
        <v>12984</v>
      </c>
      <c r="P3621" s="12" t="s">
        <v>66</v>
      </c>
      <c r="Q3621" s="12" t="s">
        <v>67</v>
      </c>
      <c r="R3621" s="12" t="s">
        <v>421</v>
      </c>
      <c r="S3621" s="13">
        <v>198269183906</v>
      </c>
      <c r="T3621" s="12" t="s">
        <v>69</v>
      </c>
      <c r="U3621" s="12" t="s">
        <v>403</v>
      </c>
      <c r="V3621" s="12" t="s">
        <v>665</v>
      </c>
      <c r="W3621" s="12" t="s">
        <v>175</v>
      </c>
      <c r="X3621" s="14"/>
      <c r="Y3621" s="14"/>
      <c r="Z3621" s="14"/>
      <c r="AA3621" s="14"/>
      <c r="AB3621" s="14"/>
      <c r="AC3621" s="15">
        <v>18.2</v>
      </c>
      <c r="AD3621" s="15">
        <f>AC3621*AG3621</f>
        <v>18.2</v>
      </c>
      <c r="AE3621" s="15">
        <v>40</v>
      </c>
      <c r="AF3621" s="15">
        <f>AE3621*AG3621</f>
        <v>40</v>
      </c>
      <c r="AG3621" s="16">
        <v>1</v>
      </c>
    </row>
    <row r="3622" spans="1:33" ht="15" customHeight="1" x14ac:dyDescent="0.2">
      <c r="A3622" s="11" t="str">
        <f t="shared" si="1242"/>
        <v>VN0010J9WHT1</v>
      </c>
      <c r="B3622" s="12" t="s">
        <v>12985</v>
      </c>
      <c r="C3622" s="12" t="s">
        <v>988</v>
      </c>
      <c r="D3622" s="12" t="s">
        <v>168</v>
      </c>
      <c r="E3622" s="12" t="s">
        <v>12986</v>
      </c>
      <c r="F3622" s="12" t="s">
        <v>153</v>
      </c>
      <c r="G3622" s="14"/>
      <c r="H3622" s="12" t="s">
        <v>61</v>
      </c>
      <c r="I3622" s="12" t="s">
        <v>230</v>
      </c>
      <c r="J3622" s="12" t="s">
        <v>419</v>
      </c>
      <c r="K3622" s="12" t="s">
        <v>199</v>
      </c>
      <c r="L3622" s="12" t="s">
        <v>115</v>
      </c>
      <c r="M3622" s="12" t="s">
        <v>43</v>
      </c>
      <c r="N3622" s="12" t="s">
        <v>84</v>
      </c>
      <c r="O3622" s="12" t="s">
        <v>12987</v>
      </c>
      <c r="P3622" s="12" t="s">
        <v>66</v>
      </c>
      <c r="Q3622" s="12" t="s">
        <v>67</v>
      </c>
      <c r="R3622" s="12" t="s">
        <v>421</v>
      </c>
      <c r="S3622" s="13">
        <v>198269183920</v>
      </c>
      <c r="T3622" s="12" t="s">
        <v>69</v>
      </c>
      <c r="U3622" s="12" t="s">
        <v>153</v>
      </c>
      <c r="V3622" s="12" t="s">
        <v>665</v>
      </c>
      <c r="W3622" s="12" t="s">
        <v>175</v>
      </c>
      <c r="X3622" s="14"/>
      <c r="Y3622" s="14"/>
      <c r="Z3622" s="14"/>
      <c r="AA3622" s="14"/>
      <c r="AB3622" s="14"/>
      <c r="AC3622" s="15">
        <v>18.2</v>
      </c>
      <c r="AD3622" s="15">
        <f>AC3622*AG3622</f>
        <v>18.2</v>
      </c>
      <c r="AE3622" s="15">
        <v>40</v>
      </c>
      <c r="AF3622" s="15">
        <f>AE3622*AG3622</f>
        <v>40</v>
      </c>
      <c r="AG3622" s="16">
        <v>1</v>
      </c>
    </row>
    <row r="3623" spans="1:33" ht="15" customHeight="1" x14ac:dyDescent="0.2">
      <c r="A3623" s="11" t="str">
        <f>HYPERLINK("https://assets.vans.eu/images/VN0A3189LKZ-HERO/1","VN0A3189LKZ1")</f>
        <v>VN0A3189LKZ1</v>
      </c>
      <c r="B3623" s="12" t="s">
        <v>12988</v>
      </c>
      <c r="C3623" s="12" t="s">
        <v>12989</v>
      </c>
      <c r="D3623" s="12" t="s">
        <v>1213</v>
      </c>
      <c r="E3623" s="12" t="s">
        <v>12990</v>
      </c>
      <c r="F3623" s="12" t="s">
        <v>403</v>
      </c>
      <c r="G3623" s="14"/>
      <c r="H3623" s="12" t="s">
        <v>61</v>
      </c>
      <c r="I3623" s="12" t="s">
        <v>62</v>
      </c>
      <c r="J3623" s="12" t="s">
        <v>63</v>
      </c>
      <c r="K3623" s="12" t="s">
        <v>64</v>
      </c>
      <c r="L3623" s="12" t="s">
        <v>350</v>
      </c>
      <c r="M3623" s="12" t="s">
        <v>43</v>
      </c>
      <c r="N3623" s="12" t="s">
        <v>84</v>
      </c>
      <c r="O3623" s="12" t="s">
        <v>12991</v>
      </c>
      <c r="P3623" s="12" t="s">
        <v>66</v>
      </c>
      <c r="Q3623" s="12" t="s">
        <v>67</v>
      </c>
      <c r="R3623" s="12" t="s">
        <v>68</v>
      </c>
      <c r="S3623" s="13">
        <v>197063409038</v>
      </c>
      <c r="T3623" s="12" t="s">
        <v>422</v>
      </c>
      <c r="U3623" s="12" t="s">
        <v>403</v>
      </c>
      <c r="V3623" s="12" t="s">
        <v>423</v>
      </c>
      <c r="W3623" s="12" t="s">
        <v>284</v>
      </c>
      <c r="X3623" s="13">
        <v>0</v>
      </c>
      <c r="Y3623" s="12" t="s">
        <v>91</v>
      </c>
      <c r="Z3623" s="12" t="s">
        <v>108</v>
      </c>
      <c r="AA3623" s="13">
        <v>0</v>
      </c>
      <c r="AB3623" s="13">
        <v>0</v>
      </c>
      <c r="AC3623" s="15">
        <v>12.75</v>
      </c>
      <c r="AD3623" s="15">
        <f>AC3623*AG3623</f>
        <v>12.75</v>
      </c>
      <c r="AE3623" s="15">
        <v>28</v>
      </c>
      <c r="AF3623" s="15">
        <f>AE3623*AG3623</f>
        <v>28</v>
      </c>
      <c r="AG3623" s="16">
        <v>1</v>
      </c>
    </row>
    <row r="3624" spans="1:33" ht="15" customHeight="1" x14ac:dyDescent="0.2">
      <c r="A3624" s="11" t="str">
        <f>HYPERLINK("https://assets.vans.eu/images/VN0A36MZADY-HERO/1","VN0A36MZADY1")</f>
        <v>VN0A36MZADY1</v>
      </c>
      <c r="B3624" s="12" t="s">
        <v>12992</v>
      </c>
      <c r="C3624" s="12" t="s">
        <v>12993</v>
      </c>
      <c r="D3624" s="12" t="s">
        <v>12994</v>
      </c>
      <c r="E3624" s="12" t="s">
        <v>12995</v>
      </c>
      <c r="F3624" s="12" t="s">
        <v>60</v>
      </c>
      <c r="G3624" s="14"/>
      <c r="H3624" s="12" t="s">
        <v>61</v>
      </c>
      <c r="I3624" s="12" t="s">
        <v>62</v>
      </c>
      <c r="J3624" s="12" t="s">
        <v>63</v>
      </c>
      <c r="K3624" s="12" t="s">
        <v>64</v>
      </c>
      <c r="L3624" s="14"/>
      <c r="M3624" s="12" t="s">
        <v>43</v>
      </c>
      <c r="N3624" s="12" t="s">
        <v>467</v>
      </c>
      <c r="O3624" s="12" t="s">
        <v>12996</v>
      </c>
      <c r="P3624" s="12" t="s">
        <v>66</v>
      </c>
      <c r="Q3624" s="12" t="s">
        <v>67</v>
      </c>
      <c r="R3624" s="12" t="s">
        <v>730</v>
      </c>
      <c r="S3624" s="13">
        <v>191477015694</v>
      </c>
      <c r="T3624" s="12" t="s">
        <v>7784</v>
      </c>
      <c r="U3624" s="12" t="s">
        <v>60</v>
      </c>
      <c r="V3624" s="12" t="s">
        <v>1378</v>
      </c>
      <c r="W3624" s="12" t="s">
        <v>455</v>
      </c>
      <c r="X3624" s="13">
        <v>0</v>
      </c>
      <c r="Y3624" s="12" t="s">
        <v>91</v>
      </c>
      <c r="Z3624" s="12" t="s">
        <v>108</v>
      </c>
      <c r="AA3624" s="13">
        <v>0</v>
      </c>
      <c r="AB3624" s="13">
        <v>0</v>
      </c>
      <c r="AC3624" s="15">
        <v>25</v>
      </c>
      <c r="AD3624" s="15">
        <f>AC3624*AG3624</f>
        <v>25</v>
      </c>
      <c r="AE3624" s="15">
        <v>55</v>
      </c>
      <c r="AF3624" s="15">
        <f>AE3624*AG3624</f>
        <v>55</v>
      </c>
      <c r="AG3624" s="16">
        <v>1</v>
      </c>
    </row>
    <row r="3625" spans="1:33" ht="15" customHeight="1" x14ac:dyDescent="0.2">
      <c r="A3625" s="11" t="str">
        <f>HYPERLINK("https://assets.vans.eu/images/VN0A3ANBO3R-HERO/1","VN0A3ANBO3R1")</f>
        <v>VN0A3ANBO3R1</v>
      </c>
      <c r="B3625" s="12" t="s">
        <v>12997</v>
      </c>
      <c r="C3625" s="12" t="s">
        <v>12998</v>
      </c>
      <c r="D3625" s="12" t="s">
        <v>12999</v>
      </c>
      <c r="E3625" s="12" t="s">
        <v>13000</v>
      </c>
      <c r="F3625" s="12" t="s">
        <v>153</v>
      </c>
      <c r="G3625" s="14"/>
      <c r="H3625" s="12" t="s">
        <v>61</v>
      </c>
      <c r="I3625" s="12" t="s">
        <v>13001</v>
      </c>
      <c r="J3625" s="12" t="s">
        <v>13001</v>
      </c>
      <c r="K3625" s="12" t="s">
        <v>100</v>
      </c>
      <c r="L3625" s="12" t="s">
        <v>42</v>
      </c>
      <c r="M3625" s="12" t="s">
        <v>43</v>
      </c>
      <c r="N3625" s="12" t="s">
        <v>6188</v>
      </c>
      <c r="O3625" s="12" t="s">
        <v>13002</v>
      </c>
      <c r="P3625" s="12" t="s">
        <v>66</v>
      </c>
      <c r="Q3625" s="12" t="s">
        <v>764</v>
      </c>
      <c r="R3625" s="12" t="s">
        <v>986</v>
      </c>
      <c r="S3625" s="13">
        <v>191166112673</v>
      </c>
      <c r="T3625" s="12" t="s">
        <v>143</v>
      </c>
      <c r="U3625" s="12" t="s">
        <v>153</v>
      </c>
      <c r="V3625" s="12" t="s">
        <v>13003</v>
      </c>
      <c r="W3625" s="12" t="s">
        <v>455</v>
      </c>
      <c r="X3625" s="14"/>
      <c r="Y3625" s="14"/>
      <c r="Z3625" s="14"/>
      <c r="AA3625" s="14"/>
      <c r="AB3625" s="14"/>
      <c r="AC3625" s="15">
        <v>0</v>
      </c>
      <c r="AD3625" s="15">
        <f>AC3625*AG3625</f>
        <v>0</v>
      </c>
      <c r="AE3625" s="15">
        <v>95</v>
      </c>
      <c r="AF3625" s="15">
        <f>AE3625*AG3625</f>
        <v>95</v>
      </c>
      <c r="AG3625" s="16">
        <v>1</v>
      </c>
    </row>
    <row r="3626" spans="1:33" ht="15" customHeight="1" x14ac:dyDescent="0.2">
      <c r="A3626" s="11" t="str">
        <f t="shared" si="756"/>
        <v>VN0A3CZENAV1</v>
      </c>
      <c r="B3626" s="12" t="s">
        <v>13004</v>
      </c>
      <c r="C3626" s="12" t="s">
        <v>3849</v>
      </c>
      <c r="D3626" s="12" t="s">
        <v>1573</v>
      </c>
      <c r="E3626" s="12" t="s">
        <v>13005</v>
      </c>
      <c r="F3626" s="12" t="s">
        <v>403</v>
      </c>
      <c r="G3626" s="14"/>
      <c r="H3626" s="12" t="s">
        <v>61</v>
      </c>
      <c r="I3626" s="12" t="s">
        <v>230</v>
      </c>
      <c r="J3626" s="12" t="s">
        <v>419</v>
      </c>
      <c r="K3626" s="12" t="s">
        <v>199</v>
      </c>
      <c r="L3626" s="14"/>
      <c r="M3626" s="12" t="s">
        <v>43</v>
      </c>
      <c r="N3626" s="12" t="s">
        <v>44</v>
      </c>
      <c r="O3626" s="12" t="s">
        <v>13006</v>
      </c>
      <c r="P3626" s="12" t="s">
        <v>66</v>
      </c>
      <c r="Q3626" s="12" t="s">
        <v>67</v>
      </c>
      <c r="R3626" s="12" t="s">
        <v>421</v>
      </c>
      <c r="S3626" s="13">
        <v>192825008542</v>
      </c>
      <c r="T3626" s="12" t="s">
        <v>422</v>
      </c>
      <c r="U3626" s="12" t="s">
        <v>403</v>
      </c>
      <c r="V3626" s="12" t="s">
        <v>70</v>
      </c>
      <c r="W3626" s="12" t="s">
        <v>284</v>
      </c>
      <c r="X3626" s="13">
        <v>0</v>
      </c>
      <c r="Y3626" s="12" t="s">
        <v>91</v>
      </c>
      <c r="Z3626" s="12" t="s">
        <v>108</v>
      </c>
      <c r="AA3626" s="13">
        <v>0</v>
      </c>
      <c r="AB3626" s="12" t="s">
        <v>616</v>
      </c>
      <c r="AC3626" s="15">
        <v>10.95</v>
      </c>
      <c r="AD3626" s="15">
        <f>AC3626*AG3626</f>
        <v>10.95</v>
      </c>
      <c r="AE3626" s="15">
        <v>24</v>
      </c>
      <c r="AF3626" s="15">
        <f>AE3626*AG3626</f>
        <v>24</v>
      </c>
      <c r="AG3626" s="16">
        <v>1</v>
      </c>
    </row>
    <row r="3627" spans="1:33" ht="15" customHeight="1" x14ac:dyDescent="0.2">
      <c r="A3627" s="11" t="str">
        <f t="shared" ref="A3627:A3628" si="1243">HYPERLINK("https://assets.vans.eu/images/VN0A3CZENAV-HERO/1","VN0A3CZENAV1")</f>
        <v>VN0A3CZENAV1</v>
      </c>
      <c r="B3627" s="12" t="s">
        <v>13007</v>
      </c>
      <c r="C3627" s="12" t="s">
        <v>3849</v>
      </c>
      <c r="D3627" s="12" t="s">
        <v>1573</v>
      </c>
      <c r="E3627" s="12" t="s">
        <v>13008</v>
      </c>
      <c r="F3627" s="12" t="s">
        <v>60</v>
      </c>
      <c r="G3627" s="14"/>
      <c r="H3627" s="12" t="s">
        <v>61</v>
      </c>
      <c r="I3627" s="12" t="s">
        <v>230</v>
      </c>
      <c r="J3627" s="12" t="s">
        <v>419</v>
      </c>
      <c r="K3627" s="12" t="s">
        <v>199</v>
      </c>
      <c r="L3627" s="14"/>
      <c r="M3627" s="12" t="s">
        <v>43</v>
      </c>
      <c r="N3627" s="12" t="s">
        <v>44</v>
      </c>
      <c r="O3627" s="12" t="s">
        <v>13009</v>
      </c>
      <c r="P3627" s="12" t="s">
        <v>66</v>
      </c>
      <c r="Q3627" s="12" t="s">
        <v>67</v>
      </c>
      <c r="R3627" s="12" t="s">
        <v>421</v>
      </c>
      <c r="S3627" s="13">
        <v>192825009617</v>
      </c>
      <c r="T3627" s="12" t="s">
        <v>422</v>
      </c>
      <c r="U3627" s="12" t="s">
        <v>60</v>
      </c>
      <c r="V3627" s="12" t="s">
        <v>70</v>
      </c>
      <c r="W3627" s="12" t="s">
        <v>284</v>
      </c>
      <c r="X3627" s="13">
        <v>0</v>
      </c>
      <c r="Y3627" s="12" t="s">
        <v>91</v>
      </c>
      <c r="Z3627" s="12" t="s">
        <v>108</v>
      </c>
      <c r="AA3627" s="13">
        <v>0</v>
      </c>
      <c r="AB3627" s="12" t="s">
        <v>616</v>
      </c>
      <c r="AC3627" s="15">
        <v>10.95</v>
      </c>
      <c r="AD3627" s="15">
        <f>AC3627*AG3627</f>
        <v>10.95</v>
      </c>
      <c r="AE3627" s="15">
        <v>24</v>
      </c>
      <c r="AF3627" s="15">
        <f>AE3627*AG3627</f>
        <v>24</v>
      </c>
      <c r="AG3627" s="16">
        <v>1</v>
      </c>
    </row>
    <row r="3628" spans="1:33" ht="15" customHeight="1" x14ac:dyDescent="0.2">
      <c r="A3628" s="11" t="str">
        <f t="shared" si="1243"/>
        <v>VN0A3CZENAV1</v>
      </c>
      <c r="B3628" s="12" t="s">
        <v>13010</v>
      </c>
      <c r="C3628" s="12" t="s">
        <v>3849</v>
      </c>
      <c r="D3628" s="12" t="s">
        <v>1573</v>
      </c>
      <c r="E3628" s="12" t="s">
        <v>13011</v>
      </c>
      <c r="F3628" s="12" t="s">
        <v>621</v>
      </c>
      <c r="G3628" s="14"/>
      <c r="H3628" s="12" t="s">
        <v>61</v>
      </c>
      <c r="I3628" s="12" t="s">
        <v>230</v>
      </c>
      <c r="J3628" s="12" t="s">
        <v>419</v>
      </c>
      <c r="K3628" s="12" t="s">
        <v>199</v>
      </c>
      <c r="L3628" s="14"/>
      <c r="M3628" s="12" t="s">
        <v>43</v>
      </c>
      <c r="N3628" s="12" t="s">
        <v>44</v>
      </c>
      <c r="O3628" s="12" t="s">
        <v>13012</v>
      </c>
      <c r="P3628" s="12" t="s">
        <v>66</v>
      </c>
      <c r="Q3628" s="12" t="s">
        <v>67</v>
      </c>
      <c r="R3628" s="12" t="s">
        <v>421</v>
      </c>
      <c r="S3628" s="13">
        <v>192825010002</v>
      </c>
      <c r="T3628" s="12" t="s">
        <v>422</v>
      </c>
      <c r="U3628" s="12" t="s">
        <v>621</v>
      </c>
      <c r="V3628" s="12" t="s">
        <v>70</v>
      </c>
      <c r="W3628" s="12" t="s">
        <v>284</v>
      </c>
      <c r="X3628" s="13">
        <v>0</v>
      </c>
      <c r="Y3628" s="12" t="s">
        <v>91</v>
      </c>
      <c r="Z3628" s="12" t="s">
        <v>108</v>
      </c>
      <c r="AA3628" s="13">
        <v>0</v>
      </c>
      <c r="AB3628" s="12" t="s">
        <v>616</v>
      </c>
      <c r="AC3628" s="15">
        <v>10.95</v>
      </c>
      <c r="AD3628" s="15">
        <f>AC3628*AG3628</f>
        <v>10.95</v>
      </c>
      <c r="AE3628" s="15">
        <v>24</v>
      </c>
      <c r="AF3628" s="15">
        <f>AE3628*AG3628</f>
        <v>24</v>
      </c>
      <c r="AG3628" s="16">
        <v>1</v>
      </c>
    </row>
    <row r="3629" spans="1:33" ht="15" customHeight="1" x14ac:dyDescent="0.2">
      <c r="A3629" s="11" t="str">
        <f t="shared" si="757"/>
        <v>VN0A3CZEYB21</v>
      </c>
      <c r="B3629" s="12" t="s">
        <v>13013</v>
      </c>
      <c r="C3629" s="12" t="s">
        <v>3849</v>
      </c>
      <c r="D3629" s="12" t="s">
        <v>1138</v>
      </c>
      <c r="E3629" s="12" t="s">
        <v>13014</v>
      </c>
      <c r="F3629" s="12" t="s">
        <v>60</v>
      </c>
      <c r="G3629" s="14"/>
      <c r="H3629" s="12" t="s">
        <v>61</v>
      </c>
      <c r="I3629" s="12" t="s">
        <v>230</v>
      </c>
      <c r="J3629" s="12" t="s">
        <v>419</v>
      </c>
      <c r="K3629" s="12" t="s">
        <v>199</v>
      </c>
      <c r="L3629" s="14"/>
      <c r="M3629" s="12" t="s">
        <v>43</v>
      </c>
      <c r="N3629" s="12" t="s">
        <v>44</v>
      </c>
      <c r="O3629" s="12" t="s">
        <v>13015</v>
      </c>
      <c r="P3629" s="12" t="s">
        <v>66</v>
      </c>
      <c r="Q3629" s="12" t="s">
        <v>67</v>
      </c>
      <c r="R3629" s="12" t="s">
        <v>421</v>
      </c>
      <c r="S3629" s="13">
        <v>192825010422</v>
      </c>
      <c r="T3629" s="12" t="s">
        <v>422</v>
      </c>
      <c r="U3629" s="12" t="s">
        <v>60</v>
      </c>
      <c r="V3629" s="12" t="s">
        <v>70</v>
      </c>
      <c r="W3629" s="12" t="s">
        <v>175</v>
      </c>
      <c r="X3629" s="13">
        <v>0</v>
      </c>
      <c r="Y3629" s="12" t="s">
        <v>91</v>
      </c>
      <c r="Z3629" s="12" t="s">
        <v>108</v>
      </c>
      <c r="AA3629" s="13">
        <v>0</v>
      </c>
      <c r="AB3629" s="13">
        <v>0</v>
      </c>
      <c r="AC3629" s="15">
        <v>10.95</v>
      </c>
      <c r="AD3629" s="15">
        <f>AC3629*AG3629</f>
        <v>10.95</v>
      </c>
      <c r="AE3629" s="15">
        <v>24</v>
      </c>
      <c r="AF3629" s="15">
        <f>AE3629*AG3629</f>
        <v>24</v>
      </c>
      <c r="AG3629" s="16">
        <v>1</v>
      </c>
    </row>
    <row r="3630" spans="1:33" ht="15" customHeight="1" x14ac:dyDescent="0.2">
      <c r="A3630" s="11" t="str">
        <f t="shared" ref="A3630:A3631" si="1244">HYPERLINK("https://assets.vans.eu/images/VN0A3HSCP8X-HERO/1","VN0A3HSCP8X1")</f>
        <v>VN0A3HSCP8X1</v>
      </c>
      <c r="B3630" s="12" t="s">
        <v>13016</v>
      </c>
      <c r="C3630" s="12" t="s">
        <v>13017</v>
      </c>
      <c r="D3630" s="12" t="s">
        <v>10814</v>
      </c>
      <c r="E3630" s="12" t="s">
        <v>13018</v>
      </c>
      <c r="F3630" s="12" t="s">
        <v>179</v>
      </c>
      <c r="G3630" s="14"/>
      <c r="H3630" s="12" t="s">
        <v>61</v>
      </c>
      <c r="I3630" s="12" t="s">
        <v>62</v>
      </c>
      <c r="J3630" s="12" t="s">
        <v>2938</v>
      </c>
      <c r="K3630" s="12" t="s">
        <v>64</v>
      </c>
      <c r="L3630" s="14"/>
      <c r="M3630" s="12" t="s">
        <v>43</v>
      </c>
      <c r="N3630" s="12" t="s">
        <v>274</v>
      </c>
      <c r="O3630" s="12" t="s">
        <v>13019</v>
      </c>
      <c r="P3630" s="12" t="s">
        <v>66</v>
      </c>
      <c r="Q3630" s="12" t="s">
        <v>764</v>
      </c>
      <c r="R3630" s="12" t="s">
        <v>2940</v>
      </c>
      <c r="S3630" s="13">
        <v>197063409137</v>
      </c>
      <c r="T3630" s="12" t="s">
        <v>49</v>
      </c>
      <c r="U3630" s="12" t="s">
        <v>179</v>
      </c>
      <c r="V3630" s="12" t="s">
        <v>90</v>
      </c>
      <c r="W3630" s="12" t="s">
        <v>284</v>
      </c>
      <c r="X3630" s="13">
        <v>0</v>
      </c>
      <c r="Y3630" s="12" t="s">
        <v>91</v>
      </c>
      <c r="Z3630" s="12" t="s">
        <v>108</v>
      </c>
      <c r="AA3630" s="13">
        <v>0</v>
      </c>
      <c r="AB3630" s="13">
        <v>0</v>
      </c>
      <c r="AC3630" s="15">
        <v>31.85</v>
      </c>
      <c r="AD3630" s="15">
        <f>AC3630*AG3630</f>
        <v>31.85</v>
      </c>
      <c r="AE3630" s="15">
        <v>70</v>
      </c>
      <c r="AF3630" s="15">
        <f>AE3630*AG3630</f>
        <v>70</v>
      </c>
      <c r="AG3630" s="16">
        <v>1</v>
      </c>
    </row>
    <row r="3631" spans="1:33" ht="15" customHeight="1" x14ac:dyDescent="0.2">
      <c r="A3631" s="11" t="str">
        <f t="shared" si="1244"/>
        <v>VN0A3HSCP8X1</v>
      </c>
      <c r="B3631" s="12" t="s">
        <v>13020</v>
      </c>
      <c r="C3631" s="12" t="s">
        <v>13017</v>
      </c>
      <c r="D3631" s="12" t="s">
        <v>10814</v>
      </c>
      <c r="E3631" s="12" t="s">
        <v>13021</v>
      </c>
      <c r="F3631" s="12" t="s">
        <v>403</v>
      </c>
      <c r="G3631" s="14"/>
      <c r="H3631" s="12" t="s">
        <v>61</v>
      </c>
      <c r="I3631" s="12" t="s">
        <v>62</v>
      </c>
      <c r="J3631" s="12" t="s">
        <v>2938</v>
      </c>
      <c r="K3631" s="12" t="s">
        <v>64</v>
      </c>
      <c r="L3631" s="14"/>
      <c r="M3631" s="12" t="s">
        <v>43</v>
      </c>
      <c r="N3631" s="12" t="s">
        <v>274</v>
      </c>
      <c r="O3631" s="12" t="s">
        <v>13022</v>
      </c>
      <c r="P3631" s="12" t="s">
        <v>66</v>
      </c>
      <c r="Q3631" s="12" t="s">
        <v>764</v>
      </c>
      <c r="R3631" s="12" t="s">
        <v>2940</v>
      </c>
      <c r="S3631" s="13">
        <v>197063409199</v>
      </c>
      <c r="T3631" s="12" t="s">
        <v>49</v>
      </c>
      <c r="U3631" s="12" t="s">
        <v>403</v>
      </c>
      <c r="V3631" s="12" t="s">
        <v>90</v>
      </c>
      <c r="W3631" s="12" t="s">
        <v>284</v>
      </c>
      <c r="X3631" s="13">
        <v>0</v>
      </c>
      <c r="Y3631" s="12" t="s">
        <v>91</v>
      </c>
      <c r="Z3631" s="12" t="s">
        <v>108</v>
      </c>
      <c r="AA3631" s="13">
        <v>0</v>
      </c>
      <c r="AB3631" s="13">
        <v>0</v>
      </c>
      <c r="AC3631" s="15">
        <v>31.85</v>
      </c>
      <c r="AD3631" s="15">
        <f>AC3631*AG3631</f>
        <v>31.85</v>
      </c>
      <c r="AE3631" s="15">
        <v>70</v>
      </c>
      <c r="AF3631" s="15">
        <f>AE3631*AG3631</f>
        <v>70</v>
      </c>
      <c r="AG3631" s="16">
        <v>1</v>
      </c>
    </row>
    <row r="3632" spans="1:33" ht="15" customHeight="1" x14ac:dyDescent="0.2">
      <c r="A3632" s="11" t="str">
        <f>HYPERLINK("https://assets.vans.eu/images/VN0A3IJ1BLK-HERO/1","VN0A3IJ1BLK1")</f>
        <v>VN0A3IJ1BLK1</v>
      </c>
      <c r="B3632" s="12" t="s">
        <v>13023</v>
      </c>
      <c r="C3632" s="12" t="s">
        <v>13024</v>
      </c>
      <c r="D3632" s="12" t="s">
        <v>76</v>
      </c>
      <c r="E3632" s="12" t="s">
        <v>13025</v>
      </c>
      <c r="F3632" s="13">
        <v>4</v>
      </c>
      <c r="G3632" s="14"/>
      <c r="H3632" s="12" t="s">
        <v>61</v>
      </c>
      <c r="I3632" s="12" t="s">
        <v>1340</v>
      </c>
      <c r="J3632" s="12" t="s">
        <v>1341</v>
      </c>
      <c r="K3632" s="12" t="s">
        <v>64</v>
      </c>
      <c r="L3632" s="12" t="s">
        <v>83</v>
      </c>
      <c r="M3632" s="12" t="s">
        <v>43</v>
      </c>
      <c r="N3632" s="12" t="s">
        <v>84</v>
      </c>
      <c r="O3632" s="12" t="s">
        <v>13026</v>
      </c>
      <c r="P3632" s="12" t="s">
        <v>66</v>
      </c>
      <c r="Q3632" s="12" t="s">
        <v>67</v>
      </c>
      <c r="R3632" s="12" t="s">
        <v>68</v>
      </c>
      <c r="S3632" s="13">
        <v>197803498735</v>
      </c>
      <c r="T3632" s="12" t="s">
        <v>422</v>
      </c>
      <c r="U3632" s="13">
        <v>4</v>
      </c>
      <c r="V3632" s="12" t="s">
        <v>70</v>
      </c>
      <c r="W3632" s="12" t="s">
        <v>51</v>
      </c>
      <c r="X3632" s="13">
        <v>0</v>
      </c>
      <c r="Y3632" s="12" t="s">
        <v>91</v>
      </c>
      <c r="Z3632" s="12" t="s">
        <v>108</v>
      </c>
      <c r="AA3632" s="13">
        <v>0</v>
      </c>
      <c r="AB3632" s="12" t="s">
        <v>616</v>
      </c>
      <c r="AC3632" s="15">
        <v>9.1</v>
      </c>
      <c r="AD3632" s="15">
        <f>AC3632*AG3632</f>
        <v>9.1</v>
      </c>
      <c r="AE3632" s="15">
        <v>20</v>
      </c>
      <c r="AF3632" s="15">
        <f>AE3632*AG3632</f>
        <v>20</v>
      </c>
      <c r="AG3632" s="16">
        <v>1</v>
      </c>
    </row>
    <row r="3633" spans="1:33" ht="15" customHeight="1" x14ac:dyDescent="0.2">
      <c r="A3633" s="11" t="str">
        <f>HYPERLINK("https://assets.vans.eu/images/VN0A3UDCBLK-HERO/1","VN0A3UDCBLK1")</f>
        <v>VN0A3UDCBLK1</v>
      </c>
      <c r="B3633" s="12" t="s">
        <v>13027</v>
      </c>
      <c r="C3633" s="12" t="s">
        <v>8848</v>
      </c>
      <c r="D3633" s="12" t="s">
        <v>76</v>
      </c>
      <c r="E3633" s="12" t="s">
        <v>13028</v>
      </c>
      <c r="F3633" s="12" t="s">
        <v>170</v>
      </c>
      <c r="G3633" s="14"/>
      <c r="H3633" s="12" t="s">
        <v>61</v>
      </c>
      <c r="I3633" s="12" t="s">
        <v>230</v>
      </c>
      <c r="J3633" s="12" t="s">
        <v>419</v>
      </c>
      <c r="K3633" s="12" t="s">
        <v>199</v>
      </c>
      <c r="L3633" s="12" t="s">
        <v>115</v>
      </c>
      <c r="M3633" s="12" t="s">
        <v>43</v>
      </c>
      <c r="N3633" s="12" t="s">
        <v>161</v>
      </c>
      <c r="O3633" s="12" t="s">
        <v>13029</v>
      </c>
      <c r="P3633" s="12" t="s">
        <v>66</v>
      </c>
      <c r="Q3633" s="12" t="s">
        <v>67</v>
      </c>
      <c r="R3633" s="12" t="s">
        <v>421</v>
      </c>
      <c r="S3633" s="13">
        <v>192362276374</v>
      </c>
      <c r="T3633" s="12" t="s">
        <v>69</v>
      </c>
      <c r="U3633" s="12" t="s">
        <v>170</v>
      </c>
      <c r="V3633" s="12" t="s">
        <v>423</v>
      </c>
      <c r="W3633" s="12" t="s">
        <v>51</v>
      </c>
      <c r="X3633" s="13">
        <v>0</v>
      </c>
      <c r="Y3633" s="12" t="s">
        <v>91</v>
      </c>
      <c r="Z3633" s="12" t="s">
        <v>92</v>
      </c>
      <c r="AA3633" s="12" t="s">
        <v>4300</v>
      </c>
      <c r="AB3633" s="12" t="s">
        <v>94</v>
      </c>
      <c r="AC3633" s="15">
        <v>17.3</v>
      </c>
      <c r="AD3633" s="15">
        <f>AC3633*AG3633</f>
        <v>17.3</v>
      </c>
      <c r="AE3633" s="15">
        <v>38</v>
      </c>
      <c r="AF3633" s="15">
        <f>AE3633*AG3633</f>
        <v>38</v>
      </c>
      <c r="AG3633" s="16">
        <v>1</v>
      </c>
    </row>
    <row r="3634" spans="1:33" ht="15" customHeight="1" x14ac:dyDescent="0.2">
      <c r="A3634" s="11" t="str">
        <f>HYPERLINK("https://assets.vans.eu/images/VN0A3WCW4PV-HERO/1","VN0A3WCW4PV1")</f>
        <v>VN0A3WCW4PV1</v>
      </c>
      <c r="B3634" s="12" t="s">
        <v>13030</v>
      </c>
      <c r="C3634" s="12" t="s">
        <v>13031</v>
      </c>
      <c r="D3634" s="12" t="s">
        <v>13032</v>
      </c>
      <c r="E3634" s="12" t="s">
        <v>13033</v>
      </c>
      <c r="F3634" s="13">
        <v>7</v>
      </c>
      <c r="G3634" s="14"/>
      <c r="H3634" s="12" t="s">
        <v>61</v>
      </c>
      <c r="I3634" s="12" t="s">
        <v>4647</v>
      </c>
      <c r="J3634" s="12" t="s">
        <v>13034</v>
      </c>
      <c r="K3634" s="12" t="s">
        <v>64</v>
      </c>
      <c r="L3634" s="14"/>
      <c r="M3634" s="12" t="s">
        <v>43</v>
      </c>
      <c r="N3634" s="12" t="s">
        <v>10624</v>
      </c>
      <c r="O3634" s="12" t="s">
        <v>13035</v>
      </c>
      <c r="P3634" s="12" t="s">
        <v>66</v>
      </c>
      <c r="Q3634" s="12" t="s">
        <v>67</v>
      </c>
      <c r="R3634" s="12" t="s">
        <v>730</v>
      </c>
      <c r="S3634" s="13">
        <v>193395846886</v>
      </c>
      <c r="T3634" s="12" t="s">
        <v>422</v>
      </c>
      <c r="U3634" s="13">
        <v>7</v>
      </c>
      <c r="V3634" s="12" t="s">
        <v>70</v>
      </c>
      <c r="W3634" s="12" t="s">
        <v>262</v>
      </c>
      <c r="X3634" s="14"/>
      <c r="Y3634" s="12" t="s">
        <v>71</v>
      </c>
      <c r="Z3634" s="12" t="s">
        <v>2600</v>
      </c>
      <c r="AA3634" s="14"/>
      <c r="AB3634" s="13">
        <v>0</v>
      </c>
      <c r="AC3634" s="15">
        <v>22.75</v>
      </c>
      <c r="AD3634" s="15">
        <f>AC3634*AG3634</f>
        <v>22.75</v>
      </c>
      <c r="AE3634" s="15">
        <v>50</v>
      </c>
      <c r="AF3634" s="15">
        <f>AE3634*AG3634</f>
        <v>50</v>
      </c>
      <c r="AG3634" s="16">
        <v>1</v>
      </c>
    </row>
    <row r="3635" spans="1:33" ht="15" customHeight="1" x14ac:dyDescent="0.2">
      <c r="A3635" s="11" t="str">
        <f>HYPERLINK("https://assets.vans.eu/images/VN0A3WF1BLK-HERO/1","VN0A3WF1BLK1")</f>
        <v>VN0A3WF1BLK1</v>
      </c>
      <c r="B3635" s="12" t="s">
        <v>13036</v>
      </c>
      <c r="C3635" s="12" t="s">
        <v>1513</v>
      </c>
      <c r="D3635" s="12" t="s">
        <v>76</v>
      </c>
      <c r="E3635" s="12" t="s">
        <v>13037</v>
      </c>
      <c r="F3635" s="12" t="s">
        <v>621</v>
      </c>
      <c r="G3635" s="14"/>
      <c r="H3635" s="12" t="s">
        <v>61</v>
      </c>
      <c r="I3635" s="12" t="s">
        <v>230</v>
      </c>
      <c r="J3635" s="12" t="s">
        <v>762</v>
      </c>
      <c r="K3635" s="12" t="s">
        <v>199</v>
      </c>
      <c r="L3635" s="14"/>
      <c r="M3635" s="12" t="s">
        <v>43</v>
      </c>
      <c r="N3635" s="12" t="s">
        <v>161</v>
      </c>
      <c r="O3635" s="12" t="s">
        <v>13038</v>
      </c>
      <c r="P3635" s="12" t="s">
        <v>66</v>
      </c>
      <c r="Q3635" s="12" t="s">
        <v>764</v>
      </c>
      <c r="R3635" s="12" t="s">
        <v>765</v>
      </c>
      <c r="S3635" s="13">
        <v>193391102924</v>
      </c>
      <c r="T3635" s="12" t="s">
        <v>235</v>
      </c>
      <c r="U3635" s="12" t="s">
        <v>621</v>
      </c>
      <c r="V3635" s="12" t="s">
        <v>423</v>
      </c>
      <c r="W3635" s="12" t="s">
        <v>51</v>
      </c>
      <c r="X3635" s="13">
        <v>0</v>
      </c>
      <c r="Y3635" s="12" t="s">
        <v>91</v>
      </c>
      <c r="Z3635" s="12" t="s">
        <v>108</v>
      </c>
      <c r="AA3635" s="13">
        <v>0</v>
      </c>
      <c r="AB3635" s="13">
        <v>0</v>
      </c>
      <c r="AC3635" s="15">
        <v>36.4</v>
      </c>
      <c r="AD3635" s="15">
        <f>AC3635*AG3635</f>
        <v>36.4</v>
      </c>
      <c r="AE3635" s="15">
        <v>80</v>
      </c>
      <c r="AF3635" s="15">
        <f>AE3635*AG3635</f>
        <v>80</v>
      </c>
      <c r="AG3635" s="16">
        <v>1</v>
      </c>
    </row>
    <row r="3636" spans="1:33" ht="15" customHeight="1" x14ac:dyDescent="0.2">
      <c r="A3636" s="11" t="str">
        <f>HYPERLINK("https://assets.vans.eu/images/VN0A3WF1KCZ-HERO/1","VN0A3WF1KCZ1")</f>
        <v>VN0A3WF1KCZ1</v>
      </c>
      <c r="B3636" s="12" t="s">
        <v>13039</v>
      </c>
      <c r="C3636" s="12" t="s">
        <v>1513</v>
      </c>
      <c r="D3636" s="12" t="s">
        <v>1109</v>
      </c>
      <c r="E3636" s="12" t="s">
        <v>13040</v>
      </c>
      <c r="F3636" s="12" t="s">
        <v>403</v>
      </c>
      <c r="G3636" s="14"/>
      <c r="H3636" s="12" t="s">
        <v>61</v>
      </c>
      <c r="I3636" s="12" t="s">
        <v>230</v>
      </c>
      <c r="J3636" s="12" t="s">
        <v>762</v>
      </c>
      <c r="K3636" s="12" t="s">
        <v>199</v>
      </c>
      <c r="L3636" s="14"/>
      <c r="M3636" s="12" t="s">
        <v>43</v>
      </c>
      <c r="N3636" s="12" t="s">
        <v>274</v>
      </c>
      <c r="O3636" s="12" t="s">
        <v>13041</v>
      </c>
      <c r="P3636" s="12" t="s">
        <v>66</v>
      </c>
      <c r="Q3636" s="12" t="s">
        <v>764</v>
      </c>
      <c r="R3636" s="12" t="s">
        <v>765</v>
      </c>
      <c r="S3636" s="13">
        <v>196573822696</v>
      </c>
      <c r="T3636" s="12" t="s">
        <v>1517</v>
      </c>
      <c r="U3636" s="12" t="s">
        <v>403</v>
      </c>
      <c r="V3636" s="12" t="s">
        <v>423</v>
      </c>
      <c r="W3636" s="12" t="s">
        <v>118</v>
      </c>
      <c r="X3636" s="13">
        <v>0</v>
      </c>
      <c r="Y3636" s="12" t="s">
        <v>91</v>
      </c>
      <c r="Z3636" s="12" t="s">
        <v>108</v>
      </c>
      <c r="AA3636" s="13">
        <v>0</v>
      </c>
      <c r="AB3636" s="13">
        <v>0</v>
      </c>
      <c r="AC3636" s="15">
        <v>36.4</v>
      </c>
      <c r="AD3636" s="15">
        <f>AC3636*AG3636</f>
        <v>36.4</v>
      </c>
      <c r="AE3636" s="15">
        <v>80</v>
      </c>
      <c r="AF3636" s="15">
        <f>AE3636*AG3636</f>
        <v>80</v>
      </c>
      <c r="AG3636" s="16">
        <v>1</v>
      </c>
    </row>
    <row r="3637" spans="1:33" ht="15" customHeight="1" x14ac:dyDescent="0.2">
      <c r="A3637" s="11" t="str">
        <f>HYPERLINK("https://assets.vans.eu/images/VN0A45AGADY-HERO/1","VN0A45AGADY1")</f>
        <v>VN0A45AGADY1</v>
      </c>
      <c r="B3637" s="12" t="s">
        <v>13042</v>
      </c>
      <c r="C3637" s="12" t="s">
        <v>13043</v>
      </c>
      <c r="D3637" s="12" t="s">
        <v>12994</v>
      </c>
      <c r="E3637" s="12" t="s">
        <v>13044</v>
      </c>
      <c r="F3637" s="12" t="s">
        <v>403</v>
      </c>
      <c r="G3637" s="14"/>
      <c r="H3637" s="12" t="s">
        <v>61</v>
      </c>
      <c r="I3637" s="12" t="s">
        <v>62</v>
      </c>
      <c r="J3637" s="12" t="s">
        <v>63</v>
      </c>
      <c r="K3637" s="12" t="s">
        <v>64</v>
      </c>
      <c r="L3637" s="14"/>
      <c r="M3637" s="12" t="s">
        <v>43</v>
      </c>
      <c r="N3637" s="12" t="s">
        <v>467</v>
      </c>
      <c r="O3637" s="12" t="s">
        <v>13045</v>
      </c>
      <c r="P3637" s="12" t="s">
        <v>66</v>
      </c>
      <c r="Q3637" s="12" t="s">
        <v>67</v>
      </c>
      <c r="R3637" s="12" t="s">
        <v>730</v>
      </c>
      <c r="S3637" s="13">
        <v>192824776442</v>
      </c>
      <c r="T3637" s="12" t="s">
        <v>7784</v>
      </c>
      <c r="U3637" s="12" t="s">
        <v>403</v>
      </c>
      <c r="V3637" s="12" t="s">
        <v>1378</v>
      </c>
      <c r="W3637" s="12" t="s">
        <v>455</v>
      </c>
      <c r="X3637" s="13">
        <v>0</v>
      </c>
      <c r="Y3637" s="12" t="s">
        <v>91</v>
      </c>
      <c r="Z3637" s="12" t="s">
        <v>108</v>
      </c>
      <c r="AA3637" s="13">
        <v>0</v>
      </c>
      <c r="AB3637" s="13">
        <v>0</v>
      </c>
      <c r="AC3637" s="15">
        <v>27.3</v>
      </c>
      <c r="AD3637" s="15">
        <f>AC3637*AG3637</f>
        <v>27.3</v>
      </c>
      <c r="AE3637" s="15">
        <v>60</v>
      </c>
      <c r="AF3637" s="15">
        <f>AE3637*AG3637</f>
        <v>60</v>
      </c>
      <c r="AG3637" s="16">
        <v>1</v>
      </c>
    </row>
    <row r="3638" spans="1:33" ht="15" customHeight="1" x14ac:dyDescent="0.2">
      <c r="A3638" s="11" t="str">
        <f t="shared" ref="A3638:A3639" si="1245">HYPERLINK("https://assets.vans.eu/images/VN0A45CMLKZ-HERO/1","VN0A45CMLKZ1")</f>
        <v>VN0A45CMLKZ1</v>
      </c>
      <c r="B3638" s="12" t="s">
        <v>13046</v>
      </c>
      <c r="C3638" s="12" t="s">
        <v>13047</v>
      </c>
      <c r="D3638" s="12" t="s">
        <v>1213</v>
      </c>
      <c r="E3638" s="12" t="s">
        <v>13048</v>
      </c>
      <c r="F3638" s="12" t="s">
        <v>170</v>
      </c>
      <c r="G3638" s="14"/>
      <c r="H3638" s="12" t="s">
        <v>61</v>
      </c>
      <c r="I3638" s="12" t="s">
        <v>13049</v>
      </c>
      <c r="J3638" s="12" t="s">
        <v>13050</v>
      </c>
      <c r="K3638" s="12" t="s">
        <v>199</v>
      </c>
      <c r="L3638" s="12" t="s">
        <v>42</v>
      </c>
      <c r="M3638" s="12" t="s">
        <v>43</v>
      </c>
      <c r="N3638" s="12" t="s">
        <v>10585</v>
      </c>
      <c r="O3638" s="12" t="s">
        <v>13051</v>
      </c>
      <c r="P3638" s="12" t="s">
        <v>66</v>
      </c>
      <c r="Q3638" s="12" t="s">
        <v>67</v>
      </c>
      <c r="R3638" s="12" t="s">
        <v>623</v>
      </c>
      <c r="S3638" s="13">
        <v>847223058155</v>
      </c>
      <c r="T3638" s="12" t="s">
        <v>69</v>
      </c>
      <c r="U3638" s="12" t="s">
        <v>170</v>
      </c>
      <c r="V3638" s="12" t="s">
        <v>70</v>
      </c>
      <c r="W3638" s="12" t="s">
        <v>284</v>
      </c>
      <c r="X3638" s="14"/>
      <c r="Y3638" s="12" t="s">
        <v>71</v>
      </c>
      <c r="Z3638" s="12" t="s">
        <v>92</v>
      </c>
      <c r="AA3638" s="12" t="s">
        <v>354</v>
      </c>
      <c r="AB3638" s="13">
        <v>0</v>
      </c>
      <c r="AC3638" s="15">
        <v>0</v>
      </c>
      <c r="AD3638" s="15">
        <f>AC3638*AG3638</f>
        <v>0</v>
      </c>
      <c r="AE3638" s="15">
        <v>60</v>
      </c>
      <c r="AF3638" s="15">
        <f>AE3638*AG3638</f>
        <v>60</v>
      </c>
      <c r="AG3638" s="16">
        <v>1</v>
      </c>
    </row>
    <row r="3639" spans="1:33" ht="15" customHeight="1" x14ac:dyDescent="0.2">
      <c r="A3639" s="11" t="str">
        <f t="shared" si="1245"/>
        <v>VN0A45CMLKZ1</v>
      </c>
      <c r="B3639" s="12" t="s">
        <v>13052</v>
      </c>
      <c r="C3639" s="12" t="s">
        <v>13047</v>
      </c>
      <c r="D3639" s="12" t="s">
        <v>1213</v>
      </c>
      <c r="E3639" s="12" t="s">
        <v>13053</v>
      </c>
      <c r="F3639" s="12" t="s">
        <v>153</v>
      </c>
      <c r="G3639" s="14"/>
      <c r="H3639" s="12" t="s">
        <v>61</v>
      </c>
      <c r="I3639" s="12" t="s">
        <v>13049</v>
      </c>
      <c r="J3639" s="12" t="s">
        <v>13050</v>
      </c>
      <c r="K3639" s="12" t="s">
        <v>199</v>
      </c>
      <c r="L3639" s="12" t="s">
        <v>42</v>
      </c>
      <c r="M3639" s="12" t="s">
        <v>43</v>
      </c>
      <c r="N3639" s="12" t="s">
        <v>10585</v>
      </c>
      <c r="O3639" s="12" t="s">
        <v>13054</v>
      </c>
      <c r="P3639" s="12" t="s">
        <v>66</v>
      </c>
      <c r="Q3639" s="12" t="s">
        <v>67</v>
      </c>
      <c r="R3639" s="12" t="s">
        <v>623</v>
      </c>
      <c r="S3639" s="13">
        <v>847223057998</v>
      </c>
      <c r="T3639" s="12" t="s">
        <v>69</v>
      </c>
      <c r="U3639" s="12" t="s">
        <v>153</v>
      </c>
      <c r="V3639" s="12" t="s">
        <v>70</v>
      </c>
      <c r="W3639" s="12" t="s">
        <v>284</v>
      </c>
      <c r="X3639" s="14"/>
      <c r="Y3639" s="12" t="s">
        <v>71</v>
      </c>
      <c r="Z3639" s="12" t="s">
        <v>92</v>
      </c>
      <c r="AA3639" s="12" t="s">
        <v>354</v>
      </c>
      <c r="AB3639" s="13">
        <v>0</v>
      </c>
      <c r="AC3639" s="15">
        <v>0</v>
      </c>
      <c r="AD3639" s="15">
        <f>AC3639*AG3639</f>
        <v>0</v>
      </c>
      <c r="AE3639" s="15">
        <v>60</v>
      </c>
      <c r="AF3639" s="15">
        <f>AE3639*AG3639</f>
        <v>60</v>
      </c>
      <c r="AG3639" s="16">
        <v>1</v>
      </c>
    </row>
    <row r="3640" spans="1:33" ht="15" customHeight="1" x14ac:dyDescent="0.2">
      <c r="A3640" s="11" t="str">
        <f>HYPERLINK("https://assets.vans.eu/images/VN0A47TCBLK-HERO/1","VN0A47TCBLK1")</f>
        <v>VN0A47TCBLK1</v>
      </c>
      <c r="B3640" s="12" t="s">
        <v>13055</v>
      </c>
      <c r="C3640" s="12" t="s">
        <v>13056</v>
      </c>
      <c r="D3640" s="12" t="s">
        <v>76</v>
      </c>
      <c r="E3640" s="12" t="s">
        <v>13057</v>
      </c>
      <c r="F3640" s="12" t="s">
        <v>153</v>
      </c>
      <c r="G3640" s="12" t="s">
        <v>1521</v>
      </c>
      <c r="H3640" s="12" t="s">
        <v>61</v>
      </c>
      <c r="I3640" s="12" t="s">
        <v>13058</v>
      </c>
      <c r="J3640" s="12" t="s">
        <v>13059</v>
      </c>
      <c r="K3640" s="12" t="s">
        <v>100</v>
      </c>
      <c r="L3640" s="14"/>
      <c r="M3640" s="12" t="s">
        <v>43</v>
      </c>
      <c r="N3640" s="12" t="s">
        <v>13060</v>
      </c>
      <c r="O3640" s="12" t="s">
        <v>13061</v>
      </c>
      <c r="P3640" s="12" t="s">
        <v>66</v>
      </c>
      <c r="Q3640" s="12" t="s">
        <v>67</v>
      </c>
      <c r="R3640" s="12" t="s">
        <v>708</v>
      </c>
      <c r="S3640" s="13">
        <v>193390192568</v>
      </c>
      <c r="T3640" s="12" t="s">
        <v>69</v>
      </c>
      <c r="U3640" s="12" t="s">
        <v>153</v>
      </c>
      <c r="V3640" s="12" t="s">
        <v>1343</v>
      </c>
      <c r="W3640" s="12" t="s">
        <v>51</v>
      </c>
      <c r="X3640" s="14"/>
      <c r="Y3640" s="12" t="s">
        <v>53</v>
      </c>
      <c r="Z3640" s="12" t="s">
        <v>376</v>
      </c>
      <c r="AA3640" s="14"/>
      <c r="AB3640" s="13">
        <v>0</v>
      </c>
      <c r="AC3640" s="15">
        <v>0</v>
      </c>
      <c r="AD3640" s="15">
        <f>AC3640*AG3640</f>
        <v>0</v>
      </c>
      <c r="AE3640" s="15">
        <v>70</v>
      </c>
      <c r="AF3640" s="15">
        <f>AE3640*AG3640</f>
        <v>70</v>
      </c>
      <c r="AG3640" s="16">
        <v>1</v>
      </c>
    </row>
    <row r="3641" spans="1:33" ht="15" customHeight="1" x14ac:dyDescent="0.2">
      <c r="A3641" s="11" t="str">
        <f t="shared" ref="A3641:A3643" si="1246">HYPERLINK("https://assets.vans.eu/images/VN0A49LCYB2-HERO/1","VN0A49LCYB21")</f>
        <v>VN0A49LCYB21</v>
      </c>
      <c r="B3641" s="12" t="s">
        <v>13062</v>
      </c>
      <c r="C3641" s="12" t="s">
        <v>13063</v>
      </c>
      <c r="D3641" s="12" t="s">
        <v>1138</v>
      </c>
      <c r="E3641" s="12" t="s">
        <v>13064</v>
      </c>
      <c r="F3641" s="12" t="s">
        <v>179</v>
      </c>
      <c r="G3641" s="14"/>
      <c r="H3641" s="12" t="s">
        <v>61</v>
      </c>
      <c r="I3641" s="12" t="s">
        <v>230</v>
      </c>
      <c r="J3641" s="12" t="s">
        <v>419</v>
      </c>
      <c r="K3641" s="12" t="s">
        <v>199</v>
      </c>
      <c r="L3641" s="14"/>
      <c r="M3641" s="12" t="s">
        <v>43</v>
      </c>
      <c r="N3641" s="12" t="s">
        <v>161</v>
      </c>
      <c r="O3641" s="12" t="s">
        <v>13065</v>
      </c>
      <c r="P3641" s="12" t="s">
        <v>66</v>
      </c>
      <c r="Q3641" s="12" t="s">
        <v>67</v>
      </c>
      <c r="R3641" s="12" t="s">
        <v>421</v>
      </c>
      <c r="S3641" s="13">
        <v>193391220741</v>
      </c>
      <c r="T3641" s="12" t="s">
        <v>422</v>
      </c>
      <c r="U3641" s="12" t="s">
        <v>179</v>
      </c>
      <c r="V3641" s="12" t="s">
        <v>423</v>
      </c>
      <c r="W3641" s="12" t="s">
        <v>175</v>
      </c>
      <c r="X3641" s="13">
        <v>0</v>
      </c>
      <c r="Y3641" s="12" t="s">
        <v>91</v>
      </c>
      <c r="Z3641" s="12" t="s">
        <v>108</v>
      </c>
      <c r="AA3641" s="13">
        <v>0</v>
      </c>
      <c r="AB3641" s="13">
        <v>0</v>
      </c>
      <c r="AC3641" s="15">
        <v>15.5</v>
      </c>
      <c r="AD3641" s="15">
        <f>AC3641*AG3641</f>
        <v>15.5</v>
      </c>
      <c r="AE3641" s="15">
        <v>34</v>
      </c>
      <c r="AF3641" s="15">
        <f>AE3641*AG3641</f>
        <v>34</v>
      </c>
      <c r="AG3641" s="16">
        <v>1</v>
      </c>
    </row>
    <row r="3642" spans="1:33" ht="15" customHeight="1" x14ac:dyDescent="0.2">
      <c r="A3642" s="11" t="str">
        <f t="shared" si="1246"/>
        <v>VN0A49LCYB21</v>
      </c>
      <c r="B3642" s="12" t="s">
        <v>13066</v>
      </c>
      <c r="C3642" s="12" t="s">
        <v>13063</v>
      </c>
      <c r="D3642" s="12" t="s">
        <v>1138</v>
      </c>
      <c r="E3642" s="12" t="s">
        <v>13067</v>
      </c>
      <c r="F3642" s="12" t="s">
        <v>403</v>
      </c>
      <c r="G3642" s="14"/>
      <c r="H3642" s="12" t="s">
        <v>61</v>
      </c>
      <c r="I3642" s="12" t="s">
        <v>230</v>
      </c>
      <c r="J3642" s="12" t="s">
        <v>419</v>
      </c>
      <c r="K3642" s="12" t="s">
        <v>199</v>
      </c>
      <c r="L3642" s="14"/>
      <c r="M3642" s="12" t="s">
        <v>43</v>
      </c>
      <c r="N3642" s="12" t="s">
        <v>161</v>
      </c>
      <c r="O3642" s="12" t="s">
        <v>13068</v>
      </c>
      <c r="P3642" s="12" t="s">
        <v>66</v>
      </c>
      <c r="Q3642" s="12" t="s">
        <v>67</v>
      </c>
      <c r="R3642" s="12" t="s">
        <v>421</v>
      </c>
      <c r="S3642" s="13">
        <v>193391220116</v>
      </c>
      <c r="T3642" s="12" t="s">
        <v>422</v>
      </c>
      <c r="U3642" s="12" t="s">
        <v>403</v>
      </c>
      <c r="V3642" s="12" t="s">
        <v>423</v>
      </c>
      <c r="W3642" s="12" t="s">
        <v>175</v>
      </c>
      <c r="X3642" s="13">
        <v>0</v>
      </c>
      <c r="Y3642" s="12" t="s">
        <v>91</v>
      </c>
      <c r="Z3642" s="12" t="s">
        <v>108</v>
      </c>
      <c r="AA3642" s="13">
        <v>0</v>
      </c>
      <c r="AB3642" s="13">
        <v>0</v>
      </c>
      <c r="AC3642" s="15">
        <v>15.5</v>
      </c>
      <c r="AD3642" s="15">
        <f>AC3642*AG3642</f>
        <v>15.5</v>
      </c>
      <c r="AE3642" s="15">
        <v>34</v>
      </c>
      <c r="AF3642" s="15">
        <f>AE3642*AG3642</f>
        <v>34</v>
      </c>
      <c r="AG3642" s="16">
        <v>1</v>
      </c>
    </row>
    <row r="3643" spans="1:33" ht="15" customHeight="1" x14ac:dyDescent="0.2">
      <c r="A3643" s="11" t="str">
        <f t="shared" si="1246"/>
        <v>VN0A49LCYB21</v>
      </c>
      <c r="B3643" s="12" t="s">
        <v>13069</v>
      </c>
      <c r="C3643" s="12" t="s">
        <v>13063</v>
      </c>
      <c r="D3643" s="12" t="s">
        <v>1138</v>
      </c>
      <c r="E3643" s="12" t="s">
        <v>13070</v>
      </c>
      <c r="F3643" s="12" t="s">
        <v>60</v>
      </c>
      <c r="G3643" s="14"/>
      <c r="H3643" s="12" t="s">
        <v>61</v>
      </c>
      <c r="I3643" s="12" t="s">
        <v>230</v>
      </c>
      <c r="J3643" s="12" t="s">
        <v>419</v>
      </c>
      <c r="K3643" s="12" t="s">
        <v>199</v>
      </c>
      <c r="L3643" s="14"/>
      <c r="M3643" s="12" t="s">
        <v>43</v>
      </c>
      <c r="N3643" s="12" t="s">
        <v>161</v>
      </c>
      <c r="O3643" s="12" t="s">
        <v>13071</v>
      </c>
      <c r="P3643" s="12" t="s">
        <v>66</v>
      </c>
      <c r="Q3643" s="12" t="s">
        <v>67</v>
      </c>
      <c r="R3643" s="12" t="s">
        <v>421</v>
      </c>
      <c r="S3643" s="13">
        <v>193391221113</v>
      </c>
      <c r="T3643" s="12" t="s">
        <v>422</v>
      </c>
      <c r="U3643" s="12" t="s">
        <v>60</v>
      </c>
      <c r="V3643" s="12" t="s">
        <v>423</v>
      </c>
      <c r="W3643" s="12" t="s">
        <v>175</v>
      </c>
      <c r="X3643" s="13">
        <v>0</v>
      </c>
      <c r="Y3643" s="12" t="s">
        <v>91</v>
      </c>
      <c r="Z3643" s="12" t="s">
        <v>108</v>
      </c>
      <c r="AA3643" s="13">
        <v>0</v>
      </c>
      <c r="AB3643" s="13">
        <v>0</v>
      </c>
      <c r="AC3643" s="15">
        <v>15.5</v>
      </c>
      <c r="AD3643" s="15">
        <f>AC3643*AG3643</f>
        <v>15.5</v>
      </c>
      <c r="AE3643" s="15">
        <v>34</v>
      </c>
      <c r="AF3643" s="15">
        <f>AE3643*AG3643</f>
        <v>34</v>
      </c>
      <c r="AG3643" s="16">
        <v>1</v>
      </c>
    </row>
    <row r="3644" spans="1:33" ht="15" customHeight="1" x14ac:dyDescent="0.2">
      <c r="A3644" s="11" t="str">
        <f t="shared" si="968"/>
        <v>VN0A49MUY281</v>
      </c>
      <c r="B3644" s="12" t="s">
        <v>13072</v>
      </c>
      <c r="C3644" s="12" t="s">
        <v>8858</v>
      </c>
      <c r="D3644" s="12" t="s">
        <v>58</v>
      </c>
      <c r="E3644" s="12" t="s">
        <v>13073</v>
      </c>
      <c r="F3644" s="13">
        <v>2</v>
      </c>
      <c r="G3644" s="14"/>
      <c r="H3644" s="12" t="s">
        <v>61</v>
      </c>
      <c r="I3644" s="12" t="s">
        <v>1340</v>
      </c>
      <c r="J3644" s="12" t="s">
        <v>1341</v>
      </c>
      <c r="K3644" s="12" t="s">
        <v>64</v>
      </c>
      <c r="L3644" s="14"/>
      <c r="M3644" s="12" t="s">
        <v>43</v>
      </c>
      <c r="N3644" s="12" t="s">
        <v>274</v>
      </c>
      <c r="O3644" s="12" t="s">
        <v>13074</v>
      </c>
      <c r="P3644" s="12" t="s">
        <v>66</v>
      </c>
      <c r="Q3644" s="12" t="s">
        <v>67</v>
      </c>
      <c r="R3644" s="12" t="s">
        <v>730</v>
      </c>
      <c r="S3644" s="13">
        <v>847223029858</v>
      </c>
      <c r="T3644" s="12" t="s">
        <v>69</v>
      </c>
      <c r="U3644" s="13">
        <v>2</v>
      </c>
      <c r="V3644" s="12" t="s">
        <v>1378</v>
      </c>
      <c r="W3644" s="12" t="s">
        <v>51</v>
      </c>
      <c r="X3644" s="13">
        <v>0</v>
      </c>
      <c r="Y3644" s="12" t="s">
        <v>91</v>
      </c>
      <c r="Z3644" s="12" t="s">
        <v>108</v>
      </c>
      <c r="AA3644" s="13">
        <v>0</v>
      </c>
      <c r="AB3644" s="13">
        <v>0</v>
      </c>
      <c r="AC3644" s="15">
        <v>23.65</v>
      </c>
      <c r="AD3644" s="15">
        <f>AC3644*AG3644</f>
        <v>23.65</v>
      </c>
      <c r="AE3644" s="15">
        <v>52</v>
      </c>
      <c r="AF3644" s="15">
        <f>AE3644*AG3644</f>
        <v>52</v>
      </c>
      <c r="AG3644" s="16">
        <v>1</v>
      </c>
    </row>
    <row r="3645" spans="1:33" ht="15" customHeight="1" x14ac:dyDescent="0.2">
      <c r="A3645" s="11" t="str">
        <f>HYPERLINK("https://assets.vans.eu/images/VN0A49OYBDX-HERO/1","VN0A49OYBDX1")</f>
        <v>VN0A49OYBDX1</v>
      </c>
      <c r="B3645" s="12" t="s">
        <v>13075</v>
      </c>
      <c r="C3645" s="12" t="s">
        <v>8862</v>
      </c>
      <c r="D3645" s="12" t="s">
        <v>7763</v>
      </c>
      <c r="E3645" s="12" t="s">
        <v>13076</v>
      </c>
      <c r="F3645" s="12" t="s">
        <v>179</v>
      </c>
      <c r="G3645" s="14"/>
      <c r="H3645" s="12" t="s">
        <v>61</v>
      </c>
      <c r="I3645" s="12" t="s">
        <v>62</v>
      </c>
      <c r="J3645" s="12" t="s">
        <v>63</v>
      </c>
      <c r="K3645" s="12" t="s">
        <v>64</v>
      </c>
      <c r="L3645" s="12" t="s">
        <v>83</v>
      </c>
      <c r="M3645" s="12" t="s">
        <v>43</v>
      </c>
      <c r="N3645" s="12" t="s">
        <v>84</v>
      </c>
      <c r="O3645" s="12" t="s">
        <v>13077</v>
      </c>
      <c r="P3645" s="12" t="s">
        <v>66</v>
      </c>
      <c r="Q3645" s="12" t="s">
        <v>67</v>
      </c>
      <c r="R3645" s="12" t="s">
        <v>68</v>
      </c>
      <c r="S3645" s="13">
        <v>197063510406</v>
      </c>
      <c r="T3645" s="12" t="s">
        <v>69</v>
      </c>
      <c r="U3645" s="12" t="s">
        <v>179</v>
      </c>
      <c r="V3645" s="12" t="s">
        <v>70</v>
      </c>
      <c r="W3645" s="12" t="s">
        <v>118</v>
      </c>
      <c r="X3645" s="13">
        <v>0</v>
      </c>
      <c r="Y3645" s="12" t="s">
        <v>91</v>
      </c>
      <c r="Z3645" s="12" t="s">
        <v>108</v>
      </c>
      <c r="AA3645" s="13">
        <v>0</v>
      </c>
      <c r="AB3645" s="13">
        <v>0</v>
      </c>
      <c r="AC3645" s="15">
        <v>18.2</v>
      </c>
      <c r="AD3645" s="15">
        <f>AC3645*AG3645</f>
        <v>18.2</v>
      </c>
      <c r="AE3645" s="15">
        <v>40</v>
      </c>
      <c r="AF3645" s="15">
        <f>AE3645*AG3645</f>
        <v>40</v>
      </c>
      <c r="AG3645" s="16">
        <v>1</v>
      </c>
    </row>
    <row r="3646" spans="1:33" ht="15" customHeight="1" x14ac:dyDescent="0.2">
      <c r="A3646" s="11" t="str">
        <f>HYPERLINK("https://assets.vans.eu/images/VN0A49OYBLK-HERO/1","VN0A49OYBLK1")</f>
        <v>VN0A49OYBLK1</v>
      </c>
      <c r="B3646" s="12" t="s">
        <v>13078</v>
      </c>
      <c r="C3646" s="12" t="s">
        <v>8862</v>
      </c>
      <c r="D3646" s="12" t="s">
        <v>76</v>
      </c>
      <c r="E3646" s="12" t="s">
        <v>13079</v>
      </c>
      <c r="F3646" s="12" t="s">
        <v>170</v>
      </c>
      <c r="G3646" s="14"/>
      <c r="H3646" s="12" t="s">
        <v>61</v>
      </c>
      <c r="I3646" s="12" t="s">
        <v>62</v>
      </c>
      <c r="J3646" s="12" t="s">
        <v>63</v>
      </c>
      <c r="K3646" s="12" t="s">
        <v>64</v>
      </c>
      <c r="L3646" s="12" t="s">
        <v>83</v>
      </c>
      <c r="M3646" s="12" t="s">
        <v>43</v>
      </c>
      <c r="N3646" s="12" t="s">
        <v>84</v>
      </c>
      <c r="O3646" s="12" t="s">
        <v>13080</v>
      </c>
      <c r="P3646" s="12" t="s">
        <v>66</v>
      </c>
      <c r="Q3646" s="12" t="s">
        <v>67</v>
      </c>
      <c r="R3646" s="12" t="s">
        <v>68</v>
      </c>
      <c r="S3646" s="13">
        <v>197065814427</v>
      </c>
      <c r="T3646" s="12" t="s">
        <v>69</v>
      </c>
      <c r="U3646" s="12" t="s">
        <v>170</v>
      </c>
      <c r="V3646" s="12" t="s">
        <v>70</v>
      </c>
      <c r="W3646" s="12" t="s">
        <v>51</v>
      </c>
      <c r="X3646" s="13">
        <v>0</v>
      </c>
      <c r="Y3646" s="12" t="s">
        <v>91</v>
      </c>
      <c r="Z3646" s="12" t="s">
        <v>108</v>
      </c>
      <c r="AA3646" s="13">
        <v>0</v>
      </c>
      <c r="AB3646" s="12" t="s">
        <v>616</v>
      </c>
      <c r="AC3646" s="15">
        <v>18.2</v>
      </c>
      <c r="AD3646" s="15">
        <f>AC3646*AG3646</f>
        <v>18.2</v>
      </c>
      <c r="AE3646" s="15">
        <v>40</v>
      </c>
      <c r="AF3646" s="15">
        <f>AE3646*AG3646</f>
        <v>40</v>
      </c>
      <c r="AG3646" s="16">
        <v>1</v>
      </c>
    </row>
    <row r="3647" spans="1:33" ht="15" customHeight="1" x14ac:dyDescent="0.2">
      <c r="A3647" s="11" t="str">
        <f>HYPERLINK("https://assets.vans.eu/images/VN0A49OYZDS-HERO/1","VN0A49OYZDS1")</f>
        <v>VN0A49OYZDS1</v>
      </c>
      <c r="B3647" s="12" t="s">
        <v>13081</v>
      </c>
      <c r="C3647" s="12" t="s">
        <v>8862</v>
      </c>
      <c r="D3647" s="12" t="s">
        <v>13082</v>
      </c>
      <c r="E3647" s="12" t="s">
        <v>13083</v>
      </c>
      <c r="F3647" s="12" t="s">
        <v>403</v>
      </c>
      <c r="G3647" s="14"/>
      <c r="H3647" s="12" t="s">
        <v>61</v>
      </c>
      <c r="I3647" s="12" t="s">
        <v>62</v>
      </c>
      <c r="J3647" s="12" t="s">
        <v>63</v>
      </c>
      <c r="K3647" s="12" t="s">
        <v>64</v>
      </c>
      <c r="L3647" s="12" t="s">
        <v>350</v>
      </c>
      <c r="M3647" s="12" t="s">
        <v>43</v>
      </c>
      <c r="N3647" s="12" t="s">
        <v>161</v>
      </c>
      <c r="O3647" s="12" t="s">
        <v>13084</v>
      </c>
      <c r="P3647" s="12" t="s">
        <v>66</v>
      </c>
      <c r="Q3647" s="12" t="s">
        <v>67</v>
      </c>
      <c r="R3647" s="12" t="s">
        <v>68</v>
      </c>
      <c r="S3647" s="13">
        <v>195436400330</v>
      </c>
      <c r="T3647" s="12" t="s">
        <v>69</v>
      </c>
      <c r="U3647" s="12" t="s">
        <v>403</v>
      </c>
      <c r="V3647" s="12" t="s">
        <v>70</v>
      </c>
      <c r="W3647" s="12" t="s">
        <v>284</v>
      </c>
      <c r="X3647" s="13">
        <v>0</v>
      </c>
      <c r="Y3647" s="12" t="s">
        <v>71</v>
      </c>
      <c r="Z3647" s="12" t="s">
        <v>92</v>
      </c>
      <c r="AA3647" s="12" t="s">
        <v>354</v>
      </c>
      <c r="AB3647" s="12" t="s">
        <v>355</v>
      </c>
      <c r="AC3647" s="15">
        <v>18.2</v>
      </c>
      <c r="AD3647" s="15">
        <f>AC3647*AG3647</f>
        <v>18.2</v>
      </c>
      <c r="AE3647" s="15">
        <v>40</v>
      </c>
      <c r="AF3647" s="15">
        <f>AE3647*AG3647</f>
        <v>40</v>
      </c>
      <c r="AG3647" s="16">
        <v>1</v>
      </c>
    </row>
    <row r="3648" spans="1:33" ht="15" customHeight="1" x14ac:dyDescent="0.2">
      <c r="A3648" s="11" t="str">
        <f t="shared" ref="A3648:A3649" si="1247">HYPERLINK("https://assets.vans.eu/images/VN0A4CYFBLK-HERO/1","VN0A4CYFBLK1")</f>
        <v>VN0A4CYFBLK1</v>
      </c>
      <c r="B3648" s="12" t="s">
        <v>13085</v>
      </c>
      <c r="C3648" s="12" t="s">
        <v>13086</v>
      </c>
      <c r="D3648" s="12" t="s">
        <v>76</v>
      </c>
      <c r="E3648" s="12" t="s">
        <v>13087</v>
      </c>
      <c r="F3648" s="12" t="s">
        <v>170</v>
      </c>
      <c r="G3648" s="14"/>
      <c r="H3648" s="12" t="s">
        <v>61</v>
      </c>
      <c r="I3648" s="12" t="s">
        <v>230</v>
      </c>
      <c r="J3648" s="12" t="s">
        <v>419</v>
      </c>
      <c r="K3648" s="12" t="s">
        <v>199</v>
      </c>
      <c r="L3648" s="12" t="s">
        <v>115</v>
      </c>
      <c r="M3648" s="12" t="s">
        <v>43</v>
      </c>
      <c r="N3648" s="12" t="s">
        <v>161</v>
      </c>
      <c r="O3648" s="12" t="s">
        <v>13088</v>
      </c>
      <c r="P3648" s="12" t="s">
        <v>66</v>
      </c>
      <c r="Q3648" s="12" t="s">
        <v>67</v>
      </c>
      <c r="R3648" s="12" t="s">
        <v>421</v>
      </c>
      <c r="S3648" s="13">
        <v>680975128390</v>
      </c>
      <c r="T3648" s="12" t="s">
        <v>422</v>
      </c>
      <c r="U3648" s="12" t="s">
        <v>170</v>
      </c>
      <c r="V3648" s="12" t="s">
        <v>423</v>
      </c>
      <c r="W3648" s="12" t="s">
        <v>51</v>
      </c>
      <c r="X3648" s="13">
        <v>0</v>
      </c>
      <c r="Y3648" s="12" t="s">
        <v>91</v>
      </c>
      <c r="Z3648" s="12" t="s">
        <v>92</v>
      </c>
      <c r="AA3648" s="12" t="s">
        <v>4300</v>
      </c>
      <c r="AB3648" s="12" t="s">
        <v>94</v>
      </c>
      <c r="AC3648" s="15">
        <v>17.3</v>
      </c>
      <c r="AD3648" s="15">
        <f>AC3648*AG3648</f>
        <v>17.3</v>
      </c>
      <c r="AE3648" s="15">
        <v>38</v>
      </c>
      <c r="AF3648" s="15">
        <f>AE3648*AG3648</f>
        <v>38</v>
      </c>
      <c r="AG3648" s="16">
        <v>1</v>
      </c>
    </row>
    <row r="3649" spans="1:33" ht="15" customHeight="1" x14ac:dyDescent="0.2">
      <c r="A3649" s="11" t="str">
        <f t="shared" si="1247"/>
        <v>VN0A4CYFBLK1</v>
      </c>
      <c r="B3649" s="12" t="s">
        <v>13089</v>
      </c>
      <c r="C3649" s="12" t="s">
        <v>13086</v>
      </c>
      <c r="D3649" s="12" t="s">
        <v>76</v>
      </c>
      <c r="E3649" s="12" t="s">
        <v>13090</v>
      </c>
      <c r="F3649" s="12" t="s">
        <v>60</v>
      </c>
      <c r="G3649" s="14"/>
      <c r="H3649" s="12" t="s">
        <v>61</v>
      </c>
      <c r="I3649" s="12" t="s">
        <v>230</v>
      </c>
      <c r="J3649" s="12" t="s">
        <v>419</v>
      </c>
      <c r="K3649" s="12" t="s">
        <v>199</v>
      </c>
      <c r="L3649" s="12" t="s">
        <v>115</v>
      </c>
      <c r="M3649" s="12" t="s">
        <v>43</v>
      </c>
      <c r="N3649" s="12" t="s">
        <v>161</v>
      </c>
      <c r="O3649" s="12" t="s">
        <v>13091</v>
      </c>
      <c r="P3649" s="12" t="s">
        <v>66</v>
      </c>
      <c r="Q3649" s="12" t="s">
        <v>67</v>
      </c>
      <c r="R3649" s="12" t="s">
        <v>421</v>
      </c>
      <c r="S3649" s="13">
        <v>680975128475</v>
      </c>
      <c r="T3649" s="12" t="s">
        <v>422</v>
      </c>
      <c r="U3649" s="12" t="s">
        <v>60</v>
      </c>
      <c r="V3649" s="12" t="s">
        <v>423</v>
      </c>
      <c r="W3649" s="12" t="s">
        <v>51</v>
      </c>
      <c r="X3649" s="13">
        <v>0</v>
      </c>
      <c r="Y3649" s="12" t="s">
        <v>91</v>
      </c>
      <c r="Z3649" s="12" t="s">
        <v>92</v>
      </c>
      <c r="AA3649" s="12" t="s">
        <v>4300</v>
      </c>
      <c r="AB3649" s="12" t="s">
        <v>94</v>
      </c>
      <c r="AC3649" s="15">
        <v>17.3</v>
      </c>
      <c r="AD3649" s="15">
        <f>AC3649*AG3649</f>
        <v>17.3</v>
      </c>
      <c r="AE3649" s="15">
        <v>38</v>
      </c>
      <c r="AF3649" s="15">
        <f>AE3649*AG3649</f>
        <v>38</v>
      </c>
      <c r="AG3649" s="16">
        <v>1</v>
      </c>
    </row>
    <row r="3650" spans="1:33" ht="15" customHeight="1" x14ac:dyDescent="0.2">
      <c r="A3650" s="11" t="str">
        <f t="shared" si="970"/>
        <v>VN0A4CYYWHT1</v>
      </c>
      <c r="B3650" s="12" t="s">
        <v>13092</v>
      </c>
      <c r="C3650" s="12" t="s">
        <v>8869</v>
      </c>
      <c r="D3650" s="12" t="s">
        <v>168</v>
      </c>
      <c r="E3650" s="12" t="s">
        <v>13093</v>
      </c>
      <c r="F3650" s="12" t="s">
        <v>179</v>
      </c>
      <c r="G3650" s="14"/>
      <c r="H3650" s="12" t="s">
        <v>61</v>
      </c>
      <c r="I3650" s="12" t="s">
        <v>230</v>
      </c>
      <c r="J3650" s="12" t="s">
        <v>419</v>
      </c>
      <c r="K3650" s="12" t="s">
        <v>199</v>
      </c>
      <c r="L3650" s="12" t="s">
        <v>115</v>
      </c>
      <c r="M3650" s="12" t="s">
        <v>43</v>
      </c>
      <c r="N3650" s="12" t="s">
        <v>161</v>
      </c>
      <c r="O3650" s="12" t="s">
        <v>13094</v>
      </c>
      <c r="P3650" s="12" t="s">
        <v>66</v>
      </c>
      <c r="Q3650" s="12" t="s">
        <v>67</v>
      </c>
      <c r="R3650" s="12" t="s">
        <v>421</v>
      </c>
      <c r="S3650" s="13">
        <v>680975130744</v>
      </c>
      <c r="T3650" s="12" t="s">
        <v>69</v>
      </c>
      <c r="U3650" s="12" t="s">
        <v>179</v>
      </c>
      <c r="V3650" s="12" t="s">
        <v>423</v>
      </c>
      <c r="W3650" s="12" t="s">
        <v>175</v>
      </c>
      <c r="X3650" s="13">
        <v>0</v>
      </c>
      <c r="Y3650" s="12" t="s">
        <v>91</v>
      </c>
      <c r="Z3650" s="12" t="s">
        <v>92</v>
      </c>
      <c r="AA3650" s="12" t="s">
        <v>4300</v>
      </c>
      <c r="AB3650" s="12" t="s">
        <v>94</v>
      </c>
      <c r="AC3650" s="15">
        <v>17.3</v>
      </c>
      <c r="AD3650" s="15">
        <f>AC3650*AG3650</f>
        <v>17.3</v>
      </c>
      <c r="AE3650" s="15">
        <v>38</v>
      </c>
      <c r="AF3650" s="15">
        <f>AE3650*AG3650</f>
        <v>38</v>
      </c>
      <c r="AG3650" s="16">
        <v>1</v>
      </c>
    </row>
    <row r="3651" spans="1:33" ht="15" customHeight="1" x14ac:dyDescent="0.2">
      <c r="A3651" s="11" t="str">
        <f>HYPERLINK("https://assets.vans.eu/images/VN0A4CYYWHT-HERO/1","VN0A4CYYWHT1")</f>
        <v>VN0A4CYYWHT1</v>
      </c>
      <c r="B3651" s="12" t="s">
        <v>13095</v>
      </c>
      <c r="C3651" s="12" t="s">
        <v>8869</v>
      </c>
      <c r="D3651" s="12" t="s">
        <v>168</v>
      </c>
      <c r="E3651" s="12" t="s">
        <v>13096</v>
      </c>
      <c r="F3651" s="12" t="s">
        <v>60</v>
      </c>
      <c r="G3651" s="14"/>
      <c r="H3651" s="12" t="s">
        <v>61</v>
      </c>
      <c r="I3651" s="12" t="s">
        <v>230</v>
      </c>
      <c r="J3651" s="12" t="s">
        <v>419</v>
      </c>
      <c r="K3651" s="12" t="s">
        <v>199</v>
      </c>
      <c r="L3651" s="12" t="s">
        <v>115</v>
      </c>
      <c r="M3651" s="12" t="s">
        <v>43</v>
      </c>
      <c r="N3651" s="12" t="s">
        <v>161</v>
      </c>
      <c r="O3651" s="12" t="s">
        <v>13097</v>
      </c>
      <c r="P3651" s="12" t="s">
        <v>66</v>
      </c>
      <c r="Q3651" s="12" t="s">
        <v>67</v>
      </c>
      <c r="R3651" s="12" t="s">
        <v>421</v>
      </c>
      <c r="S3651" s="13">
        <v>680975130881</v>
      </c>
      <c r="T3651" s="12" t="s">
        <v>69</v>
      </c>
      <c r="U3651" s="12" t="s">
        <v>60</v>
      </c>
      <c r="V3651" s="12" t="s">
        <v>423</v>
      </c>
      <c r="W3651" s="12" t="s">
        <v>175</v>
      </c>
      <c r="X3651" s="13">
        <v>0</v>
      </c>
      <c r="Y3651" s="12" t="s">
        <v>91</v>
      </c>
      <c r="Z3651" s="12" t="s">
        <v>92</v>
      </c>
      <c r="AA3651" s="12" t="s">
        <v>4300</v>
      </c>
      <c r="AB3651" s="12" t="s">
        <v>94</v>
      </c>
      <c r="AC3651" s="15">
        <v>17.3</v>
      </c>
      <c r="AD3651" s="15">
        <f>AC3651*AG3651</f>
        <v>17.3</v>
      </c>
      <c r="AE3651" s="15">
        <v>38</v>
      </c>
      <c r="AF3651" s="15">
        <f>AE3651*AG3651</f>
        <v>38</v>
      </c>
      <c r="AG3651" s="16">
        <v>1</v>
      </c>
    </row>
    <row r="3652" spans="1:33" ht="15" customHeight="1" x14ac:dyDescent="0.2">
      <c r="A3652" s="11" t="str">
        <f>HYPERLINK("https://assets.vans.eu/images/VN0A4MQ3BR1-HERO/1","VN0A4MQ3BR11")</f>
        <v>VN0A4MQ3BR11</v>
      </c>
      <c r="B3652" s="12" t="s">
        <v>13098</v>
      </c>
      <c r="C3652" s="12" t="s">
        <v>1827</v>
      </c>
      <c r="D3652" s="12" t="s">
        <v>496</v>
      </c>
      <c r="E3652" s="12" t="s">
        <v>13099</v>
      </c>
      <c r="F3652" s="12" t="s">
        <v>60</v>
      </c>
      <c r="G3652" s="14"/>
      <c r="H3652" s="12" t="s">
        <v>61</v>
      </c>
      <c r="I3652" s="12" t="s">
        <v>62</v>
      </c>
      <c r="J3652" s="12" t="s">
        <v>63</v>
      </c>
      <c r="K3652" s="12" t="s">
        <v>64</v>
      </c>
      <c r="L3652" s="12" t="s">
        <v>83</v>
      </c>
      <c r="M3652" s="12" t="s">
        <v>43</v>
      </c>
      <c r="N3652" s="12" t="s">
        <v>44</v>
      </c>
      <c r="O3652" s="12" t="s">
        <v>13100</v>
      </c>
      <c r="P3652" s="12" t="s">
        <v>66</v>
      </c>
      <c r="Q3652" s="12" t="s">
        <v>67</v>
      </c>
      <c r="R3652" s="12" t="s">
        <v>68</v>
      </c>
      <c r="S3652" s="13">
        <v>197803407300</v>
      </c>
      <c r="T3652" s="12" t="s">
        <v>422</v>
      </c>
      <c r="U3652" s="12" t="s">
        <v>60</v>
      </c>
      <c r="V3652" s="12" t="s">
        <v>423</v>
      </c>
      <c r="W3652" s="12" t="s">
        <v>118</v>
      </c>
      <c r="X3652" s="12" t="s">
        <v>500</v>
      </c>
      <c r="Y3652" s="12" t="s">
        <v>91</v>
      </c>
      <c r="Z3652" s="12" t="s">
        <v>108</v>
      </c>
      <c r="AA3652" s="13">
        <v>0</v>
      </c>
      <c r="AB3652" s="12" t="s">
        <v>616</v>
      </c>
      <c r="AC3652" s="15">
        <v>9.1</v>
      </c>
      <c r="AD3652" s="15">
        <f>AC3652*AG3652</f>
        <v>9.1</v>
      </c>
      <c r="AE3652" s="15">
        <v>20</v>
      </c>
      <c r="AF3652" s="15">
        <f>AE3652*AG3652</f>
        <v>20</v>
      </c>
      <c r="AG3652" s="16">
        <v>1</v>
      </c>
    </row>
    <row r="3653" spans="1:33" ht="15" customHeight="1" x14ac:dyDescent="0.2">
      <c r="A3653" s="11" t="str">
        <f>HYPERLINK("https://assets.vans.eu/images/VN0A4OOO60Q-HERO/1","VN0A4OOO60Q1")</f>
        <v>VN0A4OOO60Q1</v>
      </c>
      <c r="B3653" s="12" t="s">
        <v>13101</v>
      </c>
      <c r="C3653" s="12" t="s">
        <v>13102</v>
      </c>
      <c r="D3653" s="12" t="s">
        <v>13103</v>
      </c>
      <c r="E3653" s="12" t="s">
        <v>13104</v>
      </c>
      <c r="F3653" s="12" t="s">
        <v>179</v>
      </c>
      <c r="G3653" s="14"/>
      <c r="H3653" s="12" t="s">
        <v>61</v>
      </c>
      <c r="I3653" s="12" t="s">
        <v>230</v>
      </c>
      <c r="J3653" s="12" t="s">
        <v>419</v>
      </c>
      <c r="K3653" s="12" t="s">
        <v>199</v>
      </c>
      <c r="L3653" s="14"/>
      <c r="M3653" s="12" t="s">
        <v>43</v>
      </c>
      <c r="N3653" s="12" t="s">
        <v>3064</v>
      </c>
      <c r="O3653" s="12" t="s">
        <v>13105</v>
      </c>
      <c r="P3653" s="12" t="s">
        <v>66</v>
      </c>
      <c r="Q3653" s="12" t="s">
        <v>67</v>
      </c>
      <c r="R3653" s="12" t="s">
        <v>623</v>
      </c>
      <c r="S3653" s="13">
        <v>196244909053</v>
      </c>
      <c r="T3653" s="12" t="s">
        <v>105</v>
      </c>
      <c r="U3653" s="12" t="s">
        <v>179</v>
      </c>
      <c r="V3653" s="12" t="s">
        <v>13106</v>
      </c>
      <c r="W3653" s="12" t="s">
        <v>284</v>
      </c>
      <c r="X3653" s="14"/>
      <c r="Y3653" s="12" t="s">
        <v>91</v>
      </c>
      <c r="Z3653" s="12" t="s">
        <v>2600</v>
      </c>
      <c r="AA3653" s="14"/>
      <c r="AB3653" s="13">
        <v>0</v>
      </c>
      <c r="AC3653" s="15">
        <v>36.4</v>
      </c>
      <c r="AD3653" s="15">
        <f>AC3653*AG3653</f>
        <v>36.4</v>
      </c>
      <c r="AE3653" s="15">
        <v>80</v>
      </c>
      <c r="AF3653" s="15">
        <f>AE3653*AG3653</f>
        <v>80</v>
      </c>
      <c r="AG3653" s="16">
        <v>1</v>
      </c>
    </row>
    <row r="3654" spans="1:33" ht="15" customHeight="1" x14ac:dyDescent="0.2">
      <c r="A3654" s="11" t="str">
        <f>HYPERLINK("https://assets.vans.eu/images/VN0A4Q4BBLK-HERO/1","VN0A4Q4BBLK1")</f>
        <v>VN0A4Q4BBLK1</v>
      </c>
      <c r="B3654" s="12" t="s">
        <v>13107</v>
      </c>
      <c r="C3654" s="12" t="s">
        <v>13108</v>
      </c>
      <c r="D3654" s="12" t="s">
        <v>76</v>
      </c>
      <c r="E3654" s="12" t="s">
        <v>13109</v>
      </c>
      <c r="F3654" s="12" t="s">
        <v>60</v>
      </c>
      <c r="G3654" s="12" t="s">
        <v>1521</v>
      </c>
      <c r="H3654" s="12" t="s">
        <v>61</v>
      </c>
      <c r="I3654" s="12" t="s">
        <v>289</v>
      </c>
      <c r="J3654" s="12" t="s">
        <v>290</v>
      </c>
      <c r="K3654" s="12" t="s">
        <v>100</v>
      </c>
      <c r="L3654" s="14"/>
      <c r="M3654" s="12" t="s">
        <v>43</v>
      </c>
      <c r="N3654" s="12" t="s">
        <v>274</v>
      </c>
      <c r="O3654" s="12" t="s">
        <v>13110</v>
      </c>
      <c r="P3654" s="12" t="s">
        <v>66</v>
      </c>
      <c r="Q3654" s="12" t="s">
        <v>233</v>
      </c>
      <c r="R3654" s="12" t="s">
        <v>292</v>
      </c>
      <c r="S3654" s="13">
        <v>194116734024</v>
      </c>
      <c r="T3654" s="12" t="s">
        <v>105</v>
      </c>
      <c r="U3654" s="12" t="s">
        <v>60</v>
      </c>
      <c r="V3654" s="12" t="s">
        <v>13111</v>
      </c>
      <c r="W3654" s="12" t="s">
        <v>51</v>
      </c>
      <c r="X3654" s="13">
        <v>0</v>
      </c>
      <c r="Y3654" s="12" t="s">
        <v>91</v>
      </c>
      <c r="Z3654" s="12" t="s">
        <v>108</v>
      </c>
      <c r="AA3654" s="13">
        <v>0</v>
      </c>
      <c r="AB3654" s="13">
        <v>0</v>
      </c>
      <c r="AC3654" s="15">
        <v>14.55</v>
      </c>
      <c r="AD3654" s="15">
        <f>AC3654*AG3654</f>
        <v>14.55</v>
      </c>
      <c r="AE3654" s="15">
        <v>32</v>
      </c>
      <c r="AF3654" s="15">
        <f>AE3654*AG3654</f>
        <v>32</v>
      </c>
      <c r="AG3654" s="16">
        <v>1</v>
      </c>
    </row>
    <row r="3655" spans="1:33" ht="15" customHeight="1" x14ac:dyDescent="0.2">
      <c r="A3655" s="11" t="str">
        <f>HYPERLINK("https://assets.vans.eu/images/VN0A4R97BLK-HERO/1","VN0A4R97BLK1")</f>
        <v>VN0A4R97BLK1</v>
      </c>
      <c r="B3655" s="12" t="s">
        <v>13112</v>
      </c>
      <c r="C3655" s="12" t="s">
        <v>13113</v>
      </c>
      <c r="D3655" s="12" t="s">
        <v>76</v>
      </c>
      <c r="E3655" s="12" t="s">
        <v>13114</v>
      </c>
      <c r="F3655" s="12" t="s">
        <v>60</v>
      </c>
      <c r="G3655" s="14"/>
      <c r="H3655" s="12" t="s">
        <v>61</v>
      </c>
      <c r="I3655" s="12" t="s">
        <v>289</v>
      </c>
      <c r="J3655" s="12" t="s">
        <v>706</v>
      </c>
      <c r="K3655" s="12" t="s">
        <v>100</v>
      </c>
      <c r="L3655" s="12" t="s">
        <v>350</v>
      </c>
      <c r="M3655" s="12" t="s">
        <v>43</v>
      </c>
      <c r="N3655" s="12" t="s">
        <v>44</v>
      </c>
      <c r="O3655" s="12" t="s">
        <v>13115</v>
      </c>
      <c r="P3655" s="12" t="s">
        <v>66</v>
      </c>
      <c r="Q3655" s="12" t="s">
        <v>67</v>
      </c>
      <c r="R3655" s="12" t="s">
        <v>708</v>
      </c>
      <c r="S3655" s="13">
        <v>193393601517</v>
      </c>
      <c r="T3655" s="12" t="s">
        <v>69</v>
      </c>
      <c r="U3655" s="12" t="s">
        <v>60</v>
      </c>
      <c r="V3655" s="12" t="s">
        <v>423</v>
      </c>
      <c r="W3655" s="12" t="s">
        <v>51</v>
      </c>
      <c r="X3655" s="13">
        <v>0</v>
      </c>
      <c r="Y3655" s="12" t="s">
        <v>91</v>
      </c>
      <c r="Z3655" s="12" t="s">
        <v>108</v>
      </c>
      <c r="AA3655" s="13">
        <v>0</v>
      </c>
      <c r="AB3655" s="13">
        <v>0</v>
      </c>
      <c r="AC3655" s="15">
        <v>29.55</v>
      </c>
      <c r="AD3655" s="15">
        <f>AC3655*AG3655</f>
        <v>29.55</v>
      </c>
      <c r="AE3655" s="15">
        <v>65</v>
      </c>
      <c r="AF3655" s="15">
        <f>AE3655*AG3655</f>
        <v>65</v>
      </c>
      <c r="AG3655" s="16">
        <v>1</v>
      </c>
    </row>
    <row r="3656" spans="1:33" ht="15" customHeight="1" x14ac:dyDescent="0.2">
      <c r="A3656" s="11" t="str">
        <f>HYPERLINK("https://assets.vans.eu/images/VN0A4S97BLK-HERO/1","VN0A4S97BLK1")</f>
        <v>VN0A4S97BLK1</v>
      </c>
      <c r="B3656" s="12" t="s">
        <v>13116</v>
      </c>
      <c r="C3656" s="12" t="s">
        <v>13117</v>
      </c>
      <c r="D3656" s="12" t="s">
        <v>76</v>
      </c>
      <c r="E3656" s="12" t="s">
        <v>13118</v>
      </c>
      <c r="F3656" s="12" t="s">
        <v>153</v>
      </c>
      <c r="G3656" s="12" t="s">
        <v>13119</v>
      </c>
      <c r="H3656" s="12" t="s">
        <v>61</v>
      </c>
      <c r="I3656" s="12" t="s">
        <v>289</v>
      </c>
      <c r="J3656" s="12" t="s">
        <v>706</v>
      </c>
      <c r="K3656" s="12" t="s">
        <v>100</v>
      </c>
      <c r="L3656" s="14"/>
      <c r="M3656" s="12" t="s">
        <v>43</v>
      </c>
      <c r="N3656" s="12" t="s">
        <v>467</v>
      </c>
      <c r="O3656" s="12" t="s">
        <v>13120</v>
      </c>
      <c r="P3656" s="12" t="s">
        <v>66</v>
      </c>
      <c r="Q3656" s="12" t="s">
        <v>67</v>
      </c>
      <c r="R3656" s="12" t="s">
        <v>708</v>
      </c>
      <c r="S3656" s="13">
        <v>193390777215</v>
      </c>
      <c r="T3656" s="12" t="s">
        <v>69</v>
      </c>
      <c r="U3656" s="12" t="s">
        <v>153</v>
      </c>
      <c r="V3656" s="12" t="s">
        <v>70</v>
      </c>
      <c r="W3656" s="12" t="s">
        <v>51</v>
      </c>
      <c r="X3656" s="13">
        <v>0</v>
      </c>
      <c r="Y3656" s="12" t="s">
        <v>91</v>
      </c>
      <c r="Z3656" s="12" t="s">
        <v>108</v>
      </c>
      <c r="AA3656" s="13">
        <v>0</v>
      </c>
      <c r="AB3656" s="13">
        <v>0</v>
      </c>
      <c r="AC3656" s="15">
        <v>30.95</v>
      </c>
      <c r="AD3656" s="15">
        <f>AC3656*AG3656</f>
        <v>30.95</v>
      </c>
      <c r="AE3656" s="15">
        <v>68</v>
      </c>
      <c r="AF3656" s="15">
        <f>AE3656*AG3656</f>
        <v>68</v>
      </c>
      <c r="AG3656" s="16">
        <v>1</v>
      </c>
    </row>
    <row r="3657" spans="1:33" ht="15" customHeight="1" x14ac:dyDescent="0.2">
      <c r="A3657" s="11" t="str">
        <f>HYPERLINK("https://assets.vans.eu/images/VN0A4TURWHT-HERO/1","VN0A4TURWHT1")</f>
        <v>VN0A4TURWHT1</v>
      </c>
      <c r="B3657" s="12" t="s">
        <v>13121</v>
      </c>
      <c r="C3657" s="12" t="s">
        <v>13122</v>
      </c>
      <c r="D3657" s="12" t="s">
        <v>168</v>
      </c>
      <c r="E3657" s="12" t="s">
        <v>13123</v>
      </c>
      <c r="F3657" s="12" t="s">
        <v>153</v>
      </c>
      <c r="G3657" s="14"/>
      <c r="H3657" s="12" t="s">
        <v>61</v>
      </c>
      <c r="I3657" s="12" t="s">
        <v>230</v>
      </c>
      <c r="J3657" s="12" t="s">
        <v>419</v>
      </c>
      <c r="K3657" s="12" t="s">
        <v>199</v>
      </c>
      <c r="L3657" s="14"/>
      <c r="M3657" s="12" t="s">
        <v>43</v>
      </c>
      <c r="N3657" s="12" t="s">
        <v>2457</v>
      </c>
      <c r="O3657" s="12" t="s">
        <v>13124</v>
      </c>
      <c r="P3657" s="12" t="s">
        <v>66</v>
      </c>
      <c r="Q3657" s="12" t="s">
        <v>67</v>
      </c>
      <c r="R3657" s="12" t="s">
        <v>421</v>
      </c>
      <c r="S3657" s="13">
        <v>192364794074</v>
      </c>
      <c r="T3657" s="12" t="s">
        <v>89</v>
      </c>
      <c r="U3657" s="12" t="s">
        <v>153</v>
      </c>
      <c r="V3657" s="12" t="s">
        <v>13125</v>
      </c>
      <c r="W3657" s="12" t="s">
        <v>175</v>
      </c>
      <c r="X3657" s="13">
        <v>0</v>
      </c>
      <c r="Y3657" s="12" t="s">
        <v>91</v>
      </c>
      <c r="Z3657" s="12" t="s">
        <v>108</v>
      </c>
      <c r="AA3657" s="13">
        <v>0</v>
      </c>
      <c r="AB3657" s="13">
        <v>0</v>
      </c>
      <c r="AC3657" s="15">
        <v>22.75</v>
      </c>
      <c r="AD3657" s="15">
        <f>AC3657*AG3657</f>
        <v>22.75</v>
      </c>
      <c r="AE3657" s="15">
        <v>50</v>
      </c>
      <c r="AF3657" s="15">
        <f>AE3657*AG3657</f>
        <v>50</v>
      </c>
      <c r="AG3657" s="16">
        <v>1</v>
      </c>
    </row>
    <row r="3658" spans="1:33" ht="15" customHeight="1" x14ac:dyDescent="0.2">
      <c r="A3658" s="11" t="str">
        <f t="shared" si="971"/>
        <v>VN0A54YJBLK1</v>
      </c>
      <c r="B3658" s="12" t="s">
        <v>13126</v>
      </c>
      <c r="C3658" s="12" t="s">
        <v>8873</v>
      </c>
      <c r="D3658" s="12" t="s">
        <v>76</v>
      </c>
      <c r="E3658" s="12" t="s">
        <v>13127</v>
      </c>
      <c r="F3658" s="12" t="s">
        <v>170</v>
      </c>
      <c r="G3658" s="14"/>
      <c r="H3658" s="12" t="s">
        <v>61</v>
      </c>
      <c r="I3658" s="12" t="s">
        <v>289</v>
      </c>
      <c r="J3658" s="12" t="s">
        <v>984</v>
      </c>
      <c r="K3658" s="12" t="s">
        <v>100</v>
      </c>
      <c r="L3658" s="12" t="s">
        <v>350</v>
      </c>
      <c r="M3658" s="12" t="s">
        <v>43</v>
      </c>
      <c r="N3658" s="12" t="s">
        <v>274</v>
      </c>
      <c r="O3658" s="12" t="s">
        <v>13128</v>
      </c>
      <c r="P3658" s="12" t="s">
        <v>66</v>
      </c>
      <c r="Q3658" s="12" t="s">
        <v>764</v>
      </c>
      <c r="R3658" s="12" t="s">
        <v>986</v>
      </c>
      <c r="S3658" s="13">
        <v>194904156229</v>
      </c>
      <c r="T3658" s="12" t="s">
        <v>49</v>
      </c>
      <c r="U3658" s="12" t="s">
        <v>170</v>
      </c>
      <c r="V3658" s="12" t="s">
        <v>8876</v>
      </c>
      <c r="W3658" s="12" t="s">
        <v>51</v>
      </c>
      <c r="X3658" s="13">
        <v>0</v>
      </c>
      <c r="Y3658" s="12" t="s">
        <v>71</v>
      </c>
      <c r="Z3658" s="12" t="s">
        <v>92</v>
      </c>
      <c r="AA3658" s="12" t="s">
        <v>354</v>
      </c>
      <c r="AB3658" s="12" t="s">
        <v>355</v>
      </c>
      <c r="AC3658" s="15">
        <v>45.5</v>
      </c>
      <c r="AD3658" s="15">
        <f>AC3658*AG3658</f>
        <v>45.5</v>
      </c>
      <c r="AE3658" s="15">
        <v>100</v>
      </c>
      <c r="AF3658" s="15">
        <f>AE3658*AG3658</f>
        <v>100</v>
      </c>
      <c r="AG3658" s="16">
        <v>1</v>
      </c>
    </row>
    <row r="3659" spans="1:33" ht="15" customHeight="1" x14ac:dyDescent="0.2">
      <c r="A3659" s="11" t="str">
        <f t="shared" si="972"/>
        <v>VN0A5AUBDSB1</v>
      </c>
      <c r="B3659" s="12" t="s">
        <v>13129</v>
      </c>
      <c r="C3659" s="12" t="s">
        <v>8878</v>
      </c>
      <c r="D3659" s="12" t="s">
        <v>6254</v>
      </c>
      <c r="E3659" s="12" t="s">
        <v>13130</v>
      </c>
      <c r="F3659" s="12" t="s">
        <v>403</v>
      </c>
      <c r="G3659" s="14"/>
      <c r="H3659" s="12" t="s">
        <v>61</v>
      </c>
      <c r="I3659" s="12" t="s">
        <v>62</v>
      </c>
      <c r="J3659" s="12" t="s">
        <v>972</v>
      </c>
      <c r="K3659" s="12" t="s">
        <v>1022</v>
      </c>
      <c r="L3659" s="14"/>
      <c r="M3659" s="12" t="s">
        <v>43</v>
      </c>
      <c r="N3659" s="12" t="s">
        <v>274</v>
      </c>
      <c r="O3659" s="12" t="s">
        <v>13131</v>
      </c>
      <c r="P3659" s="12" t="s">
        <v>66</v>
      </c>
      <c r="Q3659" s="12" t="s">
        <v>233</v>
      </c>
      <c r="R3659" s="12" t="s">
        <v>1024</v>
      </c>
      <c r="S3659" s="13">
        <v>197063500551</v>
      </c>
      <c r="T3659" s="12" t="s">
        <v>49</v>
      </c>
      <c r="U3659" s="12" t="s">
        <v>403</v>
      </c>
      <c r="V3659" s="12" t="s">
        <v>1726</v>
      </c>
      <c r="W3659" s="12" t="s">
        <v>284</v>
      </c>
      <c r="X3659" s="13">
        <v>0</v>
      </c>
      <c r="Y3659" s="12" t="s">
        <v>91</v>
      </c>
      <c r="Z3659" s="12" t="s">
        <v>108</v>
      </c>
      <c r="AA3659" s="13">
        <v>0</v>
      </c>
      <c r="AB3659" s="13">
        <v>0</v>
      </c>
      <c r="AC3659" s="15">
        <v>13.65</v>
      </c>
      <c r="AD3659" s="15">
        <f>AC3659*AG3659</f>
        <v>13.65</v>
      </c>
      <c r="AE3659" s="15">
        <v>30</v>
      </c>
      <c r="AF3659" s="15">
        <f>AE3659*AG3659</f>
        <v>30</v>
      </c>
      <c r="AG3659" s="16">
        <v>1</v>
      </c>
    </row>
    <row r="3660" spans="1:33" ht="15" customHeight="1" x14ac:dyDescent="0.2">
      <c r="A3660" s="11" t="str">
        <f t="shared" si="973"/>
        <v>VN0A5FJ7DZ91</v>
      </c>
      <c r="B3660" s="12" t="s">
        <v>13132</v>
      </c>
      <c r="C3660" s="12" t="s">
        <v>8882</v>
      </c>
      <c r="D3660" s="12" t="s">
        <v>510</v>
      </c>
      <c r="E3660" s="12" t="s">
        <v>13133</v>
      </c>
      <c r="F3660" s="13">
        <v>29</v>
      </c>
      <c r="G3660" s="14"/>
      <c r="H3660" s="12" t="s">
        <v>61</v>
      </c>
      <c r="I3660" s="12" t="s">
        <v>230</v>
      </c>
      <c r="J3660" s="12" t="s">
        <v>231</v>
      </c>
      <c r="K3660" s="12" t="s">
        <v>199</v>
      </c>
      <c r="L3660" s="14"/>
      <c r="M3660" s="12" t="s">
        <v>43</v>
      </c>
      <c r="N3660" s="12" t="s">
        <v>274</v>
      </c>
      <c r="O3660" s="12" t="s">
        <v>13134</v>
      </c>
      <c r="P3660" s="12" t="s">
        <v>66</v>
      </c>
      <c r="Q3660" s="12" t="s">
        <v>233</v>
      </c>
      <c r="R3660" s="12" t="s">
        <v>361</v>
      </c>
      <c r="S3660" s="13">
        <v>195437420221</v>
      </c>
      <c r="T3660" s="12" t="s">
        <v>8885</v>
      </c>
      <c r="U3660" s="13">
        <v>29</v>
      </c>
      <c r="V3660" s="12" t="s">
        <v>236</v>
      </c>
      <c r="W3660" s="12" t="s">
        <v>186</v>
      </c>
      <c r="X3660" s="13">
        <v>0</v>
      </c>
      <c r="Y3660" s="12" t="s">
        <v>91</v>
      </c>
      <c r="Z3660" s="12" t="s">
        <v>108</v>
      </c>
      <c r="AA3660" s="13">
        <v>0</v>
      </c>
      <c r="AB3660" s="13">
        <v>0</v>
      </c>
      <c r="AC3660" s="15">
        <v>32.75</v>
      </c>
      <c r="AD3660" s="15">
        <f>AC3660*AG3660</f>
        <v>32.75</v>
      </c>
      <c r="AE3660" s="15">
        <v>72</v>
      </c>
      <c r="AF3660" s="15">
        <f>AE3660*AG3660</f>
        <v>72</v>
      </c>
      <c r="AG3660" s="16">
        <v>1</v>
      </c>
    </row>
    <row r="3661" spans="1:33" ht="15" customHeight="1" x14ac:dyDescent="0.2">
      <c r="A3661" s="11" t="str">
        <f t="shared" si="8"/>
        <v>VN0A5FJXBLK1</v>
      </c>
      <c r="B3661" s="12" t="s">
        <v>13135</v>
      </c>
      <c r="C3661" s="12" t="s">
        <v>228</v>
      </c>
      <c r="D3661" s="12" t="s">
        <v>76</v>
      </c>
      <c r="E3661" s="12" t="s">
        <v>13136</v>
      </c>
      <c r="F3661" s="13">
        <v>27</v>
      </c>
      <c r="G3661" s="14"/>
      <c r="H3661" s="12" t="s">
        <v>61</v>
      </c>
      <c r="I3661" s="12" t="s">
        <v>230</v>
      </c>
      <c r="J3661" s="12" t="s">
        <v>231</v>
      </c>
      <c r="K3661" s="12" t="s">
        <v>199</v>
      </c>
      <c r="L3661" s="14"/>
      <c r="M3661" s="12" t="s">
        <v>43</v>
      </c>
      <c r="N3661" s="12" t="s">
        <v>44</v>
      </c>
      <c r="O3661" s="12" t="s">
        <v>13137</v>
      </c>
      <c r="P3661" s="12" t="s">
        <v>66</v>
      </c>
      <c r="Q3661" s="12" t="s">
        <v>233</v>
      </c>
      <c r="R3661" s="12" t="s">
        <v>234</v>
      </c>
      <c r="S3661" s="13">
        <v>196573041042</v>
      </c>
      <c r="T3661" s="12" t="s">
        <v>235</v>
      </c>
      <c r="U3661" s="13">
        <v>27</v>
      </c>
      <c r="V3661" s="12" t="s">
        <v>236</v>
      </c>
      <c r="W3661" s="12" t="s">
        <v>51</v>
      </c>
      <c r="X3661" s="13">
        <v>0</v>
      </c>
      <c r="Y3661" s="12" t="s">
        <v>91</v>
      </c>
      <c r="Z3661" s="12" t="s">
        <v>108</v>
      </c>
      <c r="AA3661" s="13">
        <v>0</v>
      </c>
      <c r="AB3661" s="13">
        <v>0</v>
      </c>
      <c r="AC3661" s="15">
        <v>27.3</v>
      </c>
      <c r="AD3661" s="15">
        <f>AC3661*AG3661</f>
        <v>27.3</v>
      </c>
      <c r="AE3661" s="15">
        <v>60</v>
      </c>
      <c r="AF3661" s="15">
        <f>AE3661*AG3661</f>
        <v>60</v>
      </c>
      <c r="AG3661" s="16">
        <v>1</v>
      </c>
    </row>
    <row r="3662" spans="1:33" ht="15" customHeight="1" x14ac:dyDescent="0.2">
      <c r="A3662" s="11" t="str">
        <f>HYPERLINK("https://assets.vans.eu/images/VN0A5FKDCFL-HERO/1","VN0A5FKDCFL1")</f>
        <v>VN0A5FKDCFL1</v>
      </c>
      <c r="B3662" s="12" t="s">
        <v>13138</v>
      </c>
      <c r="C3662" s="12" t="s">
        <v>13139</v>
      </c>
      <c r="D3662" s="12" t="s">
        <v>1258</v>
      </c>
      <c r="E3662" s="12" t="s">
        <v>13140</v>
      </c>
      <c r="F3662" s="12" t="s">
        <v>170</v>
      </c>
      <c r="G3662" s="14"/>
      <c r="H3662" s="12" t="s">
        <v>61</v>
      </c>
      <c r="I3662" s="12" t="s">
        <v>230</v>
      </c>
      <c r="J3662" s="12" t="s">
        <v>231</v>
      </c>
      <c r="K3662" s="12" t="s">
        <v>199</v>
      </c>
      <c r="L3662" s="14"/>
      <c r="M3662" s="12" t="s">
        <v>43</v>
      </c>
      <c r="N3662" s="12" t="s">
        <v>44</v>
      </c>
      <c r="O3662" s="12" t="s">
        <v>13141</v>
      </c>
      <c r="P3662" s="12" t="s">
        <v>66</v>
      </c>
      <c r="Q3662" s="12" t="s">
        <v>233</v>
      </c>
      <c r="R3662" s="12" t="s">
        <v>234</v>
      </c>
      <c r="S3662" s="13">
        <v>197643463023</v>
      </c>
      <c r="T3662" s="12" t="s">
        <v>235</v>
      </c>
      <c r="U3662" s="12" t="s">
        <v>170</v>
      </c>
      <c r="V3662" s="12" t="s">
        <v>5273</v>
      </c>
      <c r="W3662" s="12" t="s">
        <v>284</v>
      </c>
      <c r="X3662" s="13">
        <v>0</v>
      </c>
      <c r="Y3662" s="12" t="s">
        <v>91</v>
      </c>
      <c r="Z3662" s="12" t="s">
        <v>108</v>
      </c>
      <c r="AA3662" s="13">
        <v>0</v>
      </c>
      <c r="AB3662" s="13">
        <v>0</v>
      </c>
      <c r="AC3662" s="15">
        <v>27.3</v>
      </c>
      <c r="AD3662" s="15">
        <f>AC3662*AG3662</f>
        <v>27.3</v>
      </c>
      <c r="AE3662" s="15">
        <v>60</v>
      </c>
      <c r="AF3662" s="15">
        <f>AE3662*AG3662</f>
        <v>60</v>
      </c>
      <c r="AG3662" s="16">
        <v>1</v>
      </c>
    </row>
    <row r="3663" spans="1:33" ht="15" customHeight="1" x14ac:dyDescent="0.2">
      <c r="A3663" s="11" t="str">
        <f>HYPERLINK("https://assets.vans.eu/images/VN0A5FKDKHK-HERO/1","VN0A5FKDKHK1")</f>
        <v>VN0A5FKDKHK1</v>
      </c>
      <c r="B3663" s="12" t="s">
        <v>13142</v>
      </c>
      <c r="C3663" s="12" t="s">
        <v>13139</v>
      </c>
      <c r="D3663" s="12" t="s">
        <v>6994</v>
      </c>
      <c r="E3663" s="12" t="s">
        <v>13143</v>
      </c>
      <c r="F3663" s="12" t="s">
        <v>60</v>
      </c>
      <c r="G3663" s="14"/>
      <c r="H3663" s="12" t="s">
        <v>61</v>
      </c>
      <c r="I3663" s="12" t="s">
        <v>230</v>
      </c>
      <c r="J3663" s="12" t="s">
        <v>231</v>
      </c>
      <c r="K3663" s="12" t="s">
        <v>199</v>
      </c>
      <c r="L3663" s="14"/>
      <c r="M3663" s="12" t="s">
        <v>43</v>
      </c>
      <c r="N3663" s="12" t="s">
        <v>161</v>
      </c>
      <c r="O3663" s="12" t="s">
        <v>13144</v>
      </c>
      <c r="P3663" s="12" t="s">
        <v>66</v>
      </c>
      <c r="Q3663" s="12" t="s">
        <v>233</v>
      </c>
      <c r="R3663" s="12" t="s">
        <v>234</v>
      </c>
      <c r="S3663" s="13">
        <v>195436471217</v>
      </c>
      <c r="T3663" s="12" t="s">
        <v>235</v>
      </c>
      <c r="U3663" s="12" t="s">
        <v>60</v>
      </c>
      <c r="V3663" s="12" t="s">
        <v>2964</v>
      </c>
      <c r="W3663" s="12" t="s">
        <v>580</v>
      </c>
      <c r="X3663" s="13">
        <v>0</v>
      </c>
      <c r="Y3663" s="12" t="s">
        <v>91</v>
      </c>
      <c r="Z3663" s="12" t="s">
        <v>108</v>
      </c>
      <c r="AA3663" s="13">
        <v>0</v>
      </c>
      <c r="AB3663" s="13">
        <v>0</v>
      </c>
      <c r="AC3663" s="15">
        <v>27.3</v>
      </c>
      <c r="AD3663" s="15">
        <f>AC3663*AG3663</f>
        <v>27.3</v>
      </c>
      <c r="AE3663" s="15">
        <v>60</v>
      </c>
      <c r="AF3663" s="15">
        <f>AE3663*AG3663</f>
        <v>60</v>
      </c>
      <c r="AG3663" s="16">
        <v>1</v>
      </c>
    </row>
    <row r="3664" spans="1:33" ht="15" customHeight="1" x14ac:dyDescent="0.2">
      <c r="A3664" s="11" t="str">
        <f t="shared" si="974"/>
        <v>VN0A5FLPBLK1</v>
      </c>
      <c r="B3664" s="12" t="s">
        <v>13145</v>
      </c>
      <c r="C3664" s="12" t="s">
        <v>2256</v>
      </c>
      <c r="D3664" s="12" t="s">
        <v>76</v>
      </c>
      <c r="E3664" s="12" t="s">
        <v>13146</v>
      </c>
      <c r="F3664" s="13">
        <v>23</v>
      </c>
      <c r="G3664" s="14"/>
      <c r="H3664" s="12" t="s">
        <v>61</v>
      </c>
      <c r="I3664" s="12" t="s">
        <v>62</v>
      </c>
      <c r="J3664" s="12" t="s">
        <v>972</v>
      </c>
      <c r="K3664" s="12" t="s">
        <v>64</v>
      </c>
      <c r="L3664" s="14"/>
      <c r="M3664" s="12" t="s">
        <v>43</v>
      </c>
      <c r="N3664" s="12" t="s">
        <v>44</v>
      </c>
      <c r="O3664" s="12" t="s">
        <v>13147</v>
      </c>
      <c r="P3664" s="12" t="s">
        <v>66</v>
      </c>
      <c r="Q3664" s="12" t="s">
        <v>233</v>
      </c>
      <c r="R3664" s="12" t="s">
        <v>974</v>
      </c>
      <c r="S3664" s="13">
        <v>195437424526</v>
      </c>
      <c r="T3664" s="12" t="s">
        <v>235</v>
      </c>
      <c r="U3664" s="13">
        <v>23</v>
      </c>
      <c r="V3664" s="12" t="s">
        <v>236</v>
      </c>
      <c r="W3664" s="12" t="s">
        <v>51</v>
      </c>
      <c r="X3664" s="13">
        <v>0</v>
      </c>
      <c r="Y3664" s="12" t="s">
        <v>91</v>
      </c>
      <c r="Z3664" s="12" t="s">
        <v>108</v>
      </c>
      <c r="AA3664" s="13">
        <v>0</v>
      </c>
      <c r="AB3664" s="13">
        <v>0</v>
      </c>
      <c r="AC3664" s="15">
        <v>25</v>
      </c>
      <c r="AD3664" s="15">
        <f>AC3664*AG3664</f>
        <v>25</v>
      </c>
      <c r="AE3664" s="15">
        <v>55</v>
      </c>
      <c r="AF3664" s="15">
        <f>AE3664*AG3664</f>
        <v>55</v>
      </c>
      <c r="AG3664" s="16">
        <v>1</v>
      </c>
    </row>
    <row r="3665" spans="1:33" ht="15" customHeight="1" x14ac:dyDescent="0.2">
      <c r="A3665" s="11" t="str">
        <f>HYPERLINK("https://assets.vans.eu/images/VN0A5FLPBLK-HERO/1","VN0A5FLPBLK1")</f>
        <v>VN0A5FLPBLK1</v>
      </c>
      <c r="B3665" s="12" t="s">
        <v>13148</v>
      </c>
      <c r="C3665" s="12" t="s">
        <v>2256</v>
      </c>
      <c r="D3665" s="12" t="s">
        <v>76</v>
      </c>
      <c r="E3665" s="12" t="s">
        <v>13149</v>
      </c>
      <c r="F3665" s="13">
        <v>24</v>
      </c>
      <c r="G3665" s="14"/>
      <c r="H3665" s="12" t="s">
        <v>61</v>
      </c>
      <c r="I3665" s="12" t="s">
        <v>62</v>
      </c>
      <c r="J3665" s="12" t="s">
        <v>972</v>
      </c>
      <c r="K3665" s="12" t="s">
        <v>64</v>
      </c>
      <c r="L3665" s="14"/>
      <c r="M3665" s="12" t="s">
        <v>43</v>
      </c>
      <c r="N3665" s="12" t="s">
        <v>44</v>
      </c>
      <c r="O3665" s="12" t="s">
        <v>13150</v>
      </c>
      <c r="P3665" s="12" t="s">
        <v>66</v>
      </c>
      <c r="Q3665" s="12" t="s">
        <v>233</v>
      </c>
      <c r="R3665" s="12" t="s">
        <v>974</v>
      </c>
      <c r="S3665" s="13">
        <v>195437424588</v>
      </c>
      <c r="T3665" s="12" t="s">
        <v>235</v>
      </c>
      <c r="U3665" s="13">
        <v>24</v>
      </c>
      <c r="V3665" s="12" t="s">
        <v>236</v>
      </c>
      <c r="W3665" s="12" t="s">
        <v>51</v>
      </c>
      <c r="X3665" s="13">
        <v>0</v>
      </c>
      <c r="Y3665" s="12" t="s">
        <v>91</v>
      </c>
      <c r="Z3665" s="12" t="s">
        <v>108</v>
      </c>
      <c r="AA3665" s="13">
        <v>0</v>
      </c>
      <c r="AB3665" s="13">
        <v>0</v>
      </c>
      <c r="AC3665" s="15">
        <v>25</v>
      </c>
      <c r="AD3665" s="15">
        <f>AC3665*AG3665</f>
        <v>25</v>
      </c>
      <c r="AE3665" s="15">
        <v>55</v>
      </c>
      <c r="AF3665" s="15">
        <f>AE3665*AG3665</f>
        <v>55</v>
      </c>
      <c r="AG3665" s="16">
        <v>1</v>
      </c>
    </row>
    <row r="3666" spans="1:33" ht="15" customHeight="1" x14ac:dyDescent="0.2">
      <c r="A3666" s="11" t="str">
        <f>HYPERLINK("https://assets.vans.eu/images/VN0A5FLPDZ9-HERO/1","VN0A5FLPDZ91")</f>
        <v>VN0A5FLPDZ91</v>
      </c>
      <c r="B3666" s="12" t="s">
        <v>13151</v>
      </c>
      <c r="C3666" s="12" t="s">
        <v>2256</v>
      </c>
      <c r="D3666" s="12" t="s">
        <v>510</v>
      </c>
      <c r="E3666" s="12" t="s">
        <v>13152</v>
      </c>
      <c r="F3666" s="13">
        <v>28</v>
      </c>
      <c r="G3666" s="14"/>
      <c r="H3666" s="12" t="s">
        <v>61</v>
      </c>
      <c r="I3666" s="12" t="s">
        <v>62</v>
      </c>
      <c r="J3666" s="12" t="s">
        <v>972</v>
      </c>
      <c r="K3666" s="12" t="s">
        <v>64</v>
      </c>
      <c r="L3666" s="14"/>
      <c r="M3666" s="12" t="s">
        <v>43</v>
      </c>
      <c r="N3666" s="12" t="s">
        <v>274</v>
      </c>
      <c r="O3666" s="12" t="s">
        <v>13153</v>
      </c>
      <c r="P3666" s="12" t="s">
        <v>66</v>
      </c>
      <c r="Q3666" s="12" t="s">
        <v>233</v>
      </c>
      <c r="R3666" s="12" t="s">
        <v>974</v>
      </c>
      <c r="S3666" s="13">
        <v>195437425523</v>
      </c>
      <c r="T3666" s="12" t="s">
        <v>235</v>
      </c>
      <c r="U3666" s="13">
        <v>28</v>
      </c>
      <c r="V3666" s="12" t="s">
        <v>236</v>
      </c>
      <c r="W3666" s="12" t="s">
        <v>186</v>
      </c>
      <c r="X3666" s="13">
        <v>0</v>
      </c>
      <c r="Y3666" s="12" t="s">
        <v>91</v>
      </c>
      <c r="Z3666" s="12" t="s">
        <v>108</v>
      </c>
      <c r="AA3666" s="13">
        <v>0</v>
      </c>
      <c r="AB3666" s="13">
        <v>0</v>
      </c>
      <c r="AC3666" s="15">
        <v>25</v>
      </c>
      <c r="AD3666" s="15">
        <f>AC3666*AG3666</f>
        <v>25</v>
      </c>
      <c r="AE3666" s="15">
        <v>55</v>
      </c>
      <c r="AF3666" s="15">
        <f>AE3666*AG3666</f>
        <v>55</v>
      </c>
      <c r="AG3666" s="16">
        <v>1</v>
      </c>
    </row>
    <row r="3667" spans="1:33" ht="15" customHeight="1" x14ac:dyDescent="0.2">
      <c r="A3667" s="11" t="str">
        <f>HYPERLINK("https://assets.vans.eu/images/VN0A5FN19JC-HERO/1","VN0A5FN19JC1")</f>
        <v>VN0A5FN19JC1</v>
      </c>
      <c r="B3667" s="12" t="s">
        <v>13154</v>
      </c>
      <c r="C3667" s="12" t="s">
        <v>13155</v>
      </c>
      <c r="D3667" s="12" t="s">
        <v>4481</v>
      </c>
      <c r="E3667" s="12" t="s">
        <v>13156</v>
      </c>
      <c r="F3667" s="12" t="s">
        <v>403</v>
      </c>
      <c r="G3667" s="14"/>
      <c r="H3667" s="12" t="s">
        <v>61</v>
      </c>
      <c r="I3667" s="12" t="s">
        <v>62</v>
      </c>
      <c r="J3667" s="12" t="s">
        <v>972</v>
      </c>
      <c r="K3667" s="12" t="s">
        <v>64</v>
      </c>
      <c r="L3667" s="14"/>
      <c r="M3667" s="12" t="s">
        <v>43</v>
      </c>
      <c r="N3667" s="12" t="s">
        <v>161</v>
      </c>
      <c r="O3667" s="12" t="s">
        <v>13157</v>
      </c>
      <c r="P3667" s="12" t="s">
        <v>66</v>
      </c>
      <c r="Q3667" s="12" t="s">
        <v>233</v>
      </c>
      <c r="R3667" s="12" t="s">
        <v>974</v>
      </c>
      <c r="S3667" s="13">
        <v>197065714796</v>
      </c>
      <c r="T3667" s="12" t="s">
        <v>235</v>
      </c>
      <c r="U3667" s="12" t="s">
        <v>403</v>
      </c>
      <c r="V3667" s="12" t="s">
        <v>13158</v>
      </c>
      <c r="W3667" s="12" t="s">
        <v>186</v>
      </c>
      <c r="X3667" s="13">
        <v>0</v>
      </c>
      <c r="Y3667" s="12" t="s">
        <v>91</v>
      </c>
      <c r="Z3667" s="12" t="s">
        <v>108</v>
      </c>
      <c r="AA3667" s="13">
        <v>0</v>
      </c>
      <c r="AB3667" s="13">
        <v>0</v>
      </c>
      <c r="AC3667" s="15">
        <v>21.85</v>
      </c>
      <c r="AD3667" s="15">
        <f>AC3667*AG3667</f>
        <v>21.85</v>
      </c>
      <c r="AE3667" s="15">
        <v>48</v>
      </c>
      <c r="AF3667" s="15">
        <f>AE3667*AG3667</f>
        <v>48</v>
      </c>
      <c r="AG3667" s="16">
        <v>1</v>
      </c>
    </row>
    <row r="3668" spans="1:33" ht="15" customHeight="1" x14ac:dyDescent="0.2">
      <c r="A3668" s="11" t="str">
        <f t="shared" ref="A3668:A3669" si="1248">HYPERLINK("https://assets.vans.eu/images/VN0A5FNVBR1-HERO/1","VN0A5FNVBR11")</f>
        <v>VN0A5FNVBR11</v>
      </c>
      <c r="B3668" s="12" t="s">
        <v>13159</v>
      </c>
      <c r="C3668" s="12" t="s">
        <v>3211</v>
      </c>
      <c r="D3668" s="12" t="s">
        <v>496</v>
      </c>
      <c r="E3668" s="12" t="s">
        <v>13160</v>
      </c>
      <c r="F3668" s="12" t="s">
        <v>179</v>
      </c>
      <c r="G3668" s="14"/>
      <c r="H3668" s="12" t="s">
        <v>61</v>
      </c>
      <c r="I3668" s="12" t="s">
        <v>62</v>
      </c>
      <c r="J3668" s="12" t="s">
        <v>2938</v>
      </c>
      <c r="K3668" s="12" t="s">
        <v>64</v>
      </c>
      <c r="L3668" s="14"/>
      <c r="M3668" s="12" t="s">
        <v>43</v>
      </c>
      <c r="N3668" s="12" t="s">
        <v>44</v>
      </c>
      <c r="O3668" s="12" t="s">
        <v>13161</v>
      </c>
      <c r="P3668" s="12" t="s">
        <v>66</v>
      </c>
      <c r="Q3668" s="12" t="s">
        <v>764</v>
      </c>
      <c r="R3668" s="12" t="s">
        <v>2940</v>
      </c>
      <c r="S3668" s="13">
        <v>197643463108</v>
      </c>
      <c r="T3668" s="12" t="s">
        <v>235</v>
      </c>
      <c r="U3668" s="12" t="s">
        <v>179</v>
      </c>
      <c r="V3668" s="12" t="s">
        <v>1811</v>
      </c>
      <c r="W3668" s="12" t="s">
        <v>118</v>
      </c>
      <c r="X3668" s="13">
        <v>0</v>
      </c>
      <c r="Y3668" s="12" t="s">
        <v>91</v>
      </c>
      <c r="Z3668" s="12" t="s">
        <v>108</v>
      </c>
      <c r="AA3668" s="13">
        <v>0</v>
      </c>
      <c r="AB3668" s="13">
        <v>0</v>
      </c>
      <c r="AC3668" s="15">
        <v>28.2</v>
      </c>
      <c r="AD3668" s="15">
        <f>AC3668*AG3668</f>
        <v>28.2</v>
      </c>
      <c r="AE3668" s="15">
        <v>62</v>
      </c>
      <c r="AF3668" s="15">
        <f>AE3668*AG3668</f>
        <v>62</v>
      </c>
      <c r="AG3668" s="16">
        <v>1</v>
      </c>
    </row>
    <row r="3669" spans="1:33" ht="15" customHeight="1" x14ac:dyDescent="0.2">
      <c r="A3669" s="11" t="str">
        <f t="shared" si="1248"/>
        <v>VN0A5FNVBR11</v>
      </c>
      <c r="B3669" s="12" t="s">
        <v>13162</v>
      </c>
      <c r="C3669" s="12" t="s">
        <v>3211</v>
      </c>
      <c r="D3669" s="12" t="s">
        <v>496</v>
      </c>
      <c r="E3669" s="12" t="s">
        <v>13163</v>
      </c>
      <c r="F3669" s="12" t="s">
        <v>170</v>
      </c>
      <c r="G3669" s="14"/>
      <c r="H3669" s="12" t="s">
        <v>61</v>
      </c>
      <c r="I3669" s="12" t="s">
        <v>62</v>
      </c>
      <c r="J3669" s="12" t="s">
        <v>2938</v>
      </c>
      <c r="K3669" s="12" t="s">
        <v>64</v>
      </c>
      <c r="L3669" s="14"/>
      <c r="M3669" s="12" t="s">
        <v>43</v>
      </c>
      <c r="N3669" s="12" t="s">
        <v>44</v>
      </c>
      <c r="O3669" s="12" t="s">
        <v>13164</v>
      </c>
      <c r="P3669" s="12" t="s">
        <v>66</v>
      </c>
      <c r="Q3669" s="12" t="s">
        <v>764</v>
      </c>
      <c r="R3669" s="12" t="s">
        <v>2940</v>
      </c>
      <c r="S3669" s="13">
        <v>197643463160</v>
      </c>
      <c r="T3669" s="12" t="s">
        <v>235</v>
      </c>
      <c r="U3669" s="12" t="s">
        <v>170</v>
      </c>
      <c r="V3669" s="12" t="s">
        <v>1811</v>
      </c>
      <c r="W3669" s="12" t="s">
        <v>118</v>
      </c>
      <c r="X3669" s="13">
        <v>0</v>
      </c>
      <c r="Y3669" s="12" t="s">
        <v>91</v>
      </c>
      <c r="Z3669" s="12" t="s">
        <v>108</v>
      </c>
      <c r="AA3669" s="13">
        <v>0</v>
      </c>
      <c r="AB3669" s="13">
        <v>0</v>
      </c>
      <c r="AC3669" s="15">
        <v>28.2</v>
      </c>
      <c r="AD3669" s="15">
        <f>AC3669*AG3669</f>
        <v>28.2</v>
      </c>
      <c r="AE3669" s="15">
        <v>62</v>
      </c>
      <c r="AF3669" s="15">
        <f>AE3669*AG3669</f>
        <v>62</v>
      </c>
      <c r="AG3669" s="16">
        <v>1</v>
      </c>
    </row>
    <row r="3670" spans="1:33" ht="15" customHeight="1" x14ac:dyDescent="0.2">
      <c r="A3670" s="11" t="str">
        <f>HYPERLINK("https://assets.vans.eu/images/VN0A5JNMZBF-HERO/1","VN0A5JNMZBF1")</f>
        <v>VN0A5JNMZBF1</v>
      </c>
      <c r="B3670" s="12" t="s">
        <v>13165</v>
      </c>
      <c r="C3670" s="12" t="s">
        <v>13166</v>
      </c>
      <c r="D3670" s="12" t="s">
        <v>680</v>
      </c>
      <c r="E3670" s="12" t="s">
        <v>13167</v>
      </c>
      <c r="F3670" s="12" t="s">
        <v>179</v>
      </c>
      <c r="G3670" s="12" t="s">
        <v>13168</v>
      </c>
      <c r="H3670" s="12" t="s">
        <v>61</v>
      </c>
      <c r="I3670" s="12" t="s">
        <v>289</v>
      </c>
      <c r="J3670" s="12" t="s">
        <v>984</v>
      </c>
      <c r="K3670" s="12" t="s">
        <v>100</v>
      </c>
      <c r="L3670" s="14"/>
      <c r="M3670" s="12" t="s">
        <v>43</v>
      </c>
      <c r="N3670" s="12" t="s">
        <v>161</v>
      </c>
      <c r="O3670" s="12" t="s">
        <v>13169</v>
      </c>
      <c r="P3670" s="12" t="s">
        <v>66</v>
      </c>
      <c r="Q3670" s="12" t="s">
        <v>764</v>
      </c>
      <c r="R3670" s="12" t="s">
        <v>986</v>
      </c>
      <c r="S3670" s="13">
        <v>197065714680</v>
      </c>
      <c r="T3670" s="12" t="s">
        <v>235</v>
      </c>
      <c r="U3670" s="12" t="s">
        <v>179</v>
      </c>
      <c r="V3670" s="12" t="s">
        <v>13170</v>
      </c>
      <c r="W3670" s="12" t="s">
        <v>118</v>
      </c>
      <c r="X3670" s="13">
        <v>0</v>
      </c>
      <c r="Y3670" s="12" t="s">
        <v>91</v>
      </c>
      <c r="Z3670" s="12" t="s">
        <v>108</v>
      </c>
      <c r="AA3670" s="13">
        <v>0</v>
      </c>
      <c r="AB3670" s="13">
        <v>0</v>
      </c>
      <c r="AC3670" s="15">
        <v>65.95</v>
      </c>
      <c r="AD3670" s="15">
        <f>AC3670*AG3670</f>
        <v>65.95</v>
      </c>
      <c r="AE3670" s="15">
        <v>145</v>
      </c>
      <c r="AF3670" s="15">
        <f>AE3670*AG3670</f>
        <v>145</v>
      </c>
      <c r="AG3670" s="16">
        <v>1</v>
      </c>
    </row>
    <row r="3671" spans="1:33" ht="15" customHeight="1" x14ac:dyDescent="0.2">
      <c r="A3671" s="11" t="str">
        <f t="shared" si="975"/>
        <v>VN0A5KEZBLK1</v>
      </c>
      <c r="B3671" s="12" t="s">
        <v>13171</v>
      </c>
      <c r="C3671" s="12" t="s">
        <v>8896</v>
      </c>
      <c r="D3671" s="12" t="s">
        <v>76</v>
      </c>
      <c r="E3671" s="12" t="s">
        <v>13172</v>
      </c>
      <c r="F3671" s="13">
        <v>2</v>
      </c>
      <c r="G3671" s="14"/>
      <c r="H3671" s="12" t="s">
        <v>61</v>
      </c>
      <c r="I3671" s="12" t="s">
        <v>1340</v>
      </c>
      <c r="J3671" s="12" t="s">
        <v>1376</v>
      </c>
      <c r="K3671" s="12" t="s">
        <v>64</v>
      </c>
      <c r="L3671" s="14"/>
      <c r="M3671" s="12" t="s">
        <v>43</v>
      </c>
      <c r="N3671" s="12" t="s">
        <v>161</v>
      </c>
      <c r="O3671" s="12" t="s">
        <v>13173</v>
      </c>
      <c r="P3671" s="12" t="s">
        <v>66</v>
      </c>
      <c r="Q3671" s="12" t="s">
        <v>233</v>
      </c>
      <c r="R3671" s="12" t="s">
        <v>974</v>
      </c>
      <c r="S3671" s="13">
        <v>195436446451</v>
      </c>
      <c r="T3671" s="12" t="s">
        <v>235</v>
      </c>
      <c r="U3671" s="13">
        <v>2</v>
      </c>
      <c r="V3671" s="12" t="s">
        <v>2964</v>
      </c>
      <c r="W3671" s="12" t="s">
        <v>51</v>
      </c>
      <c r="X3671" s="13">
        <v>0</v>
      </c>
      <c r="Y3671" s="12" t="s">
        <v>91</v>
      </c>
      <c r="Z3671" s="12" t="s">
        <v>108</v>
      </c>
      <c r="AA3671" s="13">
        <v>0</v>
      </c>
      <c r="AB3671" s="13">
        <v>0</v>
      </c>
      <c r="AC3671" s="15">
        <v>20.5</v>
      </c>
      <c r="AD3671" s="15">
        <f>AC3671*AG3671</f>
        <v>20.5</v>
      </c>
      <c r="AE3671" s="15">
        <v>45</v>
      </c>
      <c r="AF3671" s="15">
        <f>AE3671*AG3671</f>
        <v>45</v>
      </c>
      <c r="AG3671" s="16">
        <v>1</v>
      </c>
    </row>
    <row r="3672" spans="1:33" ht="15" customHeight="1" x14ac:dyDescent="0.2">
      <c r="A3672" s="11" t="str">
        <f>HYPERLINK("https://assets.vans.eu/images/VN0A5LNVBLK-HERO/1","VN0A5LNVBLK1")</f>
        <v>VN0A5LNVBLK1</v>
      </c>
      <c r="B3672" s="12" t="s">
        <v>13174</v>
      </c>
      <c r="C3672" s="12" t="s">
        <v>13175</v>
      </c>
      <c r="D3672" s="12" t="s">
        <v>76</v>
      </c>
      <c r="E3672" s="12" t="s">
        <v>13176</v>
      </c>
      <c r="F3672" s="12" t="s">
        <v>403</v>
      </c>
      <c r="G3672" s="14"/>
      <c r="H3672" s="12" t="s">
        <v>61</v>
      </c>
      <c r="I3672" s="12" t="s">
        <v>289</v>
      </c>
      <c r="J3672" s="12" t="s">
        <v>900</v>
      </c>
      <c r="K3672" s="12" t="s">
        <v>100</v>
      </c>
      <c r="L3672" s="12" t="s">
        <v>83</v>
      </c>
      <c r="M3672" s="12" t="s">
        <v>43</v>
      </c>
      <c r="N3672" s="12" t="s">
        <v>161</v>
      </c>
      <c r="O3672" s="12" t="s">
        <v>13177</v>
      </c>
      <c r="P3672" s="12" t="s">
        <v>66</v>
      </c>
      <c r="Q3672" s="12" t="s">
        <v>233</v>
      </c>
      <c r="R3672" s="12" t="s">
        <v>902</v>
      </c>
      <c r="S3672" s="13">
        <v>196014235931</v>
      </c>
      <c r="T3672" s="12" t="s">
        <v>49</v>
      </c>
      <c r="U3672" s="12" t="s">
        <v>403</v>
      </c>
      <c r="V3672" s="12" t="s">
        <v>70</v>
      </c>
      <c r="W3672" s="12" t="s">
        <v>51</v>
      </c>
      <c r="X3672" s="13">
        <v>0</v>
      </c>
      <c r="Y3672" s="12" t="s">
        <v>91</v>
      </c>
      <c r="Z3672" s="12" t="s">
        <v>108</v>
      </c>
      <c r="AA3672" s="13">
        <v>0</v>
      </c>
      <c r="AB3672" s="12" t="s">
        <v>616</v>
      </c>
      <c r="AC3672" s="15">
        <v>32.75</v>
      </c>
      <c r="AD3672" s="15">
        <f>AC3672*AG3672</f>
        <v>32.75</v>
      </c>
      <c r="AE3672" s="15">
        <v>72</v>
      </c>
      <c r="AF3672" s="15">
        <f>AE3672*AG3672</f>
        <v>72</v>
      </c>
      <c r="AG3672" s="16">
        <v>1</v>
      </c>
    </row>
    <row r="3673" spans="1:33" ht="15" customHeight="1" x14ac:dyDescent="0.2">
      <c r="A3673" s="11" t="str">
        <f t="shared" si="976"/>
        <v>VN0A7RMDDJR1</v>
      </c>
      <c r="B3673" s="12" t="s">
        <v>13178</v>
      </c>
      <c r="C3673" s="12" t="s">
        <v>8900</v>
      </c>
      <c r="D3673" s="12" t="s">
        <v>2829</v>
      </c>
      <c r="E3673" s="12" t="s">
        <v>13179</v>
      </c>
      <c r="F3673" s="12" t="s">
        <v>60</v>
      </c>
      <c r="G3673" s="12" t="s">
        <v>1521</v>
      </c>
      <c r="H3673" s="12" t="s">
        <v>61</v>
      </c>
      <c r="I3673" s="12" t="s">
        <v>289</v>
      </c>
      <c r="J3673" s="12" t="s">
        <v>706</v>
      </c>
      <c r="K3673" s="12" t="s">
        <v>100</v>
      </c>
      <c r="L3673" s="12" t="s">
        <v>83</v>
      </c>
      <c r="M3673" s="12" t="s">
        <v>43</v>
      </c>
      <c r="N3673" s="12" t="s">
        <v>84</v>
      </c>
      <c r="O3673" s="12" t="s">
        <v>13180</v>
      </c>
      <c r="P3673" s="12" t="s">
        <v>66</v>
      </c>
      <c r="Q3673" s="12" t="s">
        <v>67</v>
      </c>
      <c r="R3673" s="12" t="s">
        <v>708</v>
      </c>
      <c r="S3673" s="13">
        <v>197065830441</v>
      </c>
      <c r="T3673" s="12" t="s">
        <v>69</v>
      </c>
      <c r="U3673" s="12" t="s">
        <v>60</v>
      </c>
      <c r="V3673" s="12" t="s">
        <v>70</v>
      </c>
      <c r="W3673" s="12" t="s">
        <v>175</v>
      </c>
      <c r="X3673" s="13">
        <v>0</v>
      </c>
      <c r="Y3673" s="12" t="s">
        <v>91</v>
      </c>
      <c r="Z3673" s="12" t="s">
        <v>108</v>
      </c>
      <c r="AA3673" s="13">
        <v>0</v>
      </c>
      <c r="AB3673" s="12" t="s">
        <v>616</v>
      </c>
      <c r="AC3673" s="15">
        <v>36.4</v>
      </c>
      <c r="AD3673" s="15">
        <f>AC3673*AG3673</f>
        <v>36.4</v>
      </c>
      <c r="AE3673" s="15">
        <v>80</v>
      </c>
      <c r="AF3673" s="15">
        <f>AE3673*AG3673</f>
        <v>80</v>
      </c>
      <c r="AG3673" s="16">
        <v>1</v>
      </c>
    </row>
    <row r="3674" spans="1:33" ht="15" customHeight="1" x14ac:dyDescent="0.2">
      <c r="A3674" s="11" t="str">
        <f>HYPERLINK("https://assets.vans.eu/images/VN0A7SHE705-HERO/1","VN0A7SHE7051")</f>
        <v>VN0A7SHE7051</v>
      </c>
      <c r="B3674" s="12" t="s">
        <v>13181</v>
      </c>
      <c r="C3674" s="12" t="s">
        <v>13182</v>
      </c>
      <c r="D3674" s="12" t="s">
        <v>2273</v>
      </c>
      <c r="E3674" s="12" t="s">
        <v>13183</v>
      </c>
      <c r="F3674" s="12" t="s">
        <v>60</v>
      </c>
      <c r="G3674" s="14"/>
      <c r="H3674" s="12" t="s">
        <v>61</v>
      </c>
      <c r="I3674" s="12" t="s">
        <v>62</v>
      </c>
      <c r="J3674" s="12" t="s">
        <v>972</v>
      </c>
      <c r="K3674" s="12" t="s">
        <v>64</v>
      </c>
      <c r="L3674" s="14"/>
      <c r="M3674" s="12" t="s">
        <v>43</v>
      </c>
      <c r="N3674" s="12" t="s">
        <v>44</v>
      </c>
      <c r="O3674" s="12" t="s">
        <v>13184</v>
      </c>
      <c r="P3674" s="12" t="s">
        <v>66</v>
      </c>
      <c r="Q3674" s="12" t="s">
        <v>233</v>
      </c>
      <c r="R3674" s="12" t="s">
        <v>1024</v>
      </c>
      <c r="S3674" s="13">
        <v>196244915603</v>
      </c>
      <c r="T3674" s="12" t="s">
        <v>235</v>
      </c>
      <c r="U3674" s="12" t="s">
        <v>60</v>
      </c>
      <c r="V3674" s="12" t="s">
        <v>13185</v>
      </c>
      <c r="W3674" s="12" t="s">
        <v>51</v>
      </c>
      <c r="X3674" s="13">
        <v>0</v>
      </c>
      <c r="Y3674" s="12" t="s">
        <v>91</v>
      </c>
      <c r="Z3674" s="12" t="s">
        <v>108</v>
      </c>
      <c r="AA3674" s="13">
        <v>0</v>
      </c>
      <c r="AB3674" s="13">
        <v>0</v>
      </c>
      <c r="AC3674" s="15">
        <v>15.95</v>
      </c>
      <c r="AD3674" s="15">
        <f>AC3674*AG3674</f>
        <v>15.95</v>
      </c>
      <c r="AE3674" s="15">
        <v>35</v>
      </c>
      <c r="AF3674" s="15">
        <f>AE3674*AG3674</f>
        <v>35</v>
      </c>
      <c r="AG3674" s="16">
        <v>1</v>
      </c>
    </row>
    <row r="3675" spans="1:33" ht="15" customHeight="1" x14ac:dyDescent="0.2">
      <c r="A3675" s="11" t="str">
        <f>HYPERLINK("https://assets.vans.eu/images/VN0A7Y3XJNH-HERO/1","VN0A7Y3XJNH1")</f>
        <v>VN0A7Y3XJNH1</v>
      </c>
      <c r="B3675" s="12" t="s">
        <v>13186</v>
      </c>
      <c r="C3675" s="12" t="s">
        <v>1242</v>
      </c>
      <c r="D3675" s="12" t="s">
        <v>13187</v>
      </c>
      <c r="E3675" s="12" t="s">
        <v>13188</v>
      </c>
      <c r="F3675" s="12" t="s">
        <v>60</v>
      </c>
      <c r="G3675" s="14"/>
      <c r="H3675" s="12" t="s">
        <v>61</v>
      </c>
      <c r="I3675" s="12" t="s">
        <v>230</v>
      </c>
      <c r="J3675" s="12" t="s">
        <v>419</v>
      </c>
      <c r="K3675" s="12" t="s">
        <v>199</v>
      </c>
      <c r="L3675" s="12" t="s">
        <v>350</v>
      </c>
      <c r="M3675" s="12" t="s">
        <v>43</v>
      </c>
      <c r="N3675" s="12" t="s">
        <v>161</v>
      </c>
      <c r="O3675" s="12" t="s">
        <v>13189</v>
      </c>
      <c r="P3675" s="12" t="s">
        <v>66</v>
      </c>
      <c r="Q3675" s="12" t="s">
        <v>67</v>
      </c>
      <c r="R3675" s="12" t="s">
        <v>623</v>
      </c>
      <c r="S3675" s="13">
        <v>196244276070</v>
      </c>
      <c r="T3675" s="12" t="s">
        <v>7784</v>
      </c>
      <c r="U3675" s="12" t="s">
        <v>60</v>
      </c>
      <c r="V3675" s="12" t="s">
        <v>70</v>
      </c>
      <c r="W3675" s="12" t="s">
        <v>51</v>
      </c>
      <c r="X3675" s="13">
        <v>0</v>
      </c>
      <c r="Y3675" s="12" t="s">
        <v>71</v>
      </c>
      <c r="Z3675" s="12" t="s">
        <v>92</v>
      </c>
      <c r="AA3675" s="12" t="s">
        <v>354</v>
      </c>
      <c r="AB3675" s="12" t="s">
        <v>355</v>
      </c>
      <c r="AC3675" s="15">
        <v>34.1</v>
      </c>
      <c r="AD3675" s="15">
        <f>AC3675*AG3675</f>
        <v>34.1</v>
      </c>
      <c r="AE3675" s="15">
        <v>75</v>
      </c>
      <c r="AF3675" s="15">
        <f>AE3675*AG3675</f>
        <v>75</v>
      </c>
      <c r="AG3675" s="16">
        <v>1</v>
      </c>
    </row>
    <row r="3676" spans="1:33" ht="15" customHeight="1" x14ac:dyDescent="0.2">
      <c r="A3676" s="11" t="str">
        <f>HYPERLINK("https://assets.vans.eu/images/VN0A7Y47Z2X-HERO/1","VN0A7Y47Z2X1")</f>
        <v>VN0A7Y47Z2X1</v>
      </c>
      <c r="B3676" s="12" t="s">
        <v>13190</v>
      </c>
      <c r="C3676" s="12" t="s">
        <v>57</v>
      </c>
      <c r="D3676" s="12" t="s">
        <v>13191</v>
      </c>
      <c r="E3676" s="12" t="s">
        <v>13192</v>
      </c>
      <c r="F3676" s="12" t="s">
        <v>60</v>
      </c>
      <c r="G3676" s="14"/>
      <c r="H3676" s="12" t="s">
        <v>61</v>
      </c>
      <c r="I3676" s="12" t="s">
        <v>62</v>
      </c>
      <c r="J3676" s="12" t="s">
        <v>63</v>
      </c>
      <c r="K3676" s="12" t="s">
        <v>64</v>
      </c>
      <c r="L3676" s="14"/>
      <c r="M3676" s="12" t="s">
        <v>43</v>
      </c>
      <c r="N3676" s="12" t="s">
        <v>44</v>
      </c>
      <c r="O3676" s="12" t="s">
        <v>13193</v>
      </c>
      <c r="P3676" s="12" t="s">
        <v>66</v>
      </c>
      <c r="Q3676" s="12" t="s">
        <v>67</v>
      </c>
      <c r="R3676" s="12" t="s">
        <v>68</v>
      </c>
      <c r="S3676" s="13">
        <v>196244424358</v>
      </c>
      <c r="T3676" s="12" t="s">
        <v>69</v>
      </c>
      <c r="U3676" s="12" t="s">
        <v>60</v>
      </c>
      <c r="V3676" s="12" t="s">
        <v>423</v>
      </c>
      <c r="W3676" s="12" t="s">
        <v>284</v>
      </c>
      <c r="X3676" s="13">
        <v>0</v>
      </c>
      <c r="Y3676" s="12" t="s">
        <v>71</v>
      </c>
      <c r="Z3676" s="12" t="s">
        <v>72</v>
      </c>
      <c r="AA3676" s="12" t="s">
        <v>73</v>
      </c>
      <c r="AB3676" s="12" t="s">
        <v>55</v>
      </c>
      <c r="AC3676" s="15">
        <v>10</v>
      </c>
      <c r="AD3676" s="15">
        <f>AC3676*AG3676</f>
        <v>10</v>
      </c>
      <c r="AE3676" s="15">
        <v>22</v>
      </c>
      <c r="AF3676" s="15">
        <f>AE3676*AG3676</f>
        <v>22</v>
      </c>
      <c r="AG3676" s="16">
        <v>1</v>
      </c>
    </row>
    <row r="3677" spans="1:33" ht="15" customHeight="1" x14ac:dyDescent="0.2">
      <c r="A3677" s="11" t="str">
        <f>HYPERLINK("https://assets.vans.eu/images/VN0A7Y4RJNH-HERO/1","VN0A7Y4RJNH1")</f>
        <v>VN0A7Y4RJNH1</v>
      </c>
      <c r="B3677" s="12" t="s">
        <v>13194</v>
      </c>
      <c r="C3677" s="12" t="s">
        <v>8914</v>
      </c>
      <c r="D3677" s="12" t="s">
        <v>13187</v>
      </c>
      <c r="E3677" s="12" t="s">
        <v>13195</v>
      </c>
      <c r="F3677" s="12" t="s">
        <v>60</v>
      </c>
      <c r="G3677" s="14"/>
      <c r="H3677" s="12" t="s">
        <v>61</v>
      </c>
      <c r="I3677" s="12" t="s">
        <v>62</v>
      </c>
      <c r="J3677" s="12" t="s">
        <v>63</v>
      </c>
      <c r="K3677" s="12" t="s">
        <v>64</v>
      </c>
      <c r="L3677" s="12" t="s">
        <v>350</v>
      </c>
      <c r="M3677" s="12" t="s">
        <v>43</v>
      </c>
      <c r="N3677" s="12" t="s">
        <v>161</v>
      </c>
      <c r="O3677" s="12" t="s">
        <v>13196</v>
      </c>
      <c r="P3677" s="12" t="s">
        <v>66</v>
      </c>
      <c r="Q3677" s="12" t="s">
        <v>67</v>
      </c>
      <c r="R3677" s="12" t="s">
        <v>730</v>
      </c>
      <c r="S3677" s="13">
        <v>196244266064</v>
      </c>
      <c r="T3677" s="12" t="s">
        <v>7784</v>
      </c>
      <c r="U3677" s="12" t="s">
        <v>60</v>
      </c>
      <c r="V3677" s="12" t="s">
        <v>70</v>
      </c>
      <c r="W3677" s="12" t="s">
        <v>51</v>
      </c>
      <c r="X3677" s="13">
        <v>0</v>
      </c>
      <c r="Y3677" s="12" t="s">
        <v>71</v>
      </c>
      <c r="Z3677" s="12" t="s">
        <v>92</v>
      </c>
      <c r="AA3677" s="12" t="s">
        <v>354</v>
      </c>
      <c r="AB3677" s="12" t="s">
        <v>355</v>
      </c>
      <c r="AC3677" s="15">
        <v>27.3</v>
      </c>
      <c r="AD3677" s="15">
        <f>AC3677*AG3677</f>
        <v>27.3</v>
      </c>
      <c r="AE3677" s="15">
        <v>60</v>
      </c>
      <c r="AF3677" s="15">
        <f>AE3677*AG3677</f>
        <v>60</v>
      </c>
      <c r="AG3677" s="16">
        <v>1</v>
      </c>
    </row>
    <row r="3678" spans="1:33" ht="15" customHeight="1" x14ac:dyDescent="0.2">
      <c r="A3678" s="11" t="str">
        <f>HYPERLINK("https://assets.vans.eu/images/VN0A7YK5BLK-HERO/1","VN0A7YK5BLK1")</f>
        <v>VN0A7YK5BLK1</v>
      </c>
      <c r="B3678" s="12" t="s">
        <v>13197</v>
      </c>
      <c r="C3678" s="12" t="s">
        <v>13198</v>
      </c>
      <c r="D3678" s="12" t="s">
        <v>76</v>
      </c>
      <c r="E3678" s="12" t="s">
        <v>13199</v>
      </c>
      <c r="F3678" s="12" t="s">
        <v>403</v>
      </c>
      <c r="G3678" s="12" t="s">
        <v>13168</v>
      </c>
      <c r="H3678" s="12" t="s">
        <v>61</v>
      </c>
      <c r="I3678" s="12" t="s">
        <v>289</v>
      </c>
      <c r="J3678" s="12" t="s">
        <v>984</v>
      </c>
      <c r="K3678" s="12" t="s">
        <v>100</v>
      </c>
      <c r="L3678" s="14"/>
      <c r="M3678" s="12" t="s">
        <v>43</v>
      </c>
      <c r="N3678" s="12" t="s">
        <v>161</v>
      </c>
      <c r="O3678" s="12" t="s">
        <v>13200</v>
      </c>
      <c r="P3678" s="12" t="s">
        <v>66</v>
      </c>
      <c r="Q3678" s="12" t="s">
        <v>764</v>
      </c>
      <c r="R3678" s="12" t="s">
        <v>986</v>
      </c>
      <c r="S3678" s="13">
        <v>196244947727</v>
      </c>
      <c r="T3678" s="12" t="s">
        <v>235</v>
      </c>
      <c r="U3678" s="12" t="s">
        <v>403</v>
      </c>
      <c r="V3678" s="12" t="s">
        <v>13201</v>
      </c>
      <c r="W3678" s="12" t="s">
        <v>51</v>
      </c>
      <c r="X3678" s="13">
        <v>0</v>
      </c>
      <c r="Y3678" s="12" t="s">
        <v>91</v>
      </c>
      <c r="Z3678" s="12" t="s">
        <v>108</v>
      </c>
      <c r="AA3678" s="13">
        <v>0</v>
      </c>
      <c r="AB3678" s="13">
        <v>0</v>
      </c>
      <c r="AC3678" s="15">
        <v>56.85</v>
      </c>
      <c r="AD3678" s="15">
        <f>AC3678*AG3678</f>
        <v>56.85</v>
      </c>
      <c r="AE3678" s="15">
        <v>125</v>
      </c>
      <c r="AF3678" s="15">
        <f>AE3678*AG3678</f>
        <v>125</v>
      </c>
      <c r="AG3678" s="16">
        <v>1</v>
      </c>
    </row>
    <row r="3679" spans="1:33" ht="15" customHeight="1" x14ac:dyDescent="0.2">
      <c r="A3679" s="11" t="str">
        <f>HYPERLINK("https://assets.vans.eu/images/VN0A7YUTJCN-HERO/1","VN0A7YUTJCN1")</f>
        <v>VN0A7YUTJCN1</v>
      </c>
      <c r="B3679" s="12" t="s">
        <v>13202</v>
      </c>
      <c r="C3679" s="12" t="s">
        <v>1519</v>
      </c>
      <c r="D3679" s="12" t="s">
        <v>13203</v>
      </c>
      <c r="E3679" s="12" t="s">
        <v>13204</v>
      </c>
      <c r="F3679" s="12" t="s">
        <v>179</v>
      </c>
      <c r="G3679" s="12" t="s">
        <v>1521</v>
      </c>
      <c r="H3679" s="12" t="s">
        <v>61</v>
      </c>
      <c r="I3679" s="12" t="s">
        <v>289</v>
      </c>
      <c r="J3679" s="12" t="s">
        <v>706</v>
      </c>
      <c r="K3679" s="12" t="s">
        <v>100</v>
      </c>
      <c r="L3679" s="14"/>
      <c r="M3679" s="12" t="s">
        <v>43</v>
      </c>
      <c r="N3679" s="12" t="s">
        <v>161</v>
      </c>
      <c r="O3679" s="12" t="s">
        <v>13205</v>
      </c>
      <c r="P3679" s="12" t="s">
        <v>66</v>
      </c>
      <c r="Q3679" s="12" t="s">
        <v>67</v>
      </c>
      <c r="R3679" s="12" t="s">
        <v>1146</v>
      </c>
      <c r="S3679" s="13">
        <v>197641025858</v>
      </c>
      <c r="T3679" s="12" t="s">
        <v>422</v>
      </c>
      <c r="U3679" s="12" t="s">
        <v>179</v>
      </c>
      <c r="V3679" s="12" t="s">
        <v>70</v>
      </c>
      <c r="W3679" s="12" t="s">
        <v>284</v>
      </c>
      <c r="X3679" s="13">
        <v>0</v>
      </c>
      <c r="Y3679" s="12" t="s">
        <v>91</v>
      </c>
      <c r="Z3679" s="12" t="s">
        <v>108</v>
      </c>
      <c r="AA3679" s="13">
        <v>0</v>
      </c>
      <c r="AB3679" s="13">
        <v>0</v>
      </c>
      <c r="AC3679" s="15">
        <v>13.65</v>
      </c>
      <c r="AD3679" s="15">
        <f>AC3679*AG3679</f>
        <v>13.65</v>
      </c>
      <c r="AE3679" s="15">
        <v>30</v>
      </c>
      <c r="AF3679" s="15">
        <f>AE3679*AG3679</f>
        <v>30</v>
      </c>
      <c r="AG3679" s="16">
        <v>1</v>
      </c>
    </row>
    <row r="3680" spans="1:33" ht="15" customHeight="1" x14ac:dyDescent="0.2">
      <c r="A3680" s="11" t="str">
        <f>HYPERLINK("https://assets.vans.eu/images/VN00082G9RJ-HERO/1","VN00082G9RJ1")</f>
        <v>VN00082G9RJ1</v>
      </c>
      <c r="B3680" s="12" t="s">
        <v>13206</v>
      </c>
      <c r="C3680" s="12" t="s">
        <v>13207</v>
      </c>
      <c r="D3680" s="12" t="s">
        <v>13208</v>
      </c>
      <c r="E3680" s="12" t="s">
        <v>13209</v>
      </c>
      <c r="F3680" s="12" t="s">
        <v>78</v>
      </c>
      <c r="G3680" s="14"/>
      <c r="H3680" s="12" t="s">
        <v>441</v>
      </c>
      <c r="I3680" s="12" t="s">
        <v>442</v>
      </c>
      <c r="J3680" s="12" t="s">
        <v>443</v>
      </c>
      <c r="K3680" s="12" t="s">
        <v>82</v>
      </c>
      <c r="L3680" s="14"/>
      <c r="M3680" s="12" t="s">
        <v>43</v>
      </c>
      <c r="N3680" s="12" t="s">
        <v>44</v>
      </c>
      <c r="O3680" s="12" t="s">
        <v>13210</v>
      </c>
      <c r="P3680" s="12" t="s">
        <v>445</v>
      </c>
      <c r="Q3680" s="12" t="s">
        <v>446</v>
      </c>
      <c r="R3680" s="12" t="s">
        <v>447</v>
      </c>
      <c r="S3680" s="13">
        <v>197643553274</v>
      </c>
      <c r="T3680" s="12" t="s">
        <v>130</v>
      </c>
      <c r="U3680" s="12" t="s">
        <v>78</v>
      </c>
      <c r="V3680" s="12" t="s">
        <v>13211</v>
      </c>
      <c r="W3680" s="12" t="s">
        <v>51</v>
      </c>
      <c r="X3680" s="13">
        <v>0</v>
      </c>
      <c r="Y3680" s="12" t="s">
        <v>91</v>
      </c>
      <c r="Z3680" s="12" t="s">
        <v>108</v>
      </c>
      <c r="AA3680" s="13">
        <v>0</v>
      </c>
      <c r="AB3680" s="13">
        <v>0</v>
      </c>
      <c r="AC3680" s="15">
        <v>25</v>
      </c>
      <c r="AD3680" s="15">
        <f>AC3680*AG3680</f>
        <v>25</v>
      </c>
      <c r="AE3680" s="15">
        <v>55</v>
      </c>
      <c r="AF3680" s="15">
        <f>AE3680*AG3680</f>
        <v>55</v>
      </c>
      <c r="AG3680" s="16">
        <v>1</v>
      </c>
    </row>
    <row r="3681" spans="1:33" ht="15" customHeight="1" x14ac:dyDescent="0.2">
      <c r="A3681" s="11" t="str">
        <f>HYPERLINK("https://assets.vans.eu/images/VN000H4XEMW-HERO/1","VN000H4XEMW1")</f>
        <v>VN000H4XEMW1</v>
      </c>
      <c r="B3681" s="12" t="s">
        <v>13212</v>
      </c>
      <c r="C3681" s="12" t="s">
        <v>1995</v>
      </c>
      <c r="D3681" s="12" t="s">
        <v>147</v>
      </c>
      <c r="E3681" s="12" t="s">
        <v>13213</v>
      </c>
      <c r="F3681" s="12" t="s">
        <v>78</v>
      </c>
      <c r="G3681" s="14"/>
      <c r="H3681" s="12" t="s">
        <v>441</v>
      </c>
      <c r="I3681" s="12" t="s">
        <v>442</v>
      </c>
      <c r="J3681" s="12" t="s">
        <v>443</v>
      </c>
      <c r="K3681" s="12" t="s">
        <v>82</v>
      </c>
      <c r="L3681" s="14"/>
      <c r="M3681" s="12" t="s">
        <v>43</v>
      </c>
      <c r="N3681" s="12" t="s">
        <v>84</v>
      </c>
      <c r="O3681" s="12" t="s">
        <v>13214</v>
      </c>
      <c r="P3681" s="12" t="s">
        <v>445</v>
      </c>
      <c r="Q3681" s="12" t="s">
        <v>446</v>
      </c>
      <c r="R3681" s="12" t="s">
        <v>447</v>
      </c>
      <c r="S3681" s="13">
        <v>197804384402</v>
      </c>
      <c r="T3681" s="12" t="s">
        <v>130</v>
      </c>
      <c r="U3681" s="12" t="s">
        <v>78</v>
      </c>
      <c r="V3681" s="12" t="s">
        <v>771</v>
      </c>
      <c r="W3681" s="12" t="s">
        <v>118</v>
      </c>
      <c r="X3681" s="14"/>
      <c r="Y3681" s="14"/>
      <c r="Z3681" s="14"/>
      <c r="AA3681" s="14"/>
      <c r="AB3681" s="14"/>
      <c r="AC3681" s="15">
        <v>21.85</v>
      </c>
      <c r="AD3681" s="15">
        <f>AC3681*AG3681</f>
        <v>21.85</v>
      </c>
      <c r="AE3681" s="15">
        <v>48</v>
      </c>
      <c r="AF3681" s="15">
        <f>AE3681*AG3681</f>
        <v>48</v>
      </c>
      <c r="AG3681" s="16">
        <v>1</v>
      </c>
    </row>
    <row r="3682" spans="1:33" ht="15" customHeight="1" x14ac:dyDescent="0.2">
      <c r="A3682" s="11" t="str">
        <f>HYPERLINK("https://assets.vans.eu/images/VN000H4YCIC-HERO/1","VN000H4YCIC1")</f>
        <v>VN000H4YCIC1</v>
      </c>
      <c r="B3682" s="12" t="s">
        <v>13215</v>
      </c>
      <c r="C3682" s="12" t="s">
        <v>5625</v>
      </c>
      <c r="D3682" s="12" t="s">
        <v>755</v>
      </c>
      <c r="E3682" s="12" t="s">
        <v>13216</v>
      </c>
      <c r="F3682" s="12" t="s">
        <v>78</v>
      </c>
      <c r="G3682" s="14"/>
      <c r="H3682" s="12" t="s">
        <v>441</v>
      </c>
      <c r="I3682" s="12" t="s">
        <v>442</v>
      </c>
      <c r="J3682" s="12" t="s">
        <v>443</v>
      </c>
      <c r="K3682" s="12" t="s">
        <v>82</v>
      </c>
      <c r="L3682" s="14"/>
      <c r="M3682" s="12" t="s">
        <v>43</v>
      </c>
      <c r="N3682" s="12" t="s">
        <v>161</v>
      </c>
      <c r="O3682" s="12" t="s">
        <v>13217</v>
      </c>
      <c r="P3682" s="12" t="s">
        <v>445</v>
      </c>
      <c r="Q3682" s="12" t="s">
        <v>446</v>
      </c>
      <c r="R3682" s="12" t="s">
        <v>447</v>
      </c>
      <c r="S3682" s="13">
        <v>197065711658</v>
      </c>
      <c r="T3682" s="12" t="s">
        <v>105</v>
      </c>
      <c r="U3682" s="12" t="s">
        <v>78</v>
      </c>
      <c r="V3682" s="12" t="s">
        <v>2570</v>
      </c>
      <c r="W3682" s="12" t="s">
        <v>118</v>
      </c>
      <c r="X3682" s="13">
        <v>0</v>
      </c>
      <c r="Y3682" s="12" t="s">
        <v>91</v>
      </c>
      <c r="Z3682" s="12" t="s">
        <v>108</v>
      </c>
      <c r="AA3682" s="13">
        <v>0</v>
      </c>
      <c r="AB3682" s="13">
        <v>0</v>
      </c>
      <c r="AC3682" s="15">
        <v>20.5</v>
      </c>
      <c r="AD3682" s="15">
        <f>AC3682*AG3682</f>
        <v>20.5</v>
      </c>
      <c r="AE3682" s="15">
        <v>45</v>
      </c>
      <c r="AF3682" s="15">
        <f>AE3682*AG3682</f>
        <v>45</v>
      </c>
      <c r="AG3682" s="16">
        <v>1</v>
      </c>
    </row>
    <row r="3683" spans="1:33" ht="15" customHeight="1" x14ac:dyDescent="0.2">
      <c r="A3683" s="11" t="str">
        <f>HYPERLINK("https://assets.vans.eu/images/VN000H4YO3N-HERO/1","VN000H4YO3N1")</f>
        <v>VN000H4YO3N1</v>
      </c>
      <c r="B3683" s="12" t="s">
        <v>13218</v>
      </c>
      <c r="C3683" s="12" t="s">
        <v>5625</v>
      </c>
      <c r="D3683" s="12" t="s">
        <v>744</v>
      </c>
      <c r="E3683" s="12" t="s">
        <v>13219</v>
      </c>
      <c r="F3683" s="12" t="s">
        <v>78</v>
      </c>
      <c r="G3683" s="14"/>
      <c r="H3683" s="12" t="s">
        <v>441</v>
      </c>
      <c r="I3683" s="12" t="s">
        <v>442</v>
      </c>
      <c r="J3683" s="12" t="s">
        <v>443</v>
      </c>
      <c r="K3683" s="12" t="s">
        <v>82</v>
      </c>
      <c r="L3683" s="14"/>
      <c r="M3683" s="12" t="s">
        <v>43</v>
      </c>
      <c r="N3683" s="12" t="s">
        <v>84</v>
      </c>
      <c r="O3683" s="12" t="s">
        <v>13220</v>
      </c>
      <c r="P3683" s="12" t="s">
        <v>445</v>
      </c>
      <c r="Q3683" s="12" t="s">
        <v>446</v>
      </c>
      <c r="R3683" s="12" t="s">
        <v>447</v>
      </c>
      <c r="S3683" s="13">
        <v>197643567646</v>
      </c>
      <c r="T3683" s="12" t="s">
        <v>130</v>
      </c>
      <c r="U3683" s="12" t="s">
        <v>78</v>
      </c>
      <c r="V3683" s="12" t="s">
        <v>13221</v>
      </c>
      <c r="W3683" s="12" t="s">
        <v>299</v>
      </c>
      <c r="X3683" s="12" t="s">
        <v>500</v>
      </c>
      <c r="Y3683" s="12" t="s">
        <v>91</v>
      </c>
      <c r="Z3683" s="12" t="s">
        <v>108</v>
      </c>
      <c r="AA3683" s="13">
        <v>0</v>
      </c>
      <c r="AB3683" s="13">
        <v>0</v>
      </c>
      <c r="AC3683" s="15">
        <v>20.5</v>
      </c>
      <c r="AD3683" s="15">
        <f>AC3683*AG3683</f>
        <v>20.5</v>
      </c>
      <c r="AE3683" s="15">
        <v>45</v>
      </c>
      <c r="AF3683" s="15">
        <f>AE3683*AG3683</f>
        <v>45</v>
      </c>
      <c r="AG3683" s="16">
        <v>1</v>
      </c>
    </row>
    <row r="3684" spans="1:33" ht="15" customHeight="1" x14ac:dyDescent="0.2">
      <c r="A3684" s="11" t="str">
        <f>HYPERLINK("https://assets.vans.eu/images/VN000H56CBO-HERO/1","VN000H56CBO1")</f>
        <v>VN000H56CBO1</v>
      </c>
      <c r="B3684" s="12" t="s">
        <v>13222</v>
      </c>
      <c r="C3684" s="12" t="s">
        <v>3862</v>
      </c>
      <c r="D3684" s="12" t="s">
        <v>13223</v>
      </c>
      <c r="E3684" s="12" t="s">
        <v>13224</v>
      </c>
      <c r="F3684" s="12" t="s">
        <v>78</v>
      </c>
      <c r="G3684" s="14"/>
      <c r="H3684" s="12" t="s">
        <v>441</v>
      </c>
      <c r="I3684" s="12" t="s">
        <v>3864</v>
      </c>
      <c r="J3684" s="12" t="s">
        <v>3865</v>
      </c>
      <c r="K3684" s="12" t="s">
        <v>41</v>
      </c>
      <c r="L3684" s="14"/>
      <c r="M3684" s="12" t="s">
        <v>43</v>
      </c>
      <c r="N3684" s="12" t="s">
        <v>44</v>
      </c>
      <c r="O3684" s="12" t="s">
        <v>13225</v>
      </c>
      <c r="P3684" s="12" t="s">
        <v>445</v>
      </c>
      <c r="Q3684" s="12" t="s">
        <v>3867</v>
      </c>
      <c r="R3684" s="12" t="s">
        <v>3868</v>
      </c>
      <c r="S3684" s="13">
        <v>197643554844</v>
      </c>
      <c r="T3684" s="12" t="s">
        <v>130</v>
      </c>
      <c r="U3684" s="12" t="s">
        <v>78</v>
      </c>
      <c r="V3684" s="12" t="s">
        <v>13226</v>
      </c>
      <c r="W3684" s="12" t="s">
        <v>118</v>
      </c>
      <c r="X3684" s="12" t="s">
        <v>500</v>
      </c>
      <c r="Y3684" s="12" t="s">
        <v>91</v>
      </c>
      <c r="Z3684" s="12" t="s">
        <v>108</v>
      </c>
      <c r="AA3684" s="13">
        <v>0</v>
      </c>
      <c r="AB3684" s="13">
        <v>0</v>
      </c>
      <c r="AC3684" s="15">
        <v>17.3</v>
      </c>
      <c r="AD3684" s="15">
        <f>AC3684*AG3684</f>
        <v>17.3</v>
      </c>
      <c r="AE3684" s="15">
        <v>38</v>
      </c>
      <c r="AF3684" s="15">
        <f>AE3684*AG3684</f>
        <v>38</v>
      </c>
      <c r="AG3684" s="16">
        <v>1</v>
      </c>
    </row>
    <row r="3685" spans="1:33" ht="15" customHeight="1" x14ac:dyDescent="0.2">
      <c r="A3685" s="11" t="str">
        <f>HYPERLINK("https://assets.vans.eu/images/VN000H58CBO-HERO/1","VN000H58CBO1")</f>
        <v>VN000H58CBO1</v>
      </c>
      <c r="B3685" s="12" t="s">
        <v>13227</v>
      </c>
      <c r="C3685" s="12" t="s">
        <v>8924</v>
      </c>
      <c r="D3685" s="12" t="s">
        <v>13223</v>
      </c>
      <c r="E3685" s="12" t="s">
        <v>13228</v>
      </c>
      <c r="F3685" s="12" t="s">
        <v>78</v>
      </c>
      <c r="G3685" s="14"/>
      <c r="H3685" s="12" t="s">
        <v>441</v>
      </c>
      <c r="I3685" s="12" t="s">
        <v>3864</v>
      </c>
      <c r="J3685" s="12" t="s">
        <v>8926</v>
      </c>
      <c r="K3685" s="12" t="s">
        <v>41</v>
      </c>
      <c r="L3685" s="14"/>
      <c r="M3685" s="12" t="s">
        <v>43</v>
      </c>
      <c r="N3685" s="12" t="s">
        <v>44</v>
      </c>
      <c r="O3685" s="12" t="s">
        <v>13229</v>
      </c>
      <c r="P3685" s="12" t="s">
        <v>445</v>
      </c>
      <c r="Q3685" s="12" t="s">
        <v>3867</v>
      </c>
      <c r="R3685" s="12" t="s">
        <v>8928</v>
      </c>
      <c r="S3685" s="13">
        <v>197643554875</v>
      </c>
      <c r="T3685" s="12" t="s">
        <v>130</v>
      </c>
      <c r="U3685" s="12" t="s">
        <v>78</v>
      </c>
      <c r="V3685" s="12" t="s">
        <v>13230</v>
      </c>
      <c r="W3685" s="12" t="s">
        <v>118</v>
      </c>
      <c r="X3685" s="12" t="s">
        <v>500</v>
      </c>
      <c r="Y3685" s="12" t="s">
        <v>91</v>
      </c>
      <c r="Z3685" s="12" t="s">
        <v>108</v>
      </c>
      <c r="AA3685" s="13">
        <v>0</v>
      </c>
      <c r="AB3685" s="13">
        <v>0</v>
      </c>
      <c r="AC3685" s="15">
        <v>6.4</v>
      </c>
      <c r="AD3685" s="15">
        <f>AC3685*AG3685</f>
        <v>6.4</v>
      </c>
      <c r="AE3685" s="15">
        <v>14</v>
      </c>
      <c r="AF3685" s="15">
        <f>AE3685*AG3685</f>
        <v>14</v>
      </c>
      <c r="AG3685" s="16">
        <v>1</v>
      </c>
    </row>
    <row r="3686" spans="1:33" ht="15" customHeight="1" x14ac:dyDescent="0.2">
      <c r="A3686" s="11" t="str">
        <f>HYPERLINK("https://assets.vans.eu/images/VN000MNNY7X-HERO/1","VN000MNNY7X1")</f>
        <v>VN000MNNY7X1</v>
      </c>
      <c r="B3686" s="12" t="s">
        <v>13231</v>
      </c>
      <c r="C3686" s="12" t="s">
        <v>439</v>
      </c>
      <c r="D3686" s="12" t="s">
        <v>2658</v>
      </c>
      <c r="E3686" s="12" t="s">
        <v>13232</v>
      </c>
      <c r="F3686" s="12" t="s">
        <v>78</v>
      </c>
      <c r="G3686" s="14"/>
      <c r="H3686" s="12" t="s">
        <v>441</v>
      </c>
      <c r="I3686" s="12" t="s">
        <v>442</v>
      </c>
      <c r="J3686" s="12" t="s">
        <v>443</v>
      </c>
      <c r="K3686" s="12" t="s">
        <v>82</v>
      </c>
      <c r="L3686" s="14"/>
      <c r="M3686" s="12" t="s">
        <v>43</v>
      </c>
      <c r="N3686" s="12" t="s">
        <v>84</v>
      </c>
      <c r="O3686" s="12" t="s">
        <v>13233</v>
      </c>
      <c r="P3686" s="12" t="s">
        <v>445</v>
      </c>
      <c r="Q3686" s="12" t="s">
        <v>446</v>
      </c>
      <c r="R3686" s="12" t="s">
        <v>447</v>
      </c>
      <c r="S3686" s="13">
        <v>197804387731</v>
      </c>
      <c r="T3686" s="12" t="s">
        <v>130</v>
      </c>
      <c r="U3686" s="12" t="s">
        <v>78</v>
      </c>
      <c r="V3686" s="12" t="s">
        <v>13234</v>
      </c>
      <c r="W3686" s="12" t="s">
        <v>933</v>
      </c>
      <c r="X3686" s="14"/>
      <c r="Y3686" s="14"/>
      <c r="Z3686" s="14"/>
      <c r="AA3686" s="14"/>
      <c r="AB3686" s="14"/>
      <c r="AC3686" s="15">
        <v>27.3</v>
      </c>
      <c r="AD3686" s="15">
        <f>AC3686*AG3686</f>
        <v>27.3</v>
      </c>
      <c r="AE3686" s="15">
        <v>60</v>
      </c>
      <c r="AF3686" s="15">
        <f>AE3686*AG3686</f>
        <v>60</v>
      </c>
      <c r="AG3686" s="16">
        <v>1</v>
      </c>
    </row>
    <row r="3687" spans="1:33" ht="15" customHeight="1" x14ac:dyDescent="0.2">
      <c r="A3687" s="11" t="str">
        <f>HYPERLINK("https://assets.vans.eu/images/VN000MNXBLK-HERO/1","VN000MNXBLK1")</f>
        <v>VN000MNXBLK1</v>
      </c>
      <c r="B3687" s="12" t="s">
        <v>13235</v>
      </c>
      <c r="C3687" s="12" t="s">
        <v>13236</v>
      </c>
      <c r="D3687" s="12" t="s">
        <v>76</v>
      </c>
      <c r="E3687" s="12" t="s">
        <v>13237</v>
      </c>
      <c r="F3687" s="12" t="s">
        <v>78</v>
      </c>
      <c r="G3687" s="14"/>
      <c r="H3687" s="12" t="s">
        <v>441</v>
      </c>
      <c r="I3687" s="12" t="s">
        <v>442</v>
      </c>
      <c r="J3687" s="12" t="s">
        <v>1291</v>
      </c>
      <c r="K3687" s="12" t="s">
        <v>82</v>
      </c>
      <c r="L3687" s="14"/>
      <c r="M3687" s="12" t="s">
        <v>43</v>
      </c>
      <c r="N3687" s="12" t="s">
        <v>44</v>
      </c>
      <c r="O3687" s="12" t="s">
        <v>13238</v>
      </c>
      <c r="P3687" s="12" t="s">
        <v>445</v>
      </c>
      <c r="Q3687" s="12" t="s">
        <v>446</v>
      </c>
      <c r="R3687" s="12" t="s">
        <v>1293</v>
      </c>
      <c r="S3687" s="13">
        <v>197643467977</v>
      </c>
      <c r="T3687" s="12" t="s">
        <v>105</v>
      </c>
      <c r="U3687" s="12" t="s">
        <v>78</v>
      </c>
      <c r="V3687" s="12" t="s">
        <v>13239</v>
      </c>
      <c r="W3687" s="12" t="s">
        <v>51</v>
      </c>
      <c r="X3687" s="13">
        <v>0</v>
      </c>
      <c r="Y3687" s="12" t="s">
        <v>91</v>
      </c>
      <c r="Z3687" s="12" t="s">
        <v>108</v>
      </c>
      <c r="AA3687" s="13">
        <v>0</v>
      </c>
      <c r="AB3687" s="13">
        <v>0</v>
      </c>
      <c r="AC3687" s="15">
        <v>22.75</v>
      </c>
      <c r="AD3687" s="15">
        <f>AC3687*AG3687</f>
        <v>22.75</v>
      </c>
      <c r="AE3687" s="15">
        <v>50</v>
      </c>
      <c r="AF3687" s="15">
        <f>AE3687*AG3687</f>
        <v>50</v>
      </c>
      <c r="AG3687" s="16">
        <v>1</v>
      </c>
    </row>
    <row r="3688" spans="1:33" ht="15" customHeight="1" x14ac:dyDescent="0.2">
      <c r="A3688" s="11" t="str">
        <f>HYPERLINK("https://assets.vans.eu/images/VN0A7PQE7UG-HERO/1","VN0A7PQE7UG1")</f>
        <v>VN0A7PQE7UG1</v>
      </c>
      <c r="B3688" s="12" t="s">
        <v>13240</v>
      </c>
      <c r="C3688" s="12" t="s">
        <v>13241</v>
      </c>
      <c r="D3688" s="12" t="s">
        <v>333</v>
      </c>
      <c r="E3688" s="12" t="s">
        <v>13242</v>
      </c>
      <c r="F3688" s="12" t="s">
        <v>78</v>
      </c>
      <c r="G3688" s="14"/>
      <c r="H3688" s="12" t="s">
        <v>441</v>
      </c>
      <c r="I3688" s="12" t="s">
        <v>442</v>
      </c>
      <c r="J3688" s="12" t="s">
        <v>1291</v>
      </c>
      <c r="K3688" s="12" t="s">
        <v>82</v>
      </c>
      <c r="L3688" s="14"/>
      <c r="M3688" s="12" t="s">
        <v>43</v>
      </c>
      <c r="N3688" s="12" t="s">
        <v>84</v>
      </c>
      <c r="O3688" s="12" t="s">
        <v>13243</v>
      </c>
      <c r="P3688" s="12" t="s">
        <v>445</v>
      </c>
      <c r="Q3688" s="12" t="s">
        <v>446</v>
      </c>
      <c r="R3688" s="12" t="s">
        <v>1293</v>
      </c>
      <c r="S3688" s="13">
        <v>197804674626</v>
      </c>
      <c r="T3688" s="12" t="s">
        <v>130</v>
      </c>
      <c r="U3688" s="12" t="s">
        <v>78</v>
      </c>
      <c r="V3688" s="12" t="s">
        <v>13244</v>
      </c>
      <c r="W3688" s="12" t="s">
        <v>186</v>
      </c>
      <c r="X3688" s="14"/>
      <c r="Y3688" s="14"/>
      <c r="Z3688" s="14"/>
      <c r="AA3688" s="14"/>
      <c r="AB3688" s="14"/>
      <c r="AC3688" s="15">
        <v>27.3</v>
      </c>
      <c r="AD3688" s="15">
        <f>AC3688*AG3688</f>
        <v>27.3</v>
      </c>
      <c r="AE3688" s="15">
        <v>60</v>
      </c>
      <c r="AF3688" s="15">
        <f>AE3688*AG3688</f>
        <v>60</v>
      </c>
      <c r="AG3688" s="16">
        <v>1</v>
      </c>
    </row>
    <row r="3689" spans="1:33" ht="15" customHeight="1" x14ac:dyDescent="0.2">
      <c r="A3689" s="11" t="str">
        <f t="shared" ref="A3689:A3693" si="1249">HYPERLINK("https://assets.vans.eu/images/VN0005UFBLL-HERO/1","VN0005UFBLL1")</f>
        <v>VN0005UFBLL1</v>
      </c>
      <c r="B3689" s="12" t="s">
        <v>13245</v>
      </c>
      <c r="C3689" s="12" t="s">
        <v>34</v>
      </c>
      <c r="D3689" s="12" t="s">
        <v>8955</v>
      </c>
      <c r="E3689" s="12" t="s">
        <v>13246</v>
      </c>
      <c r="F3689" s="13">
        <v>35</v>
      </c>
      <c r="G3689" s="14"/>
      <c r="H3689" s="12" t="s">
        <v>38</v>
      </c>
      <c r="I3689" s="12" t="s">
        <v>159</v>
      </c>
      <c r="J3689" s="12" t="s">
        <v>160</v>
      </c>
      <c r="K3689" s="12" t="s">
        <v>82</v>
      </c>
      <c r="L3689" s="14"/>
      <c r="M3689" s="12" t="s">
        <v>43</v>
      </c>
      <c r="N3689" s="12" t="s">
        <v>84</v>
      </c>
      <c r="O3689" s="12" t="s">
        <v>13247</v>
      </c>
      <c r="P3689" s="12" t="s">
        <v>46</v>
      </c>
      <c r="Q3689" s="12" t="s">
        <v>47</v>
      </c>
      <c r="R3689" s="12" t="s">
        <v>163</v>
      </c>
      <c r="S3689" s="13">
        <v>196571270321</v>
      </c>
      <c r="T3689" s="12" t="s">
        <v>105</v>
      </c>
      <c r="U3689" s="13">
        <v>34.5</v>
      </c>
      <c r="V3689" s="12" t="s">
        <v>50</v>
      </c>
      <c r="W3689" s="12" t="s">
        <v>186</v>
      </c>
      <c r="X3689" s="14"/>
      <c r="Y3689" s="12" t="s">
        <v>91</v>
      </c>
      <c r="Z3689" s="12" t="s">
        <v>165</v>
      </c>
      <c r="AA3689" s="14"/>
      <c r="AB3689" s="14"/>
      <c r="AC3689" s="15">
        <v>38.65</v>
      </c>
      <c r="AD3689" s="15">
        <f>AC3689*AG3689</f>
        <v>38.65</v>
      </c>
      <c r="AE3689" s="15">
        <v>85</v>
      </c>
      <c r="AF3689" s="15">
        <f>AE3689*AG3689</f>
        <v>85</v>
      </c>
      <c r="AG3689" s="16">
        <v>1</v>
      </c>
    </row>
    <row r="3690" spans="1:33" ht="15" customHeight="1" x14ac:dyDescent="0.2">
      <c r="A3690" s="11" t="str">
        <f t="shared" si="1249"/>
        <v>VN0005UFBLL1</v>
      </c>
      <c r="B3690" s="12" t="s">
        <v>13248</v>
      </c>
      <c r="C3690" s="12" t="s">
        <v>34</v>
      </c>
      <c r="D3690" s="12" t="s">
        <v>8955</v>
      </c>
      <c r="E3690" s="12" t="s">
        <v>13249</v>
      </c>
      <c r="F3690" s="13">
        <v>40</v>
      </c>
      <c r="G3690" s="14"/>
      <c r="H3690" s="12" t="s">
        <v>38</v>
      </c>
      <c r="I3690" s="12" t="s">
        <v>159</v>
      </c>
      <c r="J3690" s="12" t="s">
        <v>160</v>
      </c>
      <c r="K3690" s="12" t="s">
        <v>82</v>
      </c>
      <c r="L3690" s="14"/>
      <c r="M3690" s="12" t="s">
        <v>43</v>
      </c>
      <c r="N3690" s="12" t="s">
        <v>84</v>
      </c>
      <c r="O3690" s="12" t="s">
        <v>13250</v>
      </c>
      <c r="P3690" s="12" t="s">
        <v>46</v>
      </c>
      <c r="Q3690" s="12" t="s">
        <v>47</v>
      </c>
      <c r="R3690" s="12" t="s">
        <v>163</v>
      </c>
      <c r="S3690" s="13">
        <v>196571270444</v>
      </c>
      <c r="T3690" s="12" t="s">
        <v>105</v>
      </c>
      <c r="U3690" s="13">
        <v>35</v>
      </c>
      <c r="V3690" s="12" t="s">
        <v>50</v>
      </c>
      <c r="W3690" s="12" t="s">
        <v>186</v>
      </c>
      <c r="X3690" s="14"/>
      <c r="Y3690" s="12" t="s">
        <v>91</v>
      </c>
      <c r="Z3690" s="12" t="s">
        <v>165</v>
      </c>
      <c r="AA3690" s="14"/>
      <c r="AB3690" s="14"/>
      <c r="AC3690" s="15">
        <v>38.65</v>
      </c>
      <c r="AD3690" s="15">
        <f>AC3690*AG3690</f>
        <v>38.65</v>
      </c>
      <c r="AE3690" s="15">
        <v>85</v>
      </c>
      <c r="AF3690" s="15">
        <f>AE3690*AG3690</f>
        <v>85</v>
      </c>
      <c r="AG3690" s="16">
        <v>1</v>
      </c>
    </row>
    <row r="3691" spans="1:33" ht="15" customHeight="1" x14ac:dyDescent="0.2">
      <c r="A3691" s="11" t="str">
        <f t="shared" si="1249"/>
        <v>VN0005UFBLL1</v>
      </c>
      <c r="B3691" s="12" t="s">
        <v>13251</v>
      </c>
      <c r="C3691" s="12" t="s">
        <v>34</v>
      </c>
      <c r="D3691" s="12" t="s">
        <v>8955</v>
      </c>
      <c r="E3691" s="12" t="s">
        <v>13252</v>
      </c>
      <c r="F3691" s="13">
        <v>45</v>
      </c>
      <c r="G3691" s="14"/>
      <c r="H3691" s="12" t="s">
        <v>38</v>
      </c>
      <c r="I3691" s="12" t="s">
        <v>159</v>
      </c>
      <c r="J3691" s="12" t="s">
        <v>160</v>
      </c>
      <c r="K3691" s="12" t="s">
        <v>82</v>
      </c>
      <c r="L3691" s="14"/>
      <c r="M3691" s="12" t="s">
        <v>43</v>
      </c>
      <c r="N3691" s="12" t="s">
        <v>84</v>
      </c>
      <c r="O3691" s="12" t="s">
        <v>13253</v>
      </c>
      <c r="P3691" s="12" t="s">
        <v>46</v>
      </c>
      <c r="Q3691" s="12" t="s">
        <v>47</v>
      </c>
      <c r="R3691" s="12" t="s">
        <v>163</v>
      </c>
      <c r="S3691" s="13">
        <v>196571270611</v>
      </c>
      <c r="T3691" s="12" t="s">
        <v>105</v>
      </c>
      <c r="U3691" s="13">
        <v>36</v>
      </c>
      <c r="V3691" s="12" t="s">
        <v>50</v>
      </c>
      <c r="W3691" s="12" t="s">
        <v>186</v>
      </c>
      <c r="X3691" s="14"/>
      <c r="Y3691" s="12" t="s">
        <v>91</v>
      </c>
      <c r="Z3691" s="12" t="s">
        <v>165</v>
      </c>
      <c r="AA3691" s="14"/>
      <c r="AB3691" s="14"/>
      <c r="AC3691" s="15">
        <v>38.65</v>
      </c>
      <c r="AD3691" s="15">
        <f>AC3691*AG3691</f>
        <v>38.65</v>
      </c>
      <c r="AE3691" s="15">
        <v>85</v>
      </c>
      <c r="AF3691" s="15">
        <f>AE3691*AG3691</f>
        <v>85</v>
      </c>
      <c r="AG3691" s="16">
        <v>1</v>
      </c>
    </row>
    <row r="3692" spans="1:33" ht="15" customHeight="1" x14ac:dyDescent="0.2">
      <c r="A3692" s="11" t="str">
        <f t="shared" si="1249"/>
        <v>VN0005UFBLL1</v>
      </c>
      <c r="B3692" s="12" t="s">
        <v>13254</v>
      </c>
      <c r="C3692" s="12" t="s">
        <v>34</v>
      </c>
      <c r="D3692" s="12" t="s">
        <v>8955</v>
      </c>
      <c r="E3692" s="12" t="s">
        <v>13255</v>
      </c>
      <c r="F3692" s="13">
        <v>55</v>
      </c>
      <c r="G3692" s="14"/>
      <c r="H3692" s="12" t="s">
        <v>38</v>
      </c>
      <c r="I3692" s="12" t="s">
        <v>159</v>
      </c>
      <c r="J3692" s="12" t="s">
        <v>160</v>
      </c>
      <c r="K3692" s="12" t="s">
        <v>82</v>
      </c>
      <c r="L3692" s="14"/>
      <c r="M3692" s="12" t="s">
        <v>43</v>
      </c>
      <c r="N3692" s="12" t="s">
        <v>84</v>
      </c>
      <c r="O3692" s="12" t="s">
        <v>13256</v>
      </c>
      <c r="P3692" s="12" t="s">
        <v>46</v>
      </c>
      <c r="Q3692" s="12" t="s">
        <v>47</v>
      </c>
      <c r="R3692" s="12" t="s">
        <v>163</v>
      </c>
      <c r="S3692" s="13">
        <v>196571271052</v>
      </c>
      <c r="T3692" s="12" t="s">
        <v>105</v>
      </c>
      <c r="U3692" s="13">
        <v>37</v>
      </c>
      <c r="V3692" s="12" t="s">
        <v>50</v>
      </c>
      <c r="W3692" s="12" t="s">
        <v>186</v>
      </c>
      <c r="X3692" s="14"/>
      <c r="Y3692" s="12" t="s">
        <v>91</v>
      </c>
      <c r="Z3692" s="12" t="s">
        <v>165</v>
      </c>
      <c r="AA3692" s="14"/>
      <c r="AB3692" s="14"/>
      <c r="AC3692" s="15">
        <v>38.65</v>
      </c>
      <c r="AD3692" s="15">
        <f>AC3692*AG3692</f>
        <v>38.65</v>
      </c>
      <c r="AE3692" s="15">
        <v>85</v>
      </c>
      <c r="AF3692" s="15">
        <f>AE3692*AG3692</f>
        <v>85</v>
      </c>
      <c r="AG3692" s="16">
        <v>1</v>
      </c>
    </row>
    <row r="3693" spans="1:33" ht="15" customHeight="1" x14ac:dyDescent="0.2">
      <c r="A3693" s="11" t="str">
        <f t="shared" si="1249"/>
        <v>VN0005UFBLL1</v>
      </c>
      <c r="B3693" s="12" t="s">
        <v>13257</v>
      </c>
      <c r="C3693" s="12" t="s">
        <v>34</v>
      </c>
      <c r="D3693" s="12" t="s">
        <v>8955</v>
      </c>
      <c r="E3693" s="12" t="s">
        <v>13258</v>
      </c>
      <c r="F3693" s="13">
        <v>65</v>
      </c>
      <c r="G3693" s="14"/>
      <c r="H3693" s="12" t="s">
        <v>38</v>
      </c>
      <c r="I3693" s="12" t="s">
        <v>159</v>
      </c>
      <c r="J3693" s="12" t="s">
        <v>160</v>
      </c>
      <c r="K3693" s="12" t="s">
        <v>82</v>
      </c>
      <c r="L3693" s="14"/>
      <c r="M3693" s="12" t="s">
        <v>43</v>
      </c>
      <c r="N3693" s="12" t="s">
        <v>84</v>
      </c>
      <c r="O3693" s="12" t="s">
        <v>13259</v>
      </c>
      <c r="P3693" s="12" t="s">
        <v>46</v>
      </c>
      <c r="Q3693" s="12" t="s">
        <v>47</v>
      </c>
      <c r="R3693" s="12" t="s">
        <v>163</v>
      </c>
      <c r="S3693" s="13">
        <v>196571271465</v>
      </c>
      <c r="T3693" s="12" t="s">
        <v>105</v>
      </c>
      <c r="U3693" s="13">
        <v>38.5</v>
      </c>
      <c r="V3693" s="12" t="s">
        <v>50</v>
      </c>
      <c r="W3693" s="12" t="s">
        <v>186</v>
      </c>
      <c r="X3693" s="14"/>
      <c r="Y3693" s="12" t="s">
        <v>91</v>
      </c>
      <c r="Z3693" s="12" t="s">
        <v>165</v>
      </c>
      <c r="AA3693" s="14"/>
      <c r="AB3693" s="14"/>
      <c r="AC3693" s="15">
        <v>38.65</v>
      </c>
      <c r="AD3693" s="15">
        <f>AC3693*AG3693</f>
        <v>38.65</v>
      </c>
      <c r="AE3693" s="15">
        <v>85</v>
      </c>
      <c r="AF3693" s="15">
        <f>AE3693*AG3693</f>
        <v>85</v>
      </c>
      <c r="AG3693" s="16">
        <v>1</v>
      </c>
    </row>
    <row r="3694" spans="1:33" ht="15" customHeight="1" x14ac:dyDescent="0.2">
      <c r="A3694" s="11" t="str">
        <f>HYPERLINK("https://assets.vans.eu/images/VN0005UFCJL-HERO/1","VN0005UFCJL1")</f>
        <v>VN0005UFCJL1</v>
      </c>
      <c r="B3694" s="12" t="s">
        <v>13260</v>
      </c>
      <c r="C3694" s="12" t="s">
        <v>34</v>
      </c>
      <c r="D3694" s="12" t="s">
        <v>6270</v>
      </c>
      <c r="E3694" s="12" t="s">
        <v>13261</v>
      </c>
      <c r="F3694" s="13">
        <v>45</v>
      </c>
      <c r="G3694" s="14"/>
      <c r="H3694" s="12" t="s">
        <v>38</v>
      </c>
      <c r="I3694" s="12" t="s">
        <v>159</v>
      </c>
      <c r="J3694" s="12" t="s">
        <v>160</v>
      </c>
      <c r="K3694" s="12" t="s">
        <v>82</v>
      </c>
      <c r="L3694" s="14"/>
      <c r="M3694" s="12" t="s">
        <v>43</v>
      </c>
      <c r="N3694" s="12" t="s">
        <v>274</v>
      </c>
      <c r="O3694" s="12" t="s">
        <v>13262</v>
      </c>
      <c r="P3694" s="12" t="s">
        <v>46</v>
      </c>
      <c r="Q3694" s="12" t="s">
        <v>47</v>
      </c>
      <c r="R3694" s="12" t="s">
        <v>163</v>
      </c>
      <c r="S3694" s="13">
        <v>197063319566</v>
      </c>
      <c r="T3694" s="12" t="s">
        <v>105</v>
      </c>
      <c r="U3694" s="13">
        <v>36</v>
      </c>
      <c r="V3694" s="12" t="s">
        <v>50</v>
      </c>
      <c r="W3694" s="12" t="s">
        <v>118</v>
      </c>
      <c r="X3694" s="14"/>
      <c r="Y3694" s="12" t="s">
        <v>91</v>
      </c>
      <c r="Z3694" s="12" t="s">
        <v>165</v>
      </c>
      <c r="AA3694" s="14"/>
      <c r="AB3694" s="14"/>
      <c r="AC3694" s="15">
        <v>36.4</v>
      </c>
      <c r="AD3694" s="15">
        <f>AC3694*AG3694</f>
        <v>36.4</v>
      </c>
      <c r="AE3694" s="15">
        <v>80</v>
      </c>
      <c r="AF3694" s="15">
        <f>AE3694*AG3694</f>
        <v>80</v>
      </c>
      <c r="AG3694" s="16">
        <v>1</v>
      </c>
    </row>
    <row r="3695" spans="1:33" ht="15" customHeight="1" x14ac:dyDescent="0.2">
      <c r="A3695" s="11" t="str">
        <f>HYPERLINK("https://assets.vans.eu/images/VN0005UKOLO-HERO/1","VN0005UKOLO1")</f>
        <v>VN0005UKOLO1</v>
      </c>
      <c r="B3695" s="12" t="s">
        <v>13263</v>
      </c>
      <c r="C3695" s="12" t="s">
        <v>13264</v>
      </c>
      <c r="D3695" s="12" t="s">
        <v>13265</v>
      </c>
      <c r="E3695" s="12" t="s">
        <v>13266</v>
      </c>
      <c r="F3695" s="13">
        <v>115</v>
      </c>
      <c r="G3695" s="14"/>
      <c r="H3695" s="12" t="s">
        <v>38</v>
      </c>
      <c r="I3695" s="12" t="s">
        <v>159</v>
      </c>
      <c r="J3695" s="12" t="s">
        <v>160</v>
      </c>
      <c r="K3695" s="12" t="s">
        <v>82</v>
      </c>
      <c r="L3695" s="14"/>
      <c r="M3695" s="12" t="s">
        <v>43</v>
      </c>
      <c r="N3695" s="12" t="s">
        <v>467</v>
      </c>
      <c r="O3695" s="12" t="s">
        <v>13267</v>
      </c>
      <c r="P3695" s="12" t="s">
        <v>46</v>
      </c>
      <c r="Q3695" s="12" t="s">
        <v>47</v>
      </c>
      <c r="R3695" s="12" t="s">
        <v>1660</v>
      </c>
      <c r="S3695" s="13">
        <v>196571277405</v>
      </c>
      <c r="T3695" s="12" t="s">
        <v>164</v>
      </c>
      <c r="U3695" s="13">
        <v>45</v>
      </c>
      <c r="V3695" s="12" t="s">
        <v>209</v>
      </c>
      <c r="W3695" s="12" t="s">
        <v>118</v>
      </c>
      <c r="X3695" s="14"/>
      <c r="Y3695" s="12" t="s">
        <v>53</v>
      </c>
      <c r="Z3695" s="12" t="s">
        <v>263</v>
      </c>
      <c r="AA3695" s="14"/>
      <c r="AB3695" s="14"/>
      <c r="AC3695" s="15">
        <v>50</v>
      </c>
      <c r="AD3695" s="15">
        <f>AC3695*AG3695</f>
        <v>50</v>
      </c>
      <c r="AE3695" s="15">
        <v>110</v>
      </c>
      <c r="AF3695" s="15">
        <f>AE3695*AG3695</f>
        <v>110</v>
      </c>
      <c r="AG3695" s="16">
        <v>1</v>
      </c>
    </row>
    <row r="3696" spans="1:33" ht="15" customHeight="1" x14ac:dyDescent="0.2">
      <c r="A3696" s="11" t="str">
        <f t="shared" ref="A3696:A3697" si="1250">HYPERLINK("https://assets.vans.eu/images/VN0005UKQJM-HERO/1","VN0005UKQJM1")</f>
        <v>VN0005UKQJM1</v>
      </c>
      <c r="B3696" s="12" t="s">
        <v>13268</v>
      </c>
      <c r="C3696" s="12" t="s">
        <v>13264</v>
      </c>
      <c r="D3696" s="12" t="s">
        <v>13269</v>
      </c>
      <c r="E3696" s="12" t="s">
        <v>13270</v>
      </c>
      <c r="F3696" s="13">
        <v>45</v>
      </c>
      <c r="G3696" s="14"/>
      <c r="H3696" s="12" t="s">
        <v>38</v>
      </c>
      <c r="I3696" s="12" t="s">
        <v>159</v>
      </c>
      <c r="J3696" s="12" t="s">
        <v>160</v>
      </c>
      <c r="K3696" s="12" t="s">
        <v>82</v>
      </c>
      <c r="L3696" s="14"/>
      <c r="M3696" s="12" t="s">
        <v>43</v>
      </c>
      <c r="N3696" s="12" t="s">
        <v>467</v>
      </c>
      <c r="O3696" s="12" t="s">
        <v>13271</v>
      </c>
      <c r="P3696" s="12" t="s">
        <v>46</v>
      </c>
      <c r="Q3696" s="12" t="s">
        <v>47</v>
      </c>
      <c r="R3696" s="12" t="s">
        <v>1660</v>
      </c>
      <c r="S3696" s="13">
        <v>196571277726</v>
      </c>
      <c r="T3696" s="12" t="s">
        <v>164</v>
      </c>
      <c r="U3696" s="13">
        <v>36</v>
      </c>
      <c r="V3696" s="12" t="s">
        <v>209</v>
      </c>
      <c r="W3696" s="12" t="s">
        <v>175</v>
      </c>
      <c r="X3696" s="14"/>
      <c r="Y3696" s="12" t="s">
        <v>53</v>
      </c>
      <c r="Z3696" s="12" t="s">
        <v>263</v>
      </c>
      <c r="AA3696" s="14"/>
      <c r="AB3696" s="14"/>
      <c r="AC3696" s="15">
        <v>50</v>
      </c>
      <c r="AD3696" s="15">
        <f>AC3696*AG3696</f>
        <v>50</v>
      </c>
      <c r="AE3696" s="15">
        <v>110</v>
      </c>
      <c r="AF3696" s="15">
        <f>AE3696*AG3696</f>
        <v>110</v>
      </c>
      <c r="AG3696" s="16">
        <v>1</v>
      </c>
    </row>
    <row r="3697" spans="1:33" ht="15" customHeight="1" x14ac:dyDescent="0.2">
      <c r="A3697" s="11" t="str">
        <f t="shared" si="1250"/>
        <v>VN0005UKQJM1</v>
      </c>
      <c r="B3697" s="12" t="s">
        <v>13272</v>
      </c>
      <c r="C3697" s="12" t="s">
        <v>13264</v>
      </c>
      <c r="D3697" s="12" t="s">
        <v>13269</v>
      </c>
      <c r="E3697" s="12" t="s">
        <v>13273</v>
      </c>
      <c r="F3697" s="13">
        <v>55</v>
      </c>
      <c r="G3697" s="14"/>
      <c r="H3697" s="12" t="s">
        <v>38</v>
      </c>
      <c r="I3697" s="12" t="s">
        <v>159</v>
      </c>
      <c r="J3697" s="12" t="s">
        <v>160</v>
      </c>
      <c r="K3697" s="12" t="s">
        <v>82</v>
      </c>
      <c r="L3697" s="14"/>
      <c r="M3697" s="12" t="s">
        <v>43</v>
      </c>
      <c r="N3697" s="12" t="s">
        <v>467</v>
      </c>
      <c r="O3697" s="12" t="s">
        <v>13274</v>
      </c>
      <c r="P3697" s="12" t="s">
        <v>46</v>
      </c>
      <c r="Q3697" s="12" t="s">
        <v>47</v>
      </c>
      <c r="R3697" s="12" t="s">
        <v>1660</v>
      </c>
      <c r="S3697" s="13">
        <v>196571277771</v>
      </c>
      <c r="T3697" s="12" t="s">
        <v>164</v>
      </c>
      <c r="U3697" s="13">
        <v>37</v>
      </c>
      <c r="V3697" s="12" t="s">
        <v>209</v>
      </c>
      <c r="W3697" s="12" t="s">
        <v>175</v>
      </c>
      <c r="X3697" s="14"/>
      <c r="Y3697" s="12" t="s">
        <v>53</v>
      </c>
      <c r="Z3697" s="12" t="s">
        <v>263</v>
      </c>
      <c r="AA3697" s="14"/>
      <c r="AB3697" s="14"/>
      <c r="AC3697" s="15">
        <v>50</v>
      </c>
      <c r="AD3697" s="15">
        <f>AC3697*AG3697</f>
        <v>50</v>
      </c>
      <c r="AE3697" s="15">
        <v>110</v>
      </c>
      <c r="AF3697" s="15">
        <f>AE3697*AG3697</f>
        <v>110</v>
      </c>
      <c r="AG3697" s="16">
        <v>1</v>
      </c>
    </row>
    <row r="3698" spans="1:33" ht="15" customHeight="1" x14ac:dyDescent="0.2">
      <c r="A3698" s="11" t="str">
        <f t="shared" ref="A3698:A3699" si="1251">HYPERLINK("https://assets.vans.eu/images/VN0005V8174-HERO/1","VN0005V81741")</f>
        <v>VN0005V81741</v>
      </c>
      <c r="B3698" s="12" t="s">
        <v>13275</v>
      </c>
      <c r="C3698" s="12" t="s">
        <v>2400</v>
      </c>
      <c r="D3698" s="12" t="s">
        <v>13276</v>
      </c>
      <c r="E3698" s="12" t="s">
        <v>13277</v>
      </c>
      <c r="F3698" s="13">
        <v>40</v>
      </c>
      <c r="G3698" s="12" t="s">
        <v>13278</v>
      </c>
      <c r="H3698" s="12" t="s">
        <v>38</v>
      </c>
      <c r="I3698" s="12" t="s">
        <v>159</v>
      </c>
      <c r="J3698" s="12" t="s">
        <v>255</v>
      </c>
      <c r="K3698" s="12" t="s">
        <v>82</v>
      </c>
      <c r="L3698" s="14"/>
      <c r="M3698" s="12" t="s">
        <v>43</v>
      </c>
      <c r="N3698" s="12" t="s">
        <v>274</v>
      </c>
      <c r="O3698" s="12" t="s">
        <v>13279</v>
      </c>
      <c r="P3698" s="12" t="s">
        <v>46</v>
      </c>
      <c r="Q3698" s="12" t="s">
        <v>276</v>
      </c>
      <c r="R3698" s="12" t="s">
        <v>277</v>
      </c>
      <c r="S3698" s="13">
        <v>197063416227</v>
      </c>
      <c r="T3698" s="12" t="s">
        <v>143</v>
      </c>
      <c r="U3698" s="13">
        <v>35</v>
      </c>
      <c r="V3698" s="12" t="s">
        <v>278</v>
      </c>
      <c r="W3698" s="12" t="s">
        <v>51</v>
      </c>
      <c r="X3698" s="14"/>
      <c r="Y3698" s="12" t="s">
        <v>91</v>
      </c>
      <c r="Z3698" s="12" t="s">
        <v>165</v>
      </c>
      <c r="AA3698" s="14"/>
      <c r="AB3698" s="14"/>
      <c r="AC3698" s="15">
        <v>27.3</v>
      </c>
      <c r="AD3698" s="15">
        <f>AC3698*AG3698</f>
        <v>27.3</v>
      </c>
      <c r="AE3698" s="15">
        <v>60</v>
      </c>
      <c r="AF3698" s="15">
        <f>AE3698*AG3698</f>
        <v>60</v>
      </c>
      <c r="AG3698" s="16">
        <v>1</v>
      </c>
    </row>
    <row r="3699" spans="1:33" ht="15" customHeight="1" x14ac:dyDescent="0.2">
      <c r="A3699" s="11" t="str">
        <f t="shared" si="1251"/>
        <v>VN0005V81741</v>
      </c>
      <c r="B3699" s="12" t="s">
        <v>13280</v>
      </c>
      <c r="C3699" s="12" t="s">
        <v>2400</v>
      </c>
      <c r="D3699" s="12" t="s">
        <v>13276</v>
      </c>
      <c r="E3699" s="12" t="s">
        <v>13281</v>
      </c>
      <c r="F3699" s="13">
        <v>130</v>
      </c>
      <c r="G3699" s="12" t="s">
        <v>13278</v>
      </c>
      <c r="H3699" s="12" t="s">
        <v>38</v>
      </c>
      <c r="I3699" s="12" t="s">
        <v>159</v>
      </c>
      <c r="J3699" s="12" t="s">
        <v>255</v>
      </c>
      <c r="K3699" s="12" t="s">
        <v>82</v>
      </c>
      <c r="L3699" s="14"/>
      <c r="M3699" s="12" t="s">
        <v>43</v>
      </c>
      <c r="N3699" s="12" t="s">
        <v>274</v>
      </c>
      <c r="O3699" s="12" t="s">
        <v>13282</v>
      </c>
      <c r="P3699" s="12" t="s">
        <v>46</v>
      </c>
      <c r="Q3699" s="12" t="s">
        <v>276</v>
      </c>
      <c r="R3699" s="12" t="s">
        <v>277</v>
      </c>
      <c r="S3699" s="13">
        <v>197063417644</v>
      </c>
      <c r="T3699" s="12" t="s">
        <v>143</v>
      </c>
      <c r="U3699" s="13">
        <v>47</v>
      </c>
      <c r="V3699" s="12" t="s">
        <v>278</v>
      </c>
      <c r="W3699" s="12" t="s">
        <v>51</v>
      </c>
      <c r="X3699" s="14"/>
      <c r="Y3699" s="12" t="s">
        <v>91</v>
      </c>
      <c r="Z3699" s="12" t="s">
        <v>165</v>
      </c>
      <c r="AA3699" s="14"/>
      <c r="AB3699" s="14"/>
      <c r="AC3699" s="15">
        <v>27.3</v>
      </c>
      <c r="AD3699" s="15">
        <f>AC3699*AG3699</f>
        <v>27.3</v>
      </c>
      <c r="AE3699" s="15">
        <v>60</v>
      </c>
      <c r="AF3699" s="15">
        <f>AE3699*AG3699</f>
        <v>60</v>
      </c>
      <c r="AG3699" s="16">
        <v>1</v>
      </c>
    </row>
    <row r="3700" spans="1:33" ht="15" customHeight="1" x14ac:dyDescent="0.2">
      <c r="A3700" s="11" t="str">
        <f>HYPERLINK("https://assets.vans.eu/images/VN0005V8YU2-HERO/1","VN0005V8YU21")</f>
        <v>VN0005V8YU21</v>
      </c>
      <c r="B3700" s="12" t="s">
        <v>13283</v>
      </c>
      <c r="C3700" s="12" t="s">
        <v>2400</v>
      </c>
      <c r="D3700" s="12" t="s">
        <v>13284</v>
      </c>
      <c r="E3700" s="12" t="s">
        <v>13285</v>
      </c>
      <c r="F3700" s="13">
        <v>50</v>
      </c>
      <c r="G3700" s="12" t="s">
        <v>13286</v>
      </c>
      <c r="H3700" s="12" t="s">
        <v>38</v>
      </c>
      <c r="I3700" s="12" t="s">
        <v>159</v>
      </c>
      <c r="J3700" s="12" t="s">
        <v>255</v>
      </c>
      <c r="K3700" s="12" t="s">
        <v>82</v>
      </c>
      <c r="L3700" s="14"/>
      <c r="M3700" s="12" t="s">
        <v>43</v>
      </c>
      <c r="N3700" s="12" t="s">
        <v>274</v>
      </c>
      <c r="O3700" s="12" t="s">
        <v>13287</v>
      </c>
      <c r="P3700" s="12" t="s">
        <v>46</v>
      </c>
      <c r="Q3700" s="12" t="s">
        <v>276</v>
      </c>
      <c r="R3700" s="12" t="s">
        <v>277</v>
      </c>
      <c r="S3700" s="13">
        <v>197063416111</v>
      </c>
      <c r="T3700" s="12" t="s">
        <v>143</v>
      </c>
      <c r="U3700" s="13">
        <v>36.5</v>
      </c>
      <c r="V3700" s="12" t="s">
        <v>278</v>
      </c>
      <c r="W3700" s="12" t="s">
        <v>299</v>
      </c>
      <c r="X3700" s="14"/>
      <c r="Y3700" s="12" t="s">
        <v>91</v>
      </c>
      <c r="Z3700" s="12" t="s">
        <v>165</v>
      </c>
      <c r="AA3700" s="14"/>
      <c r="AB3700" s="14"/>
      <c r="AC3700" s="15">
        <v>27.3</v>
      </c>
      <c r="AD3700" s="15">
        <f>AC3700*AG3700</f>
        <v>27.3</v>
      </c>
      <c r="AE3700" s="15">
        <v>60</v>
      </c>
      <c r="AF3700" s="15">
        <f>AE3700*AG3700</f>
        <v>60</v>
      </c>
      <c r="AG3700" s="16">
        <v>1</v>
      </c>
    </row>
    <row r="3701" spans="1:33" ht="15" customHeight="1" x14ac:dyDescent="0.2">
      <c r="A3701" s="11" t="str">
        <f>HYPERLINK("https://assets.vans.eu/images/VN0007NKBZW-HERO/1","VN0007NKBZW1")</f>
        <v>VN0007NKBZW1</v>
      </c>
      <c r="B3701" s="12" t="s">
        <v>13288</v>
      </c>
      <c r="C3701" s="12" t="s">
        <v>8973</v>
      </c>
      <c r="D3701" s="12" t="s">
        <v>58</v>
      </c>
      <c r="E3701" s="12" t="s">
        <v>13289</v>
      </c>
      <c r="F3701" s="13">
        <v>95</v>
      </c>
      <c r="G3701" s="12" t="s">
        <v>831</v>
      </c>
      <c r="H3701" s="12" t="s">
        <v>38</v>
      </c>
      <c r="I3701" s="12" t="s">
        <v>113</v>
      </c>
      <c r="J3701" s="12" t="s">
        <v>114</v>
      </c>
      <c r="K3701" s="12" t="s">
        <v>82</v>
      </c>
      <c r="L3701" s="14"/>
      <c r="M3701" s="12" t="s">
        <v>43</v>
      </c>
      <c r="N3701" s="12" t="s">
        <v>101</v>
      </c>
      <c r="O3701" s="12" t="s">
        <v>13290</v>
      </c>
      <c r="P3701" s="12" t="s">
        <v>46</v>
      </c>
      <c r="Q3701" s="12" t="s">
        <v>47</v>
      </c>
      <c r="R3701" s="12" t="s">
        <v>948</v>
      </c>
      <c r="S3701" s="13">
        <v>196573422841</v>
      </c>
      <c r="T3701" s="12" t="s">
        <v>49</v>
      </c>
      <c r="U3701" s="13">
        <v>42.5</v>
      </c>
      <c r="V3701" s="12" t="s">
        <v>50</v>
      </c>
      <c r="W3701" s="12" t="s">
        <v>51</v>
      </c>
      <c r="X3701" s="14"/>
      <c r="Y3701" s="12" t="s">
        <v>91</v>
      </c>
      <c r="Z3701" s="12" t="s">
        <v>165</v>
      </c>
      <c r="AA3701" s="14"/>
      <c r="AB3701" s="14"/>
      <c r="AC3701" s="15">
        <v>68.2</v>
      </c>
      <c r="AD3701" s="15">
        <f>AC3701*AG3701</f>
        <v>68.2</v>
      </c>
      <c r="AE3701" s="15">
        <v>150</v>
      </c>
      <c r="AF3701" s="15">
        <f>AE3701*AG3701</f>
        <v>150</v>
      </c>
      <c r="AG3701" s="16">
        <v>1</v>
      </c>
    </row>
    <row r="3702" spans="1:33" ht="15" customHeight="1" x14ac:dyDescent="0.2">
      <c r="A3702" s="11" t="str">
        <f>HYPERLINK("https://assets.vans.eu/images/VN0007NKYEH-HERO/1","VN0007NKYEH1")</f>
        <v>VN0007NKYEH1</v>
      </c>
      <c r="B3702" s="12" t="s">
        <v>13291</v>
      </c>
      <c r="C3702" s="12" t="s">
        <v>8973</v>
      </c>
      <c r="D3702" s="12" t="s">
        <v>358</v>
      </c>
      <c r="E3702" s="12" t="s">
        <v>13292</v>
      </c>
      <c r="F3702" s="13">
        <v>35</v>
      </c>
      <c r="G3702" s="14"/>
      <c r="H3702" s="12" t="s">
        <v>38</v>
      </c>
      <c r="I3702" s="12" t="s">
        <v>159</v>
      </c>
      <c r="J3702" s="12" t="s">
        <v>160</v>
      </c>
      <c r="K3702" s="12" t="s">
        <v>82</v>
      </c>
      <c r="L3702" s="12" t="s">
        <v>115</v>
      </c>
      <c r="M3702" s="12" t="s">
        <v>43</v>
      </c>
      <c r="N3702" s="12" t="s">
        <v>2457</v>
      </c>
      <c r="O3702" s="12" t="s">
        <v>13293</v>
      </c>
      <c r="P3702" s="12" t="s">
        <v>46</v>
      </c>
      <c r="Q3702" s="12" t="s">
        <v>47</v>
      </c>
      <c r="R3702" s="12" t="s">
        <v>1660</v>
      </c>
      <c r="S3702" s="13">
        <v>196575361148</v>
      </c>
      <c r="T3702" s="12" t="s">
        <v>49</v>
      </c>
      <c r="U3702" s="13">
        <v>34.5</v>
      </c>
      <c r="V3702" s="12" t="s">
        <v>50</v>
      </c>
      <c r="W3702" s="12" t="s">
        <v>186</v>
      </c>
      <c r="X3702" s="14"/>
      <c r="Y3702" s="12" t="s">
        <v>91</v>
      </c>
      <c r="Z3702" s="12" t="s">
        <v>92</v>
      </c>
      <c r="AA3702" s="12" t="s">
        <v>3224</v>
      </c>
      <c r="AB3702" s="12" t="s">
        <v>94</v>
      </c>
      <c r="AC3702" s="15">
        <v>65.95</v>
      </c>
      <c r="AD3702" s="15">
        <f>AC3702*AG3702</f>
        <v>65.95</v>
      </c>
      <c r="AE3702" s="15">
        <v>145</v>
      </c>
      <c r="AF3702" s="15">
        <f>AE3702*AG3702</f>
        <v>145</v>
      </c>
      <c r="AG3702" s="16">
        <v>1</v>
      </c>
    </row>
    <row r="3703" spans="1:33" ht="15" customHeight="1" x14ac:dyDescent="0.2">
      <c r="A3703" s="11" t="str">
        <f>HYPERLINK("https://assets.vans.eu/images/VN0007NKYJ7-HERO/1","VN0007NKYJ71")</f>
        <v>VN0007NKYJ71</v>
      </c>
      <c r="B3703" s="12" t="s">
        <v>13294</v>
      </c>
      <c r="C3703" s="12" t="s">
        <v>8973</v>
      </c>
      <c r="D3703" s="12" t="s">
        <v>1300</v>
      </c>
      <c r="E3703" s="12" t="s">
        <v>13295</v>
      </c>
      <c r="F3703" s="13">
        <v>55</v>
      </c>
      <c r="G3703" s="12" t="s">
        <v>8979</v>
      </c>
      <c r="H3703" s="12" t="s">
        <v>38</v>
      </c>
      <c r="I3703" s="12" t="s">
        <v>159</v>
      </c>
      <c r="J3703" s="12" t="s">
        <v>160</v>
      </c>
      <c r="K3703" s="12" t="s">
        <v>82</v>
      </c>
      <c r="L3703" s="14"/>
      <c r="M3703" s="12" t="s">
        <v>43</v>
      </c>
      <c r="N3703" s="12" t="s">
        <v>101</v>
      </c>
      <c r="O3703" s="12" t="s">
        <v>13296</v>
      </c>
      <c r="P3703" s="12" t="s">
        <v>46</v>
      </c>
      <c r="Q3703" s="12" t="s">
        <v>47</v>
      </c>
      <c r="R3703" s="12" t="s">
        <v>1660</v>
      </c>
      <c r="S3703" s="13">
        <v>196573422070</v>
      </c>
      <c r="T3703" s="12" t="s">
        <v>49</v>
      </c>
      <c r="U3703" s="13">
        <v>37</v>
      </c>
      <c r="V3703" s="12" t="s">
        <v>50</v>
      </c>
      <c r="W3703" s="12" t="s">
        <v>51</v>
      </c>
      <c r="X3703" s="14"/>
      <c r="Y3703" s="12" t="s">
        <v>91</v>
      </c>
      <c r="Z3703" s="12" t="s">
        <v>165</v>
      </c>
      <c r="AA3703" s="14"/>
      <c r="AB3703" s="14"/>
      <c r="AC3703" s="15">
        <v>65.95</v>
      </c>
      <c r="AD3703" s="15">
        <f>AC3703*AG3703</f>
        <v>65.95</v>
      </c>
      <c r="AE3703" s="15">
        <v>145</v>
      </c>
      <c r="AF3703" s="15">
        <f>AE3703*AG3703</f>
        <v>145</v>
      </c>
      <c r="AG3703" s="16">
        <v>1</v>
      </c>
    </row>
    <row r="3704" spans="1:33" ht="15" customHeight="1" x14ac:dyDescent="0.2">
      <c r="A3704" s="11" t="str">
        <f t="shared" si="979"/>
        <v>VN0007NSBY11</v>
      </c>
      <c r="B3704" s="12" t="s">
        <v>13297</v>
      </c>
      <c r="C3704" s="12" t="s">
        <v>309</v>
      </c>
      <c r="D3704" s="12" t="s">
        <v>8985</v>
      </c>
      <c r="E3704" s="12" t="s">
        <v>13298</v>
      </c>
      <c r="F3704" s="13">
        <v>65</v>
      </c>
      <c r="G3704" s="14"/>
      <c r="H3704" s="12" t="s">
        <v>38</v>
      </c>
      <c r="I3704" s="12" t="s">
        <v>159</v>
      </c>
      <c r="J3704" s="12" t="s">
        <v>160</v>
      </c>
      <c r="K3704" s="12" t="s">
        <v>82</v>
      </c>
      <c r="L3704" s="14"/>
      <c r="M3704" s="12" t="s">
        <v>43</v>
      </c>
      <c r="N3704" s="12" t="s">
        <v>101</v>
      </c>
      <c r="O3704" s="12" t="s">
        <v>13299</v>
      </c>
      <c r="P3704" s="12" t="s">
        <v>46</v>
      </c>
      <c r="Q3704" s="12" t="s">
        <v>47</v>
      </c>
      <c r="R3704" s="12" t="s">
        <v>1660</v>
      </c>
      <c r="S3704" s="13">
        <v>196573424470</v>
      </c>
      <c r="T3704" s="12" t="s">
        <v>164</v>
      </c>
      <c r="U3704" s="13">
        <v>38.5</v>
      </c>
      <c r="V3704" s="12" t="s">
        <v>50</v>
      </c>
      <c r="W3704" s="12" t="s">
        <v>455</v>
      </c>
      <c r="X3704" s="14"/>
      <c r="Y3704" s="12" t="s">
        <v>91</v>
      </c>
      <c r="Z3704" s="12" t="s">
        <v>165</v>
      </c>
      <c r="AA3704" s="14"/>
      <c r="AB3704" s="14"/>
      <c r="AC3704" s="15">
        <v>47.75</v>
      </c>
      <c r="AD3704" s="15">
        <f>AC3704*AG3704</f>
        <v>47.75</v>
      </c>
      <c r="AE3704" s="15">
        <v>105</v>
      </c>
      <c r="AF3704" s="15">
        <f>AE3704*AG3704</f>
        <v>105</v>
      </c>
      <c r="AG3704" s="16">
        <v>1</v>
      </c>
    </row>
    <row r="3705" spans="1:33" ht="15" customHeight="1" x14ac:dyDescent="0.2">
      <c r="A3705" s="11" t="str">
        <f>HYPERLINK("https://assets.vans.eu/images/VN0007NTYB2-HERO/1","VN0007NTYB21")</f>
        <v>VN0007NTYB21</v>
      </c>
      <c r="B3705" s="12" t="s">
        <v>13300</v>
      </c>
      <c r="C3705" s="12" t="s">
        <v>34</v>
      </c>
      <c r="D3705" s="12" t="s">
        <v>1138</v>
      </c>
      <c r="E3705" s="12" t="s">
        <v>13301</v>
      </c>
      <c r="F3705" s="13">
        <v>85</v>
      </c>
      <c r="G3705" s="12" t="s">
        <v>7018</v>
      </c>
      <c r="H3705" s="12" t="s">
        <v>38</v>
      </c>
      <c r="I3705" s="12" t="s">
        <v>159</v>
      </c>
      <c r="J3705" s="12" t="s">
        <v>160</v>
      </c>
      <c r="K3705" s="12" t="s">
        <v>82</v>
      </c>
      <c r="L3705" s="12" t="s">
        <v>42</v>
      </c>
      <c r="M3705" s="12" t="s">
        <v>43</v>
      </c>
      <c r="N3705" s="12" t="s">
        <v>274</v>
      </c>
      <c r="O3705" s="12" t="s">
        <v>13302</v>
      </c>
      <c r="P3705" s="12" t="s">
        <v>46</v>
      </c>
      <c r="Q3705" s="12" t="s">
        <v>47</v>
      </c>
      <c r="R3705" s="12" t="s">
        <v>163</v>
      </c>
      <c r="S3705" s="13">
        <v>197063328667</v>
      </c>
      <c r="T3705" s="12" t="s">
        <v>49</v>
      </c>
      <c r="U3705" s="13">
        <v>41</v>
      </c>
      <c r="V3705" s="12" t="s">
        <v>50</v>
      </c>
      <c r="W3705" s="12" t="s">
        <v>175</v>
      </c>
      <c r="X3705" s="14"/>
      <c r="Y3705" s="12" t="s">
        <v>53</v>
      </c>
      <c r="Z3705" s="12" t="s">
        <v>92</v>
      </c>
      <c r="AA3705" s="12" t="s">
        <v>3224</v>
      </c>
      <c r="AB3705" s="12" t="s">
        <v>55</v>
      </c>
      <c r="AC3705" s="15">
        <v>43.2</v>
      </c>
      <c r="AD3705" s="15">
        <f>AC3705*AG3705</f>
        <v>43.2</v>
      </c>
      <c r="AE3705" s="15">
        <v>95</v>
      </c>
      <c r="AF3705" s="15">
        <f>AE3705*AG3705</f>
        <v>95</v>
      </c>
      <c r="AG3705" s="16">
        <v>1</v>
      </c>
    </row>
    <row r="3706" spans="1:33" ht="15" customHeight="1" x14ac:dyDescent="0.2">
      <c r="A3706" s="11" t="str">
        <f t="shared" ref="A3706:A3707" si="1252">HYPERLINK("https://assets.vans.eu/images/VN0007NTYP0-HERO/1","VN0007NTYP01")</f>
        <v>VN0007NTYP01</v>
      </c>
      <c r="B3706" s="12" t="s">
        <v>13303</v>
      </c>
      <c r="C3706" s="12" t="s">
        <v>34</v>
      </c>
      <c r="D3706" s="12" t="s">
        <v>13304</v>
      </c>
      <c r="E3706" s="12" t="s">
        <v>13305</v>
      </c>
      <c r="F3706" s="13">
        <v>55</v>
      </c>
      <c r="G3706" s="12" t="s">
        <v>2779</v>
      </c>
      <c r="H3706" s="12" t="s">
        <v>38</v>
      </c>
      <c r="I3706" s="12" t="s">
        <v>159</v>
      </c>
      <c r="J3706" s="12" t="s">
        <v>160</v>
      </c>
      <c r="K3706" s="12" t="s">
        <v>82</v>
      </c>
      <c r="L3706" s="14"/>
      <c r="M3706" s="12" t="s">
        <v>43</v>
      </c>
      <c r="N3706" s="12" t="s">
        <v>101</v>
      </c>
      <c r="O3706" s="12" t="s">
        <v>13306</v>
      </c>
      <c r="P3706" s="12" t="s">
        <v>46</v>
      </c>
      <c r="Q3706" s="12" t="s">
        <v>47</v>
      </c>
      <c r="R3706" s="12" t="s">
        <v>163</v>
      </c>
      <c r="S3706" s="13">
        <v>196573429697</v>
      </c>
      <c r="T3706" s="12" t="s">
        <v>164</v>
      </c>
      <c r="U3706" s="13">
        <v>37</v>
      </c>
      <c r="V3706" s="12" t="s">
        <v>50</v>
      </c>
      <c r="W3706" s="12" t="s">
        <v>51</v>
      </c>
      <c r="X3706" s="14"/>
      <c r="Y3706" s="12" t="s">
        <v>53</v>
      </c>
      <c r="Z3706" s="12" t="s">
        <v>263</v>
      </c>
      <c r="AA3706" s="14"/>
      <c r="AB3706" s="14"/>
      <c r="AC3706" s="15">
        <v>36.4</v>
      </c>
      <c r="AD3706" s="15">
        <f>AC3706*AG3706</f>
        <v>36.4</v>
      </c>
      <c r="AE3706" s="15">
        <v>80</v>
      </c>
      <c r="AF3706" s="15">
        <f>AE3706*AG3706</f>
        <v>80</v>
      </c>
      <c r="AG3706" s="16">
        <v>1</v>
      </c>
    </row>
    <row r="3707" spans="1:33" ht="15" customHeight="1" x14ac:dyDescent="0.2">
      <c r="A3707" s="11" t="str">
        <f t="shared" si="1252"/>
        <v>VN0007NTYP01</v>
      </c>
      <c r="B3707" s="12" t="s">
        <v>13307</v>
      </c>
      <c r="C3707" s="12" t="s">
        <v>34</v>
      </c>
      <c r="D3707" s="12" t="s">
        <v>13304</v>
      </c>
      <c r="E3707" s="12" t="s">
        <v>13308</v>
      </c>
      <c r="F3707" s="13">
        <v>110</v>
      </c>
      <c r="G3707" s="12" t="s">
        <v>2779</v>
      </c>
      <c r="H3707" s="12" t="s">
        <v>38</v>
      </c>
      <c r="I3707" s="12" t="s">
        <v>159</v>
      </c>
      <c r="J3707" s="12" t="s">
        <v>160</v>
      </c>
      <c r="K3707" s="12" t="s">
        <v>82</v>
      </c>
      <c r="L3707" s="14"/>
      <c r="M3707" s="12" t="s">
        <v>43</v>
      </c>
      <c r="N3707" s="12" t="s">
        <v>101</v>
      </c>
      <c r="O3707" s="12" t="s">
        <v>13309</v>
      </c>
      <c r="P3707" s="12" t="s">
        <v>46</v>
      </c>
      <c r="Q3707" s="12" t="s">
        <v>47</v>
      </c>
      <c r="R3707" s="12" t="s">
        <v>163</v>
      </c>
      <c r="S3707" s="13">
        <v>196573430679</v>
      </c>
      <c r="T3707" s="12" t="s">
        <v>164</v>
      </c>
      <c r="U3707" s="13">
        <v>44.5</v>
      </c>
      <c r="V3707" s="12" t="s">
        <v>50</v>
      </c>
      <c r="W3707" s="12" t="s">
        <v>51</v>
      </c>
      <c r="X3707" s="14"/>
      <c r="Y3707" s="12" t="s">
        <v>53</v>
      </c>
      <c r="Z3707" s="12" t="s">
        <v>263</v>
      </c>
      <c r="AA3707" s="14"/>
      <c r="AB3707" s="14"/>
      <c r="AC3707" s="15">
        <v>36.4</v>
      </c>
      <c r="AD3707" s="15">
        <f>AC3707*AG3707</f>
        <v>36.4</v>
      </c>
      <c r="AE3707" s="15">
        <v>80</v>
      </c>
      <c r="AF3707" s="15">
        <f>AE3707*AG3707</f>
        <v>80</v>
      </c>
      <c r="AG3707" s="16">
        <v>1</v>
      </c>
    </row>
    <row r="3708" spans="1:33" ht="15" customHeight="1" x14ac:dyDescent="0.2">
      <c r="A3708" s="11" t="str">
        <f t="shared" ref="A3708:A3709" si="1253">HYPERLINK("https://assets.vans.eu/images/VN0007P2TWB-HERO/1","VN0007P2TWB1")</f>
        <v>VN0007P2TWB1</v>
      </c>
      <c r="B3708" s="12" t="s">
        <v>13310</v>
      </c>
      <c r="C3708" s="12" t="s">
        <v>13311</v>
      </c>
      <c r="D3708" s="12" t="s">
        <v>13312</v>
      </c>
      <c r="E3708" s="12" t="s">
        <v>13313</v>
      </c>
      <c r="F3708" s="13">
        <v>45</v>
      </c>
      <c r="G3708" s="12" t="s">
        <v>13314</v>
      </c>
      <c r="H3708" s="12" t="s">
        <v>38</v>
      </c>
      <c r="I3708" s="12" t="s">
        <v>159</v>
      </c>
      <c r="J3708" s="12" t="s">
        <v>255</v>
      </c>
      <c r="K3708" s="12" t="s">
        <v>82</v>
      </c>
      <c r="L3708" s="14"/>
      <c r="M3708" s="12" t="s">
        <v>43</v>
      </c>
      <c r="N3708" s="12" t="s">
        <v>274</v>
      </c>
      <c r="O3708" s="12" t="s">
        <v>13315</v>
      </c>
      <c r="P3708" s="12" t="s">
        <v>46</v>
      </c>
      <c r="Q3708" s="12" t="s">
        <v>47</v>
      </c>
      <c r="R3708" s="12" t="s">
        <v>163</v>
      </c>
      <c r="S3708" s="13">
        <v>196573331259</v>
      </c>
      <c r="T3708" s="12" t="s">
        <v>105</v>
      </c>
      <c r="U3708" s="13">
        <v>36</v>
      </c>
      <c r="V3708" s="12" t="s">
        <v>1468</v>
      </c>
      <c r="W3708" s="12" t="s">
        <v>175</v>
      </c>
      <c r="X3708" s="14"/>
      <c r="Y3708" s="12" t="s">
        <v>53</v>
      </c>
      <c r="Z3708" s="12" t="s">
        <v>263</v>
      </c>
      <c r="AA3708" s="14"/>
      <c r="AB3708" s="14"/>
      <c r="AC3708" s="15">
        <v>45.5</v>
      </c>
      <c r="AD3708" s="15">
        <f>AC3708*AG3708</f>
        <v>45.5</v>
      </c>
      <c r="AE3708" s="15">
        <v>100</v>
      </c>
      <c r="AF3708" s="15">
        <f>AE3708*AG3708</f>
        <v>100</v>
      </c>
      <c r="AG3708" s="16">
        <v>1</v>
      </c>
    </row>
    <row r="3709" spans="1:33" ht="15" customHeight="1" x14ac:dyDescent="0.2">
      <c r="A3709" s="11" t="str">
        <f t="shared" si="1253"/>
        <v>VN0007P2TWB1</v>
      </c>
      <c r="B3709" s="12" t="s">
        <v>13316</v>
      </c>
      <c r="C3709" s="12" t="s">
        <v>13311</v>
      </c>
      <c r="D3709" s="12" t="s">
        <v>13312</v>
      </c>
      <c r="E3709" s="12" t="s">
        <v>13317</v>
      </c>
      <c r="F3709" s="13">
        <v>110</v>
      </c>
      <c r="G3709" s="12" t="s">
        <v>13314</v>
      </c>
      <c r="H3709" s="12" t="s">
        <v>38</v>
      </c>
      <c r="I3709" s="12" t="s">
        <v>159</v>
      </c>
      <c r="J3709" s="12" t="s">
        <v>255</v>
      </c>
      <c r="K3709" s="12" t="s">
        <v>82</v>
      </c>
      <c r="L3709" s="14"/>
      <c r="M3709" s="12" t="s">
        <v>43</v>
      </c>
      <c r="N3709" s="12" t="s">
        <v>274</v>
      </c>
      <c r="O3709" s="12" t="s">
        <v>13318</v>
      </c>
      <c r="P3709" s="12" t="s">
        <v>46</v>
      </c>
      <c r="Q3709" s="12" t="s">
        <v>47</v>
      </c>
      <c r="R3709" s="12" t="s">
        <v>163</v>
      </c>
      <c r="S3709" s="13">
        <v>196573333130</v>
      </c>
      <c r="T3709" s="12" t="s">
        <v>105</v>
      </c>
      <c r="U3709" s="13">
        <v>44.5</v>
      </c>
      <c r="V3709" s="12" t="s">
        <v>1468</v>
      </c>
      <c r="W3709" s="12" t="s">
        <v>175</v>
      </c>
      <c r="X3709" s="14"/>
      <c r="Y3709" s="12" t="s">
        <v>53</v>
      </c>
      <c r="Z3709" s="12" t="s">
        <v>263</v>
      </c>
      <c r="AA3709" s="14"/>
      <c r="AB3709" s="14"/>
      <c r="AC3709" s="15">
        <v>45.5</v>
      </c>
      <c r="AD3709" s="15">
        <f>AC3709*AG3709</f>
        <v>45.5</v>
      </c>
      <c r="AE3709" s="15">
        <v>100</v>
      </c>
      <c r="AF3709" s="15">
        <f>AE3709*AG3709</f>
        <v>100</v>
      </c>
      <c r="AG3709" s="16">
        <v>1</v>
      </c>
    </row>
    <row r="3710" spans="1:33" ht="15" customHeight="1" x14ac:dyDescent="0.2">
      <c r="A3710" s="11" t="str">
        <f>HYPERLINK("https://assets.vans.eu/images/VN0007Q3BIY-HERO/1","VN0007Q3BIY1")</f>
        <v>VN0007Q3BIY1</v>
      </c>
      <c r="B3710" s="12" t="s">
        <v>13319</v>
      </c>
      <c r="C3710" s="12" t="s">
        <v>4849</v>
      </c>
      <c r="D3710" s="12" t="s">
        <v>2010</v>
      </c>
      <c r="E3710" s="12" t="s">
        <v>13320</v>
      </c>
      <c r="F3710" s="13">
        <v>70</v>
      </c>
      <c r="G3710" s="12" t="s">
        <v>13321</v>
      </c>
      <c r="H3710" s="12" t="s">
        <v>38</v>
      </c>
      <c r="I3710" s="12" t="s">
        <v>242</v>
      </c>
      <c r="J3710" s="12" t="s">
        <v>243</v>
      </c>
      <c r="K3710" s="12" t="s">
        <v>244</v>
      </c>
      <c r="L3710" s="14"/>
      <c r="M3710" s="12" t="s">
        <v>43</v>
      </c>
      <c r="N3710" s="12" t="s">
        <v>274</v>
      </c>
      <c r="O3710" s="12" t="s">
        <v>13322</v>
      </c>
      <c r="P3710" s="12" t="s">
        <v>46</v>
      </c>
      <c r="Q3710" s="12" t="s">
        <v>47</v>
      </c>
      <c r="R3710" s="12" t="s">
        <v>780</v>
      </c>
      <c r="S3710" s="13">
        <v>197063249627</v>
      </c>
      <c r="T3710" s="12" t="s">
        <v>164</v>
      </c>
      <c r="U3710" s="13">
        <v>23.5</v>
      </c>
      <c r="V3710" s="12" t="s">
        <v>50</v>
      </c>
      <c r="W3710" s="12" t="s">
        <v>299</v>
      </c>
      <c r="X3710" s="14"/>
      <c r="Y3710" s="12" t="s">
        <v>91</v>
      </c>
      <c r="Z3710" s="12" t="s">
        <v>165</v>
      </c>
      <c r="AA3710" s="14"/>
      <c r="AB3710" s="14"/>
      <c r="AC3710" s="15">
        <v>22.75</v>
      </c>
      <c r="AD3710" s="15">
        <f>AC3710*AG3710</f>
        <v>22.75</v>
      </c>
      <c r="AE3710" s="15">
        <v>50</v>
      </c>
      <c r="AF3710" s="15">
        <f>AE3710*AG3710</f>
        <v>50</v>
      </c>
      <c r="AG3710" s="16">
        <v>1</v>
      </c>
    </row>
    <row r="3711" spans="1:33" ht="15" customHeight="1" x14ac:dyDescent="0.2">
      <c r="A3711" s="11" t="str">
        <f t="shared" si="508"/>
        <v>VN0007Q3EMY1</v>
      </c>
      <c r="B3711" s="12" t="s">
        <v>13323</v>
      </c>
      <c r="C3711" s="12" t="s">
        <v>4849</v>
      </c>
      <c r="D3711" s="12" t="s">
        <v>1155</v>
      </c>
      <c r="E3711" s="12" t="s">
        <v>13324</v>
      </c>
      <c r="F3711" s="13">
        <v>60</v>
      </c>
      <c r="G3711" s="12" t="s">
        <v>775</v>
      </c>
      <c r="H3711" s="12" t="s">
        <v>38</v>
      </c>
      <c r="I3711" s="12" t="s">
        <v>242</v>
      </c>
      <c r="J3711" s="12" t="s">
        <v>243</v>
      </c>
      <c r="K3711" s="12" t="s">
        <v>244</v>
      </c>
      <c r="L3711" s="14"/>
      <c r="M3711" s="12" t="s">
        <v>43</v>
      </c>
      <c r="N3711" s="12" t="s">
        <v>84</v>
      </c>
      <c r="O3711" s="12" t="s">
        <v>13325</v>
      </c>
      <c r="P3711" s="12" t="s">
        <v>46</v>
      </c>
      <c r="Q3711" s="12" t="s">
        <v>47</v>
      </c>
      <c r="R3711" s="12" t="s">
        <v>780</v>
      </c>
      <c r="S3711" s="13">
        <v>197804503834</v>
      </c>
      <c r="T3711" s="12" t="s">
        <v>164</v>
      </c>
      <c r="U3711" s="13">
        <v>22</v>
      </c>
      <c r="V3711" s="12" t="s">
        <v>278</v>
      </c>
      <c r="W3711" s="12" t="s">
        <v>107</v>
      </c>
      <c r="X3711" s="14"/>
      <c r="Y3711" s="14"/>
      <c r="Z3711" s="14"/>
      <c r="AA3711" s="14"/>
      <c r="AB3711" s="14"/>
      <c r="AC3711" s="15">
        <v>27.3</v>
      </c>
      <c r="AD3711" s="15">
        <f>AC3711*AG3711</f>
        <v>27.3</v>
      </c>
      <c r="AE3711" s="15">
        <v>60</v>
      </c>
      <c r="AF3711" s="15">
        <f>AE3711*AG3711</f>
        <v>60</v>
      </c>
      <c r="AG3711" s="16">
        <v>1</v>
      </c>
    </row>
    <row r="3712" spans="1:33" ht="15" customHeight="1" x14ac:dyDescent="0.2">
      <c r="A3712" s="11" t="str">
        <f t="shared" si="980"/>
        <v>VN0009PZDRV1</v>
      </c>
      <c r="B3712" s="12" t="s">
        <v>13326</v>
      </c>
      <c r="C3712" s="12" t="s">
        <v>9000</v>
      </c>
      <c r="D3712" s="12" t="s">
        <v>9001</v>
      </c>
      <c r="E3712" s="12" t="s">
        <v>13327</v>
      </c>
      <c r="F3712" s="13">
        <v>55</v>
      </c>
      <c r="G3712" s="12" t="s">
        <v>9003</v>
      </c>
      <c r="H3712" s="12" t="s">
        <v>38</v>
      </c>
      <c r="I3712" s="12" t="s">
        <v>113</v>
      </c>
      <c r="J3712" s="12" t="s">
        <v>114</v>
      </c>
      <c r="K3712" s="12" t="s">
        <v>82</v>
      </c>
      <c r="L3712" s="14"/>
      <c r="M3712" s="12" t="s">
        <v>43</v>
      </c>
      <c r="N3712" s="12" t="s">
        <v>101</v>
      </c>
      <c r="O3712" s="12" t="s">
        <v>13328</v>
      </c>
      <c r="P3712" s="12" t="s">
        <v>46</v>
      </c>
      <c r="Q3712" s="12" t="s">
        <v>47</v>
      </c>
      <c r="R3712" s="12" t="s">
        <v>117</v>
      </c>
      <c r="S3712" s="13">
        <v>196573339354</v>
      </c>
      <c r="T3712" s="12" t="s">
        <v>49</v>
      </c>
      <c r="U3712" s="13">
        <v>37</v>
      </c>
      <c r="V3712" s="12" t="s">
        <v>50</v>
      </c>
      <c r="W3712" s="12" t="s">
        <v>107</v>
      </c>
      <c r="X3712" s="14"/>
      <c r="Y3712" s="12" t="s">
        <v>53</v>
      </c>
      <c r="Z3712" s="12" t="s">
        <v>263</v>
      </c>
      <c r="AA3712" s="14"/>
      <c r="AB3712" s="14"/>
      <c r="AC3712" s="15">
        <v>47.75</v>
      </c>
      <c r="AD3712" s="15">
        <f>AC3712*AG3712</f>
        <v>47.75</v>
      </c>
      <c r="AE3712" s="15">
        <v>105</v>
      </c>
      <c r="AF3712" s="15">
        <f>AE3712*AG3712</f>
        <v>105</v>
      </c>
      <c r="AG3712" s="16">
        <v>1</v>
      </c>
    </row>
    <row r="3713" spans="1:33" ht="15" customHeight="1" x14ac:dyDescent="0.2">
      <c r="A3713" s="11" t="str">
        <f t="shared" si="758"/>
        <v>VN0009Q7YY61</v>
      </c>
      <c r="B3713" s="12" t="s">
        <v>13329</v>
      </c>
      <c r="C3713" s="12" t="s">
        <v>3586</v>
      </c>
      <c r="D3713" s="12" t="s">
        <v>1208</v>
      </c>
      <c r="E3713" s="12" t="s">
        <v>13330</v>
      </c>
      <c r="F3713" s="13">
        <v>50</v>
      </c>
      <c r="G3713" s="14"/>
      <c r="H3713" s="12" t="s">
        <v>38</v>
      </c>
      <c r="I3713" s="12" t="s">
        <v>113</v>
      </c>
      <c r="J3713" s="12" t="s">
        <v>114</v>
      </c>
      <c r="K3713" s="12" t="s">
        <v>82</v>
      </c>
      <c r="L3713" s="12" t="s">
        <v>260</v>
      </c>
      <c r="M3713" s="12" t="s">
        <v>43</v>
      </c>
      <c r="N3713" s="12" t="s">
        <v>84</v>
      </c>
      <c r="O3713" s="12" t="s">
        <v>13331</v>
      </c>
      <c r="P3713" s="12" t="s">
        <v>46</v>
      </c>
      <c r="Q3713" s="12" t="s">
        <v>47</v>
      </c>
      <c r="R3713" s="12" t="s">
        <v>117</v>
      </c>
      <c r="S3713" s="13">
        <v>197803961185</v>
      </c>
      <c r="T3713" s="12" t="s">
        <v>105</v>
      </c>
      <c r="U3713" s="13">
        <v>36.5</v>
      </c>
      <c r="V3713" s="12" t="s">
        <v>209</v>
      </c>
      <c r="W3713" s="12" t="s">
        <v>51</v>
      </c>
      <c r="X3713" s="14"/>
      <c r="Y3713" s="12" t="s">
        <v>53</v>
      </c>
      <c r="Z3713" s="12" t="s">
        <v>2600</v>
      </c>
      <c r="AA3713" s="14"/>
      <c r="AB3713" s="12" t="s">
        <v>264</v>
      </c>
      <c r="AC3713" s="15">
        <v>36.4</v>
      </c>
      <c r="AD3713" s="15">
        <f>AC3713*AG3713</f>
        <v>36.4</v>
      </c>
      <c r="AE3713" s="15">
        <v>80</v>
      </c>
      <c r="AF3713" s="15">
        <f>AE3713*AG3713</f>
        <v>80</v>
      </c>
      <c r="AG3713" s="16">
        <v>1</v>
      </c>
    </row>
    <row r="3714" spans="1:33" ht="15" customHeight="1" x14ac:dyDescent="0.2">
      <c r="A3714" s="11" t="str">
        <f>HYPERLINK("https://assets.vans.eu/images/VN0009Q7YY6-HERO/1","VN0009Q7YY61")</f>
        <v>VN0009Q7YY61</v>
      </c>
      <c r="B3714" s="12" t="s">
        <v>13332</v>
      </c>
      <c r="C3714" s="12" t="s">
        <v>3586</v>
      </c>
      <c r="D3714" s="12" t="s">
        <v>1208</v>
      </c>
      <c r="E3714" s="12" t="s">
        <v>13333</v>
      </c>
      <c r="F3714" s="13">
        <v>70</v>
      </c>
      <c r="G3714" s="14"/>
      <c r="H3714" s="12" t="s">
        <v>38</v>
      </c>
      <c r="I3714" s="12" t="s">
        <v>113</v>
      </c>
      <c r="J3714" s="12" t="s">
        <v>114</v>
      </c>
      <c r="K3714" s="12" t="s">
        <v>82</v>
      </c>
      <c r="L3714" s="12" t="s">
        <v>260</v>
      </c>
      <c r="M3714" s="12" t="s">
        <v>43</v>
      </c>
      <c r="N3714" s="12" t="s">
        <v>84</v>
      </c>
      <c r="O3714" s="12" t="s">
        <v>13334</v>
      </c>
      <c r="P3714" s="12" t="s">
        <v>46</v>
      </c>
      <c r="Q3714" s="12" t="s">
        <v>47</v>
      </c>
      <c r="R3714" s="12" t="s">
        <v>117</v>
      </c>
      <c r="S3714" s="13">
        <v>197803961758</v>
      </c>
      <c r="T3714" s="12" t="s">
        <v>105</v>
      </c>
      <c r="U3714" s="13">
        <v>39</v>
      </c>
      <c r="V3714" s="12" t="s">
        <v>209</v>
      </c>
      <c r="W3714" s="12" t="s">
        <v>51</v>
      </c>
      <c r="X3714" s="14"/>
      <c r="Y3714" s="12" t="s">
        <v>53</v>
      </c>
      <c r="Z3714" s="12" t="s">
        <v>2600</v>
      </c>
      <c r="AA3714" s="14"/>
      <c r="AB3714" s="12" t="s">
        <v>264</v>
      </c>
      <c r="AC3714" s="15">
        <v>36.4</v>
      </c>
      <c r="AD3714" s="15">
        <f>AC3714*AG3714</f>
        <v>36.4</v>
      </c>
      <c r="AE3714" s="15">
        <v>80</v>
      </c>
      <c r="AF3714" s="15">
        <f>AE3714*AG3714</f>
        <v>80</v>
      </c>
      <c r="AG3714" s="16">
        <v>1</v>
      </c>
    </row>
    <row r="3715" spans="1:33" ht="15" customHeight="1" x14ac:dyDescent="0.2">
      <c r="A3715" s="11" t="str">
        <f t="shared" si="190"/>
        <v>VN0009QCBKA1</v>
      </c>
      <c r="B3715" s="12" t="s">
        <v>13335</v>
      </c>
      <c r="C3715" s="12" t="s">
        <v>110</v>
      </c>
      <c r="D3715" s="12" t="s">
        <v>252</v>
      </c>
      <c r="E3715" s="12" t="s">
        <v>13336</v>
      </c>
      <c r="F3715" s="13">
        <v>40</v>
      </c>
      <c r="G3715" s="14"/>
      <c r="H3715" s="12" t="s">
        <v>38</v>
      </c>
      <c r="I3715" s="12" t="s">
        <v>2120</v>
      </c>
      <c r="J3715" s="12" t="s">
        <v>2121</v>
      </c>
      <c r="K3715" s="12" t="s">
        <v>82</v>
      </c>
      <c r="L3715" s="14"/>
      <c r="M3715" s="12" t="s">
        <v>43</v>
      </c>
      <c r="N3715" s="12" t="s">
        <v>84</v>
      </c>
      <c r="O3715" s="12" t="s">
        <v>13337</v>
      </c>
      <c r="P3715" s="12" t="s">
        <v>46</v>
      </c>
      <c r="Q3715" s="12" t="s">
        <v>47</v>
      </c>
      <c r="R3715" s="12" t="s">
        <v>2123</v>
      </c>
      <c r="S3715" s="13">
        <v>196574857734</v>
      </c>
      <c r="T3715" s="12" t="s">
        <v>49</v>
      </c>
      <c r="U3715" s="13">
        <v>35</v>
      </c>
      <c r="V3715" s="12" t="s">
        <v>50</v>
      </c>
      <c r="W3715" s="12" t="s">
        <v>51</v>
      </c>
      <c r="X3715" s="14"/>
      <c r="Y3715" s="12" t="s">
        <v>91</v>
      </c>
      <c r="Z3715" s="12" t="s">
        <v>165</v>
      </c>
      <c r="AA3715" s="14"/>
      <c r="AB3715" s="14"/>
      <c r="AC3715" s="15">
        <v>43.2</v>
      </c>
      <c r="AD3715" s="15">
        <f>AC3715*AG3715</f>
        <v>43.2</v>
      </c>
      <c r="AE3715" s="15">
        <v>95</v>
      </c>
      <c r="AF3715" s="15">
        <f>AE3715*AG3715</f>
        <v>95</v>
      </c>
      <c r="AG3715" s="16">
        <v>1</v>
      </c>
    </row>
    <row r="3716" spans="1:33" ht="15" customHeight="1" x14ac:dyDescent="0.2">
      <c r="A3716" s="11" t="str">
        <f t="shared" ref="A3716:A3717" si="1254">HYPERLINK("https://assets.vans.eu/images/VN0009QCBKA-HERO/1","VN0009QCBKA1")</f>
        <v>VN0009QCBKA1</v>
      </c>
      <c r="B3716" s="12" t="s">
        <v>13338</v>
      </c>
      <c r="C3716" s="12" t="s">
        <v>110</v>
      </c>
      <c r="D3716" s="12" t="s">
        <v>252</v>
      </c>
      <c r="E3716" s="12" t="s">
        <v>13339</v>
      </c>
      <c r="F3716" s="13">
        <v>85</v>
      </c>
      <c r="G3716" s="14"/>
      <c r="H3716" s="12" t="s">
        <v>38</v>
      </c>
      <c r="I3716" s="12" t="s">
        <v>2120</v>
      </c>
      <c r="J3716" s="12" t="s">
        <v>2121</v>
      </c>
      <c r="K3716" s="12" t="s">
        <v>82</v>
      </c>
      <c r="L3716" s="14"/>
      <c r="M3716" s="12" t="s">
        <v>43</v>
      </c>
      <c r="N3716" s="12" t="s">
        <v>84</v>
      </c>
      <c r="O3716" s="12" t="s">
        <v>13340</v>
      </c>
      <c r="P3716" s="12" t="s">
        <v>46</v>
      </c>
      <c r="Q3716" s="12" t="s">
        <v>47</v>
      </c>
      <c r="R3716" s="12" t="s">
        <v>2123</v>
      </c>
      <c r="S3716" s="13">
        <v>196574857826</v>
      </c>
      <c r="T3716" s="12" t="s">
        <v>49</v>
      </c>
      <c r="U3716" s="13">
        <v>41</v>
      </c>
      <c r="V3716" s="12" t="s">
        <v>50</v>
      </c>
      <c r="W3716" s="12" t="s">
        <v>51</v>
      </c>
      <c r="X3716" s="14"/>
      <c r="Y3716" s="12" t="s">
        <v>91</v>
      </c>
      <c r="Z3716" s="12" t="s">
        <v>165</v>
      </c>
      <c r="AA3716" s="14"/>
      <c r="AB3716" s="14"/>
      <c r="AC3716" s="15">
        <v>43.2</v>
      </c>
      <c r="AD3716" s="15">
        <f>AC3716*AG3716</f>
        <v>43.2</v>
      </c>
      <c r="AE3716" s="15">
        <v>95</v>
      </c>
      <c r="AF3716" s="15">
        <f>AE3716*AG3716</f>
        <v>95</v>
      </c>
      <c r="AG3716" s="16">
        <v>1</v>
      </c>
    </row>
    <row r="3717" spans="1:33" ht="15" customHeight="1" x14ac:dyDescent="0.2">
      <c r="A3717" s="11" t="str">
        <f t="shared" si="1254"/>
        <v>VN0009QCBKA1</v>
      </c>
      <c r="B3717" s="12" t="s">
        <v>13341</v>
      </c>
      <c r="C3717" s="12" t="s">
        <v>110</v>
      </c>
      <c r="D3717" s="12" t="s">
        <v>252</v>
      </c>
      <c r="E3717" s="12" t="s">
        <v>13342</v>
      </c>
      <c r="F3717" s="13">
        <v>130</v>
      </c>
      <c r="G3717" s="14"/>
      <c r="H3717" s="12" t="s">
        <v>38</v>
      </c>
      <c r="I3717" s="12" t="s">
        <v>2120</v>
      </c>
      <c r="J3717" s="12" t="s">
        <v>2121</v>
      </c>
      <c r="K3717" s="12" t="s">
        <v>82</v>
      </c>
      <c r="L3717" s="14"/>
      <c r="M3717" s="12" t="s">
        <v>43</v>
      </c>
      <c r="N3717" s="12" t="s">
        <v>84</v>
      </c>
      <c r="O3717" s="12" t="s">
        <v>13343</v>
      </c>
      <c r="P3717" s="12" t="s">
        <v>46</v>
      </c>
      <c r="Q3717" s="12" t="s">
        <v>47</v>
      </c>
      <c r="R3717" s="12" t="s">
        <v>2123</v>
      </c>
      <c r="S3717" s="13">
        <v>196574857901</v>
      </c>
      <c r="T3717" s="12" t="s">
        <v>49</v>
      </c>
      <c r="U3717" s="13">
        <v>47</v>
      </c>
      <c r="V3717" s="12" t="s">
        <v>50</v>
      </c>
      <c r="W3717" s="12" t="s">
        <v>51</v>
      </c>
      <c r="X3717" s="14"/>
      <c r="Y3717" s="12" t="s">
        <v>91</v>
      </c>
      <c r="Z3717" s="12" t="s">
        <v>165</v>
      </c>
      <c r="AA3717" s="14"/>
      <c r="AB3717" s="14"/>
      <c r="AC3717" s="15">
        <v>43.2</v>
      </c>
      <c r="AD3717" s="15">
        <f>AC3717*AG3717</f>
        <v>43.2</v>
      </c>
      <c r="AE3717" s="15">
        <v>95</v>
      </c>
      <c r="AF3717" s="15">
        <f>AE3717*AG3717</f>
        <v>95</v>
      </c>
      <c r="AG3717" s="16">
        <v>1</v>
      </c>
    </row>
    <row r="3718" spans="1:33" ht="15" customHeight="1" x14ac:dyDescent="0.2">
      <c r="A3718" s="11" t="str">
        <f t="shared" si="981"/>
        <v>VN0009QCCJI1</v>
      </c>
      <c r="B3718" s="12" t="s">
        <v>13344</v>
      </c>
      <c r="C3718" s="12" t="s">
        <v>110</v>
      </c>
      <c r="D3718" s="12" t="s">
        <v>919</v>
      </c>
      <c r="E3718" s="12" t="s">
        <v>13345</v>
      </c>
      <c r="F3718" s="13">
        <v>105</v>
      </c>
      <c r="G3718" s="12" t="s">
        <v>9011</v>
      </c>
      <c r="H3718" s="12" t="s">
        <v>38</v>
      </c>
      <c r="I3718" s="12" t="s">
        <v>159</v>
      </c>
      <c r="J3718" s="12" t="s">
        <v>160</v>
      </c>
      <c r="K3718" s="12" t="s">
        <v>82</v>
      </c>
      <c r="L3718" s="14"/>
      <c r="M3718" s="12" t="s">
        <v>43</v>
      </c>
      <c r="N3718" s="12" t="s">
        <v>161</v>
      </c>
      <c r="O3718" s="12" t="s">
        <v>13346</v>
      </c>
      <c r="P3718" s="12" t="s">
        <v>46</v>
      </c>
      <c r="Q3718" s="12" t="s">
        <v>47</v>
      </c>
      <c r="R3718" s="12" t="s">
        <v>163</v>
      </c>
      <c r="S3718" s="13">
        <v>197065529017</v>
      </c>
      <c r="T3718" s="12" t="s">
        <v>49</v>
      </c>
      <c r="U3718" s="13">
        <v>44</v>
      </c>
      <c r="V3718" s="12" t="s">
        <v>50</v>
      </c>
      <c r="W3718" s="12" t="s">
        <v>51</v>
      </c>
      <c r="X3718" s="14"/>
      <c r="Y3718" s="12" t="s">
        <v>91</v>
      </c>
      <c r="Z3718" s="12" t="s">
        <v>165</v>
      </c>
      <c r="AA3718" s="14"/>
      <c r="AB3718" s="14"/>
      <c r="AC3718" s="15">
        <v>43.2</v>
      </c>
      <c r="AD3718" s="15">
        <f>AC3718*AG3718</f>
        <v>43.2</v>
      </c>
      <c r="AE3718" s="15">
        <v>95</v>
      </c>
      <c r="AF3718" s="15">
        <f>AE3718*AG3718</f>
        <v>95</v>
      </c>
      <c r="AG3718" s="16">
        <v>1</v>
      </c>
    </row>
    <row r="3719" spans="1:33" ht="15" customHeight="1" x14ac:dyDescent="0.2">
      <c r="A3719" s="11" t="str">
        <f>HYPERLINK("https://assets.vans.eu/images/VN0009QCDBS-HERO/1","VN0009QCDBS1")</f>
        <v>VN0009QCDBS1</v>
      </c>
      <c r="B3719" s="12" t="s">
        <v>13347</v>
      </c>
      <c r="C3719" s="12" t="s">
        <v>110</v>
      </c>
      <c r="D3719" s="12" t="s">
        <v>13348</v>
      </c>
      <c r="E3719" s="12" t="s">
        <v>13349</v>
      </c>
      <c r="F3719" s="13">
        <v>50</v>
      </c>
      <c r="G3719" s="14"/>
      <c r="H3719" s="12" t="s">
        <v>38</v>
      </c>
      <c r="I3719" s="12" t="s">
        <v>159</v>
      </c>
      <c r="J3719" s="12" t="s">
        <v>160</v>
      </c>
      <c r="K3719" s="12" t="s">
        <v>82</v>
      </c>
      <c r="L3719" s="14"/>
      <c r="M3719" s="12" t="s">
        <v>43</v>
      </c>
      <c r="N3719" s="12" t="s">
        <v>84</v>
      </c>
      <c r="O3719" s="12" t="s">
        <v>13350</v>
      </c>
      <c r="P3719" s="12" t="s">
        <v>46</v>
      </c>
      <c r="Q3719" s="12" t="s">
        <v>47</v>
      </c>
      <c r="R3719" s="12" t="s">
        <v>163</v>
      </c>
      <c r="S3719" s="13">
        <v>197063650195</v>
      </c>
      <c r="T3719" s="12" t="s">
        <v>164</v>
      </c>
      <c r="U3719" s="13">
        <v>36.5</v>
      </c>
      <c r="V3719" s="12" t="s">
        <v>50</v>
      </c>
      <c r="W3719" s="12" t="s">
        <v>580</v>
      </c>
      <c r="X3719" s="14"/>
      <c r="Y3719" s="12" t="s">
        <v>91</v>
      </c>
      <c r="Z3719" s="12" t="s">
        <v>165</v>
      </c>
      <c r="AA3719" s="14"/>
      <c r="AB3719" s="12" t="s">
        <v>264</v>
      </c>
      <c r="AC3719" s="15">
        <v>43.2</v>
      </c>
      <c r="AD3719" s="15">
        <f>AC3719*AG3719</f>
        <v>43.2</v>
      </c>
      <c r="AE3719" s="15">
        <v>95</v>
      </c>
      <c r="AF3719" s="15">
        <f>AE3719*AG3719</f>
        <v>95</v>
      </c>
      <c r="AG3719" s="16">
        <v>1</v>
      </c>
    </row>
    <row r="3720" spans="1:33" ht="15" customHeight="1" x14ac:dyDescent="0.2">
      <c r="A3720" s="11" t="str">
        <f t="shared" ref="A3720:A3721" si="1255">HYPERLINK("https://assets.vans.eu/images/VN0009QCNWH-HERO/1","VN0009QCNWH1")</f>
        <v>VN0009QCNWH1</v>
      </c>
      <c r="B3720" s="12" t="s">
        <v>13351</v>
      </c>
      <c r="C3720" s="12" t="s">
        <v>110</v>
      </c>
      <c r="D3720" s="12" t="s">
        <v>7203</v>
      </c>
      <c r="E3720" s="12" t="s">
        <v>13352</v>
      </c>
      <c r="F3720" s="13">
        <v>40</v>
      </c>
      <c r="G3720" s="14"/>
      <c r="H3720" s="12" t="s">
        <v>38</v>
      </c>
      <c r="I3720" s="12" t="s">
        <v>159</v>
      </c>
      <c r="J3720" s="12" t="s">
        <v>160</v>
      </c>
      <c r="K3720" s="12" t="s">
        <v>82</v>
      </c>
      <c r="L3720" s="14"/>
      <c r="M3720" s="12" t="s">
        <v>43</v>
      </c>
      <c r="N3720" s="12" t="s">
        <v>84</v>
      </c>
      <c r="O3720" s="12" t="s">
        <v>13353</v>
      </c>
      <c r="P3720" s="12" t="s">
        <v>46</v>
      </c>
      <c r="Q3720" s="12" t="s">
        <v>47</v>
      </c>
      <c r="R3720" s="12" t="s">
        <v>163</v>
      </c>
      <c r="S3720" s="13">
        <v>196575272208</v>
      </c>
      <c r="T3720" s="12" t="s">
        <v>164</v>
      </c>
      <c r="U3720" s="13">
        <v>35</v>
      </c>
      <c r="V3720" s="12" t="s">
        <v>50</v>
      </c>
      <c r="W3720" s="12" t="s">
        <v>186</v>
      </c>
      <c r="X3720" s="14"/>
      <c r="Y3720" s="12" t="s">
        <v>91</v>
      </c>
      <c r="Z3720" s="12" t="s">
        <v>165</v>
      </c>
      <c r="AA3720" s="14"/>
      <c r="AB3720" s="14"/>
      <c r="AC3720" s="15">
        <v>43.2</v>
      </c>
      <c r="AD3720" s="15">
        <f>AC3720*AG3720</f>
        <v>43.2</v>
      </c>
      <c r="AE3720" s="15">
        <v>95</v>
      </c>
      <c r="AF3720" s="15">
        <f>AE3720*AG3720</f>
        <v>95</v>
      </c>
      <c r="AG3720" s="16">
        <v>1</v>
      </c>
    </row>
    <row r="3721" spans="1:33" ht="15" customHeight="1" x14ac:dyDescent="0.2">
      <c r="A3721" s="11" t="str">
        <f t="shared" si="1255"/>
        <v>VN0009QCNWH1</v>
      </c>
      <c r="B3721" s="12" t="s">
        <v>13354</v>
      </c>
      <c r="C3721" s="12" t="s">
        <v>110</v>
      </c>
      <c r="D3721" s="12" t="s">
        <v>7203</v>
      </c>
      <c r="E3721" s="12" t="s">
        <v>13355</v>
      </c>
      <c r="F3721" s="13">
        <v>50</v>
      </c>
      <c r="G3721" s="14"/>
      <c r="H3721" s="12" t="s">
        <v>38</v>
      </c>
      <c r="I3721" s="12" t="s">
        <v>159</v>
      </c>
      <c r="J3721" s="12" t="s">
        <v>160</v>
      </c>
      <c r="K3721" s="12" t="s">
        <v>82</v>
      </c>
      <c r="L3721" s="14"/>
      <c r="M3721" s="12" t="s">
        <v>43</v>
      </c>
      <c r="N3721" s="12" t="s">
        <v>84</v>
      </c>
      <c r="O3721" s="12" t="s">
        <v>13356</v>
      </c>
      <c r="P3721" s="12" t="s">
        <v>46</v>
      </c>
      <c r="Q3721" s="12" t="s">
        <v>47</v>
      </c>
      <c r="R3721" s="12" t="s">
        <v>163</v>
      </c>
      <c r="S3721" s="13">
        <v>196575272222</v>
      </c>
      <c r="T3721" s="12" t="s">
        <v>164</v>
      </c>
      <c r="U3721" s="13">
        <v>36.5</v>
      </c>
      <c r="V3721" s="12" t="s">
        <v>50</v>
      </c>
      <c r="W3721" s="12" t="s">
        <v>186</v>
      </c>
      <c r="X3721" s="14"/>
      <c r="Y3721" s="12" t="s">
        <v>91</v>
      </c>
      <c r="Z3721" s="12" t="s">
        <v>165</v>
      </c>
      <c r="AA3721" s="14"/>
      <c r="AB3721" s="14"/>
      <c r="AC3721" s="15">
        <v>43.2</v>
      </c>
      <c r="AD3721" s="15">
        <f>AC3721*AG3721</f>
        <v>43.2</v>
      </c>
      <c r="AE3721" s="15">
        <v>95</v>
      </c>
      <c r="AF3721" s="15">
        <f>AE3721*AG3721</f>
        <v>95</v>
      </c>
      <c r="AG3721" s="16">
        <v>1</v>
      </c>
    </row>
    <row r="3722" spans="1:33" ht="15" customHeight="1" x14ac:dyDescent="0.2">
      <c r="A3722" s="11" t="str">
        <f>HYPERLINK("https://assets.vans.eu/images/VN0009QDPNK-HERO/1","VN0009QDPNK1")</f>
        <v>VN0009QDPNK1</v>
      </c>
      <c r="B3722" s="12" t="s">
        <v>13357</v>
      </c>
      <c r="C3722" s="12" t="s">
        <v>13358</v>
      </c>
      <c r="D3722" s="12" t="s">
        <v>3984</v>
      </c>
      <c r="E3722" s="12" t="s">
        <v>13359</v>
      </c>
      <c r="F3722" s="13">
        <v>120</v>
      </c>
      <c r="G3722" s="12" t="s">
        <v>13360</v>
      </c>
      <c r="H3722" s="12" t="s">
        <v>38</v>
      </c>
      <c r="I3722" s="12" t="s">
        <v>113</v>
      </c>
      <c r="J3722" s="12" t="s">
        <v>114</v>
      </c>
      <c r="K3722" s="12" t="s">
        <v>82</v>
      </c>
      <c r="L3722" s="14"/>
      <c r="M3722" s="12" t="s">
        <v>43</v>
      </c>
      <c r="N3722" s="12" t="s">
        <v>2457</v>
      </c>
      <c r="O3722" s="12" t="s">
        <v>13361</v>
      </c>
      <c r="P3722" s="12" t="s">
        <v>46</v>
      </c>
      <c r="Q3722" s="12" t="s">
        <v>47</v>
      </c>
      <c r="R3722" s="12" t="s">
        <v>117</v>
      </c>
      <c r="S3722" s="13">
        <v>196575162912</v>
      </c>
      <c r="T3722" s="12" t="s">
        <v>49</v>
      </c>
      <c r="U3722" s="13">
        <v>46</v>
      </c>
      <c r="V3722" s="12" t="s">
        <v>50</v>
      </c>
      <c r="W3722" s="12" t="s">
        <v>299</v>
      </c>
      <c r="X3722" s="14"/>
      <c r="Y3722" s="12" t="s">
        <v>53</v>
      </c>
      <c r="Z3722" s="12" t="s">
        <v>263</v>
      </c>
      <c r="AA3722" s="14"/>
      <c r="AB3722" s="14"/>
      <c r="AC3722" s="15">
        <v>36.4</v>
      </c>
      <c r="AD3722" s="15">
        <f>AC3722*AG3722</f>
        <v>36.4</v>
      </c>
      <c r="AE3722" s="15">
        <v>80</v>
      </c>
      <c r="AF3722" s="15">
        <f>AE3722*AG3722</f>
        <v>80</v>
      </c>
      <c r="AG3722" s="16">
        <v>1</v>
      </c>
    </row>
    <row r="3723" spans="1:33" ht="15" customHeight="1" x14ac:dyDescent="0.2">
      <c r="A3723" s="11" t="str">
        <f>HYPERLINK("https://assets.vans.eu/images/VN0009QJO3N-HERO/1","VN0009QJO3N1")</f>
        <v>VN0009QJO3N1</v>
      </c>
      <c r="B3723" s="12" t="s">
        <v>13362</v>
      </c>
      <c r="C3723" s="12" t="s">
        <v>502</v>
      </c>
      <c r="D3723" s="12" t="s">
        <v>744</v>
      </c>
      <c r="E3723" s="12" t="s">
        <v>13363</v>
      </c>
      <c r="F3723" s="13">
        <v>85</v>
      </c>
      <c r="G3723" s="14"/>
      <c r="H3723" s="12" t="s">
        <v>38</v>
      </c>
      <c r="I3723" s="12" t="s">
        <v>113</v>
      </c>
      <c r="J3723" s="12" t="s">
        <v>529</v>
      </c>
      <c r="K3723" s="12" t="s">
        <v>82</v>
      </c>
      <c r="L3723" s="12" t="s">
        <v>260</v>
      </c>
      <c r="M3723" s="12" t="s">
        <v>43</v>
      </c>
      <c r="N3723" s="12" t="s">
        <v>44</v>
      </c>
      <c r="O3723" s="12" t="s">
        <v>13364</v>
      </c>
      <c r="P3723" s="12" t="s">
        <v>46</v>
      </c>
      <c r="Q3723" s="12" t="s">
        <v>47</v>
      </c>
      <c r="R3723" s="12" t="s">
        <v>117</v>
      </c>
      <c r="S3723" s="13">
        <v>197643135265</v>
      </c>
      <c r="T3723" s="12" t="s">
        <v>49</v>
      </c>
      <c r="U3723" s="13">
        <v>41</v>
      </c>
      <c r="V3723" s="12" t="s">
        <v>50</v>
      </c>
      <c r="W3723" s="12" t="s">
        <v>299</v>
      </c>
      <c r="X3723" s="14"/>
      <c r="Y3723" s="12" t="s">
        <v>53</v>
      </c>
      <c r="Z3723" s="12" t="s">
        <v>165</v>
      </c>
      <c r="AA3723" s="14"/>
      <c r="AB3723" s="12" t="s">
        <v>264</v>
      </c>
      <c r="AC3723" s="15">
        <v>38.65</v>
      </c>
      <c r="AD3723" s="15">
        <f>AC3723*AG3723</f>
        <v>38.65</v>
      </c>
      <c r="AE3723" s="15">
        <v>85</v>
      </c>
      <c r="AF3723" s="15">
        <f>AE3723*AG3723</f>
        <v>85</v>
      </c>
      <c r="AG3723" s="16">
        <v>1</v>
      </c>
    </row>
    <row r="3724" spans="1:33" ht="15" customHeight="1" x14ac:dyDescent="0.2">
      <c r="A3724" s="11" t="str">
        <f t="shared" si="982"/>
        <v>VN0009QMBLA1</v>
      </c>
      <c r="B3724" s="12" t="s">
        <v>13365</v>
      </c>
      <c r="C3724" s="12" t="s">
        <v>9014</v>
      </c>
      <c r="D3724" s="12" t="s">
        <v>919</v>
      </c>
      <c r="E3724" s="12" t="s">
        <v>13366</v>
      </c>
      <c r="F3724" s="13">
        <v>115</v>
      </c>
      <c r="G3724" s="14"/>
      <c r="H3724" s="12" t="s">
        <v>38</v>
      </c>
      <c r="I3724" s="12" t="s">
        <v>159</v>
      </c>
      <c r="J3724" s="12" t="s">
        <v>160</v>
      </c>
      <c r="K3724" s="12" t="s">
        <v>82</v>
      </c>
      <c r="L3724" s="14"/>
      <c r="M3724" s="12" t="s">
        <v>43</v>
      </c>
      <c r="N3724" s="12" t="s">
        <v>101</v>
      </c>
      <c r="O3724" s="12" t="s">
        <v>13367</v>
      </c>
      <c r="P3724" s="12" t="s">
        <v>46</v>
      </c>
      <c r="Q3724" s="12" t="s">
        <v>47</v>
      </c>
      <c r="R3724" s="12" t="s">
        <v>1660</v>
      </c>
      <c r="S3724" s="13">
        <v>196573352018</v>
      </c>
      <c r="T3724" s="12" t="s">
        <v>49</v>
      </c>
      <c r="U3724" s="13">
        <v>45</v>
      </c>
      <c r="V3724" s="12" t="s">
        <v>50</v>
      </c>
      <c r="W3724" s="12" t="s">
        <v>51</v>
      </c>
      <c r="X3724" s="14"/>
      <c r="Y3724" s="12" t="s">
        <v>53</v>
      </c>
      <c r="Z3724" s="12" t="s">
        <v>165</v>
      </c>
      <c r="AA3724" s="14"/>
      <c r="AB3724" s="14"/>
      <c r="AC3724" s="15">
        <v>72.75</v>
      </c>
      <c r="AD3724" s="15">
        <f>AC3724*AG3724</f>
        <v>72.75</v>
      </c>
      <c r="AE3724" s="15">
        <v>160</v>
      </c>
      <c r="AF3724" s="15">
        <f>AE3724*AG3724</f>
        <v>160</v>
      </c>
      <c r="AG3724" s="16">
        <v>1</v>
      </c>
    </row>
    <row r="3725" spans="1:33" ht="15" customHeight="1" x14ac:dyDescent="0.2">
      <c r="A3725" s="11" t="str">
        <f>HYPERLINK("https://assets.vans.eu/images/VN0009QMBLA-HERO/1","VN0009QMBLA1")</f>
        <v>VN0009QMBLA1</v>
      </c>
      <c r="B3725" s="12" t="s">
        <v>13368</v>
      </c>
      <c r="C3725" s="12" t="s">
        <v>9014</v>
      </c>
      <c r="D3725" s="12" t="s">
        <v>919</v>
      </c>
      <c r="E3725" s="12" t="s">
        <v>13369</v>
      </c>
      <c r="F3725" s="13">
        <v>120</v>
      </c>
      <c r="G3725" s="14"/>
      <c r="H3725" s="12" t="s">
        <v>38</v>
      </c>
      <c r="I3725" s="12" t="s">
        <v>159</v>
      </c>
      <c r="J3725" s="12" t="s">
        <v>160</v>
      </c>
      <c r="K3725" s="12" t="s">
        <v>82</v>
      </c>
      <c r="L3725" s="14"/>
      <c r="M3725" s="12" t="s">
        <v>43</v>
      </c>
      <c r="N3725" s="12" t="s">
        <v>101</v>
      </c>
      <c r="O3725" s="12" t="s">
        <v>13370</v>
      </c>
      <c r="P3725" s="12" t="s">
        <v>46</v>
      </c>
      <c r="Q3725" s="12" t="s">
        <v>47</v>
      </c>
      <c r="R3725" s="12" t="s">
        <v>1660</v>
      </c>
      <c r="S3725" s="13">
        <v>196573352049</v>
      </c>
      <c r="T3725" s="12" t="s">
        <v>49</v>
      </c>
      <c r="U3725" s="13">
        <v>46</v>
      </c>
      <c r="V3725" s="12" t="s">
        <v>50</v>
      </c>
      <c r="W3725" s="12" t="s">
        <v>51</v>
      </c>
      <c r="X3725" s="14"/>
      <c r="Y3725" s="12" t="s">
        <v>53</v>
      </c>
      <c r="Z3725" s="12" t="s">
        <v>165</v>
      </c>
      <c r="AA3725" s="14"/>
      <c r="AB3725" s="14"/>
      <c r="AC3725" s="15">
        <v>72.75</v>
      </c>
      <c r="AD3725" s="15">
        <f>AC3725*AG3725</f>
        <v>72.75</v>
      </c>
      <c r="AE3725" s="15">
        <v>160</v>
      </c>
      <c r="AF3725" s="15">
        <f>AE3725*AG3725</f>
        <v>160</v>
      </c>
      <c r="AG3725" s="16">
        <v>1</v>
      </c>
    </row>
    <row r="3726" spans="1:33" ht="15" customHeight="1" x14ac:dyDescent="0.2">
      <c r="A3726" s="11" t="str">
        <f>HYPERLINK("https://assets.vans.eu/images/VN0009QMJM9-HERO/1","VN0009QMJM91")</f>
        <v>VN0009QMJM91</v>
      </c>
      <c r="B3726" s="12" t="s">
        <v>13371</v>
      </c>
      <c r="C3726" s="12" t="s">
        <v>9014</v>
      </c>
      <c r="D3726" s="12" t="s">
        <v>7476</v>
      </c>
      <c r="E3726" s="12" t="s">
        <v>13372</v>
      </c>
      <c r="F3726" s="13">
        <v>40</v>
      </c>
      <c r="G3726" s="12" t="s">
        <v>7460</v>
      </c>
      <c r="H3726" s="12" t="s">
        <v>38</v>
      </c>
      <c r="I3726" s="12" t="s">
        <v>159</v>
      </c>
      <c r="J3726" s="12" t="s">
        <v>160</v>
      </c>
      <c r="K3726" s="12" t="s">
        <v>82</v>
      </c>
      <c r="L3726" s="12" t="s">
        <v>42</v>
      </c>
      <c r="M3726" s="12" t="s">
        <v>43</v>
      </c>
      <c r="N3726" s="12" t="s">
        <v>101</v>
      </c>
      <c r="O3726" s="12" t="s">
        <v>13373</v>
      </c>
      <c r="P3726" s="12" t="s">
        <v>46</v>
      </c>
      <c r="Q3726" s="12" t="s">
        <v>47</v>
      </c>
      <c r="R3726" s="12" t="s">
        <v>1660</v>
      </c>
      <c r="S3726" s="13">
        <v>196573350991</v>
      </c>
      <c r="T3726" s="12" t="s">
        <v>49</v>
      </c>
      <c r="U3726" s="13">
        <v>35</v>
      </c>
      <c r="V3726" s="12" t="s">
        <v>50</v>
      </c>
      <c r="W3726" s="12" t="s">
        <v>118</v>
      </c>
      <c r="X3726" s="14"/>
      <c r="Y3726" s="12" t="s">
        <v>91</v>
      </c>
      <c r="Z3726" s="12" t="s">
        <v>92</v>
      </c>
      <c r="AA3726" s="12" t="s">
        <v>3224</v>
      </c>
      <c r="AB3726" s="12" t="s">
        <v>55</v>
      </c>
      <c r="AC3726" s="15">
        <v>72.75</v>
      </c>
      <c r="AD3726" s="15">
        <f>AC3726*AG3726</f>
        <v>72.75</v>
      </c>
      <c r="AE3726" s="15">
        <v>160</v>
      </c>
      <c r="AF3726" s="15">
        <f>AE3726*AG3726</f>
        <v>160</v>
      </c>
      <c r="AG3726" s="16">
        <v>1</v>
      </c>
    </row>
    <row r="3727" spans="1:33" ht="15" customHeight="1" x14ac:dyDescent="0.2">
      <c r="A3727" s="11" t="str">
        <f>HYPERLINK("https://assets.vans.eu/images/VN0009QP4MG-HERO/1","VN0009QP4MG1")</f>
        <v>VN0009QP4MG1</v>
      </c>
      <c r="B3727" s="12" t="s">
        <v>13374</v>
      </c>
      <c r="C3727" s="12" t="s">
        <v>5073</v>
      </c>
      <c r="D3727" s="12" t="s">
        <v>7051</v>
      </c>
      <c r="E3727" s="12" t="s">
        <v>13375</v>
      </c>
      <c r="F3727" s="13">
        <v>40</v>
      </c>
      <c r="G3727" s="12" t="s">
        <v>13376</v>
      </c>
      <c r="H3727" s="12" t="s">
        <v>38</v>
      </c>
      <c r="I3727" s="12" t="s">
        <v>113</v>
      </c>
      <c r="J3727" s="12" t="s">
        <v>114</v>
      </c>
      <c r="K3727" s="12" t="s">
        <v>82</v>
      </c>
      <c r="L3727" s="14"/>
      <c r="M3727" s="12" t="s">
        <v>43</v>
      </c>
      <c r="N3727" s="12" t="s">
        <v>274</v>
      </c>
      <c r="O3727" s="12" t="s">
        <v>13377</v>
      </c>
      <c r="P3727" s="12" t="s">
        <v>46</v>
      </c>
      <c r="Q3727" s="12" t="s">
        <v>47</v>
      </c>
      <c r="R3727" s="12" t="s">
        <v>948</v>
      </c>
      <c r="S3727" s="13">
        <v>197063258810</v>
      </c>
      <c r="T3727" s="12" t="s">
        <v>49</v>
      </c>
      <c r="U3727" s="13">
        <v>35</v>
      </c>
      <c r="V3727" s="12" t="s">
        <v>50</v>
      </c>
      <c r="W3727" s="12" t="s">
        <v>51</v>
      </c>
      <c r="X3727" s="14"/>
      <c r="Y3727" s="12" t="s">
        <v>91</v>
      </c>
      <c r="Z3727" s="12" t="s">
        <v>165</v>
      </c>
      <c r="AA3727" s="14"/>
      <c r="AB3727" s="14"/>
      <c r="AC3727" s="15">
        <v>45.5</v>
      </c>
      <c r="AD3727" s="15">
        <f>AC3727*AG3727</f>
        <v>45.5</v>
      </c>
      <c r="AE3727" s="15">
        <v>100</v>
      </c>
      <c r="AF3727" s="15">
        <f>AE3727*AG3727</f>
        <v>100</v>
      </c>
      <c r="AG3727" s="16">
        <v>1</v>
      </c>
    </row>
    <row r="3728" spans="1:33" ht="15" customHeight="1" x14ac:dyDescent="0.2">
      <c r="A3728" s="11" t="str">
        <f>HYPERLINK("https://assets.vans.eu/images/VN0009QPBLK-HERO/1","VN0009QPBLK1")</f>
        <v>VN0009QPBLK1</v>
      </c>
      <c r="B3728" s="12" t="s">
        <v>13378</v>
      </c>
      <c r="C3728" s="12" t="s">
        <v>5073</v>
      </c>
      <c r="D3728" s="12" t="s">
        <v>76</v>
      </c>
      <c r="E3728" s="12" t="s">
        <v>13379</v>
      </c>
      <c r="F3728" s="13">
        <v>100</v>
      </c>
      <c r="G3728" s="12" t="s">
        <v>13380</v>
      </c>
      <c r="H3728" s="12" t="s">
        <v>38</v>
      </c>
      <c r="I3728" s="12" t="s">
        <v>113</v>
      </c>
      <c r="J3728" s="12" t="s">
        <v>114</v>
      </c>
      <c r="K3728" s="12" t="s">
        <v>82</v>
      </c>
      <c r="L3728" s="14"/>
      <c r="M3728" s="12" t="s">
        <v>43</v>
      </c>
      <c r="N3728" s="12" t="s">
        <v>161</v>
      </c>
      <c r="O3728" s="12" t="s">
        <v>13381</v>
      </c>
      <c r="P3728" s="12" t="s">
        <v>46</v>
      </c>
      <c r="Q3728" s="12" t="s">
        <v>47</v>
      </c>
      <c r="R3728" s="12" t="s">
        <v>948</v>
      </c>
      <c r="S3728" s="13">
        <v>197065625917</v>
      </c>
      <c r="T3728" s="12" t="s">
        <v>49</v>
      </c>
      <c r="U3728" s="13">
        <v>43</v>
      </c>
      <c r="V3728" s="12" t="s">
        <v>50</v>
      </c>
      <c r="W3728" s="12" t="s">
        <v>51</v>
      </c>
      <c r="X3728" s="14"/>
      <c r="Y3728" s="12" t="s">
        <v>91</v>
      </c>
      <c r="Z3728" s="12" t="s">
        <v>165</v>
      </c>
      <c r="AA3728" s="14"/>
      <c r="AB3728" s="14"/>
      <c r="AC3728" s="15">
        <v>43.2</v>
      </c>
      <c r="AD3728" s="15">
        <f>AC3728*AG3728</f>
        <v>43.2</v>
      </c>
      <c r="AE3728" s="15">
        <v>95</v>
      </c>
      <c r="AF3728" s="15">
        <f>AE3728*AG3728</f>
        <v>95</v>
      </c>
      <c r="AG3728" s="16">
        <v>1</v>
      </c>
    </row>
    <row r="3729" spans="1:33" ht="15" customHeight="1" x14ac:dyDescent="0.2">
      <c r="A3729" s="11" t="str">
        <f>HYPERLINK("https://assets.vans.eu/images/VN0009QRCJJ-HERO/1","VN0009QRCJJ1")</f>
        <v>VN0009QRCJJ1</v>
      </c>
      <c r="B3729" s="12" t="s">
        <v>13382</v>
      </c>
      <c r="C3729" s="12" t="s">
        <v>3221</v>
      </c>
      <c r="D3729" s="12" t="s">
        <v>919</v>
      </c>
      <c r="E3729" s="12" t="s">
        <v>13383</v>
      </c>
      <c r="F3729" s="13">
        <v>90</v>
      </c>
      <c r="G3729" s="12" t="s">
        <v>1460</v>
      </c>
      <c r="H3729" s="12" t="s">
        <v>38</v>
      </c>
      <c r="I3729" s="12" t="s">
        <v>159</v>
      </c>
      <c r="J3729" s="12" t="s">
        <v>160</v>
      </c>
      <c r="K3729" s="12" t="s">
        <v>82</v>
      </c>
      <c r="L3729" s="14"/>
      <c r="M3729" s="12" t="s">
        <v>43</v>
      </c>
      <c r="N3729" s="12" t="s">
        <v>161</v>
      </c>
      <c r="O3729" s="12" t="s">
        <v>13384</v>
      </c>
      <c r="P3729" s="12" t="s">
        <v>46</v>
      </c>
      <c r="Q3729" s="12" t="s">
        <v>47</v>
      </c>
      <c r="R3729" s="12" t="s">
        <v>163</v>
      </c>
      <c r="S3729" s="13">
        <v>197065624989</v>
      </c>
      <c r="T3729" s="12" t="s">
        <v>164</v>
      </c>
      <c r="U3729" s="13">
        <v>42</v>
      </c>
      <c r="V3729" s="12" t="s">
        <v>50</v>
      </c>
      <c r="W3729" s="12" t="s">
        <v>51</v>
      </c>
      <c r="X3729" s="14"/>
      <c r="Y3729" s="12" t="s">
        <v>91</v>
      </c>
      <c r="Z3729" s="12" t="s">
        <v>165</v>
      </c>
      <c r="AA3729" s="14"/>
      <c r="AB3729" s="14"/>
      <c r="AC3729" s="15">
        <v>36.4</v>
      </c>
      <c r="AD3729" s="15">
        <f>AC3729*AG3729</f>
        <v>36.4</v>
      </c>
      <c r="AE3729" s="15">
        <v>80</v>
      </c>
      <c r="AF3729" s="15">
        <f>AE3729*AG3729</f>
        <v>80</v>
      </c>
      <c r="AG3729" s="16">
        <v>1</v>
      </c>
    </row>
    <row r="3730" spans="1:33" ht="15" customHeight="1" x14ac:dyDescent="0.2">
      <c r="A3730" s="11" t="str">
        <f t="shared" ref="A3730:A3731" si="1256">HYPERLINK("https://assets.vans.eu/images/VN0009RCBZW-HERO/1","VN0009RCBZW1")</f>
        <v>VN0009RCBZW1</v>
      </c>
      <c r="B3730" s="12" t="s">
        <v>13385</v>
      </c>
      <c r="C3730" s="12" t="s">
        <v>238</v>
      </c>
      <c r="D3730" s="12" t="s">
        <v>58</v>
      </c>
      <c r="E3730" s="12" t="s">
        <v>13386</v>
      </c>
      <c r="F3730" s="13">
        <v>70</v>
      </c>
      <c r="G3730" s="12" t="s">
        <v>13387</v>
      </c>
      <c r="H3730" s="12" t="s">
        <v>38</v>
      </c>
      <c r="I3730" s="12" t="s">
        <v>242</v>
      </c>
      <c r="J3730" s="12" t="s">
        <v>243</v>
      </c>
      <c r="K3730" s="12" t="s">
        <v>244</v>
      </c>
      <c r="L3730" s="14"/>
      <c r="M3730" s="12" t="s">
        <v>43</v>
      </c>
      <c r="N3730" s="12" t="s">
        <v>44</v>
      </c>
      <c r="O3730" s="12" t="s">
        <v>13388</v>
      </c>
      <c r="P3730" s="12" t="s">
        <v>46</v>
      </c>
      <c r="Q3730" s="12" t="s">
        <v>47</v>
      </c>
      <c r="R3730" s="12" t="s">
        <v>48</v>
      </c>
      <c r="S3730" s="13">
        <v>197643233107</v>
      </c>
      <c r="T3730" s="12" t="s">
        <v>49</v>
      </c>
      <c r="U3730" s="13">
        <v>23.5</v>
      </c>
      <c r="V3730" s="12" t="s">
        <v>50</v>
      </c>
      <c r="W3730" s="12" t="s">
        <v>51</v>
      </c>
      <c r="X3730" s="14"/>
      <c r="Y3730" s="12" t="s">
        <v>91</v>
      </c>
      <c r="Z3730" s="12" t="s">
        <v>165</v>
      </c>
      <c r="AA3730" s="14"/>
      <c r="AB3730" s="14"/>
      <c r="AC3730" s="15">
        <v>22.75</v>
      </c>
      <c r="AD3730" s="15">
        <f>AC3730*AG3730</f>
        <v>22.75</v>
      </c>
      <c r="AE3730" s="15">
        <v>50</v>
      </c>
      <c r="AF3730" s="15">
        <f>AE3730*AG3730</f>
        <v>50</v>
      </c>
      <c r="AG3730" s="16">
        <v>1</v>
      </c>
    </row>
    <row r="3731" spans="1:33" ht="15" customHeight="1" x14ac:dyDescent="0.2">
      <c r="A3731" s="11" t="str">
        <f t="shared" si="1256"/>
        <v>VN0009RCBZW1</v>
      </c>
      <c r="B3731" s="12" t="s">
        <v>13389</v>
      </c>
      <c r="C3731" s="12" t="s">
        <v>238</v>
      </c>
      <c r="D3731" s="12" t="s">
        <v>58</v>
      </c>
      <c r="E3731" s="12" t="s">
        <v>13390</v>
      </c>
      <c r="F3731" s="13">
        <v>75</v>
      </c>
      <c r="G3731" s="12" t="s">
        <v>13387</v>
      </c>
      <c r="H3731" s="12" t="s">
        <v>38</v>
      </c>
      <c r="I3731" s="12" t="s">
        <v>242</v>
      </c>
      <c r="J3731" s="12" t="s">
        <v>243</v>
      </c>
      <c r="K3731" s="12" t="s">
        <v>244</v>
      </c>
      <c r="L3731" s="14"/>
      <c r="M3731" s="12" t="s">
        <v>43</v>
      </c>
      <c r="N3731" s="12" t="s">
        <v>44</v>
      </c>
      <c r="O3731" s="12" t="s">
        <v>13391</v>
      </c>
      <c r="P3731" s="12" t="s">
        <v>46</v>
      </c>
      <c r="Q3731" s="12" t="s">
        <v>47</v>
      </c>
      <c r="R3731" s="12" t="s">
        <v>48</v>
      </c>
      <c r="S3731" s="13">
        <v>197643233329</v>
      </c>
      <c r="T3731" s="12" t="s">
        <v>49</v>
      </c>
      <c r="U3731" s="13">
        <v>24</v>
      </c>
      <c r="V3731" s="12" t="s">
        <v>50</v>
      </c>
      <c r="W3731" s="12" t="s">
        <v>51</v>
      </c>
      <c r="X3731" s="14"/>
      <c r="Y3731" s="12" t="s">
        <v>91</v>
      </c>
      <c r="Z3731" s="12" t="s">
        <v>165</v>
      </c>
      <c r="AA3731" s="14"/>
      <c r="AB3731" s="14"/>
      <c r="AC3731" s="15">
        <v>22.75</v>
      </c>
      <c r="AD3731" s="15">
        <f>AC3731*AG3731</f>
        <v>22.75</v>
      </c>
      <c r="AE3731" s="15">
        <v>50</v>
      </c>
      <c r="AF3731" s="15">
        <f>AE3731*AG3731</f>
        <v>50</v>
      </c>
      <c r="AG3731" s="16">
        <v>1</v>
      </c>
    </row>
    <row r="3732" spans="1:33" ht="15" customHeight="1" x14ac:dyDescent="0.2">
      <c r="A3732" s="11" t="str">
        <f t="shared" ref="A3732:A3733" si="1257">HYPERLINK("https://assets.vans.eu/images/VN0009W3BTX-HERO/1","VN0009W3BTX1")</f>
        <v>VN0009W3BTX1</v>
      </c>
      <c r="B3732" s="12" t="s">
        <v>13392</v>
      </c>
      <c r="C3732" s="12" t="s">
        <v>13393</v>
      </c>
      <c r="D3732" s="12" t="s">
        <v>13394</v>
      </c>
      <c r="E3732" s="12" t="s">
        <v>13395</v>
      </c>
      <c r="F3732" s="13">
        <v>50</v>
      </c>
      <c r="G3732" s="14"/>
      <c r="H3732" s="12" t="s">
        <v>38</v>
      </c>
      <c r="I3732" s="12" t="s">
        <v>13396</v>
      </c>
      <c r="J3732" s="12" t="s">
        <v>13397</v>
      </c>
      <c r="K3732" s="12" t="s">
        <v>82</v>
      </c>
      <c r="L3732" s="12" t="s">
        <v>872</v>
      </c>
      <c r="M3732" s="12" t="s">
        <v>43</v>
      </c>
      <c r="N3732" s="12" t="s">
        <v>467</v>
      </c>
      <c r="O3732" s="12" t="s">
        <v>13398</v>
      </c>
      <c r="P3732" s="12" t="s">
        <v>46</v>
      </c>
      <c r="Q3732" s="12" t="s">
        <v>47</v>
      </c>
      <c r="R3732" s="12" t="s">
        <v>10391</v>
      </c>
      <c r="S3732" s="13">
        <v>196571653858</v>
      </c>
      <c r="T3732" s="12" t="s">
        <v>143</v>
      </c>
      <c r="U3732" s="13">
        <v>36.5</v>
      </c>
      <c r="V3732" s="12" t="s">
        <v>50</v>
      </c>
      <c r="W3732" s="12" t="s">
        <v>598</v>
      </c>
      <c r="X3732" s="14"/>
      <c r="Y3732" s="14"/>
      <c r="Z3732" s="14"/>
      <c r="AA3732" s="14"/>
      <c r="AB3732" s="13">
        <v>0</v>
      </c>
      <c r="AC3732" s="15">
        <v>0</v>
      </c>
      <c r="AD3732" s="15">
        <f>AC3732*AG3732</f>
        <v>0</v>
      </c>
      <c r="AE3732" s="15">
        <v>0</v>
      </c>
      <c r="AF3732" s="15">
        <f>AE3732*AG3732</f>
        <v>0</v>
      </c>
      <c r="AG3732" s="16">
        <v>1</v>
      </c>
    </row>
    <row r="3733" spans="1:33" ht="15" customHeight="1" x14ac:dyDescent="0.2">
      <c r="A3733" s="11" t="str">
        <f t="shared" si="1257"/>
        <v>VN0009W3BTX1</v>
      </c>
      <c r="B3733" s="12" t="s">
        <v>13399</v>
      </c>
      <c r="C3733" s="12" t="s">
        <v>13393</v>
      </c>
      <c r="D3733" s="12" t="s">
        <v>13394</v>
      </c>
      <c r="E3733" s="12" t="s">
        <v>13400</v>
      </c>
      <c r="F3733" s="13">
        <v>55</v>
      </c>
      <c r="G3733" s="14"/>
      <c r="H3733" s="12" t="s">
        <v>38</v>
      </c>
      <c r="I3733" s="12" t="s">
        <v>13396</v>
      </c>
      <c r="J3733" s="12" t="s">
        <v>13397</v>
      </c>
      <c r="K3733" s="12" t="s">
        <v>82</v>
      </c>
      <c r="L3733" s="12" t="s">
        <v>872</v>
      </c>
      <c r="M3733" s="12" t="s">
        <v>43</v>
      </c>
      <c r="N3733" s="12" t="s">
        <v>467</v>
      </c>
      <c r="O3733" s="12" t="s">
        <v>13401</v>
      </c>
      <c r="P3733" s="12" t="s">
        <v>46</v>
      </c>
      <c r="Q3733" s="12" t="s">
        <v>47</v>
      </c>
      <c r="R3733" s="12" t="s">
        <v>10391</v>
      </c>
      <c r="S3733" s="13">
        <v>196571653964</v>
      </c>
      <c r="T3733" s="12" t="s">
        <v>143</v>
      </c>
      <c r="U3733" s="13">
        <v>37</v>
      </c>
      <c r="V3733" s="12" t="s">
        <v>50</v>
      </c>
      <c r="W3733" s="12" t="s">
        <v>598</v>
      </c>
      <c r="X3733" s="14"/>
      <c r="Y3733" s="14"/>
      <c r="Z3733" s="14"/>
      <c r="AA3733" s="14"/>
      <c r="AB3733" s="13">
        <v>0</v>
      </c>
      <c r="AC3733" s="15">
        <v>0</v>
      </c>
      <c r="AD3733" s="15">
        <f>AC3733*AG3733</f>
        <v>0</v>
      </c>
      <c r="AE3733" s="15">
        <v>0</v>
      </c>
      <c r="AF3733" s="15">
        <f>AE3733*AG3733</f>
        <v>0</v>
      </c>
      <c r="AG3733" s="16">
        <v>1</v>
      </c>
    </row>
    <row r="3734" spans="1:33" ht="15" customHeight="1" x14ac:dyDescent="0.2">
      <c r="A3734" s="11" t="str">
        <f>HYPERLINK("https://assets.vans.eu/images/VN0009W3DD8-HERO/1","VN0009W3DD81")</f>
        <v>VN0009W3DD81</v>
      </c>
      <c r="B3734" s="12" t="s">
        <v>13402</v>
      </c>
      <c r="C3734" s="12" t="s">
        <v>13393</v>
      </c>
      <c r="D3734" s="12" t="s">
        <v>13403</v>
      </c>
      <c r="E3734" s="12" t="s">
        <v>13404</v>
      </c>
      <c r="F3734" s="13">
        <v>115</v>
      </c>
      <c r="G3734" s="14"/>
      <c r="H3734" s="12" t="s">
        <v>38</v>
      </c>
      <c r="I3734" s="12" t="s">
        <v>13396</v>
      </c>
      <c r="J3734" s="12" t="s">
        <v>13397</v>
      </c>
      <c r="K3734" s="12" t="s">
        <v>82</v>
      </c>
      <c r="L3734" s="14"/>
      <c r="M3734" s="12" t="s">
        <v>43</v>
      </c>
      <c r="N3734" s="12" t="s">
        <v>274</v>
      </c>
      <c r="O3734" s="12" t="s">
        <v>13405</v>
      </c>
      <c r="P3734" s="12" t="s">
        <v>46</v>
      </c>
      <c r="Q3734" s="12" t="s">
        <v>47</v>
      </c>
      <c r="R3734" s="12" t="s">
        <v>10391</v>
      </c>
      <c r="S3734" s="13">
        <v>197065237660</v>
      </c>
      <c r="T3734" s="12" t="s">
        <v>49</v>
      </c>
      <c r="U3734" s="13">
        <v>45</v>
      </c>
      <c r="V3734" s="12" t="s">
        <v>209</v>
      </c>
      <c r="W3734" s="12" t="s">
        <v>598</v>
      </c>
      <c r="X3734" s="14"/>
      <c r="Y3734" s="14"/>
      <c r="Z3734" s="14"/>
      <c r="AA3734" s="14"/>
      <c r="AB3734" s="13">
        <v>0</v>
      </c>
      <c r="AC3734" s="15">
        <v>0</v>
      </c>
      <c r="AD3734" s="15">
        <f>AC3734*AG3734</f>
        <v>0</v>
      </c>
      <c r="AE3734" s="15">
        <v>0</v>
      </c>
      <c r="AF3734" s="15">
        <f>AE3734*AG3734</f>
        <v>0</v>
      </c>
      <c r="AG3734" s="16">
        <v>1</v>
      </c>
    </row>
    <row r="3735" spans="1:33" ht="15" customHeight="1" x14ac:dyDescent="0.2">
      <c r="A3735" s="11" t="str">
        <f>HYPERLINK("https://assets.vans.eu/images/VN000BCE0HS-HERO/1","VN000BCE0HS1")</f>
        <v>VN000BCE0HS1</v>
      </c>
      <c r="B3735" s="12" t="s">
        <v>13406</v>
      </c>
      <c r="C3735" s="12" t="s">
        <v>1103</v>
      </c>
      <c r="D3735" s="12" t="s">
        <v>13407</v>
      </c>
      <c r="E3735" s="12" t="s">
        <v>13408</v>
      </c>
      <c r="F3735" s="13">
        <v>50</v>
      </c>
      <c r="G3735" s="14"/>
      <c r="H3735" s="12" t="s">
        <v>38</v>
      </c>
      <c r="I3735" s="12" t="s">
        <v>113</v>
      </c>
      <c r="J3735" s="12" t="s">
        <v>529</v>
      </c>
      <c r="K3735" s="12" t="s">
        <v>82</v>
      </c>
      <c r="L3735" s="14"/>
      <c r="M3735" s="12" t="s">
        <v>43</v>
      </c>
      <c r="N3735" s="12" t="s">
        <v>101</v>
      </c>
      <c r="O3735" s="12" t="s">
        <v>13409</v>
      </c>
      <c r="P3735" s="12" t="s">
        <v>46</v>
      </c>
      <c r="Q3735" s="12" t="s">
        <v>47</v>
      </c>
      <c r="R3735" s="12" t="s">
        <v>117</v>
      </c>
      <c r="S3735" s="13">
        <v>196573431256</v>
      </c>
      <c r="T3735" s="12" t="s">
        <v>49</v>
      </c>
      <c r="U3735" s="13">
        <v>36.5</v>
      </c>
      <c r="V3735" s="12" t="s">
        <v>50</v>
      </c>
      <c r="W3735" s="12" t="s">
        <v>118</v>
      </c>
      <c r="X3735" s="14"/>
      <c r="Y3735" s="12" t="s">
        <v>91</v>
      </c>
      <c r="Z3735" s="12" t="s">
        <v>165</v>
      </c>
      <c r="AA3735" s="14"/>
      <c r="AB3735" s="14"/>
      <c r="AC3735" s="15">
        <v>59.1</v>
      </c>
      <c r="AD3735" s="15">
        <f>AC3735*AG3735</f>
        <v>59.1</v>
      </c>
      <c r="AE3735" s="15">
        <v>130</v>
      </c>
      <c r="AF3735" s="15">
        <f>AE3735*AG3735</f>
        <v>130</v>
      </c>
      <c r="AG3735" s="16">
        <v>1</v>
      </c>
    </row>
    <row r="3736" spans="1:33" ht="15" customHeight="1" x14ac:dyDescent="0.2">
      <c r="A3736" s="11" t="str">
        <f>HYPERLINK("https://assets.vans.eu/images/VN000BCEBF0-HERO/1","VN000BCEBF01")</f>
        <v>VN000BCEBF01</v>
      </c>
      <c r="B3736" s="12" t="s">
        <v>13410</v>
      </c>
      <c r="C3736" s="12" t="s">
        <v>1103</v>
      </c>
      <c r="D3736" s="12" t="s">
        <v>5907</v>
      </c>
      <c r="E3736" s="12" t="s">
        <v>13411</v>
      </c>
      <c r="F3736" s="13">
        <v>110</v>
      </c>
      <c r="G3736" s="14"/>
      <c r="H3736" s="12" t="s">
        <v>38</v>
      </c>
      <c r="I3736" s="12" t="s">
        <v>159</v>
      </c>
      <c r="J3736" s="12" t="s">
        <v>255</v>
      </c>
      <c r="K3736" s="12" t="s">
        <v>82</v>
      </c>
      <c r="L3736" s="14"/>
      <c r="M3736" s="12" t="s">
        <v>43</v>
      </c>
      <c r="N3736" s="12" t="s">
        <v>274</v>
      </c>
      <c r="O3736" s="12" t="s">
        <v>13412</v>
      </c>
      <c r="P3736" s="12" t="s">
        <v>46</v>
      </c>
      <c r="Q3736" s="12" t="s">
        <v>47</v>
      </c>
      <c r="R3736" s="12" t="s">
        <v>163</v>
      </c>
      <c r="S3736" s="13">
        <v>197063419471</v>
      </c>
      <c r="T3736" s="12" t="s">
        <v>49</v>
      </c>
      <c r="U3736" s="13">
        <v>44.5</v>
      </c>
      <c r="V3736" s="12" t="s">
        <v>50</v>
      </c>
      <c r="W3736" s="12" t="s">
        <v>186</v>
      </c>
      <c r="X3736" s="14"/>
      <c r="Y3736" s="12" t="s">
        <v>91</v>
      </c>
      <c r="Z3736" s="12" t="s">
        <v>165</v>
      </c>
      <c r="AA3736" s="14"/>
      <c r="AB3736" s="14"/>
      <c r="AC3736" s="15">
        <v>59.1</v>
      </c>
      <c r="AD3736" s="15">
        <f>AC3736*AG3736</f>
        <v>59.1</v>
      </c>
      <c r="AE3736" s="15">
        <v>130</v>
      </c>
      <c r="AF3736" s="15">
        <f>AE3736*AG3736</f>
        <v>130</v>
      </c>
      <c r="AG3736" s="16">
        <v>1</v>
      </c>
    </row>
    <row r="3737" spans="1:33" ht="15" customHeight="1" x14ac:dyDescent="0.2">
      <c r="A3737" s="11" t="str">
        <f>HYPERLINK("https://assets.vans.eu/images/VN000BCEBIG-HERO/1","VN000BCEBIG1")</f>
        <v>VN000BCEBIG1</v>
      </c>
      <c r="B3737" s="12" t="s">
        <v>13413</v>
      </c>
      <c r="C3737" s="12" t="s">
        <v>1103</v>
      </c>
      <c r="D3737" s="12" t="s">
        <v>13414</v>
      </c>
      <c r="E3737" s="12" t="s">
        <v>13415</v>
      </c>
      <c r="F3737" s="13">
        <v>35</v>
      </c>
      <c r="G3737" s="14"/>
      <c r="H3737" s="12" t="s">
        <v>38</v>
      </c>
      <c r="I3737" s="12" t="s">
        <v>113</v>
      </c>
      <c r="J3737" s="12" t="s">
        <v>529</v>
      </c>
      <c r="K3737" s="12" t="s">
        <v>82</v>
      </c>
      <c r="L3737" s="14"/>
      <c r="M3737" s="12" t="s">
        <v>43</v>
      </c>
      <c r="N3737" s="12" t="s">
        <v>274</v>
      </c>
      <c r="O3737" s="12" t="s">
        <v>13416</v>
      </c>
      <c r="P3737" s="12" t="s">
        <v>46</v>
      </c>
      <c r="Q3737" s="12" t="s">
        <v>47</v>
      </c>
      <c r="R3737" s="12" t="s">
        <v>117</v>
      </c>
      <c r="S3737" s="13">
        <v>197063418122</v>
      </c>
      <c r="T3737" s="12" t="s">
        <v>49</v>
      </c>
      <c r="U3737" s="13">
        <v>34.5</v>
      </c>
      <c r="V3737" s="12" t="s">
        <v>50</v>
      </c>
      <c r="W3737" s="12" t="s">
        <v>625</v>
      </c>
      <c r="X3737" s="14"/>
      <c r="Y3737" s="12" t="s">
        <v>91</v>
      </c>
      <c r="Z3737" s="12" t="s">
        <v>165</v>
      </c>
      <c r="AA3737" s="14"/>
      <c r="AB3737" s="14"/>
      <c r="AC3737" s="15">
        <v>59.1</v>
      </c>
      <c r="AD3737" s="15">
        <f>AC3737*AG3737</f>
        <v>59.1</v>
      </c>
      <c r="AE3737" s="15">
        <v>130</v>
      </c>
      <c r="AF3737" s="15">
        <f>AE3737*AG3737</f>
        <v>130</v>
      </c>
      <c r="AG3737" s="16">
        <v>1</v>
      </c>
    </row>
    <row r="3738" spans="1:33" ht="15" customHeight="1" x14ac:dyDescent="0.2">
      <c r="A3738" s="11" t="str">
        <f t="shared" ref="A3738:A3739" si="1258">HYPERLINK("https://assets.vans.eu/images/VN000BCEBIY-HERO/1","VN000BCEBIY1")</f>
        <v>VN000BCEBIY1</v>
      </c>
      <c r="B3738" s="12" t="s">
        <v>13417</v>
      </c>
      <c r="C3738" s="12" t="s">
        <v>1103</v>
      </c>
      <c r="D3738" s="12" t="s">
        <v>2010</v>
      </c>
      <c r="E3738" s="12" t="s">
        <v>13418</v>
      </c>
      <c r="F3738" s="13">
        <v>55</v>
      </c>
      <c r="G3738" s="14"/>
      <c r="H3738" s="12" t="s">
        <v>38</v>
      </c>
      <c r="I3738" s="12" t="s">
        <v>113</v>
      </c>
      <c r="J3738" s="12" t="s">
        <v>529</v>
      </c>
      <c r="K3738" s="12" t="s">
        <v>82</v>
      </c>
      <c r="L3738" s="14"/>
      <c r="M3738" s="12" t="s">
        <v>43</v>
      </c>
      <c r="N3738" s="12" t="s">
        <v>274</v>
      </c>
      <c r="O3738" s="12" t="s">
        <v>13419</v>
      </c>
      <c r="P3738" s="12" t="s">
        <v>46</v>
      </c>
      <c r="Q3738" s="12" t="s">
        <v>47</v>
      </c>
      <c r="R3738" s="12" t="s">
        <v>117</v>
      </c>
      <c r="S3738" s="13">
        <v>197063418658</v>
      </c>
      <c r="T3738" s="12" t="s">
        <v>49</v>
      </c>
      <c r="U3738" s="13">
        <v>37</v>
      </c>
      <c r="V3738" s="12" t="s">
        <v>50</v>
      </c>
      <c r="W3738" s="12" t="s">
        <v>299</v>
      </c>
      <c r="X3738" s="14"/>
      <c r="Y3738" s="12" t="s">
        <v>91</v>
      </c>
      <c r="Z3738" s="12" t="s">
        <v>165</v>
      </c>
      <c r="AA3738" s="14"/>
      <c r="AB3738" s="14"/>
      <c r="AC3738" s="15">
        <v>59.1</v>
      </c>
      <c r="AD3738" s="15">
        <f>AC3738*AG3738</f>
        <v>59.1</v>
      </c>
      <c r="AE3738" s="15">
        <v>130</v>
      </c>
      <c r="AF3738" s="15">
        <f>AE3738*AG3738</f>
        <v>130</v>
      </c>
      <c r="AG3738" s="16">
        <v>1</v>
      </c>
    </row>
    <row r="3739" spans="1:33" ht="15" customHeight="1" x14ac:dyDescent="0.2">
      <c r="A3739" s="11" t="str">
        <f t="shared" si="1258"/>
        <v>VN000BCEBIY1</v>
      </c>
      <c r="B3739" s="12" t="s">
        <v>13420</v>
      </c>
      <c r="C3739" s="12" t="s">
        <v>1103</v>
      </c>
      <c r="D3739" s="12" t="s">
        <v>2010</v>
      </c>
      <c r="E3739" s="12" t="s">
        <v>13421</v>
      </c>
      <c r="F3739" s="13">
        <v>85</v>
      </c>
      <c r="G3739" s="14"/>
      <c r="H3739" s="12" t="s">
        <v>38</v>
      </c>
      <c r="I3739" s="12" t="s">
        <v>113</v>
      </c>
      <c r="J3739" s="12" t="s">
        <v>529</v>
      </c>
      <c r="K3739" s="12" t="s">
        <v>82</v>
      </c>
      <c r="L3739" s="14"/>
      <c r="M3739" s="12" t="s">
        <v>43</v>
      </c>
      <c r="N3739" s="12" t="s">
        <v>274</v>
      </c>
      <c r="O3739" s="12" t="s">
        <v>13422</v>
      </c>
      <c r="P3739" s="12" t="s">
        <v>46</v>
      </c>
      <c r="Q3739" s="12" t="s">
        <v>47</v>
      </c>
      <c r="R3739" s="12" t="s">
        <v>117</v>
      </c>
      <c r="S3739" s="13">
        <v>197063419297</v>
      </c>
      <c r="T3739" s="12" t="s">
        <v>49</v>
      </c>
      <c r="U3739" s="13">
        <v>41</v>
      </c>
      <c r="V3739" s="12" t="s">
        <v>50</v>
      </c>
      <c r="W3739" s="12" t="s">
        <v>299</v>
      </c>
      <c r="X3739" s="14"/>
      <c r="Y3739" s="12" t="s">
        <v>91</v>
      </c>
      <c r="Z3739" s="12" t="s">
        <v>165</v>
      </c>
      <c r="AA3739" s="14"/>
      <c r="AB3739" s="14"/>
      <c r="AC3739" s="15">
        <v>59.1</v>
      </c>
      <c r="AD3739" s="15">
        <f>AC3739*AG3739</f>
        <v>59.1</v>
      </c>
      <c r="AE3739" s="15">
        <v>130</v>
      </c>
      <c r="AF3739" s="15">
        <f>AE3739*AG3739</f>
        <v>130</v>
      </c>
      <c r="AG3739" s="16">
        <v>1</v>
      </c>
    </row>
    <row r="3740" spans="1:33" ht="15" customHeight="1" x14ac:dyDescent="0.2">
      <c r="A3740" s="11" t="str">
        <f>HYPERLINK("https://assets.vans.eu/images/VN000BCEBJW-HERO/1","VN000BCEBJW1")</f>
        <v>VN000BCEBJW1</v>
      </c>
      <c r="B3740" s="12" t="s">
        <v>13423</v>
      </c>
      <c r="C3740" s="12" t="s">
        <v>1103</v>
      </c>
      <c r="D3740" s="12" t="s">
        <v>13424</v>
      </c>
      <c r="E3740" s="12" t="s">
        <v>13425</v>
      </c>
      <c r="F3740" s="13">
        <v>120</v>
      </c>
      <c r="G3740" s="14"/>
      <c r="H3740" s="12" t="s">
        <v>38</v>
      </c>
      <c r="I3740" s="12" t="s">
        <v>159</v>
      </c>
      <c r="J3740" s="12" t="s">
        <v>255</v>
      </c>
      <c r="K3740" s="12" t="s">
        <v>82</v>
      </c>
      <c r="L3740" s="14"/>
      <c r="M3740" s="12" t="s">
        <v>43</v>
      </c>
      <c r="N3740" s="12" t="s">
        <v>101</v>
      </c>
      <c r="O3740" s="12" t="s">
        <v>13426</v>
      </c>
      <c r="P3740" s="12" t="s">
        <v>46</v>
      </c>
      <c r="Q3740" s="12" t="s">
        <v>47</v>
      </c>
      <c r="R3740" s="12" t="s">
        <v>163</v>
      </c>
      <c r="S3740" s="13">
        <v>196573433267</v>
      </c>
      <c r="T3740" s="12" t="s">
        <v>49</v>
      </c>
      <c r="U3740" s="13">
        <v>46</v>
      </c>
      <c r="V3740" s="12" t="s">
        <v>209</v>
      </c>
      <c r="W3740" s="12" t="s">
        <v>175</v>
      </c>
      <c r="X3740" s="14"/>
      <c r="Y3740" s="12" t="s">
        <v>91</v>
      </c>
      <c r="Z3740" s="12" t="s">
        <v>165</v>
      </c>
      <c r="AA3740" s="14"/>
      <c r="AB3740" s="14"/>
      <c r="AC3740" s="15">
        <v>59.1</v>
      </c>
      <c r="AD3740" s="15">
        <f>AC3740*AG3740</f>
        <v>59.1</v>
      </c>
      <c r="AE3740" s="15">
        <v>130</v>
      </c>
      <c r="AF3740" s="15">
        <f>AE3740*AG3740</f>
        <v>130</v>
      </c>
      <c r="AG3740" s="16">
        <v>1</v>
      </c>
    </row>
    <row r="3741" spans="1:33" ht="15" customHeight="1" x14ac:dyDescent="0.2">
      <c r="A3741" s="11" t="str">
        <f t="shared" si="983"/>
        <v>VN000BCEBMV1</v>
      </c>
      <c r="B3741" s="12" t="s">
        <v>13427</v>
      </c>
      <c r="C3741" s="12" t="s">
        <v>1103</v>
      </c>
      <c r="D3741" s="12" t="s">
        <v>2276</v>
      </c>
      <c r="E3741" s="12" t="s">
        <v>13428</v>
      </c>
      <c r="F3741" s="13">
        <v>80</v>
      </c>
      <c r="G3741" s="14"/>
      <c r="H3741" s="12" t="s">
        <v>38</v>
      </c>
      <c r="I3741" s="12" t="s">
        <v>159</v>
      </c>
      <c r="J3741" s="12" t="s">
        <v>255</v>
      </c>
      <c r="K3741" s="12" t="s">
        <v>82</v>
      </c>
      <c r="L3741" s="14"/>
      <c r="M3741" s="12" t="s">
        <v>43</v>
      </c>
      <c r="N3741" s="12" t="s">
        <v>101</v>
      </c>
      <c r="O3741" s="12" t="s">
        <v>13429</v>
      </c>
      <c r="P3741" s="12" t="s">
        <v>46</v>
      </c>
      <c r="Q3741" s="12" t="s">
        <v>47</v>
      </c>
      <c r="R3741" s="12" t="s">
        <v>163</v>
      </c>
      <c r="S3741" s="13">
        <v>196573433724</v>
      </c>
      <c r="T3741" s="12" t="s">
        <v>49</v>
      </c>
      <c r="U3741" s="13">
        <v>40.5</v>
      </c>
      <c r="V3741" s="12" t="s">
        <v>209</v>
      </c>
      <c r="W3741" s="12" t="s">
        <v>51</v>
      </c>
      <c r="X3741" s="14"/>
      <c r="Y3741" s="12" t="s">
        <v>91</v>
      </c>
      <c r="Z3741" s="12" t="s">
        <v>165</v>
      </c>
      <c r="AA3741" s="14"/>
      <c r="AB3741" s="14"/>
      <c r="AC3741" s="15">
        <v>59.1</v>
      </c>
      <c r="AD3741" s="15">
        <f>AC3741*AG3741</f>
        <v>59.1</v>
      </c>
      <c r="AE3741" s="15">
        <v>130</v>
      </c>
      <c r="AF3741" s="15">
        <f>AE3741*AG3741</f>
        <v>130</v>
      </c>
      <c r="AG3741" s="16">
        <v>1</v>
      </c>
    </row>
    <row r="3742" spans="1:33" ht="15" customHeight="1" x14ac:dyDescent="0.2">
      <c r="A3742" s="11" t="str">
        <f t="shared" si="984"/>
        <v>VN000BCECCZ1</v>
      </c>
      <c r="B3742" s="12" t="s">
        <v>13430</v>
      </c>
      <c r="C3742" s="12" t="s">
        <v>1103</v>
      </c>
      <c r="D3742" s="12" t="s">
        <v>1104</v>
      </c>
      <c r="E3742" s="12" t="s">
        <v>13431</v>
      </c>
      <c r="F3742" s="13">
        <v>50</v>
      </c>
      <c r="G3742" s="14"/>
      <c r="H3742" s="12" t="s">
        <v>38</v>
      </c>
      <c r="I3742" s="12" t="s">
        <v>159</v>
      </c>
      <c r="J3742" s="12" t="s">
        <v>255</v>
      </c>
      <c r="K3742" s="12" t="s">
        <v>82</v>
      </c>
      <c r="L3742" s="14"/>
      <c r="M3742" s="12" t="s">
        <v>43</v>
      </c>
      <c r="N3742" s="12" t="s">
        <v>84</v>
      </c>
      <c r="O3742" s="12" t="s">
        <v>13432</v>
      </c>
      <c r="P3742" s="12" t="s">
        <v>46</v>
      </c>
      <c r="Q3742" s="12" t="s">
        <v>47</v>
      </c>
      <c r="R3742" s="12" t="s">
        <v>163</v>
      </c>
      <c r="S3742" s="13">
        <v>197804620401</v>
      </c>
      <c r="T3742" s="12" t="s">
        <v>49</v>
      </c>
      <c r="U3742" s="13">
        <v>36.5</v>
      </c>
      <c r="V3742" s="12" t="s">
        <v>50</v>
      </c>
      <c r="W3742" s="12" t="s">
        <v>175</v>
      </c>
      <c r="X3742" s="14"/>
      <c r="Y3742" s="14"/>
      <c r="Z3742" s="14"/>
      <c r="AA3742" s="14"/>
      <c r="AB3742" s="14"/>
      <c r="AC3742" s="15">
        <v>59.1</v>
      </c>
      <c r="AD3742" s="15">
        <f>AC3742*AG3742</f>
        <v>59.1</v>
      </c>
      <c r="AE3742" s="15">
        <v>130</v>
      </c>
      <c r="AF3742" s="15">
        <f>AE3742*AG3742</f>
        <v>130</v>
      </c>
      <c r="AG3742" s="16">
        <v>1</v>
      </c>
    </row>
    <row r="3743" spans="1:33" ht="15" customHeight="1" x14ac:dyDescent="0.2">
      <c r="A3743" s="11" t="str">
        <f t="shared" ref="A3743:A3745" si="1259">HYPERLINK("https://assets.vans.eu/images/VN000BCELLC-HERO/1","VN000BCELLC1")</f>
        <v>VN000BCELLC1</v>
      </c>
      <c r="B3743" s="12" t="s">
        <v>13433</v>
      </c>
      <c r="C3743" s="12" t="s">
        <v>1103</v>
      </c>
      <c r="D3743" s="12" t="s">
        <v>1671</v>
      </c>
      <c r="E3743" s="12" t="s">
        <v>13434</v>
      </c>
      <c r="F3743" s="13">
        <v>55</v>
      </c>
      <c r="G3743" s="14"/>
      <c r="H3743" s="12" t="s">
        <v>38</v>
      </c>
      <c r="I3743" s="12" t="s">
        <v>113</v>
      </c>
      <c r="J3743" s="12" t="s">
        <v>529</v>
      </c>
      <c r="K3743" s="12" t="s">
        <v>82</v>
      </c>
      <c r="L3743" s="14"/>
      <c r="M3743" s="12" t="s">
        <v>43</v>
      </c>
      <c r="N3743" s="12" t="s">
        <v>84</v>
      </c>
      <c r="O3743" s="12" t="s">
        <v>13435</v>
      </c>
      <c r="P3743" s="12" t="s">
        <v>46</v>
      </c>
      <c r="Q3743" s="12" t="s">
        <v>47</v>
      </c>
      <c r="R3743" s="12" t="s">
        <v>117</v>
      </c>
      <c r="S3743" s="13">
        <v>197804503094</v>
      </c>
      <c r="T3743" s="12" t="s">
        <v>49</v>
      </c>
      <c r="U3743" s="13">
        <v>37</v>
      </c>
      <c r="V3743" s="12" t="s">
        <v>50</v>
      </c>
      <c r="W3743" s="12" t="s">
        <v>107</v>
      </c>
      <c r="X3743" s="14"/>
      <c r="Y3743" s="14"/>
      <c r="Z3743" s="14"/>
      <c r="AA3743" s="14"/>
      <c r="AB3743" s="14"/>
      <c r="AC3743" s="15">
        <v>59.1</v>
      </c>
      <c r="AD3743" s="15">
        <f>AC3743*AG3743</f>
        <v>59.1</v>
      </c>
      <c r="AE3743" s="15">
        <v>130</v>
      </c>
      <c r="AF3743" s="15">
        <f>AE3743*AG3743</f>
        <v>130</v>
      </c>
      <c r="AG3743" s="16">
        <v>1</v>
      </c>
    </row>
    <row r="3744" spans="1:33" ht="15" customHeight="1" x14ac:dyDescent="0.2">
      <c r="A3744" s="11" t="str">
        <f t="shared" si="1259"/>
        <v>VN000BCELLC1</v>
      </c>
      <c r="B3744" s="12" t="s">
        <v>13436</v>
      </c>
      <c r="C3744" s="12" t="s">
        <v>1103</v>
      </c>
      <c r="D3744" s="12" t="s">
        <v>1671</v>
      </c>
      <c r="E3744" s="12" t="s">
        <v>13437</v>
      </c>
      <c r="F3744" s="13">
        <v>60</v>
      </c>
      <c r="G3744" s="14"/>
      <c r="H3744" s="12" t="s">
        <v>38</v>
      </c>
      <c r="I3744" s="12" t="s">
        <v>113</v>
      </c>
      <c r="J3744" s="12" t="s">
        <v>529</v>
      </c>
      <c r="K3744" s="12" t="s">
        <v>82</v>
      </c>
      <c r="L3744" s="14"/>
      <c r="M3744" s="12" t="s">
        <v>43</v>
      </c>
      <c r="N3744" s="12" t="s">
        <v>84</v>
      </c>
      <c r="O3744" s="12" t="s">
        <v>13438</v>
      </c>
      <c r="P3744" s="12" t="s">
        <v>46</v>
      </c>
      <c r="Q3744" s="12" t="s">
        <v>47</v>
      </c>
      <c r="R3744" s="12" t="s">
        <v>117</v>
      </c>
      <c r="S3744" s="13">
        <v>197804503469</v>
      </c>
      <c r="T3744" s="12" t="s">
        <v>49</v>
      </c>
      <c r="U3744" s="13">
        <v>38</v>
      </c>
      <c r="V3744" s="12" t="s">
        <v>50</v>
      </c>
      <c r="W3744" s="12" t="s">
        <v>107</v>
      </c>
      <c r="X3744" s="14"/>
      <c r="Y3744" s="14"/>
      <c r="Z3744" s="14"/>
      <c r="AA3744" s="14"/>
      <c r="AB3744" s="14"/>
      <c r="AC3744" s="15">
        <v>59.1</v>
      </c>
      <c r="AD3744" s="15">
        <f>AC3744*AG3744</f>
        <v>59.1</v>
      </c>
      <c r="AE3744" s="15">
        <v>130</v>
      </c>
      <c r="AF3744" s="15">
        <f>AE3744*AG3744</f>
        <v>130</v>
      </c>
      <c r="AG3744" s="16">
        <v>1</v>
      </c>
    </row>
    <row r="3745" spans="1:33" ht="15" customHeight="1" x14ac:dyDescent="0.2">
      <c r="A3745" s="11" t="str">
        <f t="shared" si="1259"/>
        <v>VN000BCELLC1</v>
      </c>
      <c r="B3745" s="12" t="s">
        <v>13439</v>
      </c>
      <c r="C3745" s="12" t="s">
        <v>1103</v>
      </c>
      <c r="D3745" s="12" t="s">
        <v>1671</v>
      </c>
      <c r="E3745" s="12" t="s">
        <v>13440</v>
      </c>
      <c r="F3745" s="13">
        <v>75</v>
      </c>
      <c r="G3745" s="14"/>
      <c r="H3745" s="12" t="s">
        <v>38</v>
      </c>
      <c r="I3745" s="12" t="s">
        <v>113</v>
      </c>
      <c r="J3745" s="12" t="s">
        <v>529</v>
      </c>
      <c r="K3745" s="12" t="s">
        <v>82</v>
      </c>
      <c r="L3745" s="14"/>
      <c r="M3745" s="12" t="s">
        <v>43</v>
      </c>
      <c r="N3745" s="12" t="s">
        <v>84</v>
      </c>
      <c r="O3745" s="12" t="s">
        <v>13441</v>
      </c>
      <c r="P3745" s="12" t="s">
        <v>46</v>
      </c>
      <c r="Q3745" s="12" t="s">
        <v>47</v>
      </c>
      <c r="R3745" s="12" t="s">
        <v>117</v>
      </c>
      <c r="S3745" s="13">
        <v>197804503964</v>
      </c>
      <c r="T3745" s="12" t="s">
        <v>49</v>
      </c>
      <c r="U3745" s="13">
        <v>40</v>
      </c>
      <c r="V3745" s="12" t="s">
        <v>50</v>
      </c>
      <c r="W3745" s="12" t="s">
        <v>107</v>
      </c>
      <c r="X3745" s="14"/>
      <c r="Y3745" s="14"/>
      <c r="Z3745" s="14"/>
      <c r="AA3745" s="14"/>
      <c r="AB3745" s="14"/>
      <c r="AC3745" s="15">
        <v>59.1</v>
      </c>
      <c r="AD3745" s="15">
        <f>AC3745*AG3745</f>
        <v>59.1</v>
      </c>
      <c r="AE3745" s="15">
        <v>130</v>
      </c>
      <c r="AF3745" s="15">
        <f>AE3745*AG3745</f>
        <v>130</v>
      </c>
      <c r="AG3745" s="16">
        <v>1</v>
      </c>
    </row>
    <row r="3746" spans="1:33" ht="15" customHeight="1" x14ac:dyDescent="0.2">
      <c r="A3746" s="11" t="str">
        <f>HYPERLINK("https://assets.vans.eu/images/VN000BCERP9-HERO/1","VN000BCERP91")</f>
        <v>VN000BCERP91</v>
      </c>
      <c r="B3746" s="12" t="s">
        <v>13442</v>
      </c>
      <c r="C3746" s="12" t="s">
        <v>1103</v>
      </c>
      <c r="D3746" s="12" t="s">
        <v>13443</v>
      </c>
      <c r="E3746" s="12" t="s">
        <v>13444</v>
      </c>
      <c r="F3746" s="13">
        <v>75</v>
      </c>
      <c r="G3746" s="14"/>
      <c r="H3746" s="12" t="s">
        <v>38</v>
      </c>
      <c r="I3746" s="12" t="s">
        <v>159</v>
      </c>
      <c r="J3746" s="12" t="s">
        <v>255</v>
      </c>
      <c r="K3746" s="12" t="s">
        <v>82</v>
      </c>
      <c r="L3746" s="14"/>
      <c r="M3746" s="12" t="s">
        <v>43</v>
      </c>
      <c r="N3746" s="12" t="s">
        <v>84</v>
      </c>
      <c r="O3746" s="12" t="s">
        <v>13445</v>
      </c>
      <c r="P3746" s="12" t="s">
        <v>46</v>
      </c>
      <c r="Q3746" s="12" t="s">
        <v>47</v>
      </c>
      <c r="R3746" s="12" t="s">
        <v>163</v>
      </c>
      <c r="S3746" s="13">
        <v>197063419600</v>
      </c>
      <c r="T3746" s="12" t="s">
        <v>49</v>
      </c>
      <c r="U3746" s="13">
        <v>40</v>
      </c>
      <c r="V3746" s="12" t="s">
        <v>50</v>
      </c>
      <c r="W3746" s="12" t="s">
        <v>455</v>
      </c>
      <c r="X3746" s="14"/>
      <c r="Y3746" s="12" t="s">
        <v>91</v>
      </c>
      <c r="Z3746" s="12" t="s">
        <v>165</v>
      </c>
      <c r="AA3746" s="14"/>
      <c r="AB3746" s="14"/>
      <c r="AC3746" s="15">
        <v>59.1</v>
      </c>
      <c r="AD3746" s="15">
        <f>AC3746*AG3746</f>
        <v>59.1</v>
      </c>
      <c r="AE3746" s="15">
        <v>130</v>
      </c>
      <c r="AF3746" s="15">
        <f>AE3746*AG3746</f>
        <v>130</v>
      </c>
      <c r="AG3746" s="16">
        <v>1</v>
      </c>
    </row>
    <row r="3747" spans="1:33" ht="15" customHeight="1" x14ac:dyDescent="0.2">
      <c r="A3747" s="11" t="str">
        <f>HYPERLINK("https://assets.vans.eu/images/VN000BCEW00-HERO/1","VN000BCEW001")</f>
        <v>VN000BCEW001</v>
      </c>
      <c r="B3747" s="12" t="s">
        <v>13446</v>
      </c>
      <c r="C3747" s="12" t="s">
        <v>1103</v>
      </c>
      <c r="D3747" s="12" t="s">
        <v>10300</v>
      </c>
      <c r="E3747" s="12" t="s">
        <v>13447</v>
      </c>
      <c r="F3747" s="13">
        <v>130</v>
      </c>
      <c r="G3747" s="14"/>
      <c r="H3747" s="12" t="s">
        <v>38</v>
      </c>
      <c r="I3747" s="12" t="s">
        <v>159</v>
      </c>
      <c r="J3747" s="12" t="s">
        <v>255</v>
      </c>
      <c r="K3747" s="12" t="s">
        <v>82</v>
      </c>
      <c r="L3747" s="14"/>
      <c r="M3747" s="12" t="s">
        <v>43</v>
      </c>
      <c r="N3747" s="12" t="s">
        <v>44</v>
      </c>
      <c r="O3747" s="12" t="s">
        <v>13448</v>
      </c>
      <c r="P3747" s="12" t="s">
        <v>46</v>
      </c>
      <c r="Q3747" s="12" t="s">
        <v>47</v>
      </c>
      <c r="R3747" s="12" t="s">
        <v>163</v>
      </c>
      <c r="S3747" s="13">
        <v>197063420620</v>
      </c>
      <c r="T3747" s="12" t="s">
        <v>49</v>
      </c>
      <c r="U3747" s="13">
        <v>47</v>
      </c>
      <c r="V3747" s="12" t="s">
        <v>50</v>
      </c>
      <c r="W3747" s="12" t="s">
        <v>175</v>
      </c>
      <c r="X3747" s="14"/>
      <c r="Y3747" s="12" t="s">
        <v>91</v>
      </c>
      <c r="Z3747" s="12" t="s">
        <v>165</v>
      </c>
      <c r="AA3747" s="14"/>
      <c r="AB3747" s="14"/>
      <c r="AC3747" s="15">
        <v>59.1</v>
      </c>
      <c r="AD3747" s="15">
        <f>AC3747*AG3747</f>
        <v>59.1</v>
      </c>
      <c r="AE3747" s="15">
        <v>130</v>
      </c>
      <c r="AF3747" s="15">
        <f>AE3747*AG3747</f>
        <v>130</v>
      </c>
      <c r="AG3747" s="16">
        <v>1</v>
      </c>
    </row>
    <row r="3748" spans="1:33" ht="15" customHeight="1" x14ac:dyDescent="0.2">
      <c r="A3748" s="11" t="str">
        <f t="shared" si="760"/>
        <v>VN000BVS1M71</v>
      </c>
      <c r="B3748" s="12" t="s">
        <v>13449</v>
      </c>
      <c r="C3748" s="12" t="s">
        <v>6972</v>
      </c>
      <c r="D3748" s="12" t="s">
        <v>5173</v>
      </c>
      <c r="E3748" s="12" t="s">
        <v>13450</v>
      </c>
      <c r="F3748" s="13">
        <v>65</v>
      </c>
      <c r="G3748" s="14"/>
      <c r="H3748" s="12" t="s">
        <v>38</v>
      </c>
      <c r="I3748" s="12" t="s">
        <v>113</v>
      </c>
      <c r="J3748" s="12" t="s">
        <v>529</v>
      </c>
      <c r="K3748" s="12" t="s">
        <v>82</v>
      </c>
      <c r="L3748" s="14"/>
      <c r="M3748" s="12" t="s">
        <v>43</v>
      </c>
      <c r="N3748" s="12" t="s">
        <v>2457</v>
      </c>
      <c r="O3748" s="12" t="s">
        <v>13451</v>
      </c>
      <c r="P3748" s="12" t="s">
        <v>46</v>
      </c>
      <c r="Q3748" s="12" t="s">
        <v>2432</v>
      </c>
      <c r="R3748" s="12" t="s">
        <v>6975</v>
      </c>
      <c r="S3748" s="13">
        <v>196573364639</v>
      </c>
      <c r="T3748" s="12" t="s">
        <v>143</v>
      </c>
      <c r="U3748" s="13">
        <v>38.5</v>
      </c>
      <c r="V3748" s="12" t="s">
        <v>50</v>
      </c>
      <c r="W3748" s="12" t="s">
        <v>186</v>
      </c>
      <c r="X3748" s="14"/>
      <c r="Y3748" s="12" t="s">
        <v>53</v>
      </c>
      <c r="Z3748" s="12" t="s">
        <v>165</v>
      </c>
      <c r="AA3748" s="14"/>
      <c r="AB3748" s="14"/>
      <c r="AC3748" s="15">
        <v>86.4</v>
      </c>
      <c r="AD3748" s="15">
        <f>AC3748*AG3748</f>
        <v>86.4</v>
      </c>
      <c r="AE3748" s="15">
        <v>190</v>
      </c>
      <c r="AF3748" s="15">
        <f>AE3748*AG3748</f>
        <v>190</v>
      </c>
      <c r="AG3748" s="16">
        <v>1</v>
      </c>
    </row>
    <row r="3749" spans="1:33" ht="15" customHeight="1" x14ac:dyDescent="0.2">
      <c r="A3749" s="11" t="str">
        <f>HYPERLINK("https://assets.vans.eu/images/VN000BVS6BT-HERO/1","VN000BVS6BT1")</f>
        <v>VN000BVS6BT1</v>
      </c>
      <c r="B3749" s="12" t="s">
        <v>13452</v>
      </c>
      <c r="C3749" s="12" t="s">
        <v>6972</v>
      </c>
      <c r="D3749" s="12" t="s">
        <v>2176</v>
      </c>
      <c r="E3749" s="12" t="s">
        <v>13453</v>
      </c>
      <c r="F3749" s="13">
        <v>35</v>
      </c>
      <c r="G3749" s="12" t="s">
        <v>7018</v>
      </c>
      <c r="H3749" s="12" t="s">
        <v>38</v>
      </c>
      <c r="I3749" s="12" t="s">
        <v>113</v>
      </c>
      <c r="J3749" s="12" t="s">
        <v>529</v>
      </c>
      <c r="K3749" s="12" t="s">
        <v>82</v>
      </c>
      <c r="L3749" s="14"/>
      <c r="M3749" s="12" t="s">
        <v>43</v>
      </c>
      <c r="N3749" s="12" t="s">
        <v>101</v>
      </c>
      <c r="O3749" s="12" t="s">
        <v>13454</v>
      </c>
      <c r="P3749" s="12" t="s">
        <v>46</v>
      </c>
      <c r="Q3749" s="12" t="s">
        <v>2432</v>
      </c>
      <c r="R3749" s="12" t="s">
        <v>6975</v>
      </c>
      <c r="S3749" s="13">
        <v>196573364004</v>
      </c>
      <c r="T3749" s="12" t="s">
        <v>143</v>
      </c>
      <c r="U3749" s="13">
        <v>34.5</v>
      </c>
      <c r="V3749" s="12" t="s">
        <v>50</v>
      </c>
      <c r="W3749" s="12" t="s">
        <v>51</v>
      </c>
      <c r="X3749" s="14"/>
      <c r="Y3749" s="12" t="s">
        <v>53</v>
      </c>
      <c r="Z3749" s="12" t="s">
        <v>165</v>
      </c>
      <c r="AA3749" s="14"/>
      <c r="AB3749" s="14"/>
      <c r="AC3749" s="15">
        <v>90.95</v>
      </c>
      <c r="AD3749" s="15">
        <f>AC3749*AG3749</f>
        <v>90.95</v>
      </c>
      <c r="AE3749" s="15">
        <v>200</v>
      </c>
      <c r="AF3749" s="15">
        <f>AE3749*AG3749</f>
        <v>200</v>
      </c>
      <c r="AG3749" s="16">
        <v>1</v>
      </c>
    </row>
    <row r="3750" spans="1:33" ht="15" customHeight="1" x14ac:dyDescent="0.2">
      <c r="A3750" s="11" t="str">
        <f t="shared" ref="A3750:A3760" si="1260">HYPERLINK("https://assets.vans.eu/images/VN000BVZ1NU-HERO/1","VN000BVZ1NU1")</f>
        <v>VN000BVZ1NU1</v>
      </c>
      <c r="B3750" s="12" t="s">
        <v>13455</v>
      </c>
      <c r="C3750" s="12" t="s">
        <v>3586</v>
      </c>
      <c r="D3750" s="12" t="s">
        <v>783</v>
      </c>
      <c r="E3750" s="12" t="s">
        <v>13456</v>
      </c>
      <c r="F3750" s="13">
        <v>55</v>
      </c>
      <c r="G3750" s="12" t="s">
        <v>2273</v>
      </c>
      <c r="H3750" s="12" t="s">
        <v>38</v>
      </c>
      <c r="I3750" s="12" t="s">
        <v>159</v>
      </c>
      <c r="J3750" s="12" t="s">
        <v>160</v>
      </c>
      <c r="K3750" s="12" t="s">
        <v>82</v>
      </c>
      <c r="L3750" s="14"/>
      <c r="M3750" s="12" t="s">
        <v>43</v>
      </c>
      <c r="N3750" s="12" t="s">
        <v>84</v>
      </c>
      <c r="O3750" s="12" t="s">
        <v>13457</v>
      </c>
      <c r="P3750" s="12" t="s">
        <v>46</v>
      </c>
      <c r="Q3750" s="12" t="s">
        <v>47</v>
      </c>
      <c r="R3750" s="12" t="s">
        <v>163</v>
      </c>
      <c r="S3750" s="13">
        <v>197804423255</v>
      </c>
      <c r="T3750" s="12" t="s">
        <v>105</v>
      </c>
      <c r="U3750" s="13">
        <v>37</v>
      </c>
      <c r="V3750" s="12" t="s">
        <v>375</v>
      </c>
      <c r="W3750" s="12" t="s">
        <v>186</v>
      </c>
      <c r="X3750" s="14"/>
      <c r="Y3750" s="14"/>
      <c r="Z3750" s="14"/>
      <c r="AA3750" s="14"/>
      <c r="AB3750" s="14"/>
      <c r="AC3750" s="15">
        <v>36.4</v>
      </c>
      <c r="AD3750" s="15">
        <f>AC3750*AG3750</f>
        <v>36.4</v>
      </c>
      <c r="AE3750" s="15">
        <v>80</v>
      </c>
      <c r="AF3750" s="15">
        <f>AE3750*AG3750</f>
        <v>80</v>
      </c>
      <c r="AG3750" s="16">
        <v>1</v>
      </c>
    </row>
    <row r="3751" spans="1:33" ht="15" customHeight="1" x14ac:dyDescent="0.2">
      <c r="A3751" s="11" t="str">
        <f t="shared" si="1260"/>
        <v>VN000BVZ1NU1</v>
      </c>
      <c r="B3751" s="12" t="s">
        <v>13458</v>
      </c>
      <c r="C3751" s="12" t="s">
        <v>3586</v>
      </c>
      <c r="D3751" s="12" t="s">
        <v>783</v>
      </c>
      <c r="E3751" s="12" t="s">
        <v>13459</v>
      </c>
      <c r="F3751" s="13">
        <v>65</v>
      </c>
      <c r="G3751" s="12" t="s">
        <v>2273</v>
      </c>
      <c r="H3751" s="12" t="s">
        <v>38</v>
      </c>
      <c r="I3751" s="12" t="s">
        <v>159</v>
      </c>
      <c r="J3751" s="12" t="s">
        <v>160</v>
      </c>
      <c r="K3751" s="12" t="s">
        <v>82</v>
      </c>
      <c r="L3751" s="14"/>
      <c r="M3751" s="12" t="s">
        <v>43</v>
      </c>
      <c r="N3751" s="12" t="s">
        <v>84</v>
      </c>
      <c r="O3751" s="12" t="s">
        <v>13460</v>
      </c>
      <c r="P3751" s="12" t="s">
        <v>46</v>
      </c>
      <c r="Q3751" s="12" t="s">
        <v>47</v>
      </c>
      <c r="R3751" s="12" t="s">
        <v>163</v>
      </c>
      <c r="S3751" s="13">
        <v>197804423521</v>
      </c>
      <c r="T3751" s="12" t="s">
        <v>105</v>
      </c>
      <c r="U3751" s="13">
        <v>38.5</v>
      </c>
      <c r="V3751" s="12" t="s">
        <v>375</v>
      </c>
      <c r="W3751" s="12" t="s">
        <v>186</v>
      </c>
      <c r="X3751" s="14"/>
      <c r="Y3751" s="14"/>
      <c r="Z3751" s="14"/>
      <c r="AA3751" s="14"/>
      <c r="AB3751" s="14"/>
      <c r="AC3751" s="15">
        <v>36.4</v>
      </c>
      <c r="AD3751" s="15">
        <f>AC3751*AG3751</f>
        <v>36.4</v>
      </c>
      <c r="AE3751" s="15">
        <v>80</v>
      </c>
      <c r="AF3751" s="15">
        <f>AE3751*AG3751</f>
        <v>80</v>
      </c>
      <c r="AG3751" s="16">
        <v>1</v>
      </c>
    </row>
    <row r="3752" spans="1:33" ht="15" customHeight="1" x14ac:dyDescent="0.2">
      <c r="A3752" s="11" t="str">
        <f t="shared" si="1260"/>
        <v>VN000BVZ1NU1</v>
      </c>
      <c r="B3752" s="12" t="s">
        <v>13461</v>
      </c>
      <c r="C3752" s="12" t="s">
        <v>3586</v>
      </c>
      <c r="D3752" s="12" t="s">
        <v>783</v>
      </c>
      <c r="E3752" s="12" t="s">
        <v>13462</v>
      </c>
      <c r="F3752" s="13">
        <v>70</v>
      </c>
      <c r="G3752" s="12" t="s">
        <v>2273</v>
      </c>
      <c r="H3752" s="12" t="s">
        <v>38</v>
      </c>
      <c r="I3752" s="12" t="s">
        <v>159</v>
      </c>
      <c r="J3752" s="12" t="s">
        <v>160</v>
      </c>
      <c r="K3752" s="12" t="s">
        <v>82</v>
      </c>
      <c r="L3752" s="14"/>
      <c r="M3752" s="12" t="s">
        <v>43</v>
      </c>
      <c r="N3752" s="12" t="s">
        <v>84</v>
      </c>
      <c r="O3752" s="12" t="s">
        <v>13463</v>
      </c>
      <c r="P3752" s="12" t="s">
        <v>46</v>
      </c>
      <c r="Q3752" s="12" t="s">
        <v>47</v>
      </c>
      <c r="R3752" s="12" t="s">
        <v>163</v>
      </c>
      <c r="S3752" s="13">
        <v>197804423583</v>
      </c>
      <c r="T3752" s="12" t="s">
        <v>105</v>
      </c>
      <c r="U3752" s="13">
        <v>39</v>
      </c>
      <c r="V3752" s="12" t="s">
        <v>375</v>
      </c>
      <c r="W3752" s="12" t="s">
        <v>186</v>
      </c>
      <c r="X3752" s="14"/>
      <c r="Y3752" s="14"/>
      <c r="Z3752" s="14"/>
      <c r="AA3752" s="14"/>
      <c r="AB3752" s="14"/>
      <c r="AC3752" s="15">
        <v>36.4</v>
      </c>
      <c r="AD3752" s="15">
        <f>AC3752*AG3752</f>
        <v>36.4</v>
      </c>
      <c r="AE3752" s="15">
        <v>80</v>
      </c>
      <c r="AF3752" s="15">
        <f>AE3752*AG3752</f>
        <v>80</v>
      </c>
      <c r="AG3752" s="16">
        <v>1</v>
      </c>
    </row>
    <row r="3753" spans="1:33" ht="15" customHeight="1" x14ac:dyDescent="0.2">
      <c r="A3753" s="11" t="str">
        <f t="shared" si="1260"/>
        <v>VN000BVZ1NU1</v>
      </c>
      <c r="B3753" s="12" t="s">
        <v>13464</v>
      </c>
      <c r="C3753" s="12" t="s">
        <v>3586</v>
      </c>
      <c r="D3753" s="12" t="s">
        <v>783</v>
      </c>
      <c r="E3753" s="12" t="s">
        <v>13465</v>
      </c>
      <c r="F3753" s="13">
        <v>75</v>
      </c>
      <c r="G3753" s="12" t="s">
        <v>2273</v>
      </c>
      <c r="H3753" s="12" t="s">
        <v>38</v>
      </c>
      <c r="I3753" s="12" t="s">
        <v>159</v>
      </c>
      <c r="J3753" s="12" t="s">
        <v>160</v>
      </c>
      <c r="K3753" s="12" t="s">
        <v>82</v>
      </c>
      <c r="L3753" s="14"/>
      <c r="M3753" s="12" t="s">
        <v>43</v>
      </c>
      <c r="N3753" s="12" t="s">
        <v>84</v>
      </c>
      <c r="O3753" s="12" t="s">
        <v>13466</v>
      </c>
      <c r="P3753" s="12" t="s">
        <v>46</v>
      </c>
      <c r="Q3753" s="12" t="s">
        <v>47</v>
      </c>
      <c r="R3753" s="12" t="s">
        <v>163</v>
      </c>
      <c r="S3753" s="13">
        <v>197804423842</v>
      </c>
      <c r="T3753" s="12" t="s">
        <v>105</v>
      </c>
      <c r="U3753" s="13">
        <v>40</v>
      </c>
      <c r="V3753" s="12" t="s">
        <v>375</v>
      </c>
      <c r="W3753" s="12" t="s">
        <v>186</v>
      </c>
      <c r="X3753" s="14"/>
      <c r="Y3753" s="14"/>
      <c r="Z3753" s="14"/>
      <c r="AA3753" s="14"/>
      <c r="AB3753" s="14"/>
      <c r="AC3753" s="15">
        <v>36.4</v>
      </c>
      <c r="AD3753" s="15">
        <f>AC3753*AG3753</f>
        <v>36.4</v>
      </c>
      <c r="AE3753" s="15">
        <v>80</v>
      </c>
      <c r="AF3753" s="15">
        <f>AE3753*AG3753</f>
        <v>80</v>
      </c>
      <c r="AG3753" s="16">
        <v>1</v>
      </c>
    </row>
    <row r="3754" spans="1:33" ht="15" customHeight="1" x14ac:dyDescent="0.2">
      <c r="A3754" s="11" t="str">
        <f t="shared" si="1260"/>
        <v>VN000BVZ1NU1</v>
      </c>
      <c r="B3754" s="12" t="s">
        <v>13467</v>
      </c>
      <c r="C3754" s="12" t="s">
        <v>3586</v>
      </c>
      <c r="D3754" s="12" t="s">
        <v>783</v>
      </c>
      <c r="E3754" s="12" t="s">
        <v>13468</v>
      </c>
      <c r="F3754" s="13">
        <v>80</v>
      </c>
      <c r="G3754" s="12" t="s">
        <v>2273</v>
      </c>
      <c r="H3754" s="12" t="s">
        <v>38</v>
      </c>
      <c r="I3754" s="12" t="s">
        <v>159</v>
      </c>
      <c r="J3754" s="12" t="s">
        <v>160</v>
      </c>
      <c r="K3754" s="12" t="s">
        <v>82</v>
      </c>
      <c r="L3754" s="14"/>
      <c r="M3754" s="12" t="s">
        <v>43</v>
      </c>
      <c r="N3754" s="12" t="s">
        <v>84</v>
      </c>
      <c r="O3754" s="12" t="s">
        <v>13469</v>
      </c>
      <c r="P3754" s="12" t="s">
        <v>46</v>
      </c>
      <c r="Q3754" s="12" t="s">
        <v>47</v>
      </c>
      <c r="R3754" s="12" t="s">
        <v>163</v>
      </c>
      <c r="S3754" s="13">
        <v>197804424108</v>
      </c>
      <c r="T3754" s="12" t="s">
        <v>105</v>
      </c>
      <c r="U3754" s="13">
        <v>40.5</v>
      </c>
      <c r="V3754" s="12" t="s">
        <v>375</v>
      </c>
      <c r="W3754" s="12" t="s">
        <v>186</v>
      </c>
      <c r="X3754" s="14"/>
      <c r="Y3754" s="14"/>
      <c r="Z3754" s="14"/>
      <c r="AA3754" s="14"/>
      <c r="AB3754" s="14"/>
      <c r="AC3754" s="15">
        <v>36.4</v>
      </c>
      <c r="AD3754" s="15">
        <f>AC3754*AG3754</f>
        <v>36.4</v>
      </c>
      <c r="AE3754" s="15">
        <v>80</v>
      </c>
      <c r="AF3754" s="15">
        <f>AE3754*AG3754</f>
        <v>80</v>
      </c>
      <c r="AG3754" s="16">
        <v>1</v>
      </c>
    </row>
    <row r="3755" spans="1:33" ht="15" customHeight="1" x14ac:dyDescent="0.2">
      <c r="A3755" s="11" t="str">
        <f t="shared" si="1260"/>
        <v>VN000BVZ1NU1</v>
      </c>
      <c r="B3755" s="12" t="s">
        <v>13470</v>
      </c>
      <c r="C3755" s="12" t="s">
        <v>3586</v>
      </c>
      <c r="D3755" s="12" t="s">
        <v>783</v>
      </c>
      <c r="E3755" s="12" t="s">
        <v>13471</v>
      </c>
      <c r="F3755" s="13">
        <v>85</v>
      </c>
      <c r="G3755" s="12" t="s">
        <v>2273</v>
      </c>
      <c r="H3755" s="12" t="s">
        <v>38</v>
      </c>
      <c r="I3755" s="12" t="s">
        <v>159</v>
      </c>
      <c r="J3755" s="12" t="s">
        <v>160</v>
      </c>
      <c r="K3755" s="12" t="s">
        <v>82</v>
      </c>
      <c r="L3755" s="14"/>
      <c r="M3755" s="12" t="s">
        <v>43</v>
      </c>
      <c r="N3755" s="12" t="s">
        <v>84</v>
      </c>
      <c r="O3755" s="12" t="s">
        <v>13472</v>
      </c>
      <c r="P3755" s="12" t="s">
        <v>46</v>
      </c>
      <c r="Q3755" s="12" t="s">
        <v>47</v>
      </c>
      <c r="R3755" s="12" t="s">
        <v>163</v>
      </c>
      <c r="S3755" s="13">
        <v>197804424160</v>
      </c>
      <c r="T3755" s="12" t="s">
        <v>105</v>
      </c>
      <c r="U3755" s="13">
        <v>41</v>
      </c>
      <c r="V3755" s="12" t="s">
        <v>375</v>
      </c>
      <c r="W3755" s="12" t="s">
        <v>186</v>
      </c>
      <c r="X3755" s="14"/>
      <c r="Y3755" s="14"/>
      <c r="Z3755" s="14"/>
      <c r="AA3755" s="14"/>
      <c r="AB3755" s="14"/>
      <c r="AC3755" s="15">
        <v>36.4</v>
      </c>
      <c r="AD3755" s="15">
        <f>AC3755*AG3755</f>
        <v>36.4</v>
      </c>
      <c r="AE3755" s="15">
        <v>80</v>
      </c>
      <c r="AF3755" s="15">
        <f>AE3755*AG3755</f>
        <v>80</v>
      </c>
      <c r="AG3755" s="16">
        <v>1</v>
      </c>
    </row>
    <row r="3756" spans="1:33" ht="15" customHeight="1" x14ac:dyDescent="0.2">
      <c r="A3756" s="11" t="str">
        <f t="shared" si="1260"/>
        <v>VN000BVZ1NU1</v>
      </c>
      <c r="B3756" s="12" t="s">
        <v>13473</v>
      </c>
      <c r="C3756" s="12" t="s">
        <v>3586</v>
      </c>
      <c r="D3756" s="12" t="s">
        <v>783</v>
      </c>
      <c r="E3756" s="12" t="s">
        <v>13474</v>
      </c>
      <c r="F3756" s="13">
        <v>95</v>
      </c>
      <c r="G3756" s="12" t="s">
        <v>2273</v>
      </c>
      <c r="H3756" s="12" t="s">
        <v>38</v>
      </c>
      <c r="I3756" s="12" t="s">
        <v>159</v>
      </c>
      <c r="J3756" s="12" t="s">
        <v>160</v>
      </c>
      <c r="K3756" s="12" t="s">
        <v>82</v>
      </c>
      <c r="L3756" s="14"/>
      <c r="M3756" s="12" t="s">
        <v>43</v>
      </c>
      <c r="N3756" s="12" t="s">
        <v>84</v>
      </c>
      <c r="O3756" s="12" t="s">
        <v>13475</v>
      </c>
      <c r="P3756" s="12" t="s">
        <v>46</v>
      </c>
      <c r="Q3756" s="12" t="s">
        <v>47</v>
      </c>
      <c r="R3756" s="12" t="s">
        <v>163</v>
      </c>
      <c r="S3756" s="13">
        <v>197804424481</v>
      </c>
      <c r="T3756" s="12" t="s">
        <v>105</v>
      </c>
      <c r="U3756" s="13">
        <v>42.5</v>
      </c>
      <c r="V3756" s="12" t="s">
        <v>375</v>
      </c>
      <c r="W3756" s="12" t="s">
        <v>186</v>
      </c>
      <c r="X3756" s="14"/>
      <c r="Y3756" s="14"/>
      <c r="Z3756" s="14"/>
      <c r="AA3756" s="14"/>
      <c r="AB3756" s="14"/>
      <c r="AC3756" s="15">
        <v>36.4</v>
      </c>
      <c r="AD3756" s="15">
        <f>AC3756*AG3756</f>
        <v>36.4</v>
      </c>
      <c r="AE3756" s="15">
        <v>80</v>
      </c>
      <c r="AF3756" s="15">
        <f>AE3756*AG3756</f>
        <v>80</v>
      </c>
      <c r="AG3756" s="16">
        <v>1</v>
      </c>
    </row>
    <row r="3757" spans="1:33" ht="15" customHeight="1" x14ac:dyDescent="0.2">
      <c r="A3757" s="11" t="str">
        <f t="shared" si="1260"/>
        <v>VN000BVZ1NU1</v>
      </c>
      <c r="B3757" s="12" t="s">
        <v>13476</v>
      </c>
      <c r="C3757" s="12" t="s">
        <v>3586</v>
      </c>
      <c r="D3757" s="12" t="s">
        <v>783</v>
      </c>
      <c r="E3757" s="12" t="s">
        <v>13477</v>
      </c>
      <c r="F3757" s="13">
        <v>100</v>
      </c>
      <c r="G3757" s="12" t="s">
        <v>2273</v>
      </c>
      <c r="H3757" s="12" t="s">
        <v>38</v>
      </c>
      <c r="I3757" s="12" t="s">
        <v>159</v>
      </c>
      <c r="J3757" s="12" t="s">
        <v>160</v>
      </c>
      <c r="K3757" s="12" t="s">
        <v>82</v>
      </c>
      <c r="L3757" s="14"/>
      <c r="M3757" s="12" t="s">
        <v>43</v>
      </c>
      <c r="N3757" s="12" t="s">
        <v>84</v>
      </c>
      <c r="O3757" s="12" t="s">
        <v>13478</v>
      </c>
      <c r="P3757" s="12" t="s">
        <v>46</v>
      </c>
      <c r="Q3757" s="12" t="s">
        <v>47</v>
      </c>
      <c r="R3757" s="12" t="s">
        <v>163</v>
      </c>
      <c r="S3757" s="13">
        <v>197804424641</v>
      </c>
      <c r="T3757" s="12" t="s">
        <v>105</v>
      </c>
      <c r="U3757" s="13">
        <v>43</v>
      </c>
      <c r="V3757" s="12" t="s">
        <v>375</v>
      </c>
      <c r="W3757" s="12" t="s">
        <v>186</v>
      </c>
      <c r="X3757" s="14"/>
      <c r="Y3757" s="14"/>
      <c r="Z3757" s="14"/>
      <c r="AA3757" s="14"/>
      <c r="AB3757" s="14"/>
      <c r="AC3757" s="15">
        <v>36.4</v>
      </c>
      <c r="AD3757" s="15">
        <f>AC3757*AG3757</f>
        <v>36.4</v>
      </c>
      <c r="AE3757" s="15">
        <v>80</v>
      </c>
      <c r="AF3757" s="15">
        <f>AE3757*AG3757</f>
        <v>80</v>
      </c>
      <c r="AG3757" s="16">
        <v>1</v>
      </c>
    </row>
    <row r="3758" spans="1:33" ht="15" customHeight="1" x14ac:dyDescent="0.2">
      <c r="A3758" s="11" t="str">
        <f t="shared" si="1260"/>
        <v>VN000BVZ1NU1</v>
      </c>
      <c r="B3758" s="12" t="s">
        <v>13479</v>
      </c>
      <c r="C3758" s="12" t="s">
        <v>3586</v>
      </c>
      <c r="D3758" s="12" t="s">
        <v>783</v>
      </c>
      <c r="E3758" s="12" t="s">
        <v>13480</v>
      </c>
      <c r="F3758" s="13">
        <v>105</v>
      </c>
      <c r="G3758" s="12" t="s">
        <v>2273</v>
      </c>
      <c r="H3758" s="12" t="s">
        <v>38</v>
      </c>
      <c r="I3758" s="12" t="s">
        <v>159</v>
      </c>
      <c r="J3758" s="12" t="s">
        <v>160</v>
      </c>
      <c r="K3758" s="12" t="s">
        <v>82</v>
      </c>
      <c r="L3758" s="14"/>
      <c r="M3758" s="12" t="s">
        <v>43</v>
      </c>
      <c r="N3758" s="12" t="s">
        <v>84</v>
      </c>
      <c r="O3758" s="12" t="s">
        <v>13481</v>
      </c>
      <c r="P3758" s="12" t="s">
        <v>46</v>
      </c>
      <c r="Q3758" s="12" t="s">
        <v>47</v>
      </c>
      <c r="R3758" s="12" t="s">
        <v>163</v>
      </c>
      <c r="S3758" s="13">
        <v>197804424696</v>
      </c>
      <c r="T3758" s="12" t="s">
        <v>105</v>
      </c>
      <c r="U3758" s="13">
        <v>44</v>
      </c>
      <c r="V3758" s="12" t="s">
        <v>375</v>
      </c>
      <c r="W3758" s="12" t="s">
        <v>186</v>
      </c>
      <c r="X3758" s="14"/>
      <c r="Y3758" s="14"/>
      <c r="Z3758" s="14"/>
      <c r="AA3758" s="14"/>
      <c r="AB3758" s="14"/>
      <c r="AC3758" s="15">
        <v>36.4</v>
      </c>
      <c r="AD3758" s="15">
        <f>AC3758*AG3758</f>
        <v>36.4</v>
      </c>
      <c r="AE3758" s="15">
        <v>80</v>
      </c>
      <c r="AF3758" s="15">
        <f>AE3758*AG3758</f>
        <v>80</v>
      </c>
      <c r="AG3758" s="16">
        <v>1</v>
      </c>
    </row>
    <row r="3759" spans="1:33" ht="15" customHeight="1" x14ac:dyDescent="0.2">
      <c r="A3759" s="11" t="str">
        <f t="shared" si="1260"/>
        <v>VN000BVZ1NU1</v>
      </c>
      <c r="B3759" s="12" t="s">
        <v>13482</v>
      </c>
      <c r="C3759" s="12" t="s">
        <v>3586</v>
      </c>
      <c r="D3759" s="12" t="s">
        <v>783</v>
      </c>
      <c r="E3759" s="12" t="s">
        <v>13483</v>
      </c>
      <c r="F3759" s="13">
        <v>110</v>
      </c>
      <c r="G3759" s="12" t="s">
        <v>2273</v>
      </c>
      <c r="H3759" s="12" t="s">
        <v>38</v>
      </c>
      <c r="I3759" s="12" t="s">
        <v>159</v>
      </c>
      <c r="J3759" s="12" t="s">
        <v>160</v>
      </c>
      <c r="K3759" s="12" t="s">
        <v>82</v>
      </c>
      <c r="L3759" s="14"/>
      <c r="M3759" s="12" t="s">
        <v>43</v>
      </c>
      <c r="N3759" s="12" t="s">
        <v>84</v>
      </c>
      <c r="O3759" s="12" t="s">
        <v>13484</v>
      </c>
      <c r="P3759" s="12" t="s">
        <v>46</v>
      </c>
      <c r="Q3759" s="12" t="s">
        <v>47</v>
      </c>
      <c r="R3759" s="12" t="s">
        <v>163</v>
      </c>
      <c r="S3759" s="13">
        <v>197804425037</v>
      </c>
      <c r="T3759" s="12" t="s">
        <v>105</v>
      </c>
      <c r="U3759" s="13">
        <v>44.5</v>
      </c>
      <c r="V3759" s="12" t="s">
        <v>375</v>
      </c>
      <c r="W3759" s="12" t="s">
        <v>186</v>
      </c>
      <c r="X3759" s="14"/>
      <c r="Y3759" s="14"/>
      <c r="Z3759" s="14"/>
      <c r="AA3759" s="14"/>
      <c r="AB3759" s="14"/>
      <c r="AC3759" s="15">
        <v>36.4</v>
      </c>
      <c r="AD3759" s="15">
        <f>AC3759*AG3759</f>
        <v>36.4</v>
      </c>
      <c r="AE3759" s="15">
        <v>80</v>
      </c>
      <c r="AF3759" s="15">
        <f>AE3759*AG3759</f>
        <v>80</v>
      </c>
      <c r="AG3759" s="16">
        <v>1</v>
      </c>
    </row>
    <row r="3760" spans="1:33" ht="15" customHeight="1" x14ac:dyDescent="0.2">
      <c r="A3760" s="11" t="str">
        <f t="shared" si="1260"/>
        <v>VN000BVZ1NU1</v>
      </c>
      <c r="B3760" s="12" t="s">
        <v>13485</v>
      </c>
      <c r="C3760" s="12" t="s">
        <v>3586</v>
      </c>
      <c r="D3760" s="12" t="s">
        <v>783</v>
      </c>
      <c r="E3760" s="12" t="s">
        <v>13486</v>
      </c>
      <c r="F3760" s="13">
        <v>115</v>
      </c>
      <c r="G3760" s="12" t="s">
        <v>2273</v>
      </c>
      <c r="H3760" s="12" t="s">
        <v>38</v>
      </c>
      <c r="I3760" s="12" t="s">
        <v>159</v>
      </c>
      <c r="J3760" s="12" t="s">
        <v>160</v>
      </c>
      <c r="K3760" s="12" t="s">
        <v>82</v>
      </c>
      <c r="L3760" s="14"/>
      <c r="M3760" s="12" t="s">
        <v>43</v>
      </c>
      <c r="N3760" s="12" t="s">
        <v>84</v>
      </c>
      <c r="O3760" s="12" t="s">
        <v>13487</v>
      </c>
      <c r="P3760" s="12" t="s">
        <v>46</v>
      </c>
      <c r="Q3760" s="12" t="s">
        <v>47</v>
      </c>
      <c r="R3760" s="12" t="s">
        <v>163</v>
      </c>
      <c r="S3760" s="13">
        <v>197804425068</v>
      </c>
      <c r="T3760" s="12" t="s">
        <v>105</v>
      </c>
      <c r="U3760" s="13">
        <v>45</v>
      </c>
      <c r="V3760" s="12" t="s">
        <v>375</v>
      </c>
      <c r="W3760" s="12" t="s">
        <v>186</v>
      </c>
      <c r="X3760" s="14"/>
      <c r="Y3760" s="14"/>
      <c r="Z3760" s="14"/>
      <c r="AA3760" s="14"/>
      <c r="AB3760" s="14"/>
      <c r="AC3760" s="15">
        <v>36.4</v>
      </c>
      <c r="AD3760" s="15">
        <f>AC3760*AG3760</f>
        <v>36.4</v>
      </c>
      <c r="AE3760" s="15">
        <v>80</v>
      </c>
      <c r="AF3760" s="15">
        <f>AE3760*AG3760</f>
        <v>80</v>
      </c>
      <c r="AG3760" s="16">
        <v>1</v>
      </c>
    </row>
    <row r="3761" spans="1:33" ht="15" customHeight="1" x14ac:dyDescent="0.2">
      <c r="A3761" s="11" t="str">
        <f t="shared" ref="A3761:A3762" si="1261">HYPERLINK("https://assets.vans.eu/images/VN000BVZ239-HERO/1","VN000BVZ2391")</f>
        <v>VN000BVZ2391</v>
      </c>
      <c r="B3761" s="12" t="s">
        <v>13488</v>
      </c>
      <c r="C3761" s="12" t="s">
        <v>3586</v>
      </c>
      <c r="D3761" s="12" t="s">
        <v>1609</v>
      </c>
      <c r="E3761" s="12" t="s">
        <v>13489</v>
      </c>
      <c r="F3761" s="13">
        <v>85</v>
      </c>
      <c r="G3761" s="12" t="s">
        <v>5647</v>
      </c>
      <c r="H3761" s="12" t="s">
        <v>38</v>
      </c>
      <c r="I3761" s="12" t="s">
        <v>159</v>
      </c>
      <c r="J3761" s="12" t="s">
        <v>160</v>
      </c>
      <c r="K3761" s="12" t="s">
        <v>82</v>
      </c>
      <c r="L3761" s="14"/>
      <c r="M3761" s="12" t="s">
        <v>43</v>
      </c>
      <c r="N3761" s="12" t="s">
        <v>84</v>
      </c>
      <c r="O3761" s="12" t="s">
        <v>13490</v>
      </c>
      <c r="P3761" s="12" t="s">
        <v>46</v>
      </c>
      <c r="Q3761" s="12" t="s">
        <v>47</v>
      </c>
      <c r="R3761" s="12" t="s">
        <v>163</v>
      </c>
      <c r="S3761" s="13">
        <v>197804424610</v>
      </c>
      <c r="T3761" s="12" t="s">
        <v>49</v>
      </c>
      <c r="U3761" s="13">
        <v>41</v>
      </c>
      <c r="V3761" s="12" t="s">
        <v>209</v>
      </c>
      <c r="W3761" s="12" t="s">
        <v>455</v>
      </c>
      <c r="X3761" s="14"/>
      <c r="Y3761" s="14"/>
      <c r="Z3761" s="14"/>
      <c r="AA3761" s="14"/>
      <c r="AB3761" s="14"/>
      <c r="AC3761" s="15">
        <v>36.4</v>
      </c>
      <c r="AD3761" s="15">
        <f>AC3761*AG3761</f>
        <v>36.4</v>
      </c>
      <c r="AE3761" s="15">
        <v>80</v>
      </c>
      <c r="AF3761" s="15">
        <f>AE3761*AG3761</f>
        <v>80</v>
      </c>
      <c r="AG3761" s="16">
        <v>1</v>
      </c>
    </row>
    <row r="3762" spans="1:33" ht="15" customHeight="1" x14ac:dyDescent="0.2">
      <c r="A3762" s="11" t="str">
        <f t="shared" si="1261"/>
        <v>VN000BVZ2391</v>
      </c>
      <c r="B3762" s="12" t="s">
        <v>13491</v>
      </c>
      <c r="C3762" s="12" t="s">
        <v>3586</v>
      </c>
      <c r="D3762" s="12" t="s">
        <v>1609</v>
      </c>
      <c r="E3762" s="12" t="s">
        <v>13492</v>
      </c>
      <c r="F3762" s="13">
        <v>115</v>
      </c>
      <c r="G3762" s="12" t="s">
        <v>5647</v>
      </c>
      <c r="H3762" s="12" t="s">
        <v>38</v>
      </c>
      <c r="I3762" s="12" t="s">
        <v>159</v>
      </c>
      <c r="J3762" s="12" t="s">
        <v>160</v>
      </c>
      <c r="K3762" s="12" t="s">
        <v>82</v>
      </c>
      <c r="L3762" s="14"/>
      <c r="M3762" s="12" t="s">
        <v>43</v>
      </c>
      <c r="N3762" s="12" t="s">
        <v>84</v>
      </c>
      <c r="O3762" s="12" t="s">
        <v>13493</v>
      </c>
      <c r="P3762" s="12" t="s">
        <v>46</v>
      </c>
      <c r="Q3762" s="12" t="s">
        <v>47</v>
      </c>
      <c r="R3762" s="12" t="s">
        <v>163</v>
      </c>
      <c r="S3762" s="13">
        <v>197804425372</v>
      </c>
      <c r="T3762" s="12" t="s">
        <v>49</v>
      </c>
      <c r="U3762" s="13">
        <v>45</v>
      </c>
      <c r="V3762" s="12" t="s">
        <v>209</v>
      </c>
      <c r="W3762" s="12" t="s">
        <v>455</v>
      </c>
      <c r="X3762" s="14"/>
      <c r="Y3762" s="14"/>
      <c r="Z3762" s="14"/>
      <c r="AA3762" s="14"/>
      <c r="AB3762" s="14"/>
      <c r="AC3762" s="15">
        <v>36.4</v>
      </c>
      <c r="AD3762" s="15">
        <f>AC3762*AG3762</f>
        <v>36.4</v>
      </c>
      <c r="AE3762" s="15">
        <v>80</v>
      </c>
      <c r="AF3762" s="15">
        <f>AE3762*AG3762</f>
        <v>80</v>
      </c>
      <c r="AG3762" s="16">
        <v>1</v>
      </c>
    </row>
    <row r="3763" spans="1:33" ht="15" customHeight="1" x14ac:dyDescent="0.2">
      <c r="A3763" s="11" t="str">
        <f>HYPERLINK("https://assets.vans.eu/images/VN000BVZFRL-HERO/1","VN000BVZFRL1")</f>
        <v>VN000BVZFRL1</v>
      </c>
      <c r="B3763" s="12" t="s">
        <v>13494</v>
      </c>
      <c r="C3763" s="12" t="s">
        <v>3586</v>
      </c>
      <c r="D3763" s="12" t="s">
        <v>13495</v>
      </c>
      <c r="E3763" s="12" t="s">
        <v>13496</v>
      </c>
      <c r="F3763" s="13">
        <v>90</v>
      </c>
      <c r="G3763" s="12" t="s">
        <v>13497</v>
      </c>
      <c r="H3763" s="12" t="s">
        <v>38</v>
      </c>
      <c r="I3763" s="12" t="s">
        <v>159</v>
      </c>
      <c r="J3763" s="12" t="s">
        <v>160</v>
      </c>
      <c r="K3763" s="12" t="s">
        <v>82</v>
      </c>
      <c r="L3763" s="12" t="s">
        <v>42</v>
      </c>
      <c r="M3763" s="12" t="s">
        <v>43</v>
      </c>
      <c r="N3763" s="12" t="s">
        <v>274</v>
      </c>
      <c r="O3763" s="12" t="s">
        <v>13498</v>
      </c>
      <c r="P3763" s="12" t="s">
        <v>46</v>
      </c>
      <c r="Q3763" s="12" t="s">
        <v>47</v>
      </c>
      <c r="R3763" s="12" t="s">
        <v>163</v>
      </c>
      <c r="S3763" s="13">
        <v>197064704606</v>
      </c>
      <c r="T3763" s="12" t="s">
        <v>49</v>
      </c>
      <c r="U3763" s="13">
        <v>42</v>
      </c>
      <c r="V3763" s="12" t="s">
        <v>209</v>
      </c>
      <c r="W3763" s="12" t="s">
        <v>175</v>
      </c>
      <c r="X3763" s="14"/>
      <c r="Y3763" s="12" t="s">
        <v>91</v>
      </c>
      <c r="Z3763" s="12" t="s">
        <v>92</v>
      </c>
      <c r="AA3763" s="12" t="s">
        <v>3224</v>
      </c>
      <c r="AB3763" s="12" t="s">
        <v>55</v>
      </c>
      <c r="AC3763" s="15">
        <v>34.1</v>
      </c>
      <c r="AD3763" s="15">
        <f>AC3763*AG3763</f>
        <v>34.1</v>
      </c>
      <c r="AE3763" s="15">
        <v>75</v>
      </c>
      <c r="AF3763" s="15">
        <f>AE3763*AG3763</f>
        <v>75</v>
      </c>
      <c r="AG3763" s="16">
        <v>1</v>
      </c>
    </row>
    <row r="3764" spans="1:33" ht="15" customHeight="1" x14ac:dyDescent="0.2">
      <c r="A3764" s="11" t="str">
        <f>HYPERLINK("https://assets.vans.eu/images/VN000BW7EME-HERO/1","VN000BW7EME1")</f>
        <v>VN000BW7EME1</v>
      </c>
      <c r="B3764" s="12" t="s">
        <v>13499</v>
      </c>
      <c r="C3764" s="12" t="s">
        <v>309</v>
      </c>
      <c r="D3764" s="12" t="s">
        <v>5920</v>
      </c>
      <c r="E3764" s="12" t="s">
        <v>13500</v>
      </c>
      <c r="F3764" s="13">
        <v>60</v>
      </c>
      <c r="G3764" s="14"/>
      <c r="H3764" s="12" t="s">
        <v>38</v>
      </c>
      <c r="I3764" s="12" t="s">
        <v>159</v>
      </c>
      <c r="J3764" s="12" t="s">
        <v>160</v>
      </c>
      <c r="K3764" s="12" t="s">
        <v>82</v>
      </c>
      <c r="L3764" s="14"/>
      <c r="M3764" s="12" t="s">
        <v>43</v>
      </c>
      <c r="N3764" s="12" t="s">
        <v>84</v>
      </c>
      <c r="O3764" s="12" t="s">
        <v>13501</v>
      </c>
      <c r="P3764" s="12" t="s">
        <v>46</v>
      </c>
      <c r="Q3764" s="12" t="s">
        <v>47</v>
      </c>
      <c r="R3764" s="12" t="s">
        <v>1660</v>
      </c>
      <c r="S3764" s="13">
        <v>197804506194</v>
      </c>
      <c r="T3764" s="12" t="s">
        <v>105</v>
      </c>
      <c r="U3764" s="13">
        <v>38</v>
      </c>
      <c r="V3764" s="12" t="s">
        <v>50</v>
      </c>
      <c r="W3764" s="12" t="s">
        <v>118</v>
      </c>
      <c r="X3764" s="14"/>
      <c r="Y3764" s="14"/>
      <c r="Z3764" s="14"/>
      <c r="AA3764" s="14"/>
      <c r="AB3764" s="14"/>
      <c r="AC3764" s="15">
        <v>50</v>
      </c>
      <c r="AD3764" s="15">
        <f>AC3764*AG3764</f>
        <v>50</v>
      </c>
      <c r="AE3764" s="15">
        <v>110</v>
      </c>
      <c r="AF3764" s="15">
        <f>AE3764*AG3764</f>
        <v>110</v>
      </c>
      <c r="AG3764" s="16">
        <v>1</v>
      </c>
    </row>
    <row r="3765" spans="1:33" ht="15" customHeight="1" x14ac:dyDescent="0.2">
      <c r="A3765" s="11" t="str">
        <f t="shared" si="987"/>
        <v>VN000BWB0VW1</v>
      </c>
      <c r="B3765" s="12" t="s">
        <v>13502</v>
      </c>
      <c r="C3765" s="12" t="s">
        <v>9061</v>
      </c>
      <c r="D3765" s="12" t="s">
        <v>628</v>
      </c>
      <c r="E3765" s="12" t="s">
        <v>13503</v>
      </c>
      <c r="F3765" s="13">
        <v>85</v>
      </c>
      <c r="G3765" s="12" t="s">
        <v>9063</v>
      </c>
      <c r="H3765" s="12" t="s">
        <v>38</v>
      </c>
      <c r="I3765" s="12" t="s">
        <v>159</v>
      </c>
      <c r="J3765" s="12" t="s">
        <v>255</v>
      </c>
      <c r="K3765" s="12" t="s">
        <v>82</v>
      </c>
      <c r="L3765" s="14"/>
      <c r="M3765" s="12" t="s">
        <v>43</v>
      </c>
      <c r="N3765" s="12" t="s">
        <v>161</v>
      </c>
      <c r="O3765" s="12" t="s">
        <v>13504</v>
      </c>
      <c r="P3765" s="12" t="s">
        <v>46</v>
      </c>
      <c r="Q3765" s="12" t="s">
        <v>47</v>
      </c>
      <c r="R3765" s="12" t="s">
        <v>163</v>
      </c>
      <c r="S3765" s="13">
        <v>197065528805</v>
      </c>
      <c r="T3765" s="12" t="s">
        <v>105</v>
      </c>
      <c r="U3765" s="13">
        <v>41</v>
      </c>
      <c r="V3765" s="12" t="s">
        <v>50</v>
      </c>
      <c r="W3765" s="12" t="s">
        <v>175</v>
      </c>
      <c r="X3765" s="14"/>
      <c r="Y3765" s="12" t="s">
        <v>91</v>
      </c>
      <c r="Z3765" s="12" t="s">
        <v>165</v>
      </c>
      <c r="AA3765" s="14"/>
      <c r="AB3765" s="14"/>
      <c r="AC3765" s="15">
        <v>47.75</v>
      </c>
      <c r="AD3765" s="15">
        <f>AC3765*AG3765</f>
        <v>47.75</v>
      </c>
      <c r="AE3765" s="15">
        <v>105</v>
      </c>
      <c r="AF3765" s="15">
        <f>AE3765*AG3765</f>
        <v>105</v>
      </c>
      <c r="AG3765" s="16">
        <v>1</v>
      </c>
    </row>
    <row r="3766" spans="1:33" ht="15" customHeight="1" x14ac:dyDescent="0.2">
      <c r="A3766" s="11" t="str">
        <f>HYPERLINK("https://assets.vans.eu/images/VN000CMTNGV-HERO/1","VN000CMTNGV1")</f>
        <v>VN000CMTNGV1</v>
      </c>
      <c r="B3766" s="12" t="s">
        <v>13505</v>
      </c>
      <c r="C3766" s="12" t="s">
        <v>4037</v>
      </c>
      <c r="D3766" s="12" t="s">
        <v>13506</v>
      </c>
      <c r="E3766" s="12" t="s">
        <v>13507</v>
      </c>
      <c r="F3766" s="13">
        <v>110</v>
      </c>
      <c r="G3766" s="12" t="s">
        <v>13508</v>
      </c>
      <c r="H3766" s="12" t="s">
        <v>38</v>
      </c>
      <c r="I3766" s="12" t="s">
        <v>159</v>
      </c>
      <c r="J3766" s="12" t="s">
        <v>255</v>
      </c>
      <c r="K3766" s="12" t="s">
        <v>82</v>
      </c>
      <c r="L3766" s="14"/>
      <c r="M3766" s="12" t="s">
        <v>43</v>
      </c>
      <c r="N3766" s="12" t="s">
        <v>161</v>
      </c>
      <c r="O3766" s="12" t="s">
        <v>13509</v>
      </c>
      <c r="P3766" s="12" t="s">
        <v>46</v>
      </c>
      <c r="Q3766" s="12" t="s">
        <v>47</v>
      </c>
      <c r="R3766" s="12" t="s">
        <v>163</v>
      </c>
      <c r="S3766" s="13">
        <v>197065533663</v>
      </c>
      <c r="T3766" s="12" t="s">
        <v>105</v>
      </c>
      <c r="U3766" s="13">
        <v>44.5</v>
      </c>
      <c r="V3766" s="12" t="s">
        <v>50</v>
      </c>
      <c r="W3766" s="12" t="s">
        <v>284</v>
      </c>
      <c r="X3766" s="14"/>
      <c r="Y3766" s="12" t="s">
        <v>91</v>
      </c>
      <c r="Z3766" s="12" t="s">
        <v>13510</v>
      </c>
      <c r="AA3766" s="14"/>
      <c r="AB3766" s="14"/>
      <c r="AC3766" s="15">
        <v>43.2</v>
      </c>
      <c r="AD3766" s="15">
        <f>AC3766*AG3766</f>
        <v>43.2</v>
      </c>
      <c r="AE3766" s="15">
        <v>95</v>
      </c>
      <c r="AF3766" s="15">
        <f>AE3766*AG3766</f>
        <v>95</v>
      </c>
      <c r="AG3766" s="16">
        <v>1</v>
      </c>
    </row>
    <row r="3767" spans="1:33" ht="15" customHeight="1" x14ac:dyDescent="0.2">
      <c r="A3767" s="11" t="str">
        <f>HYPERLINK("https://assets.vans.eu/images/VN000CMX239-HERO/1","VN000CMX2391")</f>
        <v>VN000CMX2391</v>
      </c>
      <c r="B3767" s="12" t="s">
        <v>13511</v>
      </c>
      <c r="C3767" s="12" t="s">
        <v>309</v>
      </c>
      <c r="D3767" s="12" t="s">
        <v>1609</v>
      </c>
      <c r="E3767" s="12" t="s">
        <v>13512</v>
      </c>
      <c r="F3767" s="13">
        <v>70</v>
      </c>
      <c r="G3767" s="12" t="s">
        <v>1658</v>
      </c>
      <c r="H3767" s="12" t="s">
        <v>38</v>
      </c>
      <c r="I3767" s="12" t="s">
        <v>159</v>
      </c>
      <c r="J3767" s="12" t="s">
        <v>160</v>
      </c>
      <c r="K3767" s="12" t="s">
        <v>82</v>
      </c>
      <c r="L3767" s="14"/>
      <c r="M3767" s="12" t="s">
        <v>43</v>
      </c>
      <c r="N3767" s="12" t="s">
        <v>84</v>
      </c>
      <c r="O3767" s="12" t="s">
        <v>13513</v>
      </c>
      <c r="P3767" s="12" t="s">
        <v>46</v>
      </c>
      <c r="Q3767" s="12" t="s">
        <v>47</v>
      </c>
      <c r="R3767" s="12" t="s">
        <v>1660</v>
      </c>
      <c r="S3767" s="13">
        <v>197065631741</v>
      </c>
      <c r="T3767" s="12" t="s">
        <v>105</v>
      </c>
      <c r="U3767" s="13">
        <v>39</v>
      </c>
      <c r="V3767" s="12" t="s">
        <v>50</v>
      </c>
      <c r="W3767" s="12" t="s">
        <v>455</v>
      </c>
      <c r="X3767" s="14"/>
      <c r="Y3767" s="12" t="s">
        <v>91</v>
      </c>
      <c r="Z3767" s="12" t="s">
        <v>165</v>
      </c>
      <c r="AA3767" s="14"/>
      <c r="AB3767" s="14"/>
      <c r="AC3767" s="15">
        <v>47.75</v>
      </c>
      <c r="AD3767" s="15">
        <f>AC3767*AG3767</f>
        <v>47.75</v>
      </c>
      <c r="AE3767" s="15">
        <v>105</v>
      </c>
      <c r="AF3767" s="15">
        <f>AE3767*AG3767</f>
        <v>105</v>
      </c>
      <c r="AG3767" s="16">
        <v>1</v>
      </c>
    </row>
    <row r="3768" spans="1:33" ht="15" customHeight="1" x14ac:dyDescent="0.2">
      <c r="A3768" s="11" t="str">
        <f>HYPERLINK("https://assets.vans.eu/images/VN000CMX9JC-HERO/1","VN000CMX9JC1")</f>
        <v>VN000CMX9JC1</v>
      </c>
      <c r="B3768" s="12" t="s">
        <v>13514</v>
      </c>
      <c r="C3768" s="12" t="s">
        <v>309</v>
      </c>
      <c r="D3768" s="12" t="s">
        <v>4481</v>
      </c>
      <c r="E3768" s="12" t="s">
        <v>13515</v>
      </c>
      <c r="F3768" s="13">
        <v>45</v>
      </c>
      <c r="G3768" s="14"/>
      <c r="H3768" s="12" t="s">
        <v>38</v>
      </c>
      <c r="I3768" s="12" t="s">
        <v>159</v>
      </c>
      <c r="J3768" s="12" t="s">
        <v>160</v>
      </c>
      <c r="K3768" s="12" t="s">
        <v>82</v>
      </c>
      <c r="L3768" s="14"/>
      <c r="M3768" s="12" t="s">
        <v>43</v>
      </c>
      <c r="N3768" s="12" t="s">
        <v>274</v>
      </c>
      <c r="O3768" s="12" t="s">
        <v>13516</v>
      </c>
      <c r="P3768" s="12" t="s">
        <v>46</v>
      </c>
      <c r="Q3768" s="12" t="s">
        <v>47</v>
      </c>
      <c r="R3768" s="12" t="s">
        <v>1660</v>
      </c>
      <c r="S3768" s="13">
        <v>197063277149</v>
      </c>
      <c r="T3768" s="12" t="s">
        <v>105</v>
      </c>
      <c r="U3768" s="13">
        <v>36</v>
      </c>
      <c r="V3768" s="12" t="s">
        <v>50</v>
      </c>
      <c r="W3768" s="12" t="s">
        <v>186</v>
      </c>
      <c r="X3768" s="14"/>
      <c r="Y3768" s="12" t="s">
        <v>91</v>
      </c>
      <c r="Z3768" s="12" t="s">
        <v>165</v>
      </c>
      <c r="AA3768" s="14"/>
      <c r="AB3768" s="14"/>
      <c r="AC3768" s="15">
        <v>40.950000000000003</v>
      </c>
      <c r="AD3768" s="15">
        <f>AC3768*AG3768</f>
        <v>40.950000000000003</v>
      </c>
      <c r="AE3768" s="15">
        <v>90</v>
      </c>
      <c r="AF3768" s="15">
        <f>AE3768*AG3768</f>
        <v>90</v>
      </c>
      <c r="AG3768" s="16">
        <v>1</v>
      </c>
    </row>
    <row r="3769" spans="1:33" ht="15" customHeight="1" x14ac:dyDescent="0.2">
      <c r="A3769" s="11" t="str">
        <f>HYPERLINK("https://assets.vans.eu/images/VN000CMXM8I-HERO/1","VN000CMXM8I1")</f>
        <v>VN000CMXM8I1</v>
      </c>
      <c r="B3769" s="12" t="s">
        <v>13517</v>
      </c>
      <c r="C3769" s="12" t="s">
        <v>309</v>
      </c>
      <c r="D3769" s="12" t="s">
        <v>1487</v>
      </c>
      <c r="E3769" s="12" t="s">
        <v>13518</v>
      </c>
      <c r="F3769" s="13">
        <v>55</v>
      </c>
      <c r="G3769" s="14"/>
      <c r="H3769" s="12" t="s">
        <v>38</v>
      </c>
      <c r="I3769" s="12" t="s">
        <v>113</v>
      </c>
      <c r="J3769" s="12" t="s">
        <v>114</v>
      </c>
      <c r="K3769" s="12" t="s">
        <v>82</v>
      </c>
      <c r="L3769" s="14"/>
      <c r="M3769" s="12" t="s">
        <v>43</v>
      </c>
      <c r="N3769" s="12" t="s">
        <v>161</v>
      </c>
      <c r="O3769" s="12" t="s">
        <v>13519</v>
      </c>
      <c r="P3769" s="12" t="s">
        <v>46</v>
      </c>
      <c r="Q3769" s="12" t="s">
        <v>47</v>
      </c>
      <c r="R3769" s="12" t="s">
        <v>948</v>
      </c>
      <c r="S3769" s="13">
        <v>197065635138</v>
      </c>
      <c r="T3769" s="12" t="s">
        <v>49</v>
      </c>
      <c r="U3769" s="13">
        <v>37</v>
      </c>
      <c r="V3769" s="12" t="s">
        <v>50</v>
      </c>
      <c r="W3769" s="12" t="s">
        <v>118</v>
      </c>
      <c r="X3769" s="14"/>
      <c r="Y3769" s="12" t="s">
        <v>91</v>
      </c>
      <c r="Z3769" s="12" t="s">
        <v>165</v>
      </c>
      <c r="AA3769" s="14"/>
      <c r="AB3769" s="14"/>
      <c r="AC3769" s="15">
        <v>47.75</v>
      </c>
      <c r="AD3769" s="15">
        <f>AC3769*AG3769</f>
        <v>47.75</v>
      </c>
      <c r="AE3769" s="15">
        <v>105</v>
      </c>
      <c r="AF3769" s="15">
        <f>AE3769*AG3769</f>
        <v>105</v>
      </c>
      <c r="AG3769" s="16">
        <v>1</v>
      </c>
    </row>
    <row r="3770" spans="1:33" ht="15" customHeight="1" x14ac:dyDescent="0.2">
      <c r="A3770" s="11" t="str">
        <f t="shared" si="451"/>
        <v>VN000CMXN1Z1</v>
      </c>
      <c r="B3770" s="12" t="s">
        <v>13520</v>
      </c>
      <c r="C3770" s="12" t="s">
        <v>309</v>
      </c>
      <c r="D3770" s="12" t="s">
        <v>1656</v>
      </c>
      <c r="E3770" s="12" t="s">
        <v>13521</v>
      </c>
      <c r="F3770" s="13">
        <v>35</v>
      </c>
      <c r="G3770" s="12" t="s">
        <v>1658</v>
      </c>
      <c r="H3770" s="12" t="s">
        <v>38</v>
      </c>
      <c r="I3770" s="12" t="s">
        <v>159</v>
      </c>
      <c r="J3770" s="12" t="s">
        <v>160</v>
      </c>
      <c r="K3770" s="12" t="s">
        <v>82</v>
      </c>
      <c r="L3770" s="14"/>
      <c r="M3770" s="12" t="s">
        <v>43</v>
      </c>
      <c r="N3770" s="12" t="s">
        <v>84</v>
      </c>
      <c r="O3770" s="12" t="s">
        <v>13522</v>
      </c>
      <c r="P3770" s="12" t="s">
        <v>46</v>
      </c>
      <c r="Q3770" s="12" t="s">
        <v>47</v>
      </c>
      <c r="R3770" s="12" t="s">
        <v>1660</v>
      </c>
      <c r="S3770" s="13">
        <v>197065634049</v>
      </c>
      <c r="T3770" s="12" t="s">
        <v>164</v>
      </c>
      <c r="U3770" s="13">
        <v>34.5</v>
      </c>
      <c r="V3770" s="12" t="s">
        <v>50</v>
      </c>
      <c r="W3770" s="12" t="s">
        <v>186</v>
      </c>
      <c r="X3770" s="14"/>
      <c r="Y3770" s="12" t="s">
        <v>91</v>
      </c>
      <c r="Z3770" s="12" t="s">
        <v>165</v>
      </c>
      <c r="AA3770" s="14"/>
      <c r="AB3770" s="14"/>
      <c r="AC3770" s="15">
        <v>47.75</v>
      </c>
      <c r="AD3770" s="15">
        <f>AC3770*AG3770</f>
        <v>47.75</v>
      </c>
      <c r="AE3770" s="15">
        <v>105</v>
      </c>
      <c r="AF3770" s="15">
        <f>AE3770*AG3770</f>
        <v>105</v>
      </c>
      <c r="AG3770" s="16">
        <v>1</v>
      </c>
    </row>
    <row r="3771" spans="1:33" ht="15" customHeight="1" x14ac:dyDescent="0.2">
      <c r="A3771" s="11" t="str">
        <f>HYPERLINK("https://assets.vans.eu/images/VN000CP67VF-HERO/1","VN000CP67VF1")</f>
        <v>VN000CP67VF1</v>
      </c>
      <c r="B3771" s="12" t="s">
        <v>13523</v>
      </c>
      <c r="C3771" s="12" t="s">
        <v>6983</v>
      </c>
      <c r="D3771" s="12" t="s">
        <v>641</v>
      </c>
      <c r="E3771" s="12" t="s">
        <v>13524</v>
      </c>
      <c r="F3771" s="13">
        <v>85</v>
      </c>
      <c r="G3771" s="12" t="s">
        <v>3002</v>
      </c>
      <c r="H3771" s="12" t="s">
        <v>38</v>
      </c>
      <c r="I3771" s="12" t="s">
        <v>113</v>
      </c>
      <c r="J3771" s="12" t="s">
        <v>114</v>
      </c>
      <c r="K3771" s="12" t="s">
        <v>82</v>
      </c>
      <c r="L3771" s="14"/>
      <c r="M3771" s="12" t="s">
        <v>43</v>
      </c>
      <c r="N3771" s="12" t="s">
        <v>161</v>
      </c>
      <c r="O3771" s="12" t="s">
        <v>13525</v>
      </c>
      <c r="P3771" s="12" t="s">
        <v>46</v>
      </c>
      <c r="Q3771" s="12" t="s">
        <v>47</v>
      </c>
      <c r="R3771" s="12" t="s">
        <v>117</v>
      </c>
      <c r="S3771" s="13">
        <v>197065536374</v>
      </c>
      <c r="T3771" s="12" t="s">
        <v>49</v>
      </c>
      <c r="U3771" s="13">
        <v>41</v>
      </c>
      <c r="V3771" s="12" t="s">
        <v>50</v>
      </c>
      <c r="W3771" s="12" t="s">
        <v>455</v>
      </c>
      <c r="X3771" s="14"/>
      <c r="Y3771" s="12" t="s">
        <v>91</v>
      </c>
      <c r="Z3771" s="12" t="s">
        <v>165</v>
      </c>
      <c r="AA3771" s="14"/>
      <c r="AB3771" s="14"/>
      <c r="AC3771" s="15">
        <v>52.3</v>
      </c>
      <c r="AD3771" s="15">
        <f>AC3771*AG3771</f>
        <v>52.3</v>
      </c>
      <c r="AE3771" s="15">
        <v>115</v>
      </c>
      <c r="AF3771" s="15">
        <f>AE3771*AG3771</f>
        <v>115</v>
      </c>
      <c r="AG3771" s="16">
        <v>1</v>
      </c>
    </row>
    <row r="3772" spans="1:33" ht="15" customHeight="1" x14ac:dyDescent="0.2">
      <c r="A3772" s="11" t="str">
        <f t="shared" ref="A3772:A3773" si="1262">HYPERLINK("https://assets.vans.eu/images/VN000CP6BKA-HERO/1","VN000CP6BKA1")</f>
        <v>VN000CP6BKA1</v>
      </c>
      <c r="B3772" s="12" t="s">
        <v>13526</v>
      </c>
      <c r="C3772" s="12" t="s">
        <v>6983</v>
      </c>
      <c r="D3772" s="12" t="s">
        <v>252</v>
      </c>
      <c r="E3772" s="12" t="s">
        <v>13527</v>
      </c>
      <c r="F3772" s="13">
        <v>50</v>
      </c>
      <c r="G3772" s="14"/>
      <c r="H3772" s="12" t="s">
        <v>38</v>
      </c>
      <c r="I3772" s="12" t="s">
        <v>113</v>
      </c>
      <c r="J3772" s="12" t="s">
        <v>114</v>
      </c>
      <c r="K3772" s="12" t="s">
        <v>82</v>
      </c>
      <c r="L3772" s="14"/>
      <c r="M3772" s="12" t="s">
        <v>43</v>
      </c>
      <c r="N3772" s="12" t="s">
        <v>2457</v>
      </c>
      <c r="O3772" s="12" t="s">
        <v>13528</v>
      </c>
      <c r="P3772" s="12" t="s">
        <v>46</v>
      </c>
      <c r="Q3772" s="12" t="s">
        <v>47</v>
      </c>
      <c r="R3772" s="12" t="s">
        <v>117</v>
      </c>
      <c r="S3772" s="13">
        <v>196575346343</v>
      </c>
      <c r="T3772" s="12" t="s">
        <v>49</v>
      </c>
      <c r="U3772" s="13">
        <v>36.5</v>
      </c>
      <c r="V3772" s="12" t="s">
        <v>50</v>
      </c>
      <c r="W3772" s="12" t="s">
        <v>51</v>
      </c>
      <c r="X3772" s="14"/>
      <c r="Y3772" s="12" t="s">
        <v>53</v>
      </c>
      <c r="Z3772" s="12" t="s">
        <v>263</v>
      </c>
      <c r="AA3772" s="14"/>
      <c r="AB3772" s="14"/>
      <c r="AC3772" s="15">
        <v>50</v>
      </c>
      <c r="AD3772" s="15">
        <f>AC3772*AG3772</f>
        <v>50</v>
      </c>
      <c r="AE3772" s="15">
        <v>110</v>
      </c>
      <c r="AF3772" s="15">
        <f>AE3772*AG3772</f>
        <v>110</v>
      </c>
      <c r="AG3772" s="16">
        <v>1</v>
      </c>
    </row>
    <row r="3773" spans="1:33" ht="15" customHeight="1" x14ac:dyDescent="0.2">
      <c r="A3773" s="11" t="str">
        <f t="shared" si="1262"/>
        <v>VN000CP6BKA1</v>
      </c>
      <c r="B3773" s="12" t="s">
        <v>13529</v>
      </c>
      <c r="C3773" s="12" t="s">
        <v>6983</v>
      </c>
      <c r="D3773" s="12" t="s">
        <v>252</v>
      </c>
      <c r="E3773" s="12" t="s">
        <v>13530</v>
      </c>
      <c r="F3773" s="13">
        <v>65</v>
      </c>
      <c r="G3773" s="14"/>
      <c r="H3773" s="12" t="s">
        <v>38</v>
      </c>
      <c r="I3773" s="12" t="s">
        <v>113</v>
      </c>
      <c r="J3773" s="12" t="s">
        <v>114</v>
      </c>
      <c r="K3773" s="12" t="s">
        <v>82</v>
      </c>
      <c r="L3773" s="14"/>
      <c r="M3773" s="12" t="s">
        <v>43</v>
      </c>
      <c r="N3773" s="12" t="s">
        <v>2457</v>
      </c>
      <c r="O3773" s="12" t="s">
        <v>13531</v>
      </c>
      <c r="P3773" s="12" t="s">
        <v>46</v>
      </c>
      <c r="Q3773" s="12" t="s">
        <v>47</v>
      </c>
      <c r="R3773" s="12" t="s">
        <v>117</v>
      </c>
      <c r="S3773" s="13">
        <v>196575346848</v>
      </c>
      <c r="T3773" s="12" t="s">
        <v>49</v>
      </c>
      <c r="U3773" s="13">
        <v>38.5</v>
      </c>
      <c r="V3773" s="12" t="s">
        <v>50</v>
      </c>
      <c r="W3773" s="12" t="s">
        <v>51</v>
      </c>
      <c r="X3773" s="14"/>
      <c r="Y3773" s="12" t="s">
        <v>53</v>
      </c>
      <c r="Z3773" s="12" t="s">
        <v>263</v>
      </c>
      <c r="AA3773" s="14"/>
      <c r="AB3773" s="14"/>
      <c r="AC3773" s="15">
        <v>50</v>
      </c>
      <c r="AD3773" s="15">
        <f>AC3773*AG3773</f>
        <v>50</v>
      </c>
      <c r="AE3773" s="15">
        <v>110</v>
      </c>
      <c r="AF3773" s="15">
        <f>AE3773*AG3773</f>
        <v>110</v>
      </c>
      <c r="AG3773" s="16">
        <v>1</v>
      </c>
    </row>
    <row r="3774" spans="1:33" ht="15" customHeight="1" x14ac:dyDescent="0.2">
      <c r="A3774" s="11" t="str">
        <f t="shared" si="761"/>
        <v>VN000CP6BXC1</v>
      </c>
      <c r="B3774" s="12" t="s">
        <v>13532</v>
      </c>
      <c r="C3774" s="12" t="s">
        <v>6983</v>
      </c>
      <c r="D3774" s="12" t="s">
        <v>4900</v>
      </c>
      <c r="E3774" s="12" t="s">
        <v>13533</v>
      </c>
      <c r="F3774" s="13">
        <v>80</v>
      </c>
      <c r="G3774" s="12" t="s">
        <v>6985</v>
      </c>
      <c r="H3774" s="12" t="s">
        <v>38</v>
      </c>
      <c r="I3774" s="12" t="s">
        <v>113</v>
      </c>
      <c r="J3774" s="12" t="s">
        <v>114</v>
      </c>
      <c r="K3774" s="12" t="s">
        <v>82</v>
      </c>
      <c r="L3774" s="14"/>
      <c r="M3774" s="12" t="s">
        <v>43</v>
      </c>
      <c r="N3774" s="12" t="s">
        <v>274</v>
      </c>
      <c r="O3774" s="12" t="s">
        <v>13534</v>
      </c>
      <c r="P3774" s="12" t="s">
        <v>46</v>
      </c>
      <c r="Q3774" s="12" t="s">
        <v>47</v>
      </c>
      <c r="R3774" s="12" t="s">
        <v>117</v>
      </c>
      <c r="S3774" s="13">
        <v>197063284451</v>
      </c>
      <c r="T3774" s="12" t="s">
        <v>49</v>
      </c>
      <c r="U3774" s="13">
        <v>40.5</v>
      </c>
      <c r="V3774" s="12" t="s">
        <v>50</v>
      </c>
      <c r="W3774" s="12" t="s">
        <v>455</v>
      </c>
      <c r="X3774" s="14"/>
      <c r="Y3774" s="12" t="s">
        <v>53</v>
      </c>
      <c r="Z3774" s="12" t="s">
        <v>263</v>
      </c>
      <c r="AA3774" s="14"/>
      <c r="AB3774" s="14"/>
      <c r="AC3774" s="15">
        <v>50</v>
      </c>
      <c r="AD3774" s="15">
        <f>AC3774*AG3774</f>
        <v>50</v>
      </c>
      <c r="AE3774" s="15">
        <v>110</v>
      </c>
      <c r="AF3774" s="15">
        <f>AE3774*AG3774</f>
        <v>110</v>
      </c>
      <c r="AG3774" s="16">
        <v>1</v>
      </c>
    </row>
    <row r="3775" spans="1:33" ht="15" customHeight="1" x14ac:dyDescent="0.2">
      <c r="A3775" s="11" t="str">
        <f>HYPERLINK("https://assets.vans.eu/images/VN000CP6GRY-HERO/1","VN000CP6GRY1")</f>
        <v>VN000CP6GRY1</v>
      </c>
      <c r="B3775" s="12" t="s">
        <v>13535</v>
      </c>
      <c r="C3775" s="12" t="s">
        <v>6983</v>
      </c>
      <c r="D3775" s="12" t="s">
        <v>13536</v>
      </c>
      <c r="E3775" s="12" t="s">
        <v>13537</v>
      </c>
      <c r="F3775" s="13">
        <v>85</v>
      </c>
      <c r="G3775" s="12" t="s">
        <v>13538</v>
      </c>
      <c r="H3775" s="12" t="s">
        <v>38</v>
      </c>
      <c r="I3775" s="12" t="s">
        <v>113</v>
      </c>
      <c r="J3775" s="12" t="s">
        <v>114</v>
      </c>
      <c r="K3775" s="12" t="s">
        <v>82</v>
      </c>
      <c r="L3775" s="14"/>
      <c r="M3775" s="12" t="s">
        <v>43</v>
      </c>
      <c r="N3775" s="12" t="s">
        <v>2457</v>
      </c>
      <c r="O3775" s="12" t="s">
        <v>13539</v>
      </c>
      <c r="P3775" s="12" t="s">
        <v>46</v>
      </c>
      <c r="Q3775" s="12" t="s">
        <v>47</v>
      </c>
      <c r="R3775" s="12" t="s">
        <v>117</v>
      </c>
      <c r="S3775" s="13">
        <v>196575260502</v>
      </c>
      <c r="T3775" s="12" t="s">
        <v>49</v>
      </c>
      <c r="U3775" s="13">
        <v>41</v>
      </c>
      <c r="V3775" s="12" t="s">
        <v>50</v>
      </c>
      <c r="W3775" s="12" t="s">
        <v>455</v>
      </c>
      <c r="X3775" s="14"/>
      <c r="Y3775" s="12" t="s">
        <v>53</v>
      </c>
      <c r="Z3775" s="12" t="s">
        <v>263</v>
      </c>
      <c r="AA3775" s="14"/>
      <c r="AB3775" s="14"/>
      <c r="AC3775" s="15">
        <v>50</v>
      </c>
      <c r="AD3775" s="15">
        <f>AC3775*AG3775</f>
        <v>50</v>
      </c>
      <c r="AE3775" s="15">
        <v>110</v>
      </c>
      <c r="AF3775" s="15">
        <f>AE3775*AG3775</f>
        <v>110</v>
      </c>
      <c r="AG3775" s="16">
        <v>1</v>
      </c>
    </row>
    <row r="3776" spans="1:33" ht="15" customHeight="1" x14ac:dyDescent="0.2">
      <c r="A3776" s="11" t="str">
        <f>HYPERLINK("https://assets.vans.eu/images/VN000CQ0BLK-HERO/1","VN000CQ0BLK1")</f>
        <v>VN000CQ0BLK1</v>
      </c>
      <c r="B3776" s="12" t="s">
        <v>13540</v>
      </c>
      <c r="C3776" s="12" t="s">
        <v>1422</v>
      </c>
      <c r="D3776" s="12" t="s">
        <v>76</v>
      </c>
      <c r="E3776" s="12" t="s">
        <v>13541</v>
      </c>
      <c r="F3776" s="13">
        <v>45</v>
      </c>
      <c r="G3776" s="12" t="s">
        <v>4948</v>
      </c>
      <c r="H3776" s="12" t="s">
        <v>38</v>
      </c>
      <c r="I3776" s="12" t="s">
        <v>242</v>
      </c>
      <c r="J3776" s="12" t="s">
        <v>243</v>
      </c>
      <c r="K3776" s="12" t="s">
        <v>244</v>
      </c>
      <c r="L3776" s="14"/>
      <c r="M3776" s="12" t="s">
        <v>43</v>
      </c>
      <c r="N3776" s="12" t="s">
        <v>84</v>
      </c>
      <c r="O3776" s="12" t="s">
        <v>13542</v>
      </c>
      <c r="P3776" s="12" t="s">
        <v>46</v>
      </c>
      <c r="Q3776" s="12" t="s">
        <v>47</v>
      </c>
      <c r="R3776" s="12" t="s">
        <v>313</v>
      </c>
      <c r="S3776" s="13">
        <v>197804507054</v>
      </c>
      <c r="T3776" s="12" t="s">
        <v>105</v>
      </c>
      <c r="U3776" s="13">
        <v>20</v>
      </c>
      <c r="V3776" s="12" t="s">
        <v>50</v>
      </c>
      <c r="W3776" s="12" t="s">
        <v>51</v>
      </c>
      <c r="X3776" s="14"/>
      <c r="Y3776" s="14"/>
      <c r="Z3776" s="14"/>
      <c r="AA3776" s="14"/>
      <c r="AB3776" s="14"/>
      <c r="AC3776" s="15">
        <v>25</v>
      </c>
      <c r="AD3776" s="15">
        <f>AC3776*AG3776</f>
        <v>25</v>
      </c>
      <c r="AE3776" s="15">
        <v>55</v>
      </c>
      <c r="AF3776" s="15">
        <f>AE3776*AG3776</f>
        <v>55</v>
      </c>
      <c r="AG3776" s="16">
        <v>1</v>
      </c>
    </row>
    <row r="3777" spans="1:33" ht="15" customHeight="1" x14ac:dyDescent="0.2">
      <c r="A3777" s="11" t="str">
        <f t="shared" si="991"/>
        <v>VN000CQ0BMW1</v>
      </c>
      <c r="B3777" s="12" t="s">
        <v>13543</v>
      </c>
      <c r="C3777" s="12" t="s">
        <v>1422</v>
      </c>
      <c r="D3777" s="12" t="s">
        <v>1465</v>
      </c>
      <c r="E3777" s="12" t="s">
        <v>13544</v>
      </c>
      <c r="F3777" s="13">
        <v>45</v>
      </c>
      <c r="G3777" s="12" t="s">
        <v>9106</v>
      </c>
      <c r="H3777" s="12" t="s">
        <v>38</v>
      </c>
      <c r="I3777" s="12" t="s">
        <v>242</v>
      </c>
      <c r="J3777" s="12" t="s">
        <v>243</v>
      </c>
      <c r="K3777" s="12" t="s">
        <v>244</v>
      </c>
      <c r="L3777" s="12" t="s">
        <v>42</v>
      </c>
      <c r="M3777" s="12" t="s">
        <v>43</v>
      </c>
      <c r="N3777" s="12" t="s">
        <v>44</v>
      </c>
      <c r="O3777" s="12" t="s">
        <v>13545</v>
      </c>
      <c r="P3777" s="12" t="s">
        <v>46</v>
      </c>
      <c r="Q3777" s="12" t="s">
        <v>47</v>
      </c>
      <c r="R3777" s="12" t="s">
        <v>313</v>
      </c>
      <c r="S3777" s="13">
        <v>197643235262</v>
      </c>
      <c r="T3777" s="12" t="s">
        <v>49</v>
      </c>
      <c r="U3777" s="13">
        <v>20</v>
      </c>
      <c r="V3777" s="12" t="s">
        <v>50</v>
      </c>
      <c r="W3777" s="12" t="s">
        <v>51</v>
      </c>
      <c r="X3777" s="14"/>
      <c r="Y3777" s="12" t="s">
        <v>91</v>
      </c>
      <c r="Z3777" s="12" t="s">
        <v>92</v>
      </c>
      <c r="AA3777" s="12" t="s">
        <v>3224</v>
      </c>
      <c r="AB3777" s="12" t="s">
        <v>55</v>
      </c>
      <c r="AC3777" s="15">
        <v>25</v>
      </c>
      <c r="AD3777" s="15">
        <f>AC3777*AG3777</f>
        <v>25</v>
      </c>
      <c r="AE3777" s="15">
        <v>55</v>
      </c>
      <c r="AF3777" s="15">
        <f>AE3777*AG3777</f>
        <v>55</v>
      </c>
      <c r="AG3777" s="16">
        <v>1</v>
      </c>
    </row>
    <row r="3778" spans="1:33" ht="15" customHeight="1" x14ac:dyDescent="0.2">
      <c r="A3778" s="11" t="str">
        <f t="shared" ref="A3778:A3780" si="1263">HYPERLINK("https://assets.vans.eu/images/VN000CQ0BMW-HERO/1","VN000CQ0BMW1")</f>
        <v>VN000CQ0BMW1</v>
      </c>
      <c r="B3778" s="12" t="s">
        <v>13546</v>
      </c>
      <c r="C3778" s="12" t="s">
        <v>1422</v>
      </c>
      <c r="D3778" s="12" t="s">
        <v>1465</v>
      </c>
      <c r="E3778" s="12" t="s">
        <v>13547</v>
      </c>
      <c r="F3778" s="13">
        <v>55</v>
      </c>
      <c r="G3778" s="12" t="s">
        <v>9106</v>
      </c>
      <c r="H3778" s="12" t="s">
        <v>38</v>
      </c>
      <c r="I3778" s="12" t="s">
        <v>242</v>
      </c>
      <c r="J3778" s="12" t="s">
        <v>243</v>
      </c>
      <c r="K3778" s="12" t="s">
        <v>244</v>
      </c>
      <c r="L3778" s="12" t="s">
        <v>42</v>
      </c>
      <c r="M3778" s="12" t="s">
        <v>43</v>
      </c>
      <c r="N3778" s="12" t="s">
        <v>44</v>
      </c>
      <c r="O3778" s="12" t="s">
        <v>13548</v>
      </c>
      <c r="P3778" s="12" t="s">
        <v>46</v>
      </c>
      <c r="Q3778" s="12" t="s">
        <v>47</v>
      </c>
      <c r="R3778" s="12" t="s">
        <v>313</v>
      </c>
      <c r="S3778" s="13">
        <v>197643235576</v>
      </c>
      <c r="T3778" s="12" t="s">
        <v>49</v>
      </c>
      <c r="U3778" s="13">
        <v>21.5</v>
      </c>
      <c r="V3778" s="12" t="s">
        <v>50</v>
      </c>
      <c r="W3778" s="12" t="s">
        <v>51</v>
      </c>
      <c r="X3778" s="14"/>
      <c r="Y3778" s="12" t="s">
        <v>91</v>
      </c>
      <c r="Z3778" s="12" t="s">
        <v>92</v>
      </c>
      <c r="AA3778" s="12" t="s">
        <v>3224</v>
      </c>
      <c r="AB3778" s="12" t="s">
        <v>55</v>
      </c>
      <c r="AC3778" s="15">
        <v>25</v>
      </c>
      <c r="AD3778" s="15">
        <f>AC3778*AG3778</f>
        <v>25</v>
      </c>
      <c r="AE3778" s="15">
        <v>55</v>
      </c>
      <c r="AF3778" s="15">
        <f>AE3778*AG3778</f>
        <v>55</v>
      </c>
      <c r="AG3778" s="16">
        <v>1</v>
      </c>
    </row>
    <row r="3779" spans="1:33" ht="15" customHeight="1" x14ac:dyDescent="0.2">
      <c r="A3779" s="11" t="str">
        <f t="shared" si="1263"/>
        <v>VN000CQ0BMW1</v>
      </c>
      <c r="B3779" s="12" t="s">
        <v>13549</v>
      </c>
      <c r="C3779" s="12" t="s">
        <v>1422</v>
      </c>
      <c r="D3779" s="12" t="s">
        <v>1465</v>
      </c>
      <c r="E3779" s="12" t="s">
        <v>13550</v>
      </c>
      <c r="F3779" s="13">
        <v>65</v>
      </c>
      <c r="G3779" s="12" t="s">
        <v>9106</v>
      </c>
      <c r="H3779" s="12" t="s">
        <v>38</v>
      </c>
      <c r="I3779" s="12" t="s">
        <v>242</v>
      </c>
      <c r="J3779" s="12" t="s">
        <v>243</v>
      </c>
      <c r="K3779" s="12" t="s">
        <v>244</v>
      </c>
      <c r="L3779" s="12" t="s">
        <v>42</v>
      </c>
      <c r="M3779" s="12" t="s">
        <v>43</v>
      </c>
      <c r="N3779" s="12" t="s">
        <v>44</v>
      </c>
      <c r="O3779" s="12" t="s">
        <v>13551</v>
      </c>
      <c r="P3779" s="12" t="s">
        <v>46</v>
      </c>
      <c r="Q3779" s="12" t="s">
        <v>47</v>
      </c>
      <c r="R3779" s="12" t="s">
        <v>313</v>
      </c>
      <c r="S3779" s="13">
        <v>197643235873</v>
      </c>
      <c r="T3779" s="12" t="s">
        <v>49</v>
      </c>
      <c r="U3779" s="13">
        <v>22.5</v>
      </c>
      <c r="V3779" s="12" t="s">
        <v>50</v>
      </c>
      <c r="W3779" s="12" t="s">
        <v>51</v>
      </c>
      <c r="X3779" s="14"/>
      <c r="Y3779" s="12" t="s">
        <v>91</v>
      </c>
      <c r="Z3779" s="12" t="s">
        <v>92</v>
      </c>
      <c r="AA3779" s="12" t="s">
        <v>3224</v>
      </c>
      <c r="AB3779" s="12" t="s">
        <v>55</v>
      </c>
      <c r="AC3779" s="15">
        <v>25</v>
      </c>
      <c r="AD3779" s="15">
        <f>AC3779*AG3779</f>
        <v>25</v>
      </c>
      <c r="AE3779" s="15">
        <v>55</v>
      </c>
      <c r="AF3779" s="15">
        <f>AE3779*AG3779</f>
        <v>55</v>
      </c>
      <c r="AG3779" s="16">
        <v>1</v>
      </c>
    </row>
    <row r="3780" spans="1:33" ht="15" customHeight="1" x14ac:dyDescent="0.2">
      <c r="A3780" s="11" t="str">
        <f t="shared" si="1263"/>
        <v>VN000CQ0BMW1</v>
      </c>
      <c r="B3780" s="12" t="s">
        <v>13552</v>
      </c>
      <c r="C3780" s="12" t="s">
        <v>1422</v>
      </c>
      <c r="D3780" s="12" t="s">
        <v>1465</v>
      </c>
      <c r="E3780" s="12" t="s">
        <v>13553</v>
      </c>
      <c r="F3780" s="13">
        <v>80</v>
      </c>
      <c r="G3780" s="12" t="s">
        <v>9106</v>
      </c>
      <c r="H3780" s="12" t="s">
        <v>38</v>
      </c>
      <c r="I3780" s="12" t="s">
        <v>242</v>
      </c>
      <c r="J3780" s="12" t="s">
        <v>243</v>
      </c>
      <c r="K3780" s="12" t="s">
        <v>244</v>
      </c>
      <c r="L3780" s="12" t="s">
        <v>42</v>
      </c>
      <c r="M3780" s="12" t="s">
        <v>43</v>
      </c>
      <c r="N3780" s="12" t="s">
        <v>44</v>
      </c>
      <c r="O3780" s="12" t="s">
        <v>13554</v>
      </c>
      <c r="P3780" s="12" t="s">
        <v>46</v>
      </c>
      <c r="Q3780" s="12" t="s">
        <v>47</v>
      </c>
      <c r="R3780" s="12" t="s">
        <v>313</v>
      </c>
      <c r="S3780" s="13">
        <v>197643236351</v>
      </c>
      <c r="T3780" s="12" t="s">
        <v>49</v>
      </c>
      <c r="U3780" s="13">
        <v>24.5</v>
      </c>
      <c r="V3780" s="12" t="s">
        <v>50</v>
      </c>
      <c r="W3780" s="12" t="s">
        <v>51</v>
      </c>
      <c r="X3780" s="14"/>
      <c r="Y3780" s="12" t="s">
        <v>91</v>
      </c>
      <c r="Z3780" s="12" t="s">
        <v>92</v>
      </c>
      <c r="AA3780" s="12" t="s">
        <v>3224</v>
      </c>
      <c r="AB3780" s="12" t="s">
        <v>55</v>
      </c>
      <c r="AC3780" s="15">
        <v>25</v>
      </c>
      <c r="AD3780" s="15">
        <f>AC3780*AG3780</f>
        <v>25</v>
      </c>
      <c r="AE3780" s="15">
        <v>55</v>
      </c>
      <c r="AF3780" s="15">
        <f>AE3780*AG3780</f>
        <v>55</v>
      </c>
      <c r="AG3780" s="16">
        <v>1</v>
      </c>
    </row>
    <row r="3781" spans="1:33" ht="15" customHeight="1" x14ac:dyDescent="0.2">
      <c r="A3781" s="11" t="str">
        <f t="shared" si="992"/>
        <v>VN000CQ0BRO1</v>
      </c>
      <c r="B3781" s="12" t="s">
        <v>13555</v>
      </c>
      <c r="C3781" s="12" t="s">
        <v>1422</v>
      </c>
      <c r="D3781" s="12" t="s">
        <v>1471</v>
      </c>
      <c r="E3781" s="12" t="s">
        <v>13556</v>
      </c>
      <c r="F3781" s="13">
        <v>40</v>
      </c>
      <c r="G3781" s="12" t="s">
        <v>2417</v>
      </c>
      <c r="H3781" s="12" t="s">
        <v>38</v>
      </c>
      <c r="I3781" s="12" t="s">
        <v>242</v>
      </c>
      <c r="J3781" s="12" t="s">
        <v>243</v>
      </c>
      <c r="K3781" s="12" t="s">
        <v>244</v>
      </c>
      <c r="L3781" s="14"/>
      <c r="M3781" s="12" t="s">
        <v>43</v>
      </c>
      <c r="N3781" s="12" t="s">
        <v>84</v>
      </c>
      <c r="O3781" s="12" t="s">
        <v>13557</v>
      </c>
      <c r="P3781" s="12" t="s">
        <v>46</v>
      </c>
      <c r="Q3781" s="12" t="s">
        <v>47</v>
      </c>
      <c r="R3781" s="12" t="s">
        <v>313</v>
      </c>
      <c r="S3781" s="13">
        <v>197804507405</v>
      </c>
      <c r="T3781" s="12" t="s">
        <v>49</v>
      </c>
      <c r="U3781" s="13">
        <v>19</v>
      </c>
      <c r="V3781" s="12" t="s">
        <v>50</v>
      </c>
      <c r="W3781" s="12" t="s">
        <v>186</v>
      </c>
      <c r="X3781" s="14"/>
      <c r="Y3781" s="14"/>
      <c r="Z3781" s="14"/>
      <c r="AA3781" s="14"/>
      <c r="AB3781" s="14"/>
      <c r="AC3781" s="15">
        <v>25</v>
      </c>
      <c r="AD3781" s="15">
        <f>AC3781*AG3781</f>
        <v>25</v>
      </c>
      <c r="AE3781" s="15">
        <v>55</v>
      </c>
      <c r="AF3781" s="15">
        <f>AE3781*AG3781</f>
        <v>55</v>
      </c>
      <c r="AG3781" s="16">
        <v>1</v>
      </c>
    </row>
    <row r="3782" spans="1:33" ht="15" customHeight="1" x14ac:dyDescent="0.2">
      <c r="A3782" s="11" t="str">
        <f t="shared" ref="A3782:A3788" si="1264">HYPERLINK("https://assets.vans.eu/images/VN000CQ0BRO-HERO/1","VN000CQ0BRO1")</f>
        <v>VN000CQ0BRO1</v>
      </c>
      <c r="B3782" s="12" t="s">
        <v>13558</v>
      </c>
      <c r="C3782" s="12" t="s">
        <v>1422</v>
      </c>
      <c r="D3782" s="12" t="s">
        <v>1471</v>
      </c>
      <c r="E3782" s="12" t="s">
        <v>13559</v>
      </c>
      <c r="F3782" s="13">
        <v>50</v>
      </c>
      <c r="G3782" s="12" t="s">
        <v>2417</v>
      </c>
      <c r="H3782" s="12" t="s">
        <v>38</v>
      </c>
      <c r="I3782" s="12" t="s">
        <v>242</v>
      </c>
      <c r="J3782" s="12" t="s">
        <v>243</v>
      </c>
      <c r="K3782" s="12" t="s">
        <v>244</v>
      </c>
      <c r="L3782" s="14"/>
      <c r="M3782" s="12" t="s">
        <v>43</v>
      </c>
      <c r="N3782" s="12" t="s">
        <v>84</v>
      </c>
      <c r="O3782" s="12" t="s">
        <v>13560</v>
      </c>
      <c r="P3782" s="12" t="s">
        <v>46</v>
      </c>
      <c r="Q3782" s="12" t="s">
        <v>47</v>
      </c>
      <c r="R3782" s="12" t="s">
        <v>313</v>
      </c>
      <c r="S3782" s="13">
        <v>197804507849</v>
      </c>
      <c r="T3782" s="12" t="s">
        <v>49</v>
      </c>
      <c r="U3782" s="13">
        <v>21</v>
      </c>
      <c r="V3782" s="12" t="s">
        <v>50</v>
      </c>
      <c r="W3782" s="12" t="s">
        <v>186</v>
      </c>
      <c r="X3782" s="14"/>
      <c r="Y3782" s="14"/>
      <c r="Z3782" s="14"/>
      <c r="AA3782" s="14"/>
      <c r="AB3782" s="14"/>
      <c r="AC3782" s="15">
        <v>25</v>
      </c>
      <c r="AD3782" s="15">
        <f>AC3782*AG3782</f>
        <v>25</v>
      </c>
      <c r="AE3782" s="15">
        <v>55</v>
      </c>
      <c r="AF3782" s="15">
        <f>AE3782*AG3782</f>
        <v>55</v>
      </c>
      <c r="AG3782" s="16">
        <v>1</v>
      </c>
    </row>
    <row r="3783" spans="1:33" ht="15" customHeight="1" x14ac:dyDescent="0.2">
      <c r="A3783" s="11" t="str">
        <f t="shared" si="1264"/>
        <v>VN000CQ0BRO1</v>
      </c>
      <c r="B3783" s="12" t="s">
        <v>13561</v>
      </c>
      <c r="C3783" s="12" t="s">
        <v>1422</v>
      </c>
      <c r="D3783" s="12" t="s">
        <v>1471</v>
      </c>
      <c r="E3783" s="12" t="s">
        <v>13562</v>
      </c>
      <c r="F3783" s="13">
        <v>55</v>
      </c>
      <c r="G3783" s="12" t="s">
        <v>2417</v>
      </c>
      <c r="H3783" s="12" t="s">
        <v>38</v>
      </c>
      <c r="I3783" s="12" t="s">
        <v>242</v>
      </c>
      <c r="J3783" s="12" t="s">
        <v>243</v>
      </c>
      <c r="K3783" s="12" t="s">
        <v>244</v>
      </c>
      <c r="L3783" s="14"/>
      <c r="M3783" s="12" t="s">
        <v>43</v>
      </c>
      <c r="N3783" s="12" t="s">
        <v>84</v>
      </c>
      <c r="O3783" s="12" t="s">
        <v>13563</v>
      </c>
      <c r="P3783" s="12" t="s">
        <v>46</v>
      </c>
      <c r="Q3783" s="12" t="s">
        <v>47</v>
      </c>
      <c r="R3783" s="12" t="s">
        <v>313</v>
      </c>
      <c r="S3783" s="13">
        <v>197804507948</v>
      </c>
      <c r="T3783" s="12" t="s">
        <v>49</v>
      </c>
      <c r="U3783" s="13">
        <v>21.5</v>
      </c>
      <c r="V3783" s="12" t="s">
        <v>50</v>
      </c>
      <c r="W3783" s="12" t="s">
        <v>186</v>
      </c>
      <c r="X3783" s="14"/>
      <c r="Y3783" s="14"/>
      <c r="Z3783" s="14"/>
      <c r="AA3783" s="14"/>
      <c r="AB3783" s="14"/>
      <c r="AC3783" s="15">
        <v>25</v>
      </c>
      <c r="AD3783" s="15">
        <f>AC3783*AG3783</f>
        <v>25</v>
      </c>
      <c r="AE3783" s="15">
        <v>55</v>
      </c>
      <c r="AF3783" s="15">
        <f>AE3783*AG3783</f>
        <v>55</v>
      </c>
      <c r="AG3783" s="16">
        <v>1</v>
      </c>
    </row>
    <row r="3784" spans="1:33" ht="15" customHeight="1" x14ac:dyDescent="0.2">
      <c r="A3784" s="11" t="str">
        <f t="shared" si="1264"/>
        <v>VN000CQ0BRO1</v>
      </c>
      <c r="B3784" s="12" t="s">
        <v>13564</v>
      </c>
      <c r="C3784" s="12" t="s">
        <v>1422</v>
      </c>
      <c r="D3784" s="12" t="s">
        <v>1471</v>
      </c>
      <c r="E3784" s="12" t="s">
        <v>13565</v>
      </c>
      <c r="F3784" s="13">
        <v>60</v>
      </c>
      <c r="G3784" s="12" t="s">
        <v>2417</v>
      </c>
      <c r="H3784" s="12" t="s">
        <v>38</v>
      </c>
      <c r="I3784" s="12" t="s">
        <v>242</v>
      </c>
      <c r="J3784" s="12" t="s">
        <v>243</v>
      </c>
      <c r="K3784" s="12" t="s">
        <v>244</v>
      </c>
      <c r="L3784" s="14"/>
      <c r="M3784" s="12" t="s">
        <v>43</v>
      </c>
      <c r="N3784" s="12" t="s">
        <v>84</v>
      </c>
      <c r="O3784" s="12" t="s">
        <v>13566</v>
      </c>
      <c r="P3784" s="12" t="s">
        <v>46</v>
      </c>
      <c r="Q3784" s="12" t="s">
        <v>47</v>
      </c>
      <c r="R3784" s="12" t="s">
        <v>313</v>
      </c>
      <c r="S3784" s="13">
        <v>197804508143</v>
      </c>
      <c r="T3784" s="12" t="s">
        <v>49</v>
      </c>
      <c r="U3784" s="13">
        <v>22</v>
      </c>
      <c r="V3784" s="12" t="s">
        <v>50</v>
      </c>
      <c r="W3784" s="12" t="s">
        <v>186</v>
      </c>
      <c r="X3784" s="14"/>
      <c r="Y3784" s="14"/>
      <c r="Z3784" s="14"/>
      <c r="AA3784" s="14"/>
      <c r="AB3784" s="14"/>
      <c r="AC3784" s="15">
        <v>25</v>
      </c>
      <c r="AD3784" s="15">
        <f>AC3784*AG3784</f>
        <v>25</v>
      </c>
      <c r="AE3784" s="15">
        <v>55</v>
      </c>
      <c r="AF3784" s="15">
        <f>AE3784*AG3784</f>
        <v>55</v>
      </c>
      <c r="AG3784" s="16">
        <v>1</v>
      </c>
    </row>
    <row r="3785" spans="1:33" ht="15" customHeight="1" x14ac:dyDescent="0.2">
      <c r="A3785" s="11" t="str">
        <f t="shared" si="1264"/>
        <v>VN000CQ0BRO1</v>
      </c>
      <c r="B3785" s="12" t="s">
        <v>13567</v>
      </c>
      <c r="C3785" s="12" t="s">
        <v>1422</v>
      </c>
      <c r="D3785" s="12" t="s">
        <v>1471</v>
      </c>
      <c r="E3785" s="12" t="s">
        <v>13568</v>
      </c>
      <c r="F3785" s="13">
        <v>65</v>
      </c>
      <c r="G3785" s="12" t="s">
        <v>2417</v>
      </c>
      <c r="H3785" s="12" t="s">
        <v>38</v>
      </c>
      <c r="I3785" s="12" t="s">
        <v>242</v>
      </c>
      <c r="J3785" s="12" t="s">
        <v>243</v>
      </c>
      <c r="K3785" s="12" t="s">
        <v>244</v>
      </c>
      <c r="L3785" s="14"/>
      <c r="M3785" s="12" t="s">
        <v>43</v>
      </c>
      <c r="N3785" s="12" t="s">
        <v>84</v>
      </c>
      <c r="O3785" s="12" t="s">
        <v>13569</v>
      </c>
      <c r="P3785" s="12" t="s">
        <v>46</v>
      </c>
      <c r="Q3785" s="12" t="s">
        <v>47</v>
      </c>
      <c r="R3785" s="12" t="s">
        <v>313</v>
      </c>
      <c r="S3785" s="13">
        <v>197804508358</v>
      </c>
      <c r="T3785" s="12" t="s">
        <v>49</v>
      </c>
      <c r="U3785" s="13">
        <v>22.5</v>
      </c>
      <c r="V3785" s="12" t="s">
        <v>50</v>
      </c>
      <c r="W3785" s="12" t="s">
        <v>186</v>
      </c>
      <c r="X3785" s="14"/>
      <c r="Y3785" s="14"/>
      <c r="Z3785" s="14"/>
      <c r="AA3785" s="14"/>
      <c r="AB3785" s="14"/>
      <c r="AC3785" s="15">
        <v>25</v>
      </c>
      <c r="AD3785" s="15">
        <f>AC3785*AG3785</f>
        <v>25</v>
      </c>
      <c r="AE3785" s="15">
        <v>55</v>
      </c>
      <c r="AF3785" s="15">
        <f>AE3785*AG3785</f>
        <v>55</v>
      </c>
      <c r="AG3785" s="16">
        <v>1</v>
      </c>
    </row>
    <row r="3786" spans="1:33" ht="15" customHeight="1" x14ac:dyDescent="0.2">
      <c r="A3786" s="11" t="str">
        <f t="shared" si="1264"/>
        <v>VN000CQ0BRO1</v>
      </c>
      <c r="B3786" s="12" t="s">
        <v>13570</v>
      </c>
      <c r="C3786" s="12" t="s">
        <v>1422</v>
      </c>
      <c r="D3786" s="12" t="s">
        <v>1471</v>
      </c>
      <c r="E3786" s="12" t="s">
        <v>13571</v>
      </c>
      <c r="F3786" s="13">
        <v>70</v>
      </c>
      <c r="G3786" s="12" t="s">
        <v>2417</v>
      </c>
      <c r="H3786" s="12" t="s">
        <v>38</v>
      </c>
      <c r="I3786" s="12" t="s">
        <v>242</v>
      </c>
      <c r="J3786" s="12" t="s">
        <v>243</v>
      </c>
      <c r="K3786" s="12" t="s">
        <v>244</v>
      </c>
      <c r="L3786" s="14"/>
      <c r="M3786" s="12" t="s">
        <v>43</v>
      </c>
      <c r="N3786" s="12" t="s">
        <v>84</v>
      </c>
      <c r="O3786" s="12" t="s">
        <v>13572</v>
      </c>
      <c r="P3786" s="12" t="s">
        <v>46</v>
      </c>
      <c r="Q3786" s="12" t="s">
        <v>47</v>
      </c>
      <c r="R3786" s="12" t="s">
        <v>313</v>
      </c>
      <c r="S3786" s="13">
        <v>197804508556</v>
      </c>
      <c r="T3786" s="12" t="s">
        <v>49</v>
      </c>
      <c r="U3786" s="13">
        <v>23.5</v>
      </c>
      <c r="V3786" s="12" t="s">
        <v>50</v>
      </c>
      <c r="W3786" s="12" t="s">
        <v>186</v>
      </c>
      <c r="X3786" s="14"/>
      <c r="Y3786" s="14"/>
      <c r="Z3786" s="14"/>
      <c r="AA3786" s="14"/>
      <c r="AB3786" s="14"/>
      <c r="AC3786" s="15">
        <v>25</v>
      </c>
      <c r="AD3786" s="15">
        <f>AC3786*AG3786</f>
        <v>25</v>
      </c>
      <c r="AE3786" s="15">
        <v>55</v>
      </c>
      <c r="AF3786" s="15">
        <f>AE3786*AG3786</f>
        <v>55</v>
      </c>
      <c r="AG3786" s="16">
        <v>1</v>
      </c>
    </row>
    <row r="3787" spans="1:33" ht="15" customHeight="1" x14ac:dyDescent="0.2">
      <c r="A3787" s="11" t="str">
        <f t="shared" si="1264"/>
        <v>VN000CQ0BRO1</v>
      </c>
      <c r="B3787" s="12" t="s">
        <v>13573</v>
      </c>
      <c r="C3787" s="12" t="s">
        <v>1422</v>
      </c>
      <c r="D3787" s="12" t="s">
        <v>1471</v>
      </c>
      <c r="E3787" s="12" t="s">
        <v>13574</v>
      </c>
      <c r="F3787" s="13">
        <v>80</v>
      </c>
      <c r="G3787" s="12" t="s">
        <v>2417</v>
      </c>
      <c r="H3787" s="12" t="s">
        <v>38</v>
      </c>
      <c r="I3787" s="12" t="s">
        <v>242</v>
      </c>
      <c r="J3787" s="12" t="s">
        <v>243</v>
      </c>
      <c r="K3787" s="12" t="s">
        <v>244</v>
      </c>
      <c r="L3787" s="14"/>
      <c r="M3787" s="12" t="s">
        <v>43</v>
      </c>
      <c r="N3787" s="12" t="s">
        <v>84</v>
      </c>
      <c r="O3787" s="12" t="s">
        <v>13575</v>
      </c>
      <c r="P3787" s="12" t="s">
        <v>46</v>
      </c>
      <c r="Q3787" s="12" t="s">
        <v>47</v>
      </c>
      <c r="R3787" s="12" t="s">
        <v>313</v>
      </c>
      <c r="S3787" s="13">
        <v>197804508853</v>
      </c>
      <c r="T3787" s="12" t="s">
        <v>49</v>
      </c>
      <c r="U3787" s="13">
        <v>24.5</v>
      </c>
      <c r="V3787" s="12" t="s">
        <v>50</v>
      </c>
      <c r="W3787" s="12" t="s">
        <v>186</v>
      </c>
      <c r="X3787" s="14"/>
      <c r="Y3787" s="14"/>
      <c r="Z3787" s="14"/>
      <c r="AA3787" s="14"/>
      <c r="AB3787" s="14"/>
      <c r="AC3787" s="15">
        <v>25</v>
      </c>
      <c r="AD3787" s="15">
        <f>AC3787*AG3787</f>
        <v>25</v>
      </c>
      <c r="AE3787" s="15">
        <v>55</v>
      </c>
      <c r="AF3787" s="15">
        <f>AE3787*AG3787</f>
        <v>55</v>
      </c>
      <c r="AG3787" s="16">
        <v>1</v>
      </c>
    </row>
    <row r="3788" spans="1:33" ht="15" customHeight="1" x14ac:dyDescent="0.2">
      <c r="A3788" s="11" t="str">
        <f t="shared" si="1264"/>
        <v>VN000CQ0BRO1</v>
      </c>
      <c r="B3788" s="12" t="s">
        <v>13576</v>
      </c>
      <c r="C3788" s="12" t="s">
        <v>1422</v>
      </c>
      <c r="D3788" s="12" t="s">
        <v>1471</v>
      </c>
      <c r="E3788" s="12" t="s">
        <v>13577</v>
      </c>
      <c r="F3788" s="13">
        <v>95</v>
      </c>
      <c r="G3788" s="12" t="s">
        <v>2417</v>
      </c>
      <c r="H3788" s="12" t="s">
        <v>38</v>
      </c>
      <c r="I3788" s="12" t="s">
        <v>242</v>
      </c>
      <c r="J3788" s="12" t="s">
        <v>243</v>
      </c>
      <c r="K3788" s="12" t="s">
        <v>244</v>
      </c>
      <c r="L3788" s="14"/>
      <c r="M3788" s="12" t="s">
        <v>43</v>
      </c>
      <c r="N3788" s="12" t="s">
        <v>84</v>
      </c>
      <c r="O3788" s="12" t="s">
        <v>13578</v>
      </c>
      <c r="P3788" s="12" t="s">
        <v>46</v>
      </c>
      <c r="Q3788" s="12" t="s">
        <v>47</v>
      </c>
      <c r="R3788" s="12" t="s">
        <v>313</v>
      </c>
      <c r="S3788" s="13">
        <v>197804509324</v>
      </c>
      <c r="T3788" s="12" t="s">
        <v>49</v>
      </c>
      <c r="U3788" s="13">
        <v>26</v>
      </c>
      <c r="V3788" s="12" t="s">
        <v>50</v>
      </c>
      <c r="W3788" s="12" t="s">
        <v>186</v>
      </c>
      <c r="X3788" s="14"/>
      <c r="Y3788" s="14"/>
      <c r="Z3788" s="14"/>
      <c r="AA3788" s="14"/>
      <c r="AB3788" s="14"/>
      <c r="AC3788" s="15">
        <v>25</v>
      </c>
      <c r="AD3788" s="15">
        <f>AC3788*AG3788</f>
        <v>25</v>
      </c>
      <c r="AE3788" s="15">
        <v>55</v>
      </c>
      <c r="AF3788" s="15">
        <f>AE3788*AG3788</f>
        <v>55</v>
      </c>
      <c r="AG3788" s="16">
        <v>1</v>
      </c>
    </row>
    <row r="3789" spans="1:33" ht="15" customHeight="1" x14ac:dyDescent="0.2">
      <c r="A3789" s="11" t="str">
        <f t="shared" ref="A3789:A3790" si="1265">HYPERLINK("https://assets.vans.eu/images/VN000CQ0EMY-HERO/1","VN000CQ0EMY1")</f>
        <v>VN000CQ0EMY1</v>
      </c>
      <c r="B3789" s="12" t="s">
        <v>13579</v>
      </c>
      <c r="C3789" s="12" t="s">
        <v>1422</v>
      </c>
      <c r="D3789" s="12" t="s">
        <v>1155</v>
      </c>
      <c r="E3789" s="12" t="s">
        <v>13580</v>
      </c>
      <c r="F3789" s="13">
        <v>60</v>
      </c>
      <c r="G3789" s="14"/>
      <c r="H3789" s="12" t="s">
        <v>38</v>
      </c>
      <c r="I3789" s="12" t="s">
        <v>242</v>
      </c>
      <c r="J3789" s="12" t="s">
        <v>243</v>
      </c>
      <c r="K3789" s="12" t="s">
        <v>244</v>
      </c>
      <c r="L3789" s="14"/>
      <c r="M3789" s="12" t="s">
        <v>43</v>
      </c>
      <c r="N3789" s="12" t="s">
        <v>84</v>
      </c>
      <c r="O3789" s="12" t="s">
        <v>13581</v>
      </c>
      <c r="P3789" s="12" t="s">
        <v>46</v>
      </c>
      <c r="Q3789" s="12" t="s">
        <v>47</v>
      </c>
      <c r="R3789" s="12" t="s">
        <v>313</v>
      </c>
      <c r="S3789" s="13">
        <v>197804508198</v>
      </c>
      <c r="T3789" s="12" t="s">
        <v>164</v>
      </c>
      <c r="U3789" s="13">
        <v>22</v>
      </c>
      <c r="V3789" s="12" t="s">
        <v>50</v>
      </c>
      <c r="W3789" s="12" t="s">
        <v>107</v>
      </c>
      <c r="X3789" s="14"/>
      <c r="Y3789" s="14"/>
      <c r="Z3789" s="14"/>
      <c r="AA3789" s="14"/>
      <c r="AB3789" s="14"/>
      <c r="AC3789" s="15">
        <v>22.75</v>
      </c>
      <c r="AD3789" s="15">
        <f>AC3789*AG3789</f>
        <v>22.75</v>
      </c>
      <c r="AE3789" s="15">
        <v>50</v>
      </c>
      <c r="AF3789" s="15">
        <f>AE3789*AG3789</f>
        <v>50</v>
      </c>
      <c r="AG3789" s="16">
        <v>1</v>
      </c>
    </row>
    <row r="3790" spans="1:33" ht="15" customHeight="1" x14ac:dyDescent="0.2">
      <c r="A3790" s="11" t="str">
        <f t="shared" si="1265"/>
        <v>VN000CQ0EMY1</v>
      </c>
      <c r="B3790" s="12" t="s">
        <v>13582</v>
      </c>
      <c r="C3790" s="12" t="s">
        <v>1422</v>
      </c>
      <c r="D3790" s="12" t="s">
        <v>1155</v>
      </c>
      <c r="E3790" s="12" t="s">
        <v>13583</v>
      </c>
      <c r="F3790" s="13">
        <v>75</v>
      </c>
      <c r="G3790" s="14"/>
      <c r="H3790" s="12" t="s">
        <v>38</v>
      </c>
      <c r="I3790" s="12" t="s">
        <v>242</v>
      </c>
      <c r="J3790" s="12" t="s">
        <v>243</v>
      </c>
      <c r="K3790" s="12" t="s">
        <v>244</v>
      </c>
      <c r="L3790" s="14"/>
      <c r="M3790" s="12" t="s">
        <v>43</v>
      </c>
      <c r="N3790" s="12" t="s">
        <v>84</v>
      </c>
      <c r="O3790" s="12" t="s">
        <v>13584</v>
      </c>
      <c r="P3790" s="12" t="s">
        <v>46</v>
      </c>
      <c r="Q3790" s="12" t="s">
        <v>47</v>
      </c>
      <c r="R3790" s="12" t="s">
        <v>313</v>
      </c>
      <c r="S3790" s="13">
        <v>197804508822</v>
      </c>
      <c r="T3790" s="12" t="s">
        <v>164</v>
      </c>
      <c r="U3790" s="13">
        <v>24</v>
      </c>
      <c r="V3790" s="12" t="s">
        <v>50</v>
      </c>
      <c r="W3790" s="12" t="s">
        <v>107</v>
      </c>
      <c r="X3790" s="14"/>
      <c r="Y3790" s="14"/>
      <c r="Z3790" s="14"/>
      <c r="AA3790" s="14"/>
      <c r="AB3790" s="14"/>
      <c r="AC3790" s="15">
        <v>22.75</v>
      </c>
      <c r="AD3790" s="15">
        <f>AC3790*AG3790</f>
        <v>22.75</v>
      </c>
      <c r="AE3790" s="15">
        <v>50</v>
      </c>
      <c r="AF3790" s="15">
        <f>AE3790*AG3790</f>
        <v>50</v>
      </c>
      <c r="AG3790" s="16">
        <v>1</v>
      </c>
    </row>
    <row r="3791" spans="1:33" ht="15" customHeight="1" x14ac:dyDescent="0.2">
      <c r="A3791" s="11" t="str">
        <f>HYPERLINK("https://assets.vans.eu/images/VN000CQ0HF9-HERO/1","VN000CQ0HF91")</f>
        <v>VN000CQ0HF91</v>
      </c>
      <c r="B3791" s="12" t="s">
        <v>13585</v>
      </c>
      <c r="C3791" s="12" t="s">
        <v>1422</v>
      </c>
      <c r="D3791" s="12" t="s">
        <v>13586</v>
      </c>
      <c r="E3791" s="12" t="s">
        <v>13587</v>
      </c>
      <c r="F3791" s="13">
        <v>60</v>
      </c>
      <c r="G3791" s="12" t="s">
        <v>13588</v>
      </c>
      <c r="H3791" s="12" t="s">
        <v>38</v>
      </c>
      <c r="I3791" s="12" t="s">
        <v>242</v>
      </c>
      <c r="J3791" s="12" t="s">
        <v>243</v>
      </c>
      <c r="K3791" s="12" t="s">
        <v>244</v>
      </c>
      <c r="L3791" s="14"/>
      <c r="M3791" s="12" t="s">
        <v>43</v>
      </c>
      <c r="N3791" s="12" t="s">
        <v>161</v>
      </c>
      <c r="O3791" s="12" t="s">
        <v>13589</v>
      </c>
      <c r="P3791" s="12" t="s">
        <v>46</v>
      </c>
      <c r="Q3791" s="12" t="s">
        <v>47</v>
      </c>
      <c r="R3791" s="12" t="s">
        <v>313</v>
      </c>
      <c r="S3791" s="13">
        <v>197065637804</v>
      </c>
      <c r="T3791" s="12" t="s">
        <v>49</v>
      </c>
      <c r="U3791" s="13">
        <v>22</v>
      </c>
      <c r="V3791" s="12" t="s">
        <v>50</v>
      </c>
      <c r="W3791" s="12" t="s">
        <v>51</v>
      </c>
      <c r="X3791" s="14"/>
      <c r="Y3791" s="12" t="s">
        <v>91</v>
      </c>
      <c r="Z3791" s="12" t="s">
        <v>165</v>
      </c>
      <c r="AA3791" s="14"/>
      <c r="AB3791" s="14"/>
      <c r="AC3791" s="15">
        <v>27.3</v>
      </c>
      <c r="AD3791" s="15">
        <f>AC3791*AG3791</f>
        <v>27.3</v>
      </c>
      <c r="AE3791" s="15">
        <v>60</v>
      </c>
      <c r="AF3791" s="15">
        <f>AE3791*AG3791</f>
        <v>60</v>
      </c>
      <c r="AG3791" s="16">
        <v>1</v>
      </c>
    </row>
    <row r="3792" spans="1:33" ht="15" customHeight="1" x14ac:dyDescent="0.2">
      <c r="A3792" s="11" t="str">
        <f t="shared" ref="A3792:A3796" si="1266">HYPERLINK("https://assets.vans.eu/images/VN000CQ0O33-HERO/1","VN000CQ0O331")</f>
        <v>VN000CQ0O331</v>
      </c>
      <c r="B3792" s="12" t="s">
        <v>13590</v>
      </c>
      <c r="C3792" s="12" t="s">
        <v>1422</v>
      </c>
      <c r="D3792" s="12" t="s">
        <v>1423</v>
      </c>
      <c r="E3792" s="12" t="s">
        <v>13591</v>
      </c>
      <c r="F3792" s="13">
        <v>45</v>
      </c>
      <c r="G3792" s="12" t="s">
        <v>1425</v>
      </c>
      <c r="H3792" s="12" t="s">
        <v>38</v>
      </c>
      <c r="I3792" s="12" t="s">
        <v>242</v>
      </c>
      <c r="J3792" s="12" t="s">
        <v>243</v>
      </c>
      <c r="K3792" s="12" t="s">
        <v>244</v>
      </c>
      <c r="L3792" s="14"/>
      <c r="M3792" s="12" t="s">
        <v>43</v>
      </c>
      <c r="N3792" s="12" t="s">
        <v>84</v>
      </c>
      <c r="O3792" s="12" t="s">
        <v>13592</v>
      </c>
      <c r="P3792" s="12" t="s">
        <v>46</v>
      </c>
      <c r="Q3792" s="12" t="s">
        <v>47</v>
      </c>
      <c r="R3792" s="12" t="s">
        <v>313</v>
      </c>
      <c r="S3792" s="13">
        <v>197804507535</v>
      </c>
      <c r="T3792" s="12" t="s">
        <v>49</v>
      </c>
      <c r="U3792" s="13">
        <v>20</v>
      </c>
      <c r="V3792" s="12" t="s">
        <v>50</v>
      </c>
      <c r="W3792" s="12" t="s">
        <v>284</v>
      </c>
      <c r="X3792" s="14"/>
      <c r="Y3792" s="14"/>
      <c r="Z3792" s="14"/>
      <c r="AA3792" s="14"/>
      <c r="AB3792" s="14"/>
      <c r="AC3792" s="15">
        <v>25</v>
      </c>
      <c r="AD3792" s="15">
        <f>AC3792*AG3792</f>
        <v>25</v>
      </c>
      <c r="AE3792" s="15">
        <v>55</v>
      </c>
      <c r="AF3792" s="15">
        <f>AE3792*AG3792</f>
        <v>55</v>
      </c>
      <c r="AG3792" s="16">
        <v>1</v>
      </c>
    </row>
    <row r="3793" spans="1:33" ht="15" customHeight="1" x14ac:dyDescent="0.2">
      <c r="A3793" s="11" t="str">
        <f t="shared" si="1266"/>
        <v>VN000CQ0O331</v>
      </c>
      <c r="B3793" s="12" t="s">
        <v>13593</v>
      </c>
      <c r="C3793" s="12" t="s">
        <v>1422</v>
      </c>
      <c r="D3793" s="12" t="s">
        <v>1423</v>
      </c>
      <c r="E3793" s="12" t="s">
        <v>13594</v>
      </c>
      <c r="F3793" s="13">
        <v>80</v>
      </c>
      <c r="G3793" s="12" t="s">
        <v>1425</v>
      </c>
      <c r="H3793" s="12" t="s">
        <v>38</v>
      </c>
      <c r="I3793" s="12" t="s">
        <v>242</v>
      </c>
      <c r="J3793" s="12" t="s">
        <v>243</v>
      </c>
      <c r="K3793" s="12" t="s">
        <v>244</v>
      </c>
      <c r="L3793" s="14"/>
      <c r="M3793" s="12" t="s">
        <v>43</v>
      </c>
      <c r="N3793" s="12" t="s">
        <v>84</v>
      </c>
      <c r="O3793" s="12" t="s">
        <v>13595</v>
      </c>
      <c r="P3793" s="12" t="s">
        <v>46</v>
      </c>
      <c r="Q3793" s="12" t="s">
        <v>47</v>
      </c>
      <c r="R3793" s="12" t="s">
        <v>313</v>
      </c>
      <c r="S3793" s="13">
        <v>197804508747</v>
      </c>
      <c r="T3793" s="12" t="s">
        <v>49</v>
      </c>
      <c r="U3793" s="13">
        <v>24.5</v>
      </c>
      <c r="V3793" s="12" t="s">
        <v>50</v>
      </c>
      <c r="W3793" s="12" t="s">
        <v>284</v>
      </c>
      <c r="X3793" s="14"/>
      <c r="Y3793" s="14"/>
      <c r="Z3793" s="14"/>
      <c r="AA3793" s="14"/>
      <c r="AB3793" s="14"/>
      <c r="AC3793" s="15">
        <v>25</v>
      </c>
      <c r="AD3793" s="15">
        <f>AC3793*AG3793</f>
        <v>25</v>
      </c>
      <c r="AE3793" s="15">
        <v>55</v>
      </c>
      <c r="AF3793" s="15">
        <f>AE3793*AG3793</f>
        <v>55</v>
      </c>
      <c r="AG3793" s="16">
        <v>1</v>
      </c>
    </row>
    <row r="3794" spans="1:33" ht="15" customHeight="1" x14ac:dyDescent="0.2">
      <c r="A3794" s="11" t="str">
        <f t="shared" si="1266"/>
        <v>VN000CQ0O331</v>
      </c>
      <c r="B3794" s="12" t="s">
        <v>13596</v>
      </c>
      <c r="C3794" s="12" t="s">
        <v>1422</v>
      </c>
      <c r="D3794" s="12" t="s">
        <v>1423</v>
      </c>
      <c r="E3794" s="12" t="s">
        <v>13597</v>
      </c>
      <c r="F3794" s="13">
        <v>85</v>
      </c>
      <c r="G3794" s="12" t="s">
        <v>1425</v>
      </c>
      <c r="H3794" s="12" t="s">
        <v>38</v>
      </c>
      <c r="I3794" s="12" t="s">
        <v>242</v>
      </c>
      <c r="J3794" s="12" t="s">
        <v>243</v>
      </c>
      <c r="K3794" s="12" t="s">
        <v>244</v>
      </c>
      <c r="L3794" s="14"/>
      <c r="M3794" s="12" t="s">
        <v>43</v>
      </c>
      <c r="N3794" s="12" t="s">
        <v>84</v>
      </c>
      <c r="O3794" s="12" t="s">
        <v>13598</v>
      </c>
      <c r="P3794" s="12" t="s">
        <v>46</v>
      </c>
      <c r="Q3794" s="12" t="s">
        <v>47</v>
      </c>
      <c r="R3794" s="12" t="s">
        <v>313</v>
      </c>
      <c r="S3794" s="13">
        <v>197804508914</v>
      </c>
      <c r="T3794" s="12" t="s">
        <v>49</v>
      </c>
      <c r="U3794" s="13">
        <v>25</v>
      </c>
      <c r="V3794" s="12" t="s">
        <v>50</v>
      </c>
      <c r="W3794" s="12" t="s">
        <v>284</v>
      </c>
      <c r="X3794" s="14"/>
      <c r="Y3794" s="14"/>
      <c r="Z3794" s="14"/>
      <c r="AA3794" s="14"/>
      <c r="AB3794" s="14"/>
      <c r="AC3794" s="15">
        <v>25</v>
      </c>
      <c r="AD3794" s="15">
        <f>AC3794*AG3794</f>
        <v>25</v>
      </c>
      <c r="AE3794" s="15">
        <v>55</v>
      </c>
      <c r="AF3794" s="15">
        <f>AE3794*AG3794</f>
        <v>55</v>
      </c>
      <c r="AG3794" s="16">
        <v>1</v>
      </c>
    </row>
    <row r="3795" spans="1:33" ht="15" customHeight="1" x14ac:dyDescent="0.2">
      <c r="A3795" s="11" t="str">
        <f t="shared" si="1266"/>
        <v>VN000CQ0O331</v>
      </c>
      <c r="B3795" s="12" t="s">
        <v>13599</v>
      </c>
      <c r="C3795" s="12" t="s">
        <v>1422</v>
      </c>
      <c r="D3795" s="12" t="s">
        <v>1423</v>
      </c>
      <c r="E3795" s="12" t="s">
        <v>13600</v>
      </c>
      <c r="F3795" s="13">
        <v>90</v>
      </c>
      <c r="G3795" s="12" t="s">
        <v>1425</v>
      </c>
      <c r="H3795" s="12" t="s">
        <v>38</v>
      </c>
      <c r="I3795" s="12" t="s">
        <v>242</v>
      </c>
      <c r="J3795" s="12" t="s">
        <v>243</v>
      </c>
      <c r="K3795" s="12" t="s">
        <v>244</v>
      </c>
      <c r="L3795" s="14"/>
      <c r="M3795" s="12" t="s">
        <v>43</v>
      </c>
      <c r="N3795" s="12" t="s">
        <v>84</v>
      </c>
      <c r="O3795" s="12" t="s">
        <v>13601</v>
      </c>
      <c r="P3795" s="12" t="s">
        <v>46</v>
      </c>
      <c r="Q3795" s="12" t="s">
        <v>47</v>
      </c>
      <c r="R3795" s="12" t="s">
        <v>313</v>
      </c>
      <c r="S3795" s="13">
        <v>197804508969</v>
      </c>
      <c r="T3795" s="12" t="s">
        <v>49</v>
      </c>
      <c r="U3795" s="13">
        <v>25.5</v>
      </c>
      <c r="V3795" s="12" t="s">
        <v>50</v>
      </c>
      <c r="W3795" s="12" t="s">
        <v>284</v>
      </c>
      <c r="X3795" s="14"/>
      <c r="Y3795" s="14"/>
      <c r="Z3795" s="14"/>
      <c r="AA3795" s="14"/>
      <c r="AB3795" s="14"/>
      <c r="AC3795" s="15">
        <v>25</v>
      </c>
      <c r="AD3795" s="15">
        <f>AC3795*AG3795</f>
        <v>25</v>
      </c>
      <c r="AE3795" s="15">
        <v>55</v>
      </c>
      <c r="AF3795" s="15">
        <f>AE3795*AG3795</f>
        <v>55</v>
      </c>
      <c r="AG3795" s="16">
        <v>1</v>
      </c>
    </row>
    <row r="3796" spans="1:33" ht="15" customHeight="1" x14ac:dyDescent="0.2">
      <c r="A3796" s="11" t="str">
        <f t="shared" si="1266"/>
        <v>VN000CQ0O331</v>
      </c>
      <c r="B3796" s="12" t="s">
        <v>13602</v>
      </c>
      <c r="C3796" s="12" t="s">
        <v>1422</v>
      </c>
      <c r="D3796" s="12" t="s">
        <v>1423</v>
      </c>
      <c r="E3796" s="12" t="s">
        <v>13603</v>
      </c>
      <c r="F3796" s="13">
        <v>100</v>
      </c>
      <c r="G3796" s="12" t="s">
        <v>1425</v>
      </c>
      <c r="H3796" s="12" t="s">
        <v>38</v>
      </c>
      <c r="I3796" s="12" t="s">
        <v>242</v>
      </c>
      <c r="J3796" s="12" t="s">
        <v>243</v>
      </c>
      <c r="K3796" s="12" t="s">
        <v>244</v>
      </c>
      <c r="L3796" s="14"/>
      <c r="M3796" s="12" t="s">
        <v>43</v>
      </c>
      <c r="N3796" s="12" t="s">
        <v>84</v>
      </c>
      <c r="O3796" s="12" t="s">
        <v>13604</v>
      </c>
      <c r="P3796" s="12" t="s">
        <v>46</v>
      </c>
      <c r="Q3796" s="12" t="s">
        <v>47</v>
      </c>
      <c r="R3796" s="12" t="s">
        <v>313</v>
      </c>
      <c r="S3796" s="13">
        <v>197804509225</v>
      </c>
      <c r="T3796" s="12" t="s">
        <v>49</v>
      </c>
      <c r="U3796" s="13">
        <v>26.5</v>
      </c>
      <c r="V3796" s="12" t="s">
        <v>50</v>
      </c>
      <c r="W3796" s="12" t="s">
        <v>284</v>
      </c>
      <c r="X3796" s="14"/>
      <c r="Y3796" s="14"/>
      <c r="Z3796" s="14"/>
      <c r="AA3796" s="14"/>
      <c r="AB3796" s="14"/>
      <c r="AC3796" s="15">
        <v>25</v>
      </c>
      <c r="AD3796" s="15">
        <f>AC3796*AG3796</f>
        <v>25</v>
      </c>
      <c r="AE3796" s="15">
        <v>55</v>
      </c>
      <c r="AF3796" s="15">
        <f>AE3796*AG3796</f>
        <v>55</v>
      </c>
      <c r="AG3796" s="16">
        <v>1</v>
      </c>
    </row>
    <row r="3797" spans="1:33" ht="15" customHeight="1" x14ac:dyDescent="0.2">
      <c r="A3797" s="11" t="str">
        <f t="shared" ref="A3797:A3798" si="1267">HYPERLINK("https://assets.vans.eu/images/VN000CQ0Y09-HERO/1","VN000CQ0Y091")</f>
        <v>VN000CQ0Y091</v>
      </c>
      <c r="B3797" s="12" t="s">
        <v>13605</v>
      </c>
      <c r="C3797" s="12" t="s">
        <v>1422</v>
      </c>
      <c r="D3797" s="12" t="s">
        <v>7042</v>
      </c>
      <c r="E3797" s="12" t="s">
        <v>13606</v>
      </c>
      <c r="F3797" s="13">
        <v>45</v>
      </c>
      <c r="G3797" s="12" t="s">
        <v>7044</v>
      </c>
      <c r="H3797" s="12" t="s">
        <v>38</v>
      </c>
      <c r="I3797" s="12" t="s">
        <v>242</v>
      </c>
      <c r="J3797" s="12" t="s">
        <v>243</v>
      </c>
      <c r="K3797" s="12" t="s">
        <v>244</v>
      </c>
      <c r="L3797" s="14"/>
      <c r="M3797" s="12" t="s">
        <v>43</v>
      </c>
      <c r="N3797" s="12" t="s">
        <v>84</v>
      </c>
      <c r="O3797" s="12" t="s">
        <v>13607</v>
      </c>
      <c r="P3797" s="12" t="s">
        <v>46</v>
      </c>
      <c r="Q3797" s="12" t="s">
        <v>47</v>
      </c>
      <c r="R3797" s="12" t="s">
        <v>313</v>
      </c>
      <c r="S3797" s="13">
        <v>197804507634</v>
      </c>
      <c r="T3797" s="12" t="s">
        <v>164</v>
      </c>
      <c r="U3797" s="13">
        <v>20</v>
      </c>
      <c r="V3797" s="12" t="s">
        <v>50</v>
      </c>
      <c r="W3797" s="12" t="s">
        <v>51</v>
      </c>
      <c r="X3797" s="14"/>
      <c r="Y3797" s="14"/>
      <c r="Z3797" s="14"/>
      <c r="AA3797" s="14"/>
      <c r="AB3797" s="14"/>
      <c r="AC3797" s="15">
        <v>22.75</v>
      </c>
      <c r="AD3797" s="15">
        <f>AC3797*AG3797</f>
        <v>22.75</v>
      </c>
      <c r="AE3797" s="15">
        <v>50</v>
      </c>
      <c r="AF3797" s="15">
        <f>AE3797*AG3797</f>
        <v>50</v>
      </c>
      <c r="AG3797" s="16">
        <v>1</v>
      </c>
    </row>
    <row r="3798" spans="1:33" ht="15" customHeight="1" x14ac:dyDescent="0.2">
      <c r="A3798" s="11" t="str">
        <f t="shared" si="1267"/>
        <v>VN000CQ0Y091</v>
      </c>
      <c r="B3798" s="12" t="s">
        <v>13608</v>
      </c>
      <c r="C3798" s="12" t="s">
        <v>1422</v>
      </c>
      <c r="D3798" s="12" t="s">
        <v>7042</v>
      </c>
      <c r="E3798" s="12" t="s">
        <v>13609</v>
      </c>
      <c r="F3798" s="13">
        <v>70</v>
      </c>
      <c r="G3798" s="12" t="s">
        <v>7044</v>
      </c>
      <c r="H3798" s="12" t="s">
        <v>38</v>
      </c>
      <c r="I3798" s="12" t="s">
        <v>242</v>
      </c>
      <c r="J3798" s="12" t="s">
        <v>243</v>
      </c>
      <c r="K3798" s="12" t="s">
        <v>244</v>
      </c>
      <c r="L3798" s="14"/>
      <c r="M3798" s="12" t="s">
        <v>43</v>
      </c>
      <c r="N3798" s="12" t="s">
        <v>84</v>
      </c>
      <c r="O3798" s="12" t="s">
        <v>13610</v>
      </c>
      <c r="P3798" s="12" t="s">
        <v>46</v>
      </c>
      <c r="Q3798" s="12" t="s">
        <v>47</v>
      </c>
      <c r="R3798" s="12" t="s">
        <v>313</v>
      </c>
      <c r="S3798" s="13">
        <v>197804508624</v>
      </c>
      <c r="T3798" s="12" t="s">
        <v>164</v>
      </c>
      <c r="U3798" s="13">
        <v>23.5</v>
      </c>
      <c r="V3798" s="12" t="s">
        <v>50</v>
      </c>
      <c r="W3798" s="12" t="s">
        <v>51</v>
      </c>
      <c r="X3798" s="14"/>
      <c r="Y3798" s="14"/>
      <c r="Z3798" s="14"/>
      <c r="AA3798" s="14"/>
      <c r="AB3798" s="14"/>
      <c r="AC3798" s="15">
        <v>22.75</v>
      </c>
      <c r="AD3798" s="15">
        <f>AC3798*AG3798</f>
        <v>22.75</v>
      </c>
      <c r="AE3798" s="15">
        <v>50</v>
      </c>
      <c r="AF3798" s="15">
        <f>AE3798*AG3798</f>
        <v>50</v>
      </c>
      <c r="AG3798" s="16">
        <v>1</v>
      </c>
    </row>
    <row r="3799" spans="1:33" ht="15" customHeight="1" x14ac:dyDescent="0.2">
      <c r="A3799" s="11" t="str">
        <f>HYPERLINK("https://assets.vans.eu/images/VN000CQ0Y61-HERO/1","VN000CQ0Y611")</f>
        <v>VN000CQ0Y611</v>
      </c>
      <c r="B3799" s="12" t="s">
        <v>13611</v>
      </c>
      <c r="C3799" s="12" t="s">
        <v>1422</v>
      </c>
      <c r="D3799" s="12" t="s">
        <v>310</v>
      </c>
      <c r="E3799" s="12" t="s">
        <v>13612</v>
      </c>
      <c r="F3799" s="13">
        <v>50</v>
      </c>
      <c r="G3799" s="12" t="s">
        <v>13613</v>
      </c>
      <c r="H3799" s="12" t="s">
        <v>38</v>
      </c>
      <c r="I3799" s="12" t="s">
        <v>242</v>
      </c>
      <c r="J3799" s="12" t="s">
        <v>243</v>
      </c>
      <c r="K3799" s="12" t="s">
        <v>244</v>
      </c>
      <c r="L3799" s="14"/>
      <c r="M3799" s="12" t="s">
        <v>43</v>
      </c>
      <c r="N3799" s="12" t="s">
        <v>274</v>
      </c>
      <c r="O3799" s="12" t="s">
        <v>13614</v>
      </c>
      <c r="P3799" s="12" t="s">
        <v>46</v>
      </c>
      <c r="Q3799" s="12" t="s">
        <v>47</v>
      </c>
      <c r="R3799" s="12" t="s">
        <v>313</v>
      </c>
      <c r="S3799" s="13">
        <v>197063331667</v>
      </c>
      <c r="T3799" s="12" t="s">
        <v>164</v>
      </c>
      <c r="U3799" s="13">
        <v>21</v>
      </c>
      <c r="V3799" s="12" t="s">
        <v>50</v>
      </c>
      <c r="W3799" s="12" t="s">
        <v>51</v>
      </c>
      <c r="X3799" s="14"/>
      <c r="Y3799" s="12" t="s">
        <v>91</v>
      </c>
      <c r="Z3799" s="12" t="s">
        <v>165</v>
      </c>
      <c r="AA3799" s="14"/>
      <c r="AB3799" s="14"/>
      <c r="AC3799" s="15">
        <v>25</v>
      </c>
      <c r="AD3799" s="15">
        <f>AC3799*AG3799</f>
        <v>25</v>
      </c>
      <c r="AE3799" s="15">
        <v>55</v>
      </c>
      <c r="AF3799" s="15">
        <f>AE3799*AG3799</f>
        <v>55</v>
      </c>
      <c r="AG3799" s="16">
        <v>1</v>
      </c>
    </row>
    <row r="3800" spans="1:33" ht="15" customHeight="1" x14ac:dyDescent="0.2">
      <c r="A3800" s="11" t="str">
        <f>HYPERLINK("https://assets.vans.eu/images/VN000CQ9B8C-HERO/1","VN000CQ9B8C1")</f>
        <v>VN000CQ9B8C1</v>
      </c>
      <c r="B3800" s="12" t="s">
        <v>13615</v>
      </c>
      <c r="C3800" s="12" t="s">
        <v>13616</v>
      </c>
      <c r="D3800" s="12" t="s">
        <v>13617</v>
      </c>
      <c r="E3800" s="12" t="s">
        <v>13618</v>
      </c>
      <c r="F3800" s="13">
        <v>95</v>
      </c>
      <c r="G3800" s="14"/>
      <c r="H3800" s="12" t="s">
        <v>38</v>
      </c>
      <c r="I3800" s="12" t="s">
        <v>159</v>
      </c>
      <c r="J3800" s="12" t="s">
        <v>160</v>
      </c>
      <c r="K3800" s="12" t="s">
        <v>82</v>
      </c>
      <c r="L3800" s="14"/>
      <c r="M3800" s="12" t="s">
        <v>43</v>
      </c>
      <c r="N3800" s="12" t="s">
        <v>161</v>
      </c>
      <c r="O3800" s="12" t="s">
        <v>13619</v>
      </c>
      <c r="P3800" s="12" t="s">
        <v>46</v>
      </c>
      <c r="Q3800" s="12" t="s">
        <v>47</v>
      </c>
      <c r="R3800" s="12" t="s">
        <v>343</v>
      </c>
      <c r="S3800" s="13">
        <v>197065536190</v>
      </c>
      <c r="T3800" s="12" t="s">
        <v>164</v>
      </c>
      <c r="U3800" s="13">
        <v>42.5</v>
      </c>
      <c r="V3800" s="12" t="s">
        <v>50</v>
      </c>
      <c r="W3800" s="12" t="s">
        <v>51</v>
      </c>
      <c r="X3800" s="14"/>
      <c r="Y3800" s="12" t="s">
        <v>53</v>
      </c>
      <c r="Z3800" s="12" t="s">
        <v>263</v>
      </c>
      <c r="AA3800" s="14"/>
      <c r="AB3800" s="14"/>
      <c r="AC3800" s="15">
        <v>47.75</v>
      </c>
      <c r="AD3800" s="15">
        <f>AC3800*AG3800</f>
        <v>47.75</v>
      </c>
      <c r="AE3800" s="15">
        <v>105</v>
      </c>
      <c r="AF3800" s="15">
        <f>AE3800*AG3800</f>
        <v>105</v>
      </c>
      <c r="AG3800" s="16">
        <v>1</v>
      </c>
    </row>
    <row r="3801" spans="1:33" ht="15" customHeight="1" x14ac:dyDescent="0.2">
      <c r="A3801" s="11" t="str">
        <f>HYPERLINK("https://assets.vans.eu/images/VN000CQ9BYS-HERO/1","VN000CQ9BYS1")</f>
        <v>VN000CQ9BYS1</v>
      </c>
      <c r="B3801" s="12" t="s">
        <v>13620</v>
      </c>
      <c r="C3801" s="12" t="s">
        <v>13616</v>
      </c>
      <c r="D3801" s="12" t="s">
        <v>3968</v>
      </c>
      <c r="E3801" s="12" t="s">
        <v>13621</v>
      </c>
      <c r="F3801" s="13">
        <v>130</v>
      </c>
      <c r="G3801" s="14"/>
      <c r="H3801" s="12" t="s">
        <v>38</v>
      </c>
      <c r="I3801" s="12" t="s">
        <v>159</v>
      </c>
      <c r="J3801" s="12" t="s">
        <v>160</v>
      </c>
      <c r="K3801" s="12" t="s">
        <v>82</v>
      </c>
      <c r="L3801" s="14"/>
      <c r="M3801" s="12" t="s">
        <v>43</v>
      </c>
      <c r="N3801" s="12" t="s">
        <v>161</v>
      </c>
      <c r="O3801" s="12" t="s">
        <v>13622</v>
      </c>
      <c r="P3801" s="12" t="s">
        <v>46</v>
      </c>
      <c r="Q3801" s="12" t="s">
        <v>47</v>
      </c>
      <c r="R3801" s="12" t="s">
        <v>343</v>
      </c>
      <c r="S3801" s="13">
        <v>197065537074</v>
      </c>
      <c r="T3801" s="12" t="s">
        <v>164</v>
      </c>
      <c r="U3801" s="13">
        <v>47</v>
      </c>
      <c r="V3801" s="12" t="s">
        <v>50</v>
      </c>
      <c r="W3801" s="12" t="s">
        <v>580</v>
      </c>
      <c r="X3801" s="14"/>
      <c r="Y3801" s="12" t="s">
        <v>53</v>
      </c>
      <c r="Z3801" s="12" t="s">
        <v>263</v>
      </c>
      <c r="AA3801" s="14"/>
      <c r="AB3801" s="14"/>
      <c r="AC3801" s="15">
        <v>47.75</v>
      </c>
      <c r="AD3801" s="15">
        <f>AC3801*AG3801</f>
        <v>47.75</v>
      </c>
      <c r="AE3801" s="15">
        <v>105</v>
      </c>
      <c r="AF3801" s="15">
        <f>AE3801*AG3801</f>
        <v>105</v>
      </c>
      <c r="AG3801" s="16">
        <v>1</v>
      </c>
    </row>
    <row r="3802" spans="1:33" ht="15" customHeight="1" x14ac:dyDescent="0.2">
      <c r="A3802" s="11" t="str">
        <f t="shared" ref="A3802:A3804" si="1268">HYPERLINK("https://assets.vans.eu/images/VN000CQ9KAQ-HERO/1","VN000CQ9KAQ1")</f>
        <v>VN000CQ9KAQ1</v>
      </c>
      <c r="B3802" s="12" t="s">
        <v>13623</v>
      </c>
      <c r="C3802" s="12" t="s">
        <v>13616</v>
      </c>
      <c r="D3802" s="12" t="s">
        <v>2408</v>
      </c>
      <c r="E3802" s="12" t="s">
        <v>13624</v>
      </c>
      <c r="F3802" s="13">
        <v>50</v>
      </c>
      <c r="G3802" s="12" t="s">
        <v>7193</v>
      </c>
      <c r="H3802" s="12" t="s">
        <v>38</v>
      </c>
      <c r="I3802" s="12" t="s">
        <v>159</v>
      </c>
      <c r="J3802" s="12" t="s">
        <v>160</v>
      </c>
      <c r="K3802" s="12" t="s">
        <v>82</v>
      </c>
      <c r="L3802" s="12" t="s">
        <v>42</v>
      </c>
      <c r="M3802" s="12" t="s">
        <v>43</v>
      </c>
      <c r="N3802" s="12" t="s">
        <v>161</v>
      </c>
      <c r="O3802" s="12" t="s">
        <v>13625</v>
      </c>
      <c r="P3802" s="12" t="s">
        <v>46</v>
      </c>
      <c r="Q3802" s="12" t="s">
        <v>47</v>
      </c>
      <c r="R3802" s="12" t="s">
        <v>343</v>
      </c>
      <c r="S3802" s="13">
        <v>197065535124</v>
      </c>
      <c r="T3802" s="12" t="s">
        <v>164</v>
      </c>
      <c r="U3802" s="13">
        <v>36.5</v>
      </c>
      <c r="V3802" s="12" t="s">
        <v>50</v>
      </c>
      <c r="W3802" s="12" t="s">
        <v>455</v>
      </c>
      <c r="X3802" s="14"/>
      <c r="Y3802" s="12" t="s">
        <v>53</v>
      </c>
      <c r="Z3802" s="12" t="s">
        <v>92</v>
      </c>
      <c r="AA3802" s="12" t="s">
        <v>3224</v>
      </c>
      <c r="AB3802" s="12" t="s">
        <v>55</v>
      </c>
      <c r="AC3802" s="15">
        <v>47.75</v>
      </c>
      <c r="AD3802" s="15">
        <f>AC3802*AG3802</f>
        <v>47.75</v>
      </c>
      <c r="AE3802" s="15">
        <v>105</v>
      </c>
      <c r="AF3802" s="15">
        <f>AE3802*AG3802</f>
        <v>105</v>
      </c>
      <c r="AG3802" s="16">
        <v>1</v>
      </c>
    </row>
    <row r="3803" spans="1:33" ht="15" customHeight="1" x14ac:dyDescent="0.2">
      <c r="A3803" s="11" t="str">
        <f t="shared" si="1268"/>
        <v>VN000CQ9KAQ1</v>
      </c>
      <c r="B3803" s="12" t="s">
        <v>13626</v>
      </c>
      <c r="C3803" s="12" t="s">
        <v>13616</v>
      </c>
      <c r="D3803" s="12" t="s">
        <v>2408</v>
      </c>
      <c r="E3803" s="12" t="s">
        <v>13627</v>
      </c>
      <c r="F3803" s="13">
        <v>55</v>
      </c>
      <c r="G3803" s="12" t="s">
        <v>7193</v>
      </c>
      <c r="H3803" s="12" t="s">
        <v>38</v>
      </c>
      <c r="I3803" s="12" t="s">
        <v>159</v>
      </c>
      <c r="J3803" s="12" t="s">
        <v>160</v>
      </c>
      <c r="K3803" s="12" t="s">
        <v>82</v>
      </c>
      <c r="L3803" s="12" t="s">
        <v>42</v>
      </c>
      <c r="M3803" s="12" t="s">
        <v>43</v>
      </c>
      <c r="N3803" s="12" t="s">
        <v>161</v>
      </c>
      <c r="O3803" s="12" t="s">
        <v>13628</v>
      </c>
      <c r="P3803" s="12" t="s">
        <v>46</v>
      </c>
      <c r="Q3803" s="12" t="s">
        <v>47</v>
      </c>
      <c r="R3803" s="12" t="s">
        <v>343</v>
      </c>
      <c r="S3803" s="13">
        <v>197065535223</v>
      </c>
      <c r="T3803" s="12" t="s">
        <v>164</v>
      </c>
      <c r="U3803" s="13">
        <v>37</v>
      </c>
      <c r="V3803" s="12" t="s">
        <v>50</v>
      </c>
      <c r="W3803" s="12" t="s">
        <v>455</v>
      </c>
      <c r="X3803" s="14"/>
      <c r="Y3803" s="12" t="s">
        <v>53</v>
      </c>
      <c r="Z3803" s="12" t="s">
        <v>92</v>
      </c>
      <c r="AA3803" s="12" t="s">
        <v>3224</v>
      </c>
      <c r="AB3803" s="12" t="s">
        <v>55</v>
      </c>
      <c r="AC3803" s="15">
        <v>47.75</v>
      </c>
      <c r="AD3803" s="15">
        <f>AC3803*AG3803</f>
        <v>47.75</v>
      </c>
      <c r="AE3803" s="15">
        <v>105</v>
      </c>
      <c r="AF3803" s="15">
        <f>AE3803*AG3803</f>
        <v>105</v>
      </c>
      <c r="AG3803" s="16">
        <v>1</v>
      </c>
    </row>
    <row r="3804" spans="1:33" ht="15" customHeight="1" x14ac:dyDescent="0.2">
      <c r="A3804" s="11" t="str">
        <f t="shared" si="1268"/>
        <v>VN000CQ9KAQ1</v>
      </c>
      <c r="B3804" s="12" t="s">
        <v>13629</v>
      </c>
      <c r="C3804" s="12" t="s">
        <v>13616</v>
      </c>
      <c r="D3804" s="12" t="s">
        <v>2408</v>
      </c>
      <c r="E3804" s="12" t="s">
        <v>13630</v>
      </c>
      <c r="F3804" s="13">
        <v>65</v>
      </c>
      <c r="G3804" s="12" t="s">
        <v>7193</v>
      </c>
      <c r="H3804" s="12" t="s">
        <v>38</v>
      </c>
      <c r="I3804" s="12" t="s">
        <v>159</v>
      </c>
      <c r="J3804" s="12" t="s">
        <v>160</v>
      </c>
      <c r="K3804" s="12" t="s">
        <v>82</v>
      </c>
      <c r="L3804" s="12" t="s">
        <v>42</v>
      </c>
      <c r="M3804" s="12" t="s">
        <v>43</v>
      </c>
      <c r="N3804" s="12" t="s">
        <v>161</v>
      </c>
      <c r="O3804" s="12" t="s">
        <v>13631</v>
      </c>
      <c r="P3804" s="12" t="s">
        <v>46</v>
      </c>
      <c r="Q3804" s="12" t="s">
        <v>47</v>
      </c>
      <c r="R3804" s="12" t="s">
        <v>343</v>
      </c>
      <c r="S3804" s="13">
        <v>197065535506</v>
      </c>
      <c r="T3804" s="12" t="s">
        <v>164</v>
      </c>
      <c r="U3804" s="13">
        <v>38.5</v>
      </c>
      <c r="V3804" s="12" t="s">
        <v>50</v>
      </c>
      <c r="W3804" s="12" t="s">
        <v>455</v>
      </c>
      <c r="X3804" s="14"/>
      <c r="Y3804" s="12" t="s">
        <v>53</v>
      </c>
      <c r="Z3804" s="12" t="s">
        <v>92</v>
      </c>
      <c r="AA3804" s="12" t="s">
        <v>3224</v>
      </c>
      <c r="AB3804" s="12" t="s">
        <v>55</v>
      </c>
      <c r="AC3804" s="15">
        <v>47.75</v>
      </c>
      <c r="AD3804" s="15">
        <f>AC3804*AG3804</f>
        <v>47.75</v>
      </c>
      <c r="AE3804" s="15">
        <v>105</v>
      </c>
      <c r="AF3804" s="15">
        <f>AE3804*AG3804</f>
        <v>105</v>
      </c>
      <c r="AG3804" s="16">
        <v>1</v>
      </c>
    </row>
    <row r="3805" spans="1:33" ht="15" customHeight="1" x14ac:dyDescent="0.2">
      <c r="A3805" s="11" t="str">
        <f>HYPERLINK("https://assets.vans.eu/images/VN000CQ9T9T-HERO/1","VN000CQ9T9T1")</f>
        <v>VN000CQ9T9T1</v>
      </c>
      <c r="B3805" s="12" t="s">
        <v>13632</v>
      </c>
      <c r="C3805" s="12" t="s">
        <v>13616</v>
      </c>
      <c r="D3805" s="12" t="s">
        <v>13633</v>
      </c>
      <c r="E3805" s="12" t="s">
        <v>13634</v>
      </c>
      <c r="F3805" s="13">
        <v>80</v>
      </c>
      <c r="G3805" s="12" t="s">
        <v>13635</v>
      </c>
      <c r="H3805" s="12" t="s">
        <v>38</v>
      </c>
      <c r="I3805" s="12" t="s">
        <v>159</v>
      </c>
      <c r="J3805" s="12" t="s">
        <v>160</v>
      </c>
      <c r="K3805" s="12" t="s">
        <v>82</v>
      </c>
      <c r="L3805" s="12" t="s">
        <v>42</v>
      </c>
      <c r="M3805" s="12" t="s">
        <v>43</v>
      </c>
      <c r="N3805" s="12" t="s">
        <v>161</v>
      </c>
      <c r="O3805" s="12" t="s">
        <v>13636</v>
      </c>
      <c r="P3805" s="12" t="s">
        <v>46</v>
      </c>
      <c r="Q3805" s="12" t="s">
        <v>47</v>
      </c>
      <c r="R3805" s="12" t="s">
        <v>343</v>
      </c>
      <c r="S3805" s="13">
        <v>197065536565</v>
      </c>
      <c r="T3805" s="12" t="s">
        <v>164</v>
      </c>
      <c r="U3805" s="13">
        <v>40.5</v>
      </c>
      <c r="V3805" s="12" t="s">
        <v>50</v>
      </c>
      <c r="W3805" s="12" t="s">
        <v>175</v>
      </c>
      <c r="X3805" s="14"/>
      <c r="Y3805" s="12" t="s">
        <v>53</v>
      </c>
      <c r="Z3805" s="12" t="s">
        <v>92</v>
      </c>
      <c r="AA3805" s="12" t="s">
        <v>3224</v>
      </c>
      <c r="AB3805" s="12" t="s">
        <v>55</v>
      </c>
      <c r="AC3805" s="15">
        <v>47.75</v>
      </c>
      <c r="AD3805" s="15">
        <f>AC3805*AG3805</f>
        <v>47.75</v>
      </c>
      <c r="AE3805" s="15">
        <v>105</v>
      </c>
      <c r="AF3805" s="15">
        <f>AE3805*AG3805</f>
        <v>105</v>
      </c>
      <c r="AG3805" s="16">
        <v>1</v>
      </c>
    </row>
    <row r="3806" spans="1:33" ht="15" customHeight="1" x14ac:dyDescent="0.2">
      <c r="A3806" s="11" t="str">
        <f t="shared" si="995"/>
        <v>VN000CQFBL21</v>
      </c>
      <c r="B3806" s="12" t="s">
        <v>13637</v>
      </c>
      <c r="C3806" s="12" t="s">
        <v>9139</v>
      </c>
      <c r="D3806" s="12" t="s">
        <v>686</v>
      </c>
      <c r="E3806" s="12" t="s">
        <v>13638</v>
      </c>
      <c r="F3806" s="13">
        <v>50</v>
      </c>
      <c r="G3806" s="12" t="s">
        <v>9142</v>
      </c>
      <c r="H3806" s="12" t="s">
        <v>38</v>
      </c>
      <c r="I3806" s="12" t="s">
        <v>159</v>
      </c>
      <c r="J3806" s="12" t="s">
        <v>341</v>
      </c>
      <c r="K3806" s="12" t="s">
        <v>82</v>
      </c>
      <c r="L3806" s="14"/>
      <c r="M3806" s="12" t="s">
        <v>43</v>
      </c>
      <c r="N3806" s="12" t="s">
        <v>161</v>
      </c>
      <c r="O3806" s="12" t="s">
        <v>13639</v>
      </c>
      <c r="P3806" s="12" t="s">
        <v>46</v>
      </c>
      <c r="Q3806" s="12" t="s">
        <v>47</v>
      </c>
      <c r="R3806" s="12" t="s">
        <v>163</v>
      </c>
      <c r="S3806" s="13">
        <v>197065724214</v>
      </c>
      <c r="T3806" s="12" t="s">
        <v>105</v>
      </c>
      <c r="U3806" s="13">
        <v>36.5</v>
      </c>
      <c r="V3806" s="12" t="s">
        <v>9144</v>
      </c>
      <c r="W3806" s="12" t="s">
        <v>186</v>
      </c>
      <c r="X3806" s="14"/>
      <c r="Y3806" s="12" t="s">
        <v>1011</v>
      </c>
      <c r="Z3806" s="12" t="s">
        <v>263</v>
      </c>
      <c r="AA3806" s="14"/>
      <c r="AB3806" s="14"/>
      <c r="AC3806" s="15">
        <v>62.5</v>
      </c>
      <c r="AD3806" s="15">
        <f>AC3806*AG3806</f>
        <v>62.5</v>
      </c>
      <c r="AE3806" s="15">
        <v>150</v>
      </c>
      <c r="AF3806" s="15">
        <f>AE3806*AG3806</f>
        <v>150</v>
      </c>
      <c r="AG3806" s="16">
        <v>1</v>
      </c>
    </row>
    <row r="3807" spans="1:33" ht="15" customHeight="1" x14ac:dyDescent="0.2">
      <c r="A3807" s="11" t="str">
        <f t="shared" ref="A3807:A3808" si="1269">HYPERLINK("https://assets.vans.eu/images/VN000CQRBZW-HERO/1","VN000CQRBZW1")</f>
        <v>VN000CQRBZW1</v>
      </c>
      <c r="B3807" s="12" t="s">
        <v>13640</v>
      </c>
      <c r="C3807" s="12" t="s">
        <v>1458</v>
      </c>
      <c r="D3807" s="12" t="s">
        <v>58</v>
      </c>
      <c r="E3807" s="12" t="s">
        <v>13641</v>
      </c>
      <c r="F3807" s="13">
        <v>50</v>
      </c>
      <c r="G3807" s="14"/>
      <c r="H3807" s="12" t="s">
        <v>38</v>
      </c>
      <c r="I3807" s="12" t="s">
        <v>113</v>
      </c>
      <c r="J3807" s="12" t="s">
        <v>529</v>
      </c>
      <c r="K3807" s="12" t="s">
        <v>82</v>
      </c>
      <c r="L3807" s="14"/>
      <c r="M3807" s="12" t="s">
        <v>43</v>
      </c>
      <c r="N3807" s="12" t="s">
        <v>84</v>
      </c>
      <c r="O3807" s="12" t="s">
        <v>13642</v>
      </c>
      <c r="P3807" s="12" t="s">
        <v>46</v>
      </c>
      <c r="Q3807" s="12" t="s">
        <v>47</v>
      </c>
      <c r="R3807" s="12" t="s">
        <v>117</v>
      </c>
      <c r="S3807" s="13">
        <v>196575346299</v>
      </c>
      <c r="T3807" s="12" t="s">
        <v>105</v>
      </c>
      <c r="U3807" s="13">
        <v>36.5</v>
      </c>
      <c r="V3807" s="12" t="s">
        <v>50</v>
      </c>
      <c r="W3807" s="12" t="s">
        <v>51</v>
      </c>
      <c r="X3807" s="14"/>
      <c r="Y3807" s="12" t="s">
        <v>91</v>
      </c>
      <c r="Z3807" s="12" t="s">
        <v>263</v>
      </c>
      <c r="AA3807" s="14"/>
      <c r="AB3807" s="14"/>
      <c r="AC3807" s="15">
        <v>43.2</v>
      </c>
      <c r="AD3807" s="15">
        <f>AC3807*AG3807</f>
        <v>43.2</v>
      </c>
      <c r="AE3807" s="15">
        <v>95</v>
      </c>
      <c r="AF3807" s="15">
        <f>AE3807*AG3807</f>
        <v>95</v>
      </c>
      <c r="AG3807" s="16">
        <v>1</v>
      </c>
    </row>
    <row r="3808" spans="1:33" ht="15" customHeight="1" x14ac:dyDescent="0.2">
      <c r="A3808" s="11" t="str">
        <f t="shared" si="1269"/>
        <v>VN000CQRBZW1</v>
      </c>
      <c r="B3808" s="12" t="s">
        <v>13643</v>
      </c>
      <c r="C3808" s="12" t="s">
        <v>1458</v>
      </c>
      <c r="D3808" s="12" t="s">
        <v>58</v>
      </c>
      <c r="E3808" s="12" t="s">
        <v>13644</v>
      </c>
      <c r="F3808" s="13">
        <v>120</v>
      </c>
      <c r="G3808" s="14"/>
      <c r="H3808" s="12" t="s">
        <v>38</v>
      </c>
      <c r="I3808" s="12" t="s">
        <v>113</v>
      </c>
      <c r="J3808" s="12" t="s">
        <v>529</v>
      </c>
      <c r="K3808" s="12" t="s">
        <v>82</v>
      </c>
      <c r="L3808" s="14"/>
      <c r="M3808" s="12" t="s">
        <v>43</v>
      </c>
      <c r="N3808" s="12" t="s">
        <v>84</v>
      </c>
      <c r="O3808" s="12" t="s">
        <v>13645</v>
      </c>
      <c r="P3808" s="12" t="s">
        <v>46</v>
      </c>
      <c r="Q3808" s="12" t="s">
        <v>47</v>
      </c>
      <c r="R3808" s="12" t="s">
        <v>117</v>
      </c>
      <c r="S3808" s="13">
        <v>196575349252</v>
      </c>
      <c r="T3808" s="12" t="s">
        <v>105</v>
      </c>
      <c r="U3808" s="13">
        <v>46</v>
      </c>
      <c r="V3808" s="12" t="s">
        <v>50</v>
      </c>
      <c r="W3808" s="12" t="s">
        <v>51</v>
      </c>
      <c r="X3808" s="14"/>
      <c r="Y3808" s="12" t="s">
        <v>91</v>
      </c>
      <c r="Z3808" s="12" t="s">
        <v>263</v>
      </c>
      <c r="AA3808" s="14"/>
      <c r="AB3808" s="14"/>
      <c r="AC3808" s="15">
        <v>43.2</v>
      </c>
      <c r="AD3808" s="15">
        <f>AC3808*AG3808</f>
        <v>43.2</v>
      </c>
      <c r="AE3808" s="15">
        <v>95</v>
      </c>
      <c r="AF3808" s="15">
        <f>AE3808*AG3808</f>
        <v>95</v>
      </c>
      <c r="AG3808" s="16">
        <v>1</v>
      </c>
    </row>
    <row r="3809" spans="1:33" ht="15" customHeight="1" x14ac:dyDescent="0.2">
      <c r="A3809" s="11" t="str">
        <f>HYPERLINK("https://assets.vans.eu/images/VN000CQRCHL-HERO/1","VN000CQRCHL1")</f>
        <v>VN000CQRCHL1</v>
      </c>
      <c r="B3809" s="12" t="s">
        <v>13646</v>
      </c>
      <c r="C3809" s="12" t="s">
        <v>1458</v>
      </c>
      <c r="D3809" s="12" t="s">
        <v>13647</v>
      </c>
      <c r="E3809" s="12" t="s">
        <v>13648</v>
      </c>
      <c r="F3809" s="13">
        <v>65</v>
      </c>
      <c r="G3809" s="12" t="s">
        <v>13649</v>
      </c>
      <c r="H3809" s="12" t="s">
        <v>38</v>
      </c>
      <c r="I3809" s="12" t="s">
        <v>113</v>
      </c>
      <c r="J3809" s="12" t="s">
        <v>529</v>
      </c>
      <c r="K3809" s="12" t="s">
        <v>82</v>
      </c>
      <c r="L3809" s="14"/>
      <c r="M3809" s="12" t="s">
        <v>43</v>
      </c>
      <c r="N3809" s="12" t="s">
        <v>274</v>
      </c>
      <c r="O3809" s="12" t="s">
        <v>13650</v>
      </c>
      <c r="P3809" s="12" t="s">
        <v>46</v>
      </c>
      <c r="Q3809" s="12" t="s">
        <v>47</v>
      </c>
      <c r="R3809" s="12" t="s">
        <v>117</v>
      </c>
      <c r="S3809" s="13">
        <v>197063337102</v>
      </c>
      <c r="T3809" s="12" t="s">
        <v>105</v>
      </c>
      <c r="U3809" s="13">
        <v>38.5</v>
      </c>
      <c r="V3809" s="12" t="s">
        <v>50</v>
      </c>
      <c r="W3809" s="12" t="s">
        <v>299</v>
      </c>
      <c r="X3809" s="14"/>
      <c r="Y3809" s="12" t="s">
        <v>53</v>
      </c>
      <c r="Z3809" s="12" t="s">
        <v>263</v>
      </c>
      <c r="AA3809" s="14"/>
      <c r="AB3809" s="14"/>
      <c r="AC3809" s="15">
        <v>40.950000000000003</v>
      </c>
      <c r="AD3809" s="15">
        <f>AC3809*AG3809</f>
        <v>40.950000000000003</v>
      </c>
      <c r="AE3809" s="15">
        <v>90</v>
      </c>
      <c r="AF3809" s="15">
        <f>AE3809*AG3809</f>
        <v>90</v>
      </c>
      <c r="AG3809" s="16">
        <v>1</v>
      </c>
    </row>
    <row r="3810" spans="1:33" ht="15" customHeight="1" x14ac:dyDescent="0.2">
      <c r="A3810" s="11" t="str">
        <f t="shared" ref="A3810:A3811" si="1270">HYPERLINK("https://assets.vans.eu/images/VN000CQRO3N-HERO/1","VN000CQRO3N1")</f>
        <v>VN000CQRO3N1</v>
      </c>
      <c r="B3810" s="12" t="s">
        <v>13651</v>
      </c>
      <c r="C3810" s="12" t="s">
        <v>1458</v>
      </c>
      <c r="D3810" s="12" t="s">
        <v>744</v>
      </c>
      <c r="E3810" s="12" t="s">
        <v>13652</v>
      </c>
      <c r="F3810" s="13">
        <v>35</v>
      </c>
      <c r="G3810" s="12" t="s">
        <v>1460</v>
      </c>
      <c r="H3810" s="12" t="s">
        <v>38</v>
      </c>
      <c r="I3810" s="12" t="s">
        <v>113</v>
      </c>
      <c r="J3810" s="12" t="s">
        <v>529</v>
      </c>
      <c r="K3810" s="12" t="s">
        <v>82</v>
      </c>
      <c r="L3810" s="14"/>
      <c r="M3810" s="12" t="s">
        <v>43</v>
      </c>
      <c r="N3810" s="12" t="s">
        <v>44</v>
      </c>
      <c r="O3810" s="12" t="s">
        <v>13653</v>
      </c>
      <c r="P3810" s="12" t="s">
        <v>46</v>
      </c>
      <c r="Q3810" s="12" t="s">
        <v>47</v>
      </c>
      <c r="R3810" s="12" t="s">
        <v>117</v>
      </c>
      <c r="S3810" s="13">
        <v>197643237518</v>
      </c>
      <c r="T3810" s="12" t="s">
        <v>49</v>
      </c>
      <c r="U3810" s="13">
        <v>34.5</v>
      </c>
      <c r="V3810" s="12" t="s">
        <v>50</v>
      </c>
      <c r="W3810" s="12" t="s">
        <v>299</v>
      </c>
      <c r="X3810" s="14"/>
      <c r="Y3810" s="12" t="s">
        <v>53</v>
      </c>
      <c r="Z3810" s="12" t="s">
        <v>1462</v>
      </c>
      <c r="AA3810" s="14"/>
      <c r="AB3810" s="14"/>
      <c r="AC3810" s="15">
        <v>43.2</v>
      </c>
      <c r="AD3810" s="15">
        <f>AC3810*AG3810</f>
        <v>43.2</v>
      </c>
      <c r="AE3810" s="15">
        <v>95</v>
      </c>
      <c r="AF3810" s="15">
        <f>AE3810*AG3810</f>
        <v>95</v>
      </c>
      <c r="AG3810" s="16">
        <v>1</v>
      </c>
    </row>
    <row r="3811" spans="1:33" ht="15" customHeight="1" x14ac:dyDescent="0.2">
      <c r="A3811" s="11" t="str">
        <f t="shared" si="1270"/>
        <v>VN000CQRO3N1</v>
      </c>
      <c r="B3811" s="12" t="s">
        <v>13654</v>
      </c>
      <c r="C3811" s="12" t="s">
        <v>1458</v>
      </c>
      <c r="D3811" s="12" t="s">
        <v>744</v>
      </c>
      <c r="E3811" s="12" t="s">
        <v>13655</v>
      </c>
      <c r="F3811" s="13">
        <v>120</v>
      </c>
      <c r="G3811" s="12" t="s">
        <v>1460</v>
      </c>
      <c r="H3811" s="12" t="s">
        <v>38</v>
      </c>
      <c r="I3811" s="12" t="s">
        <v>113</v>
      </c>
      <c r="J3811" s="12" t="s">
        <v>529</v>
      </c>
      <c r="K3811" s="12" t="s">
        <v>82</v>
      </c>
      <c r="L3811" s="14"/>
      <c r="M3811" s="12" t="s">
        <v>43</v>
      </c>
      <c r="N3811" s="12" t="s">
        <v>44</v>
      </c>
      <c r="O3811" s="12" t="s">
        <v>13656</v>
      </c>
      <c r="P3811" s="12" t="s">
        <v>46</v>
      </c>
      <c r="Q3811" s="12" t="s">
        <v>47</v>
      </c>
      <c r="R3811" s="12" t="s">
        <v>117</v>
      </c>
      <c r="S3811" s="13">
        <v>197643240068</v>
      </c>
      <c r="T3811" s="12" t="s">
        <v>49</v>
      </c>
      <c r="U3811" s="13">
        <v>46</v>
      </c>
      <c r="V3811" s="12" t="s">
        <v>50</v>
      </c>
      <c r="W3811" s="12" t="s">
        <v>299</v>
      </c>
      <c r="X3811" s="14"/>
      <c r="Y3811" s="12" t="s">
        <v>53</v>
      </c>
      <c r="Z3811" s="12" t="s">
        <v>1462</v>
      </c>
      <c r="AA3811" s="14"/>
      <c r="AB3811" s="14"/>
      <c r="AC3811" s="15">
        <v>43.2</v>
      </c>
      <c r="AD3811" s="15">
        <f>AC3811*AG3811</f>
        <v>43.2</v>
      </c>
      <c r="AE3811" s="15">
        <v>95</v>
      </c>
      <c r="AF3811" s="15">
        <f>AE3811*AG3811</f>
        <v>95</v>
      </c>
      <c r="AG3811" s="16">
        <v>1</v>
      </c>
    </row>
    <row r="3812" spans="1:33" ht="15" customHeight="1" x14ac:dyDescent="0.2">
      <c r="A3812" s="11" t="str">
        <f t="shared" ref="A3812:A3813" si="1271">HYPERLINK("https://assets.vans.eu/images/VN000CQRYLW-HERO/1","VN000CQRYLW1")</f>
        <v>VN000CQRYLW1</v>
      </c>
      <c r="B3812" s="12" t="s">
        <v>13657</v>
      </c>
      <c r="C3812" s="12" t="s">
        <v>1458</v>
      </c>
      <c r="D3812" s="12" t="s">
        <v>2981</v>
      </c>
      <c r="E3812" s="12" t="s">
        <v>13658</v>
      </c>
      <c r="F3812" s="13">
        <v>35</v>
      </c>
      <c r="G3812" s="12" t="s">
        <v>2983</v>
      </c>
      <c r="H3812" s="12" t="s">
        <v>38</v>
      </c>
      <c r="I3812" s="12" t="s">
        <v>113</v>
      </c>
      <c r="J3812" s="12" t="s">
        <v>529</v>
      </c>
      <c r="K3812" s="12" t="s">
        <v>82</v>
      </c>
      <c r="L3812" s="14"/>
      <c r="M3812" s="12" t="s">
        <v>43</v>
      </c>
      <c r="N3812" s="12" t="s">
        <v>161</v>
      </c>
      <c r="O3812" s="12" t="s">
        <v>13659</v>
      </c>
      <c r="P3812" s="12" t="s">
        <v>46</v>
      </c>
      <c r="Q3812" s="12" t="s">
        <v>47</v>
      </c>
      <c r="R3812" s="12" t="s">
        <v>117</v>
      </c>
      <c r="S3812" s="13">
        <v>197065639341</v>
      </c>
      <c r="T3812" s="12" t="s">
        <v>105</v>
      </c>
      <c r="U3812" s="13">
        <v>34.5</v>
      </c>
      <c r="V3812" s="12" t="s">
        <v>50</v>
      </c>
      <c r="W3812" s="12" t="s">
        <v>625</v>
      </c>
      <c r="X3812" s="14"/>
      <c r="Y3812" s="12" t="s">
        <v>53</v>
      </c>
      <c r="Z3812" s="12" t="s">
        <v>263</v>
      </c>
      <c r="AA3812" s="14"/>
      <c r="AB3812" s="14"/>
      <c r="AC3812" s="15">
        <v>40.950000000000003</v>
      </c>
      <c r="AD3812" s="15">
        <f>AC3812*AG3812</f>
        <v>40.950000000000003</v>
      </c>
      <c r="AE3812" s="15">
        <v>90</v>
      </c>
      <c r="AF3812" s="15">
        <f>AE3812*AG3812</f>
        <v>90</v>
      </c>
      <c r="AG3812" s="16">
        <v>1</v>
      </c>
    </row>
    <row r="3813" spans="1:33" ht="15" customHeight="1" x14ac:dyDescent="0.2">
      <c r="A3813" s="11" t="str">
        <f t="shared" si="1271"/>
        <v>VN000CQRYLW1</v>
      </c>
      <c r="B3813" s="12" t="s">
        <v>13660</v>
      </c>
      <c r="C3813" s="12" t="s">
        <v>1458</v>
      </c>
      <c r="D3813" s="12" t="s">
        <v>2981</v>
      </c>
      <c r="E3813" s="12" t="s">
        <v>13661</v>
      </c>
      <c r="F3813" s="13">
        <v>95</v>
      </c>
      <c r="G3813" s="12" t="s">
        <v>2983</v>
      </c>
      <c r="H3813" s="12" t="s">
        <v>38</v>
      </c>
      <c r="I3813" s="12" t="s">
        <v>113</v>
      </c>
      <c r="J3813" s="12" t="s">
        <v>529</v>
      </c>
      <c r="K3813" s="12" t="s">
        <v>82</v>
      </c>
      <c r="L3813" s="14"/>
      <c r="M3813" s="12" t="s">
        <v>43</v>
      </c>
      <c r="N3813" s="12" t="s">
        <v>161</v>
      </c>
      <c r="O3813" s="12" t="s">
        <v>13662</v>
      </c>
      <c r="P3813" s="12" t="s">
        <v>46</v>
      </c>
      <c r="Q3813" s="12" t="s">
        <v>47</v>
      </c>
      <c r="R3813" s="12" t="s">
        <v>117</v>
      </c>
      <c r="S3813" s="13">
        <v>197065640415</v>
      </c>
      <c r="T3813" s="12" t="s">
        <v>105</v>
      </c>
      <c r="U3813" s="13">
        <v>42.5</v>
      </c>
      <c r="V3813" s="12" t="s">
        <v>50</v>
      </c>
      <c r="W3813" s="12" t="s">
        <v>625</v>
      </c>
      <c r="X3813" s="14"/>
      <c r="Y3813" s="12" t="s">
        <v>53</v>
      </c>
      <c r="Z3813" s="12" t="s">
        <v>263</v>
      </c>
      <c r="AA3813" s="14"/>
      <c r="AB3813" s="14"/>
      <c r="AC3813" s="15">
        <v>40.950000000000003</v>
      </c>
      <c r="AD3813" s="15">
        <f>AC3813*AG3813</f>
        <v>40.950000000000003</v>
      </c>
      <c r="AE3813" s="15">
        <v>90</v>
      </c>
      <c r="AF3813" s="15">
        <f>AE3813*AG3813</f>
        <v>90</v>
      </c>
      <c r="AG3813" s="16">
        <v>1</v>
      </c>
    </row>
    <row r="3814" spans="1:33" ht="15" customHeight="1" x14ac:dyDescent="0.2">
      <c r="A3814" s="11" t="str">
        <f t="shared" ref="A3814:A3816" si="1272">HYPERLINK("https://assets.vans.eu/images/VN000CQRYLZ-HERO/1","VN000CQRYLZ1")</f>
        <v>VN000CQRYLZ1</v>
      </c>
      <c r="B3814" s="12" t="s">
        <v>13663</v>
      </c>
      <c r="C3814" s="12" t="s">
        <v>1458</v>
      </c>
      <c r="D3814" s="12" t="s">
        <v>458</v>
      </c>
      <c r="E3814" s="12" t="s">
        <v>13664</v>
      </c>
      <c r="F3814" s="13">
        <v>35</v>
      </c>
      <c r="G3814" s="12" t="s">
        <v>1852</v>
      </c>
      <c r="H3814" s="12" t="s">
        <v>38</v>
      </c>
      <c r="I3814" s="12" t="s">
        <v>113</v>
      </c>
      <c r="J3814" s="12" t="s">
        <v>529</v>
      </c>
      <c r="K3814" s="12" t="s">
        <v>82</v>
      </c>
      <c r="L3814" s="14"/>
      <c r="M3814" s="12" t="s">
        <v>43</v>
      </c>
      <c r="N3814" s="12" t="s">
        <v>44</v>
      </c>
      <c r="O3814" s="12" t="s">
        <v>13665</v>
      </c>
      <c r="P3814" s="12" t="s">
        <v>46</v>
      </c>
      <c r="Q3814" s="12" t="s">
        <v>47</v>
      </c>
      <c r="R3814" s="12" t="s">
        <v>117</v>
      </c>
      <c r="S3814" s="13">
        <v>197643237457</v>
      </c>
      <c r="T3814" s="12" t="s">
        <v>49</v>
      </c>
      <c r="U3814" s="13">
        <v>34.5</v>
      </c>
      <c r="V3814" s="12" t="s">
        <v>50</v>
      </c>
      <c r="W3814" s="12" t="s">
        <v>299</v>
      </c>
      <c r="X3814" s="14"/>
      <c r="Y3814" s="12" t="s">
        <v>53</v>
      </c>
      <c r="Z3814" s="12" t="s">
        <v>1462</v>
      </c>
      <c r="AA3814" s="14"/>
      <c r="AB3814" s="14"/>
      <c r="AC3814" s="15">
        <v>43.2</v>
      </c>
      <c r="AD3814" s="15">
        <f>AC3814*AG3814</f>
        <v>43.2</v>
      </c>
      <c r="AE3814" s="15">
        <v>95</v>
      </c>
      <c r="AF3814" s="15">
        <f>AE3814*AG3814</f>
        <v>95</v>
      </c>
      <c r="AG3814" s="16">
        <v>1</v>
      </c>
    </row>
    <row r="3815" spans="1:33" ht="15" customHeight="1" x14ac:dyDescent="0.2">
      <c r="A3815" s="11" t="str">
        <f t="shared" si="1272"/>
        <v>VN000CQRYLZ1</v>
      </c>
      <c r="B3815" s="12" t="s">
        <v>13666</v>
      </c>
      <c r="C3815" s="12" t="s">
        <v>1458</v>
      </c>
      <c r="D3815" s="12" t="s">
        <v>458</v>
      </c>
      <c r="E3815" s="12" t="s">
        <v>13667</v>
      </c>
      <c r="F3815" s="13">
        <v>60</v>
      </c>
      <c r="G3815" s="12" t="s">
        <v>1852</v>
      </c>
      <c r="H3815" s="12" t="s">
        <v>38</v>
      </c>
      <c r="I3815" s="12" t="s">
        <v>113</v>
      </c>
      <c r="J3815" s="12" t="s">
        <v>529</v>
      </c>
      <c r="K3815" s="12" t="s">
        <v>82</v>
      </c>
      <c r="L3815" s="14"/>
      <c r="M3815" s="12" t="s">
        <v>43</v>
      </c>
      <c r="N3815" s="12" t="s">
        <v>44</v>
      </c>
      <c r="O3815" s="12" t="s">
        <v>13668</v>
      </c>
      <c r="P3815" s="12" t="s">
        <v>46</v>
      </c>
      <c r="Q3815" s="12" t="s">
        <v>47</v>
      </c>
      <c r="R3815" s="12" t="s">
        <v>117</v>
      </c>
      <c r="S3815" s="13">
        <v>197643238041</v>
      </c>
      <c r="T3815" s="12" t="s">
        <v>49</v>
      </c>
      <c r="U3815" s="13">
        <v>38</v>
      </c>
      <c r="V3815" s="12" t="s">
        <v>50</v>
      </c>
      <c r="W3815" s="12" t="s">
        <v>299</v>
      </c>
      <c r="X3815" s="14"/>
      <c r="Y3815" s="12" t="s">
        <v>53</v>
      </c>
      <c r="Z3815" s="12" t="s">
        <v>1462</v>
      </c>
      <c r="AA3815" s="14"/>
      <c r="AB3815" s="14"/>
      <c r="AC3815" s="15">
        <v>43.2</v>
      </c>
      <c r="AD3815" s="15">
        <f>AC3815*AG3815</f>
        <v>43.2</v>
      </c>
      <c r="AE3815" s="15">
        <v>95</v>
      </c>
      <c r="AF3815" s="15">
        <f>AE3815*AG3815</f>
        <v>95</v>
      </c>
      <c r="AG3815" s="16">
        <v>1</v>
      </c>
    </row>
    <row r="3816" spans="1:33" ht="15" customHeight="1" x14ac:dyDescent="0.2">
      <c r="A3816" s="11" t="str">
        <f t="shared" si="1272"/>
        <v>VN000CQRYLZ1</v>
      </c>
      <c r="B3816" s="12" t="s">
        <v>13669</v>
      </c>
      <c r="C3816" s="12" t="s">
        <v>1458</v>
      </c>
      <c r="D3816" s="12" t="s">
        <v>458</v>
      </c>
      <c r="E3816" s="12" t="s">
        <v>13670</v>
      </c>
      <c r="F3816" s="13">
        <v>120</v>
      </c>
      <c r="G3816" s="12" t="s">
        <v>1852</v>
      </c>
      <c r="H3816" s="12" t="s">
        <v>38</v>
      </c>
      <c r="I3816" s="12" t="s">
        <v>113</v>
      </c>
      <c r="J3816" s="12" t="s">
        <v>529</v>
      </c>
      <c r="K3816" s="12" t="s">
        <v>82</v>
      </c>
      <c r="L3816" s="14"/>
      <c r="M3816" s="12" t="s">
        <v>43</v>
      </c>
      <c r="N3816" s="12" t="s">
        <v>44</v>
      </c>
      <c r="O3816" s="12" t="s">
        <v>13671</v>
      </c>
      <c r="P3816" s="12" t="s">
        <v>46</v>
      </c>
      <c r="Q3816" s="12" t="s">
        <v>47</v>
      </c>
      <c r="R3816" s="12" t="s">
        <v>117</v>
      </c>
      <c r="S3816" s="13">
        <v>197643239963</v>
      </c>
      <c r="T3816" s="12" t="s">
        <v>49</v>
      </c>
      <c r="U3816" s="13">
        <v>46</v>
      </c>
      <c r="V3816" s="12" t="s">
        <v>50</v>
      </c>
      <c r="W3816" s="12" t="s">
        <v>299</v>
      </c>
      <c r="X3816" s="14"/>
      <c r="Y3816" s="12" t="s">
        <v>53</v>
      </c>
      <c r="Z3816" s="12" t="s">
        <v>1462</v>
      </c>
      <c r="AA3816" s="14"/>
      <c r="AB3816" s="14"/>
      <c r="AC3816" s="15">
        <v>43.2</v>
      </c>
      <c r="AD3816" s="15">
        <f>AC3816*AG3816</f>
        <v>43.2</v>
      </c>
      <c r="AE3816" s="15">
        <v>95</v>
      </c>
      <c r="AF3816" s="15">
        <f>AE3816*AG3816</f>
        <v>95</v>
      </c>
      <c r="AG3816" s="16">
        <v>1</v>
      </c>
    </row>
    <row r="3817" spans="1:33" ht="15" customHeight="1" x14ac:dyDescent="0.2">
      <c r="A3817" s="11" t="str">
        <f t="shared" ref="A3817:A3818" si="1273">HYPERLINK("https://assets.vans.eu/images/VN000CR50ZB-HERO/1","VN000CR50ZB1")</f>
        <v>VN000CR50ZB1</v>
      </c>
      <c r="B3817" s="12" t="s">
        <v>13672</v>
      </c>
      <c r="C3817" s="12" t="s">
        <v>34</v>
      </c>
      <c r="D3817" s="12" t="s">
        <v>13673</v>
      </c>
      <c r="E3817" s="12" t="s">
        <v>13674</v>
      </c>
      <c r="F3817" s="13">
        <v>50</v>
      </c>
      <c r="G3817" s="14"/>
      <c r="H3817" s="12" t="s">
        <v>38</v>
      </c>
      <c r="I3817" s="12" t="s">
        <v>159</v>
      </c>
      <c r="J3817" s="12" t="s">
        <v>160</v>
      </c>
      <c r="K3817" s="12" t="s">
        <v>82</v>
      </c>
      <c r="L3817" s="12" t="s">
        <v>260</v>
      </c>
      <c r="M3817" s="12" t="s">
        <v>43</v>
      </c>
      <c r="N3817" s="12" t="s">
        <v>274</v>
      </c>
      <c r="O3817" s="12" t="s">
        <v>13675</v>
      </c>
      <c r="P3817" s="12" t="s">
        <v>46</v>
      </c>
      <c r="Q3817" s="12" t="s">
        <v>47</v>
      </c>
      <c r="R3817" s="12" t="s">
        <v>163</v>
      </c>
      <c r="S3817" s="13">
        <v>197063696353</v>
      </c>
      <c r="T3817" s="12" t="s">
        <v>49</v>
      </c>
      <c r="U3817" s="13">
        <v>36.5</v>
      </c>
      <c r="V3817" s="12" t="s">
        <v>50</v>
      </c>
      <c r="W3817" s="12" t="s">
        <v>51</v>
      </c>
      <c r="X3817" s="14"/>
      <c r="Y3817" s="12" t="s">
        <v>53</v>
      </c>
      <c r="Z3817" s="12" t="s">
        <v>263</v>
      </c>
      <c r="AA3817" s="14"/>
      <c r="AB3817" s="12" t="s">
        <v>264</v>
      </c>
      <c r="AC3817" s="15">
        <v>40.950000000000003</v>
      </c>
      <c r="AD3817" s="15">
        <f>AC3817*AG3817</f>
        <v>40.950000000000003</v>
      </c>
      <c r="AE3817" s="15">
        <v>90</v>
      </c>
      <c r="AF3817" s="15">
        <f>AE3817*AG3817</f>
        <v>90</v>
      </c>
      <c r="AG3817" s="16">
        <v>1</v>
      </c>
    </row>
    <row r="3818" spans="1:33" ht="15" customHeight="1" x14ac:dyDescent="0.2">
      <c r="A3818" s="11" t="str">
        <f t="shared" si="1273"/>
        <v>VN000CR50ZB1</v>
      </c>
      <c r="B3818" s="12" t="s">
        <v>13676</v>
      </c>
      <c r="C3818" s="12" t="s">
        <v>34</v>
      </c>
      <c r="D3818" s="12" t="s">
        <v>13673</v>
      </c>
      <c r="E3818" s="12" t="s">
        <v>13677</v>
      </c>
      <c r="F3818" s="13">
        <v>65</v>
      </c>
      <c r="G3818" s="14"/>
      <c r="H3818" s="12" t="s">
        <v>38</v>
      </c>
      <c r="I3818" s="12" t="s">
        <v>159</v>
      </c>
      <c r="J3818" s="12" t="s">
        <v>160</v>
      </c>
      <c r="K3818" s="12" t="s">
        <v>82</v>
      </c>
      <c r="L3818" s="12" t="s">
        <v>260</v>
      </c>
      <c r="M3818" s="12" t="s">
        <v>43</v>
      </c>
      <c r="N3818" s="12" t="s">
        <v>274</v>
      </c>
      <c r="O3818" s="12" t="s">
        <v>13678</v>
      </c>
      <c r="P3818" s="12" t="s">
        <v>46</v>
      </c>
      <c r="Q3818" s="12" t="s">
        <v>47</v>
      </c>
      <c r="R3818" s="12" t="s">
        <v>163</v>
      </c>
      <c r="S3818" s="13">
        <v>197063697107</v>
      </c>
      <c r="T3818" s="12" t="s">
        <v>49</v>
      </c>
      <c r="U3818" s="13">
        <v>38.5</v>
      </c>
      <c r="V3818" s="12" t="s">
        <v>50</v>
      </c>
      <c r="W3818" s="12" t="s">
        <v>51</v>
      </c>
      <c r="X3818" s="14"/>
      <c r="Y3818" s="12" t="s">
        <v>53</v>
      </c>
      <c r="Z3818" s="12" t="s">
        <v>263</v>
      </c>
      <c r="AA3818" s="14"/>
      <c r="AB3818" s="12" t="s">
        <v>264</v>
      </c>
      <c r="AC3818" s="15">
        <v>40.950000000000003</v>
      </c>
      <c r="AD3818" s="15">
        <f>AC3818*AG3818</f>
        <v>40.950000000000003</v>
      </c>
      <c r="AE3818" s="15">
        <v>90</v>
      </c>
      <c r="AF3818" s="15">
        <f>AE3818*AG3818</f>
        <v>90</v>
      </c>
      <c r="AG3818" s="16">
        <v>1</v>
      </c>
    </row>
    <row r="3819" spans="1:33" ht="15" customHeight="1" x14ac:dyDescent="0.2">
      <c r="A3819" s="11" t="str">
        <f>HYPERLINK("https://assets.vans.eu/images/VN000CR5BOU-HERO/1","VN000CR5BOU1")</f>
        <v>VN000CR5BOU1</v>
      </c>
      <c r="B3819" s="12" t="s">
        <v>13679</v>
      </c>
      <c r="C3819" s="12" t="s">
        <v>34</v>
      </c>
      <c r="D3819" s="12" t="s">
        <v>2276</v>
      </c>
      <c r="E3819" s="12" t="s">
        <v>13680</v>
      </c>
      <c r="F3819" s="13">
        <v>45</v>
      </c>
      <c r="G3819" s="12" t="s">
        <v>13681</v>
      </c>
      <c r="H3819" s="12" t="s">
        <v>38</v>
      </c>
      <c r="I3819" s="12" t="s">
        <v>113</v>
      </c>
      <c r="J3819" s="12" t="s">
        <v>114</v>
      </c>
      <c r="K3819" s="12" t="s">
        <v>82</v>
      </c>
      <c r="L3819" s="14"/>
      <c r="M3819" s="12" t="s">
        <v>43</v>
      </c>
      <c r="N3819" s="12" t="s">
        <v>274</v>
      </c>
      <c r="O3819" s="12" t="s">
        <v>13682</v>
      </c>
      <c r="P3819" s="12" t="s">
        <v>46</v>
      </c>
      <c r="Q3819" s="12" t="s">
        <v>47</v>
      </c>
      <c r="R3819" s="12" t="s">
        <v>117</v>
      </c>
      <c r="S3819" s="13">
        <v>197063598848</v>
      </c>
      <c r="T3819" s="12" t="s">
        <v>164</v>
      </c>
      <c r="U3819" s="13">
        <v>36</v>
      </c>
      <c r="V3819" s="12" t="s">
        <v>50</v>
      </c>
      <c r="W3819" s="12" t="s">
        <v>51</v>
      </c>
      <c r="X3819" s="14"/>
      <c r="Y3819" s="12" t="s">
        <v>91</v>
      </c>
      <c r="Z3819" s="12" t="s">
        <v>165</v>
      </c>
      <c r="AA3819" s="14"/>
      <c r="AB3819" s="14"/>
      <c r="AC3819" s="15">
        <v>38.65</v>
      </c>
      <c r="AD3819" s="15">
        <f>AC3819*AG3819</f>
        <v>38.65</v>
      </c>
      <c r="AE3819" s="15">
        <v>85</v>
      </c>
      <c r="AF3819" s="15">
        <f>AE3819*AG3819</f>
        <v>85</v>
      </c>
      <c r="AG3819" s="16">
        <v>1</v>
      </c>
    </row>
    <row r="3820" spans="1:33" ht="15" customHeight="1" x14ac:dyDescent="0.2">
      <c r="A3820" s="11" t="str">
        <f t="shared" si="996"/>
        <v>VN000CR5EPO1</v>
      </c>
      <c r="B3820" s="12" t="s">
        <v>13683</v>
      </c>
      <c r="C3820" s="12" t="s">
        <v>34</v>
      </c>
      <c r="D3820" s="12" t="s">
        <v>9155</v>
      </c>
      <c r="E3820" s="12" t="s">
        <v>13684</v>
      </c>
      <c r="F3820" s="13">
        <v>60</v>
      </c>
      <c r="G3820" s="14"/>
      <c r="H3820" s="12" t="s">
        <v>38</v>
      </c>
      <c r="I3820" s="12" t="s">
        <v>159</v>
      </c>
      <c r="J3820" s="12" t="s">
        <v>160</v>
      </c>
      <c r="K3820" s="12" t="s">
        <v>82</v>
      </c>
      <c r="L3820" s="14"/>
      <c r="M3820" s="12" t="s">
        <v>43</v>
      </c>
      <c r="N3820" s="12" t="s">
        <v>44</v>
      </c>
      <c r="O3820" s="12" t="s">
        <v>13685</v>
      </c>
      <c r="P3820" s="12" t="s">
        <v>46</v>
      </c>
      <c r="Q3820" s="12" t="s">
        <v>47</v>
      </c>
      <c r="R3820" s="12" t="s">
        <v>163</v>
      </c>
      <c r="S3820" s="13">
        <v>197643238317</v>
      </c>
      <c r="T3820" s="12" t="s">
        <v>49</v>
      </c>
      <c r="U3820" s="13">
        <v>38</v>
      </c>
      <c r="V3820" s="12" t="s">
        <v>50</v>
      </c>
      <c r="W3820" s="12" t="s">
        <v>455</v>
      </c>
      <c r="X3820" s="14"/>
      <c r="Y3820" s="12" t="s">
        <v>91</v>
      </c>
      <c r="Z3820" s="12" t="s">
        <v>2600</v>
      </c>
      <c r="AA3820" s="14"/>
      <c r="AB3820" s="14"/>
      <c r="AC3820" s="15">
        <v>38.65</v>
      </c>
      <c r="AD3820" s="15">
        <f>AC3820*AG3820</f>
        <v>38.65</v>
      </c>
      <c r="AE3820" s="15">
        <v>85</v>
      </c>
      <c r="AF3820" s="15">
        <f>AE3820*AG3820</f>
        <v>85</v>
      </c>
      <c r="AG3820" s="16">
        <v>1</v>
      </c>
    </row>
    <row r="3821" spans="1:33" ht="15" customHeight="1" x14ac:dyDescent="0.2">
      <c r="A3821" s="11" t="str">
        <f t="shared" ref="A3821:A3823" si="1274">HYPERLINK("https://assets.vans.eu/images/VN000CR5WGR-HERO/1","VN000CR5WGR1")</f>
        <v>VN000CR5WGR1</v>
      </c>
      <c r="B3821" s="12" t="s">
        <v>13686</v>
      </c>
      <c r="C3821" s="12" t="s">
        <v>34</v>
      </c>
      <c r="D3821" s="12" t="s">
        <v>7191</v>
      </c>
      <c r="E3821" s="12" t="s">
        <v>13687</v>
      </c>
      <c r="F3821" s="13">
        <v>45</v>
      </c>
      <c r="G3821" s="12" t="s">
        <v>7018</v>
      </c>
      <c r="H3821" s="12" t="s">
        <v>38</v>
      </c>
      <c r="I3821" s="12" t="s">
        <v>159</v>
      </c>
      <c r="J3821" s="12" t="s">
        <v>160</v>
      </c>
      <c r="K3821" s="12" t="s">
        <v>82</v>
      </c>
      <c r="L3821" s="12" t="s">
        <v>42</v>
      </c>
      <c r="M3821" s="12" t="s">
        <v>43</v>
      </c>
      <c r="N3821" s="12" t="s">
        <v>274</v>
      </c>
      <c r="O3821" s="12" t="s">
        <v>13688</v>
      </c>
      <c r="P3821" s="12" t="s">
        <v>46</v>
      </c>
      <c r="Q3821" s="12" t="s">
        <v>47</v>
      </c>
      <c r="R3821" s="12" t="s">
        <v>163</v>
      </c>
      <c r="S3821" s="13">
        <v>197063298236</v>
      </c>
      <c r="T3821" s="12" t="s">
        <v>49</v>
      </c>
      <c r="U3821" s="13">
        <v>36</v>
      </c>
      <c r="V3821" s="12" t="s">
        <v>50</v>
      </c>
      <c r="W3821" s="12" t="s">
        <v>175</v>
      </c>
      <c r="X3821" s="14"/>
      <c r="Y3821" s="12" t="s">
        <v>53</v>
      </c>
      <c r="Z3821" s="12" t="s">
        <v>92</v>
      </c>
      <c r="AA3821" s="12" t="s">
        <v>3224</v>
      </c>
      <c r="AB3821" s="12" t="s">
        <v>55</v>
      </c>
      <c r="AC3821" s="15">
        <v>43.2</v>
      </c>
      <c r="AD3821" s="15">
        <f>AC3821*AG3821</f>
        <v>43.2</v>
      </c>
      <c r="AE3821" s="15">
        <v>95</v>
      </c>
      <c r="AF3821" s="15">
        <f>AE3821*AG3821</f>
        <v>95</v>
      </c>
      <c r="AG3821" s="16">
        <v>1</v>
      </c>
    </row>
    <row r="3822" spans="1:33" ht="15" customHeight="1" x14ac:dyDescent="0.2">
      <c r="A3822" s="11" t="str">
        <f t="shared" si="1274"/>
        <v>VN000CR5WGR1</v>
      </c>
      <c r="B3822" s="12" t="s">
        <v>13689</v>
      </c>
      <c r="C3822" s="12" t="s">
        <v>34</v>
      </c>
      <c r="D3822" s="12" t="s">
        <v>7191</v>
      </c>
      <c r="E3822" s="12" t="s">
        <v>13690</v>
      </c>
      <c r="F3822" s="13">
        <v>60</v>
      </c>
      <c r="G3822" s="12" t="s">
        <v>7018</v>
      </c>
      <c r="H3822" s="12" t="s">
        <v>38</v>
      </c>
      <c r="I3822" s="12" t="s">
        <v>159</v>
      </c>
      <c r="J3822" s="12" t="s">
        <v>160</v>
      </c>
      <c r="K3822" s="12" t="s">
        <v>82</v>
      </c>
      <c r="L3822" s="12" t="s">
        <v>42</v>
      </c>
      <c r="M3822" s="12" t="s">
        <v>43</v>
      </c>
      <c r="N3822" s="12" t="s">
        <v>274</v>
      </c>
      <c r="O3822" s="12" t="s">
        <v>13691</v>
      </c>
      <c r="P3822" s="12" t="s">
        <v>46</v>
      </c>
      <c r="Q3822" s="12" t="s">
        <v>47</v>
      </c>
      <c r="R3822" s="12" t="s">
        <v>163</v>
      </c>
      <c r="S3822" s="13">
        <v>197063298281</v>
      </c>
      <c r="T3822" s="12" t="s">
        <v>49</v>
      </c>
      <c r="U3822" s="13">
        <v>38</v>
      </c>
      <c r="V3822" s="12" t="s">
        <v>50</v>
      </c>
      <c r="W3822" s="12" t="s">
        <v>175</v>
      </c>
      <c r="X3822" s="14"/>
      <c r="Y3822" s="12" t="s">
        <v>53</v>
      </c>
      <c r="Z3822" s="12" t="s">
        <v>92</v>
      </c>
      <c r="AA3822" s="12" t="s">
        <v>3224</v>
      </c>
      <c r="AB3822" s="12" t="s">
        <v>55</v>
      </c>
      <c r="AC3822" s="15">
        <v>43.2</v>
      </c>
      <c r="AD3822" s="15">
        <f>AC3822*AG3822</f>
        <v>43.2</v>
      </c>
      <c r="AE3822" s="15">
        <v>95</v>
      </c>
      <c r="AF3822" s="15">
        <f>AE3822*AG3822</f>
        <v>95</v>
      </c>
      <c r="AG3822" s="16">
        <v>1</v>
      </c>
    </row>
    <row r="3823" spans="1:33" ht="15" customHeight="1" x14ac:dyDescent="0.2">
      <c r="A3823" s="11" t="str">
        <f t="shared" si="1274"/>
        <v>VN000CR5WGR1</v>
      </c>
      <c r="B3823" s="12" t="s">
        <v>13692</v>
      </c>
      <c r="C3823" s="12" t="s">
        <v>34</v>
      </c>
      <c r="D3823" s="12" t="s">
        <v>7191</v>
      </c>
      <c r="E3823" s="12" t="s">
        <v>13693</v>
      </c>
      <c r="F3823" s="13">
        <v>90</v>
      </c>
      <c r="G3823" s="12" t="s">
        <v>7018</v>
      </c>
      <c r="H3823" s="12" t="s">
        <v>38</v>
      </c>
      <c r="I3823" s="12" t="s">
        <v>159</v>
      </c>
      <c r="J3823" s="12" t="s">
        <v>160</v>
      </c>
      <c r="K3823" s="12" t="s">
        <v>82</v>
      </c>
      <c r="L3823" s="12" t="s">
        <v>42</v>
      </c>
      <c r="M3823" s="12" t="s">
        <v>43</v>
      </c>
      <c r="N3823" s="12" t="s">
        <v>274</v>
      </c>
      <c r="O3823" s="12" t="s">
        <v>13694</v>
      </c>
      <c r="P3823" s="12" t="s">
        <v>46</v>
      </c>
      <c r="Q3823" s="12" t="s">
        <v>47</v>
      </c>
      <c r="R3823" s="12" t="s">
        <v>163</v>
      </c>
      <c r="S3823" s="13">
        <v>197063298724</v>
      </c>
      <c r="T3823" s="12" t="s">
        <v>49</v>
      </c>
      <c r="U3823" s="13">
        <v>42</v>
      </c>
      <c r="V3823" s="12" t="s">
        <v>50</v>
      </c>
      <c r="W3823" s="12" t="s">
        <v>175</v>
      </c>
      <c r="X3823" s="14"/>
      <c r="Y3823" s="12" t="s">
        <v>53</v>
      </c>
      <c r="Z3823" s="12" t="s">
        <v>92</v>
      </c>
      <c r="AA3823" s="12" t="s">
        <v>3224</v>
      </c>
      <c r="AB3823" s="12" t="s">
        <v>55</v>
      </c>
      <c r="AC3823" s="15">
        <v>43.2</v>
      </c>
      <c r="AD3823" s="15">
        <f>AC3823*AG3823</f>
        <v>43.2</v>
      </c>
      <c r="AE3823" s="15">
        <v>95</v>
      </c>
      <c r="AF3823" s="15">
        <f>AE3823*AG3823</f>
        <v>95</v>
      </c>
      <c r="AG3823" s="16">
        <v>1</v>
      </c>
    </row>
    <row r="3824" spans="1:33" ht="15" customHeight="1" x14ac:dyDescent="0.2">
      <c r="A3824" s="11" t="str">
        <f>HYPERLINK("https://assets.vans.eu/images/VN000CRRBJ4-HERO/1","VN000CRRBJ41")</f>
        <v>VN000CRRBJ41</v>
      </c>
      <c r="B3824" s="12" t="s">
        <v>13695</v>
      </c>
      <c r="C3824" s="12" t="s">
        <v>2125</v>
      </c>
      <c r="D3824" s="12" t="s">
        <v>3886</v>
      </c>
      <c r="E3824" s="12" t="s">
        <v>13696</v>
      </c>
      <c r="F3824" s="13">
        <v>50</v>
      </c>
      <c r="G3824" s="14"/>
      <c r="H3824" s="12" t="s">
        <v>38</v>
      </c>
      <c r="I3824" s="12" t="s">
        <v>113</v>
      </c>
      <c r="J3824" s="12" t="s">
        <v>529</v>
      </c>
      <c r="K3824" s="12" t="s">
        <v>82</v>
      </c>
      <c r="L3824" s="14"/>
      <c r="M3824" s="12" t="s">
        <v>43</v>
      </c>
      <c r="N3824" s="12" t="s">
        <v>84</v>
      </c>
      <c r="O3824" s="12" t="s">
        <v>13697</v>
      </c>
      <c r="P3824" s="12" t="s">
        <v>46</v>
      </c>
      <c r="Q3824" s="12" t="s">
        <v>47</v>
      </c>
      <c r="R3824" s="12" t="s">
        <v>117</v>
      </c>
      <c r="S3824" s="13">
        <v>197064652686</v>
      </c>
      <c r="T3824" s="12" t="s">
        <v>49</v>
      </c>
      <c r="U3824" s="13">
        <v>36.5</v>
      </c>
      <c r="V3824" s="12" t="s">
        <v>209</v>
      </c>
      <c r="W3824" s="12" t="s">
        <v>51</v>
      </c>
      <c r="X3824" s="14"/>
      <c r="Y3824" s="12" t="s">
        <v>91</v>
      </c>
      <c r="Z3824" s="12" t="s">
        <v>165</v>
      </c>
      <c r="AA3824" s="14"/>
      <c r="AB3824" s="14"/>
      <c r="AC3824" s="15">
        <v>34.1</v>
      </c>
      <c r="AD3824" s="15">
        <f>AC3824*AG3824</f>
        <v>34.1</v>
      </c>
      <c r="AE3824" s="15">
        <v>75</v>
      </c>
      <c r="AF3824" s="15">
        <f>AE3824*AG3824</f>
        <v>75</v>
      </c>
      <c r="AG3824" s="16">
        <v>1</v>
      </c>
    </row>
    <row r="3825" spans="1:33" ht="15" customHeight="1" x14ac:dyDescent="0.2">
      <c r="A3825" s="11" t="str">
        <f>HYPERLINK("https://assets.vans.eu/images/VN000CRRBJ4-HERO/1","VN000CRRBJ41")</f>
        <v>VN000CRRBJ41</v>
      </c>
      <c r="B3825" s="12" t="s">
        <v>13698</v>
      </c>
      <c r="C3825" s="12" t="s">
        <v>2125</v>
      </c>
      <c r="D3825" s="12" t="s">
        <v>3886</v>
      </c>
      <c r="E3825" s="12" t="s">
        <v>13699</v>
      </c>
      <c r="F3825" s="13">
        <v>75</v>
      </c>
      <c r="G3825" s="14"/>
      <c r="H3825" s="12" t="s">
        <v>38</v>
      </c>
      <c r="I3825" s="12" t="s">
        <v>113</v>
      </c>
      <c r="J3825" s="12" t="s">
        <v>529</v>
      </c>
      <c r="K3825" s="12" t="s">
        <v>82</v>
      </c>
      <c r="L3825" s="14"/>
      <c r="M3825" s="12" t="s">
        <v>43</v>
      </c>
      <c r="N3825" s="12" t="s">
        <v>84</v>
      </c>
      <c r="O3825" s="12" t="s">
        <v>13700</v>
      </c>
      <c r="P3825" s="12" t="s">
        <v>46</v>
      </c>
      <c r="Q3825" s="12" t="s">
        <v>47</v>
      </c>
      <c r="R3825" s="12" t="s">
        <v>117</v>
      </c>
      <c r="S3825" s="13">
        <v>197064653744</v>
      </c>
      <c r="T3825" s="12" t="s">
        <v>49</v>
      </c>
      <c r="U3825" s="13">
        <v>40</v>
      </c>
      <c r="V3825" s="12" t="s">
        <v>209</v>
      </c>
      <c r="W3825" s="12" t="s">
        <v>51</v>
      </c>
      <c r="X3825" s="14"/>
      <c r="Y3825" s="12" t="s">
        <v>91</v>
      </c>
      <c r="Z3825" s="12" t="s">
        <v>165</v>
      </c>
      <c r="AA3825" s="14"/>
      <c r="AB3825" s="14"/>
      <c r="AC3825" s="15">
        <v>34.1</v>
      </c>
      <c r="AD3825" s="15">
        <f>AC3825*AG3825</f>
        <v>34.1</v>
      </c>
      <c r="AE3825" s="15">
        <v>75</v>
      </c>
      <c r="AF3825" s="15">
        <f>AE3825*AG3825</f>
        <v>75</v>
      </c>
      <c r="AG3825" s="16">
        <v>1</v>
      </c>
    </row>
    <row r="3826" spans="1:33" ht="15" customHeight="1" x14ac:dyDescent="0.2">
      <c r="A3826" s="11" t="str">
        <f>HYPERLINK("https://assets.vans.eu/images/VN000CRRD3X-HERO/1","VN000CRRD3X1")</f>
        <v>VN000CRRD3X1</v>
      </c>
      <c r="B3826" s="12" t="s">
        <v>13701</v>
      </c>
      <c r="C3826" s="12" t="s">
        <v>2125</v>
      </c>
      <c r="D3826" s="12" t="s">
        <v>668</v>
      </c>
      <c r="E3826" s="12" t="s">
        <v>13702</v>
      </c>
      <c r="F3826" s="13">
        <v>45</v>
      </c>
      <c r="G3826" s="12" t="s">
        <v>2127</v>
      </c>
      <c r="H3826" s="12" t="s">
        <v>38</v>
      </c>
      <c r="I3826" s="12" t="s">
        <v>113</v>
      </c>
      <c r="J3826" s="12" t="s">
        <v>529</v>
      </c>
      <c r="K3826" s="12" t="s">
        <v>82</v>
      </c>
      <c r="L3826" s="14"/>
      <c r="M3826" s="12" t="s">
        <v>43</v>
      </c>
      <c r="N3826" s="12" t="s">
        <v>44</v>
      </c>
      <c r="O3826" s="12" t="s">
        <v>13703</v>
      </c>
      <c r="P3826" s="12" t="s">
        <v>46</v>
      </c>
      <c r="Q3826" s="12" t="s">
        <v>47</v>
      </c>
      <c r="R3826" s="12" t="s">
        <v>117</v>
      </c>
      <c r="S3826" s="13">
        <v>197643240464</v>
      </c>
      <c r="T3826" s="12" t="s">
        <v>49</v>
      </c>
      <c r="U3826" s="13">
        <v>36</v>
      </c>
      <c r="V3826" s="12" t="s">
        <v>209</v>
      </c>
      <c r="W3826" s="12" t="s">
        <v>299</v>
      </c>
      <c r="X3826" s="14"/>
      <c r="Y3826" s="12" t="s">
        <v>53</v>
      </c>
      <c r="Z3826" s="12" t="s">
        <v>263</v>
      </c>
      <c r="AA3826" s="14"/>
      <c r="AB3826" s="14"/>
      <c r="AC3826" s="15">
        <v>34.1</v>
      </c>
      <c r="AD3826" s="15">
        <f>AC3826*AG3826</f>
        <v>34.1</v>
      </c>
      <c r="AE3826" s="15">
        <v>75</v>
      </c>
      <c r="AF3826" s="15">
        <f>AE3826*AG3826</f>
        <v>75</v>
      </c>
      <c r="AG3826" s="16">
        <v>1</v>
      </c>
    </row>
    <row r="3827" spans="1:33" ht="15" customHeight="1" x14ac:dyDescent="0.2">
      <c r="A3827" s="11" t="str">
        <f t="shared" ref="A3827:A3828" si="1275">HYPERLINK("https://assets.vans.eu/images/VN000CS00ZB-HERO/1","VN000CS00ZB1")</f>
        <v>VN000CS00ZB1</v>
      </c>
      <c r="B3827" s="12" t="s">
        <v>13704</v>
      </c>
      <c r="C3827" s="12" t="s">
        <v>110</v>
      </c>
      <c r="D3827" s="12" t="s">
        <v>13673</v>
      </c>
      <c r="E3827" s="12" t="s">
        <v>13705</v>
      </c>
      <c r="F3827" s="13">
        <v>90</v>
      </c>
      <c r="G3827" s="14"/>
      <c r="H3827" s="12" t="s">
        <v>38</v>
      </c>
      <c r="I3827" s="12" t="s">
        <v>159</v>
      </c>
      <c r="J3827" s="12" t="s">
        <v>160</v>
      </c>
      <c r="K3827" s="12" t="s">
        <v>82</v>
      </c>
      <c r="L3827" s="12" t="s">
        <v>260</v>
      </c>
      <c r="M3827" s="12" t="s">
        <v>43</v>
      </c>
      <c r="N3827" s="12" t="s">
        <v>274</v>
      </c>
      <c r="O3827" s="12" t="s">
        <v>13706</v>
      </c>
      <c r="P3827" s="12" t="s">
        <v>46</v>
      </c>
      <c r="Q3827" s="12" t="s">
        <v>47</v>
      </c>
      <c r="R3827" s="12" t="s">
        <v>163</v>
      </c>
      <c r="S3827" s="13">
        <v>197063697756</v>
      </c>
      <c r="T3827" s="12" t="s">
        <v>49</v>
      </c>
      <c r="U3827" s="13">
        <v>42</v>
      </c>
      <c r="V3827" s="12" t="s">
        <v>50</v>
      </c>
      <c r="W3827" s="12" t="s">
        <v>51</v>
      </c>
      <c r="X3827" s="14"/>
      <c r="Y3827" s="12" t="s">
        <v>53</v>
      </c>
      <c r="Z3827" s="12" t="s">
        <v>263</v>
      </c>
      <c r="AA3827" s="14"/>
      <c r="AB3827" s="12" t="s">
        <v>264</v>
      </c>
      <c r="AC3827" s="15">
        <v>45.5</v>
      </c>
      <c r="AD3827" s="15">
        <f>AC3827*AG3827</f>
        <v>45.5</v>
      </c>
      <c r="AE3827" s="15">
        <v>100</v>
      </c>
      <c r="AF3827" s="15">
        <f>AE3827*AG3827</f>
        <v>100</v>
      </c>
      <c r="AG3827" s="16">
        <v>1</v>
      </c>
    </row>
    <row r="3828" spans="1:33" ht="15" customHeight="1" x14ac:dyDescent="0.2">
      <c r="A3828" s="11" t="str">
        <f t="shared" si="1275"/>
        <v>VN000CS00ZB1</v>
      </c>
      <c r="B3828" s="12" t="s">
        <v>13707</v>
      </c>
      <c r="C3828" s="12" t="s">
        <v>110</v>
      </c>
      <c r="D3828" s="12" t="s">
        <v>13673</v>
      </c>
      <c r="E3828" s="12" t="s">
        <v>13708</v>
      </c>
      <c r="F3828" s="13">
        <v>95</v>
      </c>
      <c r="G3828" s="14"/>
      <c r="H3828" s="12" t="s">
        <v>38</v>
      </c>
      <c r="I3828" s="12" t="s">
        <v>159</v>
      </c>
      <c r="J3828" s="12" t="s">
        <v>160</v>
      </c>
      <c r="K3828" s="12" t="s">
        <v>82</v>
      </c>
      <c r="L3828" s="12" t="s">
        <v>260</v>
      </c>
      <c r="M3828" s="12" t="s">
        <v>43</v>
      </c>
      <c r="N3828" s="12" t="s">
        <v>274</v>
      </c>
      <c r="O3828" s="12" t="s">
        <v>13709</v>
      </c>
      <c r="P3828" s="12" t="s">
        <v>46</v>
      </c>
      <c r="Q3828" s="12" t="s">
        <v>47</v>
      </c>
      <c r="R3828" s="12" t="s">
        <v>163</v>
      </c>
      <c r="S3828" s="13">
        <v>197063697916</v>
      </c>
      <c r="T3828" s="12" t="s">
        <v>49</v>
      </c>
      <c r="U3828" s="13">
        <v>42.5</v>
      </c>
      <c r="V3828" s="12" t="s">
        <v>50</v>
      </c>
      <c r="W3828" s="12" t="s">
        <v>51</v>
      </c>
      <c r="X3828" s="14"/>
      <c r="Y3828" s="12" t="s">
        <v>53</v>
      </c>
      <c r="Z3828" s="12" t="s">
        <v>263</v>
      </c>
      <c r="AA3828" s="14"/>
      <c r="AB3828" s="12" t="s">
        <v>264</v>
      </c>
      <c r="AC3828" s="15">
        <v>45.5</v>
      </c>
      <c r="AD3828" s="15">
        <f>AC3828*AG3828</f>
        <v>45.5</v>
      </c>
      <c r="AE3828" s="15">
        <v>100</v>
      </c>
      <c r="AF3828" s="15">
        <f>AE3828*AG3828</f>
        <v>100</v>
      </c>
      <c r="AG3828" s="16">
        <v>1</v>
      </c>
    </row>
    <row r="3829" spans="1:33" ht="15" customHeight="1" x14ac:dyDescent="0.2">
      <c r="A3829" s="11" t="str">
        <f>HYPERLINK("https://assets.vans.eu/images/VN000CS0BLL-HERO/1","VN000CS0BLL1")</f>
        <v>VN000CS0BLL1</v>
      </c>
      <c r="B3829" s="12" t="s">
        <v>13710</v>
      </c>
      <c r="C3829" s="12" t="s">
        <v>110</v>
      </c>
      <c r="D3829" s="12" t="s">
        <v>8955</v>
      </c>
      <c r="E3829" s="12" t="s">
        <v>13711</v>
      </c>
      <c r="F3829" s="13">
        <v>90</v>
      </c>
      <c r="G3829" s="14"/>
      <c r="H3829" s="12" t="s">
        <v>38</v>
      </c>
      <c r="I3829" s="12" t="s">
        <v>159</v>
      </c>
      <c r="J3829" s="12" t="s">
        <v>160</v>
      </c>
      <c r="K3829" s="12" t="s">
        <v>82</v>
      </c>
      <c r="L3829" s="14"/>
      <c r="M3829" s="12" t="s">
        <v>43</v>
      </c>
      <c r="N3829" s="12" t="s">
        <v>84</v>
      </c>
      <c r="O3829" s="12" t="s">
        <v>13712</v>
      </c>
      <c r="P3829" s="12" t="s">
        <v>46</v>
      </c>
      <c r="Q3829" s="12" t="s">
        <v>47</v>
      </c>
      <c r="R3829" s="12" t="s">
        <v>163</v>
      </c>
      <c r="S3829" s="13">
        <v>197064726110</v>
      </c>
      <c r="T3829" s="12" t="s">
        <v>164</v>
      </c>
      <c r="U3829" s="13">
        <v>42</v>
      </c>
      <c r="V3829" s="12" t="s">
        <v>50</v>
      </c>
      <c r="W3829" s="12" t="s">
        <v>186</v>
      </c>
      <c r="X3829" s="14"/>
      <c r="Y3829" s="12" t="s">
        <v>91</v>
      </c>
      <c r="Z3829" s="12" t="s">
        <v>2600</v>
      </c>
      <c r="AA3829" s="14"/>
      <c r="AB3829" s="12" t="s">
        <v>264</v>
      </c>
      <c r="AC3829" s="15">
        <v>43.2</v>
      </c>
      <c r="AD3829" s="15">
        <f>AC3829*AG3829</f>
        <v>43.2</v>
      </c>
      <c r="AE3829" s="15">
        <v>95</v>
      </c>
      <c r="AF3829" s="15">
        <f>AE3829*AG3829</f>
        <v>95</v>
      </c>
      <c r="AG3829" s="16">
        <v>1</v>
      </c>
    </row>
    <row r="3830" spans="1:33" ht="15" customHeight="1" x14ac:dyDescent="0.2">
      <c r="A3830" s="11" t="str">
        <f>HYPERLINK("https://assets.vans.eu/images/VN000CS0BO5-HERO/1","VN000CS0BO51")</f>
        <v>VN000CS0BO51</v>
      </c>
      <c r="B3830" s="12" t="s">
        <v>13713</v>
      </c>
      <c r="C3830" s="12" t="s">
        <v>110</v>
      </c>
      <c r="D3830" s="12" t="s">
        <v>2835</v>
      </c>
      <c r="E3830" s="12" t="s">
        <v>13714</v>
      </c>
      <c r="F3830" s="13">
        <v>45</v>
      </c>
      <c r="G3830" s="14"/>
      <c r="H3830" s="12" t="s">
        <v>38</v>
      </c>
      <c r="I3830" s="12" t="s">
        <v>113</v>
      </c>
      <c r="J3830" s="12" t="s">
        <v>114</v>
      </c>
      <c r="K3830" s="12" t="s">
        <v>82</v>
      </c>
      <c r="L3830" s="12" t="s">
        <v>115</v>
      </c>
      <c r="M3830" s="12" t="s">
        <v>43</v>
      </c>
      <c r="N3830" s="12" t="s">
        <v>274</v>
      </c>
      <c r="O3830" s="12" t="s">
        <v>13715</v>
      </c>
      <c r="P3830" s="12" t="s">
        <v>46</v>
      </c>
      <c r="Q3830" s="12" t="s">
        <v>47</v>
      </c>
      <c r="R3830" s="12" t="s">
        <v>117</v>
      </c>
      <c r="S3830" s="13">
        <v>197065180393</v>
      </c>
      <c r="T3830" s="12" t="s">
        <v>105</v>
      </c>
      <c r="U3830" s="13">
        <v>36</v>
      </c>
      <c r="V3830" s="12" t="s">
        <v>50</v>
      </c>
      <c r="W3830" s="12" t="s">
        <v>598</v>
      </c>
      <c r="X3830" s="14"/>
      <c r="Y3830" s="12" t="s">
        <v>91</v>
      </c>
      <c r="Z3830" s="12" t="s">
        <v>92</v>
      </c>
      <c r="AA3830" s="12" t="s">
        <v>3224</v>
      </c>
      <c r="AB3830" s="12" t="s">
        <v>94</v>
      </c>
      <c r="AC3830" s="15">
        <v>43.2</v>
      </c>
      <c r="AD3830" s="15">
        <f>AC3830*AG3830</f>
        <v>43.2</v>
      </c>
      <c r="AE3830" s="15">
        <v>95</v>
      </c>
      <c r="AF3830" s="15">
        <f>AE3830*AG3830</f>
        <v>95</v>
      </c>
      <c r="AG3830" s="16">
        <v>1</v>
      </c>
    </row>
    <row r="3831" spans="1:33" ht="15" customHeight="1" x14ac:dyDescent="0.2">
      <c r="A3831" s="11" t="str">
        <f t="shared" si="997"/>
        <v>VN000CS0BRO1</v>
      </c>
      <c r="B3831" s="12" t="s">
        <v>13716</v>
      </c>
      <c r="C3831" s="12" t="s">
        <v>110</v>
      </c>
      <c r="D3831" s="12" t="s">
        <v>1471</v>
      </c>
      <c r="E3831" s="12" t="s">
        <v>13717</v>
      </c>
      <c r="F3831" s="13">
        <v>85</v>
      </c>
      <c r="G3831" s="14"/>
      <c r="H3831" s="12" t="s">
        <v>38</v>
      </c>
      <c r="I3831" s="12" t="s">
        <v>159</v>
      </c>
      <c r="J3831" s="12" t="s">
        <v>160</v>
      </c>
      <c r="K3831" s="12" t="s">
        <v>82</v>
      </c>
      <c r="L3831" s="14"/>
      <c r="M3831" s="12" t="s">
        <v>43</v>
      </c>
      <c r="N3831" s="12" t="s">
        <v>84</v>
      </c>
      <c r="O3831" s="12" t="s">
        <v>13718</v>
      </c>
      <c r="P3831" s="12" t="s">
        <v>46</v>
      </c>
      <c r="Q3831" s="12" t="s">
        <v>47</v>
      </c>
      <c r="R3831" s="12" t="s">
        <v>163</v>
      </c>
      <c r="S3831" s="13">
        <v>197065547042</v>
      </c>
      <c r="T3831" s="12" t="s">
        <v>49</v>
      </c>
      <c r="U3831" s="13">
        <v>41</v>
      </c>
      <c r="V3831" s="12" t="s">
        <v>50</v>
      </c>
      <c r="W3831" s="12" t="s">
        <v>186</v>
      </c>
      <c r="X3831" s="14"/>
      <c r="Y3831" s="12" t="s">
        <v>53</v>
      </c>
      <c r="Z3831" s="12" t="s">
        <v>165</v>
      </c>
      <c r="AA3831" s="14"/>
      <c r="AB3831" s="14"/>
      <c r="AC3831" s="15">
        <v>45.5</v>
      </c>
      <c r="AD3831" s="15">
        <f>AC3831*AG3831</f>
        <v>45.5</v>
      </c>
      <c r="AE3831" s="15">
        <v>100</v>
      </c>
      <c r="AF3831" s="15">
        <f>AE3831*AG3831</f>
        <v>100</v>
      </c>
      <c r="AG3831" s="16">
        <v>1</v>
      </c>
    </row>
    <row r="3832" spans="1:33" ht="15" customHeight="1" x14ac:dyDescent="0.2">
      <c r="A3832" s="11" t="str">
        <f t="shared" ref="A3832:A3833" si="1276">HYPERLINK("https://assets.vans.eu/images/VN000CS0BRO-HERO/1","VN000CS0BRO1")</f>
        <v>VN000CS0BRO1</v>
      </c>
      <c r="B3832" s="12" t="s">
        <v>13719</v>
      </c>
      <c r="C3832" s="12" t="s">
        <v>110</v>
      </c>
      <c r="D3832" s="12" t="s">
        <v>1471</v>
      </c>
      <c r="E3832" s="12" t="s">
        <v>13720</v>
      </c>
      <c r="F3832" s="13">
        <v>105</v>
      </c>
      <c r="G3832" s="14"/>
      <c r="H3832" s="12" t="s">
        <v>38</v>
      </c>
      <c r="I3832" s="12" t="s">
        <v>159</v>
      </c>
      <c r="J3832" s="12" t="s">
        <v>160</v>
      </c>
      <c r="K3832" s="12" t="s">
        <v>82</v>
      </c>
      <c r="L3832" s="14"/>
      <c r="M3832" s="12" t="s">
        <v>43</v>
      </c>
      <c r="N3832" s="12" t="s">
        <v>84</v>
      </c>
      <c r="O3832" s="12" t="s">
        <v>13721</v>
      </c>
      <c r="P3832" s="12" t="s">
        <v>46</v>
      </c>
      <c r="Q3832" s="12" t="s">
        <v>47</v>
      </c>
      <c r="R3832" s="12" t="s">
        <v>163</v>
      </c>
      <c r="S3832" s="13">
        <v>197065547639</v>
      </c>
      <c r="T3832" s="12" t="s">
        <v>49</v>
      </c>
      <c r="U3832" s="13">
        <v>44</v>
      </c>
      <c r="V3832" s="12" t="s">
        <v>50</v>
      </c>
      <c r="W3832" s="12" t="s">
        <v>186</v>
      </c>
      <c r="X3832" s="14"/>
      <c r="Y3832" s="12" t="s">
        <v>53</v>
      </c>
      <c r="Z3832" s="12" t="s">
        <v>165</v>
      </c>
      <c r="AA3832" s="14"/>
      <c r="AB3832" s="14"/>
      <c r="AC3832" s="15">
        <v>45.5</v>
      </c>
      <c r="AD3832" s="15">
        <f>AC3832*AG3832</f>
        <v>45.5</v>
      </c>
      <c r="AE3832" s="15">
        <v>100</v>
      </c>
      <c r="AF3832" s="15">
        <f>AE3832*AG3832</f>
        <v>100</v>
      </c>
      <c r="AG3832" s="16">
        <v>1</v>
      </c>
    </row>
    <row r="3833" spans="1:33" ht="15" customHeight="1" x14ac:dyDescent="0.2">
      <c r="A3833" s="11" t="str">
        <f t="shared" si="1276"/>
        <v>VN000CS0BRO1</v>
      </c>
      <c r="B3833" s="12" t="s">
        <v>13722</v>
      </c>
      <c r="C3833" s="12" t="s">
        <v>110</v>
      </c>
      <c r="D3833" s="12" t="s">
        <v>1471</v>
      </c>
      <c r="E3833" s="12" t="s">
        <v>13723</v>
      </c>
      <c r="F3833" s="13">
        <v>120</v>
      </c>
      <c r="G3833" s="14"/>
      <c r="H3833" s="12" t="s">
        <v>38</v>
      </c>
      <c r="I3833" s="12" t="s">
        <v>159</v>
      </c>
      <c r="J3833" s="12" t="s">
        <v>160</v>
      </c>
      <c r="K3833" s="12" t="s">
        <v>82</v>
      </c>
      <c r="L3833" s="14"/>
      <c r="M3833" s="12" t="s">
        <v>43</v>
      </c>
      <c r="N3833" s="12" t="s">
        <v>84</v>
      </c>
      <c r="O3833" s="12" t="s">
        <v>13724</v>
      </c>
      <c r="P3833" s="12" t="s">
        <v>46</v>
      </c>
      <c r="Q3833" s="12" t="s">
        <v>47</v>
      </c>
      <c r="R3833" s="12" t="s">
        <v>163</v>
      </c>
      <c r="S3833" s="13">
        <v>197065548124</v>
      </c>
      <c r="T3833" s="12" t="s">
        <v>49</v>
      </c>
      <c r="U3833" s="13">
        <v>46</v>
      </c>
      <c r="V3833" s="12" t="s">
        <v>50</v>
      </c>
      <c r="W3833" s="12" t="s">
        <v>186</v>
      </c>
      <c r="X3833" s="14"/>
      <c r="Y3833" s="12" t="s">
        <v>53</v>
      </c>
      <c r="Z3833" s="12" t="s">
        <v>165</v>
      </c>
      <c r="AA3833" s="14"/>
      <c r="AB3833" s="14"/>
      <c r="AC3833" s="15">
        <v>45.5</v>
      </c>
      <c r="AD3833" s="15">
        <f>AC3833*AG3833</f>
        <v>45.5</v>
      </c>
      <c r="AE3833" s="15">
        <v>100</v>
      </c>
      <c r="AF3833" s="15">
        <f>AE3833*AG3833</f>
        <v>100</v>
      </c>
      <c r="AG3833" s="16">
        <v>1</v>
      </c>
    </row>
    <row r="3834" spans="1:33" ht="15" customHeight="1" x14ac:dyDescent="0.2">
      <c r="A3834" s="11" t="str">
        <f t="shared" ref="A3834:A3835" si="1277">HYPERLINK("https://assets.vans.eu/images/VN000CS0D4C-HERO/1","VN000CS0D4C1")</f>
        <v>VN000CS0D4C1</v>
      </c>
      <c r="B3834" s="12" t="s">
        <v>13725</v>
      </c>
      <c r="C3834" s="12" t="s">
        <v>110</v>
      </c>
      <c r="D3834" s="12" t="s">
        <v>1454</v>
      </c>
      <c r="E3834" s="12" t="s">
        <v>13726</v>
      </c>
      <c r="F3834" s="13">
        <v>50</v>
      </c>
      <c r="G3834" s="12" t="s">
        <v>5695</v>
      </c>
      <c r="H3834" s="12" t="s">
        <v>38</v>
      </c>
      <c r="I3834" s="12" t="s">
        <v>113</v>
      </c>
      <c r="J3834" s="12" t="s">
        <v>114</v>
      </c>
      <c r="K3834" s="12" t="s">
        <v>82</v>
      </c>
      <c r="L3834" s="14"/>
      <c r="M3834" s="12" t="s">
        <v>43</v>
      </c>
      <c r="N3834" s="12" t="s">
        <v>44</v>
      </c>
      <c r="O3834" s="12" t="s">
        <v>13727</v>
      </c>
      <c r="P3834" s="12" t="s">
        <v>46</v>
      </c>
      <c r="Q3834" s="12" t="s">
        <v>47</v>
      </c>
      <c r="R3834" s="12" t="s">
        <v>117</v>
      </c>
      <c r="S3834" s="13">
        <v>197065545987</v>
      </c>
      <c r="T3834" s="12" t="s">
        <v>164</v>
      </c>
      <c r="U3834" s="13">
        <v>36.5</v>
      </c>
      <c r="V3834" s="12" t="s">
        <v>50</v>
      </c>
      <c r="W3834" s="12" t="s">
        <v>186</v>
      </c>
      <c r="X3834" s="14"/>
      <c r="Y3834" s="12" t="s">
        <v>53</v>
      </c>
      <c r="Z3834" s="12" t="s">
        <v>263</v>
      </c>
      <c r="AA3834" s="14"/>
      <c r="AB3834" s="14"/>
      <c r="AC3834" s="15">
        <v>43.2</v>
      </c>
      <c r="AD3834" s="15">
        <f>AC3834*AG3834</f>
        <v>43.2</v>
      </c>
      <c r="AE3834" s="15">
        <v>95</v>
      </c>
      <c r="AF3834" s="15">
        <f>AE3834*AG3834</f>
        <v>95</v>
      </c>
      <c r="AG3834" s="16">
        <v>1</v>
      </c>
    </row>
    <row r="3835" spans="1:33" ht="15" customHeight="1" x14ac:dyDescent="0.2">
      <c r="A3835" s="11" t="str">
        <f t="shared" si="1277"/>
        <v>VN000CS0D4C1</v>
      </c>
      <c r="B3835" s="12" t="s">
        <v>13728</v>
      </c>
      <c r="C3835" s="12" t="s">
        <v>110</v>
      </c>
      <c r="D3835" s="12" t="s">
        <v>1454</v>
      </c>
      <c r="E3835" s="12" t="s">
        <v>13729</v>
      </c>
      <c r="F3835" s="13">
        <v>75</v>
      </c>
      <c r="G3835" s="12" t="s">
        <v>5695</v>
      </c>
      <c r="H3835" s="12" t="s">
        <v>38</v>
      </c>
      <c r="I3835" s="12" t="s">
        <v>113</v>
      </c>
      <c r="J3835" s="12" t="s">
        <v>114</v>
      </c>
      <c r="K3835" s="12" t="s">
        <v>82</v>
      </c>
      <c r="L3835" s="14"/>
      <c r="M3835" s="12" t="s">
        <v>43</v>
      </c>
      <c r="N3835" s="12" t="s">
        <v>44</v>
      </c>
      <c r="O3835" s="12" t="s">
        <v>13730</v>
      </c>
      <c r="P3835" s="12" t="s">
        <v>46</v>
      </c>
      <c r="Q3835" s="12" t="s">
        <v>47</v>
      </c>
      <c r="R3835" s="12" t="s">
        <v>117</v>
      </c>
      <c r="S3835" s="13">
        <v>197065546731</v>
      </c>
      <c r="T3835" s="12" t="s">
        <v>164</v>
      </c>
      <c r="U3835" s="13">
        <v>40</v>
      </c>
      <c r="V3835" s="12" t="s">
        <v>50</v>
      </c>
      <c r="W3835" s="12" t="s">
        <v>186</v>
      </c>
      <c r="X3835" s="14"/>
      <c r="Y3835" s="12" t="s">
        <v>53</v>
      </c>
      <c r="Z3835" s="12" t="s">
        <v>263</v>
      </c>
      <c r="AA3835" s="14"/>
      <c r="AB3835" s="14"/>
      <c r="AC3835" s="15">
        <v>43.2</v>
      </c>
      <c r="AD3835" s="15">
        <f>AC3835*AG3835</f>
        <v>43.2</v>
      </c>
      <c r="AE3835" s="15">
        <v>95</v>
      </c>
      <c r="AF3835" s="15">
        <f>AE3835*AG3835</f>
        <v>95</v>
      </c>
      <c r="AG3835" s="16">
        <v>1</v>
      </c>
    </row>
    <row r="3836" spans="1:33" ht="15" customHeight="1" x14ac:dyDescent="0.2">
      <c r="A3836" s="11" t="str">
        <f>HYPERLINK("https://assets.vans.eu/images/VN000CT8HCZ-HERO/1","VN000CT8HCZ1")</f>
        <v>VN000CT8HCZ1</v>
      </c>
      <c r="B3836" s="12" t="s">
        <v>13731</v>
      </c>
      <c r="C3836" s="12" t="s">
        <v>34</v>
      </c>
      <c r="D3836" s="12" t="s">
        <v>4885</v>
      </c>
      <c r="E3836" s="12" t="s">
        <v>13732</v>
      </c>
      <c r="F3836" s="13">
        <v>50</v>
      </c>
      <c r="G3836" s="14"/>
      <c r="H3836" s="12" t="s">
        <v>38</v>
      </c>
      <c r="I3836" s="12" t="s">
        <v>113</v>
      </c>
      <c r="J3836" s="12" t="s">
        <v>114</v>
      </c>
      <c r="K3836" s="12" t="s">
        <v>82</v>
      </c>
      <c r="L3836" s="14"/>
      <c r="M3836" s="12" t="s">
        <v>43</v>
      </c>
      <c r="N3836" s="12" t="s">
        <v>84</v>
      </c>
      <c r="O3836" s="12" t="s">
        <v>13733</v>
      </c>
      <c r="P3836" s="12" t="s">
        <v>46</v>
      </c>
      <c r="Q3836" s="12" t="s">
        <v>47</v>
      </c>
      <c r="R3836" s="12" t="s">
        <v>117</v>
      </c>
      <c r="S3836" s="13">
        <v>197065647018</v>
      </c>
      <c r="T3836" s="12" t="s">
        <v>49</v>
      </c>
      <c r="U3836" s="13">
        <v>36.5</v>
      </c>
      <c r="V3836" s="12" t="s">
        <v>50</v>
      </c>
      <c r="W3836" s="12" t="s">
        <v>455</v>
      </c>
      <c r="X3836" s="14"/>
      <c r="Y3836" s="12" t="s">
        <v>91</v>
      </c>
      <c r="Z3836" s="12" t="s">
        <v>165</v>
      </c>
      <c r="AA3836" s="14"/>
      <c r="AB3836" s="14"/>
      <c r="AC3836" s="15">
        <v>36.4</v>
      </c>
      <c r="AD3836" s="15">
        <f>AC3836*AG3836</f>
        <v>36.4</v>
      </c>
      <c r="AE3836" s="15">
        <v>80</v>
      </c>
      <c r="AF3836" s="15">
        <f>AE3836*AG3836</f>
        <v>80</v>
      </c>
      <c r="AG3836" s="16">
        <v>1</v>
      </c>
    </row>
    <row r="3837" spans="1:33" ht="15" customHeight="1" x14ac:dyDescent="0.2">
      <c r="A3837" s="11" t="str">
        <f>HYPERLINK("https://assets.vans.eu/images/VN000CTDBKA-HERO/1","VN000CTDBKA1")</f>
        <v>VN000CTDBKA1</v>
      </c>
      <c r="B3837" s="12" t="s">
        <v>13734</v>
      </c>
      <c r="C3837" s="12" t="s">
        <v>1458</v>
      </c>
      <c r="D3837" s="12" t="s">
        <v>252</v>
      </c>
      <c r="E3837" s="12" t="s">
        <v>13735</v>
      </c>
      <c r="F3837" s="13">
        <v>35</v>
      </c>
      <c r="G3837" s="12" t="s">
        <v>13736</v>
      </c>
      <c r="H3837" s="12" t="s">
        <v>38</v>
      </c>
      <c r="I3837" s="12" t="s">
        <v>159</v>
      </c>
      <c r="J3837" s="12" t="s">
        <v>255</v>
      </c>
      <c r="K3837" s="12" t="s">
        <v>82</v>
      </c>
      <c r="L3837" s="14"/>
      <c r="M3837" s="12" t="s">
        <v>43</v>
      </c>
      <c r="N3837" s="12" t="s">
        <v>161</v>
      </c>
      <c r="O3837" s="12" t="s">
        <v>13737</v>
      </c>
      <c r="P3837" s="12" t="s">
        <v>46</v>
      </c>
      <c r="Q3837" s="12" t="s">
        <v>47</v>
      </c>
      <c r="R3837" s="12" t="s">
        <v>163</v>
      </c>
      <c r="S3837" s="13">
        <v>197065647704</v>
      </c>
      <c r="T3837" s="12" t="s">
        <v>105</v>
      </c>
      <c r="U3837" s="13">
        <v>34.5</v>
      </c>
      <c r="V3837" s="12" t="s">
        <v>50</v>
      </c>
      <c r="W3837" s="12" t="s">
        <v>51</v>
      </c>
      <c r="X3837" s="14"/>
      <c r="Y3837" s="12" t="s">
        <v>53</v>
      </c>
      <c r="Z3837" s="12" t="s">
        <v>13738</v>
      </c>
      <c r="AA3837" s="14"/>
      <c r="AB3837" s="14"/>
      <c r="AC3837" s="15">
        <v>40.950000000000003</v>
      </c>
      <c r="AD3837" s="15">
        <f>AC3837*AG3837</f>
        <v>40.950000000000003</v>
      </c>
      <c r="AE3837" s="15">
        <v>90</v>
      </c>
      <c r="AF3837" s="15">
        <f>AE3837*AG3837</f>
        <v>90</v>
      </c>
      <c r="AG3837" s="16">
        <v>1</v>
      </c>
    </row>
    <row r="3838" spans="1:33" ht="15" customHeight="1" x14ac:dyDescent="0.2">
      <c r="A3838" s="11" t="str">
        <f t="shared" ref="A3838:A3840" si="1278">HYPERLINK("https://assets.vans.eu/images/VN000CTDY23-HERO/1","VN000CTDY231")</f>
        <v>VN000CTDY231</v>
      </c>
      <c r="B3838" s="12" t="s">
        <v>13739</v>
      </c>
      <c r="C3838" s="12" t="s">
        <v>1458</v>
      </c>
      <c r="D3838" s="12" t="s">
        <v>1312</v>
      </c>
      <c r="E3838" s="12" t="s">
        <v>13740</v>
      </c>
      <c r="F3838" s="13">
        <v>35</v>
      </c>
      <c r="G3838" s="12" t="s">
        <v>13741</v>
      </c>
      <c r="H3838" s="12" t="s">
        <v>38</v>
      </c>
      <c r="I3838" s="12" t="s">
        <v>159</v>
      </c>
      <c r="J3838" s="12" t="s">
        <v>255</v>
      </c>
      <c r="K3838" s="12" t="s">
        <v>82</v>
      </c>
      <c r="L3838" s="14"/>
      <c r="M3838" s="12" t="s">
        <v>43</v>
      </c>
      <c r="N3838" s="12" t="s">
        <v>161</v>
      </c>
      <c r="O3838" s="12" t="s">
        <v>13742</v>
      </c>
      <c r="P3838" s="12" t="s">
        <v>46</v>
      </c>
      <c r="Q3838" s="12" t="s">
        <v>47</v>
      </c>
      <c r="R3838" s="12" t="s">
        <v>163</v>
      </c>
      <c r="S3838" s="13">
        <v>197065648695</v>
      </c>
      <c r="T3838" s="12" t="s">
        <v>49</v>
      </c>
      <c r="U3838" s="13">
        <v>34.5</v>
      </c>
      <c r="V3838" s="12" t="s">
        <v>50</v>
      </c>
      <c r="W3838" s="12" t="s">
        <v>51</v>
      </c>
      <c r="X3838" s="14"/>
      <c r="Y3838" s="12" t="s">
        <v>91</v>
      </c>
      <c r="Z3838" s="12" t="s">
        <v>165</v>
      </c>
      <c r="AA3838" s="14"/>
      <c r="AB3838" s="14"/>
      <c r="AC3838" s="15">
        <v>40.950000000000003</v>
      </c>
      <c r="AD3838" s="15">
        <f>AC3838*AG3838</f>
        <v>40.950000000000003</v>
      </c>
      <c r="AE3838" s="15">
        <v>90</v>
      </c>
      <c r="AF3838" s="15">
        <f>AE3838*AG3838</f>
        <v>90</v>
      </c>
      <c r="AG3838" s="16">
        <v>1</v>
      </c>
    </row>
    <row r="3839" spans="1:33" ht="15" customHeight="1" x14ac:dyDescent="0.2">
      <c r="A3839" s="11" t="str">
        <f t="shared" si="1278"/>
        <v>VN000CTDY231</v>
      </c>
      <c r="B3839" s="12" t="s">
        <v>13743</v>
      </c>
      <c r="C3839" s="12" t="s">
        <v>1458</v>
      </c>
      <c r="D3839" s="12" t="s">
        <v>1312</v>
      </c>
      <c r="E3839" s="12" t="s">
        <v>13744</v>
      </c>
      <c r="F3839" s="13">
        <v>40</v>
      </c>
      <c r="G3839" s="12" t="s">
        <v>13741</v>
      </c>
      <c r="H3839" s="12" t="s">
        <v>38</v>
      </c>
      <c r="I3839" s="12" t="s">
        <v>159</v>
      </c>
      <c r="J3839" s="12" t="s">
        <v>255</v>
      </c>
      <c r="K3839" s="12" t="s">
        <v>82</v>
      </c>
      <c r="L3839" s="14"/>
      <c r="M3839" s="12" t="s">
        <v>43</v>
      </c>
      <c r="N3839" s="12" t="s">
        <v>161</v>
      </c>
      <c r="O3839" s="12" t="s">
        <v>13745</v>
      </c>
      <c r="P3839" s="12" t="s">
        <v>46</v>
      </c>
      <c r="Q3839" s="12" t="s">
        <v>47</v>
      </c>
      <c r="R3839" s="12" t="s">
        <v>163</v>
      </c>
      <c r="S3839" s="13">
        <v>197065648756</v>
      </c>
      <c r="T3839" s="12" t="s">
        <v>49</v>
      </c>
      <c r="U3839" s="13">
        <v>35</v>
      </c>
      <c r="V3839" s="12" t="s">
        <v>50</v>
      </c>
      <c r="W3839" s="12" t="s">
        <v>51</v>
      </c>
      <c r="X3839" s="14"/>
      <c r="Y3839" s="12" t="s">
        <v>91</v>
      </c>
      <c r="Z3839" s="12" t="s">
        <v>165</v>
      </c>
      <c r="AA3839" s="14"/>
      <c r="AB3839" s="14"/>
      <c r="AC3839" s="15">
        <v>40.950000000000003</v>
      </c>
      <c r="AD3839" s="15">
        <f>AC3839*AG3839</f>
        <v>40.950000000000003</v>
      </c>
      <c r="AE3839" s="15">
        <v>90</v>
      </c>
      <c r="AF3839" s="15">
        <f>AE3839*AG3839</f>
        <v>90</v>
      </c>
      <c r="AG3839" s="16">
        <v>1</v>
      </c>
    </row>
    <row r="3840" spans="1:33" ht="15" customHeight="1" x14ac:dyDescent="0.2">
      <c r="A3840" s="11" t="str">
        <f t="shared" si="1278"/>
        <v>VN000CTDY231</v>
      </c>
      <c r="B3840" s="12" t="s">
        <v>13746</v>
      </c>
      <c r="C3840" s="12" t="s">
        <v>1458</v>
      </c>
      <c r="D3840" s="12" t="s">
        <v>1312</v>
      </c>
      <c r="E3840" s="12" t="s">
        <v>13747</v>
      </c>
      <c r="F3840" s="13">
        <v>45</v>
      </c>
      <c r="G3840" s="12" t="s">
        <v>13741</v>
      </c>
      <c r="H3840" s="12" t="s">
        <v>38</v>
      </c>
      <c r="I3840" s="12" t="s">
        <v>159</v>
      </c>
      <c r="J3840" s="12" t="s">
        <v>255</v>
      </c>
      <c r="K3840" s="12" t="s">
        <v>82</v>
      </c>
      <c r="L3840" s="14"/>
      <c r="M3840" s="12" t="s">
        <v>43</v>
      </c>
      <c r="N3840" s="12" t="s">
        <v>161</v>
      </c>
      <c r="O3840" s="12" t="s">
        <v>13748</v>
      </c>
      <c r="P3840" s="12" t="s">
        <v>46</v>
      </c>
      <c r="Q3840" s="12" t="s">
        <v>47</v>
      </c>
      <c r="R3840" s="12" t="s">
        <v>163</v>
      </c>
      <c r="S3840" s="13">
        <v>197065648848</v>
      </c>
      <c r="T3840" s="12" t="s">
        <v>49</v>
      </c>
      <c r="U3840" s="13">
        <v>36</v>
      </c>
      <c r="V3840" s="12" t="s">
        <v>50</v>
      </c>
      <c r="W3840" s="12" t="s">
        <v>51</v>
      </c>
      <c r="X3840" s="14"/>
      <c r="Y3840" s="12" t="s">
        <v>91</v>
      </c>
      <c r="Z3840" s="12" t="s">
        <v>165</v>
      </c>
      <c r="AA3840" s="14"/>
      <c r="AB3840" s="14"/>
      <c r="AC3840" s="15">
        <v>40.950000000000003</v>
      </c>
      <c r="AD3840" s="15">
        <f>AC3840*AG3840</f>
        <v>40.950000000000003</v>
      </c>
      <c r="AE3840" s="15">
        <v>90</v>
      </c>
      <c r="AF3840" s="15">
        <f>AE3840*AG3840</f>
        <v>90</v>
      </c>
      <c r="AG3840" s="16">
        <v>1</v>
      </c>
    </row>
    <row r="3841" spans="1:33" ht="15" customHeight="1" x14ac:dyDescent="0.2">
      <c r="A3841" s="11" t="str">
        <f t="shared" si="998"/>
        <v>VN000CTG1NU1</v>
      </c>
      <c r="B3841" s="12" t="s">
        <v>13749</v>
      </c>
      <c r="C3841" s="12" t="s">
        <v>238</v>
      </c>
      <c r="D3841" s="12" t="s">
        <v>783</v>
      </c>
      <c r="E3841" s="12" t="s">
        <v>13750</v>
      </c>
      <c r="F3841" s="13">
        <v>40</v>
      </c>
      <c r="G3841" s="12" t="s">
        <v>2273</v>
      </c>
      <c r="H3841" s="12" t="s">
        <v>38</v>
      </c>
      <c r="I3841" s="12" t="s">
        <v>242</v>
      </c>
      <c r="J3841" s="12" t="s">
        <v>243</v>
      </c>
      <c r="K3841" s="12" t="s">
        <v>244</v>
      </c>
      <c r="L3841" s="14"/>
      <c r="M3841" s="12" t="s">
        <v>43</v>
      </c>
      <c r="N3841" s="12" t="s">
        <v>84</v>
      </c>
      <c r="O3841" s="12" t="s">
        <v>13751</v>
      </c>
      <c r="P3841" s="12" t="s">
        <v>46</v>
      </c>
      <c r="Q3841" s="12" t="s">
        <v>47</v>
      </c>
      <c r="R3841" s="12" t="s">
        <v>48</v>
      </c>
      <c r="S3841" s="13">
        <v>197804511051</v>
      </c>
      <c r="T3841" s="12" t="s">
        <v>105</v>
      </c>
      <c r="U3841" s="13">
        <v>19</v>
      </c>
      <c r="V3841" s="12" t="s">
        <v>50</v>
      </c>
      <c r="W3841" s="12" t="s">
        <v>186</v>
      </c>
      <c r="X3841" s="14"/>
      <c r="Y3841" s="14"/>
      <c r="Z3841" s="14"/>
      <c r="AA3841" s="14"/>
      <c r="AB3841" s="14"/>
      <c r="AC3841" s="15">
        <v>22.75</v>
      </c>
      <c r="AD3841" s="15">
        <f>AC3841*AG3841</f>
        <v>22.75</v>
      </c>
      <c r="AE3841" s="15">
        <v>50</v>
      </c>
      <c r="AF3841" s="15">
        <f>AE3841*AG3841</f>
        <v>50</v>
      </c>
      <c r="AG3841" s="16">
        <v>1</v>
      </c>
    </row>
    <row r="3842" spans="1:33" ht="15" customHeight="1" x14ac:dyDescent="0.2">
      <c r="A3842" s="11" t="str">
        <f t="shared" ref="A3842:A3844" si="1279">HYPERLINK("https://assets.vans.eu/images/VN000CTG1NU-HERO/1","VN000CTG1NU1")</f>
        <v>VN000CTG1NU1</v>
      </c>
      <c r="B3842" s="12" t="s">
        <v>13752</v>
      </c>
      <c r="C3842" s="12" t="s">
        <v>238</v>
      </c>
      <c r="D3842" s="12" t="s">
        <v>783</v>
      </c>
      <c r="E3842" s="12" t="s">
        <v>13753</v>
      </c>
      <c r="F3842" s="13">
        <v>45</v>
      </c>
      <c r="G3842" s="12" t="s">
        <v>2273</v>
      </c>
      <c r="H3842" s="12" t="s">
        <v>38</v>
      </c>
      <c r="I3842" s="12" t="s">
        <v>242</v>
      </c>
      <c r="J3842" s="12" t="s">
        <v>243</v>
      </c>
      <c r="K3842" s="12" t="s">
        <v>244</v>
      </c>
      <c r="L3842" s="14"/>
      <c r="M3842" s="12" t="s">
        <v>43</v>
      </c>
      <c r="N3842" s="12" t="s">
        <v>84</v>
      </c>
      <c r="O3842" s="12" t="s">
        <v>13754</v>
      </c>
      <c r="P3842" s="12" t="s">
        <v>46</v>
      </c>
      <c r="Q3842" s="12" t="s">
        <v>47</v>
      </c>
      <c r="R3842" s="12" t="s">
        <v>48</v>
      </c>
      <c r="S3842" s="13">
        <v>197804511181</v>
      </c>
      <c r="T3842" s="12" t="s">
        <v>105</v>
      </c>
      <c r="U3842" s="13">
        <v>20</v>
      </c>
      <c r="V3842" s="12" t="s">
        <v>50</v>
      </c>
      <c r="W3842" s="12" t="s">
        <v>186</v>
      </c>
      <c r="X3842" s="14"/>
      <c r="Y3842" s="14"/>
      <c r="Z3842" s="14"/>
      <c r="AA3842" s="14"/>
      <c r="AB3842" s="14"/>
      <c r="AC3842" s="15">
        <v>22.75</v>
      </c>
      <c r="AD3842" s="15">
        <f>AC3842*AG3842</f>
        <v>22.75</v>
      </c>
      <c r="AE3842" s="15">
        <v>50</v>
      </c>
      <c r="AF3842" s="15">
        <f>AE3842*AG3842</f>
        <v>50</v>
      </c>
      <c r="AG3842" s="16">
        <v>1</v>
      </c>
    </row>
    <row r="3843" spans="1:33" ht="15" customHeight="1" x14ac:dyDescent="0.2">
      <c r="A3843" s="11" t="str">
        <f t="shared" si="1279"/>
        <v>VN000CTG1NU1</v>
      </c>
      <c r="B3843" s="12" t="s">
        <v>13755</v>
      </c>
      <c r="C3843" s="12" t="s">
        <v>238</v>
      </c>
      <c r="D3843" s="12" t="s">
        <v>783</v>
      </c>
      <c r="E3843" s="12" t="s">
        <v>13756</v>
      </c>
      <c r="F3843" s="13">
        <v>60</v>
      </c>
      <c r="G3843" s="12" t="s">
        <v>2273</v>
      </c>
      <c r="H3843" s="12" t="s">
        <v>38</v>
      </c>
      <c r="I3843" s="12" t="s">
        <v>242</v>
      </c>
      <c r="J3843" s="12" t="s">
        <v>243</v>
      </c>
      <c r="K3843" s="12" t="s">
        <v>244</v>
      </c>
      <c r="L3843" s="14"/>
      <c r="M3843" s="12" t="s">
        <v>43</v>
      </c>
      <c r="N3843" s="12" t="s">
        <v>84</v>
      </c>
      <c r="O3843" s="12" t="s">
        <v>13757</v>
      </c>
      <c r="P3843" s="12" t="s">
        <v>46</v>
      </c>
      <c r="Q3843" s="12" t="s">
        <v>47</v>
      </c>
      <c r="R3843" s="12" t="s">
        <v>48</v>
      </c>
      <c r="S3843" s="13">
        <v>197804511730</v>
      </c>
      <c r="T3843" s="12" t="s">
        <v>105</v>
      </c>
      <c r="U3843" s="13">
        <v>22</v>
      </c>
      <c r="V3843" s="12" t="s">
        <v>50</v>
      </c>
      <c r="W3843" s="12" t="s">
        <v>186</v>
      </c>
      <c r="X3843" s="14"/>
      <c r="Y3843" s="14"/>
      <c r="Z3843" s="14"/>
      <c r="AA3843" s="14"/>
      <c r="AB3843" s="14"/>
      <c r="AC3843" s="15">
        <v>22.75</v>
      </c>
      <c r="AD3843" s="15">
        <f>AC3843*AG3843</f>
        <v>22.75</v>
      </c>
      <c r="AE3843" s="15">
        <v>50</v>
      </c>
      <c r="AF3843" s="15">
        <f>AE3843*AG3843</f>
        <v>50</v>
      </c>
      <c r="AG3843" s="16">
        <v>1</v>
      </c>
    </row>
    <row r="3844" spans="1:33" ht="15" customHeight="1" x14ac:dyDescent="0.2">
      <c r="A3844" s="11" t="str">
        <f t="shared" si="1279"/>
        <v>VN000CTG1NU1</v>
      </c>
      <c r="B3844" s="12" t="s">
        <v>13758</v>
      </c>
      <c r="C3844" s="12" t="s">
        <v>238</v>
      </c>
      <c r="D3844" s="12" t="s">
        <v>783</v>
      </c>
      <c r="E3844" s="12" t="s">
        <v>13759</v>
      </c>
      <c r="F3844" s="13">
        <v>85</v>
      </c>
      <c r="G3844" s="12" t="s">
        <v>2273</v>
      </c>
      <c r="H3844" s="12" t="s">
        <v>38</v>
      </c>
      <c r="I3844" s="12" t="s">
        <v>242</v>
      </c>
      <c r="J3844" s="12" t="s">
        <v>243</v>
      </c>
      <c r="K3844" s="12" t="s">
        <v>244</v>
      </c>
      <c r="L3844" s="14"/>
      <c r="M3844" s="12" t="s">
        <v>43</v>
      </c>
      <c r="N3844" s="12" t="s">
        <v>84</v>
      </c>
      <c r="O3844" s="12" t="s">
        <v>13760</v>
      </c>
      <c r="P3844" s="12" t="s">
        <v>46</v>
      </c>
      <c r="Q3844" s="12" t="s">
        <v>47</v>
      </c>
      <c r="R3844" s="12" t="s">
        <v>48</v>
      </c>
      <c r="S3844" s="13">
        <v>197804512409</v>
      </c>
      <c r="T3844" s="12" t="s">
        <v>105</v>
      </c>
      <c r="U3844" s="13">
        <v>25</v>
      </c>
      <c r="V3844" s="12" t="s">
        <v>50</v>
      </c>
      <c r="W3844" s="12" t="s">
        <v>186</v>
      </c>
      <c r="X3844" s="14"/>
      <c r="Y3844" s="14"/>
      <c r="Z3844" s="14"/>
      <c r="AA3844" s="14"/>
      <c r="AB3844" s="14"/>
      <c r="AC3844" s="15">
        <v>22.75</v>
      </c>
      <c r="AD3844" s="15">
        <f>AC3844*AG3844</f>
        <v>22.75</v>
      </c>
      <c r="AE3844" s="15">
        <v>50</v>
      </c>
      <c r="AF3844" s="15">
        <f>AE3844*AG3844</f>
        <v>50</v>
      </c>
      <c r="AG3844" s="16">
        <v>1</v>
      </c>
    </row>
    <row r="3845" spans="1:33" ht="15" customHeight="1" x14ac:dyDescent="0.2">
      <c r="A3845" s="11" t="str">
        <f>HYPERLINK("https://assets.vans.eu/images/VN000CTG7VF-HERO/1","VN000CTG7VF1")</f>
        <v>VN000CTG7VF1</v>
      </c>
      <c r="B3845" s="12" t="s">
        <v>13761</v>
      </c>
      <c r="C3845" s="12" t="s">
        <v>238</v>
      </c>
      <c r="D3845" s="12" t="s">
        <v>641</v>
      </c>
      <c r="E3845" s="12" t="s">
        <v>13762</v>
      </c>
      <c r="F3845" s="13">
        <v>90</v>
      </c>
      <c r="G3845" s="12" t="s">
        <v>643</v>
      </c>
      <c r="H3845" s="12" t="s">
        <v>38</v>
      </c>
      <c r="I3845" s="12" t="s">
        <v>242</v>
      </c>
      <c r="J3845" s="12" t="s">
        <v>243</v>
      </c>
      <c r="K3845" s="12" t="s">
        <v>244</v>
      </c>
      <c r="L3845" s="14"/>
      <c r="M3845" s="12" t="s">
        <v>43</v>
      </c>
      <c r="N3845" s="12" t="s">
        <v>84</v>
      </c>
      <c r="O3845" s="12" t="s">
        <v>13763</v>
      </c>
      <c r="P3845" s="12" t="s">
        <v>46</v>
      </c>
      <c r="Q3845" s="12" t="s">
        <v>47</v>
      </c>
      <c r="R3845" s="12" t="s">
        <v>48</v>
      </c>
      <c r="S3845" s="13">
        <v>197804512645</v>
      </c>
      <c r="T3845" s="12" t="s">
        <v>49</v>
      </c>
      <c r="U3845" s="13">
        <v>25.5</v>
      </c>
      <c r="V3845" s="12" t="s">
        <v>278</v>
      </c>
      <c r="W3845" s="12" t="s">
        <v>455</v>
      </c>
      <c r="X3845" s="14"/>
      <c r="Y3845" s="14"/>
      <c r="Z3845" s="14"/>
      <c r="AA3845" s="14"/>
      <c r="AB3845" s="14"/>
      <c r="AC3845" s="15">
        <v>25</v>
      </c>
      <c r="AD3845" s="15">
        <f>AC3845*AG3845</f>
        <v>25</v>
      </c>
      <c r="AE3845" s="15">
        <v>55</v>
      </c>
      <c r="AF3845" s="15">
        <f>AE3845*AG3845</f>
        <v>55</v>
      </c>
      <c r="AG3845" s="16">
        <v>1</v>
      </c>
    </row>
    <row r="3846" spans="1:33" ht="15" customHeight="1" x14ac:dyDescent="0.2">
      <c r="A3846" s="11" t="str">
        <f t="shared" ref="A3846:A3848" si="1280">HYPERLINK("https://assets.vans.eu/images/VN000CTGEMY-HERO/1","VN000CTGEMY1")</f>
        <v>VN000CTGEMY1</v>
      </c>
      <c r="B3846" s="12" t="s">
        <v>13764</v>
      </c>
      <c r="C3846" s="12" t="s">
        <v>238</v>
      </c>
      <c r="D3846" s="12" t="s">
        <v>1155</v>
      </c>
      <c r="E3846" s="12" t="s">
        <v>13765</v>
      </c>
      <c r="F3846" s="13">
        <v>75</v>
      </c>
      <c r="G3846" s="12" t="s">
        <v>2273</v>
      </c>
      <c r="H3846" s="12" t="s">
        <v>38</v>
      </c>
      <c r="I3846" s="12" t="s">
        <v>242</v>
      </c>
      <c r="J3846" s="12" t="s">
        <v>243</v>
      </c>
      <c r="K3846" s="12" t="s">
        <v>244</v>
      </c>
      <c r="L3846" s="14"/>
      <c r="M3846" s="12" t="s">
        <v>43</v>
      </c>
      <c r="N3846" s="12" t="s">
        <v>84</v>
      </c>
      <c r="O3846" s="12" t="s">
        <v>13766</v>
      </c>
      <c r="P3846" s="12" t="s">
        <v>46</v>
      </c>
      <c r="Q3846" s="12" t="s">
        <v>47</v>
      </c>
      <c r="R3846" s="12" t="s">
        <v>48</v>
      </c>
      <c r="S3846" s="13">
        <v>197804512300</v>
      </c>
      <c r="T3846" s="12" t="s">
        <v>164</v>
      </c>
      <c r="U3846" s="13">
        <v>24</v>
      </c>
      <c r="V3846" s="12" t="s">
        <v>50</v>
      </c>
      <c r="W3846" s="12" t="s">
        <v>107</v>
      </c>
      <c r="X3846" s="14"/>
      <c r="Y3846" s="14"/>
      <c r="Z3846" s="14"/>
      <c r="AA3846" s="14"/>
      <c r="AB3846" s="14"/>
      <c r="AC3846" s="15">
        <v>22.75</v>
      </c>
      <c r="AD3846" s="15">
        <f>AC3846*AG3846</f>
        <v>22.75</v>
      </c>
      <c r="AE3846" s="15">
        <v>50</v>
      </c>
      <c r="AF3846" s="15">
        <f>AE3846*AG3846</f>
        <v>50</v>
      </c>
      <c r="AG3846" s="16">
        <v>1</v>
      </c>
    </row>
    <row r="3847" spans="1:33" ht="15" customHeight="1" x14ac:dyDescent="0.2">
      <c r="A3847" s="11" t="str">
        <f t="shared" si="1280"/>
        <v>VN000CTGEMY1</v>
      </c>
      <c r="B3847" s="12" t="s">
        <v>13767</v>
      </c>
      <c r="C3847" s="12" t="s">
        <v>238</v>
      </c>
      <c r="D3847" s="12" t="s">
        <v>1155</v>
      </c>
      <c r="E3847" s="12" t="s">
        <v>13768</v>
      </c>
      <c r="F3847" s="13">
        <v>85</v>
      </c>
      <c r="G3847" s="12" t="s">
        <v>2273</v>
      </c>
      <c r="H3847" s="12" t="s">
        <v>38</v>
      </c>
      <c r="I3847" s="12" t="s">
        <v>242</v>
      </c>
      <c r="J3847" s="12" t="s">
        <v>243</v>
      </c>
      <c r="K3847" s="12" t="s">
        <v>244</v>
      </c>
      <c r="L3847" s="14"/>
      <c r="M3847" s="12" t="s">
        <v>43</v>
      </c>
      <c r="N3847" s="12" t="s">
        <v>84</v>
      </c>
      <c r="O3847" s="12" t="s">
        <v>13769</v>
      </c>
      <c r="P3847" s="12" t="s">
        <v>46</v>
      </c>
      <c r="Q3847" s="12" t="s">
        <v>47</v>
      </c>
      <c r="R3847" s="12" t="s">
        <v>48</v>
      </c>
      <c r="S3847" s="13">
        <v>197804512461</v>
      </c>
      <c r="T3847" s="12" t="s">
        <v>164</v>
      </c>
      <c r="U3847" s="13">
        <v>25</v>
      </c>
      <c r="V3847" s="12" t="s">
        <v>50</v>
      </c>
      <c r="W3847" s="12" t="s">
        <v>107</v>
      </c>
      <c r="X3847" s="14"/>
      <c r="Y3847" s="14"/>
      <c r="Z3847" s="14"/>
      <c r="AA3847" s="14"/>
      <c r="AB3847" s="14"/>
      <c r="AC3847" s="15">
        <v>22.75</v>
      </c>
      <c r="AD3847" s="15">
        <f>AC3847*AG3847</f>
        <v>22.75</v>
      </c>
      <c r="AE3847" s="15">
        <v>50</v>
      </c>
      <c r="AF3847" s="15">
        <f>AE3847*AG3847</f>
        <v>50</v>
      </c>
      <c r="AG3847" s="16">
        <v>1</v>
      </c>
    </row>
    <row r="3848" spans="1:33" ht="15" customHeight="1" x14ac:dyDescent="0.2">
      <c r="A3848" s="11" t="str">
        <f t="shared" si="1280"/>
        <v>VN000CTGEMY1</v>
      </c>
      <c r="B3848" s="12" t="s">
        <v>13770</v>
      </c>
      <c r="C3848" s="12" t="s">
        <v>238</v>
      </c>
      <c r="D3848" s="12" t="s">
        <v>1155</v>
      </c>
      <c r="E3848" s="12" t="s">
        <v>13771</v>
      </c>
      <c r="F3848" s="13">
        <v>90</v>
      </c>
      <c r="G3848" s="12" t="s">
        <v>2273</v>
      </c>
      <c r="H3848" s="12" t="s">
        <v>38</v>
      </c>
      <c r="I3848" s="12" t="s">
        <v>242</v>
      </c>
      <c r="J3848" s="12" t="s">
        <v>243</v>
      </c>
      <c r="K3848" s="12" t="s">
        <v>244</v>
      </c>
      <c r="L3848" s="14"/>
      <c r="M3848" s="12" t="s">
        <v>43</v>
      </c>
      <c r="N3848" s="12" t="s">
        <v>84</v>
      </c>
      <c r="O3848" s="12" t="s">
        <v>13772</v>
      </c>
      <c r="P3848" s="12" t="s">
        <v>46</v>
      </c>
      <c r="Q3848" s="12" t="s">
        <v>47</v>
      </c>
      <c r="R3848" s="12" t="s">
        <v>48</v>
      </c>
      <c r="S3848" s="13">
        <v>197804512614</v>
      </c>
      <c r="T3848" s="12" t="s">
        <v>164</v>
      </c>
      <c r="U3848" s="13">
        <v>25.5</v>
      </c>
      <c r="V3848" s="12" t="s">
        <v>50</v>
      </c>
      <c r="W3848" s="12" t="s">
        <v>107</v>
      </c>
      <c r="X3848" s="14"/>
      <c r="Y3848" s="14"/>
      <c r="Z3848" s="14"/>
      <c r="AA3848" s="14"/>
      <c r="AB3848" s="14"/>
      <c r="AC3848" s="15">
        <v>22.75</v>
      </c>
      <c r="AD3848" s="15">
        <f>AC3848*AG3848</f>
        <v>22.75</v>
      </c>
      <c r="AE3848" s="15">
        <v>50</v>
      </c>
      <c r="AF3848" s="15">
        <f>AE3848*AG3848</f>
        <v>50</v>
      </c>
      <c r="AG3848" s="16">
        <v>1</v>
      </c>
    </row>
    <row r="3849" spans="1:33" ht="15" customHeight="1" x14ac:dyDescent="0.2">
      <c r="A3849" s="11" t="str">
        <f t="shared" ref="A3849:A3850" si="1281">HYPERLINK("https://assets.vans.eu/images/VN000CTGPIB-HERO/1","VN000CTGPIB1")</f>
        <v>VN000CTGPIB1</v>
      </c>
      <c r="B3849" s="12" t="s">
        <v>13773</v>
      </c>
      <c r="C3849" s="12" t="s">
        <v>238</v>
      </c>
      <c r="D3849" s="12" t="s">
        <v>829</v>
      </c>
      <c r="E3849" s="12" t="s">
        <v>13774</v>
      </c>
      <c r="F3849" s="13">
        <v>70</v>
      </c>
      <c r="G3849" s="12" t="s">
        <v>831</v>
      </c>
      <c r="H3849" s="12" t="s">
        <v>38</v>
      </c>
      <c r="I3849" s="12" t="s">
        <v>242</v>
      </c>
      <c r="J3849" s="12" t="s">
        <v>243</v>
      </c>
      <c r="K3849" s="12" t="s">
        <v>244</v>
      </c>
      <c r="L3849" s="14"/>
      <c r="M3849" s="12" t="s">
        <v>43</v>
      </c>
      <c r="N3849" s="12" t="s">
        <v>84</v>
      </c>
      <c r="O3849" s="12" t="s">
        <v>13775</v>
      </c>
      <c r="P3849" s="12" t="s">
        <v>46</v>
      </c>
      <c r="Q3849" s="12" t="s">
        <v>47</v>
      </c>
      <c r="R3849" s="12" t="s">
        <v>48</v>
      </c>
      <c r="S3849" s="13">
        <v>197804513307</v>
      </c>
      <c r="T3849" s="12" t="s">
        <v>49</v>
      </c>
      <c r="U3849" s="13">
        <v>23.5</v>
      </c>
      <c r="V3849" s="12" t="s">
        <v>50</v>
      </c>
      <c r="W3849" s="12" t="s">
        <v>299</v>
      </c>
      <c r="X3849" s="14"/>
      <c r="Y3849" s="14"/>
      <c r="Z3849" s="14"/>
      <c r="AA3849" s="14"/>
      <c r="AB3849" s="14"/>
      <c r="AC3849" s="15">
        <v>22.75</v>
      </c>
      <c r="AD3849" s="15">
        <f>AC3849*AG3849</f>
        <v>22.75</v>
      </c>
      <c r="AE3849" s="15">
        <v>50</v>
      </c>
      <c r="AF3849" s="15">
        <f>AE3849*AG3849</f>
        <v>50</v>
      </c>
      <c r="AG3849" s="16">
        <v>1</v>
      </c>
    </row>
    <row r="3850" spans="1:33" ht="15" customHeight="1" x14ac:dyDescent="0.2">
      <c r="A3850" s="11" t="str">
        <f t="shared" si="1281"/>
        <v>VN000CTGPIB1</v>
      </c>
      <c r="B3850" s="12" t="s">
        <v>13776</v>
      </c>
      <c r="C3850" s="12" t="s">
        <v>238</v>
      </c>
      <c r="D3850" s="12" t="s">
        <v>829</v>
      </c>
      <c r="E3850" s="12" t="s">
        <v>13777</v>
      </c>
      <c r="F3850" s="13">
        <v>95</v>
      </c>
      <c r="G3850" s="12" t="s">
        <v>831</v>
      </c>
      <c r="H3850" s="12" t="s">
        <v>38</v>
      </c>
      <c r="I3850" s="12" t="s">
        <v>242</v>
      </c>
      <c r="J3850" s="12" t="s">
        <v>243</v>
      </c>
      <c r="K3850" s="12" t="s">
        <v>244</v>
      </c>
      <c r="L3850" s="14"/>
      <c r="M3850" s="12" t="s">
        <v>43</v>
      </c>
      <c r="N3850" s="12" t="s">
        <v>84</v>
      </c>
      <c r="O3850" s="12" t="s">
        <v>13778</v>
      </c>
      <c r="P3850" s="12" t="s">
        <v>46</v>
      </c>
      <c r="Q3850" s="12" t="s">
        <v>47</v>
      </c>
      <c r="R3850" s="12" t="s">
        <v>48</v>
      </c>
      <c r="S3850" s="13">
        <v>197804513802</v>
      </c>
      <c r="T3850" s="12" t="s">
        <v>49</v>
      </c>
      <c r="U3850" s="13">
        <v>26</v>
      </c>
      <c r="V3850" s="12" t="s">
        <v>50</v>
      </c>
      <c r="W3850" s="12" t="s">
        <v>299</v>
      </c>
      <c r="X3850" s="14"/>
      <c r="Y3850" s="14"/>
      <c r="Z3850" s="14"/>
      <c r="AA3850" s="14"/>
      <c r="AB3850" s="14"/>
      <c r="AC3850" s="15">
        <v>22.75</v>
      </c>
      <c r="AD3850" s="15">
        <f>AC3850*AG3850</f>
        <v>22.75</v>
      </c>
      <c r="AE3850" s="15">
        <v>50</v>
      </c>
      <c r="AF3850" s="15">
        <f>AE3850*AG3850</f>
        <v>50</v>
      </c>
      <c r="AG3850" s="16">
        <v>1</v>
      </c>
    </row>
    <row r="3851" spans="1:33" ht="15" customHeight="1" x14ac:dyDescent="0.2">
      <c r="A3851" s="11" t="str">
        <f t="shared" ref="A3851:A3853" si="1282">HYPERLINK("https://assets.vans.eu/images/VN000CTGRV2-HERO/1","VN000CTGRV21")</f>
        <v>VN000CTGRV21</v>
      </c>
      <c r="B3851" s="12" t="s">
        <v>13779</v>
      </c>
      <c r="C3851" s="12" t="s">
        <v>238</v>
      </c>
      <c r="D3851" s="12" t="s">
        <v>1428</v>
      </c>
      <c r="E3851" s="12" t="s">
        <v>13780</v>
      </c>
      <c r="F3851" s="13">
        <v>50</v>
      </c>
      <c r="G3851" s="14"/>
      <c r="H3851" s="12" t="s">
        <v>38</v>
      </c>
      <c r="I3851" s="12" t="s">
        <v>242</v>
      </c>
      <c r="J3851" s="12" t="s">
        <v>243</v>
      </c>
      <c r="K3851" s="12" t="s">
        <v>244</v>
      </c>
      <c r="L3851" s="14"/>
      <c r="M3851" s="12" t="s">
        <v>43</v>
      </c>
      <c r="N3851" s="12" t="s">
        <v>84</v>
      </c>
      <c r="O3851" s="12" t="s">
        <v>13781</v>
      </c>
      <c r="P3851" s="12" t="s">
        <v>46</v>
      </c>
      <c r="Q3851" s="12" t="s">
        <v>47</v>
      </c>
      <c r="R3851" s="12" t="s">
        <v>48</v>
      </c>
      <c r="S3851" s="13">
        <v>197804513376</v>
      </c>
      <c r="T3851" s="12" t="s">
        <v>164</v>
      </c>
      <c r="U3851" s="13">
        <v>21</v>
      </c>
      <c r="V3851" s="12" t="s">
        <v>50</v>
      </c>
      <c r="W3851" s="12" t="s">
        <v>51</v>
      </c>
      <c r="X3851" s="14"/>
      <c r="Y3851" s="14"/>
      <c r="Z3851" s="14"/>
      <c r="AA3851" s="14"/>
      <c r="AB3851" s="14"/>
      <c r="AC3851" s="15">
        <v>20.5</v>
      </c>
      <c r="AD3851" s="15">
        <f>AC3851*AG3851</f>
        <v>20.5</v>
      </c>
      <c r="AE3851" s="15">
        <v>45</v>
      </c>
      <c r="AF3851" s="15">
        <f>AE3851*AG3851</f>
        <v>45</v>
      </c>
      <c r="AG3851" s="16">
        <v>1</v>
      </c>
    </row>
    <row r="3852" spans="1:33" ht="15" customHeight="1" x14ac:dyDescent="0.2">
      <c r="A3852" s="11" t="str">
        <f t="shared" si="1282"/>
        <v>VN000CTGRV21</v>
      </c>
      <c r="B3852" s="12" t="s">
        <v>13782</v>
      </c>
      <c r="C3852" s="12" t="s">
        <v>238</v>
      </c>
      <c r="D3852" s="12" t="s">
        <v>1428</v>
      </c>
      <c r="E3852" s="12" t="s">
        <v>13783</v>
      </c>
      <c r="F3852" s="13">
        <v>60</v>
      </c>
      <c r="G3852" s="14"/>
      <c r="H3852" s="12" t="s">
        <v>38</v>
      </c>
      <c r="I3852" s="12" t="s">
        <v>242</v>
      </c>
      <c r="J3852" s="12" t="s">
        <v>243</v>
      </c>
      <c r="K3852" s="12" t="s">
        <v>244</v>
      </c>
      <c r="L3852" s="14"/>
      <c r="M3852" s="12" t="s">
        <v>43</v>
      </c>
      <c r="N3852" s="12" t="s">
        <v>84</v>
      </c>
      <c r="O3852" s="12" t="s">
        <v>13784</v>
      </c>
      <c r="P3852" s="12" t="s">
        <v>46</v>
      </c>
      <c r="Q3852" s="12" t="s">
        <v>47</v>
      </c>
      <c r="R3852" s="12" t="s">
        <v>48</v>
      </c>
      <c r="S3852" s="13">
        <v>197804513710</v>
      </c>
      <c r="T3852" s="12" t="s">
        <v>164</v>
      </c>
      <c r="U3852" s="13">
        <v>22</v>
      </c>
      <c r="V3852" s="12" t="s">
        <v>50</v>
      </c>
      <c r="W3852" s="12" t="s">
        <v>51</v>
      </c>
      <c r="X3852" s="14"/>
      <c r="Y3852" s="14"/>
      <c r="Z3852" s="14"/>
      <c r="AA3852" s="14"/>
      <c r="AB3852" s="14"/>
      <c r="AC3852" s="15">
        <v>20.5</v>
      </c>
      <c r="AD3852" s="15">
        <f>AC3852*AG3852</f>
        <v>20.5</v>
      </c>
      <c r="AE3852" s="15">
        <v>45</v>
      </c>
      <c r="AF3852" s="15">
        <f>AE3852*AG3852</f>
        <v>45</v>
      </c>
      <c r="AG3852" s="16">
        <v>1</v>
      </c>
    </row>
    <row r="3853" spans="1:33" ht="15" customHeight="1" x14ac:dyDescent="0.2">
      <c r="A3853" s="11" t="str">
        <f t="shared" si="1282"/>
        <v>VN000CTGRV21</v>
      </c>
      <c r="B3853" s="12" t="s">
        <v>13785</v>
      </c>
      <c r="C3853" s="12" t="s">
        <v>238</v>
      </c>
      <c r="D3853" s="12" t="s">
        <v>1428</v>
      </c>
      <c r="E3853" s="12" t="s">
        <v>13786</v>
      </c>
      <c r="F3853" s="13">
        <v>90</v>
      </c>
      <c r="G3853" s="14"/>
      <c r="H3853" s="12" t="s">
        <v>38</v>
      </c>
      <c r="I3853" s="12" t="s">
        <v>242</v>
      </c>
      <c r="J3853" s="12" t="s">
        <v>243</v>
      </c>
      <c r="K3853" s="12" t="s">
        <v>244</v>
      </c>
      <c r="L3853" s="14"/>
      <c r="M3853" s="12" t="s">
        <v>43</v>
      </c>
      <c r="N3853" s="12" t="s">
        <v>84</v>
      </c>
      <c r="O3853" s="12" t="s">
        <v>13787</v>
      </c>
      <c r="P3853" s="12" t="s">
        <v>46</v>
      </c>
      <c r="Q3853" s="12" t="s">
        <v>47</v>
      </c>
      <c r="R3853" s="12" t="s">
        <v>48</v>
      </c>
      <c r="S3853" s="13">
        <v>197804514717</v>
      </c>
      <c r="T3853" s="12" t="s">
        <v>164</v>
      </c>
      <c r="U3853" s="13">
        <v>25.5</v>
      </c>
      <c r="V3853" s="12" t="s">
        <v>50</v>
      </c>
      <c r="W3853" s="12" t="s">
        <v>51</v>
      </c>
      <c r="X3853" s="14"/>
      <c r="Y3853" s="14"/>
      <c r="Z3853" s="14"/>
      <c r="AA3853" s="14"/>
      <c r="AB3853" s="14"/>
      <c r="AC3853" s="15">
        <v>20.5</v>
      </c>
      <c r="AD3853" s="15">
        <f>AC3853*AG3853</f>
        <v>20.5</v>
      </c>
      <c r="AE3853" s="15">
        <v>45</v>
      </c>
      <c r="AF3853" s="15">
        <f>AE3853*AG3853</f>
        <v>45</v>
      </c>
      <c r="AG3853" s="16">
        <v>1</v>
      </c>
    </row>
    <row r="3854" spans="1:33" ht="15" customHeight="1" x14ac:dyDescent="0.2">
      <c r="A3854" s="11" t="str">
        <f t="shared" si="769"/>
        <v>VN000CTGY091</v>
      </c>
      <c r="B3854" s="12" t="s">
        <v>13788</v>
      </c>
      <c r="C3854" s="12" t="s">
        <v>238</v>
      </c>
      <c r="D3854" s="12" t="s">
        <v>7042</v>
      </c>
      <c r="E3854" s="12" t="s">
        <v>13789</v>
      </c>
      <c r="F3854" s="13">
        <v>45</v>
      </c>
      <c r="G3854" s="12" t="s">
        <v>7044</v>
      </c>
      <c r="H3854" s="12" t="s">
        <v>38</v>
      </c>
      <c r="I3854" s="12" t="s">
        <v>242</v>
      </c>
      <c r="J3854" s="12" t="s">
        <v>243</v>
      </c>
      <c r="K3854" s="12" t="s">
        <v>244</v>
      </c>
      <c r="L3854" s="14"/>
      <c r="M3854" s="12" t="s">
        <v>43</v>
      </c>
      <c r="N3854" s="12" t="s">
        <v>84</v>
      </c>
      <c r="O3854" s="12" t="s">
        <v>13790</v>
      </c>
      <c r="P3854" s="12" t="s">
        <v>46</v>
      </c>
      <c r="Q3854" s="12" t="s">
        <v>47</v>
      </c>
      <c r="R3854" s="12" t="s">
        <v>48</v>
      </c>
      <c r="S3854" s="13">
        <v>197804513291</v>
      </c>
      <c r="T3854" s="12" t="s">
        <v>164</v>
      </c>
      <c r="U3854" s="13">
        <v>20</v>
      </c>
      <c r="V3854" s="12" t="s">
        <v>50</v>
      </c>
      <c r="W3854" s="12" t="s">
        <v>51</v>
      </c>
      <c r="X3854" s="14"/>
      <c r="Y3854" s="14"/>
      <c r="Z3854" s="14"/>
      <c r="AA3854" s="14"/>
      <c r="AB3854" s="14"/>
      <c r="AC3854" s="15">
        <v>20.5</v>
      </c>
      <c r="AD3854" s="15">
        <f>AC3854*AG3854</f>
        <v>20.5</v>
      </c>
      <c r="AE3854" s="15">
        <v>45</v>
      </c>
      <c r="AF3854" s="15">
        <f>AE3854*AG3854</f>
        <v>45</v>
      </c>
      <c r="AG3854" s="16">
        <v>1</v>
      </c>
    </row>
    <row r="3855" spans="1:33" ht="15" customHeight="1" x14ac:dyDescent="0.2">
      <c r="A3855" s="11" t="str">
        <f>HYPERLINK("https://assets.vans.eu/images/VN000CTGY09-HERO/1","VN000CTGY091")</f>
        <v>VN000CTGY091</v>
      </c>
      <c r="B3855" s="12" t="s">
        <v>13791</v>
      </c>
      <c r="C3855" s="12" t="s">
        <v>238</v>
      </c>
      <c r="D3855" s="12" t="s">
        <v>7042</v>
      </c>
      <c r="E3855" s="12" t="s">
        <v>13792</v>
      </c>
      <c r="F3855" s="13">
        <v>75</v>
      </c>
      <c r="G3855" s="12" t="s">
        <v>7044</v>
      </c>
      <c r="H3855" s="12" t="s">
        <v>38</v>
      </c>
      <c r="I3855" s="12" t="s">
        <v>242</v>
      </c>
      <c r="J3855" s="12" t="s">
        <v>243</v>
      </c>
      <c r="K3855" s="12" t="s">
        <v>244</v>
      </c>
      <c r="L3855" s="14"/>
      <c r="M3855" s="12" t="s">
        <v>43</v>
      </c>
      <c r="N3855" s="12" t="s">
        <v>84</v>
      </c>
      <c r="O3855" s="12" t="s">
        <v>13793</v>
      </c>
      <c r="P3855" s="12" t="s">
        <v>46</v>
      </c>
      <c r="Q3855" s="12" t="s">
        <v>47</v>
      </c>
      <c r="R3855" s="12" t="s">
        <v>48</v>
      </c>
      <c r="S3855" s="13">
        <v>197804513888</v>
      </c>
      <c r="T3855" s="12" t="s">
        <v>164</v>
      </c>
      <c r="U3855" s="13">
        <v>24</v>
      </c>
      <c r="V3855" s="12" t="s">
        <v>50</v>
      </c>
      <c r="W3855" s="12" t="s">
        <v>51</v>
      </c>
      <c r="X3855" s="14"/>
      <c r="Y3855" s="14"/>
      <c r="Z3855" s="14"/>
      <c r="AA3855" s="14"/>
      <c r="AB3855" s="14"/>
      <c r="AC3855" s="15">
        <v>20.5</v>
      </c>
      <c r="AD3855" s="15">
        <f>AC3855*AG3855</f>
        <v>20.5</v>
      </c>
      <c r="AE3855" s="15">
        <v>45</v>
      </c>
      <c r="AF3855" s="15">
        <f>AE3855*AG3855</f>
        <v>45</v>
      </c>
      <c r="AG3855" s="16">
        <v>1</v>
      </c>
    </row>
    <row r="3856" spans="1:33" ht="15" customHeight="1" x14ac:dyDescent="0.2">
      <c r="A3856" s="11" t="str">
        <f t="shared" si="517"/>
        <v>VN000CTGYLZ1</v>
      </c>
      <c r="B3856" s="12" t="s">
        <v>13794</v>
      </c>
      <c r="C3856" s="12" t="s">
        <v>238</v>
      </c>
      <c r="D3856" s="12" t="s">
        <v>458</v>
      </c>
      <c r="E3856" s="12" t="s">
        <v>13795</v>
      </c>
      <c r="F3856" s="13">
        <v>55</v>
      </c>
      <c r="G3856" s="12" t="s">
        <v>775</v>
      </c>
      <c r="H3856" s="12" t="s">
        <v>38</v>
      </c>
      <c r="I3856" s="12" t="s">
        <v>242</v>
      </c>
      <c r="J3856" s="12" t="s">
        <v>243</v>
      </c>
      <c r="K3856" s="12" t="s">
        <v>244</v>
      </c>
      <c r="L3856" s="14"/>
      <c r="M3856" s="12" t="s">
        <v>43</v>
      </c>
      <c r="N3856" s="12" t="s">
        <v>84</v>
      </c>
      <c r="O3856" s="12" t="s">
        <v>13796</v>
      </c>
      <c r="P3856" s="12" t="s">
        <v>46</v>
      </c>
      <c r="Q3856" s="12" t="s">
        <v>47</v>
      </c>
      <c r="R3856" s="12" t="s">
        <v>48</v>
      </c>
      <c r="S3856" s="13">
        <v>197804513857</v>
      </c>
      <c r="T3856" s="12" t="s">
        <v>105</v>
      </c>
      <c r="U3856" s="13">
        <v>21.5</v>
      </c>
      <c r="V3856" s="12" t="s">
        <v>278</v>
      </c>
      <c r="W3856" s="12" t="s">
        <v>299</v>
      </c>
      <c r="X3856" s="14"/>
      <c r="Y3856" s="14"/>
      <c r="Z3856" s="14"/>
      <c r="AA3856" s="14"/>
      <c r="AB3856" s="14"/>
      <c r="AC3856" s="15">
        <v>25</v>
      </c>
      <c r="AD3856" s="15">
        <f>AC3856*AG3856</f>
        <v>25</v>
      </c>
      <c r="AE3856" s="15">
        <v>55</v>
      </c>
      <c r="AF3856" s="15">
        <f>AE3856*AG3856</f>
        <v>55</v>
      </c>
      <c r="AG3856" s="16">
        <v>1</v>
      </c>
    </row>
    <row r="3857" spans="1:33" ht="15" customHeight="1" x14ac:dyDescent="0.2">
      <c r="A3857" s="11" t="str">
        <f t="shared" si="179"/>
        <v>VN000CTGZRY1</v>
      </c>
      <c r="B3857" s="12" t="s">
        <v>13797</v>
      </c>
      <c r="C3857" s="12" t="s">
        <v>238</v>
      </c>
      <c r="D3857" s="12" t="s">
        <v>1996</v>
      </c>
      <c r="E3857" s="12" t="s">
        <v>13798</v>
      </c>
      <c r="F3857" s="13">
        <v>40</v>
      </c>
      <c r="G3857" s="12" t="s">
        <v>2001</v>
      </c>
      <c r="H3857" s="12" t="s">
        <v>38</v>
      </c>
      <c r="I3857" s="12" t="s">
        <v>242</v>
      </c>
      <c r="J3857" s="12" t="s">
        <v>243</v>
      </c>
      <c r="K3857" s="12" t="s">
        <v>244</v>
      </c>
      <c r="L3857" s="14"/>
      <c r="M3857" s="12" t="s">
        <v>43</v>
      </c>
      <c r="N3857" s="12" t="s">
        <v>84</v>
      </c>
      <c r="O3857" s="12" t="s">
        <v>13799</v>
      </c>
      <c r="P3857" s="12" t="s">
        <v>46</v>
      </c>
      <c r="Q3857" s="12" t="s">
        <v>47</v>
      </c>
      <c r="R3857" s="12" t="s">
        <v>48</v>
      </c>
      <c r="S3857" s="13">
        <v>197804513697</v>
      </c>
      <c r="T3857" s="12" t="s">
        <v>105</v>
      </c>
      <c r="U3857" s="13">
        <v>19</v>
      </c>
      <c r="V3857" s="12" t="s">
        <v>50</v>
      </c>
      <c r="W3857" s="12" t="s">
        <v>299</v>
      </c>
      <c r="X3857" s="14"/>
      <c r="Y3857" s="14"/>
      <c r="Z3857" s="14"/>
      <c r="AA3857" s="14"/>
      <c r="AB3857" s="14"/>
      <c r="AC3857" s="15">
        <v>22.75</v>
      </c>
      <c r="AD3857" s="15">
        <f>AC3857*AG3857</f>
        <v>22.75</v>
      </c>
      <c r="AE3857" s="15">
        <v>50</v>
      </c>
      <c r="AF3857" s="15">
        <f>AE3857*AG3857</f>
        <v>50</v>
      </c>
      <c r="AG3857" s="16">
        <v>1</v>
      </c>
    </row>
    <row r="3858" spans="1:33" ht="15" customHeight="1" x14ac:dyDescent="0.2">
      <c r="A3858" s="11" t="str">
        <f>HYPERLINK("https://assets.vans.eu/images/VN000CTMBA2-HERO/1","VN000CTMBA21")</f>
        <v>VN000CTMBA21</v>
      </c>
      <c r="B3858" s="12" t="s">
        <v>13800</v>
      </c>
      <c r="C3858" s="12" t="s">
        <v>9139</v>
      </c>
      <c r="D3858" s="12" t="s">
        <v>1844</v>
      </c>
      <c r="E3858" s="12" t="s">
        <v>13801</v>
      </c>
      <c r="F3858" s="13">
        <v>70</v>
      </c>
      <c r="G3858" s="14"/>
      <c r="H3858" s="12" t="s">
        <v>38</v>
      </c>
      <c r="I3858" s="12" t="s">
        <v>159</v>
      </c>
      <c r="J3858" s="12" t="s">
        <v>341</v>
      </c>
      <c r="K3858" s="12" t="s">
        <v>82</v>
      </c>
      <c r="L3858" s="14"/>
      <c r="M3858" s="12" t="s">
        <v>43</v>
      </c>
      <c r="N3858" s="12" t="s">
        <v>161</v>
      </c>
      <c r="O3858" s="12" t="s">
        <v>13802</v>
      </c>
      <c r="P3858" s="12" t="s">
        <v>46</v>
      </c>
      <c r="Q3858" s="12" t="s">
        <v>47</v>
      </c>
      <c r="R3858" s="12" t="s">
        <v>163</v>
      </c>
      <c r="S3858" s="13">
        <v>197063312291</v>
      </c>
      <c r="T3858" s="12" t="s">
        <v>105</v>
      </c>
      <c r="U3858" s="13">
        <v>39</v>
      </c>
      <c r="V3858" s="12" t="s">
        <v>1468</v>
      </c>
      <c r="W3858" s="12" t="s">
        <v>51</v>
      </c>
      <c r="X3858" s="14"/>
      <c r="Y3858" s="12" t="s">
        <v>53</v>
      </c>
      <c r="Z3858" s="12" t="s">
        <v>165</v>
      </c>
      <c r="AA3858" s="14"/>
      <c r="AB3858" s="14"/>
      <c r="AC3858" s="15">
        <v>59.1</v>
      </c>
      <c r="AD3858" s="15">
        <f>AC3858*AG3858</f>
        <v>59.1</v>
      </c>
      <c r="AE3858" s="15">
        <v>130</v>
      </c>
      <c r="AF3858" s="15">
        <f>AE3858*AG3858</f>
        <v>130</v>
      </c>
      <c r="AG3858" s="16">
        <v>1</v>
      </c>
    </row>
    <row r="3859" spans="1:33" ht="15" customHeight="1" x14ac:dyDescent="0.2">
      <c r="A3859" s="11" t="str">
        <f>HYPERLINK("https://assets.vans.eu/images/VN000CTMELW-HERO/1","VN000CTMELW1")</f>
        <v>VN000CTMELW1</v>
      </c>
      <c r="B3859" s="12" t="s">
        <v>13803</v>
      </c>
      <c r="C3859" s="12" t="s">
        <v>9139</v>
      </c>
      <c r="D3859" s="12" t="s">
        <v>13804</v>
      </c>
      <c r="E3859" s="12" t="s">
        <v>13805</v>
      </c>
      <c r="F3859" s="13">
        <v>120</v>
      </c>
      <c r="G3859" s="12" t="s">
        <v>13806</v>
      </c>
      <c r="H3859" s="12" t="s">
        <v>38</v>
      </c>
      <c r="I3859" s="12" t="s">
        <v>159</v>
      </c>
      <c r="J3859" s="12" t="s">
        <v>341</v>
      </c>
      <c r="K3859" s="12" t="s">
        <v>82</v>
      </c>
      <c r="L3859" s="14"/>
      <c r="M3859" s="12" t="s">
        <v>43</v>
      </c>
      <c r="N3859" s="12" t="s">
        <v>161</v>
      </c>
      <c r="O3859" s="12" t="s">
        <v>13807</v>
      </c>
      <c r="P3859" s="12" t="s">
        <v>46</v>
      </c>
      <c r="Q3859" s="12" t="s">
        <v>47</v>
      </c>
      <c r="R3859" s="12" t="s">
        <v>163</v>
      </c>
      <c r="S3859" s="13">
        <v>197065650520</v>
      </c>
      <c r="T3859" s="12" t="s">
        <v>105</v>
      </c>
      <c r="U3859" s="13">
        <v>46</v>
      </c>
      <c r="V3859" s="12" t="s">
        <v>50</v>
      </c>
      <c r="W3859" s="12" t="s">
        <v>175</v>
      </c>
      <c r="X3859" s="14"/>
      <c r="Y3859" s="12" t="s">
        <v>53</v>
      </c>
      <c r="Z3859" s="12" t="s">
        <v>165</v>
      </c>
      <c r="AA3859" s="14"/>
      <c r="AB3859" s="14"/>
      <c r="AC3859" s="15">
        <v>59.1</v>
      </c>
      <c r="AD3859" s="15">
        <f>AC3859*AG3859</f>
        <v>59.1</v>
      </c>
      <c r="AE3859" s="15">
        <v>130</v>
      </c>
      <c r="AF3859" s="15">
        <f>AE3859*AG3859</f>
        <v>130</v>
      </c>
      <c r="AG3859" s="16">
        <v>1</v>
      </c>
    </row>
    <row r="3860" spans="1:33" ht="15" customHeight="1" x14ac:dyDescent="0.2">
      <c r="A3860" s="11" t="str">
        <f>HYPERLINK("https://assets.vans.eu/images/VN000CTMSN0-HERO/1","VN000CTMSN01")</f>
        <v>VN000CTMSN01</v>
      </c>
      <c r="B3860" s="12" t="s">
        <v>13808</v>
      </c>
      <c r="C3860" s="12" t="s">
        <v>9139</v>
      </c>
      <c r="D3860" s="12" t="s">
        <v>13809</v>
      </c>
      <c r="E3860" s="12" t="s">
        <v>13810</v>
      </c>
      <c r="F3860" s="13">
        <v>130</v>
      </c>
      <c r="G3860" s="14"/>
      <c r="H3860" s="12" t="s">
        <v>38</v>
      </c>
      <c r="I3860" s="12" t="s">
        <v>159</v>
      </c>
      <c r="J3860" s="12" t="s">
        <v>341</v>
      </c>
      <c r="K3860" s="12" t="s">
        <v>82</v>
      </c>
      <c r="L3860" s="14"/>
      <c r="M3860" s="12" t="s">
        <v>43</v>
      </c>
      <c r="N3860" s="12" t="s">
        <v>161</v>
      </c>
      <c r="O3860" s="12" t="s">
        <v>13811</v>
      </c>
      <c r="P3860" s="12" t="s">
        <v>46</v>
      </c>
      <c r="Q3860" s="12" t="s">
        <v>47</v>
      </c>
      <c r="R3860" s="12" t="s">
        <v>163</v>
      </c>
      <c r="S3860" s="13">
        <v>197065650773</v>
      </c>
      <c r="T3860" s="12" t="s">
        <v>105</v>
      </c>
      <c r="U3860" s="13">
        <v>47</v>
      </c>
      <c r="V3860" s="12" t="s">
        <v>50</v>
      </c>
      <c r="W3860" s="12" t="s">
        <v>284</v>
      </c>
      <c r="X3860" s="14"/>
      <c r="Y3860" s="12" t="s">
        <v>53</v>
      </c>
      <c r="Z3860" s="12" t="s">
        <v>165</v>
      </c>
      <c r="AA3860" s="14"/>
      <c r="AB3860" s="14"/>
      <c r="AC3860" s="15">
        <v>59.1</v>
      </c>
      <c r="AD3860" s="15">
        <f>AC3860*AG3860</f>
        <v>59.1</v>
      </c>
      <c r="AE3860" s="15">
        <v>130</v>
      </c>
      <c r="AF3860" s="15">
        <f>AE3860*AG3860</f>
        <v>130</v>
      </c>
      <c r="AG3860" s="16">
        <v>1</v>
      </c>
    </row>
    <row r="3861" spans="1:33" ht="15" customHeight="1" x14ac:dyDescent="0.2">
      <c r="A3861" s="11" t="str">
        <f t="shared" si="1000"/>
        <v>VN000CTMYY21</v>
      </c>
      <c r="B3861" s="12" t="s">
        <v>13812</v>
      </c>
      <c r="C3861" s="12" t="s">
        <v>9139</v>
      </c>
      <c r="D3861" s="12" t="s">
        <v>9210</v>
      </c>
      <c r="E3861" s="12" t="s">
        <v>13813</v>
      </c>
      <c r="F3861" s="13">
        <v>70</v>
      </c>
      <c r="G3861" s="12" t="s">
        <v>9212</v>
      </c>
      <c r="H3861" s="12" t="s">
        <v>38</v>
      </c>
      <c r="I3861" s="12" t="s">
        <v>159</v>
      </c>
      <c r="J3861" s="12" t="s">
        <v>341</v>
      </c>
      <c r="K3861" s="12" t="s">
        <v>82</v>
      </c>
      <c r="L3861" s="14"/>
      <c r="M3861" s="12" t="s">
        <v>43</v>
      </c>
      <c r="N3861" s="12" t="s">
        <v>161</v>
      </c>
      <c r="O3861" s="12" t="s">
        <v>13814</v>
      </c>
      <c r="P3861" s="12" t="s">
        <v>46</v>
      </c>
      <c r="Q3861" s="12" t="s">
        <v>47</v>
      </c>
      <c r="R3861" s="12" t="s">
        <v>163</v>
      </c>
      <c r="S3861" s="13">
        <v>197065650766</v>
      </c>
      <c r="T3861" s="12" t="s">
        <v>105</v>
      </c>
      <c r="U3861" s="13">
        <v>39</v>
      </c>
      <c r="V3861" s="12" t="s">
        <v>50</v>
      </c>
      <c r="W3861" s="12" t="s">
        <v>175</v>
      </c>
      <c r="X3861" s="14"/>
      <c r="Y3861" s="12" t="s">
        <v>53</v>
      </c>
      <c r="Z3861" s="12" t="s">
        <v>165</v>
      </c>
      <c r="AA3861" s="14"/>
      <c r="AB3861" s="14"/>
      <c r="AC3861" s="15">
        <v>61.4</v>
      </c>
      <c r="AD3861" s="15">
        <f>AC3861*AG3861</f>
        <v>61.4</v>
      </c>
      <c r="AE3861" s="15">
        <v>135</v>
      </c>
      <c r="AF3861" s="15">
        <f>AE3861*AG3861</f>
        <v>135</v>
      </c>
      <c r="AG3861" s="16">
        <v>1</v>
      </c>
    </row>
    <row r="3862" spans="1:33" ht="15" customHeight="1" x14ac:dyDescent="0.2">
      <c r="A3862" s="11" t="str">
        <f>HYPERLINK("https://assets.vans.eu/images/VN000CTMYY2-HERO/1","VN000CTMYY21")</f>
        <v>VN000CTMYY21</v>
      </c>
      <c r="B3862" s="12" t="s">
        <v>13815</v>
      </c>
      <c r="C3862" s="12" t="s">
        <v>9139</v>
      </c>
      <c r="D3862" s="12" t="s">
        <v>9210</v>
      </c>
      <c r="E3862" s="12" t="s">
        <v>13816</v>
      </c>
      <c r="F3862" s="13">
        <v>80</v>
      </c>
      <c r="G3862" s="12" t="s">
        <v>9212</v>
      </c>
      <c r="H3862" s="12" t="s">
        <v>38</v>
      </c>
      <c r="I3862" s="12" t="s">
        <v>159</v>
      </c>
      <c r="J3862" s="12" t="s">
        <v>341</v>
      </c>
      <c r="K3862" s="12" t="s">
        <v>82</v>
      </c>
      <c r="L3862" s="14"/>
      <c r="M3862" s="12" t="s">
        <v>43</v>
      </c>
      <c r="N3862" s="12" t="s">
        <v>161</v>
      </c>
      <c r="O3862" s="12" t="s">
        <v>13817</v>
      </c>
      <c r="P3862" s="12" t="s">
        <v>46</v>
      </c>
      <c r="Q3862" s="12" t="s">
        <v>47</v>
      </c>
      <c r="R3862" s="12" t="s">
        <v>163</v>
      </c>
      <c r="S3862" s="13">
        <v>197065651046</v>
      </c>
      <c r="T3862" s="12" t="s">
        <v>105</v>
      </c>
      <c r="U3862" s="13">
        <v>40.5</v>
      </c>
      <c r="V3862" s="12" t="s">
        <v>50</v>
      </c>
      <c r="W3862" s="12" t="s">
        <v>175</v>
      </c>
      <c r="X3862" s="14"/>
      <c r="Y3862" s="12" t="s">
        <v>53</v>
      </c>
      <c r="Z3862" s="12" t="s">
        <v>165</v>
      </c>
      <c r="AA3862" s="14"/>
      <c r="AB3862" s="14"/>
      <c r="AC3862" s="15">
        <v>61.4</v>
      </c>
      <c r="AD3862" s="15">
        <f>AC3862*AG3862</f>
        <v>61.4</v>
      </c>
      <c r="AE3862" s="15">
        <v>135</v>
      </c>
      <c r="AF3862" s="15">
        <f>AE3862*AG3862</f>
        <v>135</v>
      </c>
      <c r="AG3862" s="16">
        <v>1</v>
      </c>
    </row>
    <row r="3863" spans="1:33" ht="15" customHeight="1" x14ac:dyDescent="0.2">
      <c r="A3863" s="11" t="str">
        <f t="shared" ref="A3863:A3865" si="1283">HYPERLINK("https://assets.vans.eu/images/VN000CTN2NC-HERO/1","VN000CTN2NC1")</f>
        <v>VN000CTN2NC1</v>
      </c>
      <c r="B3863" s="12" t="s">
        <v>13818</v>
      </c>
      <c r="C3863" s="12" t="s">
        <v>1464</v>
      </c>
      <c r="D3863" s="12" t="s">
        <v>13819</v>
      </c>
      <c r="E3863" s="12" t="s">
        <v>13820</v>
      </c>
      <c r="F3863" s="13">
        <v>65</v>
      </c>
      <c r="G3863" s="12" t="s">
        <v>13821</v>
      </c>
      <c r="H3863" s="12" t="s">
        <v>38</v>
      </c>
      <c r="I3863" s="12" t="s">
        <v>159</v>
      </c>
      <c r="J3863" s="12" t="s">
        <v>255</v>
      </c>
      <c r="K3863" s="12" t="s">
        <v>82</v>
      </c>
      <c r="L3863" s="12" t="s">
        <v>260</v>
      </c>
      <c r="M3863" s="12" t="s">
        <v>43</v>
      </c>
      <c r="N3863" s="12" t="s">
        <v>161</v>
      </c>
      <c r="O3863" s="12" t="s">
        <v>13822</v>
      </c>
      <c r="P3863" s="12" t="s">
        <v>46</v>
      </c>
      <c r="Q3863" s="12" t="s">
        <v>47</v>
      </c>
      <c r="R3863" s="12" t="s">
        <v>163</v>
      </c>
      <c r="S3863" s="13">
        <v>197641027807</v>
      </c>
      <c r="T3863" s="12" t="s">
        <v>49</v>
      </c>
      <c r="U3863" s="13">
        <v>38.5</v>
      </c>
      <c r="V3863" s="12" t="s">
        <v>50</v>
      </c>
      <c r="W3863" s="12" t="s">
        <v>118</v>
      </c>
      <c r="X3863" s="14"/>
      <c r="Y3863" s="12" t="s">
        <v>53</v>
      </c>
      <c r="Z3863" s="12" t="s">
        <v>165</v>
      </c>
      <c r="AA3863" s="14"/>
      <c r="AB3863" s="12" t="s">
        <v>264</v>
      </c>
      <c r="AC3863" s="15">
        <v>50</v>
      </c>
      <c r="AD3863" s="15">
        <f>AC3863*AG3863</f>
        <v>50</v>
      </c>
      <c r="AE3863" s="15">
        <v>110</v>
      </c>
      <c r="AF3863" s="15">
        <f>AE3863*AG3863</f>
        <v>110</v>
      </c>
      <c r="AG3863" s="16">
        <v>1</v>
      </c>
    </row>
    <row r="3864" spans="1:33" ht="15" customHeight="1" x14ac:dyDescent="0.2">
      <c r="A3864" s="11" t="str">
        <f t="shared" si="1283"/>
        <v>VN000CTN2NC1</v>
      </c>
      <c r="B3864" s="12" t="s">
        <v>13823</v>
      </c>
      <c r="C3864" s="12" t="s">
        <v>1464</v>
      </c>
      <c r="D3864" s="12" t="s">
        <v>13819</v>
      </c>
      <c r="E3864" s="12" t="s">
        <v>13824</v>
      </c>
      <c r="F3864" s="13">
        <v>80</v>
      </c>
      <c r="G3864" s="12" t="s">
        <v>13821</v>
      </c>
      <c r="H3864" s="12" t="s">
        <v>38</v>
      </c>
      <c r="I3864" s="12" t="s">
        <v>159</v>
      </c>
      <c r="J3864" s="12" t="s">
        <v>255</v>
      </c>
      <c r="K3864" s="12" t="s">
        <v>82</v>
      </c>
      <c r="L3864" s="12" t="s">
        <v>260</v>
      </c>
      <c r="M3864" s="12" t="s">
        <v>43</v>
      </c>
      <c r="N3864" s="12" t="s">
        <v>161</v>
      </c>
      <c r="O3864" s="12" t="s">
        <v>13825</v>
      </c>
      <c r="P3864" s="12" t="s">
        <v>46</v>
      </c>
      <c r="Q3864" s="12" t="s">
        <v>47</v>
      </c>
      <c r="R3864" s="12" t="s">
        <v>163</v>
      </c>
      <c r="S3864" s="13">
        <v>197641028255</v>
      </c>
      <c r="T3864" s="12" t="s">
        <v>49</v>
      </c>
      <c r="U3864" s="13">
        <v>40.5</v>
      </c>
      <c r="V3864" s="12" t="s">
        <v>50</v>
      </c>
      <c r="W3864" s="12" t="s">
        <v>118</v>
      </c>
      <c r="X3864" s="14"/>
      <c r="Y3864" s="12" t="s">
        <v>53</v>
      </c>
      <c r="Z3864" s="12" t="s">
        <v>165</v>
      </c>
      <c r="AA3864" s="14"/>
      <c r="AB3864" s="12" t="s">
        <v>264</v>
      </c>
      <c r="AC3864" s="15">
        <v>50</v>
      </c>
      <c r="AD3864" s="15">
        <f>AC3864*AG3864</f>
        <v>50</v>
      </c>
      <c r="AE3864" s="15">
        <v>110</v>
      </c>
      <c r="AF3864" s="15">
        <f>AE3864*AG3864</f>
        <v>110</v>
      </c>
      <c r="AG3864" s="16">
        <v>1</v>
      </c>
    </row>
    <row r="3865" spans="1:33" ht="15" customHeight="1" x14ac:dyDescent="0.2">
      <c r="A3865" s="11" t="str">
        <f t="shared" si="1283"/>
        <v>VN000CTN2NC1</v>
      </c>
      <c r="B3865" s="12" t="s">
        <v>13826</v>
      </c>
      <c r="C3865" s="12" t="s">
        <v>1464</v>
      </c>
      <c r="D3865" s="12" t="s">
        <v>13819</v>
      </c>
      <c r="E3865" s="12" t="s">
        <v>13827</v>
      </c>
      <c r="F3865" s="13">
        <v>130</v>
      </c>
      <c r="G3865" s="12" t="s">
        <v>13821</v>
      </c>
      <c r="H3865" s="12" t="s">
        <v>38</v>
      </c>
      <c r="I3865" s="12" t="s">
        <v>159</v>
      </c>
      <c r="J3865" s="12" t="s">
        <v>255</v>
      </c>
      <c r="K3865" s="12" t="s">
        <v>82</v>
      </c>
      <c r="L3865" s="12" t="s">
        <v>260</v>
      </c>
      <c r="M3865" s="12" t="s">
        <v>43</v>
      </c>
      <c r="N3865" s="12" t="s">
        <v>161</v>
      </c>
      <c r="O3865" s="12" t="s">
        <v>13828</v>
      </c>
      <c r="P3865" s="12" t="s">
        <v>46</v>
      </c>
      <c r="Q3865" s="12" t="s">
        <v>47</v>
      </c>
      <c r="R3865" s="12" t="s">
        <v>163</v>
      </c>
      <c r="S3865" s="13">
        <v>197641029399</v>
      </c>
      <c r="T3865" s="12" t="s">
        <v>49</v>
      </c>
      <c r="U3865" s="13">
        <v>47</v>
      </c>
      <c r="V3865" s="12" t="s">
        <v>50</v>
      </c>
      <c r="W3865" s="12" t="s">
        <v>118</v>
      </c>
      <c r="X3865" s="14"/>
      <c r="Y3865" s="12" t="s">
        <v>53</v>
      </c>
      <c r="Z3865" s="12" t="s">
        <v>165</v>
      </c>
      <c r="AA3865" s="14"/>
      <c r="AB3865" s="12" t="s">
        <v>264</v>
      </c>
      <c r="AC3865" s="15">
        <v>50</v>
      </c>
      <c r="AD3865" s="15">
        <f>AC3865*AG3865</f>
        <v>50</v>
      </c>
      <c r="AE3865" s="15">
        <v>110</v>
      </c>
      <c r="AF3865" s="15">
        <f>AE3865*AG3865</f>
        <v>110</v>
      </c>
      <c r="AG3865" s="16">
        <v>1</v>
      </c>
    </row>
    <row r="3866" spans="1:33" ht="15" customHeight="1" x14ac:dyDescent="0.2">
      <c r="A3866" s="11" t="str">
        <f>HYPERLINK("https://assets.vans.eu/images/VN000CTNBX9-HERO/1","VN000CTNBX91")</f>
        <v>VN000CTNBX91</v>
      </c>
      <c r="B3866" s="12" t="s">
        <v>13829</v>
      </c>
      <c r="C3866" s="12" t="s">
        <v>1464</v>
      </c>
      <c r="D3866" s="12" t="s">
        <v>9959</v>
      </c>
      <c r="E3866" s="12" t="s">
        <v>13830</v>
      </c>
      <c r="F3866" s="13">
        <v>110</v>
      </c>
      <c r="G3866" s="12" t="s">
        <v>13831</v>
      </c>
      <c r="H3866" s="12" t="s">
        <v>38</v>
      </c>
      <c r="I3866" s="12" t="s">
        <v>159</v>
      </c>
      <c r="J3866" s="12" t="s">
        <v>255</v>
      </c>
      <c r="K3866" s="12" t="s">
        <v>82</v>
      </c>
      <c r="L3866" s="14"/>
      <c r="M3866" s="12" t="s">
        <v>43</v>
      </c>
      <c r="N3866" s="12" t="s">
        <v>161</v>
      </c>
      <c r="O3866" s="12" t="s">
        <v>13832</v>
      </c>
      <c r="P3866" s="12" t="s">
        <v>46</v>
      </c>
      <c r="Q3866" s="12" t="s">
        <v>47</v>
      </c>
      <c r="R3866" s="12" t="s">
        <v>163</v>
      </c>
      <c r="S3866" s="13">
        <v>197065651879</v>
      </c>
      <c r="T3866" s="12" t="s">
        <v>49</v>
      </c>
      <c r="U3866" s="13">
        <v>44.5</v>
      </c>
      <c r="V3866" s="12" t="s">
        <v>50</v>
      </c>
      <c r="W3866" s="12" t="s">
        <v>284</v>
      </c>
      <c r="X3866" s="14"/>
      <c r="Y3866" s="12" t="s">
        <v>53</v>
      </c>
      <c r="Z3866" s="12" t="s">
        <v>165</v>
      </c>
      <c r="AA3866" s="14"/>
      <c r="AB3866" s="14"/>
      <c r="AC3866" s="15">
        <v>45.5</v>
      </c>
      <c r="AD3866" s="15">
        <f>AC3866*AG3866</f>
        <v>45.5</v>
      </c>
      <c r="AE3866" s="15">
        <v>100</v>
      </c>
      <c r="AF3866" s="15">
        <f>AE3866*AG3866</f>
        <v>100</v>
      </c>
      <c r="AG3866" s="16">
        <v>1</v>
      </c>
    </row>
    <row r="3867" spans="1:33" ht="15" customHeight="1" x14ac:dyDescent="0.2">
      <c r="A3867" s="11" t="str">
        <f>HYPERLINK("https://assets.vans.eu/images/VN000CTNCH8-HERO/1","VN000CTNCH81")</f>
        <v>VN000CTNCH81</v>
      </c>
      <c r="B3867" s="12" t="s">
        <v>13833</v>
      </c>
      <c r="C3867" s="12" t="s">
        <v>1464</v>
      </c>
      <c r="D3867" s="12" t="s">
        <v>13834</v>
      </c>
      <c r="E3867" s="12" t="s">
        <v>13835</v>
      </c>
      <c r="F3867" s="13">
        <v>90</v>
      </c>
      <c r="G3867" s="14"/>
      <c r="H3867" s="12" t="s">
        <v>38</v>
      </c>
      <c r="I3867" s="12" t="s">
        <v>159</v>
      </c>
      <c r="J3867" s="12" t="s">
        <v>255</v>
      </c>
      <c r="K3867" s="12" t="s">
        <v>82</v>
      </c>
      <c r="L3867" s="14"/>
      <c r="M3867" s="12" t="s">
        <v>43</v>
      </c>
      <c r="N3867" s="12" t="s">
        <v>161</v>
      </c>
      <c r="O3867" s="12" t="s">
        <v>13836</v>
      </c>
      <c r="P3867" s="12" t="s">
        <v>46</v>
      </c>
      <c r="Q3867" s="12" t="s">
        <v>47</v>
      </c>
      <c r="R3867" s="12" t="s">
        <v>163</v>
      </c>
      <c r="S3867" s="13">
        <v>197065651961</v>
      </c>
      <c r="T3867" s="12" t="s">
        <v>49</v>
      </c>
      <c r="U3867" s="13">
        <v>42</v>
      </c>
      <c r="V3867" s="12" t="s">
        <v>50</v>
      </c>
      <c r="W3867" s="12" t="s">
        <v>580</v>
      </c>
      <c r="X3867" s="14"/>
      <c r="Y3867" s="12" t="s">
        <v>53</v>
      </c>
      <c r="Z3867" s="12" t="s">
        <v>165</v>
      </c>
      <c r="AA3867" s="14"/>
      <c r="AB3867" s="14"/>
      <c r="AC3867" s="15">
        <v>45.5</v>
      </c>
      <c r="AD3867" s="15">
        <f>AC3867*AG3867</f>
        <v>45.5</v>
      </c>
      <c r="AE3867" s="15">
        <v>100</v>
      </c>
      <c r="AF3867" s="15">
        <f>AE3867*AG3867</f>
        <v>100</v>
      </c>
      <c r="AG3867" s="16">
        <v>1</v>
      </c>
    </row>
    <row r="3868" spans="1:33" ht="15" customHeight="1" x14ac:dyDescent="0.2">
      <c r="A3868" s="11" t="str">
        <f t="shared" ref="A3868:A3873" si="1284">HYPERLINK("https://assets.vans.eu/images/VN000CUYY30-HERO/1","VN000CUYY301")</f>
        <v>VN000CUYY301</v>
      </c>
      <c r="B3868" s="12" t="s">
        <v>13837</v>
      </c>
      <c r="C3868" s="12" t="s">
        <v>13838</v>
      </c>
      <c r="D3868" s="12" t="s">
        <v>13839</v>
      </c>
      <c r="E3868" s="12" t="s">
        <v>13840</v>
      </c>
      <c r="F3868" s="13">
        <v>75</v>
      </c>
      <c r="G3868" s="12" t="s">
        <v>13841</v>
      </c>
      <c r="H3868" s="12" t="s">
        <v>38</v>
      </c>
      <c r="I3868" s="12" t="s">
        <v>159</v>
      </c>
      <c r="J3868" s="12" t="s">
        <v>341</v>
      </c>
      <c r="K3868" s="12" t="s">
        <v>199</v>
      </c>
      <c r="L3868" s="14"/>
      <c r="M3868" s="12" t="s">
        <v>43</v>
      </c>
      <c r="N3868" s="12" t="s">
        <v>161</v>
      </c>
      <c r="O3868" s="12" t="s">
        <v>13842</v>
      </c>
      <c r="P3868" s="12" t="s">
        <v>46</v>
      </c>
      <c r="Q3868" s="12" t="s">
        <v>47</v>
      </c>
      <c r="R3868" s="12" t="s">
        <v>163</v>
      </c>
      <c r="S3868" s="13">
        <v>197642264058</v>
      </c>
      <c r="T3868" s="12" t="s">
        <v>49</v>
      </c>
      <c r="U3868" s="13">
        <v>40</v>
      </c>
      <c r="V3868" s="12" t="s">
        <v>50</v>
      </c>
      <c r="W3868" s="12" t="s">
        <v>51</v>
      </c>
      <c r="X3868" s="12" t="s">
        <v>13843</v>
      </c>
      <c r="Y3868" s="12" t="s">
        <v>1011</v>
      </c>
      <c r="Z3868" s="12" t="s">
        <v>13844</v>
      </c>
      <c r="AA3868" s="14"/>
      <c r="AB3868" s="14"/>
      <c r="AC3868" s="15">
        <v>45.5</v>
      </c>
      <c r="AD3868" s="15">
        <f>AC3868*AG3868</f>
        <v>45.5</v>
      </c>
      <c r="AE3868" s="15">
        <v>100</v>
      </c>
      <c r="AF3868" s="15">
        <f>AE3868*AG3868</f>
        <v>100</v>
      </c>
      <c r="AG3868" s="16">
        <v>1</v>
      </c>
    </row>
    <row r="3869" spans="1:33" ht="15" customHeight="1" x14ac:dyDescent="0.2">
      <c r="A3869" s="11" t="str">
        <f t="shared" si="1284"/>
        <v>VN000CUYY301</v>
      </c>
      <c r="B3869" s="12" t="s">
        <v>13845</v>
      </c>
      <c r="C3869" s="12" t="s">
        <v>13838</v>
      </c>
      <c r="D3869" s="12" t="s">
        <v>13839</v>
      </c>
      <c r="E3869" s="12" t="s">
        <v>13846</v>
      </c>
      <c r="F3869" s="13">
        <v>80</v>
      </c>
      <c r="G3869" s="12" t="s">
        <v>13841</v>
      </c>
      <c r="H3869" s="12" t="s">
        <v>38</v>
      </c>
      <c r="I3869" s="12" t="s">
        <v>159</v>
      </c>
      <c r="J3869" s="12" t="s">
        <v>341</v>
      </c>
      <c r="K3869" s="12" t="s">
        <v>199</v>
      </c>
      <c r="L3869" s="14"/>
      <c r="M3869" s="12" t="s">
        <v>43</v>
      </c>
      <c r="N3869" s="12" t="s">
        <v>161</v>
      </c>
      <c r="O3869" s="12" t="s">
        <v>13847</v>
      </c>
      <c r="P3869" s="12" t="s">
        <v>46</v>
      </c>
      <c r="Q3869" s="12" t="s">
        <v>47</v>
      </c>
      <c r="R3869" s="12" t="s">
        <v>163</v>
      </c>
      <c r="S3869" s="13">
        <v>197642264256</v>
      </c>
      <c r="T3869" s="12" t="s">
        <v>49</v>
      </c>
      <c r="U3869" s="13">
        <v>40.5</v>
      </c>
      <c r="V3869" s="12" t="s">
        <v>50</v>
      </c>
      <c r="W3869" s="12" t="s">
        <v>51</v>
      </c>
      <c r="X3869" s="12" t="s">
        <v>13843</v>
      </c>
      <c r="Y3869" s="12" t="s">
        <v>1011</v>
      </c>
      <c r="Z3869" s="12" t="s">
        <v>13844</v>
      </c>
      <c r="AA3869" s="14"/>
      <c r="AB3869" s="14"/>
      <c r="AC3869" s="15">
        <v>45.5</v>
      </c>
      <c r="AD3869" s="15">
        <f>AC3869*AG3869</f>
        <v>45.5</v>
      </c>
      <c r="AE3869" s="15">
        <v>100</v>
      </c>
      <c r="AF3869" s="15">
        <f>AE3869*AG3869</f>
        <v>100</v>
      </c>
      <c r="AG3869" s="16">
        <v>1</v>
      </c>
    </row>
    <row r="3870" spans="1:33" ht="15" customHeight="1" x14ac:dyDescent="0.2">
      <c r="A3870" s="11" t="str">
        <f t="shared" si="1284"/>
        <v>VN000CUYY301</v>
      </c>
      <c r="B3870" s="12" t="s">
        <v>13848</v>
      </c>
      <c r="C3870" s="12" t="s">
        <v>13838</v>
      </c>
      <c r="D3870" s="12" t="s">
        <v>13839</v>
      </c>
      <c r="E3870" s="12" t="s">
        <v>13849</v>
      </c>
      <c r="F3870" s="13">
        <v>95</v>
      </c>
      <c r="G3870" s="12" t="s">
        <v>13841</v>
      </c>
      <c r="H3870" s="12" t="s">
        <v>38</v>
      </c>
      <c r="I3870" s="12" t="s">
        <v>159</v>
      </c>
      <c r="J3870" s="12" t="s">
        <v>341</v>
      </c>
      <c r="K3870" s="12" t="s">
        <v>199</v>
      </c>
      <c r="L3870" s="14"/>
      <c r="M3870" s="12" t="s">
        <v>43</v>
      </c>
      <c r="N3870" s="12" t="s">
        <v>161</v>
      </c>
      <c r="O3870" s="12" t="s">
        <v>13850</v>
      </c>
      <c r="P3870" s="12" t="s">
        <v>46</v>
      </c>
      <c r="Q3870" s="12" t="s">
        <v>47</v>
      </c>
      <c r="R3870" s="12" t="s">
        <v>163</v>
      </c>
      <c r="S3870" s="13">
        <v>197642264805</v>
      </c>
      <c r="T3870" s="12" t="s">
        <v>49</v>
      </c>
      <c r="U3870" s="13">
        <v>42.5</v>
      </c>
      <c r="V3870" s="12" t="s">
        <v>50</v>
      </c>
      <c r="W3870" s="12" t="s">
        <v>51</v>
      </c>
      <c r="X3870" s="12" t="s">
        <v>13843</v>
      </c>
      <c r="Y3870" s="12" t="s">
        <v>1011</v>
      </c>
      <c r="Z3870" s="12" t="s">
        <v>13844</v>
      </c>
      <c r="AA3870" s="14"/>
      <c r="AB3870" s="14"/>
      <c r="AC3870" s="15">
        <v>45.5</v>
      </c>
      <c r="AD3870" s="15">
        <f>AC3870*AG3870</f>
        <v>45.5</v>
      </c>
      <c r="AE3870" s="15">
        <v>100</v>
      </c>
      <c r="AF3870" s="15">
        <f>AE3870*AG3870</f>
        <v>100</v>
      </c>
      <c r="AG3870" s="16">
        <v>1</v>
      </c>
    </row>
    <row r="3871" spans="1:33" ht="15" customHeight="1" x14ac:dyDescent="0.2">
      <c r="A3871" s="11" t="str">
        <f t="shared" si="1284"/>
        <v>VN000CUYY301</v>
      </c>
      <c r="B3871" s="12" t="s">
        <v>13851</v>
      </c>
      <c r="C3871" s="12" t="s">
        <v>13838</v>
      </c>
      <c r="D3871" s="12" t="s">
        <v>13839</v>
      </c>
      <c r="E3871" s="12" t="s">
        <v>13852</v>
      </c>
      <c r="F3871" s="13">
        <v>100</v>
      </c>
      <c r="G3871" s="12" t="s">
        <v>13841</v>
      </c>
      <c r="H3871" s="12" t="s">
        <v>38</v>
      </c>
      <c r="I3871" s="12" t="s">
        <v>159</v>
      </c>
      <c r="J3871" s="12" t="s">
        <v>341</v>
      </c>
      <c r="K3871" s="12" t="s">
        <v>199</v>
      </c>
      <c r="L3871" s="14"/>
      <c r="M3871" s="12" t="s">
        <v>43</v>
      </c>
      <c r="N3871" s="12" t="s">
        <v>161</v>
      </c>
      <c r="O3871" s="12" t="s">
        <v>13853</v>
      </c>
      <c r="P3871" s="12" t="s">
        <v>46</v>
      </c>
      <c r="Q3871" s="12" t="s">
        <v>47</v>
      </c>
      <c r="R3871" s="12" t="s">
        <v>163</v>
      </c>
      <c r="S3871" s="13">
        <v>197642264898</v>
      </c>
      <c r="T3871" s="12" t="s">
        <v>49</v>
      </c>
      <c r="U3871" s="13">
        <v>43</v>
      </c>
      <c r="V3871" s="12" t="s">
        <v>50</v>
      </c>
      <c r="W3871" s="12" t="s">
        <v>51</v>
      </c>
      <c r="X3871" s="12" t="s">
        <v>13843</v>
      </c>
      <c r="Y3871" s="12" t="s">
        <v>1011</v>
      </c>
      <c r="Z3871" s="12" t="s">
        <v>13844</v>
      </c>
      <c r="AA3871" s="14"/>
      <c r="AB3871" s="14"/>
      <c r="AC3871" s="15">
        <v>45.5</v>
      </c>
      <c r="AD3871" s="15">
        <f>AC3871*AG3871</f>
        <v>45.5</v>
      </c>
      <c r="AE3871" s="15">
        <v>100</v>
      </c>
      <c r="AF3871" s="15">
        <f>AE3871*AG3871</f>
        <v>100</v>
      </c>
      <c r="AG3871" s="16">
        <v>1</v>
      </c>
    </row>
    <row r="3872" spans="1:33" ht="15" customHeight="1" x14ac:dyDescent="0.2">
      <c r="A3872" s="11" t="str">
        <f t="shared" si="1284"/>
        <v>VN000CUYY301</v>
      </c>
      <c r="B3872" s="12" t="s">
        <v>13854</v>
      </c>
      <c r="C3872" s="12" t="s">
        <v>13838</v>
      </c>
      <c r="D3872" s="12" t="s">
        <v>13839</v>
      </c>
      <c r="E3872" s="12" t="s">
        <v>13855</v>
      </c>
      <c r="F3872" s="13">
        <v>105</v>
      </c>
      <c r="G3872" s="12" t="s">
        <v>13841</v>
      </c>
      <c r="H3872" s="12" t="s">
        <v>38</v>
      </c>
      <c r="I3872" s="12" t="s">
        <v>159</v>
      </c>
      <c r="J3872" s="12" t="s">
        <v>341</v>
      </c>
      <c r="K3872" s="12" t="s">
        <v>199</v>
      </c>
      <c r="L3872" s="14"/>
      <c r="M3872" s="12" t="s">
        <v>43</v>
      </c>
      <c r="N3872" s="12" t="s">
        <v>161</v>
      </c>
      <c r="O3872" s="12" t="s">
        <v>13856</v>
      </c>
      <c r="P3872" s="12" t="s">
        <v>46</v>
      </c>
      <c r="Q3872" s="12" t="s">
        <v>47</v>
      </c>
      <c r="R3872" s="12" t="s">
        <v>163</v>
      </c>
      <c r="S3872" s="13">
        <v>197642264973</v>
      </c>
      <c r="T3872" s="12" t="s">
        <v>49</v>
      </c>
      <c r="U3872" s="13">
        <v>44</v>
      </c>
      <c r="V3872" s="12" t="s">
        <v>50</v>
      </c>
      <c r="W3872" s="12" t="s">
        <v>51</v>
      </c>
      <c r="X3872" s="12" t="s">
        <v>13843</v>
      </c>
      <c r="Y3872" s="12" t="s">
        <v>1011</v>
      </c>
      <c r="Z3872" s="12" t="s">
        <v>13844</v>
      </c>
      <c r="AA3872" s="14"/>
      <c r="AB3872" s="14"/>
      <c r="AC3872" s="15">
        <v>45.5</v>
      </c>
      <c r="AD3872" s="15">
        <f>AC3872*AG3872</f>
        <v>45.5</v>
      </c>
      <c r="AE3872" s="15">
        <v>100</v>
      </c>
      <c r="AF3872" s="15">
        <f>AE3872*AG3872</f>
        <v>100</v>
      </c>
      <c r="AG3872" s="16">
        <v>1</v>
      </c>
    </row>
    <row r="3873" spans="1:33" ht="15" customHeight="1" x14ac:dyDescent="0.2">
      <c r="A3873" s="11" t="str">
        <f t="shared" si="1284"/>
        <v>VN000CUYY301</v>
      </c>
      <c r="B3873" s="12" t="s">
        <v>13857</v>
      </c>
      <c r="C3873" s="12" t="s">
        <v>13838</v>
      </c>
      <c r="D3873" s="12" t="s">
        <v>13839</v>
      </c>
      <c r="E3873" s="12" t="s">
        <v>13858</v>
      </c>
      <c r="F3873" s="13">
        <v>110</v>
      </c>
      <c r="G3873" s="12" t="s">
        <v>13841</v>
      </c>
      <c r="H3873" s="12" t="s">
        <v>38</v>
      </c>
      <c r="I3873" s="12" t="s">
        <v>159</v>
      </c>
      <c r="J3873" s="12" t="s">
        <v>341</v>
      </c>
      <c r="K3873" s="12" t="s">
        <v>199</v>
      </c>
      <c r="L3873" s="14"/>
      <c r="M3873" s="12" t="s">
        <v>43</v>
      </c>
      <c r="N3873" s="12" t="s">
        <v>161</v>
      </c>
      <c r="O3873" s="12" t="s">
        <v>13859</v>
      </c>
      <c r="P3873" s="12" t="s">
        <v>46</v>
      </c>
      <c r="Q3873" s="12" t="s">
        <v>47</v>
      </c>
      <c r="R3873" s="12" t="s">
        <v>163</v>
      </c>
      <c r="S3873" s="13">
        <v>197642265161</v>
      </c>
      <c r="T3873" s="12" t="s">
        <v>49</v>
      </c>
      <c r="U3873" s="13">
        <v>44.5</v>
      </c>
      <c r="V3873" s="12" t="s">
        <v>50</v>
      </c>
      <c r="W3873" s="12" t="s">
        <v>51</v>
      </c>
      <c r="X3873" s="12" t="s">
        <v>13843</v>
      </c>
      <c r="Y3873" s="12" t="s">
        <v>1011</v>
      </c>
      <c r="Z3873" s="12" t="s">
        <v>13844</v>
      </c>
      <c r="AA3873" s="14"/>
      <c r="AB3873" s="14"/>
      <c r="AC3873" s="15">
        <v>45.5</v>
      </c>
      <c r="AD3873" s="15">
        <f>AC3873*AG3873</f>
        <v>45.5</v>
      </c>
      <c r="AE3873" s="15">
        <v>100</v>
      </c>
      <c r="AF3873" s="15">
        <f>AE3873*AG3873</f>
        <v>100</v>
      </c>
      <c r="AG3873" s="16">
        <v>1</v>
      </c>
    </row>
    <row r="3874" spans="1:33" ht="15" customHeight="1" x14ac:dyDescent="0.2">
      <c r="A3874" s="11" t="str">
        <f t="shared" ref="A3874:A3877" si="1285">HYPERLINK("https://assets.vans.eu/images/VN000CVNBH4-HERO/1","VN000CVNBH41")</f>
        <v>VN000CVNBH41</v>
      </c>
      <c r="B3874" s="12" t="s">
        <v>13860</v>
      </c>
      <c r="C3874" s="12" t="s">
        <v>13861</v>
      </c>
      <c r="D3874" s="12" t="s">
        <v>13862</v>
      </c>
      <c r="E3874" s="12" t="s">
        <v>13863</v>
      </c>
      <c r="F3874" s="13">
        <v>55</v>
      </c>
      <c r="G3874" s="14"/>
      <c r="H3874" s="12" t="s">
        <v>38</v>
      </c>
      <c r="I3874" s="12" t="s">
        <v>159</v>
      </c>
      <c r="J3874" s="12" t="s">
        <v>160</v>
      </c>
      <c r="K3874" s="12" t="s">
        <v>82</v>
      </c>
      <c r="L3874" s="14"/>
      <c r="M3874" s="12" t="s">
        <v>43</v>
      </c>
      <c r="N3874" s="12" t="s">
        <v>161</v>
      </c>
      <c r="O3874" s="12" t="s">
        <v>13864</v>
      </c>
      <c r="P3874" s="12" t="s">
        <v>46</v>
      </c>
      <c r="Q3874" s="12" t="s">
        <v>47</v>
      </c>
      <c r="R3874" s="12" t="s">
        <v>163</v>
      </c>
      <c r="S3874" s="13">
        <v>197065558864</v>
      </c>
      <c r="T3874" s="12" t="s">
        <v>49</v>
      </c>
      <c r="U3874" s="13">
        <v>37</v>
      </c>
      <c r="V3874" s="12" t="s">
        <v>50</v>
      </c>
      <c r="W3874" s="12" t="s">
        <v>51</v>
      </c>
      <c r="X3874" s="14"/>
      <c r="Y3874" s="12" t="s">
        <v>91</v>
      </c>
      <c r="Z3874" s="12" t="s">
        <v>165</v>
      </c>
      <c r="AA3874" s="14"/>
      <c r="AB3874" s="14"/>
      <c r="AC3874" s="15">
        <v>61.4</v>
      </c>
      <c r="AD3874" s="15">
        <f>AC3874*AG3874</f>
        <v>61.4</v>
      </c>
      <c r="AE3874" s="15">
        <v>135</v>
      </c>
      <c r="AF3874" s="15">
        <f>AE3874*AG3874</f>
        <v>135</v>
      </c>
      <c r="AG3874" s="16">
        <v>1</v>
      </c>
    </row>
    <row r="3875" spans="1:33" ht="15" customHeight="1" x14ac:dyDescent="0.2">
      <c r="A3875" s="11" t="str">
        <f t="shared" si="1285"/>
        <v>VN000CVNBH41</v>
      </c>
      <c r="B3875" s="12" t="s">
        <v>13865</v>
      </c>
      <c r="C3875" s="12" t="s">
        <v>13861</v>
      </c>
      <c r="D3875" s="12" t="s">
        <v>13862</v>
      </c>
      <c r="E3875" s="12" t="s">
        <v>13866</v>
      </c>
      <c r="F3875" s="13">
        <v>60</v>
      </c>
      <c r="G3875" s="14"/>
      <c r="H3875" s="12" t="s">
        <v>38</v>
      </c>
      <c r="I3875" s="12" t="s">
        <v>159</v>
      </c>
      <c r="J3875" s="12" t="s">
        <v>160</v>
      </c>
      <c r="K3875" s="12" t="s">
        <v>82</v>
      </c>
      <c r="L3875" s="14"/>
      <c r="M3875" s="12" t="s">
        <v>43</v>
      </c>
      <c r="N3875" s="12" t="s">
        <v>161</v>
      </c>
      <c r="O3875" s="12" t="s">
        <v>13867</v>
      </c>
      <c r="P3875" s="12" t="s">
        <v>46</v>
      </c>
      <c r="Q3875" s="12" t="s">
        <v>47</v>
      </c>
      <c r="R3875" s="12" t="s">
        <v>163</v>
      </c>
      <c r="S3875" s="13">
        <v>197065558918</v>
      </c>
      <c r="T3875" s="12" t="s">
        <v>49</v>
      </c>
      <c r="U3875" s="13">
        <v>38</v>
      </c>
      <c r="V3875" s="12" t="s">
        <v>50</v>
      </c>
      <c r="W3875" s="12" t="s">
        <v>51</v>
      </c>
      <c r="X3875" s="14"/>
      <c r="Y3875" s="12" t="s">
        <v>91</v>
      </c>
      <c r="Z3875" s="12" t="s">
        <v>165</v>
      </c>
      <c r="AA3875" s="14"/>
      <c r="AB3875" s="14"/>
      <c r="AC3875" s="15">
        <v>61.4</v>
      </c>
      <c r="AD3875" s="15">
        <f>AC3875*AG3875</f>
        <v>61.4</v>
      </c>
      <c r="AE3875" s="15">
        <v>135</v>
      </c>
      <c r="AF3875" s="15">
        <f>AE3875*AG3875</f>
        <v>135</v>
      </c>
      <c r="AG3875" s="16">
        <v>1</v>
      </c>
    </row>
    <row r="3876" spans="1:33" ht="15" customHeight="1" x14ac:dyDescent="0.2">
      <c r="A3876" s="11" t="str">
        <f t="shared" si="1285"/>
        <v>VN000CVNBH41</v>
      </c>
      <c r="B3876" s="12" t="s">
        <v>13868</v>
      </c>
      <c r="C3876" s="12" t="s">
        <v>13861</v>
      </c>
      <c r="D3876" s="12" t="s">
        <v>13862</v>
      </c>
      <c r="E3876" s="12" t="s">
        <v>13869</v>
      </c>
      <c r="F3876" s="13">
        <v>65</v>
      </c>
      <c r="G3876" s="14"/>
      <c r="H3876" s="12" t="s">
        <v>38</v>
      </c>
      <c r="I3876" s="12" t="s">
        <v>159</v>
      </c>
      <c r="J3876" s="12" t="s">
        <v>160</v>
      </c>
      <c r="K3876" s="12" t="s">
        <v>82</v>
      </c>
      <c r="L3876" s="14"/>
      <c r="M3876" s="12" t="s">
        <v>43</v>
      </c>
      <c r="N3876" s="12" t="s">
        <v>161</v>
      </c>
      <c r="O3876" s="12" t="s">
        <v>13870</v>
      </c>
      <c r="P3876" s="12" t="s">
        <v>46</v>
      </c>
      <c r="Q3876" s="12" t="s">
        <v>47</v>
      </c>
      <c r="R3876" s="12" t="s">
        <v>163</v>
      </c>
      <c r="S3876" s="13">
        <v>197065558987</v>
      </c>
      <c r="T3876" s="12" t="s">
        <v>49</v>
      </c>
      <c r="U3876" s="13">
        <v>38.5</v>
      </c>
      <c r="V3876" s="12" t="s">
        <v>50</v>
      </c>
      <c r="W3876" s="12" t="s">
        <v>51</v>
      </c>
      <c r="X3876" s="14"/>
      <c r="Y3876" s="12" t="s">
        <v>91</v>
      </c>
      <c r="Z3876" s="12" t="s">
        <v>165</v>
      </c>
      <c r="AA3876" s="14"/>
      <c r="AB3876" s="14"/>
      <c r="AC3876" s="15">
        <v>61.4</v>
      </c>
      <c r="AD3876" s="15">
        <f>AC3876*AG3876</f>
        <v>61.4</v>
      </c>
      <c r="AE3876" s="15">
        <v>135</v>
      </c>
      <c r="AF3876" s="15">
        <f>AE3876*AG3876</f>
        <v>135</v>
      </c>
      <c r="AG3876" s="16">
        <v>1</v>
      </c>
    </row>
    <row r="3877" spans="1:33" ht="15" customHeight="1" x14ac:dyDescent="0.2">
      <c r="A3877" s="11" t="str">
        <f t="shared" si="1285"/>
        <v>VN000CVNBH41</v>
      </c>
      <c r="B3877" s="12" t="s">
        <v>13871</v>
      </c>
      <c r="C3877" s="12" t="s">
        <v>13861</v>
      </c>
      <c r="D3877" s="12" t="s">
        <v>13862</v>
      </c>
      <c r="E3877" s="12" t="s">
        <v>13872</v>
      </c>
      <c r="F3877" s="13">
        <v>90</v>
      </c>
      <c r="G3877" s="14"/>
      <c r="H3877" s="12" t="s">
        <v>38</v>
      </c>
      <c r="I3877" s="12" t="s">
        <v>159</v>
      </c>
      <c r="J3877" s="12" t="s">
        <v>160</v>
      </c>
      <c r="K3877" s="12" t="s">
        <v>82</v>
      </c>
      <c r="L3877" s="14"/>
      <c r="M3877" s="12" t="s">
        <v>43</v>
      </c>
      <c r="N3877" s="12" t="s">
        <v>161</v>
      </c>
      <c r="O3877" s="12" t="s">
        <v>13873</v>
      </c>
      <c r="P3877" s="12" t="s">
        <v>46</v>
      </c>
      <c r="Q3877" s="12" t="s">
        <v>47</v>
      </c>
      <c r="R3877" s="12" t="s">
        <v>163</v>
      </c>
      <c r="S3877" s="13">
        <v>197065559694</v>
      </c>
      <c r="T3877" s="12" t="s">
        <v>49</v>
      </c>
      <c r="U3877" s="13">
        <v>42</v>
      </c>
      <c r="V3877" s="12" t="s">
        <v>50</v>
      </c>
      <c r="W3877" s="12" t="s">
        <v>51</v>
      </c>
      <c r="X3877" s="14"/>
      <c r="Y3877" s="12" t="s">
        <v>91</v>
      </c>
      <c r="Z3877" s="12" t="s">
        <v>165</v>
      </c>
      <c r="AA3877" s="14"/>
      <c r="AB3877" s="14"/>
      <c r="AC3877" s="15">
        <v>61.4</v>
      </c>
      <c r="AD3877" s="15">
        <f>AC3877*AG3877</f>
        <v>61.4</v>
      </c>
      <c r="AE3877" s="15">
        <v>135</v>
      </c>
      <c r="AF3877" s="15">
        <f>AE3877*AG3877</f>
        <v>135</v>
      </c>
      <c r="AG3877" s="16">
        <v>1</v>
      </c>
    </row>
    <row r="3878" spans="1:33" ht="15" customHeight="1" x14ac:dyDescent="0.2">
      <c r="A3878" s="11" t="str">
        <f t="shared" ref="A3878:A3880" si="1286">HYPERLINK("https://assets.vans.eu/images/VN000CVNBKA-HERO/1","VN000CVNBKA1")</f>
        <v>VN000CVNBKA1</v>
      </c>
      <c r="B3878" s="12" t="s">
        <v>13874</v>
      </c>
      <c r="C3878" s="12" t="s">
        <v>13861</v>
      </c>
      <c r="D3878" s="12" t="s">
        <v>252</v>
      </c>
      <c r="E3878" s="12" t="s">
        <v>13875</v>
      </c>
      <c r="F3878" s="13">
        <v>35</v>
      </c>
      <c r="G3878" s="14"/>
      <c r="H3878" s="12" t="s">
        <v>38</v>
      </c>
      <c r="I3878" s="12" t="s">
        <v>159</v>
      </c>
      <c r="J3878" s="12" t="s">
        <v>160</v>
      </c>
      <c r="K3878" s="12" t="s">
        <v>82</v>
      </c>
      <c r="L3878" s="14"/>
      <c r="M3878" s="12" t="s">
        <v>43</v>
      </c>
      <c r="N3878" s="12" t="s">
        <v>161</v>
      </c>
      <c r="O3878" s="12" t="s">
        <v>13876</v>
      </c>
      <c r="P3878" s="12" t="s">
        <v>46</v>
      </c>
      <c r="Q3878" s="12" t="s">
        <v>47</v>
      </c>
      <c r="R3878" s="12" t="s">
        <v>163</v>
      </c>
      <c r="S3878" s="13">
        <v>197065558376</v>
      </c>
      <c r="T3878" s="12" t="s">
        <v>49</v>
      </c>
      <c r="U3878" s="13">
        <v>34.5</v>
      </c>
      <c r="V3878" s="12" t="s">
        <v>50</v>
      </c>
      <c r="W3878" s="12" t="s">
        <v>51</v>
      </c>
      <c r="X3878" s="14"/>
      <c r="Y3878" s="12" t="s">
        <v>91</v>
      </c>
      <c r="Z3878" s="12" t="s">
        <v>165</v>
      </c>
      <c r="AA3878" s="14"/>
      <c r="AB3878" s="14"/>
      <c r="AC3878" s="15">
        <v>61.4</v>
      </c>
      <c r="AD3878" s="15">
        <f>AC3878*AG3878</f>
        <v>61.4</v>
      </c>
      <c r="AE3878" s="15">
        <v>135</v>
      </c>
      <c r="AF3878" s="15">
        <f>AE3878*AG3878</f>
        <v>135</v>
      </c>
      <c r="AG3878" s="16">
        <v>1</v>
      </c>
    </row>
    <row r="3879" spans="1:33" ht="15" customHeight="1" x14ac:dyDescent="0.2">
      <c r="A3879" s="11" t="str">
        <f t="shared" si="1286"/>
        <v>VN000CVNBKA1</v>
      </c>
      <c r="B3879" s="12" t="s">
        <v>13877</v>
      </c>
      <c r="C3879" s="12" t="s">
        <v>13861</v>
      </c>
      <c r="D3879" s="12" t="s">
        <v>252</v>
      </c>
      <c r="E3879" s="12" t="s">
        <v>13878</v>
      </c>
      <c r="F3879" s="13">
        <v>40</v>
      </c>
      <c r="G3879" s="14"/>
      <c r="H3879" s="12" t="s">
        <v>38</v>
      </c>
      <c r="I3879" s="12" t="s">
        <v>159</v>
      </c>
      <c r="J3879" s="12" t="s">
        <v>160</v>
      </c>
      <c r="K3879" s="12" t="s">
        <v>82</v>
      </c>
      <c r="L3879" s="14"/>
      <c r="M3879" s="12" t="s">
        <v>43</v>
      </c>
      <c r="N3879" s="12" t="s">
        <v>161</v>
      </c>
      <c r="O3879" s="12" t="s">
        <v>13879</v>
      </c>
      <c r="P3879" s="12" t="s">
        <v>46</v>
      </c>
      <c r="Q3879" s="12" t="s">
        <v>47</v>
      </c>
      <c r="R3879" s="12" t="s">
        <v>163</v>
      </c>
      <c r="S3879" s="13">
        <v>197065558529</v>
      </c>
      <c r="T3879" s="12" t="s">
        <v>49</v>
      </c>
      <c r="U3879" s="13">
        <v>35</v>
      </c>
      <c r="V3879" s="12" t="s">
        <v>50</v>
      </c>
      <c r="W3879" s="12" t="s">
        <v>51</v>
      </c>
      <c r="X3879" s="14"/>
      <c r="Y3879" s="12" t="s">
        <v>91</v>
      </c>
      <c r="Z3879" s="12" t="s">
        <v>165</v>
      </c>
      <c r="AA3879" s="14"/>
      <c r="AB3879" s="14"/>
      <c r="AC3879" s="15">
        <v>61.4</v>
      </c>
      <c r="AD3879" s="15">
        <f>AC3879*AG3879</f>
        <v>61.4</v>
      </c>
      <c r="AE3879" s="15">
        <v>135</v>
      </c>
      <c r="AF3879" s="15">
        <f>AE3879*AG3879</f>
        <v>135</v>
      </c>
      <c r="AG3879" s="16">
        <v>1</v>
      </c>
    </row>
    <row r="3880" spans="1:33" ht="15" customHeight="1" x14ac:dyDescent="0.2">
      <c r="A3880" s="11" t="str">
        <f t="shared" si="1286"/>
        <v>VN000CVNBKA1</v>
      </c>
      <c r="B3880" s="12" t="s">
        <v>13880</v>
      </c>
      <c r="C3880" s="12" t="s">
        <v>13861</v>
      </c>
      <c r="D3880" s="12" t="s">
        <v>252</v>
      </c>
      <c r="E3880" s="12" t="s">
        <v>13881</v>
      </c>
      <c r="F3880" s="13">
        <v>75</v>
      </c>
      <c r="G3880" s="14"/>
      <c r="H3880" s="12" t="s">
        <v>38</v>
      </c>
      <c r="I3880" s="12" t="s">
        <v>159</v>
      </c>
      <c r="J3880" s="12" t="s">
        <v>160</v>
      </c>
      <c r="K3880" s="12" t="s">
        <v>82</v>
      </c>
      <c r="L3880" s="14"/>
      <c r="M3880" s="12" t="s">
        <v>43</v>
      </c>
      <c r="N3880" s="12" t="s">
        <v>161</v>
      </c>
      <c r="O3880" s="12" t="s">
        <v>13882</v>
      </c>
      <c r="P3880" s="12" t="s">
        <v>46</v>
      </c>
      <c r="Q3880" s="12" t="s">
        <v>47</v>
      </c>
      <c r="R3880" s="12" t="s">
        <v>163</v>
      </c>
      <c r="S3880" s="13">
        <v>197065559151</v>
      </c>
      <c r="T3880" s="12" t="s">
        <v>49</v>
      </c>
      <c r="U3880" s="13">
        <v>40</v>
      </c>
      <c r="V3880" s="12" t="s">
        <v>50</v>
      </c>
      <c r="W3880" s="12" t="s">
        <v>51</v>
      </c>
      <c r="X3880" s="14"/>
      <c r="Y3880" s="12" t="s">
        <v>91</v>
      </c>
      <c r="Z3880" s="12" t="s">
        <v>165</v>
      </c>
      <c r="AA3880" s="14"/>
      <c r="AB3880" s="14"/>
      <c r="AC3880" s="15">
        <v>61.4</v>
      </c>
      <c r="AD3880" s="15">
        <f>AC3880*AG3880</f>
        <v>61.4</v>
      </c>
      <c r="AE3880" s="15">
        <v>135</v>
      </c>
      <c r="AF3880" s="15">
        <f>AE3880*AG3880</f>
        <v>135</v>
      </c>
      <c r="AG3880" s="16">
        <v>1</v>
      </c>
    </row>
    <row r="3881" spans="1:33" ht="15" customHeight="1" x14ac:dyDescent="0.2">
      <c r="A3881" s="11" t="str">
        <f>HYPERLINK("https://assets.vans.eu/images/VN000CVRBLK-HERO/1","VN000CVRBLK1")</f>
        <v>VN000CVRBLK1</v>
      </c>
      <c r="B3881" s="12" t="s">
        <v>13883</v>
      </c>
      <c r="C3881" s="12" t="s">
        <v>9215</v>
      </c>
      <c r="D3881" s="12" t="s">
        <v>76</v>
      </c>
      <c r="E3881" s="12" t="s">
        <v>13884</v>
      </c>
      <c r="F3881" s="13">
        <v>85</v>
      </c>
      <c r="G3881" s="14"/>
      <c r="H3881" s="12" t="s">
        <v>38</v>
      </c>
      <c r="I3881" s="12" t="s">
        <v>159</v>
      </c>
      <c r="J3881" s="12" t="s">
        <v>160</v>
      </c>
      <c r="K3881" s="12" t="s">
        <v>82</v>
      </c>
      <c r="L3881" s="14"/>
      <c r="M3881" s="12" t="s">
        <v>43</v>
      </c>
      <c r="N3881" s="12" t="s">
        <v>161</v>
      </c>
      <c r="O3881" s="12" t="s">
        <v>13885</v>
      </c>
      <c r="P3881" s="12" t="s">
        <v>46</v>
      </c>
      <c r="Q3881" s="12" t="s">
        <v>47</v>
      </c>
      <c r="R3881" s="12" t="s">
        <v>1660</v>
      </c>
      <c r="S3881" s="13">
        <v>197065563790</v>
      </c>
      <c r="T3881" s="12" t="s">
        <v>49</v>
      </c>
      <c r="U3881" s="13">
        <v>41</v>
      </c>
      <c r="V3881" s="12" t="s">
        <v>50</v>
      </c>
      <c r="W3881" s="12" t="s">
        <v>51</v>
      </c>
      <c r="X3881" s="14"/>
      <c r="Y3881" s="12" t="s">
        <v>91</v>
      </c>
      <c r="Z3881" s="12" t="s">
        <v>165</v>
      </c>
      <c r="AA3881" s="14"/>
      <c r="AB3881" s="14"/>
      <c r="AC3881" s="15">
        <v>72.75</v>
      </c>
      <c r="AD3881" s="15">
        <f>AC3881*AG3881</f>
        <v>72.75</v>
      </c>
      <c r="AE3881" s="15">
        <v>160</v>
      </c>
      <c r="AF3881" s="15">
        <f>AE3881*AG3881</f>
        <v>160</v>
      </c>
      <c r="AG3881" s="16">
        <v>1</v>
      </c>
    </row>
    <row r="3882" spans="1:33" ht="15" customHeight="1" x14ac:dyDescent="0.2">
      <c r="A3882" s="11" t="str">
        <f>HYPERLINK("https://assets.vans.eu/images/VN000CVRC5F-HERO/1","VN000CVRC5F1")</f>
        <v>VN000CVRC5F1</v>
      </c>
      <c r="B3882" s="12" t="s">
        <v>13886</v>
      </c>
      <c r="C3882" s="12" t="s">
        <v>9215</v>
      </c>
      <c r="D3882" s="12" t="s">
        <v>13887</v>
      </c>
      <c r="E3882" s="12" t="s">
        <v>13888</v>
      </c>
      <c r="F3882" s="13">
        <v>105</v>
      </c>
      <c r="G3882" s="14"/>
      <c r="H3882" s="12" t="s">
        <v>38</v>
      </c>
      <c r="I3882" s="12" t="s">
        <v>159</v>
      </c>
      <c r="J3882" s="12" t="s">
        <v>160</v>
      </c>
      <c r="K3882" s="12" t="s">
        <v>82</v>
      </c>
      <c r="L3882" s="14"/>
      <c r="M3882" s="12" t="s">
        <v>43</v>
      </c>
      <c r="N3882" s="12" t="s">
        <v>161</v>
      </c>
      <c r="O3882" s="12" t="s">
        <v>13889</v>
      </c>
      <c r="P3882" s="12" t="s">
        <v>46</v>
      </c>
      <c r="Q3882" s="12" t="s">
        <v>47</v>
      </c>
      <c r="R3882" s="12" t="s">
        <v>1660</v>
      </c>
      <c r="S3882" s="13">
        <v>197065564247</v>
      </c>
      <c r="T3882" s="12" t="s">
        <v>49</v>
      </c>
      <c r="U3882" s="13">
        <v>44</v>
      </c>
      <c r="V3882" s="12" t="s">
        <v>50</v>
      </c>
      <c r="W3882" s="12" t="s">
        <v>186</v>
      </c>
      <c r="X3882" s="14"/>
      <c r="Y3882" s="12" t="s">
        <v>91</v>
      </c>
      <c r="Z3882" s="12" t="s">
        <v>165</v>
      </c>
      <c r="AA3882" s="14"/>
      <c r="AB3882" s="14"/>
      <c r="AC3882" s="15">
        <v>72.75</v>
      </c>
      <c r="AD3882" s="15">
        <f>AC3882*AG3882</f>
        <v>72.75</v>
      </c>
      <c r="AE3882" s="15">
        <v>160</v>
      </c>
      <c r="AF3882" s="15">
        <f>AE3882*AG3882</f>
        <v>160</v>
      </c>
      <c r="AG3882" s="16">
        <v>1</v>
      </c>
    </row>
    <row r="3883" spans="1:33" ht="15" customHeight="1" x14ac:dyDescent="0.2">
      <c r="A3883" s="11" t="str">
        <f t="shared" si="1001"/>
        <v>VN000CVRN1Z1</v>
      </c>
      <c r="B3883" s="12" t="s">
        <v>13890</v>
      </c>
      <c r="C3883" s="12" t="s">
        <v>9215</v>
      </c>
      <c r="D3883" s="12" t="s">
        <v>1656</v>
      </c>
      <c r="E3883" s="12" t="s">
        <v>13891</v>
      </c>
      <c r="F3883" s="13">
        <v>55</v>
      </c>
      <c r="G3883" s="14"/>
      <c r="H3883" s="12" t="s">
        <v>38</v>
      </c>
      <c r="I3883" s="12" t="s">
        <v>159</v>
      </c>
      <c r="J3883" s="12" t="s">
        <v>160</v>
      </c>
      <c r="K3883" s="12" t="s">
        <v>82</v>
      </c>
      <c r="L3883" s="14"/>
      <c r="M3883" s="12" t="s">
        <v>43</v>
      </c>
      <c r="N3883" s="12" t="s">
        <v>161</v>
      </c>
      <c r="O3883" s="12" t="s">
        <v>13892</v>
      </c>
      <c r="P3883" s="12" t="s">
        <v>46</v>
      </c>
      <c r="Q3883" s="12" t="s">
        <v>47</v>
      </c>
      <c r="R3883" s="12" t="s">
        <v>1660</v>
      </c>
      <c r="S3883" s="13">
        <v>197065563431</v>
      </c>
      <c r="T3883" s="12" t="s">
        <v>49</v>
      </c>
      <c r="U3883" s="13">
        <v>37</v>
      </c>
      <c r="V3883" s="12" t="s">
        <v>50</v>
      </c>
      <c r="W3883" s="12" t="s">
        <v>186</v>
      </c>
      <c r="X3883" s="14"/>
      <c r="Y3883" s="12" t="s">
        <v>91</v>
      </c>
      <c r="Z3883" s="12" t="s">
        <v>165</v>
      </c>
      <c r="AA3883" s="14"/>
      <c r="AB3883" s="14"/>
      <c r="AC3883" s="15">
        <v>72.75</v>
      </c>
      <c r="AD3883" s="15">
        <f>AC3883*AG3883</f>
        <v>72.75</v>
      </c>
      <c r="AE3883" s="15">
        <v>160</v>
      </c>
      <c r="AF3883" s="15">
        <f>AE3883*AG3883</f>
        <v>160</v>
      </c>
      <c r="AG3883" s="16">
        <v>1</v>
      </c>
    </row>
    <row r="3884" spans="1:33" ht="15" customHeight="1" x14ac:dyDescent="0.2">
      <c r="A3884" s="11" t="str">
        <f t="shared" si="1002"/>
        <v>VN000CVS1OJ1</v>
      </c>
      <c r="B3884" s="12" t="s">
        <v>13893</v>
      </c>
      <c r="C3884" s="12" t="s">
        <v>7050</v>
      </c>
      <c r="D3884" s="12" t="s">
        <v>9223</v>
      </c>
      <c r="E3884" s="12" t="s">
        <v>13894</v>
      </c>
      <c r="F3884" s="13">
        <v>105</v>
      </c>
      <c r="G3884" s="14"/>
      <c r="H3884" s="12" t="s">
        <v>38</v>
      </c>
      <c r="I3884" s="12" t="s">
        <v>159</v>
      </c>
      <c r="J3884" s="12" t="s">
        <v>160</v>
      </c>
      <c r="K3884" s="12" t="s">
        <v>82</v>
      </c>
      <c r="L3884" s="14"/>
      <c r="M3884" s="12" t="s">
        <v>43</v>
      </c>
      <c r="N3884" s="12" t="s">
        <v>161</v>
      </c>
      <c r="O3884" s="12" t="s">
        <v>13895</v>
      </c>
      <c r="P3884" s="12" t="s">
        <v>46</v>
      </c>
      <c r="Q3884" s="12" t="s">
        <v>47</v>
      </c>
      <c r="R3884" s="12" t="s">
        <v>1660</v>
      </c>
      <c r="S3884" s="13">
        <v>197065565046</v>
      </c>
      <c r="T3884" s="12" t="s">
        <v>49</v>
      </c>
      <c r="U3884" s="13">
        <v>44</v>
      </c>
      <c r="V3884" s="12" t="s">
        <v>50</v>
      </c>
      <c r="W3884" s="12" t="s">
        <v>51</v>
      </c>
      <c r="X3884" s="14"/>
      <c r="Y3884" s="12" t="s">
        <v>91</v>
      </c>
      <c r="Z3884" s="12" t="s">
        <v>165</v>
      </c>
      <c r="AA3884" s="14"/>
      <c r="AB3884" s="14"/>
      <c r="AC3884" s="15">
        <v>84.1</v>
      </c>
      <c r="AD3884" s="15">
        <f>AC3884*AG3884</f>
        <v>84.1</v>
      </c>
      <c r="AE3884" s="15">
        <v>185</v>
      </c>
      <c r="AF3884" s="15">
        <f>AE3884*AG3884</f>
        <v>185</v>
      </c>
      <c r="AG3884" s="16">
        <v>1</v>
      </c>
    </row>
    <row r="3885" spans="1:33" ht="15" customHeight="1" x14ac:dyDescent="0.2">
      <c r="A3885" s="11" t="str">
        <f>HYPERLINK("https://assets.vans.eu/images/VN000CVS1OJ-HERO/1","VN000CVS1OJ1")</f>
        <v>VN000CVS1OJ1</v>
      </c>
      <c r="B3885" s="12" t="s">
        <v>13896</v>
      </c>
      <c r="C3885" s="12" t="s">
        <v>7050</v>
      </c>
      <c r="D3885" s="12" t="s">
        <v>9223</v>
      </c>
      <c r="E3885" s="12" t="s">
        <v>13897</v>
      </c>
      <c r="F3885" s="13">
        <v>115</v>
      </c>
      <c r="G3885" s="14"/>
      <c r="H3885" s="12" t="s">
        <v>38</v>
      </c>
      <c r="I3885" s="12" t="s">
        <v>159</v>
      </c>
      <c r="J3885" s="12" t="s">
        <v>160</v>
      </c>
      <c r="K3885" s="12" t="s">
        <v>82</v>
      </c>
      <c r="L3885" s="14"/>
      <c r="M3885" s="12" t="s">
        <v>43</v>
      </c>
      <c r="N3885" s="12" t="s">
        <v>161</v>
      </c>
      <c r="O3885" s="12" t="s">
        <v>13898</v>
      </c>
      <c r="P3885" s="12" t="s">
        <v>46</v>
      </c>
      <c r="Q3885" s="12" t="s">
        <v>47</v>
      </c>
      <c r="R3885" s="12" t="s">
        <v>1660</v>
      </c>
      <c r="S3885" s="13">
        <v>197065565176</v>
      </c>
      <c r="T3885" s="12" t="s">
        <v>49</v>
      </c>
      <c r="U3885" s="13">
        <v>45</v>
      </c>
      <c r="V3885" s="12" t="s">
        <v>50</v>
      </c>
      <c r="W3885" s="12" t="s">
        <v>51</v>
      </c>
      <c r="X3885" s="14"/>
      <c r="Y3885" s="12" t="s">
        <v>91</v>
      </c>
      <c r="Z3885" s="12" t="s">
        <v>165</v>
      </c>
      <c r="AA3885" s="14"/>
      <c r="AB3885" s="14"/>
      <c r="AC3885" s="15">
        <v>84.1</v>
      </c>
      <c r="AD3885" s="15">
        <f>AC3885*AG3885</f>
        <v>84.1</v>
      </c>
      <c r="AE3885" s="15">
        <v>185</v>
      </c>
      <c r="AF3885" s="15">
        <f>AE3885*AG3885</f>
        <v>185</v>
      </c>
      <c r="AG3885" s="16">
        <v>1</v>
      </c>
    </row>
    <row r="3886" spans="1:33" ht="15" customHeight="1" x14ac:dyDescent="0.2">
      <c r="A3886" s="11" t="str">
        <f>HYPERLINK("https://assets.vans.eu/images/VN000CVT0BU-HERO/1","VN000CVT0BU1")</f>
        <v>VN000CVT0BU1</v>
      </c>
      <c r="B3886" s="12" t="s">
        <v>13899</v>
      </c>
      <c r="C3886" s="12" t="s">
        <v>944</v>
      </c>
      <c r="D3886" s="12" t="s">
        <v>13900</v>
      </c>
      <c r="E3886" s="12" t="s">
        <v>13901</v>
      </c>
      <c r="F3886" s="13">
        <v>65</v>
      </c>
      <c r="G3886" s="14"/>
      <c r="H3886" s="12" t="s">
        <v>38</v>
      </c>
      <c r="I3886" s="12" t="s">
        <v>159</v>
      </c>
      <c r="J3886" s="12" t="s">
        <v>160</v>
      </c>
      <c r="K3886" s="12" t="s">
        <v>82</v>
      </c>
      <c r="L3886" s="12" t="s">
        <v>115</v>
      </c>
      <c r="M3886" s="12" t="s">
        <v>43</v>
      </c>
      <c r="N3886" s="12" t="s">
        <v>161</v>
      </c>
      <c r="O3886" s="12" t="s">
        <v>13902</v>
      </c>
      <c r="P3886" s="12" t="s">
        <v>46</v>
      </c>
      <c r="Q3886" s="12" t="s">
        <v>47</v>
      </c>
      <c r="R3886" s="12" t="s">
        <v>1660</v>
      </c>
      <c r="S3886" s="13">
        <v>197642693773</v>
      </c>
      <c r="T3886" s="12" t="s">
        <v>49</v>
      </c>
      <c r="U3886" s="13">
        <v>38.5</v>
      </c>
      <c r="V3886" s="12" t="s">
        <v>50</v>
      </c>
      <c r="W3886" s="12" t="s">
        <v>598</v>
      </c>
      <c r="X3886" s="14"/>
      <c r="Y3886" s="12" t="s">
        <v>91</v>
      </c>
      <c r="Z3886" s="12" t="s">
        <v>92</v>
      </c>
      <c r="AA3886" s="12" t="s">
        <v>3224</v>
      </c>
      <c r="AB3886" s="12" t="s">
        <v>94</v>
      </c>
      <c r="AC3886" s="15">
        <v>65.95</v>
      </c>
      <c r="AD3886" s="15">
        <f>AC3886*AG3886</f>
        <v>65.95</v>
      </c>
      <c r="AE3886" s="15">
        <v>145</v>
      </c>
      <c r="AF3886" s="15">
        <f>AE3886*AG3886</f>
        <v>145</v>
      </c>
      <c r="AG3886" s="16">
        <v>1</v>
      </c>
    </row>
    <row r="3887" spans="1:33" ht="15" customHeight="1" x14ac:dyDescent="0.2">
      <c r="A3887" s="11" t="str">
        <f t="shared" ref="A3887:A3889" si="1287">HYPERLINK("https://assets.vans.eu/images/VN000CVT239-HERO/1","VN000CVT2391")</f>
        <v>VN000CVT2391</v>
      </c>
      <c r="B3887" s="12" t="s">
        <v>13903</v>
      </c>
      <c r="C3887" s="12" t="s">
        <v>944</v>
      </c>
      <c r="D3887" s="12" t="s">
        <v>1609</v>
      </c>
      <c r="E3887" s="12" t="s">
        <v>13904</v>
      </c>
      <c r="F3887" s="13">
        <v>70</v>
      </c>
      <c r="G3887" s="14"/>
      <c r="H3887" s="12" t="s">
        <v>38</v>
      </c>
      <c r="I3887" s="12" t="s">
        <v>159</v>
      </c>
      <c r="J3887" s="12" t="s">
        <v>160</v>
      </c>
      <c r="K3887" s="12" t="s">
        <v>82</v>
      </c>
      <c r="L3887" s="14"/>
      <c r="M3887" s="12" t="s">
        <v>43</v>
      </c>
      <c r="N3887" s="12" t="s">
        <v>161</v>
      </c>
      <c r="O3887" s="12" t="s">
        <v>13905</v>
      </c>
      <c r="P3887" s="12" t="s">
        <v>46</v>
      </c>
      <c r="Q3887" s="12" t="s">
        <v>47</v>
      </c>
      <c r="R3887" s="12" t="s">
        <v>1660</v>
      </c>
      <c r="S3887" s="13">
        <v>197065565237</v>
      </c>
      <c r="T3887" s="12" t="s">
        <v>49</v>
      </c>
      <c r="U3887" s="13">
        <v>39</v>
      </c>
      <c r="V3887" s="12" t="s">
        <v>50</v>
      </c>
      <c r="W3887" s="12" t="s">
        <v>455</v>
      </c>
      <c r="X3887" s="14"/>
      <c r="Y3887" s="12" t="s">
        <v>91</v>
      </c>
      <c r="Z3887" s="12" t="s">
        <v>165</v>
      </c>
      <c r="AA3887" s="14"/>
      <c r="AB3887" s="14"/>
      <c r="AC3887" s="15">
        <v>65.95</v>
      </c>
      <c r="AD3887" s="15">
        <f>AC3887*AG3887</f>
        <v>65.95</v>
      </c>
      <c r="AE3887" s="15">
        <v>145</v>
      </c>
      <c r="AF3887" s="15">
        <f>AE3887*AG3887</f>
        <v>145</v>
      </c>
      <c r="AG3887" s="16">
        <v>1</v>
      </c>
    </row>
    <row r="3888" spans="1:33" ht="15" customHeight="1" x14ac:dyDescent="0.2">
      <c r="A3888" s="11" t="str">
        <f t="shared" si="1287"/>
        <v>VN000CVT2391</v>
      </c>
      <c r="B3888" s="12" t="s">
        <v>13906</v>
      </c>
      <c r="C3888" s="12" t="s">
        <v>944</v>
      </c>
      <c r="D3888" s="12" t="s">
        <v>1609</v>
      </c>
      <c r="E3888" s="12" t="s">
        <v>13907</v>
      </c>
      <c r="F3888" s="13">
        <v>75</v>
      </c>
      <c r="G3888" s="14"/>
      <c r="H3888" s="12" t="s">
        <v>38</v>
      </c>
      <c r="I3888" s="12" t="s">
        <v>159</v>
      </c>
      <c r="J3888" s="12" t="s">
        <v>160</v>
      </c>
      <c r="K3888" s="12" t="s">
        <v>82</v>
      </c>
      <c r="L3888" s="14"/>
      <c r="M3888" s="12" t="s">
        <v>43</v>
      </c>
      <c r="N3888" s="12" t="s">
        <v>161</v>
      </c>
      <c r="O3888" s="12" t="s">
        <v>13908</v>
      </c>
      <c r="P3888" s="12" t="s">
        <v>46</v>
      </c>
      <c r="Q3888" s="12" t="s">
        <v>47</v>
      </c>
      <c r="R3888" s="12" t="s">
        <v>1660</v>
      </c>
      <c r="S3888" s="13">
        <v>197065565282</v>
      </c>
      <c r="T3888" s="12" t="s">
        <v>49</v>
      </c>
      <c r="U3888" s="13">
        <v>40</v>
      </c>
      <c r="V3888" s="12" t="s">
        <v>50</v>
      </c>
      <c r="W3888" s="12" t="s">
        <v>455</v>
      </c>
      <c r="X3888" s="14"/>
      <c r="Y3888" s="12" t="s">
        <v>91</v>
      </c>
      <c r="Z3888" s="12" t="s">
        <v>165</v>
      </c>
      <c r="AA3888" s="14"/>
      <c r="AB3888" s="14"/>
      <c r="AC3888" s="15">
        <v>65.95</v>
      </c>
      <c r="AD3888" s="15">
        <f>AC3888*AG3888</f>
        <v>65.95</v>
      </c>
      <c r="AE3888" s="15">
        <v>145</v>
      </c>
      <c r="AF3888" s="15">
        <f>AE3888*AG3888</f>
        <v>145</v>
      </c>
      <c r="AG3888" s="16">
        <v>1</v>
      </c>
    </row>
    <row r="3889" spans="1:33" ht="15" customHeight="1" x14ac:dyDescent="0.2">
      <c r="A3889" s="11" t="str">
        <f t="shared" si="1287"/>
        <v>VN000CVT2391</v>
      </c>
      <c r="B3889" s="12" t="s">
        <v>13909</v>
      </c>
      <c r="C3889" s="12" t="s">
        <v>944</v>
      </c>
      <c r="D3889" s="12" t="s">
        <v>1609</v>
      </c>
      <c r="E3889" s="12" t="s">
        <v>13910</v>
      </c>
      <c r="F3889" s="13">
        <v>80</v>
      </c>
      <c r="G3889" s="14"/>
      <c r="H3889" s="12" t="s">
        <v>38</v>
      </c>
      <c r="I3889" s="12" t="s">
        <v>159</v>
      </c>
      <c r="J3889" s="12" t="s">
        <v>160</v>
      </c>
      <c r="K3889" s="12" t="s">
        <v>82</v>
      </c>
      <c r="L3889" s="14"/>
      <c r="M3889" s="12" t="s">
        <v>43</v>
      </c>
      <c r="N3889" s="12" t="s">
        <v>161</v>
      </c>
      <c r="O3889" s="12" t="s">
        <v>13911</v>
      </c>
      <c r="P3889" s="12" t="s">
        <v>46</v>
      </c>
      <c r="Q3889" s="12" t="s">
        <v>47</v>
      </c>
      <c r="R3889" s="12" t="s">
        <v>1660</v>
      </c>
      <c r="S3889" s="13">
        <v>197065565343</v>
      </c>
      <c r="T3889" s="12" t="s">
        <v>49</v>
      </c>
      <c r="U3889" s="13">
        <v>40.5</v>
      </c>
      <c r="V3889" s="12" t="s">
        <v>50</v>
      </c>
      <c r="W3889" s="12" t="s">
        <v>455</v>
      </c>
      <c r="X3889" s="14"/>
      <c r="Y3889" s="12" t="s">
        <v>91</v>
      </c>
      <c r="Z3889" s="12" t="s">
        <v>165</v>
      </c>
      <c r="AA3889" s="14"/>
      <c r="AB3889" s="14"/>
      <c r="AC3889" s="15">
        <v>65.95</v>
      </c>
      <c r="AD3889" s="15">
        <f>AC3889*AG3889</f>
        <v>65.95</v>
      </c>
      <c r="AE3889" s="15">
        <v>145</v>
      </c>
      <c r="AF3889" s="15">
        <f>AE3889*AG3889</f>
        <v>145</v>
      </c>
      <c r="AG3889" s="16">
        <v>1</v>
      </c>
    </row>
    <row r="3890" spans="1:33" ht="15" customHeight="1" x14ac:dyDescent="0.2">
      <c r="A3890" s="11" t="str">
        <f t="shared" ref="A3890:A3891" si="1288">HYPERLINK("https://assets.vans.eu/images/VN000CVT6I7-HERO/1","VN000CVT6I71")</f>
        <v>VN000CVT6I71</v>
      </c>
      <c r="B3890" s="12" t="s">
        <v>13912</v>
      </c>
      <c r="C3890" s="12" t="s">
        <v>944</v>
      </c>
      <c r="D3890" s="12" t="s">
        <v>13913</v>
      </c>
      <c r="E3890" s="12" t="s">
        <v>13914</v>
      </c>
      <c r="F3890" s="13">
        <v>50</v>
      </c>
      <c r="G3890" s="14"/>
      <c r="H3890" s="12" t="s">
        <v>38</v>
      </c>
      <c r="I3890" s="12" t="s">
        <v>113</v>
      </c>
      <c r="J3890" s="12" t="s">
        <v>114</v>
      </c>
      <c r="K3890" s="12" t="s">
        <v>82</v>
      </c>
      <c r="L3890" s="12" t="s">
        <v>115</v>
      </c>
      <c r="M3890" s="12" t="s">
        <v>43</v>
      </c>
      <c r="N3890" s="12" t="s">
        <v>161</v>
      </c>
      <c r="O3890" s="12" t="s">
        <v>13915</v>
      </c>
      <c r="P3890" s="12" t="s">
        <v>46</v>
      </c>
      <c r="Q3890" s="12" t="s">
        <v>47</v>
      </c>
      <c r="R3890" s="12" t="s">
        <v>948</v>
      </c>
      <c r="S3890" s="13">
        <v>197642647769</v>
      </c>
      <c r="T3890" s="12" t="s">
        <v>49</v>
      </c>
      <c r="U3890" s="13">
        <v>36.5</v>
      </c>
      <c r="V3890" s="12" t="s">
        <v>50</v>
      </c>
      <c r="W3890" s="12" t="s">
        <v>51</v>
      </c>
      <c r="X3890" s="14"/>
      <c r="Y3890" s="12" t="s">
        <v>91</v>
      </c>
      <c r="Z3890" s="12" t="s">
        <v>92</v>
      </c>
      <c r="AA3890" s="12" t="s">
        <v>3224</v>
      </c>
      <c r="AB3890" s="12" t="s">
        <v>94</v>
      </c>
      <c r="AC3890" s="15">
        <v>65.95</v>
      </c>
      <c r="AD3890" s="15">
        <f>AC3890*AG3890</f>
        <v>65.95</v>
      </c>
      <c r="AE3890" s="15">
        <v>145</v>
      </c>
      <c r="AF3890" s="15">
        <f>AE3890*AG3890</f>
        <v>145</v>
      </c>
      <c r="AG3890" s="16">
        <v>1</v>
      </c>
    </row>
    <row r="3891" spans="1:33" ht="15" customHeight="1" x14ac:dyDescent="0.2">
      <c r="A3891" s="11" t="str">
        <f t="shared" si="1288"/>
        <v>VN000CVT6I71</v>
      </c>
      <c r="B3891" s="12" t="s">
        <v>13916</v>
      </c>
      <c r="C3891" s="12" t="s">
        <v>944</v>
      </c>
      <c r="D3891" s="12" t="s">
        <v>13913</v>
      </c>
      <c r="E3891" s="12" t="s">
        <v>13917</v>
      </c>
      <c r="F3891" s="13">
        <v>55</v>
      </c>
      <c r="G3891" s="14"/>
      <c r="H3891" s="12" t="s">
        <v>38</v>
      </c>
      <c r="I3891" s="12" t="s">
        <v>113</v>
      </c>
      <c r="J3891" s="12" t="s">
        <v>114</v>
      </c>
      <c r="K3891" s="12" t="s">
        <v>82</v>
      </c>
      <c r="L3891" s="12" t="s">
        <v>115</v>
      </c>
      <c r="M3891" s="12" t="s">
        <v>43</v>
      </c>
      <c r="N3891" s="12" t="s">
        <v>161</v>
      </c>
      <c r="O3891" s="12" t="s">
        <v>13918</v>
      </c>
      <c r="P3891" s="12" t="s">
        <v>46</v>
      </c>
      <c r="Q3891" s="12" t="s">
        <v>47</v>
      </c>
      <c r="R3891" s="12" t="s">
        <v>948</v>
      </c>
      <c r="S3891" s="13">
        <v>197642647875</v>
      </c>
      <c r="T3891" s="12" t="s">
        <v>49</v>
      </c>
      <c r="U3891" s="13">
        <v>37</v>
      </c>
      <c r="V3891" s="12" t="s">
        <v>50</v>
      </c>
      <c r="W3891" s="12" t="s">
        <v>51</v>
      </c>
      <c r="X3891" s="14"/>
      <c r="Y3891" s="12" t="s">
        <v>91</v>
      </c>
      <c r="Z3891" s="12" t="s">
        <v>92</v>
      </c>
      <c r="AA3891" s="12" t="s">
        <v>3224</v>
      </c>
      <c r="AB3891" s="12" t="s">
        <v>94</v>
      </c>
      <c r="AC3891" s="15">
        <v>65.95</v>
      </c>
      <c r="AD3891" s="15">
        <f>AC3891*AG3891</f>
        <v>65.95</v>
      </c>
      <c r="AE3891" s="15">
        <v>145</v>
      </c>
      <c r="AF3891" s="15">
        <f>AE3891*AG3891</f>
        <v>145</v>
      </c>
      <c r="AG3891" s="16">
        <v>1</v>
      </c>
    </row>
    <row r="3892" spans="1:33" ht="15" customHeight="1" x14ac:dyDescent="0.2">
      <c r="A3892" s="11" t="str">
        <f>HYPERLINK("https://assets.vans.eu/images/VN000CVTBD2-HERO/1","VN000CVTBD21")</f>
        <v>VN000CVTBD21</v>
      </c>
      <c r="B3892" s="12" t="s">
        <v>13919</v>
      </c>
      <c r="C3892" s="12" t="s">
        <v>944</v>
      </c>
      <c r="D3892" s="12" t="s">
        <v>13920</v>
      </c>
      <c r="E3892" s="12" t="s">
        <v>13921</v>
      </c>
      <c r="F3892" s="13">
        <v>65</v>
      </c>
      <c r="G3892" s="14"/>
      <c r="H3892" s="12" t="s">
        <v>38</v>
      </c>
      <c r="I3892" s="12" t="s">
        <v>113</v>
      </c>
      <c r="J3892" s="12" t="s">
        <v>114</v>
      </c>
      <c r="K3892" s="12" t="s">
        <v>82</v>
      </c>
      <c r="L3892" s="12" t="s">
        <v>115</v>
      </c>
      <c r="M3892" s="12" t="s">
        <v>43</v>
      </c>
      <c r="N3892" s="12" t="s">
        <v>161</v>
      </c>
      <c r="O3892" s="12" t="s">
        <v>13922</v>
      </c>
      <c r="P3892" s="12" t="s">
        <v>46</v>
      </c>
      <c r="Q3892" s="12" t="s">
        <v>47</v>
      </c>
      <c r="R3892" s="12" t="s">
        <v>948</v>
      </c>
      <c r="S3892" s="13">
        <v>197642648292</v>
      </c>
      <c r="T3892" s="12" t="s">
        <v>49</v>
      </c>
      <c r="U3892" s="13">
        <v>38.5</v>
      </c>
      <c r="V3892" s="12" t="s">
        <v>50</v>
      </c>
      <c r="W3892" s="12" t="s">
        <v>284</v>
      </c>
      <c r="X3892" s="14"/>
      <c r="Y3892" s="12" t="s">
        <v>91</v>
      </c>
      <c r="Z3892" s="12" t="s">
        <v>92</v>
      </c>
      <c r="AA3892" s="12" t="s">
        <v>3224</v>
      </c>
      <c r="AB3892" s="12" t="s">
        <v>94</v>
      </c>
      <c r="AC3892" s="15">
        <v>65.95</v>
      </c>
      <c r="AD3892" s="15">
        <f>AC3892*AG3892</f>
        <v>65.95</v>
      </c>
      <c r="AE3892" s="15">
        <v>145</v>
      </c>
      <c r="AF3892" s="15">
        <f>AE3892*AG3892</f>
        <v>145</v>
      </c>
      <c r="AG3892" s="16">
        <v>1</v>
      </c>
    </row>
    <row r="3893" spans="1:33" ht="15" customHeight="1" x14ac:dyDescent="0.2">
      <c r="A3893" s="11" t="str">
        <f t="shared" ref="A3893:A3896" si="1289">HYPERLINK("https://assets.vans.eu/images/VN000CVTBKA-HERO/1","VN000CVTBKA1")</f>
        <v>VN000CVTBKA1</v>
      </c>
      <c r="B3893" s="12" t="s">
        <v>13923</v>
      </c>
      <c r="C3893" s="12" t="s">
        <v>944</v>
      </c>
      <c r="D3893" s="12" t="s">
        <v>252</v>
      </c>
      <c r="E3893" s="12" t="s">
        <v>13924</v>
      </c>
      <c r="F3893" s="13">
        <v>85</v>
      </c>
      <c r="G3893" s="14"/>
      <c r="H3893" s="12" t="s">
        <v>38</v>
      </c>
      <c r="I3893" s="12" t="s">
        <v>159</v>
      </c>
      <c r="J3893" s="12" t="s">
        <v>160</v>
      </c>
      <c r="K3893" s="12" t="s">
        <v>82</v>
      </c>
      <c r="L3893" s="14"/>
      <c r="M3893" s="12" t="s">
        <v>43</v>
      </c>
      <c r="N3893" s="12" t="s">
        <v>161</v>
      </c>
      <c r="O3893" s="12" t="s">
        <v>13925</v>
      </c>
      <c r="P3893" s="12" t="s">
        <v>46</v>
      </c>
      <c r="Q3893" s="12" t="s">
        <v>47</v>
      </c>
      <c r="R3893" s="12" t="s">
        <v>1660</v>
      </c>
      <c r="S3893" s="13">
        <v>197065715946</v>
      </c>
      <c r="T3893" s="12" t="s">
        <v>49</v>
      </c>
      <c r="U3893" s="13">
        <v>41</v>
      </c>
      <c r="V3893" s="12" t="s">
        <v>50</v>
      </c>
      <c r="W3893" s="12" t="s">
        <v>51</v>
      </c>
      <c r="X3893" s="14"/>
      <c r="Y3893" s="12" t="s">
        <v>91</v>
      </c>
      <c r="Z3893" s="12" t="s">
        <v>165</v>
      </c>
      <c r="AA3893" s="14"/>
      <c r="AB3893" s="14"/>
      <c r="AC3893" s="15">
        <v>65.95</v>
      </c>
      <c r="AD3893" s="15">
        <f>AC3893*AG3893</f>
        <v>65.95</v>
      </c>
      <c r="AE3893" s="15">
        <v>145</v>
      </c>
      <c r="AF3893" s="15">
        <f>AE3893*AG3893</f>
        <v>145</v>
      </c>
      <c r="AG3893" s="16">
        <v>1</v>
      </c>
    </row>
    <row r="3894" spans="1:33" ht="15" customHeight="1" x14ac:dyDescent="0.2">
      <c r="A3894" s="11" t="str">
        <f t="shared" si="1289"/>
        <v>VN000CVTBKA1</v>
      </c>
      <c r="B3894" s="12" t="s">
        <v>13926</v>
      </c>
      <c r="C3894" s="12" t="s">
        <v>944</v>
      </c>
      <c r="D3894" s="12" t="s">
        <v>252</v>
      </c>
      <c r="E3894" s="12" t="s">
        <v>13927</v>
      </c>
      <c r="F3894" s="13">
        <v>110</v>
      </c>
      <c r="G3894" s="14"/>
      <c r="H3894" s="12" t="s">
        <v>38</v>
      </c>
      <c r="I3894" s="12" t="s">
        <v>159</v>
      </c>
      <c r="J3894" s="12" t="s">
        <v>160</v>
      </c>
      <c r="K3894" s="12" t="s">
        <v>82</v>
      </c>
      <c r="L3894" s="14"/>
      <c r="M3894" s="12" t="s">
        <v>43</v>
      </c>
      <c r="N3894" s="12" t="s">
        <v>161</v>
      </c>
      <c r="O3894" s="12" t="s">
        <v>13928</v>
      </c>
      <c r="P3894" s="12" t="s">
        <v>46</v>
      </c>
      <c r="Q3894" s="12" t="s">
        <v>47</v>
      </c>
      <c r="R3894" s="12" t="s">
        <v>1660</v>
      </c>
      <c r="S3894" s="13">
        <v>197065716158</v>
      </c>
      <c r="T3894" s="12" t="s">
        <v>49</v>
      </c>
      <c r="U3894" s="13">
        <v>44.5</v>
      </c>
      <c r="V3894" s="12" t="s">
        <v>50</v>
      </c>
      <c r="W3894" s="12" t="s">
        <v>51</v>
      </c>
      <c r="X3894" s="14"/>
      <c r="Y3894" s="12" t="s">
        <v>91</v>
      </c>
      <c r="Z3894" s="12" t="s">
        <v>165</v>
      </c>
      <c r="AA3894" s="14"/>
      <c r="AB3894" s="14"/>
      <c r="AC3894" s="15">
        <v>65.95</v>
      </c>
      <c r="AD3894" s="15">
        <f>AC3894*AG3894</f>
        <v>65.95</v>
      </c>
      <c r="AE3894" s="15">
        <v>145</v>
      </c>
      <c r="AF3894" s="15">
        <f>AE3894*AG3894</f>
        <v>145</v>
      </c>
      <c r="AG3894" s="16">
        <v>1</v>
      </c>
    </row>
    <row r="3895" spans="1:33" ht="15" customHeight="1" x14ac:dyDescent="0.2">
      <c r="A3895" s="11" t="str">
        <f t="shared" si="1289"/>
        <v>VN000CVTBKA1</v>
      </c>
      <c r="B3895" s="12" t="s">
        <v>13929</v>
      </c>
      <c r="C3895" s="12" t="s">
        <v>944</v>
      </c>
      <c r="D3895" s="12" t="s">
        <v>252</v>
      </c>
      <c r="E3895" s="12" t="s">
        <v>13930</v>
      </c>
      <c r="F3895" s="13">
        <v>115</v>
      </c>
      <c r="G3895" s="14"/>
      <c r="H3895" s="12" t="s">
        <v>38</v>
      </c>
      <c r="I3895" s="12" t="s">
        <v>159</v>
      </c>
      <c r="J3895" s="12" t="s">
        <v>160</v>
      </c>
      <c r="K3895" s="12" t="s">
        <v>82</v>
      </c>
      <c r="L3895" s="14"/>
      <c r="M3895" s="12" t="s">
        <v>43</v>
      </c>
      <c r="N3895" s="12" t="s">
        <v>161</v>
      </c>
      <c r="O3895" s="12" t="s">
        <v>13931</v>
      </c>
      <c r="P3895" s="12" t="s">
        <v>46</v>
      </c>
      <c r="Q3895" s="12" t="s">
        <v>47</v>
      </c>
      <c r="R3895" s="12" t="s">
        <v>1660</v>
      </c>
      <c r="S3895" s="13">
        <v>197065716172</v>
      </c>
      <c r="T3895" s="12" t="s">
        <v>49</v>
      </c>
      <c r="U3895" s="13">
        <v>45</v>
      </c>
      <c r="V3895" s="12" t="s">
        <v>50</v>
      </c>
      <c r="W3895" s="12" t="s">
        <v>51</v>
      </c>
      <c r="X3895" s="14"/>
      <c r="Y3895" s="12" t="s">
        <v>91</v>
      </c>
      <c r="Z3895" s="12" t="s">
        <v>165</v>
      </c>
      <c r="AA3895" s="14"/>
      <c r="AB3895" s="14"/>
      <c r="AC3895" s="15">
        <v>65.95</v>
      </c>
      <c r="AD3895" s="15">
        <f>AC3895*AG3895</f>
        <v>65.95</v>
      </c>
      <c r="AE3895" s="15">
        <v>145</v>
      </c>
      <c r="AF3895" s="15">
        <f>AE3895*AG3895</f>
        <v>145</v>
      </c>
      <c r="AG3895" s="16">
        <v>1</v>
      </c>
    </row>
    <row r="3896" spans="1:33" ht="15" customHeight="1" x14ac:dyDescent="0.2">
      <c r="A3896" s="11" t="str">
        <f t="shared" si="1289"/>
        <v>VN000CVTBKA1</v>
      </c>
      <c r="B3896" s="12" t="s">
        <v>13932</v>
      </c>
      <c r="C3896" s="12" t="s">
        <v>944</v>
      </c>
      <c r="D3896" s="12" t="s">
        <v>252</v>
      </c>
      <c r="E3896" s="12" t="s">
        <v>13933</v>
      </c>
      <c r="F3896" s="13">
        <v>120</v>
      </c>
      <c r="G3896" s="14"/>
      <c r="H3896" s="12" t="s">
        <v>38</v>
      </c>
      <c r="I3896" s="12" t="s">
        <v>159</v>
      </c>
      <c r="J3896" s="12" t="s">
        <v>160</v>
      </c>
      <c r="K3896" s="12" t="s">
        <v>82</v>
      </c>
      <c r="L3896" s="14"/>
      <c r="M3896" s="12" t="s">
        <v>43</v>
      </c>
      <c r="N3896" s="12" t="s">
        <v>161</v>
      </c>
      <c r="O3896" s="12" t="s">
        <v>13934</v>
      </c>
      <c r="P3896" s="12" t="s">
        <v>46</v>
      </c>
      <c r="Q3896" s="12" t="s">
        <v>47</v>
      </c>
      <c r="R3896" s="12" t="s">
        <v>1660</v>
      </c>
      <c r="S3896" s="13">
        <v>197065716196</v>
      </c>
      <c r="T3896" s="12" t="s">
        <v>49</v>
      </c>
      <c r="U3896" s="13">
        <v>46</v>
      </c>
      <c r="V3896" s="12" t="s">
        <v>50</v>
      </c>
      <c r="W3896" s="12" t="s">
        <v>51</v>
      </c>
      <c r="X3896" s="14"/>
      <c r="Y3896" s="12" t="s">
        <v>91</v>
      </c>
      <c r="Z3896" s="12" t="s">
        <v>165</v>
      </c>
      <c r="AA3896" s="14"/>
      <c r="AB3896" s="14"/>
      <c r="AC3896" s="15">
        <v>65.95</v>
      </c>
      <c r="AD3896" s="15">
        <f>AC3896*AG3896</f>
        <v>65.95</v>
      </c>
      <c r="AE3896" s="15">
        <v>145</v>
      </c>
      <c r="AF3896" s="15">
        <f>AE3896*AG3896</f>
        <v>145</v>
      </c>
      <c r="AG3896" s="16">
        <v>1</v>
      </c>
    </row>
    <row r="3897" spans="1:33" ht="15" customHeight="1" x14ac:dyDescent="0.2">
      <c r="A3897" s="11" t="str">
        <f t="shared" ref="A3897:A3898" si="1290">HYPERLINK("https://assets.vans.eu/images/VN000CVTI6Y-HERO/1","VN000CVTI6Y1")</f>
        <v>VN000CVTI6Y1</v>
      </c>
      <c r="B3897" s="12" t="s">
        <v>13935</v>
      </c>
      <c r="C3897" s="12" t="s">
        <v>944</v>
      </c>
      <c r="D3897" s="12" t="s">
        <v>1927</v>
      </c>
      <c r="E3897" s="12" t="s">
        <v>13936</v>
      </c>
      <c r="F3897" s="13">
        <v>85</v>
      </c>
      <c r="G3897" s="14"/>
      <c r="H3897" s="12" t="s">
        <v>38</v>
      </c>
      <c r="I3897" s="12" t="s">
        <v>159</v>
      </c>
      <c r="J3897" s="12" t="s">
        <v>160</v>
      </c>
      <c r="K3897" s="12" t="s">
        <v>82</v>
      </c>
      <c r="L3897" s="14"/>
      <c r="M3897" s="12" t="s">
        <v>43</v>
      </c>
      <c r="N3897" s="12" t="s">
        <v>161</v>
      </c>
      <c r="O3897" s="12" t="s">
        <v>13937</v>
      </c>
      <c r="P3897" s="12" t="s">
        <v>46</v>
      </c>
      <c r="Q3897" s="12" t="s">
        <v>47</v>
      </c>
      <c r="R3897" s="12" t="s">
        <v>1660</v>
      </c>
      <c r="S3897" s="13">
        <v>197065566487</v>
      </c>
      <c r="T3897" s="12" t="s">
        <v>49</v>
      </c>
      <c r="U3897" s="13">
        <v>41</v>
      </c>
      <c r="V3897" s="12" t="s">
        <v>50</v>
      </c>
      <c r="W3897" s="12" t="s">
        <v>625</v>
      </c>
      <c r="X3897" s="14"/>
      <c r="Y3897" s="12" t="s">
        <v>91</v>
      </c>
      <c r="Z3897" s="12" t="s">
        <v>165</v>
      </c>
      <c r="AA3897" s="14"/>
      <c r="AB3897" s="14"/>
      <c r="AC3897" s="15">
        <v>65.95</v>
      </c>
      <c r="AD3897" s="15">
        <f>AC3897*AG3897</f>
        <v>65.95</v>
      </c>
      <c r="AE3897" s="15">
        <v>145</v>
      </c>
      <c r="AF3897" s="15">
        <f>AE3897*AG3897</f>
        <v>145</v>
      </c>
      <c r="AG3897" s="16">
        <v>1</v>
      </c>
    </row>
    <row r="3898" spans="1:33" ht="15" customHeight="1" x14ac:dyDescent="0.2">
      <c r="A3898" s="11" t="str">
        <f t="shared" si="1290"/>
        <v>VN000CVTI6Y1</v>
      </c>
      <c r="B3898" s="12" t="s">
        <v>13938</v>
      </c>
      <c r="C3898" s="12" t="s">
        <v>944</v>
      </c>
      <c r="D3898" s="12" t="s">
        <v>1927</v>
      </c>
      <c r="E3898" s="12" t="s">
        <v>13939</v>
      </c>
      <c r="F3898" s="13">
        <v>110</v>
      </c>
      <c r="G3898" s="14"/>
      <c r="H3898" s="12" t="s">
        <v>38</v>
      </c>
      <c r="I3898" s="12" t="s">
        <v>159</v>
      </c>
      <c r="J3898" s="12" t="s">
        <v>160</v>
      </c>
      <c r="K3898" s="12" t="s">
        <v>82</v>
      </c>
      <c r="L3898" s="14"/>
      <c r="M3898" s="12" t="s">
        <v>43</v>
      </c>
      <c r="N3898" s="12" t="s">
        <v>161</v>
      </c>
      <c r="O3898" s="12" t="s">
        <v>13940</v>
      </c>
      <c r="P3898" s="12" t="s">
        <v>46</v>
      </c>
      <c r="Q3898" s="12" t="s">
        <v>47</v>
      </c>
      <c r="R3898" s="12" t="s">
        <v>1660</v>
      </c>
      <c r="S3898" s="13">
        <v>197065567262</v>
      </c>
      <c r="T3898" s="12" t="s">
        <v>49</v>
      </c>
      <c r="U3898" s="13">
        <v>44.5</v>
      </c>
      <c r="V3898" s="12" t="s">
        <v>50</v>
      </c>
      <c r="W3898" s="12" t="s">
        <v>625</v>
      </c>
      <c r="X3898" s="14"/>
      <c r="Y3898" s="12" t="s">
        <v>91</v>
      </c>
      <c r="Z3898" s="12" t="s">
        <v>165</v>
      </c>
      <c r="AA3898" s="14"/>
      <c r="AB3898" s="14"/>
      <c r="AC3898" s="15">
        <v>65.95</v>
      </c>
      <c r="AD3898" s="15">
        <f>AC3898*AG3898</f>
        <v>65.95</v>
      </c>
      <c r="AE3898" s="15">
        <v>145</v>
      </c>
      <c r="AF3898" s="15">
        <f>AE3898*AG3898</f>
        <v>145</v>
      </c>
      <c r="AG3898" s="16">
        <v>1</v>
      </c>
    </row>
    <row r="3899" spans="1:33" ht="15" customHeight="1" x14ac:dyDescent="0.2">
      <c r="A3899" s="11" t="str">
        <f t="shared" ref="A3899:A3901" si="1291">HYPERLINK("https://assets.vans.eu/images/VN000CVTTUP-HERO/1","VN000CVTTUP1")</f>
        <v>VN000CVTTUP1</v>
      </c>
      <c r="B3899" s="12" t="s">
        <v>13941</v>
      </c>
      <c r="C3899" s="12" t="s">
        <v>944</v>
      </c>
      <c r="D3899" s="12" t="s">
        <v>576</v>
      </c>
      <c r="E3899" s="12" t="s">
        <v>13942</v>
      </c>
      <c r="F3899" s="13">
        <v>50</v>
      </c>
      <c r="G3899" s="14"/>
      <c r="H3899" s="12" t="s">
        <v>38</v>
      </c>
      <c r="I3899" s="12" t="s">
        <v>113</v>
      </c>
      <c r="J3899" s="12" t="s">
        <v>114</v>
      </c>
      <c r="K3899" s="12" t="s">
        <v>82</v>
      </c>
      <c r="L3899" s="14"/>
      <c r="M3899" s="12" t="s">
        <v>43</v>
      </c>
      <c r="N3899" s="12" t="s">
        <v>161</v>
      </c>
      <c r="O3899" s="12" t="s">
        <v>13943</v>
      </c>
      <c r="P3899" s="12" t="s">
        <v>46</v>
      </c>
      <c r="Q3899" s="12" t="s">
        <v>47</v>
      </c>
      <c r="R3899" s="12" t="s">
        <v>948</v>
      </c>
      <c r="S3899" s="13">
        <v>197065566388</v>
      </c>
      <c r="T3899" s="12" t="s">
        <v>49</v>
      </c>
      <c r="U3899" s="13">
        <v>36.5</v>
      </c>
      <c r="V3899" s="12" t="s">
        <v>50</v>
      </c>
      <c r="W3899" s="12" t="s">
        <v>580</v>
      </c>
      <c r="X3899" s="14"/>
      <c r="Y3899" s="12" t="s">
        <v>91</v>
      </c>
      <c r="Z3899" s="12" t="s">
        <v>165</v>
      </c>
      <c r="AA3899" s="14"/>
      <c r="AB3899" s="14"/>
      <c r="AC3899" s="15">
        <v>65.95</v>
      </c>
      <c r="AD3899" s="15">
        <f>AC3899*AG3899</f>
        <v>65.95</v>
      </c>
      <c r="AE3899" s="15">
        <v>145</v>
      </c>
      <c r="AF3899" s="15">
        <f>AE3899*AG3899</f>
        <v>145</v>
      </c>
      <c r="AG3899" s="16">
        <v>1</v>
      </c>
    </row>
    <row r="3900" spans="1:33" ht="15" customHeight="1" x14ac:dyDescent="0.2">
      <c r="A3900" s="11" t="str">
        <f t="shared" si="1291"/>
        <v>VN000CVTTUP1</v>
      </c>
      <c r="B3900" s="12" t="s">
        <v>13944</v>
      </c>
      <c r="C3900" s="12" t="s">
        <v>944</v>
      </c>
      <c r="D3900" s="12" t="s">
        <v>576</v>
      </c>
      <c r="E3900" s="12" t="s">
        <v>13945</v>
      </c>
      <c r="F3900" s="13">
        <v>55</v>
      </c>
      <c r="G3900" s="14"/>
      <c r="H3900" s="12" t="s">
        <v>38</v>
      </c>
      <c r="I3900" s="12" t="s">
        <v>113</v>
      </c>
      <c r="J3900" s="12" t="s">
        <v>114</v>
      </c>
      <c r="K3900" s="12" t="s">
        <v>82</v>
      </c>
      <c r="L3900" s="14"/>
      <c r="M3900" s="12" t="s">
        <v>43</v>
      </c>
      <c r="N3900" s="12" t="s">
        <v>161</v>
      </c>
      <c r="O3900" s="12" t="s">
        <v>13946</v>
      </c>
      <c r="P3900" s="12" t="s">
        <v>46</v>
      </c>
      <c r="Q3900" s="12" t="s">
        <v>47</v>
      </c>
      <c r="R3900" s="12" t="s">
        <v>948</v>
      </c>
      <c r="S3900" s="13">
        <v>197065566531</v>
      </c>
      <c r="T3900" s="12" t="s">
        <v>49</v>
      </c>
      <c r="U3900" s="13">
        <v>37</v>
      </c>
      <c r="V3900" s="12" t="s">
        <v>50</v>
      </c>
      <c r="W3900" s="12" t="s">
        <v>580</v>
      </c>
      <c r="X3900" s="14"/>
      <c r="Y3900" s="12" t="s">
        <v>91</v>
      </c>
      <c r="Z3900" s="12" t="s">
        <v>165</v>
      </c>
      <c r="AA3900" s="14"/>
      <c r="AB3900" s="14"/>
      <c r="AC3900" s="15">
        <v>65.95</v>
      </c>
      <c r="AD3900" s="15">
        <f>AC3900*AG3900</f>
        <v>65.95</v>
      </c>
      <c r="AE3900" s="15">
        <v>145</v>
      </c>
      <c r="AF3900" s="15">
        <f>AE3900*AG3900</f>
        <v>145</v>
      </c>
      <c r="AG3900" s="16">
        <v>1</v>
      </c>
    </row>
    <row r="3901" spans="1:33" ht="15" customHeight="1" x14ac:dyDescent="0.2">
      <c r="A3901" s="11" t="str">
        <f t="shared" si="1291"/>
        <v>VN000CVTTUP1</v>
      </c>
      <c r="B3901" s="12" t="s">
        <v>13947</v>
      </c>
      <c r="C3901" s="12" t="s">
        <v>944</v>
      </c>
      <c r="D3901" s="12" t="s">
        <v>576</v>
      </c>
      <c r="E3901" s="12" t="s">
        <v>13948</v>
      </c>
      <c r="F3901" s="13">
        <v>80</v>
      </c>
      <c r="G3901" s="14"/>
      <c r="H3901" s="12" t="s">
        <v>38</v>
      </c>
      <c r="I3901" s="12" t="s">
        <v>113</v>
      </c>
      <c r="J3901" s="12" t="s">
        <v>114</v>
      </c>
      <c r="K3901" s="12" t="s">
        <v>82</v>
      </c>
      <c r="L3901" s="14"/>
      <c r="M3901" s="12" t="s">
        <v>43</v>
      </c>
      <c r="N3901" s="12" t="s">
        <v>161</v>
      </c>
      <c r="O3901" s="12" t="s">
        <v>13949</v>
      </c>
      <c r="P3901" s="12" t="s">
        <v>46</v>
      </c>
      <c r="Q3901" s="12" t="s">
        <v>47</v>
      </c>
      <c r="R3901" s="12" t="s">
        <v>948</v>
      </c>
      <c r="S3901" s="13">
        <v>197065567842</v>
      </c>
      <c r="T3901" s="12" t="s">
        <v>49</v>
      </c>
      <c r="U3901" s="13">
        <v>40.5</v>
      </c>
      <c r="V3901" s="12" t="s">
        <v>50</v>
      </c>
      <c r="W3901" s="12" t="s">
        <v>580</v>
      </c>
      <c r="X3901" s="14"/>
      <c r="Y3901" s="12" t="s">
        <v>91</v>
      </c>
      <c r="Z3901" s="12" t="s">
        <v>165</v>
      </c>
      <c r="AA3901" s="14"/>
      <c r="AB3901" s="14"/>
      <c r="AC3901" s="15">
        <v>65.95</v>
      </c>
      <c r="AD3901" s="15">
        <f>AC3901*AG3901</f>
        <v>65.95</v>
      </c>
      <c r="AE3901" s="15">
        <v>145</v>
      </c>
      <c r="AF3901" s="15">
        <f>AE3901*AG3901</f>
        <v>145</v>
      </c>
      <c r="AG3901" s="16">
        <v>1</v>
      </c>
    </row>
    <row r="3902" spans="1:33" ht="15" customHeight="1" x14ac:dyDescent="0.2">
      <c r="A3902" s="11" t="str">
        <f t="shared" si="1004"/>
        <v>VN000CVU1LO1</v>
      </c>
      <c r="B3902" s="12" t="s">
        <v>13950</v>
      </c>
      <c r="C3902" s="12" t="s">
        <v>2993</v>
      </c>
      <c r="D3902" s="12" t="s">
        <v>9233</v>
      </c>
      <c r="E3902" s="12" t="s">
        <v>13951</v>
      </c>
      <c r="F3902" s="13">
        <v>50</v>
      </c>
      <c r="G3902" s="12" t="s">
        <v>5734</v>
      </c>
      <c r="H3902" s="12" t="s">
        <v>38</v>
      </c>
      <c r="I3902" s="12" t="s">
        <v>159</v>
      </c>
      <c r="J3902" s="12" t="s">
        <v>255</v>
      </c>
      <c r="K3902" s="12" t="s">
        <v>82</v>
      </c>
      <c r="L3902" s="14"/>
      <c r="M3902" s="12" t="s">
        <v>43</v>
      </c>
      <c r="N3902" s="12" t="s">
        <v>84</v>
      </c>
      <c r="O3902" s="12" t="s">
        <v>13952</v>
      </c>
      <c r="P3902" s="12" t="s">
        <v>46</v>
      </c>
      <c r="Q3902" s="12" t="s">
        <v>47</v>
      </c>
      <c r="R3902" s="12" t="s">
        <v>343</v>
      </c>
      <c r="S3902" s="13">
        <v>197804430987</v>
      </c>
      <c r="T3902" s="12" t="s">
        <v>49</v>
      </c>
      <c r="U3902" s="13">
        <v>36.5</v>
      </c>
      <c r="V3902" s="12" t="s">
        <v>278</v>
      </c>
      <c r="W3902" s="12" t="s">
        <v>186</v>
      </c>
      <c r="X3902" s="14"/>
      <c r="Y3902" s="14"/>
      <c r="Z3902" s="14"/>
      <c r="AA3902" s="14"/>
      <c r="AB3902" s="14"/>
      <c r="AC3902" s="15">
        <v>63.65</v>
      </c>
      <c r="AD3902" s="15">
        <f>AC3902*AG3902</f>
        <v>63.65</v>
      </c>
      <c r="AE3902" s="15">
        <v>140</v>
      </c>
      <c r="AF3902" s="15">
        <f>AE3902*AG3902</f>
        <v>140</v>
      </c>
      <c r="AG3902" s="16">
        <v>1</v>
      </c>
    </row>
    <row r="3903" spans="1:33" ht="15" customHeight="1" x14ac:dyDescent="0.2">
      <c r="A3903" s="11" t="str">
        <f t="shared" ref="A3903:A3906" si="1292">HYPERLINK("https://assets.vans.eu/images/VN000CVU1LO-HERO/1","VN000CVU1LO1")</f>
        <v>VN000CVU1LO1</v>
      </c>
      <c r="B3903" s="12" t="s">
        <v>13953</v>
      </c>
      <c r="C3903" s="12" t="s">
        <v>2993</v>
      </c>
      <c r="D3903" s="12" t="s">
        <v>9233</v>
      </c>
      <c r="E3903" s="12" t="s">
        <v>13954</v>
      </c>
      <c r="F3903" s="13">
        <v>60</v>
      </c>
      <c r="G3903" s="12" t="s">
        <v>5734</v>
      </c>
      <c r="H3903" s="12" t="s">
        <v>38</v>
      </c>
      <c r="I3903" s="12" t="s">
        <v>159</v>
      </c>
      <c r="J3903" s="12" t="s">
        <v>255</v>
      </c>
      <c r="K3903" s="12" t="s">
        <v>82</v>
      </c>
      <c r="L3903" s="14"/>
      <c r="M3903" s="12" t="s">
        <v>43</v>
      </c>
      <c r="N3903" s="12" t="s">
        <v>84</v>
      </c>
      <c r="O3903" s="12" t="s">
        <v>13955</v>
      </c>
      <c r="P3903" s="12" t="s">
        <v>46</v>
      </c>
      <c r="Q3903" s="12" t="s">
        <v>47</v>
      </c>
      <c r="R3903" s="12" t="s">
        <v>343</v>
      </c>
      <c r="S3903" s="13">
        <v>197804431267</v>
      </c>
      <c r="T3903" s="12" t="s">
        <v>49</v>
      </c>
      <c r="U3903" s="13">
        <v>38</v>
      </c>
      <c r="V3903" s="12" t="s">
        <v>278</v>
      </c>
      <c r="W3903" s="12" t="s">
        <v>186</v>
      </c>
      <c r="X3903" s="14"/>
      <c r="Y3903" s="14"/>
      <c r="Z3903" s="14"/>
      <c r="AA3903" s="14"/>
      <c r="AB3903" s="14"/>
      <c r="AC3903" s="15">
        <v>63.65</v>
      </c>
      <c r="AD3903" s="15">
        <f>AC3903*AG3903</f>
        <v>63.65</v>
      </c>
      <c r="AE3903" s="15">
        <v>140</v>
      </c>
      <c r="AF3903" s="15">
        <f>AE3903*AG3903</f>
        <v>140</v>
      </c>
      <c r="AG3903" s="16">
        <v>1</v>
      </c>
    </row>
    <row r="3904" spans="1:33" ht="15" customHeight="1" x14ac:dyDescent="0.2">
      <c r="A3904" s="11" t="str">
        <f t="shared" si="1292"/>
        <v>VN000CVU1LO1</v>
      </c>
      <c r="B3904" s="12" t="s">
        <v>13956</v>
      </c>
      <c r="C3904" s="12" t="s">
        <v>2993</v>
      </c>
      <c r="D3904" s="12" t="s">
        <v>9233</v>
      </c>
      <c r="E3904" s="12" t="s">
        <v>13957</v>
      </c>
      <c r="F3904" s="13">
        <v>65</v>
      </c>
      <c r="G3904" s="12" t="s">
        <v>5734</v>
      </c>
      <c r="H3904" s="12" t="s">
        <v>38</v>
      </c>
      <c r="I3904" s="12" t="s">
        <v>159</v>
      </c>
      <c r="J3904" s="12" t="s">
        <v>255</v>
      </c>
      <c r="K3904" s="12" t="s">
        <v>82</v>
      </c>
      <c r="L3904" s="14"/>
      <c r="M3904" s="12" t="s">
        <v>43</v>
      </c>
      <c r="N3904" s="12" t="s">
        <v>84</v>
      </c>
      <c r="O3904" s="12" t="s">
        <v>13958</v>
      </c>
      <c r="P3904" s="12" t="s">
        <v>46</v>
      </c>
      <c r="Q3904" s="12" t="s">
        <v>47</v>
      </c>
      <c r="R3904" s="12" t="s">
        <v>343</v>
      </c>
      <c r="S3904" s="13">
        <v>197804431328</v>
      </c>
      <c r="T3904" s="12" t="s">
        <v>49</v>
      </c>
      <c r="U3904" s="13">
        <v>38.5</v>
      </c>
      <c r="V3904" s="12" t="s">
        <v>278</v>
      </c>
      <c r="W3904" s="12" t="s">
        <v>186</v>
      </c>
      <c r="X3904" s="14"/>
      <c r="Y3904" s="14"/>
      <c r="Z3904" s="14"/>
      <c r="AA3904" s="14"/>
      <c r="AB3904" s="14"/>
      <c r="AC3904" s="15">
        <v>63.65</v>
      </c>
      <c r="AD3904" s="15">
        <f>AC3904*AG3904</f>
        <v>63.65</v>
      </c>
      <c r="AE3904" s="15">
        <v>140</v>
      </c>
      <c r="AF3904" s="15">
        <f>AE3904*AG3904</f>
        <v>140</v>
      </c>
      <c r="AG3904" s="16">
        <v>1</v>
      </c>
    </row>
    <row r="3905" spans="1:33" ht="15" customHeight="1" x14ac:dyDescent="0.2">
      <c r="A3905" s="11" t="str">
        <f t="shared" si="1292"/>
        <v>VN000CVU1LO1</v>
      </c>
      <c r="B3905" s="12" t="s">
        <v>13959</v>
      </c>
      <c r="C3905" s="12" t="s">
        <v>2993</v>
      </c>
      <c r="D3905" s="12" t="s">
        <v>9233</v>
      </c>
      <c r="E3905" s="12" t="s">
        <v>13960</v>
      </c>
      <c r="F3905" s="13">
        <v>80</v>
      </c>
      <c r="G3905" s="12" t="s">
        <v>5734</v>
      </c>
      <c r="H3905" s="12" t="s">
        <v>38</v>
      </c>
      <c r="I3905" s="12" t="s">
        <v>159</v>
      </c>
      <c r="J3905" s="12" t="s">
        <v>255</v>
      </c>
      <c r="K3905" s="12" t="s">
        <v>82</v>
      </c>
      <c r="L3905" s="14"/>
      <c r="M3905" s="12" t="s">
        <v>43</v>
      </c>
      <c r="N3905" s="12" t="s">
        <v>84</v>
      </c>
      <c r="O3905" s="12" t="s">
        <v>13961</v>
      </c>
      <c r="P3905" s="12" t="s">
        <v>46</v>
      </c>
      <c r="Q3905" s="12" t="s">
        <v>47</v>
      </c>
      <c r="R3905" s="12" t="s">
        <v>343</v>
      </c>
      <c r="S3905" s="13">
        <v>197804431502</v>
      </c>
      <c r="T3905" s="12" t="s">
        <v>49</v>
      </c>
      <c r="U3905" s="13">
        <v>40.5</v>
      </c>
      <c r="V3905" s="12" t="s">
        <v>278</v>
      </c>
      <c r="W3905" s="12" t="s">
        <v>186</v>
      </c>
      <c r="X3905" s="14"/>
      <c r="Y3905" s="14"/>
      <c r="Z3905" s="14"/>
      <c r="AA3905" s="14"/>
      <c r="AB3905" s="14"/>
      <c r="AC3905" s="15">
        <v>63.65</v>
      </c>
      <c r="AD3905" s="15">
        <f>AC3905*AG3905</f>
        <v>63.65</v>
      </c>
      <c r="AE3905" s="15">
        <v>140</v>
      </c>
      <c r="AF3905" s="15">
        <f>AE3905*AG3905</f>
        <v>140</v>
      </c>
      <c r="AG3905" s="16">
        <v>1</v>
      </c>
    </row>
    <row r="3906" spans="1:33" ht="15" customHeight="1" x14ac:dyDescent="0.2">
      <c r="A3906" s="11" t="str">
        <f t="shared" si="1292"/>
        <v>VN000CVU1LO1</v>
      </c>
      <c r="B3906" s="12" t="s">
        <v>13962</v>
      </c>
      <c r="C3906" s="12" t="s">
        <v>2993</v>
      </c>
      <c r="D3906" s="12" t="s">
        <v>9233</v>
      </c>
      <c r="E3906" s="12" t="s">
        <v>13963</v>
      </c>
      <c r="F3906" s="13">
        <v>105</v>
      </c>
      <c r="G3906" s="12" t="s">
        <v>5734</v>
      </c>
      <c r="H3906" s="12" t="s">
        <v>38</v>
      </c>
      <c r="I3906" s="12" t="s">
        <v>159</v>
      </c>
      <c r="J3906" s="12" t="s">
        <v>255</v>
      </c>
      <c r="K3906" s="12" t="s">
        <v>82</v>
      </c>
      <c r="L3906" s="14"/>
      <c r="M3906" s="12" t="s">
        <v>43</v>
      </c>
      <c r="N3906" s="12" t="s">
        <v>84</v>
      </c>
      <c r="O3906" s="12" t="s">
        <v>13964</v>
      </c>
      <c r="P3906" s="12" t="s">
        <v>46</v>
      </c>
      <c r="Q3906" s="12" t="s">
        <v>47</v>
      </c>
      <c r="R3906" s="12" t="s">
        <v>343</v>
      </c>
      <c r="S3906" s="13">
        <v>197804431748</v>
      </c>
      <c r="T3906" s="12" t="s">
        <v>49</v>
      </c>
      <c r="U3906" s="13">
        <v>44</v>
      </c>
      <c r="V3906" s="12" t="s">
        <v>278</v>
      </c>
      <c r="W3906" s="12" t="s">
        <v>186</v>
      </c>
      <c r="X3906" s="14"/>
      <c r="Y3906" s="14"/>
      <c r="Z3906" s="14"/>
      <c r="AA3906" s="14"/>
      <c r="AB3906" s="14"/>
      <c r="AC3906" s="15">
        <v>63.65</v>
      </c>
      <c r="AD3906" s="15">
        <f>AC3906*AG3906</f>
        <v>63.65</v>
      </c>
      <c r="AE3906" s="15">
        <v>140</v>
      </c>
      <c r="AF3906" s="15">
        <f>AE3906*AG3906</f>
        <v>140</v>
      </c>
      <c r="AG3906" s="16">
        <v>1</v>
      </c>
    </row>
    <row r="3907" spans="1:33" ht="15" customHeight="1" x14ac:dyDescent="0.2">
      <c r="A3907" s="11" t="str">
        <f>HYPERLINK("https://assets.vans.eu/images/VN000CVU7YO-HERO/1","VN000CVU7YO1")</f>
        <v>VN000CVU7YO1</v>
      </c>
      <c r="B3907" s="12" t="s">
        <v>13965</v>
      </c>
      <c r="C3907" s="12" t="s">
        <v>2993</v>
      </c>
      <c r="D3907" s="12" t="s">
        <v>2353</v>
      </c>
      <c r="E3907" s="12" t="s">
        <v>13966</v>
      </c>
      <c r="F3907" s="13">
        <v>35</v>
      </c>
      <c r="G3907" s="14"/>
      <c r="H3907" s="12" t="s">
        <v>38</v>
      </c>
      <c r="I3907" s="12" t="s">
        <v>159</v>
      </c>
      <c r="J3907" s="12" t="s">
        <v>255</v>
      </c>
      <c r="K3907" s="12" t="s">
        <v>82</v>
      </c>
      <c r="L3907" s="14"/>
      <c r="M3907" s="12" t="s">
        <v>43</v>
      </c>
      <c r="N3907" s="12" t="s">
        <v>161</v>
      </c>
      <c r="O3907" s="12" t="s">
        <v>13967</v>
      </c>
      <c r="P3907" s="12" t="s">
        <v>46</v>
      </c>
      <c r="Q3907" s="12" t="s">
        <v>47</v>
      </c>
      <c r="R3907" s="12" t="s">
        <v>343</v>
      </c>
      <c r="S3907" s="13">
        <v>197065566166</v>
      </c>
      <c r="T3907" s="12" t="s">
        <v>49</v>
      </c>
      <c r="U3907" s="13">
        <v>34.5</v>
      </c>
      <c r="V3907" s="12" t="s">
        <v>278</v>
      </c>
      <c r="W3907" s="12" t="s">
        <v>186</v>
      </c>
      <c r="X3907" s="14"/>
      <c r="Y3907" s="12" t="s">
        <v>91</v>
      </c>
      <c r="Z3907" s="12" t="s">
        <v>165</v>
      </c>
      <c r="AA3907" s="14"/>
      <c r="AB3907" s="14"/>
      <c r="AC3907" s="15">
        <v>63.65</v>
      </c>
      <c r="AD3907" s="15">
        <f>AC3907*AG3907</f>
        <v>63.65</v>
      </c>
      <c r="AE3907" s="15">
        <v>140</v>
      </c>
      <c r="AF3907" s="15">
        <f>AE3907*AG3907</f>
        <v>140</v>
      </c>
      <c r="AG3907" s="16">
        <v>1</v>
      </c>
    </row>
    <row r="3908" spans="1:33" ht="15" customHeight="1" x14ac:dyDescent="0.2">
      <c r="A3908" s="11" t="str">
        <f>HYPERLINK("https://assets.vans.eu/images/VN000CVUBFB-HERO/1","VN000CVUBFB1")</f>
        <v>VN000CVUBFB1</v>
      </c>
      <c r="B3908" s="12" t="s">
        <v>13968</v>
      </c>
      <c r="C3908" s="12" t="s">
        <v>2993</v>
      </c>
      <c r="D3908" s="12" t="s">
        <v>13969</v>
      </c>
      <c r="E3908" s="12" t="s">
        <v>13970</v>
      </c>
      <c r="F3908" s="13">
        <v>85</v>
      </c>
      <c r="G3908" s="14"/>
      <c r="H3908" s="12" t="s">
        <v>38</v>
      </c>
      <c r="I3908" s="12" t="s">
        <v>113</v>
      </c>
      <c r="J3908" s="12" t="s">
        <v>529</v>
      </c>
      <c r="K3908" s="12" t="s">
        <v>82</v>
      </c>
      <c r="L3908" s="14"/>
      <c r="M3908" s="12" t="s">
        <v>43</v>
      </c>
      <c r="N3908" s="12" t="s">
        <v>161</v>
      </c>
      <c r="O3908" s="12" t="s">
        <v>13971</v>
      </c>
      <c r="P3908" s="12" t="s">
        <v>46</v>
      </c>
      <c r="Q3908" s="12" t="s">
        <v>47</v>
      </c>
      <c r="R3908" s="12" t="s">
        <v>2179</v>
      </c>
      <c r="S3908" s="13">
        <v>197065568436</v>
      </c>
      <c r="T3908" s="12" t="s">
        <v>49</v>
      </c>
      <c r="U3908" s="13">
        <v>41</v>
      </c>
      <c r="V3908" s="12" t="s">
        <v>278</v>
      </c>
      <c r="W3908" s="12" t="s">
        <v>455</v>
      </c>
      <c r="X3908" s="14"/>
      <c r="Y3908" s="12" t="s">
        <v>91</v>
      </c>
      <c r="Z3908" s="12" t="s">
        <v>165</v>
      </c>
      <c r="AA3908" s="14"/>
      <c r="AB3908" s="14"/>
      <c r="AC3908" s="15">
        <v>63.65</v>
      </c>
      <c r="AD3908" s="15">
        <f>AC3908*AG3908</f>
        <v>63.65</v>
      </c>
      <c r="AE3908" s="15">
        <v>140</v>
      </c>
      <c r="AF3908" s="15">
        <f>AE3908*AG3908</f>
        <v>140</v>
      </c>
      <c r="AG3908" s="16">
        <v>1</v>
      </c>
    </row>
    <row r="3909" spans="1:33" ht="15" customHeight="1" x14ac:dyDescent="0.2">
      <c r="A3909" s="11" t="str">
        <f>HYPERLINK("https://assets.vans.eu/images/VN000CVUBLK-HERO/1","VN000CVUBLK1")</f>
        <v>VN000CVUBLK1</v>
      </c>
      <c r="B3909" s="12" t="s">
        <v>13972</v>
      </c>
      <c r="C3909" s="12" t="s">
        <v>2993</v>
      </c>
      <c r="D3909" s="12" t="s">
        <v>76</v>
      </c>
      <c r="E3909" s="12" t="s">
        <v>13973</v>
      </c>
      <c r="F3909" s="13">
        <v>105</v>
      </c>
      <c r="G3909" s="12" t="s">
        <v>5734</v>
      </c>
      <c r="H3909" s="12" t="s">
        <v>38</v>
      </c>
      <c r="I3909" s="12" t="s">
        <v>159</v>
      </c>
      <c r="J3909" s="12" t="s">
        <v>255</v>
      </c>
      <c r="K3909" s="12" t="s">
        <v>82</v>
      </c>
      <c r="L3909" s="14"/>
      <c r="M3909" s="12" t="s">
        <v>43</v>
      </c>
      <c r="N3909" s="12" t="s">
        <v>84</v>
      </c>
      <c r="O3909" s="12" t="s">
        <v>13974</v>
      </c>
      <c r="P3909" s="12" t="s">
        <v>46</v>
      </c>
      <c r="Q3909" s="12" t="s">
        <v>47</v>
      </c>
      <c r="R3909" s="12" t="s">
        <v>343</v>
      </c>
      <c r="S3909" s="13">
        <v>197804433391</v>
      </c>
      <c r="T3909" s="12" t="s">
        <v>49</v>
      </c>
      <c r="U3909" s="13">
        <v>44</v>
      </c>
      <c r="V3909" s="12" t="s">
        <v>278</v>
      </c>
      <c r="W3909" s="12" t="s">
        <v>51</v>
      </c>
      <c r="X3909" s="14"/>
      <c r="Y3909" s="14"/>
      <c r="Z3909" s="14"/>
      <c r="AA3909" s="14"/>
      <c r="AB3909" s="14"/>
      <c r="AC3909" s="15">
        <v>63.65</v>
      </c>
      <c r="AD3909" s="15">
        <f>AC3909*AG3909</f>
        <v>63.65</v>
      </c>
      <c r="AE3909" s="15">
        <v>140</v>
      </c>
      <c r="AF3909" s="15">
        <f>AE3909*AG3909</f>
        <v>140</v>
      </c>
      <c r="AG3909" s="16">
        <v>1</v>
      </c>
    </row>
    <row r="3910" spans="1:33" ht="15" customHeight="1" x14ac:dyDescent="0.2">
      <c r="A3910" s="11" t="str">
        <f>HYPERLINK("https://assets.vans.eu/images/VN000CVUBLK-HERO/1","VN000CVUBLK1")</f>
        <v>VN000CVUBLK1</v>
      </c>
      <c r="B3910" s="12" t="s">
        <v>13975</v>
      </c>
      <c r="C3910" s="12" t="s">
        <v>2993</v>
      </c>
      <c r="D3910" s="12" t="s">
        <v>76</v>
      </c>
      <c r="E3910" s="12" t="s">
        <v>13976</v>
      </c>
      <c r="F3910" s="13">
        <v>110</v>
      </c>
      <c r="G3910" s="12" t="s">
        <v>5734</v>
      </c>
      <c r="H3910" s="12" t="s">
        <v>38</v>
      </c>
      <c r="I3910" s="12" t="s">
        <v>159</v>
      </c>
      <c r="J3910" s="12" t="s">
        <v>255</v>
      </c>
      <c r="K3910" s="12" t="s">
        <v>82</v>
      </c>
      <c r="L3910" s="14"/>
      <c r="M3910" s="12" t="s">
        <v>43</v>
      </c>
      <c r="N3910" s="12" t="s">
        <v>84</v>
      </c>
      <c r="O3910" s="12" t="s">
        <v>13977</v>
      </c>
      <c r="P3910" s="12" t="s">
        <v>46</v>
      </c>
      <c r="Q3910" s="12" t="s">
        <v>47</v>
      </c>
      <c r="R3910" s="12" t="s">
        <v>343</v>
      </c>
      <c r="S3910" s="13">
        <v>197804433582</v>
      </c>
      <c r="T3910" s="12" t="s">
        <v>49</v>
      </c>
      <c r="U3910" s="13">
        <v>44.5</v>
      </c>
      <c r="V3910" s="12" t="s">
        <v>278</v>
      </c>
      <c r="W3910" s="12" t="s">
        <v>51</v>
      </c>
      <c r="X3910" s="14"/>
      <c r="Y3910" s="14"/>
      <c r="Z3910" s="14"/>
      <c r="AA3910" s="14"/>
      <c r="AB3910" s="14"/>
      <c r="AC3910" s="15">
        <v>63.65</v>
      </c>
      <c r="AD3910" s="15">
        <f>AC3910*AG3910</f>
        <v>63.65</v>
      </c>
      <c r="AE3910" s="15">
        <v>140</v>
      </c>
      <c r="AF3910" s="15">
        <f>AE3910*AG3910</f>
        <v>140</v>
      </c>
      <c r="AG3910" s="16">
        <v>1</v>
      </c>
    </row>
    <row r="3911" spans="1:33" ht="15" customHeight="1" x14ac:dyDescent="0.2">
      <c r="A3911" s="11" t="str">
        <f t="shared" ref="A3911:A3914" si="1293">HYPERLINK("https://assets.vans.eu/images/VN000CVUDRB-HERO/1","VN000CVUDRB1")</f>
        <v>VN000CVUDRB1</v>
      </c>
      <c r="B3911" s="12" t="s">
        <v>13978</v>
      </c>
      <c r="C3911" s="12" t="s">
        <v>2993</v>
      </c>
      <c r="D3911" s="12" t="s">
        <v>2663</v>
      </c>
      <c r="E3911" s="12" t="s">
        <v>13979</v>
      </c>
      <c r="F3911" s="13">
        <v>40</v>
      </c>
      <c r="G3911" s="14"/>
      <c r="H3911" s="12" t="s">
        <v>38</v>
      </c>
      <c r="I3911" s="12" t="s">
        <v>159</v>
      </c>
      <c r="J3911" s="12" t="s">
        <v>255</v>
      </c>
      <c r="K3911" s="12" t="s">
        <v>82</v>
      </c>
      <c r="L3911" s="14"/>
      <c r="M3911" s="12" t="s">
        <v>43</v>
      </c>
      <c r="N3911" s="12" t="s">
        <v>84</v>
      </c>
      <c r="O3911" s="12" t="s">
        <v>13980</v>
      </c>
      <c r="P3911" s="12" t="s">
        <v>46</v>
      </c>
      <c r="Q3911" s="12" t="s">
        <v>47</v>
      </c>
      <c r="R3911" s="12" t="s">
        <v>343</v>
      </c>
      <c r="S3911" s="13">
        <v>197804431861</v>
      </c>
      <c r="T3911" s="12" t="s">
        <v>49</v>
      </c>
      <c r="U3911" s="13">
        <v>35</v>
      </c>
      <c r="V3911" s="12" t="s">
        <v>278</v>
      </c>
      <c r="W3911" s="12" t="s">
        <v>186</v>
      </c>
      <c r="X3911" s="14"/>
      <c r="Y3911" s="14"/>
      <c r="Z3911" s="14"/>
      <c r="AA3911" s="14"/>
      <c r="AB3911" s="14"/>
      <c r="AC3911" s="15">
        <v>63.65</v>
      </c>
      <c r="AD3911" s="15">
        <f>AC3911*AG3911</f>
        <v>63.65</v>
      </c>
      <c r="AE3911" s="15">
        <v>140</v>
      </c>
      <c r="AF3911" s="15">
        <f>AE3911*AG3911</f>
        <v>140</v>
      </c>
      <c r="AG3911" s="16">
        <v>1</v>
      </c>
    </row>
    <row r="3912" spans="1:33" ht="15" customHeight="1" x14ac:dyDescent="0.2">
      <c r="A3912" s="11" t="str">
        <f t="shared" si="1293"/>
        <v>VN000CVUDRB1</v>
      </c>
      <c r="B3912" s="12" t="s">
        <v>13981</v>
      </c>
      <c r="C3912" s="12" t="s">
        <v>2993</v>
      </c>
      <c r="D3912" s="12" t="s">
        <v>2663</v>
      </c>
      <c r="E3912" s="12" t="s">
        <v>13982</v>
      </c>
      <c r="F3912" s="13">
        <v>75</v>
      </c>
      <c r="G3912" s="14"/>
      <c r="H3912" s="12" t="s">
        <v>38</v>
      </c>
      <c r="I3912" s="12" t="s">
        <v>159</v>
      </c>
      <c r="J3912" s="12" t="s">
        <v>255</v>
      </c>
      <c r="K3912" s="12" t="s">
        <v>82</v>
      </c>
      <c r="L3912" s="14"/>
      <c r="M3912" s="12" t="s">
        <v>43</v>
      </c>
      <c r="N3912" s="12" t="s">
        <v>84</v>
      </c>
      <c r="O3912" s="12" t="s">
        <v>13983</v>
      </c>
      <c r="P3912" s="12" t="s">
        <v>46</v>
      </c>
      <c r="Q3912" s="12" t="s">
        <v>47</v>
      </c>
      <c r="R3912" s="12" t="s">
        <v>343</v>
      </c>
      <c r="S3912" s="13">
        <v>197804432639</v>
      </c>
      <c r="T3912" s="12" t="s">
        <v>49</v>
      </c>
      <c r="U3912" s="13">
        <v>40</v>
      </c>
      <c r="V3912" s="12" t="s">
        <v>278</v>
      </c>
      <c r="W3912" s="12" t="s">
        <v>186</v>
      </c>
      <c r="X3912" s="14"/>
      <c r="Y3912" s="14"/>
      <c r="Z3912" s="14"/>
      <c r="AA3912" s="14"/>
      <c r="AB3912" s="14"/>
      <c r="AC3912" s="15">
        <v>63.65</v>
      </c>
      <c r="AD3912" s="15">
        <f>AC3912*AG3912</f>
        <v>63.65</v>
      </c>
      <c r="AE3912" s="15">
        <v>140</v>
      </c>
      <c r="AF3912" s="15">
        <f>AE3912*AG3912</f>
        <v>140</v>
      </c>
      <c r="AG3912" s="16">
        <v>1</v>
      </c>
    </row>
    <row r="3913" spans="1:33" ht="15" customHeight="1" x14ac:dyDescent="0.2">
      <c r="A3913" s="11" t="str">
        <f t="shared" si="1293"/>
        <v>VN000CVUDRB1</v>
      </c>
      <c r="B3913" s="12" t="s">
        <v>13984</v>
      </c>
      <c r="C3913" s="12" t="s">
        <v>2993</v>
      </c>
      <c r="D3913" s="12" t="s">
        <v>2663</v>
      </c>
      <c r="E3913" s="12" t="s">
        <v>13985</v>
      </c>
      <c r="F3913" s="13">
        <v>90</v>
      </c>
      <c r="G3913" s="14"/>
      <c r="H3913" s="12" t="s">
        <v>38</v>
      </c>
      <c r="I3913" s="12" t="s">
        <v>159</v>
      </c>
      <c r="J3913" s="12" t="s">
        <v>255</v>
      </c>
      <c r="K3913" s="12" t="s">
        <v>82</v>
      </c>
      <c r="L3913" s="14"/>
      <c r="M3913" s="12" t="s">
        <v>43</v>
      </c>
      <c r="N3913" s="12" t="s">
        <v>84</v>
      </c>
      <c r="O3913" s="12" t="s">
        <v>13986</v>
      </c>
      <c r="P3913" s="12" t="s">
        <v>46</v>
      </c>
      <c r="Q3913" s="12" t="s">
        <v>47</v>
      </c>
      <c r="R3913" s="12" t="s">
        <v>343</v>
      </c>
      <c r="S3913" s="13">
        <v>197804433216</v>
      </c>
      <c r="T3913" s="12" t="s">
        <v>49</v>
      </c>
      <c r="U3913" s="13">
        <v>42</v>
      </c>
      <c r="V3913" s="12" t="s">
        <v>278</v>
      </c>
      <c r="W3913" s="12" t="s">
        <v>186</v>
      </c>
      <c r="X3913" s="14"/>
      <c r="Y3913" s="14"/>
      <c r="Z3913" s="14"/>
      <c r="AA3913" s="14"/>
      <c r="AB3913" s="14"/>
      <c r="AC3913" s="15">
        <v>63.65</v>
      </c>
      <c r="AD3913" s="15">
        <f>AC3913*AG3913</f>
        <v>63.65</v>
      </c>
      <c r="AE3913" s="15">
        <v>140</v>
      </c>
      <c r="AF3913" s="15">
        <f>AE3913*AG3913</f>
        <v>140</v>
      </c>
      <c r="AG3913" s="16">
        <v>1</v>
      </c>
    </row>
    <row r="3914" spans="1:33" ht="15" customHeight="1" x14ac:dyDescent="0.2">
      <c r="A3914" s="11" t="str">
        <f t="shared" si="1293"/>
        <v>VN000CVUDRB1</v>
      </c>
      <c r="B3914" s="12" t="s">
        <v>13987</v>
      </c>
      <c r="C3914" s="12" t="s">
        <v>2993</v>
      </c>
      <c r="D3914" s="12" t="s">
        <v>2663</v>
      </c>
      <c r="E3914" s="12" t="s">
        <v>13988</v>
      </c>
      <c r="F3914" s="13">
        <v>120</v>
      </c>
      <c r="G3914" s="14"/>
      <c r="H3914" s="12" t="s">
        <v>38</v>
      </c>
      <c r="I3914" s="12" t="s">
        <v>159</v>
      </c>
      <c r="J3914" s="12" t="s">
        <v>255</v>
      </c>
      <c r="K3914" s="12" t="s">
        <v>82</v>
      </c>
      <c r="L3914" s="14"/>
      <c r="M3914" s="12" t="s">
        <v>43</v>
      </c>
      <c r="N3914" s="12" t="s">
        <v>84</v>
      </c>
      <c r="O3914" s="12" t="s">
        <v>13989</v>
      </c>
      <c r="P3914" s="12" t="s">
        <v>46</v>
      </c>
      <c r="Q3914" s="12" t="s">
        <v>47</v>
      </c>
      <c r="R3914" s="12" t="s">
        <v>343</v>
      </c>
      <c r="S3914" s="13">
        <v>197804434176</v>
      </c>
      <c r="T3914" s="12" t="s">
        <v>49</v>
      </c>
      <c r="U3914" s="13">
        <v>46</v>
      </c>
      <c r="V3914" s="12" t="s">
        <v>278</v>
      </c>
      <c r="W3914" s="12" t="s">
        <v>186</v>
      </c>
      <c r="X3914" s="14"/>
      <c r="Y3914" s="14"/>
      <c r="Z3914" s="14"/>
      <c r="AA3914" s="14"/>
      <c r="AB3914" s="14"/>
      <c r="AC3914" s="15">
        <v>63.65</v>
      </c>
      <c r="AD3914" s="15">
        <f>AC3914*AG3914</f>
        <v>63.65</v>
      </c>
      <c r="AE3914" s="15">
        <v>140</v>
      </c>
      <c r="AF3914" s="15">
        <f>AE3914*AG3914</f>
        <v>140</v>
      </c>
      <c r="AG3914" s="16">
        <v>1</v>
      </c>
    </row>
    <row r="3915" spans="1:33" ht="15" customHeight="1" x14ac:dyDescent="0.2">
      <c r="A3915" s="11" t="str">
        <f t="shared" si="1006"/>
        <v>VN000CVUE2V1</v>
      </c>
      <c r="B3915" s="12" t="s">
        <v>13990</v>
      </c>
      <c r="C3915" s="12" t="s">
        <v>2993</v>
      </c>
      <c r="D3915" s="12" t="s">
        <v>9276</v>
      </c>
      <c r="E3915" s="12" t="s">
        <v>13991</v>
      </c>
      <c r="F3915" s="13">
        <v>55</v>
      </c>
      <c r="G3915" s="14"/>
      <c r="H3915" s="12" t="s">
        <v>38</v>
      </c>
      <c r="I3915" s="12" t="s">
        <v>113</v>
      </c>
      <c r="J3915" s="12" t="s">
        <v>529</v>
      </c>
      <c r="K3915" s="12" t="s">
        <v>82</v>
      </c>
      <c r="L3915" s="14"/>
      <c r="M3915" s="12" t="s">
        <v>43</v>
      </c>
      <c r="N3915" s="12" t="s">
        <v>84</v>
      </c>
      <c r="O3915" s="12" t="s">
        <v>13992</v>
      </c>
      <c r="P3915" s="12" t="s">
        <v>46</v>
      </c>
      <c r="Q3915" s="12" t="s">
        <v>47</v>
      </c>
      <c r="R3915" s="12" t="s">
        <v>117</v>
      </c>
      <c r="S3915" s="13">
        <v>197804431991</v>
      </c>
      <c r="T3915" s="12" t="s">
        <v>49</v>
      </c>
      <c r="U3915" s="13">
        <v>37</v>
      </c>
      <c r="V3915" s="12" t="s">
        <v>278</v>
      </c>
      <c r="W3915" s="12" t="s">
        <v>580</v>
      </c>
      <c r="X3915" s="14"/>
      <c r="Y3915" s="14"/>
      <c r="Z3915" s="14"/>
      <c r="AA3915" s="14"/>
      <c r="AB3915" s="14"/>
      <c r="AC3915" s="15">
        <v>63.65</v>
      </c>
      <c r="AD3915" s="15">
        <f>AC3915*AG3915</f>
        <v>63.65</v>
      </c>
      <c r="AE3915" s="15">
        <v>140</v>
      </c>
      <c r="AF3915" s="15">
        <f>AE3915*AG3915</f>
        <v>140</v>
      </c>
      <c r="AG3915" s="16">
        <v>1</v>
      </c>
    </row>
    <row r="3916" spans="1:33" ht="15" customHeight="1" x14ac:dyDescent="0.2">
      <c r="A3916" s="11" t="str">
        <f>HYPERLINK("https://assets.vans.eu/images/VN000CVUE2V-HERO/1","VN000CVUE2V1")</f>
        <v>VN000CVUE2V1</v>
      </c>
      <c r="B3916" s="12" t="s">
        <v>13993</v>
      </c>
      <c r="C3916" s="12" t="s">
        <v>2993</v>
      </c>
      <c r="D3916" s="12" t="s">
        <v>9276</v>
      </c>
      <c r="E3916" s="12" t="s">
        <v>13994</v>
      </c>
      <c r="F3916" s="13">
        <v>60</v>
      </c>
      <c r="G3916" s="14"/>
      <c r="H3916" s="12" t="s">
        <v>38</v>
      </c>
      <c r="I3916" s="12" t="s">
        <v>113</v>
      </c>
      <c r="J3916" s="12" t="s">
        <v>529</v>
      </c>
      <c r="K3916" s="12" t="s">
        <v>82</v>
      </c>
      <c r="L3916" s="14"/>
      <c r="M3916" s="12" t="s">
        <v>43</v>
      </c>
      <c r="N3916" s="12" t="s">
        <v>84</v>
      </c>
      <c r="O3916" s="12" t="s">
        <v>13995</v>
      </c>
      <c r="P3916" s="12" t="s">
        <v>46</v>
      </c>
      <c r="Q3916" s="12" t="s">
        <v>47</v>
      </c>
      <c r="R3916" s="12" t="s">
        <v>117</v>
      </c>
      <c r="S3916" s="13">
        <v>197804432172</v>
      </c>
      <c r="T3916" s="12" t="s">
        <v>49</v>
      </c>
      <c r="U3916" s="13">
        <v>38</v>
      </c>
      <c r="V3916" s="12" t="s">
        <v>278</v>
      </c>
      <c r="W3916" s="12" t="s">
        <v>580</v>
      </c>
      <c r="X3916" s="14"/>
      <c r="Y3916" s="14"/>
      <c r="Z3916" s="14"/>
      <c r="AA3916" s="14"/>
      <c r="AB3916" s="14"/>
      <c r="AC3916" s="15">
        <v>63.65</v>
      </c>
      <c r="AD3916" s="15">
        <f>AC3916*AG3916</f>
        <v>63.65</v>
      </c>
      <c r="AE3916" s="15">
        <v>140</v>
      </c>
      <c r="AF3916" s="15">
        <f>AE3916*AG3916</f>
        <v>140</v>
      </c>
      <c r="AG3916" s="16">
        <v>1</v>
      </c>
    </row>
    <row r="3917" spans="1:33" ht="15" customHeight="1" x14ac:dyDescent="0.2">
      <c r="A3917" s="11" t="str">
        <f>HYPERLINK("https://assets.vans.eu/images/VN000CVUKKK-HERO/1","VN000CVUKKK1")</f>
        <v>VN000CVUKKK1</v>
      </c>
      <c r="B3917" s="12" t="s">
        <v>13996</v>
      </c>
      <c r="C3917" s="12" t="s">
        <v>2993</v>
      </c>
      <c r="D3917" s="12" t="s">
        <v>9313</v>
      </c>
      <c r="E3917" s="12" t="s">
        <v>13997</v>
      </c>
      <c r="F3917" s="13">
        <v>80</v>
      </c>
      <c r="G3917" s="14"/>
      <c r="H3917" s="12" t="s">
        <v>38</v>
      </c>
      <c r="I3917" s="12" t="s">
        <v>113</v>
      </c>
      <c r="J3917" s="12" t="s">
        <v>529</v>
      </c>
      <c r="K3917" s="12" t="s">
        <v>82</v>
      </c>
      <c r="L3917" s="14"/>
      <c r="M3917" s="12" t="s">
        <v>43</v>
      </c>
      <c r="N3917" s="12" t="s">
        <v>44</v>
      </c>
      <c r="O3917" s="12" t="s">
        <v>13998</v>
      </c>
      <c r="P3917" s="12" t="s">
        <v>46</v>
      </c>
      <c r="Q3917" s="12" t="s">
        <v>47</v>
      </c>
      <c r="R3917" s="12" t="s">
        <v>117</v>
      </c>
      <c r="S3917" s="13">
        <v>197643166351</v>
      </c>
      <c r="T3917" s="12" t="s">
        <v>49</v>
      </c>
      <c r="U3917" s="13">
        <v>40.5</v>
      </c>
      <c r="V3917" s="12" t="s">
        <v>278</v>
      </c>
      <c r="W3917" s="12" t="s">
        <v>175</v>
      </c>
      <c r="X3917" s="14"/>
      <c r="Y3917" s="12" t="s">
        <v>91</v>
      </c>
      <c r="Z3917" s="12" t="s">
        <v>165</v>
      </c>
      <c r="AA3917" s="14"/>
      <c r="AB3917" s="14"/>
      <c r="AC3917" s="15">
        <v>63.65</v>
      </c>
      <c r="AD3917" s="15">
        <f>AC3917*AG3917</f>
        <v>63.65</v>
      </c>
      <c r="AE3917" s="15">
        <v>140</v>
      </c>
      <c r="AF3917" s="15">
        <f>AE3917*AG3917</f>
        <v>140</v>
      </c>
      <c r="AG3917" s="16">
        <v>1</v>
      </c>
    </row>
    <row r="3918" spans="1:33" ht="15" customHeight="1" x14ac:dyDescent="0.2">
      <c r="A3918" s="11" t="str">
        <f t="shared" ref="A3918:A3920" si="1294">HYPERLINK("https://assets.vans.eu/images/VN000CVULBR-HERO/1","VN000CVULBR1")</f>
        <v>VN000CVULBR1</v>
      </c>
      <c r="B3918" s="12" t="s">
        <v>13999</v>
      </c>
      <c r="C3918" s="12" t="s">
        <v>2993</v>
      </c>
      <c r="D3918" s="12" t="s">
        <v>1923</v>
      </c>
      <c r="E3918" s="12" t="s">
        <v>14000</v>
      </c>
      <c r="F3918" s="13">
        <v>90</v>
      </c>
      <c r="G3918" s="14"/>
      <c r="H3918" s="12" t="s">
        <v>38</v>
      </c>
      <c r="I3918" s="12" t="s">
        <v>159</v>
      </c>
      <c r="J3918" s="12" t="s">
        <v>255</v>
      </c>
      <c r="K3918" s="12" t="s">
        <v>82</v>
      </c>
      <c r="L3918" s="14"/>
      <c r="M3918" s="12" t="s">
        <v>43</v>
      </c>
      <c r="N3918" s="12" t="s">
        <v>84</v>
      </c>
      <c r="O3918" s="12" t="s">
        <v>14001</v>
      </c>
      <c r="P3918" s="12" t="s">
        <v>46</v>
      </c>
      <c r="Q3918" s="12" t="s">
        <v>47</v>
      </c>
      <c r="R3918" s="12" t="s">
        <v>343</v>
      </c>
      <c r="S3918" s="13">
        <v>197804432998</v>
      </c>
      <c r="T3918" s="12" t="s">
        <v>49</v>
      </c>
      <c r="U3918" s="13">
        <v>42</v>
      </c>
      <c r="V3918" s="12" t="s">
        <v>278</v>
      </c>
      <c r="W3918" s="12" t="s">
        <v>186</v>
      </c>
      <c r="X3918" s="14"/>
      <c r="Y3918" s="14"/>
      <c r="Z3918" s="14"/>
      <c r="AA3918" s="14"/>
      <c r="AB3918" s="14"/>
      <c r="AC3918" s="15">
        <v>63.65</v>
      </c>
      <c r="AD3918" s="15">
        <f>AC3918*AG3918</f>
        <v>63.65</v>
      </c>
      <c r="AE3918" s="15">
        <v>140</v>
      </c>
      <c r="AF3918" s="15">
        <f>AE3918*AG3918</f>
        <v>140</v>
      </c>
      <c r="AG3918" s="16">
        <v>1</v>
      </c>
    </row>
    <row r="3919" spans="1:33" ht="15" customHeight="1" x14ac:dyDescent="0.2">
      <c r="A3919" s="11" t="str">
        <f t="shared" si="1294"/>
        <v>VN000CVULBR1</v>
      </c>
      <c r="B3919" s="12" t="s">
        <v>14002</v>
      </c>
      <c r="C3919" s="12" t="s">
        <v>2993</v>
      </c>
      <c r="D3919" s="12" t="s">
        <v>1923</v>
      </c>
      <c r="E3919" s="12" t="s">
        <v>14003</v>
      </c>
      <c r="F3919" s="13">
        <v>105</v>
      </c>
      <c r="G3919" s="14"/>
      <c r="H3919" s="12" t="s">
        <v>38</v>
      </c>
      <c r="I3919" s="12" t="s">
        <v>159</v>
      </c>
      <c r="J3919" s="12" t="s">
        <v>255</v>
      </c>
      <c r="K3919" s="12" t="s">
        <v>82</v>
      </c>
      <c r="L3919" s="14"/>
      <c r="M3919" s="12" t="s">
        <v>43</v>
      </c>
      <c r="N3919" s="12" t="s">
        <v>84</v>
      </c>
      <c r="O3919" s="12" t="s">
        <v>14004</v>
      </c>
      <c r="P3919" s="12" t="s">
        <v>46</v>
      </c>
      <c r="Q3919" s="12" t="s">
        <v>47</v>
      </c>
      <c r="R3919" s="12" t="s">
        <v>343</v>
      </c>
      <c r="S3919" s="13">
        <v>197804433612</v>
      </c>
      <c r="T3919" s="12" t="s">
        <v>49</v>
      </c>
      <c r="U3919" s="13">
        <v>44</v>
      </c>
      <c r="V3919" s="12" t="s">
        <v>278</v>
      </c>
      <c r="W3919" s="12" t="s">
        <v>186</v>
      </c>
      <c r="X3919" s="14"/>
      <c r="Y3919" s="14"/>
      <c r="Z3919" s="14"/>
      <c r="AA3919" s="14"/>
      <c r="AB3919" s="14"/>
      <c r="AC3919" s="15">
        <v>63.65</v>
      </c>
      <c r="AD3919" s="15">
        <f>AC3919*AG3919</f>
        <v>63.65</v>
      </c>
      <c r="AE3919" s="15">
        <v>140</v>
      </c>
      <c r="AF3919" s="15">
        <f>AE3919*AG3919</f>
        <v>140</v>
      </c>
      <c r="AG3919" s="16">
        <v>1</v>
      </c>
    </row>
    <row r="3920" spans="1:33" ht="15" customHeight="1" x14ac:dyDescent="0.2">
      <c r="A3920" s="11" t="str">
        <f t="shared" si="1294"/>
        <v>VN000CVULBR1</v>
      </c>
      <c r="B3920" s="12" t="s">
        <v>14005</v>
      </c>
      <c r="C3920" s="12" t="s">
        <v>2993</v>
      </c>
      <c r="D3920" s="12" t="s">
        <v>1923</v>
      </c>
      <c r="E3920" s="12" t="s">
        <v>14006</v>
      </c>
      <c r="F3920" s="13">
        <v>120</v>
      </c>
      <c r="G3920" s="14"/>
      <c r="H3920" s="12" t="s">
        <v>38</v>
      </c>
      <c r="I3920" s="12" t="s">
        <v>159</v>
      </c>
      <c r="J3920" s="12" t="s">
        <v>255</v>
      </c>
      <c r="K3920" s="12" t="s">
        <v>82</v>
      </c>
      <c r="L3920" s="14"/>
      <c r="M3920" s="12" t="s">
        <v>43</v>
      </c>
      <c r="N3920" s="12" t="s">
        <v>84</v>
      </c>
      <c r="O3920" s="12" t="s">
        <v>14007</v>
      </c>
      <c r="P3920" s="12" t="s">
        <v>46</v>
      </c>
      <c r="Q3920" s="12" t="s">
        <v>47</v>
      </c>
      <c r="R3920" s="12" t="s">
        <v>343</v>
      </c>
      <c r="S3920" s="13">
        <v>197804434145</v>
      </c>
      <c r="T3920" s="12" t="s">
        <v>49</v>
      </c>
      <c r="U3920" s="13">
        <v>46</v>
      </c>
      <c r="V3920" s="12" t="s">
        <v>278</v>
      </c>
      <c r="W3920" s="12" t="s">
        <v>186</v>
      </c>
      <c r="X3920" s="14"/>
      <c r="Y3920" s="14"/>
      <c r="Z3920" s="14"/>
      <c r="AA3920" s="14"/>
      <c r="AB3920" s="14"/>
      <c r="AC3920" s="15">
        <v>63.65</v>
      </c>
      <c r="AD3920" s="15">
        <f>AC3920*AG3920</f>
        <v>63.65</v>
      </c>
      <c r="AE3920" s="15">
        <v>140</v>
      </c>
      <c r="AF3920" s="15">
        <f>AE3920*AG3920</f>
        <v>140</v>
      </c>
      <c r="AG3920" s="16">
        <v>1</v>
      </c>
    </row>
    <row r="3921" spans="1:33" ht="15" customHeight="1" x14ac:dyDescent="0.2">
      <c r="A3921" s="11" t="str">
        <f t="shared" si="1007"/>
        <v>VN000CVULKZ1</v>
      </c>
      <c r="B3921" s="12" t="s">
        <v>14008</v>
      </c>
      <c r="C3921" s="12" t="s">
        <v>2993</v>
      </c>
      <c r="D3921" s="12" t="s">
        <v>1213</v>
      </c>
      <c r="E3921" s="12" t="s">
        <v>14009</v>
      </c>
      <c r="F3921" s="13">
        <v>50</v>
      </c>
      <c r="G3921" s="14"/>
      <c r="H3921" s="12" t="s">
        <v>38</v>
      </c>
      <c r="I3921" s="12" t="s">
        <v>159</v>
      </c>
      <c r="J3921" s="12" t="s">
        <v>255</v>
      </c>
      <c r="K3921" s="12" t="s">
        <v>82</v>
      </c>
      <c r="L3921" s="14"/>
      <c r="M3921" s="12" t="s">
        <v>43</v>
      </c>
      <c r="N3921" s="12" t="s">
        <v>44</v>
      </c>
      <c r="O3921" s="12" t="s">
        <v>14010</v>
      </c>
      <c r="P3921" s="12" t="s">
        <v>46</v>
      </c>
      <c r="Q3921" s="12" t="s">
        <v>47</v>
      </c>
      <c r="R3921" s="12" t="s">
        <v>343</v>
      </c>
      <c r="S3921" s="13">
        <v>197643165415</v>
      </c>
      <c r="T3921" s="12" t="s">
        <v>49</v>
      </c>
      <c r="U3921" s="13">
        <v>36.5</v>
      </c>
      <c r="V3921" s="12" t="s">
        <v>278</v>
      </c>
      <c r="W3921" s="12" t="s">
        <v>284</v>
      </c>
      <c r="X3921" s="14"/>
      <c r="Y3921" s="12" t="s">
        <v>91</v>
      </c>
      <c r="Z3921" s="12" t="s">
        <v>165</v>
      </c>
      <c r="AA3921" s="14"/>
      <c r="AB3921" s="14"/>
      <c r="AC3921" s="15">
        <v>63.65</v>
      </c>
      <c r="AD3921" s="15">
        <f>AC3921*AG3921</f>
        <v>63.65</v>
      </c>
      <c r="AE3921" s="15">
        <v>140</v>
      </c>
      <c r="AF3921" s="15">
        <f>AE3921*AG3921</f>
        <v>140</v>
      </c>
      <c r="AG3921" s="16">
        <v>1</v>
      </c>
    </row>
    <row r="3922" spans="1:33" ht="15" customHeight="1" x14ac:dyDescent="0.2">
      <c r="A3922" s="11" t="str">
        <f>HYPERLINK("https://assets.vans.eu/images/VN000CVUY49-HERO/1","VN000CVUY491")</f>
        <v>VN000CVUY491</v>
      </c>
      <c r="B3922" s="12" t="s">
        <v>14011</v>
      </c>
      <c r="C3922" s="12" t="s">
        <v>2993</v>
      </c>
      <c r="D3922" s="12" t="s">
        <v>5737</v>
      </c>
      <c r="E3922" s="12" t="s">
        <v>14012</v>
      </c>
      <c r="F3922" s="13">
        <v>120</v>
      </c>
      <c r="G3922" s="14"/>
      <c r="H3922" s="12" t="s">
        <v>38</v>
      </c>
      <c r="I3922" s="12" t="s">
        <v>159</v>
      </c>
      <c r="J3922" s="12" t="s">
        <v>255</v>
      </c>
      <c r="K3922" s="12" t="s">
        <v>82</v>
      </c>
      <c r="L3922" s="14"/>
      <c r="M3922" s="12" t="s">
        <v>43</v>
      </c>
      <c r="N3922" s="12" t="s">
        <v>44</v>
      </c>
      <c r="O3922" s="12" t="s">
        <v>14013</v>
      </c>
      <c r="P3922" s="12" t="s">
        <v>46</v>
      </c>
      <c r="Q3922" s="12" t="s">
        <v>47</v>
      </c>
      <c r="R3922" s="12" t="s">
        <v>343</v>
      </c>
      <c r="S3922" s="13">
        <v>197643167822</v>
      </c>
      <c r="T3922" s="12" t="s">
        <v>49</v>
      </c>
      <c r="U3922" s="13">
        <v>46</v>
      </c>
      <c r="V3922" s="12" t="s">
        <v>278</v>
      </c>
      <c r="W3922" s="12" t="s">
        <v>186</v>
      </c>
      <c r="X3922" s="14"/>
      <c r="Y3922" s="12" t="s">
        <v>91</v>
      </c>
      <c r="Z3922" s="12" t="s">
        <v>165</v>
      </c>
      <c r="AA3922" s="14"/>
      <c r="AB3922" s="14"/>
      <c r="AC3922" s="15">
        <v>63.65</v>
      </c>
      <c r="AD3922" s="15">
        <f>AC3922*AG3922</f>
        <v>63.65</v>
      </c>
      <c r="AE3922" s="15">
        <v>140</v>
      </c>
      <c r="AF3922" s="15">
        <f>AE3922*AG3922</f>
        <v>140</v>
      </c>
      <c r="AG3922" s="16">
        <v>1</v>
      </c>
    </row>
    <row r="3923" spans="1:33" ht="15" customHeight="1" x14ac:dyDescent="0.2">
      <c r="A3923" s="11" t="str">
        <f t="shared" si="1008"/>
        <v>VN000CVV7YO1</v>
      </c>
      <c r="B3923" s="12" t="s">
        <v>14014</v>
      </c>
      <c r="C3923" s="12" t="s">
        <v>2407</v>
      </c>
      <c r="D3923" s="12" t="s">
        <v>2353</v>
      </c>
      <c r="E3923" s="12" t="s">
        <v>14015</v>
      </c>
      <c r="F3923" s="13">
        <v>40</v>
      </c>
      <c r="G3923" s="14"/>
      <c r="H3923" s="12" t="s">
        <v>38</v>
      </c>
      <c r="I3923" s="12" t="s">
        <v>159</v>
      </c>
      <c r="J3923" s="12" t="s">
        <v>255</v>
      </c>
      <c r="K3923" s="12" t="s">
        <v>82</v>
      </c>
      <c r="L3923" s="14"/>
      <c r="M3923" s="12" t="s">
        <v>43</v>
      </c>
      <c r="N3923" s="12" t="s">
        <v>161</v>
      </c>
      <c r="O3923" s="12" t="s">
        <v>14016</v>
      </c>
      <c r="P3923" s="12" t="s">
        <v>46</v>
      </c>
      <c r="Q3923" s="12" t="s">
        <v>47</v>
      </c>
      <c r="R3923" s="12" t="s">
        <v>163</v>
      </c>
      <c r="S3923" s="13">
        <v>197065570187</v>
      </c>
      <c r="T3923" s="12" t="s">
        <v>49</v>
      </c>
      <c r="U3923" s="13">
        <v>35</v>
      </c>
      <c r="V3923" s="12" t="s">
        <v>278</v>
      </c>
      <c r="W3923" s="12" t="s">
        <v>186</v>
      </c>
      <c r="X3923" s="14"/>
      <c r="Y3923" s="12" t="s">
        <v>91</v>
      </c>
      <c r="Z3923" s="12" t="s">
        <v>165</v>
      </c>
      <c r="AA3923" s="14"/>
      <c r="AB3923" s="14"/>
      <c r="AC3923" s="15">
        <v>68.2</v>
      </c>
      <c r="AD3923" s="15">
        <f>AC3923*AG3923</f>
        <v>68.2</v>
      </c>
      <c r="AE3923" s="15">
        <v>150</v>
      </c>
      <c r="AF3923" s="15">
        <f>AE3923*AG3923</f>
        <v>150</v>
      </c>
      <c r="AG3923" s="16">
        <v>1</v>
      </c>
    </row>
    <row r="3924" spans="1:33" ht="15" customHeight="1" x14ac:dyDescent="0.2">
      <c r="A3924" s="11" t="str">
        <f t="shared" ref="A3924:A3926" si="1295">HYPERLINK("https://assets.vans.eu/images/VN000CVV7YO-HERO/1","VN000CVV7YO1")</f>
        <v>VN000CVV7YO1</v>
      </c>
      <c r="B3924" s="12" t="s">
        <v>14017</v>
      </c>
      <c r="C3924" s="12" t="s">
        <v>2407</v>
      </c>
      <c r="D3924" s="12" t="s">
        <v>2353</v>
      </c>
      <c r="E3924" s="12" t="s">
        <v>14018</v>
      </c>
      <c r="F3924" s="13">
        <v>50</v>
      </c>
      <c r="G3924" s="14"/>
      <c r="H3924" s="12" t="s">
        <v>38</v>
      </c>
      <c r="I3924" s="12" t="s">
        <v>159</v>
      </c>
      <c r="J3924" s="12" t="s">
        <v>255</v>
      </c>
      <c r="K3924" s="12" t="s">
        <v>82</v>
      </c>
      <c r="L3924" s="14"/>
      <c r="M3924" s="12" t="s">
        <v>43</v>
      </c>
      <c r="N3924" s="12" t="s">
        <v>161</v>
      </c>
      <c r="O3924" s="12" t="s">
        <v>14019</v>
      </c>
      <c r="P3924" s="12" t="s">
        <v>46</v>
      </c>
      <c r="Q3924" s="12" t="s">
        <v>47</v>
      </c>
      <c r="R3924" s="12" t="s">
        <v>163</v>
      </c>
      <c r="S3924" s="13">
        <v>197065570460</v>
      </c>
      <c r="T3924" s="12" t="s">
        <v>49</v>
      </c>
      <c r="U3924" s="13">
        <v>36.5</v>
      </c>
      <c r="V3924" s="12" t="s">
        <v>278</v>
      </c>
      <c r="W3924" s="12" t="s">
        <v>186</v>
      </c>
      <c r="X3924" s="14"/>
      <c r="Y3924" s="12" t="s">
        <v>91</v>
      </c>
      <c r="Z3924" s="12" t="s">
        <v>165</v>
      </c>
      <c r="AA3924" s="14"/>
      <c r="AB3924" s="14"/>
      <c r="AC3924" s="15">
        <v>68.2</v>
      </c>
      <c r="AD3924" s="15">
        <f>AC3924*AG3924</f>
        <v>68.2</v>
      </c>
      <c r="AE3924" s="15">
        <v>150</v>
      </c>
      <c r="AF3924" s="15">
        <f>AE3924*AG3924</f>
        <v>150</v>
      </c>
      <c r="AG3924" s="16">
        <v>1</v>
      </c>
    </row>
    <row r="3925" spans="1:33" ht="15" customHeight="1" x14ac:dyDescent="0.2">
      <c r="A3925" s="11" t="str">
        <f t="shared" si="1295"/>
        <v>VN000CVV7YO1</v>
      </c>
      <c r="B3925" s="12" t="s">
        <v>14020</v>
      </c>
      <c r="C3925" s="12" t="s">
        <v>2407</v>
      </c>
      <c r="D3925" s="12" t="s">
        <v>2353</v>
      </c>
      <c r="E3925" s="12" t="s">
        <v>14021</v>
      </c>
      <c r="F3925" s="13">
        <v>55</v>
      </c>
      <c r="G3925" s="14"/>
      <c r="H3925" s="12" t="s">
        <v>38</v>
      </c>
      <c r="I3925" s="12" t="s">
        <v>159</v>
      </c>
      <c r="J3925" s="12" t="s">
        <v>255</v>
      </c>
      <c r="K3925" s="12" t="s">
        <v>82</v>
      </c>
      <c r="L3925" s="14"/>
      <c r="M3925" s="12" t="s">
        <v>43</v>
      </c>
      <c r="N3925" s="12" t="s">
        <v>161</v>
      </c>
      <c r="O3925" s="12" t="s">
        <v>14022</v>
      </c>
      <c r="P3925" s="12" t="s">
        <v>46</v>
      </c>
      <c r="Q3925" s="12" t="s">
        <v>47</v>
      </c>
      <c r="R3925" s="12" t="s">
        <v>163</v>
      </c>
      <c r="S3925" s="13">
        <v>197065570705</v>
      </c>
      <c r="T3925" s="12" t="s">
        <v>49</v>
      </c>
      <c r="U3925" s="13">
        <v>37</v>
      </c>
      <c r="V3925" s="12" t="s">
        <v>278</v>
      </c>
      <c r="W3925" s="12" t="s">
        <v>186</v>
      </c>
      <c r="X3925" s="14"/>
      <c r="Y3925" s="12" t="s">
        <v>91</v>
      </c>
      <c r="Z3925" s="12" t="s">
        <v>165</v>
      </c>
      <c r="AA3925" s="14"/>
      <c r="AB3925" s="14"/>
      <c r="AC3925" s="15">
        <v>68.2</v>
      </c>
      <c r="AD3925" s="15">
        <f>AC3925*AG3925</f>
        <v>68.2</v>
      </c>
      <c r="AE3925" s="15">
        <v>150</v>
      </c>
      <c r="AF3925" s="15">
        <f>AE3925*AG3925</f>
        <v>150</v>
      </c>
      <c r="AG3925" s="16">
        <v>1</v>
      </c>
    </row>
    <row r="3926" spans="1:33" ht="15" customHeight="1" x14ac:dyDescent="0.2">
      <c r="A3926" s="11" t="str">
        <f t="shared" si="1295"/>
        <v>VN000CVV7YO1</v>
      </c>
      <c r="B3926" s="12" t="s">
        <v>14023</v>
      </c>
      <c r="C3926" s="12" t="s">
        <v>2407</v>
      </c>
      <c r="D3926" s="12" t="s">
        <v>2353</v>
      </c>
      <c r="E3926" s="12" t="s">
        <v>14024</v>
      </c>
      <c r="F3926" s="13">
        <v>65</v>
      </c>
      <c r="G3926" s="14"/>
      <c r="H3926" s="12" t="s">
        <v>38</v>
      </c>
      <c r="I3926" s="12" t="s">
        <v>159</v>
      </c>
      <c r="J3926" s="12" t="s">
        <v>255</v>
      </c>
      <c r="K3926" s="12" t="s">
        <v>82</v>
      </c>
      <c r="L3926" s="14"/>
      <c r="M3926" s="12" t="s">
        <v>43</v>
      </c>
      <c r="N3926" s="12" t="s">
        <v>161</v>
      </c>
      <c r="O3926" s="12" t="s">
        <v>14025</v>
      </c>
      <c r="P3926" s="12" t="s">
        <v>46</v>
      </c>
      <c r="Q3926" s="12" t="s">
        <v>47</v>
      </c>
      <c r="R3926" s="12" t="s">
        <v>163</v>
      </c>
      <c r="S3926" s="13">
        <v>197065570781</v>
      </c>
      <c r="T3926" s="12" t="s">
        <v>49</v>
      </c>
      <c r="U3926" s="13">
        <v>38.5</v>
      </c>
      <c r="V3926" s="12" t="s">
        <v>278</v>
      </c>
      <c r="W3926" s="12" t="s">
        <v>186</v>
      </c>
      <c r="X3926" s="14"/>
      <c r="Y3926" s="12" t="s">
        <v>91</v>
      </c>
      <c r="Z3926" s="12" t="s">
        <v>165</v>
      </c>
      <c r="AA3926" s="14"/>
      <c r="AB3926" s="14"/>
      <c r="AC3926" s="15">
        <v>68.2</v>
      </c>
      <c r="AD3926" s="15">
        <f>AC3926*AG3926</f>
        <v>68.2</v>
      </c>
      <c r="AE3926" s="15">
        <v>150</v>
      </c>
      <c r="AF3926" s="15">
        <f>AE3926*AG3926</f>
        <v>150</v>
      </c>
      <c r="AG3926" s="16">
        <v>1</v>
      </c>
    </row>
    <row r="3927" spans="1:33" ht="15" customHeight="1" x14ac:dyDescent="0.2">
      <c r="A3927" s="11" t="str">
        <f>HYPERLINK("https://assets.vans.eu/images/VN000CVVBA2-HERO/1","VN000CVVBA21")</f>
        <v>VN000CVVBA21</v>
      </c>
      <c r="B3927" s="12" t="s">
        <v>14026</v>
      </c>
      <c r="C3927" s="12" t="s">
        <v>2407</v>
      </c>
      <c r="D3927" s="12" t="s">
        <v>1844</v>
      </c>
      <c r="E3927" s="12" t="s">
        <v>14027</v>
      </c>
      <c r="F3927" s="13">
        <v>40</v>
      </c>
      <c r="G3927" s="14"/>
      <c r="H3927" s="12" t="s">
        <v>38</v>
      </c>
      <c r="I3927" s="12" t="s">
        <v>159</v>
      </c>
      <c r="J3927" s="12" t="s">
        <v>255</v>
      </c>
      <c r="K3927" s="12" t="s">
        <v>82</v>
      </c>
      <c r="L3927" s="14"/>
      <c r="M3927" s="12" t="s">
        <v>43</v>
      </c>
      <c r="N3927" s="12" t="s">
        <v>84</v>
      </c>
      <c r="O3927" s="12" t="s">
        <v>14028</v>
      </c>
      <c r="P3927" s="12" t="s">
        <v>46</v>
      </c>
      <c r="Q3927" s="12" t="s">
        <v>47</v>
      </c>
      <c r="R3927" s="12" t="s">
        <v>163</v>
      </c>
      <c r="S3927" s="13">
        <v>197065570811</v>
      </c>
      <c r="T3927" s="12" t="s">
        <v>49</v>
      </c>
      <c r="U3927" s="13">
        <v>35</v>
      </c>
      <c r="V3927" s="12" t="s">
        <v>278</v>
      </c>
      <c r="W3927" s="12" t="s">
        <v>51</v>
      </c>
      <c r="X3927" s="14"/>
      <c r="Y3927" s="12" t="s">
        <v>91</v>
      </c>
      <c r="Z3927" s="12" t="s">
        <v>165</v>
      </c>
      <c r="AA3927" s="14"/>
      <c r="AB3927" s="14"/>
      <c r="AC3927" s="15">
        <v>68.2</v>
      </c>
      <c r="AD3927" s="15">
        <f>AC3927*AG3927</f>
        <v>68.2</v>
      </c>
      <c r="AE3927" s="15">
        <v>150</v>
      </c>
      <c r="AF3927" s="15">
        <f>AE3927*AG3927</f>
        <v>150</v>
      </c>
      <c r="AG3927" s="16">
        <v>1</v>
      </c>
    </row>
    <row r="3928" spans="1:33" ht="15" customHeight="1" x14ac:dyDescent="0.2">
      <c r="A3928" s="11" t="str">
        <f>HYPERLINK("https://assets.vans.eu/images/VN000CVVBLU-HERO/1","VN000CVVBLU1")</f>
        <v>VN000CVVBLU1</v>
      </c>
      <c r="B3928" s="12" t="s">
        <v>14029</v>
      </c>
      <c r="C3928" s="12" t="s">
        <v>2407</v>
      </c>
      <c r="D3928" s="12" t="s">
        <v>4910</v>
      </c>
      <c r="E3928" s="12" t="s">
        <v>14030</v>
      </c>
      <c r="F3928" s="13">
        <v>50</v>
      </c>
      <c r="G3928" s="14"/>
      <c r="H3928" s="12" t="s">
        <v>38</v>
      </c>
      <c r="I3928" s="12" t="s">
        <v>159</v>
      </c>
      <c r="J3928" s="12" t="s">
        <v>255</v>
      </c>
      <c r="K3928" s="12" t="s">
        <v>82</v>
      </c>
      <c r="L3928" s="14"/>
      <c r="M3928" s="12" t="s">
        <v>43</v>
      </c>
      <c r="N3928" s="12" t="s">
        <v>161</v>
      </c>
      <c r="O3928" s="12" t="s">
        <v>14031</v>
      </c>
      <c r="P3928" s="12" t="s">
        <v>46</v>
      </c>
      <c r="Q3928" s="12" t="s">
        <v>47</v>
      </c>
      <c r="R3928" s="12" t="s">
        <v>163</v>
      </c>
      <c r="S3928" s="13">
        <v>197065571597</v>
      </c>
      <c r="T3928" s="12" t="s">
        <v>49</v>
      </c>
      <c r="U3928" s="13">
        <v>36.5</v>
      </c>
      <c r="V3928" s="12" t="s">
        <v>278</v>
      </c>
      <c r="W3928" s="12" t="s">
        <v>284</v>
      </c>
      <c r="X3928" s="14"/>
      <c r="Y3928" s="12" t="s">
        <v>91</v>
      </c>
      <c r="Z3928" s="12" t="s">
        <v>165</v>
      </c>
      <c r="AA3928" s="14"/>
      <c r="AB3928" s="14"/>
      <c r="AC3928" s="15">
        <v>68.2</v>
      </c>
      <c r="AD3928" s="15">
        <f>AC3928*AG3928</f>
        <v>68.2</v>
      </c>
      <c r="AE3928" s="15">
        <v>150</v>
      </c>
      <c r="AF3928" s="15">
        <f>AE3928*AG3928</f>
        <v>150</v>
      </c>
      <c r="AG3928" s="16">
        <v>1</v>
      </c>
    </row>
    <row r="3929" spans="1:33" ht="15" customHeight="1" x14ac:dyDescent="0.2">
      <c r="A3929" s="11" t="str">
        <f t="shared" si="1009"/>
        <v>VN000CVVCRM1</v>
      </c>
      <c r="B3929" s="12" t="s">
        <v>14032</v>
      </c>
      <c r="C3929" s="12" t="s">
        <v>2407</v>
      </c>
      <c r="D3929" s="12" t="s">
        <v>2783</v>
      </c>
      <c r="E3929" s="12" t="s">
        <v>14033</v>
      </c>
      <c r="F3929" s="13">
        <v>55</v>
      </c>
      <c r="G3929" s="14"/>
      <c r="H3929" s="12" t="s">
        <v>38</v>
      </c>
      <c r="I3929" s="12" t="s">
        <v>113</v>
      </c>
      <c r="J3929" s="12" t="s">
        <v>529</v>
      </c>
      <c r="K3929" s="12" t="s">
        <v>82</v>
      </c>
      <c r="L3929" s="14"/>
      <c r="M3929" s="12" t="s">
        <v>43</v>
      </c>
      <c r="N3929" s="12" t="s">
        <v>161</v>
      </c>
      <c r="O3929" s="12" t="s">
        <v>14034</v>
      </c>
      <c r="P3929" s="12" t="s">
        <v>46</v>
      </c>
      <c r="Q3929" s="12" t="s">
        <v>47</v>
      </c>
      <c r="R3929" s="12" t="s">
        <v>117</v>
      </c>
      <c r="S3929" s="13">
        <v>197065572051</v>
      </c>
      <c r="T3929" s="12" t="s">
        <v>49</v>
      </c>
      <c r="U3929" s="13">
        <v>37</v>
      </c>
      <c r="V3929" s="12" t="s">
        <v>278</v>
      </c>
      <c r="W3929" s="12" t="s">
        <v>580</v>
      </c>
      <c r="X3929" s="14"/>
      <c r="Y3929" s="12" t="s">
        <v>91</v>
      </c>
      <c r="Z3929" s="12" t="s">
        <v>165</v>
      </c>
      <c r="AA3929" s="14"/>
      <c r="AB3929" s="14"/>
      <c r="AC3929" s="15">
        <v>68.2</v>
      </c>
      <c r="AD3929" s="15">
        <f>AC3929*AG3929</f>
        <v>68.2</v>
      </c>
      <c r="AE3929" s="15">
        <v>150</v>
      </c>
      <c r="AF3929" s="15">
        <f>AE3929*AG3929</f>
        <v>150</v>
      </c>
      <c r="AG3929" s="16">
        <v>1</v>
      </c>
    </row>
    <row r="3930" spans="1:33" ht="15" customHeight="1" x14ac:dyDescent="0.2">
      <c r="A3930" s="11" t="str">
        <f>HYPERLINK("https://assets.vans.eu/images/VN000CVVCRM-HERO/1","VN000CVVCRM1")</f>
        <v>VN000CVVCRM1</v>
      </c>
      <c r="B3930" s="12" t="s">
        <v>14035</v>
      </c>
      <c r="C3930" s="12" t="s">
        <v>2407</v>
      </c>
      <c r="D3930" s="12" t="s">
        <v>2783</v>
      </c>
      <c r="E3930" s="12" t="s">
        <v>14036</v>
      </c>
      <c r="F3930" s="13">
        <v>85</v>
      </c>
      <c r="G3930" s="14"/>
      <c r="H3930" s="12" t="s">
        <v>38</v>
      </c>
      <c r="I3930" s="12" t="s">
        <v>113</v>
      </c>
      <c r="J3930" s="12" t="s">
        <v>529</v>
      </c>
      <c r="K3930" s="12" t="s">
        <v>82</v>
      </c>
      <c r="L3930" s="14"/>
      <c r="M3930" s="12" t="s">
        <v>43</v>
      </c>
      <c r="N3930" s="12" t="s">
        <v>161</v>
      </c>
      <c r="O3930" s="12" t="s">
        <v>14037</v>
      </c>
      <c r="P3930" s="12" t="s">
        <v>46</v>
      </c>
      <c r="Q3930" s="12" t="s">
        <v>47</v>
      </c>
      <c r="R3930" s="12" t="s">
        <v>117</v>
      </c>
      <c r="S3930" s="13">
        <v>197065573065</v>
      </c>
      <c r="T3930" s="12" t="s">
        <v>49</v>
      </c>
      <c r="U3930" s="13">
        <v>41</v>
      </c>
      <c r="V3930" s="12" t="s">
        <v>278</v>
      </c>
      <c r="W3930" s="12" t="s">
        <v>580</v>
      </c>
      <c r="X3930" s="14"/>
      <c r="Y3930" s="12" t="s">
        <v>91</v>
      </c>
      <c r="Z3930" s="12" t="s">
        <v>165</v>
      </c>
      <c r="AA3930" s="14"/>
      <c r="AB3930" s="14"/>
      <c r="AC3930" s="15">
        <v>68.2</v>
      </c>
      <c r="AD3930" s="15">
        <f>AC3930*AG3930</f>
        <v>68.2</v>
      </c>
      <c r="AE3930" s="15">
        <v>150</v>
      </c>
      <c r="AF3930" s="15">
        <f>AE3930*AG3930</f>
        <v>150</v>
      </c>
      <c r="AG3930" s="16">
        <v>1</v>
      </c>
    </row>
    <row r="3931" spans="1:33" ht="15" customHeight="1" x14ac:dyDescent="0.2">
      <c r="A3931" s="11" t="str">
        <f t="shared" ref="A3931:A3941" si="1296">HYPERLINK("https://assets.vans.eu/images/VN000CVVEMQ-HERO/1","VN000CVVEMQ1")</f>
        <v>VN000CVVEMQ1</v>
      </c>
      <c r="B3931" s="12" t="s">
        <v>14038</v>
      </c>
      <c r="C3931" s="12" t="s">
        <v>2407</v>
      </c>
      <c r="D3931" s="12" t="s">
        <v>14039</v>
      </c>
      <c r="E3931" s="12" t="s">
        <v>14040</v>
      </c>
      <c r="F3931" s="13">
        <v>75</v>
      </c>
      <c r="G3931" s="14"/>
      <c r="H3931" s="12" t="s">
        <v>38</v>
      </c>
      <c r="I3931" s="12" t="s">
        <v>159</v>
      </c>
      <c r="J3931" s="12" t="s">
        <v>255</v>
      </c>
      <c r="K3931" s="12" t="s">
        <v>82</v>
      </c>
      <c r="L3931" s="14"/>
      <c r="M3931" s="12" t="s">
        <v>43</v>
      </c>
      <c r="N3931" s="12" t="s">
        <v>84</v>
      </c>
      <c r="O3931" s="12" t="s">
        <v>14041</v>
      </c>
      <c r="P3931" s="12" t="s">
        <v>46</v>
      </c>
      <c r="Q3931" s="12" t="s">
        <v>47</v>
      </c>
      <c r="R3931" s="12" t="s">
        <v>163</v>
      </c>
      <c r="S3931" s="13">
        <v>197804433414</v>
      </c>
      <c r="T3931" s="12" t="s">
        <v>49</v>
      </c>
      <c r="U3931" s="13">
        <v>40</v>
      </c>
      <c r="V3931" s="12" t="s">
        <v>278</v>
      </c>
      <c r="W3931" s="12" t="s">
        <v>51</v>
      </c>
      <c r="X3931" s="14"/>
      <c r="Y3931" s="14"/>
      <c r="Z3931" s="14"/>
      <c r="AA3931" s="14"/>
      <c r="AB3931" s="14"/>
      <c r="AC3931" s="15">
        <v>68.2</v>
      </c>
      <c r="AD3931" s="15">
        <f>AC3931*AG3931</f>
        <v>68.2</v>
      </c>
      <c r="AE3931" s="15">
        <v>150</v>
      </c>
      <c r="AF3931" s="15">
        <f>AE3931*AG3931</f>
        <v>150</v>
      </c>
      <c r="AG3931" s="16">
        <v>1</v>
      </c>
    </row>
    <row r="3932" spans="1:33" ht="15" customHeight="1" x14ac:dyDescent="0.2">
      <c r="A3932" s="11" t="str">
        <f t="shared" si="1296"/>
        <v>VN000CVVEMQ1</v>
      </c>
      <c r="B3932" s="12" t="s">
        <v>14042</v>
      </c>
      <c r="C3932" s="12" t="s">
        <v>2407</v>
      </c>
      <c r="D3932" s="12" t="s">
        <v>14039</v>
      </c>
      <c r="E3932" s="12" t="s">
        <v>14043</v>
      </c>
      <c r="F3932" s="13">
        <v>80</v>
      </c>
      <c r="G3932" s="14"/>
      <c r="H3932" s="12" t="s">
        <v>38</v>
      </c>
      <c r="I3932" s="12" t="s">
        <v>159</v>
      </c>
      <c r="J3932" s="12" t="s">
        <v>255</v>
      </c>
      <c r="K3932" s="12" t="s">
        <v>82</v>
      </c>
      <c r="L3932" s="14"/>
      <c r="M3932" s="12" t="s">
        <v>43</v>
      </c>
      <c r="N3932" s="12" t="s">
        <v>84</v>
      </c>
      <c r="O3932" s="12" t="s">
        <v>14044</v>
      </c>
      <c r="P3932" s="12" t="s">
        <v>46</v>
      </c>
      <c r="Q3932" s="12" t="s">
        <v>47</v>
      </c>
      <c r="R3932" s="12" t="s">
        <v>163</v>
      </c>
      <c r="S3932" s="13">
        <v>197804433605</v>
      </c>
      <c r="T3932" s="12" t="s">
        <v>49</v>
      </c>
      <c r="U3932" s="13">
        <v>40.5</v>
      </c>
      <c r="V3932" s="12" t="s">
        <v>278</v>
      </c>
      <c r="W3932" s="12" t="s">
        <v>51</v>
      </c>
      <c r="X3932" s="14"/>
      <c r="Y3932" s="14"/>
      <c r="Z3932" s="14"/>
      <c r="AA3932" s="14"/>
      <c r="AB3932" s="14"/>
      <c r="AC3932" s="15">
        <v>68.2</v>
      </c>
      <c r="AD3932" s="15">
        <f>AC3932*AG3932</f>
        <v>68.2</v>
      </c>
      <c r="AE3932" s="15">
        <v>150</v>
      </c>
      <c r="AF3932" s="15">
        <f>AE3932*AG3932</f>
        <v>150</v>
      </c>
      <c r="AG3932" s="16">
        <v>1</v>
      </c>
    </row>
    <row r="3933" spans="1:33" ht="15" customHeight="1" x14ac:dyDescent="0.2">
      <c r="A3933" s="11" t="str">
        <f t="shared" si="1296"/>
        <v>VN000CVVEMQ1</v>
      </c>
      <c r="B3933" s="12" t="s">
        <v>14045</v>
      </c>
      <c r="C3933" s="12" t="s">
        <v>2407</v>
      </c>
      <c r="D3933" s="12" t="s">
        <v>14039</v>
      </c>
      <c r="E3933" s="12" t="s">
        <v>14046</v>
      </c>
      <c r="F3933" s="13">
        <v>85</v>
      </c>
      <c r="G3933" s="14"/>
      <c r="H3933" s="12" t="s">
        <v>38</v>
      </c>
      <c r="I3933" s="12" t="s">
        <v>159</v>
      </c>
      <c r="J3933" s="12" t="s">
        <v>255</v>
      </c>
      <c r="K3933" s="12" t="s">
        <v>82</v>
      </c>
      <c r="L3933" s="14"/>
      <c r="M3933" s="12" t="s">
        <v>43</v>
      </c>
      <c r="N3933" s="12" t="s">
        <v>84</v>
      </c>
      <c r="O3933" s="12" t="s">
        <v>14047</v>
      </c>
      <c r="P3933" s="12" t="s">
        <v>46</v>
      </c>
      <c r="Q3933" s="12" t="s">
        <v>47</v>
      </c>
      <c r="R3933" s="12" t="s">
        <v>163</v>
      </c>
      <c r="S3933" s="13">
        <v>197804433902</v>
      </c>
      <c r="T3933" s="12" t="s">
        <v>49</v>
      </c>
      <c r="U3933" s="13">
        <v>41</v>
      </c>
      <c r="V3933" s="12" t="s">
        <v>278</v>
      </c>
      <c r="W3933" s="12" t="s">
        <v>51</v>
      </c>
      <c r="X3933" s="14"/>
      <c r="Y3933" s="14"/>
      <c r="Z3933" s="14"/>
      <c r="AA3933" s="14"/>
      <c r="AB3933" s="14"/>
      <c r="AC3933" s="15">
        <v>68.2</v>
      </c>
      <c r="AD3933" s="15">
        <f>AC3933*AG3933</f>
        <v>68.2</v>
      </c>
      <c r="AE3933" s="15">
        <v>150</v>
      </c>
      <c r="AF3933" s="15">
        <f>AE3933*AG3933</f>
        <v>150</v>
      </c>
      <c r="AG3933" s="16">
        <v>1</v>
      </c>
    </row>
    <row r="3934" spans="1:33" ht="15" customHeight="1" x14ac:dyDescent="0.2">
      <c r="A3934" s="11" t="str">
        <f t="shared" si="1296"/>
        <v>VN000CVVEMQ1</v>
      </c>
      <c r="B3934" s="12" t="s">
        <v>14048</v>
      </c>
      <c r="C3934" s="12" t="s">
        <v>2407</v>
      </c>
      <c r="D3934" s="12" t="s">
        <v>14039</v>
      </c>
      <c r="E3934" s="12" t="s">
        <v>14049</v>
      </c>
      <c r="F3934" s="13">
        <v>90</v>
      </c>
      <c r="G3934" s="14"/>
      <c r="H3934" s="12" t="s">
        <v>38</v>
      </c>
      <c r="I3934" s="12" t="s">
        <v>159</v>
      </c>
      <c r="J3934" s="12" t="s">
        <v>255</v>
      </c>
      <c r="K3934" s="12" t="s">
        <v>82</v>
      </c>
      <c r="L3934" s="14"/>
      <c r="M3934" s="12" t="s">
        <v>43</v>
      </c>
      <c r="N3934" s="12" t="s">
        <v>84</v>
      </c>
      <c r="O3934" s="12" t="s">
        <v>14050</v>
      </c>
      <c r="P3934" s="12" t="s">
        <v>46</v>
      </c>
      <c r="Q3934" s="12" t="s">
        <v>47</v>
      </c>
      <c r="R3934" s="12" t="s">
        <v>163</v>
      </c>
      <c r="S3934" s="13">
        <v>197804434107</v>
      </c>
      <c r="T3934" s="12" t="s">
        <v>49</v>
      </c>
      <c r="U3934" s="13">
        <v>42</v>
      </c>
      <c r="V3934" s="12" t="s">
        <v>278</v>
      </c>
      <c r="W3934" s="12" t="s">
        <v>51</v>
      </c>
      <c r="X3934" s="14"/>
      <c r="Y3934" s="14"/>
      <c r="Z3934" s="14"/>
      <c r="AA3934" s="14"/>
      <c r="AB3934" s="14"/>
      <c r="AC3934" s="15">
        <v>68.2</v>
      </c>
      <c r="AD3934" s="15">
        <f>AC3934*AG3934</f>
        <v>68.2</v>
      </c>
      <c r="AE3934" s="15">
        <v>150</v>
      </c>
      <c r="AF3934" s="15">
        <f>AE3934*AG3934</f>
        <v>150</v>
      </c>
      <c r="AG3934" s="16">
        <v>1</v>
      </c>
    </row>
    <row r="3935" spans="1:33" ht="15" customHeight="1" x14ac:dyDescent="0.2">
      <c r="A3935" s="11" t="str">
        <f t="shared" si="1296"/>
        <v>VN000CVVEMQ1</v>
      </c>
      <c r="B3935" s="12" t="s">
        <v>14051</v>
      </c>
      <c r="C3935" s="12" t="s">
        <v>2407</v>
      </c>
      <c r="D3935" s="12" t="s">
        <v>14039</v>
      </c>
      <c r="E3935" s="12" t="s">
        <v>14052</v>
      </c>
      <c r="F3935" s="13">
        <v>95</v>
      </c>
      <c r="G3935" s="14"/>
      <c r="H3935" s="12" t="s">
        <v>38</v>
      </c>
      <c r="I3935" s="12" t="s">
        <v>159</v>
      </c>
      <c r="J3935" s="12" t="s">
        <v>255</v>
      </c>
      <c r="K3935" s="12" t="s">
        <v>82</v>
      </c>
      <c r="L3935" s="14"/>
      <c r="M3935" s="12" t="s">
        <v>43</v>
      </c>
      <c r="N3935" s="12" t="s">
        <v>84</v>
      </c>
      <c r="O3935" s="12" t="s">
        <v>14053</v>
      </c>
      <c r="P3935" s="12" t="s">
        <v>46</v>
      </c>
      <c r="Q3935" s="12" t="s">
        <v>47</v>
      </c>
      <c r="R3935" s="12" t="s">
        <v>163</v>
      </c>
      <c r="S3935" s="13">
        <v>197804434190</v>
      </c>
      <c r="T3935" s="12" t="s">
        <v>49</v>
      </c>
      <c r="U3935" s="13">
        <v>42.5</v>
      </c>
      <c r="V3935" s="12" t="s">
        <v>278</v>
      </c>
      <c r="W3935" s="12" t="s">
        <v>51</v>
      </c>
      <c r="X3935" s="14"/>
      <c r="Y3935" s="14"/>
      <c r="Z3935" s="14"/>
      <c r="AA3935" s="14"/>
      <c r="AB3935" s="14"/>
      <c r="AC3935" s="15">
        <v>68.2</v>
      </c>
      <c r="AD3935" s="15">
        <f>AC3935*AG3935</f>
        <v>68.2</v>
      </c>
      <c r="AE3935" s="15">
        <v>150</v>
      </c>
      <c r="AF3935" s="15">
        <f>AE3935*AG3935</f>
        <v>150</v>
      </c>
      <c r="AG3935" s="16">
        <v>1</v>
      </c>
    </row>
    <row r="3936" spans="1:33" ht="15" customHeight="1" x14ac:dyDescent="0.2">
      <c r="A3936" s="11" t="str">
        <f t="shared" si="1296"/>
        <v>VN000CVVEMQ1</v>
      </c>
      <c r="B3936" s="12" t="s">
        <v>14054</v>
      </c>
      <c r="C3936" s="12" t="s">
        <v>2407</v>
      </c>
      <c r="D3936" s="12" t="s">
        <v>14039</v>
      </c>
      <c r="E3936" s="12" t="s">
        <v>14055</v>
      </c>
      <c r="F3936" s="13">
        <v>100</v>
      </c>
      <c r="G3936" s="14"/>
      <c r="H3936" s="12" t="s">
        <v>38</v>
      </c>
      <c r="I3936" s="12" t="s">
        <v>159</v>
      </c>
      <c r="J3936" s="12" t="s">
        <v>255</v>
      </c>
      <c r="K3936" s="12" t="s">
        <v>82</v>
      </c>
      <c r="L3936" s="14"/>
      <c r="M3936" s="12" t="s">
        <v>43</v>
      </c>
      <c r="N3936" s="12" t="s">
        <v>84</v>
      </c>
      <c r="O3936" s="12" t="s">
        <v>14056</v>
      </c>
      <c r="P3936" s="12" t="s">
        <v>46</v>
      </c>
      <c r="Q3936" s="12" t="s">
        <v>47</v>
      </c>
      <c r="R3936" s="12" t="s">
        <v>163</v>
      </c>
      <c r="S3936" s="13">
        <v>197804434503</v>
      </c>
      <c r="T3936" s="12" t="s">
        <v>49</v>
      </c>
      <c r="U3936" s="13">
        <v>43</v>
      </c>
      <c r="V3936" s="12" t="s">
        <v>278</v>
      </c>
      <c r="W3936" s="12" t="s">
        <v>51</v>
      </c>
      <c r="X3936" s="14"/>
      <c r="Y3936" s="14"/>
      <c r="Z3936" s="14"/>
      <c r="AA3936" s="14"/>
      <c r="AB3936" s="14"/>
      <c r="AC3936" s="15">
        <v>68.2</v>
      </c>
      <c r="AD3936" s="15">
        <f>AC3936*AG3936</f>
        <v>68.2</v>
      </c>
      <c r="AE3936" s="15">
        <v>150</v>
      </c>
      <c r="AF3936" s="15">
        <f>AE3936*AG3936</f>
        <v>150</v>
      </c>
      <c r="AG3936" s="16">
        <v>1</v>
      </c>
    </row>
    <row r="3937" spans="1:33" ht="15" customHeight="1" x14ac:dyDescent="0.2">
      <c r="A3937" s="11" t="str">
        <f t="shared" si="1296"/>
        <v>VN000CVVEMQ1</v>
      </c>
      <c r="B3937" s="12" t="s">
        <v>14057</v>
      </c>
      <c r="C3937" s="12" t="s">
        <v>2407</v>
      </c>
      <c r="D3937" s="12" t="s">
        <v>14039</v>
      </c>
      <c r="E3937" s="12" t="s">
        <v>14058</v>
      </c>
      <c r="F3937" s="13">
        <v>105</v>
      </c>
      <c r="G3937" s="14"/>
      <c r="H3937" s="12" t="s">
        <v>38</v>
      </c>
      <c r="I3937" s="12" t="s">
        <v>159</v>
      </c>
      <c r="J3937" s="12" t="s">
        <v>255</v>
      </c>
      <c r="K3937" s="12" t="s">
        <v>82</v>
      </c>
      <c r="L3937" s="14"/>
      <c r="M3937" s="12" t="s">
        <v>43</v>
      </c>
      <c r="N3937" s="12" t="s">
        <v>84</v>
      </c>
      <c r="O3937" s="12" t="s">
        <v>14059</v>
      </c>
      <c r="P3937" s="12" t="s">
        <v>46</v>
      </c>
      <c r="Q3937" s="12" t="s">
        <v>47</v>
      </c>
      <c r="R3937" s="12" t="s">
        <v>163</v>
      </c>
      <c r="S3937" s="13">
        <v>197804434589</v>
      </c>
      <c r="T3937" s="12" t="s">
        <v>49</v>
      </c>
      <c r="U3937" s="13">
        <v>44</v>
      </c>
      <c r="V3937" s="12" t="s">
        <v>278</v>
      </c>
      <c r="W3937" s="12" t="s">
        <v>51</v>
      </c>
      <c r="X3937" s="14"/>
      <c r="Y3937" s="14"/>
      <c r="Z3937" s="14"/>
      <c r="AA3937" s="14"/>
      <c r="AB3937" s="14"/>
      <c r="AC3937" s="15">
        <v>68.2</v>
      </c>
      <c r="AD3937" s="15">
        <f>AC3937*AG3937</f>
        <v>68.2</v>
      </c>
      <c r="AE3937" s="15">
        <v>150</v>
      </c>
      <c r="AF3937" s="15">
        <f>AE3937*AG3937</f>
        <v>150</v>
      </c>
      <c r="AG3937" s="16">
        <v>1</v>
      </c>
    </row>
    <row r="3938" spans="1:33" ht="15" customHeight="1" x14ac:dyDescent="0.2">
      <c r="A3938" s="11" t="str">
        <f t="shared" si="1296"/>
        <v>VN000CVVEMQ1</v>
      </c>
      <c r="B3938" s="12" t="s">
        <v>14060</v>
      </c>
      <c r="C3938" s="12" t="s">
        <v>2407</v>
      </c>
      <c r="D3938" s="12" t="s">
        <v>14039</v>
      </c>
      <c r="E3938" s="12" t="s">
        <v>14061</v>
      </c>
      <c r="F3938" s="13">
        <v>110</v>
      </c>
      <c r="G3938" s="14"/>
      <c r="H3938" s="12" t="s">
        <v>38</v>
      </c>
      <c r="I3938" s="12" t="s">
        <v>159</v>
      </c>
      <c r="J3938" s="12" t="s">
        <v>255</v>
      </c>
      <c r="K3938" s="12" t="s">
        <v>82</v>
      </c>
      <c r="L3938" s="14"/>
      <c r="M3938" s="12" t="s">
        <v>43</v>
      </c>
      <c r="N3938" s="12" t="s">
        <v>84</v>
      </c>
      <c r="O3938" s="12" t="s">
        <v>14062</v>
      </c>
      <c r="P3938" s="12" t="s">
        <v>46</v>
      </c>
      <c r="Q3938" s="12" t="s">
        <v>47</v>
      </c>
      <c r="R3938" s="12" t="s">
        <v>163</v>
      </c>
      <c r="S3938" s="13">
        <v>197804434749</v>
      </c>
      <c r="T3938" s="12" t="s">
        <v>49</v>
      </c>
      <c r="U3938" s="13">
        <v>44.5</v>
      </c>
      <c r="V3938" s="12" t="s">
        <v>278</v>
      </c>
      <c r="W3938" s="12" t="s">
        <v>51</v>
      </c>
      <c r="X3938" s="14"/>
      <c r="Y3938" s="14"/>
      <c r="Z3938" s="14"/>
      <c r="AA3938" s="14"/>
      <c r="AB3938" s="14"/>
      <c r="AC3938" s="15">
        <v>68.2</v>
      </c>
      <c r="AD3938" s="15">
        <f>AC3938*AG3938</f>
        <v>68.2</v>
      </c>
      <c r="AE3938" s="15">
        <v>150</v>
      </c>
      <c r="AF3938" s="15">
        <f>AE3938*AG3938</f>
        <v>150</v>
      </c>
      <c r="AG3938" s="16">
        <v>1</v>
      </c>
    </row>
    <row r="3939" spans="1:33" ht="15" customHeight="1" x14ac:dyDescent="0.2">
      <c r="A3939" s="11" t="str">
        <f t="shared" si="1296"/>
        <v>VN000CVVEMQ1</v>
      </c>
      <c r="B3939" s="12" t="s">
        <v>14063</v>
      </c>
      <c r="C3939" s="12" t="s">
        <v>2407</v>
      </c>
      <c r="D3939" s="12" t="s">
        <v>14039</v>
      </c>
      <c r="E3939" s="12" t="s">
        <v>14064</v>
      </c>
      <c r="F3939" s="13">
        <v>115</v>
      </c>
      <c r="G3939" s="14"/>
      <c r="H3939" s="12" t="s">
        <v>38</v>
      </c>
      <c r="I3939" s="12" t="s">
        <v>159</v>
      </c>
      <c r="J3939" s="12" t="s">
        <v>255</v>
      </c>
      <c r="K3939" s="12" t="s">
        <v>82</v>
      </c>
      <c r="L3939" s="14"/>
      <c r="M3939" s="12" t="s">
        <v>43</v>
      </c>
      <c r="N3939" s="12" t="s">
        <v>84</v>
      </c>
      <c r="O3939" s="12" t="s">
        <v>14065</v>
      </c>
      <c r="P3939" s="12" t="s">
        <v>46</v>
      </c>
      <c r="Q3939" s="12" t="s">
        <v>47</v>
      </c>
      <c r="R3939" s="12" t="s">
        <v>163</v>
      </c>
      <c r="S3939" s="13">
        <v>197804434916</v>
      </c>
      <c r="T3939" s="12" t="s">
        <v>49</v>
      </c>
      <c r="U3939" s="13">
        <v>45</v>
      </c>
      <c r="V3939" s="12" t="s">
        <v>278</v>
      </c>
      <c r="W3939" s="12" t="s">
        <v>51</v>
      </c>
      <c r="X3939" s="14"/>
      <c r="Y3939" s="14"/>
      <c r="Z3939" s="14"/>
      <c r="AA3939" s="14"/>
      <c r="AB3939" s="14"/>
      <c r="AC3939" s="15">
        <v>68.2</v>
      </c>
      <c r="AD3939" s="15">
        <f>AC3939*AG3939</f>
        <v>68.2</v>
      </c>
      <c r="AE3939" s="15">
        <v>150</v>
      </c>
      <c r="AF3939" s="15">
        <f>AE3939*AG3939</f>
        <v>150</v>
      </c>
      <c r="AG3939" s="16">
        <v>1</v>
      </c>
    </row>
    <row r="3940" spans="1:33" ht="15" customHeight="1" x14ac:dyDescent="0.2">
      <c r="A3940" s="11" t="str">
        <f t="shared" si="1296"/>
        <v>VN000CVVEMQ1</v>
      </c>
      <c r="B3940" s="12" t="s">
        <v>14066</v>
      </c>
      <c r="C3940" s="12" t="s">
        <v>2407</v>
      </c>
      <c r="D3940" s="12" t="s">
        <v>14039</v>
      </c>
      <c r="E3940" s="12" t="s">
        <v>14067</v>
      </c>
      <c r="F3940" s="13">
        <v>120</v>
      </c>
      <c r="G3940" s="14"/>
      <c r="H3940" s="12" t="s">
        <v>38</v>
      </c>
      <c r="I3940" s="12" t="s">
        <v>159</v>
      </c>
      <c r="J3940" s="12" t="s">
        <v>255</v>
      </c>
      <c r="K3940" s="12" t="s">
        <v>82</v>
      </c>
      <c r="L3940" s="14"/>
      <c r="M3940" s="12" t="s">
        <v>43</v>
      </c>
      <c r="N3940" s="12" t="s">
        <v>84</v>
      </c>
      <c r="O3940" s="12" t="s">
        <v>14068</v>
      </c>
      <c r="P3940" s="12" t="s">
        <v>46</v>
      </c>
      <c r="Q3940" s="12" t="s">
        <v>47</v>
      </c>
      <c r="R3940" s="12" t="s">
        <v>163</v>
      </c>
      <c r="S3940" s="13">
        <v>197804434961</v>
      </c>
      <c r="T3940" s="12" t="s">
        <v>49</v>
      </c>
      <c r="U3940" s="13">
        <v>46</v>
      </c>
      <c r="V3940" s="12" t="s">
        <v>278</v>
      </c>
      <c r="W3940" s="12" t="s">
        <v>51</v>
      </c>
      <c r="X3940" s="14"/>
      <c r="Y3940" s="14"/>
      <c r="Z3940" s="14"/>
      <c r="AA3940" s="14"/>
      <c r="AB3940" s="14"/>
      <c r="AC3940" s="15">
        <v>68.2</v>
      </c>
      <c r="AD3940" s="15">
        <f>AC3940*AG3940</f>
        <v>68.2</v>
      </c>
      <c r="AE3940" s="15">
        <v>150</v>
      </c>
      <c r="AF3940" s="15">
        <f>AE3940*AG3940</f>
        <v>150</v>
      </c>
      <c r="AG3940" s="16">
        <v>1</v>
      </c>
    </row>
    <row r="3941" spans="1:33" ht="15" customHeight="1" x14ac:dyDescent="0.2">
      <c r="A3941" s="11" t="str">
        <f t="shared" si="1296"/>
        <v>VN000CVVEMQ1</v>
      </c>
      <c r="B3941" s="12" t="s">
        <v>14069</v>
      </c>
      <c r="C3941" s="12" t="s">
        <v>2407</v>
      </c>
      <c r="D3941" s="12" t="s">
        <v>14039</v>
      </c>
      <c r="E3941" s="12" t="s">
        <v>14070</v>
      </c>
      <c r="F3941" s="13">
        <v>130</v>
      </c>
      <c r="G3941" s="14"/>
      <c r="H3941" s="12" t="s">
        <v>38</v>
      </c>
      <c r="I3941" s="12" t="s">
        <v>159</v>
      </c>
      <c r="J3941" s="12" t="s">
        <v>255</v>
      </c>
      <c r="K3941" s="12" t="s">
        <v>82</v>
      </c>
      <c r="L3941" s="14"/>
      <c r="M3941" s="12" t="s">
        <v>43</v>
      </c>
      <c r="N3941" s="12" t="s">
        <v>84</v>
      </c>
      <c r="O3941" s="12" t="s">
        <v>14071</v>
      </c>
      <c r="P3941" s="12" t="s">
        <v>46</v>
      </c>
      <c r="Q3941" s="12" t="s">
        <v>47</v>
      </c>
      <c r="R3941" s="12" t="s">
        <v>163</v>
      </c>
      <c r="S3941" s="13">
        <v>197804435005</v>
      </c>
      <c r="T3941" s="12" t="s">
        <v>49</v>
      </c>
      <c r="U3941" s="13">
        <v>47</v>
      </c>
      <c r="V3941" s="12" t="s">
        <v>278</v>
      </c>
      <c r="W3941" s="12" t="s">
        <v>51</v>
      </c>
      <c r="X3941" s="14"/>
      <c r="Y3941" s="14"/>
      <c r="Z3941" s="14"/>
      <c r="AA3941" s="14"/>
      <c r="AB3941" s="14"/>
      <c r="AC3941" s="15">
        <v>68.2</v>
      </c>
      <c r="AD3941" s="15">
        <f>AC3941*AG3941</f>
        <v>68.2</v>
      </c>
      <c r="AE3941" s="15">
        <v>150</v>
      </c>
      <c r="AF3941" s="15">
        <f>AE3941*AG3941</f>
        <v>150</v>
      </c>
      <c r="AG3941" s="16">
        <v>1</v>
      </c>
    </row>
    <row r="3942" spans="1:33" ht="15" customHeight="1" x14ac:dyDescent="0.2">
      <c r="A3942" s="11" t="str">
        <f t="shared" ref="A3942:A3951" si="1297">HYPERLINK("https://assets.vans.eu/images/VN000CVVF87-HERO/1","VN000CVVF871")</f>
        <v>VN000CVVF871</v>
      </c>
      <c r="B3942" s="12" t="s">
        <v>14072</v>
      </c>
      <c r="C3942" s="12" t="s">
        <v>2407</v>
      </c>
      <c r="D3942" s="12" t="s">
        <v>10102</v>
      </c>
      <c r="E3942" s="12" t="s">
        <v>14073</v>
      </c>
      <c r="F3942" s="13">
        <v>75</v>
      </c>
      <c r="G3942" s="14"/>
      <c r="H3942" s="12" t="s">
        <v>38</v>
      </c>
      <c r="I3942" s="12" t="s">
        <v>159</v>
      </c>
      <c r="J3942" s="12" t="s">
        <v>255</v>
      </c>
      <c r="K3942" s="12" t="s">
        <v>82</v>
      </c>
      <c r="L3942" s="14"/>
      <c r="M3942" s="12" t="s">
        <v>43</v>
      </c>
      <c r="N3942" s="12" t="s">
        <v>84</v>
      </c>
      <c r="O3942" s="12" t="s">
        <v>14074</v>
      </c>
      <c r="P3942" s="12" t="s">
        <v>46</v>
      </c>
      <c r="Q3942" s="12" t="s">
        <v>47</v>
      </c>
      <c r="R3942" s="12" t="s">
        <v>163</v>
      </c>
      <c r="S3942" s="13">
        <v>197804433094</v>
      </c>
      <c r="T3942" s="12" t="s">
        <v>49</v>
      </c>
      <c r="U3942" s="13">
        <v>40</v>
      </c>
      <c r="V3942" s="12" t="s">
        <v>278</v>
      </c>
      <c r="W3942" s="12" t="s">
        <v>598</v>
      </c>
      <c r="X3942" s="14"/>
      <c r="Y3942" s="14"/>
      <c r="Z3942" s="14"/>
      <c r="AA3942" s="14"/>
      <c r="AB3942" s="14"/>
      <c r="AC3942" s="15">
        <v>68.2</v>
      </c>
      <c r="AD3942" s="15">
        <f>AC3942*AG3942</f>
        <v>68.2</v>
      </c>
      <c r="AE3942" s="15">
        <v>150</v>
      </c>
      <c r="AF3942" s="15">
        <f>AE3942*AG3942</f>
        <v>150</v>
      </c>
      <c r="AG3942" s="16">
        <v>1</v>
      </c>
    </row>
    <row r="3943" spans="1:33" ht="15" customHeight="1" x14ac:dyDescent="0.2">
      <c r="A3943" s="11" t="str">
        <f t="shared" si="1297"/>
        <v>VN000CVVF871</v>
      </c>
      <c r="B3943" s="12" t="s">
        <v>14075</v>
      </c>
      <c r="C3943" s="12" t="s">
        <v>2407</v>
      </c>
      <c r="D3943" s="12" t="s">
        <v>10102</v>
      </c>
      <c r="E3943" s="12" t="s">
        <v>14076</v>
      </c>
      <c r="F3943" s="13">
        <v>80</v>
      </c>
      <c r="G3943" s="14"/>
      <c r="H3943" s="12" t="s">
        <v>38</v>
      </c>
      <c r="I3943" s="12" t="s">
        <v>159</v>
      </c>
      <c r="J3943" s="12" t="s">
        <v>255</v>
      </c>
      <c r="K3943" s="12" t="s">
        <v>82</v>
      </c>
      <c r="L3943" s="14"/>
      <c r="M3943" s="12" t="s">
        <v>43</v>
      </c>
      <c r="N3943" s="12" t="s">
        <v>84</v>
      </c>
      <c r="O3943" s="12" t="s">
        <v>14077</v>
      </c>
      <c r="P3943" s="12" t="s">
        <v>46</v>
      </c>
      <c r="Q3943" s="12" t="s">
        <v>47</v>
      </c>
      <c r="R3943" s="12" t="s">
        <v>163</v>
      </c>
      <c r="S3943" s="13">
        <v>197804433179</v>
      </c>
      <c r="T3943" s="12" t="s">
        <v>49</v>
      </c>
      <c r="U3943" s="13">
        <v>40.5</v>
      </c>
      <c r="V3943" s="12" t="s">
        <v>278</v>
      </c>
      <c r="W3943" s="12" t="s">
        <v>598</v>
      </c>
      <c r="X3943" s="14"/>
      <c r="Y3943" s="14"/>
      <c r="Z3943" s="14"/>
      <c r="AA3943" s="14"/>
      <c r="AB3943" s="14"/>
      <c r="AC3943" s="15">
        <v>68.2</v>
      </c>
      <c r="AD3943" s="15">
        <f>AC3943*AG3943</f>
        <v>68.2</v>
      </c>
      <c r="AE3943" s="15">
        <v>150</v>
      </c>
      <c r="AF3943" s="15">
        <f>AE3943*AG3943</f>
        <v>150</v>
      </c>
      <c r="AG3943" s="16">
        <v>1</v>
      </c>
    </row>
    <row r="3944" spans="1:33" ht="15" customHeight="1" x14ac:dyDescent="0.2">
      <c r="A3944" s="11" t="str">
        <f t="shared" si="1297"/>
        <v>VN000CVVF871</v>
      </c>
      <c r="B3944" s="12" t="s">
        <v>14078</v>
      </c>
      <c r="C3944" s="12" t="s">
        <v>2407</v>
      </c>
      <c r="D3944" s="12" t="s">
        <v>10102</v>
      </c>
      <c r="E3944" s="12" t="s">
        <v>14079</v>
      </c>
      <c r="F3944" s="13">
        <v>85</v>
      </c>
      <c r="G3944" s="14"/>
      <c r="H3944" s="12" t="s">
        <v>38</v>
      </c>
      <c r="I3944" s="12" t="s">
        <v>159</v>
      </c>
      <c r="J3944" s="12" t="s">
        <v>255</v>
      </c>
      <c r="K3944" s="12" t="s">
        <v>82</v>
      </c>
      <c r="L3944" s="14"/>
      <c r="M3944" s="12" t="s">
        <v>43</v>
      </c>
      <c r="N3944" s="12" t="s">
        <v>84</v>
      </c>
      <c r="O3944" s="12" t="s">
        <v>14080</v>
      </c>
      <c r="P3944" s="12" t="s">
        <v>46</v>
      </c>
      <c r="Q3944" s="12" t="s">
        <v>47</v>
      </c>
      <c r="R3944" s="12" t="s">
        <v>163</v>
      </c>
      <c r="S3944" s="13">
        <v>197804433360</v>
      </c>
      <c r="T3944" s="12" t="s">
        <v>49</v>
      </c>
      <c r="U3944" s="13">
        <v>41</v>
      </c>
      <c r="V3944" s="12" t="s">
        <v>278</v>
      </c>
      <c r="W3944" s="12" t="s">
        <v>598</v>
      </c>
      <c r="X3944" s="14"/>
      <c r="Y3944" s="14"/>
      <c r="Z3944" s="14"/>
      <c r="AA3944" s="14"/>
      <c r="AB3944" s="14"/>
      <c r="AC3944" s="15">
        <v>68.2</v>
      </c>
      <c r="AD3944" s="15">
        <f>AC3944*AG3944</f>
        <v>68.2</v>
      </c>
      <c r="AE3944" s="15">
        <v>150</v>
      </c>
      <c r="AF3944" s="15">
        <f>AE3944*AG3944</f>
        <v>150</v>
      </c>
      <c r="AG3944" s="16">
        <v>1</v>
      </c>
    </row>
    <row r="3945" spans="1:33" ht="15" customHeight="1" x14ac:dyDescent="0.2">
      <c r="A3945" s="11" t="str">
        <f t="shared" si="1297"/>
        <v>VN000CVVF871</v>
      </c>
      <c r="B3945" s="12" t="s">
        <v>14081</v>
      </c>
      <c r="C3945" s="12" t="s">
        <v>2407</v>
      </c>
      <c r="D3945" s="12" t="s">
        <v>10102</v>
      </c>
      <c r="E3945" s="12" t="s">
        <v>14082</v>
      </c>
      <c r="F3945" s="13">
        <v>95</v>
      </c>
      <c r="G3945" s="14"/>
      <c r="H3945" s="12" t="s">
        <v>38</v>
      </c>
      <c r="I3945" s="12" t="s">
        <v>159</v>
      </c>
      <c r="J3945" s="12" t="s">
        <v>255</v>
      </c>
      <c r="K3945" s="12" t="s">
        <v>82</v>
      </c>
      <c r="L3945" s="14"/>
      <c r="M3945" s="12" t="s">
        <v>43</v>
      </c>
      <c r="N3945" s="12" t="s">
        <v>84</v>
      </c>
      <c r="O3945" s="12" t="s">
        <v>14083</v>
      </c>
      <c r="P3945" s="12" t="s">
        <v>46</v>
      </c>
      <c r="Q3945" s="12" t="s">
        <v>47</v>
      </c>
      <c r="R3945" s="12" t="s">
        <v>163</v>
      </c>
      <c r="S3945" s="13">
        <v>197804433759</v>
      </c>
      <c r="T3945" s="12" t="s">
        <v>49</v>
      </c>
      <c r="U3945" s="13">
        <v>42.5</v>
      </c>
      <c r="V3945" s="12" t="s">
        <v>278</v>
      </c>
      <c r="W3945" s="12" t="s">
        <v>598</v>
      </c>
      <c r="X3945" s="14"/>
      <c r="Y3945" s="14"/>
      <c r="Z3945" s="14"/>
      <c r="AA3945" s="14"/>
      <c r="AB3945" s="14"/>
      <c r="AC3945" s="15">
        <v>68.2</v>
      </c>
      <c r="AD3945" s="15">
        <f>AC3945*AG3945</f>
        <v>68.2</v>
      </c>
      <c r="AE3945" s="15">
        <v>150</v>
      </c>
      <c r="AF3945" s="15">
        <f>AE3945*AG3945</f>
        <v>150</v>
      </c>
      <c r="AG3945" s="16">
        <v>1</v>
      </c>
    </row>
    <row r="3946" spans="1:33" ht="15" customHeight="1" x14ac:dyDescent="0.2">
      <c r="A3946" s="11" t="str">
        <f t="shared" si="1297"/>
        <v>VN000CVVF871</v>
      </c>
      <c r="B3946" s="12" t="s">
        <v>14084</v>
      </c>
      <c r="C3946" s="12" t="s">
        <v>2407</v>
      </c>
      <c r="D3946" s="12" t="s">
        <v>10102</v>
      </c>
      <c r="E3946" s="12" t="s">
        <v>14085</v>
      </c>
      <c r="F3946" s="13">
        <v>100</v>
      </c>
      <c r="G3946" s="14"/>
      <c r="H3946" s="12" t="s">
        <v>38</v>
      </c>
      <c r="I3946" s="12" t="s">
        <v>159</v>
      </c>
      <c r="J3946" s="12" t="s">
        <v>255</v>
      </c>
      <c r="K3946" s="12" t="s">
        <v>82</v>
      </c>
      <c r="L3946" s="14"/>
      <c r="M3946" s="12" t="s">
        <v>43</v>
      </c>
      <c r="N3946" s="12" t="s">
        <v>84</v>
      </c>
      <c r="O3946" s="12" t="s">
        <v>14086</v>
      </c>
      <c r="P3946" s="12" t="s">
        <v>46</v>
      </c>
      <c r="Q3946" s="12" t="s">
        <v>47</v>
      </c>
      <c r="R3946" s="12" t="s">
        <v>163</v>
      </c>
      <c r="S3946" s="13">
        <v>197804433858</v>
      </c>
      <c r="T3946" s="12" t="s">
        <v>49</v>
      </c>
      <c r="U3946" s="13">
        <v>43</v>
      </c>
      <c r="V3946" s="12" t="s">
        <v>278</v>
      </c>
      <c r="W3946" s="12" t="s">
        <v>598</v>
      </c>
      <c r="X3946" s="14"/>
      <c r="Y3946" s="14"/>
      <c r="Z3946" s="14"/>
      <c r="AA3946" s="14"/>
      <c r="AB3946" s="14"/>
      <c r="AC3946" s="15">
        <v>68.2</v>
      </c>
      <c r="AD3946" s="15">
        <f>AC3946*AG3946</f>
        <v>68.2</v>
      </c>
      <c r="AE3946" s="15">
        <v>150</v>
      </c>
      <c r="AF3946" s="15">
        <f>AE3946*AG3946</f>
        <v>150</v>
      </c>
      <c r="AG3946" s="16">
        <v>1</v>
      </c>
    </row>
    <row r="3947" spans="1:33" ht="15" customHeight="1" x14ac:dyDescent="0.2">
      <c r="A3947" s="11" t="str">
        <f t="shared" si="1297"/>
        <v>VN000CVVF871</v>
      </c>
      <c r="B3947" s="12" t="s">
        <v>14087</v>
      </c>
      <c r="C3947" s="12" t="s">
        <v>2407</v>
      </c>
      <c r="D3947" s="12" t="s">
        <v>10102</v>
      </c>
      <c r="E3947" s="12" t="s">
        <v>14088</v>
      </c>
      <c r="F3947" s="13">
        <v>105</v>
      </c>
      <c r="G3947" s="14"/>
      <c r="H3947" s="12" t="s">
        <v>38</v>
      </c>
      <c r="I3947" s="12" t="s">
        <v>159</v>
      </c>
      <c r="J3947" s="12" t="s">
        <v>255</v>
      </c>
      <c r="K3947" s="12" t="s">
        <v>82</v>
      </c>
      <c r="L3947" s="14"/>
      <c r="M3947" s="12" t="s">
        <v>43</v>
      </c>
      <c r="N3947" s="12" t="s">
        <v>84</v>
      </c>
      <c r="O3947" s="12" t="s">
        <v>14089</v>
      </c>
      <c r="P3947" s="12" t="s">
        <v>46</v>
      </c>
      <c r="Q3947" s="12" t="s">
        <v>47</v>
      </c>
      <c r="R3947" s="12" t="s">
        <v>163</v>
      </c>
      <c r="S3947" s="13">
        <v>197804434046</v>
      </c>
      <c r="T3947" s="12" t="s">
        <v>49</v>
      </c>
      <c r="U3947" s="13">
        <v>44</v>
      </c>
      <c r="V3947" s="12" t="s">
        <v>278</v>
      </c>
      <c r="W3947" s="12" t="s">
        <v>598</v>
      </c>
      <c r="X3947" s="14"/>
      <c r="Y3947" s="14"/>
      <c r="Z3947" s="14"/>
      <c r="AA3947" s="14"/>
      <c r="AB3947" s="14"/>
      <c r="AC3947" s="15">
        <v>68.2</v>
      </c>
      <c r="AD3947" s="15">
        <f>AC3947*AG3947</f>
        <v>68.2</v>
      </c>
      <c r="AE3947" s="15">
        <v>150</v>
      </c>
      <c r="AF3947" s="15">
        <f>AE3947*AG3947</f>
        <v>150</v>
      </c>
      <c r="AG3947" s="16">
        <v>1</v>
      </c>
    </row>
    <row r="3948" spans="1:33" ht="15" customHeight="1" x14ac:dyDescent="0.2">
      <c r="A3948" s="11" t="str">
        <f t="shared" si="1297"/>
        <v>VN000CVVF871</v>
      </c>
      <c r="B3948" s="12" t="s">
        <v>14090</v>
      </c>
      <c r="C3948" s="12" t="s">
        <v>2407</v>
      </c>
      <c r="D3948" s="12" t="s">
        <v>10102</v>
      </c>
      <c r="E3948" s="12" t="s">
        <v>14091</v>
      </c>
      <c r="F3948" s="13">
        <v>110</v>
      </c>
      <c r="G3948" s="14"/>
      <c r="H3948" s="12" t="s">
        <v>38</v>
      </c>
      <c r="I3948" s="12" t="s">
        <v>159</v>
      </c>
      <c r="J3948" s="12" t="s">
        <v>255</v>
      </c>
      <c r="K3948" s="12" t="s">
        <v>82</v>
      </c>
      <c r="L3948" s="14"/>
      <c r="M3948" s="12" t="s">
        <v>43</v>
      </c>
      <c r="N3948" s="12" t="s">
        <v>84</v>
      </c>
      <c r="O3948" s="12" t="s">
        <v>14092</v>
      </c>
      <c r="P3948" s="12" t="s">
        <v>46</v>
      </c>
      <c r="Q3948" s="12" t="s">
        <v>47</v>
      </c>
      <c r="R3948" s="12" t="s">
        <v>163</v>
      </c>
      <c r="S3948" s="13">
        <v>197804434213</v>
      </c>
      <c r="T3948" s="12" t="s">
        <v>49</v>
      </c>
      <c r="U3948" s="13">
        <v>44.5</v>
      </c>
      <c r="V3948" s="12" t="s">
        <v>278</v>
      </c>
      <c r="W3948" s="12" t="s">
        <v>598</v>
      </c>
      <c r="X3948" s="14"/>
      <c r="Y3948" s="14"/>
      <c r="Z3948" s="14"/>
      <c r="AA3948" s="14"/>
      <c r="AB3948" s="14"/>
      <c r="AC3948" s="15">
        <v>68.2</v>
      </c>
      <c r="AD3948" s="15">
        <f>AC3948*AG3948</f>
        <v>68.2</v>
      </c>
      <c r="AE3948" s="15">
        <v>150</v>
      </c>
      <c r="AF3948" s="15">
        <f>AE3948*AG3948</f>
        <v>150</v>
      </c>
      <c r="AG3948" s="16">
        <v>1</v>
      </c>
    </row>
    <row r="3949" spans="1:33" ht="15" customHeight="1" x14ac:dyDescent="0.2">
      <c r="A3949" s="11" t="str">
        <f t="shared" si="1297"/>
        <v>VN000CVVF871</v>
      </c>
      <c r="B3949" s="12" t="s">
        <v>14093</v>
      </c>
      <c r="C3949" s="12" t="s">
        <v>2407</v>
      </c>
      <c r="D3949" s="12" t="s">
        <v>10102</v>
      </c>
      <c r="E3949" s="12" t="s">
        <v>14094</v>
      </c>
      <c r="F3949" s="13">
        <v>115</v>
      </c>
      <c r="G3949" s="14"/>
      <c r="H3949" s="12" t="s">
        <v>38</v>
      </c>
      <c r="I3949" s="12" t="s">
        <v>159</v>
      </c>
      <c r="J3949" s="12" t="s">
        <v>255</v>
      </c>
      <c r="K3949" s="12" t="s">
        <v>82</v>
      </c>
      <c r="L3949" s="14"/>
      <c r="M3949" s="12" t="s">
        <v>43</v>
      </c>
      <c r="N3949" s="12" t="s">
        <v>84</v>
      </c>
      <c r="O3949" s="12" t="s">
        <v>14095</v>
      </c>
      <c r="P3949" s="12" t="s">
        <v>46</v>
      </c>
      <c r="Q3949" s="12" t="s">
        <v>47</v>
      </c>
      <c r="R3949" s="12" t="s">
        <v>163</v>
      </c>
      <c r="S3949" s="13">
        <v>197804434404</v>
      </c>
      <c r="T3949" s="12" t="s">
        <v>49</v>
      </c>
      <c r="U3949" s="13">
        <v>45</v>
      </c>
      <c r="V3949" s="12" t="s">
        <v>278</v>
      </c>
      <c r="W3949" s="12" t="s">
        <v>598</v>
      </c>
      <c r="X3949" s="14"/>
      <c r="Y3949" s="14"/>
      <c r="Z3949" s="14"/>
      <c r="AA3949" s="14"/>
      <c r="AB3949" s="14"/>
      <c r="AC3949" s="15">
        <v>68.2</v>
      </c>
      <c r="AD3949" s="15">
        <f>AC3949*AG3949</f>
        <v>68.2</v>
      </c>
      <c r="AE3949" s="15">
        <v>150</v>
      </c>
      <c r="AF3949" s="15">
        <f>AE3949*AG3949</f>
        <v>150</v>
      </c>
      <c r="AG3949" s="16">
        <v>1</v>
      </c>
    </row>
    <row r="3950" spans="1:33" ht="15" customHeight="1" x14ac:dyDescent="0.2">
      <c r="A3950" s="11" t="str">
        <f t="shared" si="1297"/>
        <v>VN000CVVF871</v>
      </c>
      <c r="B3950" s="12" t="s">
        <v>14096</v>
      </c>
      <c r="C3950" s="12" t="s">
        <v>2407</v>
      </c>
      <c r="D3950" s="12" t="s">
        <v>10102</v>
      </c>
      <c r="E3950" s="12" t="s">
        <v>14097</v>
      </c>
      <c r="F3950" s="13">
        <v>120</v>
      </c>
      <c r="G3950" s="14"/>
      <c r="H3950" s="12" t="s">
        <v>38</v>
      </c>
      <c r="I3950" s="12" t="s">
        <v>159</v>
      </c>
      <c r="J3950" s="12" t="s">
        <v>255</v>
      </c>
      <c r="K3950" s="12" t="s">
        <v>82</v>
      </c>
      <c r="L3950" s="14"/>
      <c r="M3950" s="12" t="s">
        <v>43</v>
      </c>
      <c r="N3950" s="12" t="s">
        <v>84</v>
      </c>
      <c r="O3950" s="12" t="s">
        <v>14098</v>
      </c>
      <c r="P3950" s="12" t="s">
        <v>46</v>
      </c>
      <c r="Q3950" s="12" t="s">
        <v>47</v>
      </c>
      <c r="R3950" s="12" t="s">
        <v>163</v>
      </c>
      <c r="S3950" s="13">
        <v>197804434497</v>
      </c>
      <c r="T3950" s="12" t="s">
        <v>49</v>
      </c>
      <c r="U3950" s="13">
        <v>46</v>
      </c>
      <c r="V3950" s="12" t="s">
        <v>278</v>
      </c>
      <c r="W3950" s="12" t="s">
        <v>598</v>
      </c>
      <c r="X3950" s="14"/>
      <c r="Y3950" s="14"/>
      <c r="Z3950" s="14"/>
      <c r="AA3950" s="14"/>
      <c r="AB3950" s="14"/>
      <c r="AC3950" s="15">
        <v>68.2</v>
      </c>
      <c r="AD3950" s="15">
        <f>AC3950*AG3950</f>
        <v>68.2</v>
      </c>
      <c r="AE3950" s="15">
        <v>150</v>
      </c>
      <c r="AF3950" s="15">
        <f>AE3950*AG3950</f>
        <v>150</v>
      </c>
      <c r="AG3950" s="16">
        <v>1</v>
      </c>
    </row>
    <row r="3951" spans="1:33" ht="15" customHeight="1" x14ac:dyDescent="0.2">
      <c r="A3951" s="11" t="str">
        <f t="shared" si="1297"/>
        <v>VN000CVVF871</v>
      </c>
      <c r="B3951" s="12" t="s">
        <v>14099</v>
      </c>
      <c r="C3951" s="12" t="s">
        <v>2407</v>
      </c>
      <c r="D3951" s="12" t="s">
        <v>10102</v>
      </c>
      <c r="E3951" s="12" t="s">
        <v>14100</v>
      </c>
      <c r="F3951" s="13">
        <v>130</v>
      </c>
      <c r="G3951" s="14"/>
      <c r="H3951" s="12" t="s">
        <v>38</v>
      </c>
      <c r="I3951" s="12" t="s">
        <v>159</v>
      </c>
      <c r="J3951" s="12" t="s">
        <v>255</v>
      </c>
      <c r="K3951" s="12" t="s">
        <v>82</v>
      </c>
      <c r="L3951" s="14"/>
      <c r="M3951" s="12" t="s">
        <v>43</v>
      </c>
      <c r="N3951" s="12" t="s">
        <v>84</v>
      </c>
      <c r="O3951" s="12" t="s">
        <v>14101</v>
      </c>
      <c r="P3951" s="12" t="s">
        <v>46</v>
      </c>
      <c r="Q3951" s="12" t="s">
        <v>47</v>
      </c>
      <c r="R3951" s="12" t="s">
        <v>163</v>
      </c>
      <c r="S3951" s="13">
        <v>197804434657</v>
      </c>
      <c r="T3951" s="12" t="s">
        <v>49</v>
      </c>
      <c r="U3951" s="13">
        <v>47</v>
      </c>
      <c r="V3951" s="12" t="s">
        <v>278</v>
      </c>
      <c r="W3951" s="12" t="s">
        <v>598</v>
      </c>
      <c r="X3951" s="14"/>
      <c r="Y3951" s="14"/>
      <c r="Z3951" s="14"/>
      <c r="AA3951" s="14"/>
      <c r="AB3951" s="14"/>
      <c r="AC3951" s="15">
        <v>68.2</v>
      </c>
      <c r="AD3951" s="15">
        <f>AC3951*AG3951</f>
        <v>68.2</v>
      </c>
      <c r="AE3951" s="15">
        <v>150</v>
      </c>
      <c r="AF3951" s="15">
        <f>AE3951*AG3951</f>
        <v>150</v>
      </c>
      <c r="AG3951" s="16">
        <v>1</v>
      </c>
    </row>
    <row r="3952" spans="1:33" ht="15" customHeight="1" x14ac:dyDescent="0.2">
      <c r="A3952" s="11" t="str">
        <f t="shared" si="1010"/>
        <v>VN000CVVN1Z1</v>
      </c>
      <c r="B3952" s="12" t="s">
        <v>14102</v>
      </c>
      <c r="C3952" s="12" t="s">
        <v>2407</v>
      </c>
      <c r="D3952" s="12" t="s">
        <v>1656</v>
      </c>
      <c r="E3952" s="12" t="s">
        <v>14103</v>
      </c>
      <c r="F3952" s="13">
        <v>95</v>
      </c>
      <c r="G3952" s="14"/>
      <c r="H3952" s="12" t="s">
        <v>38</v>
      </c>
      <c r="I3952" s="12" t="s">
        <v>159</v>
      </c>
      <c r="J3952" s="12" t="s">
        <v>255</v>
      </c>
      <c r="K3952" s="12" t="s">
        <v>82</v>
      </c>
      <c r="L3952" s="14"/>
      <c r="M3952" s="12" t="s">
        <v>43</v>
      </c>
      <c r="N3952" s="12" t="s">
        <v>161</v>
      </c>
      <c r="O3952" s="12" t="s">
        <v>14104</v>
      </c>
      <c r="P3952" s="12" t="s">
        <v>46</v>
      </c>
      <c r="Q3952" s="12" t="s">
        <v>47</v>
      </c>
      <c r="R3952" s="12" t="s">
        <v>163</v>
      </c>
      <c r="S3952" s="13">
        <v>197065573256</v>
      </c>
      <c r="T3952" s="12" t="s">
        <v>49</v>
      </c>
      <c r="U3952" s="13">
        <v>42.5</v>
      </c>
      <c r="V3952" s="12" t="s">
        <v>278</v>
      </c>
      <c r="W3952" s="12" t="s">
        <v>186</v>
      </c>
      <c r="X3952" s="14"/>
      <c r="Y3952" s="12" t="s">
        <v>91</v>
      </c>
      <c r="Z3952" s="12" t="s">
        <v>165</v>
      </c>
      <c r="AA3952" s="14"/>
      <c r="AB3952" s="14"/>
      <c r="AC3952" s="15">
        <v>68.2</v>
      </c>
      <c r="AD3952" s="15">
        <f>AC3952*AG3952</f>
        <v>68.2</v>
      </c>
      <c r="AE3952" s="15">
        <v>150</v>
      </c>
      <c r="AF3952" s="15">
        <f>AE3952*AG3952</f>
        <v>150</v>
      </c>
      <c r="AG3952" s="16">
        <v>1</v>
      </c>
    </row>
    <row r="3953" spans="1:33" ht="15" customHeight="1" x14ac:dyDescent="0.2">
      <c r="A3953" s="11" t="str">
        <f t="shared" si="1011"/>
        <v>VN000CVVOLV1</v>
      </c>
      <c r="B3953" s="12" t="s">
        <v>14105</v>
      </c>
      <c r="C3953" s="12" t="s">
        <v>2407</v>
      </c>
      <c r="D3953" s="12" t="s">
        <v>2994</v>
      </c>
      <c r="E3953" s="12" t="s">
        <v>14106</v>
      </c>
      <c r="F3953" s="13">
        <v>40</v>
      </c>
      <c r="G3953" s="14"/>
      <c r="H3953" s="12" t="s">
        <v>38</v>
      </c>
      <c r="I3953" s="12" t="s">
        <v>159</v>
      </c>
      <c r="J3953" s="12" t="s">
        <v>255</v>
      </c>
      <c r="K3953" s="12" t="s">
        <v>82</v>
      </c>
      <c r="L3953" s="14"/>
      <c r="M3953" s="12" t="s">
        <v>43</v>
      </c>
      <c r="N3953" s="12" t="s">
        <v>161</v>
      </c>
      <c r="O3953" s="12" t="s">
        <v>14107</v>
      </c>
      <c r="P3953" s="12" t="s">
        <v>46</v>
      </c>
      <c r="Q3953" s="12" t="s">
        <v>47</v>
      </c>
      <c r="R3953" s="12" t="s">
        <v>163</v>
      </c>
      <c r="S3953" s="13">
        <v>197065572365</v>
      </c>
      <c r="T3953" s="12" t="s">
        <v>49</v>
      </c>
      <c r="U3953" s="13">
        <v>35</v>
      </c>
      <c r="V3953" s="12" t="s">
        <v>278</v>
      </c>
      <c r="W3953" s="12" t="s">
        <v>118</v>
      </c>
      <c r="X3953" s="14"/>
      <c r="Y3953" s="12" t="s">
        <v>91</v>
      </c>
      <c r="Z3953" s="12" t="s">
        <v>165</v>
      </c>
      <c r="AA3953" s="14"/>
      <c r="AB3953" s="14"/>
      <c r="AC3953" s="15">
        <v>68.2</v>
      </c>
      <c r="AD3953" s="15">
        <f>AC3953*AG3953</f>
        <v>68.2</v>
      </c>
      <c r="AE3953" s="15">
        <v>150</v>
      </c>
      <c r="AF3953" s="15">
        <f>AE3953*AG3953</f>
        <v>150</v>
      </c>
      <c r="AG3953" s="16">
        <v>1</v>
      </c>
    </row>
    <row r="3954" spans="1:33" ht="15" customHeight="1" x14ac:dyDescent="0.2">
      <c r="A3954" s="11" t="str">
        <f>HYPERLINK("https://assets.vans.eu/images/VN000CWC7Z6-HERO/1","VN000CWC7Z61")</f>
        <v>VN000CWC7Z61</v>
      </c>
      <c r="B3954" s="12" t="s">
        <v>14108</v>
      </c>
      <c r="C3954" s="12" t="s">
        <v>1016</v>
      </c>
      <c r="D3954" s="12" t="s">
        <v>14109</v>
      </c>
      <c r="E3954" s="12" t="s">
        <v>14110</v>
      </c>
      <c r="F3954" s="13">
        <v>85</v>
      </c>
      <c r="G3954" s="14"/>
      <c r="H3954" s="12" t="s">
        <v>38</v>
      </c>
      <c r="I3954" s="12" t="s">
        <v>159</v>
      </c>
      <c r="J3954" s="12" t="s">
        <v>255</v>
      </c>
      <c r="K3954" s="12" t="s">
        <v>82</v>
      </c>
      <c r="L3954" s="14"/>
      <c r="M3954" s="12" t="s">
        <v>43</v>
      </c>
      <c r="N3954" s="12" t="s">
        <v>161</v>
      </c>
      <c r="O3954" s="12" t="s">
        <v>14111</v>
      </c>
      <c r="P3954" s="12" t="s">
        <v>46</v>
      </c>
      <c r="Q3954" s="12" t="s">
        <v>47</v>
      </c>
      <c r="R3954" s="12" t="s">
        <v>163</v>
      </c>
      <c r="S3954" s="13">
        <v>197065662844</v>
      </c>
      <c r="T3954" s="12" t="s">
        <v>105</v>
      </c>
      <c r="U3954" s="13">
        <v>41</v>
      </c>
      <c r="V3954" s="12" t="s">
        <v>278</v>
      </c>
      <c r="W3954" s="12" t="s">
        <v>284</v>
      </c>
      <c r="X3954" s="14"/>
      <c r="Y3954" s="12" t="s">
        <v>91</v>
      </c>
      <c r="Z3954" s="12" t="s">
        <v>165</v>
      </c>
      <c r="AA3954" s="14"/>
      <c r="AB3954" s="14"/>
      <c r="AC3954" s="15">
        <v>52.3</v>
      </c>
      <c r="AD3954" s="15">
        <f>AC3954*AG3954</f>
        <v>52.3</v>
      </c>
      <c r="AE3954" s="15">
        <v>115</v>
      </c>
      <c r="AF3954" s="15">
        <f>AE3954*AG3954</f>
        <v>115</v>
      </c>
      <c r="AG3954" s="16">
        <v>1</v>
      </c>
    </row>
    <row r="3955" spans="1:33" ht="15" customHeight="1" x14ac:dyDescent="0.2">
      <c r="A3955" s="11" t="str">
        <f>HYPERLINK("https://assets.vans.eu/images/VN000CWD0CL-HERO/1","VN000CWD0CL1")</f>
        <v>VN000CWD0CL1</v>
      </c>
      <c r="B3955" s="12" t="s">
        <v>14112</v>
      </c>
      <c r="C3955" s="12" t="s">
        <v>2782</v>
      </c>
      <c r="D3955" s="12" t="s">
        <v>14113</v>
      </c>
      <c r="E3955" s="12" t="s">
        <v>14114</v>
      </c>
      <c r="F3955" s="13">
        <v>75</v>
      </c>
      <c r="G3955" s="12" t="s">
        <v>6048</v>
      </c>
      <c r="H3955" s="12" t="s">
        <v>38</v>
      </c>
      <c r="I3955" s="12" t="s">
        <v>159</v>
      </c>
      <c r="J3955" s="12" t="s">
        <v>255</v>
      </c>
      <c r="K3955" s="12" t="s">
        <v>82</v>
      </c>
      <c r="L3955" s="14"/>
      <c r="M3955" s="12" t="s">
        <v>43</v>
      </c>
      <c r="N3955" s="12" t="s">
        <v>161</v>
      </c>
      <c r="O3955" s="12" t="s">
        <v>14115</v>
      </c>
      <c r="P3955" s="12" t="s">
        <v>46</v>
      </c>
      <c r="Q3955" s="12" t="s">
        <v>47</v>
      </c>
      <c r="R3955" s="12" t="s">
        <v>163</v>
      </c>
      <c r="S3955" s="13">
        <v>197065663674</v>
      </c>
      <c r="T3955" s="12" t="s">
        <v>105</v>
      </c>
      <c r="U3955" s="13">
        <v>40</v>
      </c>
      <c r="V3955" s="12" t="s">
        <v>50</v>
      </c>
      <c r="W3955" s="12" t="s">
        <v>118</v>
      </c>
      <c r="X3955" s="14"/>
      <c r="Y3955" s="12" t="s">
        <v>91</v>
      </c>
      <c r="Z3955" s="12" t="s">
        <v>165</v>
      </c>
      <c r="AA3955" s="14"/>
      <c r="AB3955" s="14"/>
      <c r="AC3955" s="15">
        <v>54.55</v>
      </c>
      <c r="AD3955" s="15">
        <f>AC3955*AG3955</f>
        <v>54.55</v>
      </c>
      <c r="AE3955" s="15">
        <v>120</v>
      </c>
      <c r="AF3955" s="15">
        <f>AE3955*AG3955</f>
        <v>120</v>
      </c>
      <c r="AG3955" s="16">
        <v>1</v>
      </c>
    </row>
    <row r="3956" spans="1:33" ht="15" customHeight="1" x14ac:dyDescent="0.2">
      <c r="A3956" s="11" t="str">
        <f>HYPERLINK("https://assets.vans.eu/images/VN000CWDDRB-HERO/1","VN000CWDDRB1")</f>
        <v>VN000CWDDRB1</v>
      </c>
      <c r="B3956" s="12" t="s">
        <v>14116</v>
      </c>
      <c r="C3956" s="12" t="s">
        <v>2782</v>
      </c>
      <c r="D3956" s="12" t="s">
        <v>2663</v>
      </c>
      <c r="E3956" s="12" t="s">
        <v>14117</v>
      </c>
      <c r="F3956" s="13">
        <v>90</v>
      </c>
      <c r="G3956" s="12" t="s">
        <v>1306</v>
      </c>
      <c r="H3956" s="12" t="s">
        <v>38</v>
      </c>
      <c r="I3956" s="12" t="s">
        <v>159</v>
      </c>
      <c r="J3956" s="12" t="s">
        <v>255</v>
      </c>
      <c r="K3956" s="12" t="s">
        <v>82</v>
      </c>
      <c r="L3956" s="14"/>
      <c r="M3956" s="12" t="s">
        <v>43</v>
      </c>
      <c r="N3956" s="12" t="s">
        <v>161</v>
      </c>
      <c r="O3956" s="12" t="s">
        <v>14118</v>
      </c>
      <c r="P3956" s="12" t="s">
        <v>46</v>
      </c>
      <c r="Q3956" s="12" t="s">
        <v>47</v>
      </c>
      <c r="R3956" s="12" t="s">
        <v>163</v>
      </c>
      <c r="S3956" s="13">
        <v>197065664749</v>
      </c>
      <c r="T3956" s="12" t="s">
        <v>49</v>
      </c>
      <c r="U3956" s="13">
        <v>42</v>
      </c>
      <c r="V3956" s="12" t="s">
        <v>50</v>
      </c>
      <c r="W3956" s="12" t="s">
        <v>186</v>
      </c>
      <c r="X3956" s="14"/>
      <c r="Y3956" s="12" t="s">
        <v>91</v>
      </c>
      <c r="Z3956" s="12" t="s">
        <v>165</v>
      </c>
      <c r="AA3956" s="14"/>
      <c r="AB3956" s="14"/>
      <c r="AC3956" s="15">
        <v>54.55</v>
      </c>
      <c r="AD3956" s="15">
        <f>AC3956*AG3956</f>
        <v>54.55</v>
      </c>
      <c r="AE3956" s="15">
        <v>120</v>
      </c>
      <c r="AF3956" s="15">
        <f>AE3956*AG3956</f>
        <v>120</v>
      </c>
      <c r="AG3956" s="16">
        <v>1</v>
      </c>
    </row>
    <row r="3957" spans="1:33" ht="15" customHeight="1" x14ac:dyDescent="0.2">
      <c r="A3957" s="11" t="str">
        <f t="shared" ref="A3957:A3958" si="1298">HYPERLINK("https://assets.vans.eu/images/VN000CWE2BO-HERO/1","VN000CWE2BO1")</f>
        <v>VN000CWE2BO1</v>
      </c>
      <c r="B3957" s="12" t="s">
        <v>14119</v>
      </c>
      <c r="C3957" s="12" t="s">
        <v>1248</v>
      </c>
      <c r="D3957" s="12" t="s">
        <v>14120</v>
      </c>
      <c r="E3957" s="12" t="s">
        <v>14121</v>
      </c>
      <c r="F3957" s="13">
        <v>50</v>
      </c>
      <c r="G3957" s="14"/>
      <c r="H3957" s="12" t="s">
        <v>38</v>
      </c>
      <c r="I3957" s="12" t="s">
        <v>159</v>
      </c>
      <c r="J3957" s="12" t="s">
        <v>255</v>
      </c>
      <c r="K3957" s="12" t="s">
        <v>82</v>
      </c>
      <c r="L3957" s="14"/>
      <c r="M3957" s="12" t="s">
        <v>43</v>
      </c>
      <c r="N3957" s="12" t="s">
        <v>44</v>
      </c>
      <c r="O3957" s="12" t="s">
        <v>14122</v>
      </c>
      <c r="P3957" s="12" t="s">
        <v>46</v>
      </c>
      <c r="Q3957" s="12" t="s">
        <v>47</v>
      </c>
      <c r="R3957" s="12" t="s">
        <v>163</v>
      </c>
      <c r="S3957" s="13">
        <v>197643248439</v>
      </c>
      <c r="T3957" s="12" t="s">
        <v>105</v>
      </c>
      <c r="U3957" s="13">
        <v>36.5</v>
      </c>
      <c r="V3957" s="12" t="s">
        <v>50</v>
      </c>
      <c r="W3957" s="12" t="s">
        <v>51</v>
      </c>
      <c r="X3957" s="14"/>
      <c r="Y3957" s="12" t="s">
        <v>91</v>
      </c>
      <c r="Z3957" s="12" t="s">
        <v>165</v>
      </c>
      <c r="AA3957" s="14"/>
      <c r="AB3957" s="14"/>
      <c r="AC3957" s="15">
        <v>59.1</v>
      </c>
      <c r="AD3957" s="15">
        <f>AC3957*AG3957</f>
        <v>59.1</v>
      </c>
      <c r="AE3957" s="15">
        <v>130</v>
      </c>
      <c r="AF3957" s="15">
        <f>AE3957*AG3957</f>
        <v>130</v>
      </c>
      <c r="AG3957" s="16">
        <v>1</v>
      </c>
    </row>
    <row r="3958" spans="1:33" ht="15" customHeight="1" x14ac:dyDescent="0.2">
      <c r="A3958" s="11" t="str">
        <f t="shared" si="1298"/>
        <v>VN000CWE2BO1</v>
      </c>
      <c r="B3958" s="12" t="s">
        <v>14123</v>
      </c>
      <c r="C3958" s="12" t="s">
        <v>1248</v>
      </c>
      <c r="D3958" s="12" t="s">
        <v>14120</v>
      </c>
      <c r="E3958" s="12" t="s">
        <v>14124</v>
      </c>
      <c r="F3958" s="13">
        <v>80</v>
      </c>
      <c r="G3958" s="14"/>
      <c r="H3958" s="12" t="s">
        <v>38</v>
      </c>
      <c r="I3958" s="12" t="s">
        <v>159</v>
      </c>
      <c r="J3958" s="12" t="s">
        <v>255</v>
      </c>
      <c r="K3958" s="12" t="s">
        <v>82</v>
      </c>
      <c r="L3958" s="14"/>
      <c r="M3958" s="12" t="s">
        <v>43</v>
      </c>
      <c r="N3958" s="12" t="s">
        <v>44</v>
      </c>
      <c r="O3958" s="12" t="s">
        <v>14125</v>
      </c>
      <c r="P3958" s="12" t="s">
        <v>46</v>
      </c>
      <c r="Q3958" s="12" t="s">
        <v>47</v>
      </c>
      <c r="R3958" s="12" t="s">
        <v>163</v>
      </c>
      <c r="S3958" s="13">
        <v>197643249115</v>
      </c>
      <c r="T3958" s="12" t="s">
        <v>105</v>
      </c>
      <c r="U3958" s="13">
        <v>40.5</v>
      </c>
      <c r="V3958" s="12" t="s">
        <v>50</v>
      </c>
      <c r="W3958" s="12" t="s">
        <v>51</v>
      </c>
      <c r="X3958" s="14"/>
      <c r="Y3958" s="12" t="s">
        <v>91</v>
      </c>
      <c r="Z3958" s="12" t="s">
        <v>165</v>
      </c>
      <c r="AA3958" s="14"/>
      <c r="AB3958" s="14"/>
      <c r="AC3958" s="15">
        <v>59.1</v>
      </c>
      <c r="AD3958" s="15">
        <f>AC3958*AG3958</f>
        <v>59.1</v>
      </c>
      <c r="AE3958" s="15">
        <v>130</v>
      </c>
      <c r="AF3958" s="15">
        <f>AE3958*AG3958</f>
        <v>130</v>
      </c>
      <c r="AG3958" s="16">
        <v>1</v>
      </c>
    </row>
    <row r="3959" spans="1:33" ht="15" customHeight="1" x14ac:dyDescent="0.2">
      <c r="A3959" s="11" t="str">
        <f>HYPERLINK("https://assets.vans.eu/images/VN000CWE887-HERO/1","VN000CWE8871")</f>
        <v>VN000CWE8871</v>
      </c>
      <c r="B3959" s="12" t="s">
        <v>14126</v>
      </c>
      <c r="C3959" s="12" t="s">
        <v>1248</v>
      </c>
      <c r="D3959" s="12" t="s">
        <v>1249</v>
      </c>
      <c r="E3959" s="12" t="s">
        <v>14127</v>
      </c>
      <c r="F3959" s="13">
        <v>60</v>
      </c>
      <c r="G3959" s="12" t="s">
        <v>1251</v>
      </c>
      <c r="H3959" s="12" t="s">
        <v>38</v>
      </c>
      <c r="I3959" s="12" t="s">
        <v>113</v>
      </c>
      <c r="J3959" s="12" t="s">
        <v>529</v>
      </c>
      <c r="K3959" s="12" t="s">
        <v>82</v>
      </c>
      <c r="L3959" s="14"/>
      <c r="M3959" s="12" t="s">
        <v>43</v>
      </c>
      <c r="N3959" s="12" t="s">
        <v>44</v>
      </c>
      <c r="O3959" s="12" t="s">
        <v>14128</v>
      </c>
      <c r="P3959" s="12" t="s">
        <v>46</v>
      </c>
      <c r="Q3959" s="12" t="s">
        <v>47</v>
      </c>
      <c r="R3959" s="12" t="s">
        <v>117</v>
      </c>
      <c r="S3959" s="13">
        <v>197643249504</v>
      </c>
      <c r="T3959" s="12" t="s">
        <v>49</v>
      </c>
      <c r="U3959" s="13">
        <v>38</v>
      </c>
      <c r="V3959" s="12" t="s">
        <v>50</v>
      </c>
      <c r="W3959" s="12" t="s">
        <v>284</v>
      </c>
      <c r="X3959" s="14"/>
      <c r="Y3959" s="12" t="s">
        <v>91</v>
      </c>
      <c r="Z3959" s="12" t="s">
        <v>165</v>
      </c>
      <c r="AA3959" s="14"/>
      <c r="AB3959" s="14"/>
      <c r="AC3959" s="15">
        <v>59.1</v>
      </c>
      <c r="AD3959" s="15">
        <f>AC3959*AG3959</f>
        <v>59.1</v>
      </c>
      <c r="AE3959" s="15">
        <v>130</v>
      </c>
      <c r="AF3959" s="15">
        <f>AE3959*AG3959</f>
        <v>130</v>
      </c>
      <c r="AG3959" s="16">
        <v>1</v>
      </c>
    </row>
    <row r="3960" spans="1:33" ht="15" customHeight="1" x14ac:dyDescent="0.2">
      <c r="A3960" s="11" t="str">
        <f>HYPERLINK("https://assets.vans.eu/images/VN000CWE98L-HERO/1","VN000CWE98L1")</f>
        <v>VN000CWE98L1</v>
      </c>
      <c r="B3960" s="12" t="s">
        <v>14129</v>
      </c>
      <c r="C3960" s="12" t="s">
        <v>1248</v>
      </c>
      <c r="D3960" s="12" t="s">
        <v>14130</v>
      </c>
      <c r="E3960" s="12" t="s">
        <v>14131</v>
      </c>
      <c r="F3960" s="13">
        <v>100</v>
      </c>
      <c r="G3960" s="14"/>
      <c r="H3960" s="12" t="s">
        <v>38</v>
      </c>
      <c r="I3960" s="12" t="s">
        <v>159</v>
      </c>
      <c r="J3960" s="12" t="s">
        <v>255</v>
      </c>
      <c r="K3960" s="12" t="s">
        <v>82</v>
      </c>
      <c r="L3960" s="12" t="s">
        <v>115</v>
      </c>
      <c r="M3960" s="12" t="s">
        <v>43</v>
      </c>
      <c r="N3960" s="12" t="s">
        <v>161</v>
      </c>
      <c r="O3960" s="12" t="s">
        <v>14132</v>
      </c>
      <c r="P3960" s="12" t="s">
        <v>46</v>
      </c>
      <c r="Q3960" s="12" t="s">
        <v>47</v>
      </c>
      <c r="R3960" s="12" t="s">
        <v>163</v>
      </c>
      <c r="S3960" s="13">
        <v>197642838211</v>
      </c>
      <c r="T3960" s="12" t="s">
        <v>105</v>
      </c>
      <c r="U3960" s="13">
        <v>43</v>
      </c>
      <c r="V3960" s="12" t="s">
        <v>50</v>
      </c>
      <c r="W3960" s="12" t="s">
        <v>933</v>
      </c>
      <c r="X3960" s="14"/>
      <c r="Y3960" s="12" t="s">
        <v>91</v>
      </c>
      <c r="Z3960" s="12" t="s">
        <v>92</v>
      </c>
      <c r="AA3960" s="12" t="s">
        <v>3224</v>
      </c>
      <c r="AB3960" s="12" t="s">
        <v>94</v>
      </c>
      <c r="AC3960" s="15">
        <v>59.1</v>
      </c>
      <c r="AD3960" s="15">
        <f>AC3960*AG3960</f>
        <v>59.1</v>
      </c>
      <c r="AE3960" s="15">
        <v>130</v>
      </c>
      <c r="AF3960" s="15">
        <f>AE3960*AG3960</f>
        <v>130</v>
      </c>
      <c r="AG3960" s="16">
        <v>1</v>
      </c>
    </row>
    <row r="3961" spans="1:33" ht="15" customHeight="1" x14ac:dyDescent="0.2">
      <c r="A3961" s="11" t="str">
        <f>HYPERLINK("https://assets.vans.eu/images/VN000CWEBH1-HERO/1","VN000CWEBH11")</f>
        <v>VN000CWEBH11</v>
      </c>
      <c r="B3961" s="12" t="s">
        <v>14133</v>
      </c>
      <c r="C3961" s="12" t="s">
        <v>1248</v>
      </c>
      <c r="D3961" s="12" t="s">
        <v>14134</v>
      </c>
      <c r="E3961" s="12" t="s">
        <v>14135</v>
      </c>
      <c r="F3961" s="13">
        <v>35</v>
      </c>
      <c r="G3961" s="14"/>
      <c r="H3961" s="12" t="s">
        <v>38</v>
      </c>
      <c r="I3961" s="12" t="s">
        <v>159</v>
      </c>
      <c r="J3961" s="12" t="s">
        <v>255</v>
      </c>
      <c r="K3961" s="12" t="s">
        <v>82</v>
      </c>
      <c r="L3961" s="14"/>
      <c r="M3961" s="12" t="s">
        <v>43</v>
      </c>
      <c r="N3961" s="12" t="s">
        <v>44</v>
      </c>
      <c r="O3961" s="12" t="s">
        <v>14136</v>
      </c>
      <c r="P3961" s="12" t="s">
        <v>46</v>
      </c>
      <c r="Q3961" s="12" t="s">
        <v>47</v>
      </c>
      <c r="R3961" s="12" t="s">
        <v>163</v>
      </c>
      <c r="S3961" s="13">
        <v>197643249498</v>
      </c>
      <c r="T3961" s="12" t="s">
        <v>49</v>
      </c>
      <c r="U3961" s="13">
        <v>34.5</v>
      </c>
      <c r="V3961" s="12" t="s">
        <v>50</v>
      </c>
      <c r="W3961" s="12" t="s">
        <v>186</v>
      </c>
      <c r="X3961" s="14"/>
      <c r="Y3961" s="12" t="s">
        <v>91</v>
      </c>
      <c r="Z3961" s="12" t="s">
        <v>165</v>
      </c>
      <c r="AA3961" s="14"/>
      <c r="AB3961" s="14"/>
      <c r="AC3961" s="15">
        <v>59.1</v>
      </c>
      <c r="AD3961" s="15">
        <f>AC3961*AG3961</f>
        <v>59.1</v>
      </c>
      <c r="AE3961" s="15">
        <v>130</v>
      </c>
      <c r="AF3961" s="15">
        <f>AE3961*AG3961</f>
        <v>130</v>
      </c>
      <c r="AG3961" s="16">
        <v>1</v>
      </c>
    </row>
    <row r="3962" spans="1:33" ht="15" customHeight="1" x14ac:dyDescent="0.2">
      <c r="A3962" s="11" t="str">
        <f t="shared" ref="A3962:A3963" si="1299">HYPERLINK("https://assets.vans.eu/images/VN000CWEBO5-HERO/1","VN000CWEBO51")</f>
        <v>VN000CWEBO51</v>
      </c>
      <c r="B3962" s="12" t="s">
        <v>14137</v>
      </c>
      <c r="C3962" s="12" t="s">
        <v>1248</v>
      </c>
      <c r="D3962" s="12" t="s">
        <v>2835</v>
      </c>
      <c r="E3962" s="12" t="s">
        <v>14138</v>
      </c>
      <c r="F3962" s="13">
        <v>105</v>
      </c>
      <c r="G3962" s="14"/>
      <c r="H3962" s="12" t="s">
        <v>38</v>
      </c>
      <c r="I3962" s="12" t="s">
        <v>113</v>
      </c>
      <c r="J3962" s="12" t="s">
        <v>529</v>
      </c>
      <c r="K3962" s="12" t="s">
        <v>82</v>
      </c>
      <c r="L3962" s="12" t="s">
        <v>115</v>
      </c>
      <c r="M3962" s="12" t="s">
        <v>43</v>
      </c>
      <c r="N3962" s="12" t="s">
        <v>44</v>
      </c>
      <c r="O3962" s="12" t="s">
        <v>14139</v>
      </c>
      <c r="P3962" s="12" t="s">
        <v>46</v>
      </c>
      <c r="Q3962" s="12" t="s">
        <v>47</v>
      </c>
      <c r="R3962" s="12" t="s">
        <v>117</v>
      </c>
      <c r="S3962" s="13">
        <v>197643127178</v>
      </c>
      <c r="T3962" s="12" t="s">
        <v>49</v>
      </c>
      <c r="U3962" s="13">
        <v>44</v>
      </c>
      <c r="V3962" s="12" t="s">
        <v>50</v>
      </c>
      <c r="W3962" s="12" t="s">
        <v>598</v>
      </c>
      <c r="X3962" s="14"/>
      <c r="Y3962" s="12" t="s">
        <v>91</v>
      </c>
      <c r="Z3962" s="12" t="s">
        <v>92</v>
      </c>
      <c r="AA3962" s="12" t="s">
        <v>10628</v>
      </c>
      <c r="AB3962" s="12" t="s">
        <v>94</v>
      </c>
      <c r="AC3962" s="15">
        <v>59.1</v>
      </c>
      <c r="AD3962" s="15">
        <f>AC3962*AG3962</f>
        <v>59.1</v>
      </c>
      <c r="AE3962" s="15">
        <v>130</v>
      </c>
      <c r="AF3962" s="15">
        <f>AE3962*AG3962</f>
        <v>130</v>
      </c>
      <c r="AG3962" s="16">
        <v>1</v>
      </c>
    </row>
    <row r="3963" spans="1:33" ht="15" customHeight="1" x14ac:dyDescent="0.2">
      <c r="A3963" s="11" t="str">
        <f t="shared" si="1299"/>
        <v>VN000CWEBO51</v>
      </c>
      <c r="B3963" s="12" t="s">
        <v>14140</v>
      </c>
      <c r="C3963" s="12" t="s">
        <v>1248</v>
      </c>
      <c r="D3963" s="12" t="s">
        <v>2835</v>
      </c>
      <c r="E3963" s="12" t="s">
        <v>14141</v>
      </c>
      <c r="F3963" s="13">
        <v>130</v>
      </c>
      <c r="G3963" s="14"/>
      <c r="H3963" s="12" t="s">
        <v>38</v>
      </c>
      <c r="I3963" s="12" t="s">
        <v>113</v>
      </c>
      <c r="J3963" s="12" t="s">
        <v>529</v>
      </c>
      <c r="K3963" s="12" t="s">
        <v>82</v>
      </c>
      <c r="L3963" s="12" t="s">
        <v>115</v>
      </c>
      <c r="M3963" s="12" t="s">
        <v>43</v>
      </c>
      <c r="N3963" s="12" t="s">
        <v>44</v>
      </c>
      <c r="O3963" s="12" t="s">
        <v>14142</v>
      </c>
      <c r="P3963" s="12" t="s">
        <v>46</v>
      </c>
      <c r="Q3963" s="12" t="s">
        <v>47</v>
      </c>
      <c r="R3963" s="12" t="s">
        <v>117</v>
      </c>
      <c r="S3963" s="13">
        <v>197643127338</v>
      </c>
      <c r="T3963" s="12" t="s">
        <v>49</v>
      </c>
      <c r="U3963" s="13">
        <v>47</v>
      </c>
      <c r="V3963" s="12" t="s">
        <v>50</v>
      </c>
      <c r="W3963" s="12" t="s">
        <v>598</v>
      </c>
      <c r="X3963" s="14"/>
      <c r="Y3963" s="12" t="s">
        <v>91</v>
      </c>
      <c r="Z3963" s="12" t="s">
        <v>92</v>
      </c>
      <c r="AA3963" s="12" t="s">
        <v>10628</v>
      </c>
      <c r="AB3963" s="12" t="s">
        <v>94</v>
      </c>
      <c r="AC3963" s="15">
        <v>59.1</v>
      </c>
      <c r="AD3963" s="15">
        <f>AC3963*AG3963</f>
        <v>59.1</v>
      </c>
      <c r="AE3963" s="15">
        <v>130</v>
      </c>
      <c r="AF3963" s="15">
        <f>AE3963*AG3963</f>
        <v>130</v>
      </c>
      <c r="AG3963" s="16">
        <v>1</v>
      </c>
    </row>
    <row r="3964" spans="1:33" ht="15" customHeight="1" x14ac:dyDescent="0.2">
      <c r="A3964" s="11" t="str">
        <f>HYPERLINK("https://assets.vans.eu/images/VN000CWEDRK-HERO/1","VN000CWEDRK1")</f>
        <v>VN000CWEDRK1</v>
      </c>
      <c r="B3964" s="12" t="s">
        <v>14143</v>
      </c>
      <c r="C3964" s="12" t="s">
        <v>1248</v>
      </c>
      <c r="D3964" s="12" t="s">
        <v>14144</v>
      </c>
      <c r="E3964" s="12" t="s">
        <v>14145</v>
      </c>
      <c r="F3964" s="13">
        <v>100</v>
      </c>
      <c r="G3964" s="12" t="s">
        <v>4912</v>
      </c>
      <c r="H3964" s="12" t="s">
        <v>38</v>
      </c>
      <c r="I3964" s="12" t="s">
        <v>159</v>
      </c>
      <c r="J3964" s="12" t="s">
        <v>255</v>
      </c>
      <c r="K3964" s="12" t="s">
        <v>82</v>
      </c>
      <c r="L3964" s="14"/>
      <c r="M3964" s="12" t="s">
        <v>43</v>
      </c>
      <c r="N3964" s="12" t="s">
        <v>161</v>
      </c>
      <c r="O3964" s="12" t="s">
        <v>14146</v>
      </c>
      <c r="P3964" s="12" t="s">
        <v>46</v>
      </c>
      <c r="Q3964" s="12" t="s">
        <v>47</v>
      </c>
      <c r="R3964" s="12" t="s">
        <v>163</v>
      </c>
      <c r="S3964" s="13">
        <v>197065666941</v>
      </c>
      <c r="T3964" s="12" t="s">
        <v>49</v>
      </c>
      <c r="U3964" s="13">
        <v>43</v>
      </c>
      <c r="V3964" s="12" t="s">
        <v>50</v>
      </c>
      <c r="W3964" s="12" t="s">
        <v>118</v>
      </c>
      <c r="X3964" s="14"/>
      <c r="Y3964" s="12" t="s">
        <v>91</v>
      </c>
      <c r="Z3964" s="12" t="s">
        <v>165</v>
      </c>
      <c r="AA3964" s="14"/>
      <c r="AB3964" s="14"/>
      <c r="AC3964" s="15">
        <v>59.1</v>
      </c>
      <c r="AD3964" s="15">
        <f>AC3964*AG3964</f>
        <v>59.1</v>
      </c>
      <c r="AE3964" s="15">
        <v>130</v>
      </c>
      <c r="AF3964" s="15">
        <f>AE3964*AG3964</f>
        <v>130</v>
      </c>
      <c r="AG3964" s="16">
        <v>1</v>
      </c>
    </row>
    <row r="3965" spans="1:33" ht="15" customHeight="1" x14ac:dyDescent="0.2">
      <c r="A3965" s="11" t="str">
        <f>HYPERLINK("https://assets.vans.eu/images/VN000CWEM8I-HERO/1","VN000CWEM8I1")</f>
        <v>VN000CWEM8I1</v>
      </c>
      <c r="B3965" s="12" t="s">
        <v>14147</v>
      </c>
      <c r="C3965" s="12" t="s">
        <v>1248</v>
      </c>
      <c r="D3965" s="12" t="s">
        <v>1487</v>
      </c>
      <c r="E3965" s="12" t="s">
        <v>14148</v>
      </c>
      <c r="F3965" s="13">
        <v>50</v>
      </c>
      <c r="G3965" s="14"/>
      <c r="H3965" s="12" t="s">
        <v>38</v>
      </c>
      <c r="I3965" s="12" t="s">
        <v>159</v>
      </c>
      <c r="J3965" s="12" t="s">
        <v>255</v>
      </c>
      <c r="K3965" s="12" t="s">
        <v>82</v>
      </c>
      <c r="L3965" s="14"/>
      <c r="M3965" s="12" t="s">
        <v>43</v>
      </c>
      <c r="N3965" s="12" t="s">
        <v>161</v>
      </c>
      <c r="O3965" s="12" t="s">
        <v>14149</v>
      </c>
      <c r="P3965" s="12" t="s">
        <v>46</v>
      </c>
      <c r="Q3965" s="12" t="s">
        <v>47</v>
      </c>
      <c r="R3965" s="12" t="s">
        <v>163</v>
      </c>
      <c r="S3965" s="13">
        <v>197065666682</v>
      </c>
      <c r="T3965" s="12" t="s">
        <v>49</v>
      </c>
      <c r="U3965" s="13">
        <v>36.5</v>
      </c>
      <c r="V3965" s="12" t="s">
        <v>50</v>
      </c>
      <c r="W3965" s="12" t="s">
        <v>118</v>
      </c>
      <c r="X3965" s="14"/>
      <c r="Y3965" s="12" t="s">
        <v>91</v>
      </c>
      <c r="Z3965" s="12" t="s">
        <v>165</v>
      </c>
      <c r="AA3965" s="14"/>
      <c r="AB3965" s="14"/>
      <c r="AC3965" s="15">
        <v>59.1</v>
      </c>
      <c r="AD3965" s="15">
        <f>AC3965*AG3965</f>
        <v>59.1</v>
      </c>
      <c r="AE3965" s="15">
        <v>130</v>
      </c>
      <c r="AF3965" s="15">
        <f>AE3965*AG3965</f>
        <v>130</v>
      </c>
      <c r="AG3965" s="16">
        <v>1</v>
      </c>
    </row>
    <row r="3966" spans="1:33" ht="15" customHeight="1" x14ac:dyDescent="0.2">
      <c r="A3966" s="11" t="str">
        <f t="shared" si="772"/>
        <v>VN000CWEN1Z1</v>
      </c>
      <c r="B3966" s="12" t="s">
        <v>14150</v>
      </c>
      <c r="C3966" s="12" t="s">
        <v>1248</v>
      </c>
      <c r="D3966" s="12" t="s">
        <v>1656</v>
      </c>
      <c r="E3966" s="12" t="s">
        <v>14151</v>
      </c>
      <c r="F3966" s="13">
        <v>110</v>
      </c>
      <c r="G3966" s="14"/>
      <c r="H3966" s="12" t="s">
        <v>38</v>
      </c>
      <c r="I3966" s="12" t="s">
        <v>159</v>
      </c>
      <c r="J3966" s="12" t="s">
        <v>255</v>
      </c>
      <c r="K3966" s="12" t="s">
        <v>82</v>
      </c>
      <c r="L3966" s="14"/>
      <c r="M3966" s="12" t="s">
        <v>43</v>
      </c>
      <c r="N3966" s="12" t="s">
        <v>161</v>
      </c>
      <c r="O3966" s="12" t="s">
        <v>14152</v>
      </c>
      <c r="P3966" s="12" t="s">
        <v>46</v>
      </c>
      <c r="Q3966" s="12" t="s">
        <v>47</v>
      </c>
      <c r="R3966" s="12" t="s">
        <v>163</v>
      </c>
      <c r="S3966" s="13">
        <v>197065668877</v>
      </c>
      <c r="T3966" s="12" t="s">
        <v>49</v>
      </c>
      <c r="U3966" s="13">
        <v>44.5</v>
      </c>
      <c r="V3966" s="12" t="s">
        <v>50</v>
      </c>
      <c r="W3966" s="12" t="s">
        <v>186</v>
      </c>
      <c r="X3966" s="14"/>
      <c r="Y3966" s="12" t="s">
        <v>91</v>
      </c>
      <c r="Z3966" s="12" t="s">
        <v>165</v>
      </c>
      <c r="AA3966" s="14"/>
      <c r="AB3966" s="14"/>
      <c r="AC3966" s="15">
        <v>59.1</v>
      </c>
      <c r="AD3966" s="15">
        <f>AC3966*AG3966</f>
        <v>59.1</v>
      </c>
      <c r="AE3966" s="15">
        <v>130</v>
      </c>
      <c r="AF3966" s="15">
        <f>AE3966*AG3966</f>
        <v>130</v>
      </c>
      <c r="AG3966" s="16">
        <v>1</v>
      </c>
    </row>
    <row r="3967" spans="1:33" ht="15" customHeight="1" x14ac:dyDescent="0.2">
      <c r="A3967" s="11" t="str">
        <f t="shared" si="1012"/>
        <v>VN000CWESQ71</v>
      </c>
      <c r="B3967" s="12" t="s">
        <v>14153</v>
      </c>
      <c r="C3967" s="12" t="s">
        <v>1248</v>
      </c>
      <c r="D3967" s="12" t="s">
        <v>5915</v>
      </c>
      <c r="E3967" s="12" t="s">
        <v>14154</v>
      </c>
      <c r="F3967" s="13">
        <v>40</v>
      </c>
      <c r="G3967" s="12" t="s">
        <v>2814</v>
      </c>
      <c r="H3967" s="12" t="s">
        <v>38</v>
      </c>
      <c r="I3967" s="12" t="s">
        <v>159</v>
      </c>
      <c r="J3967" s="12" t="s">
        <v>255</v>
      </c>
      <c r="K3967" s="12" t="s">
        <v>82</v>
      </c>
      <c r="L3967" s="14"/>
      <c r="M3967" s="12" t="s">
        <v>43</v>
      </c>
      <c r="N3967" s="12" t="s">
        <v>44</v>
      </c>
      <c r="O3967" s="12" t="s">
        <v>14155</v>
      </c>
      <c r="P3967" s="12" t="s">
        <v>46</v>
      </c>
      <c r="Q3967" s="12" t="s">
        <v>47</v>
      </c>
      <c r="R3967" s="12" t="s">
        <v>163</v>
      </c>
      <c r="S3967" s="13">
        <v>197643251491</v>
      </c>
      <c r="T3967" s="12" t="s">
        <v>105</v>
      </c>
      <c r="U3967" s="13">
        <v>35</v>
      </c>
      <c r="V3967" s="12" t="s">
        <v>50</v>
      </c>
      <c r="W3967" s="12" t="s">
        <v>580</v>
      </c>
      <c r="X3967" s="14"/>
      <c r="Y3967" s="12" t="s">
        <v>91</v>
      </c>
      <c r="Z3967" s="12" t="s">
        <v>165</v>
      </c>
      <c r="AA3967" s="14"/>
      <c r="AB3967" s="14"/>
      <c r="AC3967" s="15">
        <v>59.1</v>
      </c>
      <c r="AD3967" s="15">
        <f>AC3967*AG3967</f>
        <v>59.1</v>
      </c>
      <c r="AE3967" s="15">
        <v>130</v>
      </c>
      <c r="AF3967" s="15">
        <f>AE3967*AG3967</f>
        <v>130</v>
      </c>
      <c r="AG3967" s="16">
        <v>1</v>
      </c>
    </row>
    <row r="3968" spans="1:33" ht="15" customHeight="1" x14ac:dyDescent="0.2">
      <c r="A3968" s="11" t="str">
        <f t="shared" ref="A3968:A3969" si="1300">HYPERLINK("https://assets.vans.eu/images/VN000CWESQ7-HERO/1","VN000CWESQ71")</f>
        <v>VN000CWESQ71</v>
      </c>
      <c r="B3968" s="12" t="s">
        <v>14156</v>
      </c>
      <c r="C3968" s="12" t="s">
        <v>1248</v>
      </c>
      <c r="D3968" s="12" t="s">
        <v>5915</v>
      </c>
      <c r="E3968" s="12" t="s">
        <v>14157</v>
      </c>
      <c r="F3968" s="13">
        <v>50</v>
      </c>
      <c r="G3968" s="12" t="s">
        <v>2814</v>
      </c>
      <c r="H3968" s="12" t="s">
        <v>38</v>
      </c>
      <c r="I3968" s="12" t="s">
        <v>159</v>
      </c>
      <c r="J3968" s="12" t="s">
        <v>255</v>
      </c>
      <c r="K3968" s="12" t="s">
        <v>82</v>
      </c>
      <c r="L3968" s="14"/>
      <c r="M3968" s="12" t="s">
        <v>43</v>
      </c>
      <c r="N3968" s="12" t="s">
        <v>44</v>
      </c>
      <c r="O3968" s="12" t="s">
        <v>14158</v>
      </c>
      <c r="P3968" s="12" t="s">
        <v>46</v>
      </c>
      <c r="Q3968" s="12" t="s">
        <v>47</v>
      </c>
      <c r="R3968" s="12" t="s">
        <v>163</v>
      </c>
      <c r="S3968" s="13">
        <v>197643251828</v>
      </c>
      <c r="T3968" s="12" t="s">
        <v>105</v>
      </c>
      <c r="U3968" s="13">
        <v>36.5</v>
      </c>
      <c r="V3968" s="12" t="s">
        <v>50</v>
      </c>
      <c r="W3968" s="12" t="s">
        <v>580</v>
      </c>
      <c r="X3968" s="14"/>
      <c r="Y3968" s="12" t="s">
        <v>91</v>
      </c>
      <c r="Z3968" s="12" t="s">
        <v>165</v>
      </c>
      <c r="AA3968" s="14"/>
      <c r="AB3968" s="14"/>
      <c r="AC3968" s="15">
        <v>59.1</v>
      </c>
      <c r="AD3968" s="15">
        <f>AC3968*AG3968</f>
        <v>59.1</v>
      </c>
      <c r="AE3968" s="15">
        <v>130</v>
      </c>
      <c r="AF3968" s="15">
        <f>AE3968*AG3968</f>
        <v>130</v>
      </c>
      <c r="AG3968" s="16">
        <v>1</v>
      </c>
    </row>
    <row r="3969" spans="1:33" ht="15" customHeight="1" x14ac:dyDescent="0.2">
      <c r="A3969" s="11" t="str">
        <f t="shared" si="1300"/>
        <v>VN000CWESQ71</v>
      </c>
      <c r="B3969" s="12" t="s">
        <v>14159</v>
      </c>
      <c r="C3969" s="12" t="s">
        <v>1248</v>
      </c>
      <c r="D3969" s="12" t="s">
        <v>5915</v>
      </c>
      <c r="E3969" s="12" t="s">
        <v>14160</v>
      </c>
      <c r="F3969" s="13">
        <v>130</v>
      </c>
      <c r="G3969" s="12" t="s">
        <v>2814</v>
      </c>
      <c r="H3969" s="12" t="s">
        <v>38</v>
      </c>
      <c r="I3969" s="12" t="s">
        <v>159</v>
      </c>
      <c r="J3969" s="12" t="s">
        <v>255</v>
      </c>
      <c r="K3969" s="12" t="s">
        <v>82</v>
      </c>
      <c r="L3969" s="14"/>
      <c r="M3969" s="12" t="s">
        <v>43</v>
      </c>
      <c r="N3969" s="12" t="s">
        <v>44</v>
      </c>
      <c r="O3969" s="12" t="s">
        <v>14161</v>
      </c>
      <c r="P3969" s="12" t="s">
        <v>46</v>
      </c>
      <c r="Q3969" s="12" t="s">
        <v>47</v>
      </c>
      <c r="R3969" s="12" t="s">
        <v>163</v>
      </c>
      <c r="S3969" s="13">
        <v>197643253280</v>
      </c>
      <c r="T3969" s="12" t="s">
        <v>105</v>
      </c>
      <c r="U3969" s="13">
        <v>47</v>
      </c>
      <c r="V3969" s="12" t="s">
        <v>50</v>
      </c>
      <c r="W3969" s="12" t="s">
        <v>580</v>
      </c>
      <c r="X3969" s="14"/>
      <c r="Y3969" s="12" t="s">
        <v>91</v>
      </c>
      <c r="Z3969" s="12" t="s">
        <v>165</v>
      </c>
      <c r="AA3969" s="14"/>
      <c r="AB3969" s="14"/>
      <c r="AC3969" s="15">
        <v>59.1</v>
      </c>
      <c r="AD3969" s="15">
        <f>AC3969*AG3969</f>
        <v>59.1</v>
      </c>
      <c r="AE3969" s="15">
        <v>130</v>
      </c>
      <c r="AF3969" s="15">
        <f>AE3969*AG3969</f>
        <v>130</v>
      </c>
      <c r="AG3969" s="16">
        <v>1</v>
      </c>
    </row>
    <row r="3970" spans="1:33" ht="15" customHeight="1" x14ac:dyDescent="0.2">
      <c r="A3970" s="11" t="str">
        <f t="shared" ref="A3970:A3971" si="1301">HYPERLINK("https://assets.vans.eu/images/VN000CWEUUI-HERO/1","VN000CWEUUI1")</f>
        <v>VN000CWEUUI1</v>
      </c>
      <c r="B3970" s="12" t="s">
        <v>14162</v>
      </c>
      <c r="C3970" s="12" t="s">
        <v>1248</v>
      </c>
      <c r="D3970" s="12" t="s">
        <v>723</v>
      </c>
      <c r="E3970" s="12" t="s">
        <v>14163</v>
      </c>
      <c r="F3970" s="13">
        <v>45</v>
      </c>
      <c r="G3970" s="14"/>
      <c r="H3970" s="12" t="s">
        <v>38</v>
      </c>
      <c r="I3970" s="12" t="s">
        <v>113</v>
      </c>
      <c r="J3970" s="12" t="s">
        <v>529</v>
      </c>
      <c r="K3970" s="12" t="s">
        <v>82</v>
      </c>
      <c r="L3970" s="14"/>
      <c r="M3970" s="12" t="s">
        <v>43</v>
      </c>
      <c r="N3970" s="12" t="s">
        <v>44</v>
      </c>
      <c r="O3970" s="12" t="s">
        <v>14164</v>
      </c>
      <c r="P3970" s="12" t="s">
        <v>46</v>
      </c>
      <c r="Q3970" s="12" t="s">
        <v>47</v>
      </c>
      <c r="R3970" s="12" t="s">
        <v>117</v>
      </c>
      <c r="S3970" s="13">
        <v>197643251910</v>
      </c>
      <c r="T3970" s="12" t="s">
        <v>105</v>
      </c>
      <c r="U3970" s="13">
        <v>36</v>
      </c>
      <c r="V3970" s="12" t="s">
        <v>50</v>
      </c>
      <c r="W3970" s="12" t="s">
        <v>107</v>
      </c>
      <c r="X3970" s="14"/>
      <c r="Y3970" s="12" t="s">
        <v>91</v>
      </c>
      <c r="Z3970" s="12" t="s">
        <v>165</v>
      </c>
      <c r="AA3970" s="14"/>
      <c r="AB3970" s="14"/>
      <c r="AC3970" s="15">
        <v>59.1</v>
      </c>
      <c r="AD3970" s="15">
        <f>AC3970*AG3970</f>
        <v>59.1</v>
      </c>
      <c r="AE3970" s="15">
        <v>130</v>
      </c>
      <c r="AF3970" s="15">
        <f>AE3970*AG3970</f>
        <v>130</v>
      </c>
      <c r="AG3970" s="16">
        <v>1</v>
      </c>
    </row>
    <row r="3971" spans="1:33" ht="15" customHeight="1" x14ac:dyDescent="0.2">
      <c r="A3971" s="11" t="str">
        <f t="shared" si="1301"/>
        <v>VN000CWEUUI1</v>
      </c>
      <c r="B3971" s="12" t="s">
        <v>14165</v>
      </c>
      <c r="C3971" s="12" t="s">
        <v>1248</v>
      </c>
      <c r="D3971" s="12" t="s">
        <v>723</v>
      </c>
      <c r="E3971" s="12" t="s">
        <v>14166</v>
      </c>
      <c r="F3971" s="13">
        <v>75</v>
      </c>
      <c r="G3971" s="14"/>
      <c r="H3971" s="12" t="s">
        <v>38</v>
      </c>
      <c r="I3971" s="12" t="s">
        <v>113</v>
      </c>
      <c r="J3971" s="12" t="s">
        <v>529</v>
      </c>
      <c r="K3971" s="12" t="s">
        <v>82</v>
      </c>
      <c r="L3971" s="14"/>
      <c r="M3971" s="12" t="s">
        <v>43</v>
      </c>
      <c r="N3971" s="12" t="s">
        <v>44</v>
      </c>
      <c r="O3971" s="12" t="s">
        <v>14167</v>
      </c>
      <c r="P3971" s="12" t="s">
        <v>46</v>
      </c>
      <c r="Q3971" s="12" t="s">
        <v>47</v>
      </c>
      <c r="R3971" s="12" t="s">
        <v>117</v>
      </c>
      <c r="S3971" s="13">
        <v>197643252603</v>
      </c>
      <c r="T3971" s="12" t="s">
        <v>105</v>
      </c>
      <c r="U3971" s="13">
        <v>40</v>
      </c>
      <c r="V3971" s="12" t="s">
        <v>50</v>
      </c>
      <c r="W3971" s="12" t="s">
        <v>107</v>
      </c>
      <c r="X3971" s="14"/>
      <c r="Y3971" s="12" t="s">
        <v>91</v>
      </c>
      <c r="Z3971" s="12" t="s">
        <v>165</v>
      </c>
      <c r="AA3971" s="14"/>
      <c r="AB3971" s="14"/>
      <c r="AC3971" s="15">
        <v>59.1</v>
      </c>
      <c r="AD3971" s="15">
        <f>AC3971*AG3971</f>
        <v>59.1</v>
      </c>
      <c r="AE3971" s="15">
        <v>130</v>
      </c>
      <c r="AF3971" s="15">
        <f>AE3971*AG3971</f>
        <v>130</v>
      </c>
      <c r="AG3971" s="16">
        <v>1</v>
      </c>
    </row>
    <row r="3972" spans="1:33" ht="15" customHeight="1" x14ac:dyDescent="0.2">
      <c r="A3972" s="11" t="str">
        <f t="shared" si="144"/>
        <v>VN000CWEWHP1</v>
      </c>
      <c r="B3972" s="12" t="s">
        <v>14168</v>
      </c>
      <c r="C3972" s="12" t="s">
        <v>1248</v>
      </c>
      <c r="D3972" s="12" t="s">
        <v>945</v>
      </c>
      <c r="E3972" s="12" t="s">
        <v>14169</v>
      </c>
      <c r="F3972" s="13">
        <v>35</v>
      </c>
      <c r="G3972" s="12" t="s">
        <v>1306</v>
      </c>
      <c r="H3972" s="12" t="s">
        <v>38</v>
      </c>
      <c r="I3972" s="12" t="s">
        <v>113</v>
      </c>
      <c r="J3972" s="12" t="s">
        <v>529</v>
      </c>
      <c r="K3972" s="12" t="s">
        <v>82</v>
      </c>
      <c r="L3972" s="14"/>
      <c r="M3972" s="12" t="s">
        <v>43</v>
      </c>
      <c r="N3972" s="12" t="s">
        <v>44</v>
      </c>
      <c r="O3972" s="12" t="s">
        <v>14170</v>
      </c>
      <c r="P3972" s="12" t="s">
        <v>46</v>
      </c>
      <c r="Q3972" s="12" t="s">
        <v>47</v>
      </c>
      <c r="R3972" s="12" t="s">
        <v>117</v>
      </c>
      <c r="S3972" s="13">
        <v>197643251675</v>
      </c>
      <c r="T3972" s="12" t="s">
        <v>49</v>
      </c>
      <c r="U3972" s="13">
        <v>34.5</v>
      </c>
      <c r="V3972" s="12" t="s">
        <v>50</v>
      </c>
      <c r="W3972" s="12" t="s">
        <v>175</v>
      </c>
      <c r="X3972" s="14"/>
      <c r="Y3972" s="12" t="s">
        <v>91</v>
      </c>
      <c r="Z3972" s="12" t="s">
        <v>165</v>
      </c>
      <c r="AA3972" s="14"/>
      <c r="AB3972" s="14"/>
      <c r="AC3972" s="15">
        <v>59.1</v>
      </c>
      <c r="AD3972" s="15">
        <f>AC3972*AG3972</f>
        <v>59.1</v>
      </c>
      <c r="AE3972" s="15">
        <v>130</v>
      </c>
      <c r="AF3972" s="15">
        <f>AE3972*AG3972</f>
        <v>130</v>
      </c>
      <c r="AG3972" s="16">
        <v>1</v>
      </c>
    </row>
    <row r="3973" spans="1:33" ht="15" customHeight="1" x14ac:dyDescent="0.2">
      <c r="A3973" s="11" t="str">
        <f t="shared" ref="A3973:A3975" si="1302">HYPERLINK("https://assets.vans.eu/images/VN000CWF1P0-HERO/1","VN000CWF1P01")</f>
        <v>VN000CWF1P01</v>
      </c>
      <c r="B3973" s="12" t="s">
        <v>14171</v>
      </c>
      <c r="C3973" s="12" t="s">
        <v>9320</v>
      </c>
      <c r="D3973" s="12" t="s">
        <v>14172</v>
      </c>
      <c r="E3973" s="12" t="s">
        <v>14173</v>
      </c>
      <c r="F3973" s="13">
        <v>35</v>
      </c>
      <c r="G3973" s="14"/>
      <c r="H3973" s="12" t="s">
        <v>38</v>
      </c>
      <c r="I3973" s="12" t="s">
        <v>159</v>
      </c>
      <c r="J3973" s="12" t="s">
        <v>255</v>
      </c>
      <c r="K3973" s="12" t="s">
        <v>82</v>
      </c>
      <c r="L3973" s="12" t="s">
        <v>42</v>
      </c>
      <c r="M3973" s="12" t="s">
        <v>43</v>
      </c>
      <c r="N3973" s="12" t="s">
        <v>161</v>
      </c>
      <c r="O3973" s="12" t="s">
        <v>14174</v>
      </c>
      <c r="P3973" s="12" t="s">
        <v>46</v>
      </c>
      <c r="Q3973" s="12" t="s">
        <v>47</v>
      </c>
      <c r="R3973" s="12" t="s">
        <v>163</v>
      </c>
      <c r="S3973" s="13">
        <v>197065667931</v>
      </c>
      <c r="T3973" s="12" t="s">
        <v>49</v>
      </c>
      <c r="U3973" s="13">
        <v>34.5</v>
      </c>
      <c r="V3973" s="12" t="s">
        <v>209</v>
      </c>
      <c r="W3973" s="12" t="s">
        <v>284</v>
      </c>
      <c r="X3973" s="14"/>
      <c r="Y3973" s="12" t="s">
        <v>91</v>
      </c>
      <c r="Z3973" s="12" t="s">
        <v>92</v>
      </c>
      <c r="AA3973" s="12" t="s">
        <v>3224</v>
      </c>
      <c r="AB3973" s="12" t="s">
        <v>55</v>
      </c>
      <c r="AC3973" s="15">
        <v>56.85</v>
      </c>
      <c r="AD3973" s="15">
        <f>AC3973*AG3973</f>
        <v>56.85</v>
      </c>
      <c r="AE3973" s="15">
        <v>125</v>
      </c>
      <c r="AF3973" s="15">
        <f>AE3973*AG3973</f>
        <v>125</v>
      </c>
      <c r="AG3973" s="16">
        <v>1</v>
      </c>
    </row>
    <row r="3974" spans="1:33" ht="15" customHeight="1" x14ac:dyDescent="0.2">
      <c r="A3974" s="11" t="str">
        <f t="shared" si="1302"/>
        <v>VN000CWF1P01</v>
      </c>
      <c r="B3974" s="12" t="s">
        <v>14175</v>
      </c>
      <c r="C3974" s="12" t="s">
        <v>9320</v>
      </c>
      <c r="D3974" s="12" t="s">
        <v>14172</v>
      </c>
      <c r="E3974" s="12" t="s">
        <v>14176</v>
      </c>
      <c r="F3974" s="13">
        <v>40</v>
      </c>
      <c r="G3974" s="14"/>
      <c r="H3974" s="12" t="s">
        <v>38</v>
      </c>
      <c r="I3974" s="12" t="s">
        <v>159</v>
      </c>
      <c r="J3974" s="12" t="s">
        <v>255</v>
      </c>
      <c r="K3974" s="12" t="s">
        <v>82</v>
      </c>
      <c r="L3974" s="12" t="s">
        <v>42</v>
      </c>
      <c r="M3974" s="12" t="s">
        <v>43</v>
      </c>
      <c r="N3974" s="12" t="s">
        <v>161</v>
      </c>
      <c r="O3974" s="12" t="s">
        <v>14177</v>
      </c>
      <c r="P3974" s="12" t="s">
        <v>46</v>
      </c>
      <c r="Q3974" s="12" t="s">
        <v>47</v>
      </c>
      <c r="R3974" s="12" t="s">
        <v>163</v>
      </c>
      <c r="S3974" s="13">
        <v>197065668112</v>
      </c>
      <c r="T3974" s="12" t="s">
        <v>49</v>
      </c>
      <c r="U3974" s="13">
        <v>35</v>
      </c>
      <c r="V3974" s="12" t="s">
        <v>209</v>
      </c>
      <c r="W3974" s="12" t="s">
        <v>284</v>
      </c>
      <c r="X3974" s="14"/>
      <c r="Y3974" s="12" t="s">
        <v>91</v>
      </c>
      <c r="Z3974" s="12" t="s">
        <v>92</v>
      </c>
      <c r="AA3974" s="12" t="s">
        <v>3224</v>
      </c>
      <c r="AB3974" s="12" t="s">
        <v>55</v>
      </c>
      <c r="AC3974" s="15">
        <v>56.85</v>
      </c>
      <c r="AD3974" s="15">
        <f>AC3974*AG3974</f>
        <v>56.85</v>
      </c>
      <c r="AE3974" s="15">
        <v>125</v>
      </c>
      <c r="AF3974" s="15">
        <f>AE3974*AG3974</f>
        <v>125</v>
      </c>
      <c r="AG3974" s="16">
        <v>1</v>
      </c>
    </row>
    <row r="3975" spans="1:33" ht="15" customHeight="1" x14ac:dyDescent="0.2">
      <c r="A3975" s="11" t="str">
        <f t="shared" si="1302"/>
        <v>VN000CWF1P01</v>
      </c>
      <c r="B3975" s="12" t="s">
        <v>14178</v>
      </c>
      <c r="C3975" s="12" t="s">
        <v>9320</v>
      </c>
      <c r="D3975" s="12" t="s">
        <v>14172</v>
      </c>
      <c r="E3975" s="12" t="s">
        <v>14179</v>
      </c>
      <c r="F3975" s="13">
        <v>70</v>
      </c>
      <c r="G3975" s="14"/>
      <c r="H3975" s="12" t="s">
        <v>38</v>
      </c>
      <c r="I3975" s="12" t="s">
        <v>159</v>
      </c>
      <c r="J3975" s="12" t="s">
        <v>255</v>
      </c>
      <c r="K3975" s="12" t="s">
        <v>82</v>
      </c>
      <c r="L3975" s="12" t="s">
        <v>42</v>
      </c>
      <c r="M3975" s="12" t="s">
        <v>43</v>
      </c>
      <c r="N3975" s="12" t="s">
        <v>161</v>
      </c>
      <c r="O3975" s="12" t="s">
        <v>14180</v>
      </c>
      <c r="P3975" s="12" t="s">
        <v>46</v>
      </c>
      <c r="Q3975" s="12" t="s">
        <v>47</v>
      </c>
      <c r="R3975" s="12" t="s">
        <v>163</v>
      </c>
      <c r="S3975" s="13">
        <v>197065668778</v>
      </c>
      <c r="T3975" s="12" t="s">
        <v>49</v>
      </c>
      <c r="U3975" s="13">
        <v>39</v>
      </c>
      <c r="V3975" s="12" t="s">
        <v>209</v>
      </c>
      <c r="W3975" s="12" t="s">
        <v>284</v>
      </c>
      <c r="X3975" s="14"/>
      <c r="Y3975" s="12" t="s">
        <v>91</v>
      </c>
      <c r="Z3975" s="12" t="s">
        <v>92</v>
      </c>
      <c r="AA3975" s="12" t="s">
        <v>3224</v>
      </c>
      <c r="AB3975" s="12" t="s">
        <v>55</v>
      </c>
      <c r="AC3975" s="15">
        <v>56.85</v>
      </c>
      <c r="AD3975" s="15">
        <f>AC3975*AG3975</f>
        <v>56.85</v>
      </c>
      <c r="AE3975" s="15">
        <v>125</v>
      </c>
      <c r="AF3975" s="15">
        <f>AE3975*AG3975</f>
        <v>125</v>
      </c>
      <c r="AG3975" s="16">
        <v>1</v>
      </c>
    </row>
    <row r="3976" spans="1:33" ht="15" customHeight="1" x14ac:dyDescent="0.2">
      <c r="A3976" s="11" t="str">
        <f t="shared" ref="A3976:A3977" si="1303">HYPERLINK("https://assets.vans.eu/images/VN000CWFSKQ-HERO/1","VN000CWFSKQ1")</f>
        <v>VN000CWFSKQ1</v>
      </c>
      <c r="B3976" s="12" t="s">
        <v>14181</v>
      </c>
      <c r="C3976" s="12" t="s">
        <v>9320</v>
      </c>
      <c r="D3976" s="12" t="s">
        <v>14182</v>
      </c>
      <c r="E3976" s="12" t="s">
        <v>14183</v>
      </c>
      <c r="F3976" s="13">
        <v>35</v>
      </c>
      <c r="G3976" s="12" t="s">
        <v>9323</v>
      </c>
      <c r="H3976" s="12" t="s">
        <v>38</v>
      </c>
      <c r="I3976" s="12" t="s">
        <v>159</v>
      </c>
      <c r="J3976" s="12" t="s">
        <v>255</v>
      </c>
      <c r="K3976" s="12" t="s">
        <v>82</v>
      </c>
      <c r="L3976" s="12" t="s">
        <v>42</v>
      </c>
      <c r="M3976" s="12" t="s">
        <v>43</v>
      </c>
      <c r="N3976" s="12" t="s">
        <v>161</v>
      </c>
      <c r="O3976" s="12" t="s">
        <v>14184</v>
      </c>
      <c r="P3976" s="12" t="s">
        <v>46</v>
      </c>
      <c r="Q3976" s="12" t="s">
        <v>47</v>
      </c>
      <c r="R3976" s="12" t="s">
        <v>163</v>
      </c>
      <c r="S3976" s="13">
        <v>197065669720</v>
      </c>
      <c r="T3976" s="12" t="s">
        <v>49</v>
      </c>
      <c r="U3976" s="13">
        <v>34.5</v>
      </c>
      <c r="V3976" s="12" t="s">
        <v>209</v>
      </c>
      <c r="W3976" s="12" t="s">
        <v>51</v>
      </c>
      <c r="X3976" s="14"/>
      <c r="Y3976" s="12" t="s">
        <v>91</v>
      </c>
      <c r="Z3976" s="12" t="s">
        <v>92</v>
      </c>
      <c r="AA3976" s="12" t="s">
        <v>3224</v>
      </c>
      <c r="AB3976" s="12" t="s">
        <v>55</v>
      </c>
      <c r="AC3976" s="15">
        <v>56.85</v>
      </c>
      <c r="AD3976" s="15">
        <f>AC3976*AG3976</f>
        <v>56.85</v>
      </c>
      <c r="AE3976" s="15">
        <v>125</v>
      </c>
      <c r="AF3976" s="15">
        <f>AE3976*AG3976</f>
        <v>125</v>
      </c>
      <c r="AG3976" s="16">
        <v>1</v>
      </c>
    </row>
    <row r="3977" spans="1:33" ht="15" customHeight="1" x14ac:dyDescent="0.2">
      <c r="A3977" s="11" t="str">
        <f t="shared" si="1303"/>
        <v>VN000CWFSKQ1</v>
      </c>
      <c r="B3977" s="12" t="s">
        <v>14185</v>
      </c>
      <c r="C3977" s="12" t="s">
        <v>9320</v>
      </c>
      <c r="D3977" s="12" t="s">
        <v>14182</v>
      </c>
      <c r="E3977" s="12" t="s">
        <v>14186</v>
      </c>
      <c r="F3977" s="13">
        <v>40</v>
      </c>
      <c r="G3977" s="12" t="s">
        <v>9323</v>
      </c>
      <c r="H3977" s="12" t="s">
        <v>38</v>
      </c>
      <c r="I3977" s="12" t="s">
        <v>159</v>
      </c>
      <c r="J3977" s="12" t="s">
        <v>255</v>
      </c>
      <c r="K3977" s="12" t="s">
        <v>82</v>
      </c>
      <c r="L3977" s="12" t="s">
        <v>42</v>
      </c>
      <c r="M3977" s="12" t="s">
        <v>43</v>
      </c>
      <c r="N3977" s="12" t="s">
        <v>161</v>
      </c>
      <c r="O3977" s="12" t="s">
        <v>14187</v>
      </c>
      <c r="P3977" s="12" t="s">
        <v>46</v>
      </c>
      <c r="Q3977" s="12" t="s">
        <v>47</v>
      </c>
      <c r="R3977" s="12" t="s">
        <v>163</v>
      </c>
      <c r="S3977" s="13">
        <v>197065669805</v>
      </c>
      <c r="T3977" s="12" t="s">
        <v>49</v>
      </c>
      <c r="U3977" s="13">
        <v>35</v>
      </c>
      <c r="V3977" s="12" t="s">
        <v>209</v>
      </c>
      <c r="W3977" s="12" t="s">
        <v>51</v>
      </c>
      <c r="X3977" s="14"/>
      <c r="Y3977" s="12" t="s">
        <v>91</v>
      </c>
      <c r="Z3977" s="12" t="s">
        <v>92</v>
      </c>
      <c r="AA3977" s="12" t="s">
        <v>3224</v>
      </c>
      <c r="AB3977" s="12" t="s">
        <v>55</v>
      </c>
      <c r="AC3977" s="15">
        <v>56.85</v>
      </c>
      <c r="AD3977" s="15">
        <f>AC3977*AG3977</f>
        <v>56.85</v>
      </c>
      <c r="AE3977" s="15">
        <v>125</v>
      </c>
      <c r="AF3977" s="15">
        <f>AE3977*AG3977</f>
        <v>125</v>
      </c>
      <c r="AG3977" s="16">
        <v>1</v>
      </c>
    </row>
    <row r="3978" spans="1:33" ht="15" customHeight="1" x14ac:dyDescent="0.2">
      <c r="A3978" s="11" t="str">
        <f t="shared" si="407"/>
        <v>VN000CYA7VF1</v>
      </c>
      <c r="B3978" s="12" t="s">
        <v>14188</v>
      </c>
      <c r="C3978" s="12" t="s">
        <v>238</v>
      </c>
      <c r="D3978" s="12" t="s">
        <v>641</v>
      </c>
      <c r="E3978" s="12" t="s">
        <v>14189</v>
      </c>
      <c r="F3978" s="13">
        <v>15</v>
      </c>
      <c r="G3978" s="12" t="s">
        <v>643</v>
      </c>
      <c r="H3978" s="12" t="s">
        <v>38</v>
      </c>
      <c r="I3978" s="12" t="s">
        <v>39</v>
      </c>
      <c r="J3978" s="12" t="s">
        <v>40</v>
      </c>
      <c r="K3978" s="12" t="s">
        <v>41</v>
      </c>
      <c r="L3978" s="14"/>
      <c r="M3978" s="12" t="s">
        <v>43</v>
      </c>
      <c r="N3978" s="12" t="s">
        <v>84</v>
      </c>
      <c r="O3978" s="12" t="s">
        <v>14190</v>
      </c>
      <c r="P3978" s="12" t="s">
        <v>46</v>
      </c>
      <c r="Q3978" s="12" t="s">
        <v>47</v>
      </c>
      <c r="R3978" s="12" t="s">
        <v>48</v>
      </c>
      <c r="S3978" s="13">
        <v>197804514212</v>
      </c>
      <c r="T3978" s="12" t="s">
        <v>49</v>
      </c>
      <c r="U3978" s="13">
        <v>32</v>
      </c>
      <c r="V3978" s="12" t="s">
        <v>278</v>
      </c>
      <c r="W3978" s="12" t="s">
        <v>455</v>
      </c>
      <c r="X3978" s="14"/>
      <c r="Y3978" s="14"/>
      <c r="Z3978" s="14"/>
      <c r="AA3978" s="14"/>
      <c r="AB3978" s="14"/>
      <c r="AC3978" s="15">
        <v>29.55</v>
      </c>
      <c r="AD3978" s="15">
        <f>AC3978*AG3978</f>
        <v>29.55</v>
      </c>
      <c r="AE3978" s="15">
        <v>65</v>
      </c>
      <c r="AF3978" s="15">
        <f>AE3978*AG3978</f>
        <v>65</v>
      </c>
      <c r="AG3978" s="16">
        <v>1</v>
      </c>
    </row>
    <row r="3979" spans="1:33" ht="15" customHeight="1" x14ac:dyDescent="0.2">
      <c r="A3979" s="11" t="str">
        <f>HYPERLINK("https://assets.vans.eu/images/VN000CYA7VF-HERO/1","VN000CYA7VF1")</f>
        <v>VN000CYA7VF1</v>
      </c>
      <c r="B3979" s="12" t="s">
        <v>14191</v>
      </c>
      <c r="C3979" s="12" t="s">
        <v>238</v>
      </c>
      <c r="D3979" s="12" t="s">
        <v>641</v>
      </c>
      <c r="E3979" s="12" t="s">
        <v>14192</v>
      </c>
      <c r="F3979" s="13">
        <v>130</v>
      </c>
      <c r="G3979" s="12" t="s">
        <v>643</v>
      </c>
      <c r="H3979" s="12" t="s">
        <v>38</v>
      </c>
      <c r="I3979" s="12" t="s">
        <v>39</v>
      </c>
      <c r="J3979" s="12" t="s">
        <v>40</v>
      </c>
      <c r="K3979" s="12" t="s">
        <v>41</v>
      </c>
      <c r="L3979" s="14"/>
      <c r="M3979" s="12" t="s">
        <v>43</v>
      </c>
      <c r="N3979" s="12" t="s">
        <v>84</v>
      </c>
      <c r="O3979" s="12" t="s">
        <v>14193</v>
      </c>
      <c r="P3979" s="12" t="s">
        <v>46</v>
      </c>
      <c r="Q3979" s="12" t="s">
        <v>47</v>
      </c>
      <c r="R3979" s="12" t="s">
        <v>48</v>
      </c>
      <c r="S3979" s="13">
        <v>197804515585</v>
      </c>
      <c r="T3979" s="12" t="s">
        <v>49</v>
      </c>
      <c r="U3979" s="13">
        <v>30.5</v>
      </c>
      <c r="V3979" s="12" t="s">
        <v>278</v>
      </c>
      <c r="W3979" s="12" t="s">
        <v>455</v>
      </c>
      <c r="X3979" s="14"/>
      <c r="Y3979" s="14"/>
      <c r="Z3979" s="14"/>
      <c r="AA3979" s="14"/>
      <c r="AB3979" s="14"/>
      <c r="AC3979" s="15">
        <v>29.55</v>
      </c>
      <c r="AD3979" s="15">
        <f>AC3979*AG3979</f>
        <v>29.55</v>
      </c>
      <c r="AE3979" s="15">
        <v>65</v>
      </c>
      <c r="AF3979" s="15">
        <f>AE3979*AG3979</f>
        <v>65</v>
      </c>
      <c r="AG3979" s="16">
        <v>1</v>
      </c>
    </row>
    <row r="3980" spans="1:33" ht="15" customHeight="1" x14ac:dyDescent="0.2">
      <c r="A3980" s="11" t="str">
        <f t="shared" ref="A3980:A3981" si="1304">HYPERLINK("https://assets.vans.eu/images/VN000CYABMC-HERO/1","VN000CYABMC1")</f>
        <v>VN000CYABMC1</v>
      </c>
      <c r="B3980" s="12" t="s">
        <v>14194</v>
      </c>
      <c r="C3980" s="12" t="s">
        <v>238</v>
      </c>
      <c r="D3980" s="12" t="s">
        <v>4915</v>
      </c>
      <c r="E3980" s="12" t="s">
        <v>14195</v>
      </c>
      <c r="F3980" s="13">
        <v>20</v>
      </c>
      <c r="G3980" s="12" t="s">
        <v>3900</v>
      </c>
      <c r="H3980" s="12" t="s">
        <v>38</v>
      </c>
      <c r="I3980" s="12" t="s">
        <v>39</v>
      </c>
      <c r="J3980" s="12" t="s">
        <v>40</v>
      </c>
      <c r="K3980" s="12" t="s">
        <v>41</v>
      </c>
      <c r="L3980" s="14"/>
      <c r="M3980" s="12" t="s">
        <v>43</v>
      </c>
      <c r="N3980" s="12" t="s">
        <v>84</v>
      </c>
      <c r="O3980" s="12" t="s">
        <v>14196</v>
      </c>
      <c r="P3980" s="12" t="s">
        <v>46</v>
      </c>
      <c r="Q3980" s="12" t="s">
        <v>47</v>
      </c>
      <c r="R3980" s="12" t="s">
        <v>48</v>
      </c>
      <c r="S3980" s="13">
        <v>197804669875</v>
      </c>
      <c r="T3980" s="12" t="s">
        <v>49</v>
      </c>
      <c r="U3980" s="13">
        <v>32.5</v>
      </c>
      <c r="V3980" s="12" t="s">
        <v>50</v>
      </c>
      <c r="W3980" s="12" t="s">
        <v>598</v>
      </c>
      <c r="X3980" s="14"/>
      <c r="Y3980" s="14"/>
      <c r="Z3980" s="14"/>
      <c r="AA3980" s="14"/>
      <c r="AB3980" s="14"/>
      <c r="AC3980" s="15">
        <v>25</v>
      </c>
      <c r="AD3980" s="15">
        <f>AC3980*AG3980</f>
        <v>25</v>
      </c>
      <c r="AE3980" s="15">
        <v>55</v>
      </c>
      <c r="AF3980" s="15">
        <f>AE3980*AG3980</f>
        <v>55</v>
      </c>
      <c r="AG3980" s="16">
        <v>1</v>
      </c>
    </row>
    <row r="3981" spans="1:33" ht="15" customHeight="1" x14ac:dyDescent="0.2">
      <c r="A3981" s="11" t="str">
        <f t="shared" si="1304"/>
        <v>VN000CYABMC1</v>
      </c>
      <c r="B3981" s="12" t="s">
        <v>14197</v>
      </c>
      <c r="C3981" s="12" t="s">
        <v>238</v>
      </c>
      <c r="D3981" s="12" t="s">
        <v>4915</v>
      </c>
      <c r="E3981" s="12" t="s">
        <v>14198</v>
      </c>
      <c r="F3981" s="13">
        <v>120</v>
      </c>
      <c r="G3981" s="12" t="s">
        <v>3900</v>
      </c>
      <c r="H3981" s="12" t="s">
        <v>38</v>
      </c>
      <c r="I3981" s="12" t="s">
        <v>39</v>
      </c>
      <c r="J3981" s="12" t="s">
        <v>40</v>
      </c>
      <c r="K3981" s="12" t="s">
        <v>41</v>
      </c>
      <c r="L3981" s="14"/>
      <c r="M3981" s="12" t="s">
        <v>43</v>
      </c>
      <c r="N3981" s="12" t="s">
        <v>84</v>
      </c>
      <c r="O3981" s="12" t="s">
        <v>14199</v>
      </c>
      <c r="P3981" s="12" t="s">
        <v>46</v>
      </c>
      <c r="Q3981" s="12" t="s">
        <v>47</v>
      </c>
      <c r="R3981" s="12" t="s">
        <v>48</v>
      </c>
      <c r="S3981" s="13">
        <v>197804670352</v>
      </c>
      <c r="T3981" s="12" t="s">
        <v>49</v>
      </c>
      <c r="U3981" s="13">
        <v>29</v>
      </c>
      <c r="V3981" s="12" t="s">
        <v>50</v>
      </c>
      <c r="W3981" s="12" t="s">
        <v>598</v>
      </c>
      <c r="X3981" s="14"/>
      <c r="Y3981" s="14"/>
      <c r="Z3981" s="14"/>
      <c r="AA3981" s="14"/>
      <c r="AB3981" s="14"/>
      <c r="AC3981" s="15">
        <v>25</v>
      </c>
      <c r="AD3981" s="15">
        <f>AC3981*AG3981</f>
        <v>25</v>
      </c>
      <c r="AE3981" s="15">
        <v>55</v>
      </c>
      <c r="AF3981" s="15">
        <f>AE3981*AG3981</f>
        <v>55</v>
      </c>
      <c r="AG3981" s="16">
        <v>1</v>
      </c>
    </row>
    <row r="3982" spans="1:33" ht="15" customHeight="1" x14ac:dyDescent="0.2">
      <c r="A3982" s="11" t="str">
        <f>HYPERLINK("https://assets.vans.eu/images/VN000CYAGRN-HERO/1","VN000CYAGRN1")</f>
        <v>VN000CYAGRN1</v>
      </c>
      <c r="B3982" s="12" t="s">
        <v>14200</v>
      </c>
      <c r="C3982" s="12" t="s">
        <v>238</v>
      </c>
      <c r="D3982" s="12" t="s">
        <v>2428</v>
      </c>
      <c r="E3982" s="12" t="s">
        <v>14201</v>
      </c>
      <c r="F3982" s="13">
        <v>110</v>
      </c>
      <c r="G3982" s="12" t="s">
        <v>4948</v>
      </c>
      <c r="H3982" s="12" t="s">
        <v>38</v>
      </c>
      <c r="I3982" s="12" t="s">
        <v>39</v>
      </c>
      <c r="J3982" s="12" t="s">
        <v>40</v>
      </c>
      <c r="K3982" s="12" t="s">
        <v>41</v>
      </c>
      <c r="L3982" s="14"/>
      <c r="M3982" s="12" t="s">
        <v>43</v>
      </c>
      <c r="N3982" s="12" t="s">
        <v>84</v>
      </c>
      <c r="O3982" s="12" t="s">
        <v>14202</v>
      </c>
      <c r="P3982" s="12" t="s">
        <v>46</v>
      </c>
      <c r="Q3982" s="12" t="s">
        <v>47</v>
      </c>
      <c r="R3982" s="12" t="s">
        <v>48</v>
      </c>
      <c r="S3982" s="13">
        <v>197804515462</v>
      </c>
      <c r="T3982" s="12" t="s">
        <v>105</v>
      </c>
      <c r="U3982" s="13">
        <v>27.5</v>
      </c>
      <c r="V3982" s="12" t="s">
        <v>50</v>
      </c>
      <c r="W3982" s="12" t="s">
        <v>118</v>
      </c>
      <c r="X3982" s="14"/>
      <c r="Y3982" s="14"/>
      <c r="Z3982" s="14"/>
      <c r="AA3982" s="14"/>
      <c r="AB3982" s="14"/>
      <c r="AC3982" s="15">
        <v>22.75</v>
      </c>
      <c r="AD3982" s="15">
        <f>AC3982*AG3982</f>
        <v>22.75</v>
      </c>
      <c r="AE3982" s="15">
        <v>50</v>
      </c>
      <c r="AF3982" s="15">
        <f>AE3982*AG3982</f>
        <v>50</v>
      </c>
      <c r="AG3982" s="16">
        <v>1</v>
      </c>
    </row>
    <row r="3983" spans="1:33" ht="15" customHeight="1" x14ac:dyDescent="0.2">
      <c r="A3983" s="11" t="str">
        <f t="shared" si="368"/>
        <v>VN000CYAYLZ1</v>
      </c>
      <c r="B3983" s="12" t="s">
        <v>14203</v>
      </c>
      <c r="C3983" s="12" t="s">
        <v>238</v>
      </c>
      <c r="D3983" s="12" t="s">
        <v>458</v>
      </c>
      <c r="E3983" s="12" t="s">
        <v>14204</v>
      </c>
      <c r="F3983" s="13">
        <v>10</v>
      </c>
      <c r="G3983" s="12" t="s">
        <v>775</v>
      </c>
      <c r="H3983" s="12" t="s">
        <v>38</v>
      </c>
      <c r="I3983" s="12" t="s">
        <v>39</v>
      </c>
      <c r="J3983" s="12" t="s">
        <v>40</v>
      </c>
      <c r="K3983" s="12" t="s">
        <v>41</v>
      </c>
      <c r="L3983" s="14"/>
      <c r="M3983" s="12" t="s">
        <v>43</v>
      </c>
      <c r="N3983" s="12" t="s">
        <v>84</v>
      </c>
      <c r="O3983" s="12" t="s">
        <v>14205</v>
      </c>
      <c r="P3983" s="12" t="s">
        <v>46</v>
      </c>
      <c r="Q3983" s="12" t="s">
        <v>47</v>
      </c>
      <c r="R3983" s="12" t="s">
        <v>48</v>
      </c>
      <c r="S3983" s="13">
        <v>197804515974</v>
      </c>
      <c r="T3983" s="12" t="s">
        <v>105</v>
      </c>
      <c r="U3983" s="13">
        <v>31.5</v>
      </c>
      <c r="V3983" s="12" t="s">
        <v>278</v>
      </c>
      <c r="W3983" s="12" t="s">
        <v>299</v>
      </c>
      <c r="X3983" s="14"/>
      <c r="Y3983" s="14"/>
      <c r="Z3983" s="14"/>
      <c r="AA3983" s="14"/>
      <c r="AB3983" s="14"/>
      <c r="AC3983" s="15">
        <v>29.55</v>
      </c>
      <c r="AD3983" s="15">
        <f>AC3983*AG3983</f>
        <v>29.55</v>
      </c>
      <c r="AE3983" s="15">
        <v>65</v>
      </c>
      <c r="AF3983" s="15">
        <f>AE3983*AG3983</f>
        <v>65</v>
      </c>
      <c r="AG3983" s="16">
        <v>1</v>
      </c>
    </row>
    <row r="3984" spans="1:33" ht="15" customHeight="1" x14ac:dyDescent="0.2">
      <c r="A3984" s="11" t="str">
        <f>HYPERLINK("https://assets.vans.eu/images/VN000CYAYLZ-HERO/1","VN000CYAYLZ1")</f>
        <v>VN000CYAYLZ1</v>
      </c>
      <c r="B3984" s="12" t="s">
        <v>14206</v>
      </c>
      <c r="C3984" s="12" t="s">
        <v>238</v>
      </c>
      <c r="D3984" s="12" t="s">
        <v>458</v>
      </c>
      <c r="E3984" s="12" t="s">
        <v>14207</v>
      </c>
      <c r="F3984" s="13">
        <v>130</v>
      </c>
      <c r="G3984" s="12" t="s">
        <v>775</v>
      </c>
      <c r="H3984" s="12" t="s">
        <v>38</v>
      </c>
      <c r="I3984" s="12" t="s">
        <v>39</v>
      </c>
      <c r="J3984" s="12" t="s">
        <v>40</v>
      </c>
      <c r="K3984" s="12" t="s">
        <v>41</v>
      </c>
      <c r="L3984" s="14"/>
      <c r="M3984" s="12" t="s">
        <v>43</v>
      </c>
      <c r="N3984" s="12" t="s">
        <v>84</v>
      </c>
      <c r="O3984" s="12" t="s">
        <v>14208</v>
      </c>
      <c r="P3984" s="12" t="s">
        <v>46</v>
      </c>
      <c r="Q3984" s="12" t="s">
        <v>47</v>
      </c>
      <c r="R3984" s="12" t="s">
        <v>48</v>
      </c>
      <c r="S3984" s="13">
        <v>197804516827</v>
      </c>
      <c r="T3984" s="12" t="s">
        <v>105</v>
      </c>
      <c r="U3984" s="13">
        <v>30.5</v>
      </c>
      <c r="V3984" s="12" t="s">
        <v>278</v>
      </c>
      <c r="W3984" s="12" t="s">
        <v>299</v>
      </c>
      <c r="X3984" s="14"/>
      <c r="Y3984" s="14"/>
      <c r="Z3984" s="14"/>
      <c r="AA3984" s="14"/>
      <c r="AB3984" s="14"/>
      <c r="AC3984" s="15">
        <v>29.55</v>
      </c>
      <c r="AD3984" s="15">
        <f>AC3984*AG3984</f>
        <v>29.55</v>
      </c>
      <c r="AE3984" s="15">
        <v>65</v>
      </c>
      <c r="AF3984" s="15">
        <f>AE3984*AG3984</f>
        <v>65</v>
      </c>
      <c r="AG3984" s="16">
        <v>1</v>
      </c>
    </row>
    <row r="3985" spans="1:33" ht="15" customHeight="1" x14ac:dyDescent="0.2">
      <c r="A3985" s="11" t="str">
        <f>HYPERLINK("https://assets.vans.eu/images/VN000CYCBF2-HERO/1","VN000CYCBF21")</f>
        <v>VN000CYCBF21</v>
      </c>
      <c r="B3985" s="12" t="s">
        <v>14209</v>
      </c>
      <c r="C3985" s="12" t="s">
        <v>2125</v>
      </c>
      <c r="D3985" s="12" t="s">
        <v>14210</v>
      </c>
      <c r="E3985" s="12" t="s">
        <v>14211</v>
      </c>
      <c r="F3985" s="13">
        <v>30</v>
      </c>
      <c r="G3985" s="14"/>
      <c r="H3985" s="12" t="s">
        <v>38</v>
      </c>
      <c r="I3985" s="12" t="s">
        <v>39</v>
      </c>
      <c r="J3985" s="12" t="s">
        <v>2430</v>
      </c>
      <c r="K3985" s="12" t="s">
        <v>41</v>
      </c>
      <c r="L3985" s="14"/>
      <c r="M3985" s="12" t="s">
        <v>43</v>
      </c>
      <c r="N3985" s="12" t="s">
        <v>44</v>
      </c>
      <c r="O3985" s="12" t="s">
        <v>14212</v>
      </c>
      <c r="P3985" s="12" t="s">
        <v>46</v>
      </c>
      <c r="Q3985" s="12" t="s">
        <v>47</v>
      </c>
      <c r="R3985" s="12" t="s">
        <v>48</v>
      </c>
      <c r="S3985" s="13">
        <v>197643258087</v>
      </c>
      <c r="T3985" s="12" t="s">
        <v>49</v>
      </c>
      <c r="U3985" s="13">
        <v>34</v>
      </c>
      <c r="V3985" s="12" t="s">
        <v>375</v>
      </c>
      <c r="W3985" s="12" t="s">
        <v>186</v>
      </c>
      <c r="X3985" s="14"/>
      <c r="Y3985" s="12" t="s">
        <v>91</v>
      </c>
      <c r="Z3985" s="12" t="s">
        <v>165</v>
      </c>
      <c r="AA3985" s="14"/>
      <c r="AB3985" s="14"/>
      <c r="AC3985" s="15">
        <v>25</v>
      </c>
      <c r="AD3985" s="15">
        <f>AC3985*AG3985</f>
        <v>25</v>
      </c>
      <c r="AE3985" s="15">
        <v>55</v>
      </c>
      <c r="AF3985" s="15">
        <f>AE3985*AG3985</f>
        <v>55</v>
      </c>
      <c r="AG3985" s="16">
        <v>1</v>
      </c>
    </row>
    <row r="3986" spans="1:33" ht="15" customHeight="1" x14ac:dyDescent="0.2">
      <c r="A3986" s="11" t="str">
        <f>HYPERLINK("https://assets.vans.eu/images/VN000CYDBJ1-HERO/1","VN000CYDBJ11")</f>
        <v>VN000CYDBJ11</v>
      </c>
      <c r="B3986" s="12" t="s">
        <v>14213</v>
      </c>
      <c r="C3986" s="12" t="s">
        <v>238</v>
      </c>
      <c r="D3986" s="12" t="s">
        <v>14214</v>
      </c>
      <c r="E3986" s="12" t="s">
        <v>14215</v>
      </c>
      <c r="F3986" s="13">
        <v>30</v>
      </c>
      <c r="G3986" s="12" t="s">
        <v>14216</v>
      </c>
      <c r="H3986" s="12" t="s">
        <v>38</v>
      </c>
      <c r="I3986" s="12" t="s">
        <v>39</v>
      </c>
      <c r="J3986" s="12" t="s">
        <v>40</v>
      </c>
      <c r="K3986" s="12" t="s">
        <v>41</v>
      </c>
      <c r="L3986" s="14"/>
      <c r="M3986" s="12" t="s">
        <v>43</v>
      </c>
      <c r="N3986" s="12" t="s">
        <v>44</v>
      </c>
      <c r="O3986" s="12" t="s">
        <v>14217</v>
      </c>
      <c r="P3986" s="12" t="s">
        <v>46</v>
      </c>
      <c r="Q3986" s="12" t="s">
        <v>47</v>
      </c>
      <c r="R3986" s="12" t="s">
        <v>48</v>
      </c>
      <c r="S3986" s="13">
        <v>197643561118</v>
      </c>
      <c r="T3986" s="12" t="s">
        <v>49</v>
      </c>
      <c r="U3986" s="13">
        <v>34</v>
      </c>
      <c r="V3986" s="12" t="s">
        <v>209</v>
      </c>
      <c r="W3986" s="12" t="s">
        <v>299</v>
      </c>
      <c r="X3986" s="14"/>
      <c r="Y3986" s="12" t="s">
        <v>91</v>
      </c>
      <c r="Z3986" s="12" t="s">
        <v>165</v>
      </c>
      <c r="AA3986" s="14"/>
      <c r="AB3986" s="14"/>
      <c r="AC3986" s="15">
        <v>29.55</v>
      </c>
      <c r="AD3986" s="15">
        <f>AC3986*AG3986</f>
        <v>29.55</v>
      </c>
      <c r="AE3986" s="15">
        <v>65</v>
      </c>
      <c r="AF3986" s="15">
        <f>AE3986*AG3986</f>
        <v>65</v>
      </c>
      <c r="AG3986" s="16">
        <v>1</v>
      </c>
    </row>
    <row r="3987" spans="1:33" ht="15" customHeight="1" x14ac:dyDescent="0.2">
      <c r="A3987" s="11" t="str">
        <f t="shared" si="1014"/>
        <v>VN000CYPBML1</v>
      </c>
      <c r="B3987" s="12" t="s">
        <v>14218</v>
      </c>
      <c r="C3987" s="12" t="s">
        <v>9343</v>
      </c>
      <c r="D3987" s="12" t="s">
        <v>555</v>
      </c>
      <c r="E3987" s="12" t="s">
        <v>14219</v>
      </c>
      <c r="F3987" s="13">
        <v>105</v>
      </c>
      <c r="G3987" s="12" t="s">
        <v>9348</v>
      </c>
      <c r="H3987" s="12" t="s">
        <v>38</v>
      </c>
      <c r="I3987" s="12" t="s">
        <v>39</v>
      </c>
      <c r="J3987" s="12" t="s">
        <v>40</v>
      </c>
      <c r="K3987" s="12" t="s">
        <v>41</v>
      </c>
      <c r="L3987" s="14"/>
      <c r="M3987" s="12" t="s">
        <v>43</v>
      </c>
      <c r="N3987" s="12" t="s">
        <v>44</v>
      </c>
      <c r="O3987" s="12" t="s">
        <v>14220</v>
      </c>
      <c r="P3987" s="12" t="s">
        <v>46</v>
      </c>
      <c r="Q3987" s="12" t="s">
        <v>47</v>
      </c>
      <c r="R3987" s="12" t="s">
        <v>780</v>
      </c>
      <c r="S3987" s="13">
        <v>197643259800</v>
      </c>
      <c r="T3987" s="12" t="s">
        <v>164</v>
      </c>
      <c r="U3987" s="13">
        <v>27</v>
      </c>
      <c r="V3987" s="12" t="s">
        <v>50</v>
      </c>
      <c r="W3987" s="12" t="s">
        <v>51</v>
      </c>
      <c r="X3987" s="14"/>
      <c r="Y3987" s="12" t="s">
        <v>91</v>
      </c>
      <c r="Z3987" s="12" t="s">
        <v>165</v>
      </c>
      <c r="AA3987" s="14"/>
      <c r="AB3987" s="14"/>
      <c r="AC3987" s="15">
        <v>29.55</v>
      </c>
      <c r="AD3987" s="15">
        <f>AC3987*AG3987</f>
        <v>29.55</v>
      </c>
      <c r="AE3987" s="15">
        <v>65</v>
      </c>
      <c r="AF3987" s="15">
        <f>AE3987*AG3987</f>
        <v>65</v>
      </c>
      <c r="AG3987" s="16">
        <v>1</v>
      </c>
    </row>
    <row r="3988" spans="1:33" ht="15" customHeight="1" x14ac:dyDescent="0.2">
      <c r="A3988" s="11" t="str">
        <f t="shared" ref="A3988:A3989" si="1305">HYPERLINK("https://assets.vans.eu/images/VN000CYPDJR-HERO/1","VN000CYPDJR1")</f>
        <v>VN000CYPDJR1</v>
      </c>
      <c r="B3988" s="12" t="s">
        <v>14221</v>
      </c>
      <c r="C3988" s="12" t="s">
        <v>9343</v>
      </c>
      <c r="D3988" s="12" t="s">
        <v>2829</v>
      </c>
      <c r="E3988" s="12" t="s">
        <v>14222</v>
      </c>
      <c r="F3988" s="13">
        <v>115</v>
      </c>
      <c r="G3988" s="12" t="s">
        <v>643</v>
      </c>
      <c r="H3988" s="12" t="s">
        <v>38</v>
      </c>
      <c r="I3988" s="12" t="s">
        <v>39</v>
      </c>
      <c r="J3988" s="12" t="s">
        <v>40</v>
      </c>
      <c r="K3988" s="12" t="s">
        <v>41</v>
      </c>
      <c r="L3988" s="14"/>
      <c r="M3988" s="12" t="s">
        <v>43</v>
      </c>
      <c r="N3988" s="12" t="s">
        <v>84</v>
      </c>
      <c r="O3988" s="12" t="s">
        <v>14223</v>
      </c>
      <c r="P3988" s="12" t="s">
        <v>46</v>
      </c>
      <c r="Q3988" s="12" t="s">
        <v>47</v>
      </c>
      <c r="R3988" s="12" t="s">
        <v>780</v>
      </c>
      <c r="S3988" s="13">
        <v>197804577163</v>
      </c>
      <c r="T3988" s="12" t="s">
        <v>164</v>
      </c>
      <c r="U3988" s="13">
        <v>28</v>
      </c>
      <c r="V3988" s="12" t="s">
        <v>278</v>
      </c>
      <c r="W3988" s="12" t="s">
        <v>175</v>
      </c>
      <c r="X3988" s="14"/>
      <c r="Y3988" s="14"/>
      <c r="Z3988" s="14"/>
      <c r="AA3988" s="14"/>
      <c r="AB3988" s="14"/>
      <c r="AC3988" s="15">
        <v>31.85</v>
      </c>
      <c r="AD3988" s="15">
        <f>AC3988*AG3988</f>
        <v>31.85</v>
      </c>
      <c r="AE3988" s="15">
        <v>70</v>
      </c>
      <c r="AF3988" s="15">
        <f>AE3988*AG3988</f>
        <v>70</v>
      </c>
      <c r="AG3988" s="16">
        <v>1</v>
      </c>
    </row>
    <row r="3989" spans="1:33" ht="15" customHeight="1" x14ac:dyDescent="0.2">
      <c r="A3989" s="11" t="str">
        <f t="shared" si="1305"/>
        <v>VN000CYPDJR1</v>
      </c>
      <c r="B3989" s="12" t="s">
        <v>14224</v>
      </c>
      <c r="C3989" s="12" t="s">
        <v>9343</v>
      </c>
      <c r="D3989" s="12" t="s">
        <v>2829</v>
      </c>
      <c r="E3989" s="12" t="s">
        <v>14225</v>
      </c>
      <c r="F3989" s="13">
        <v>120</v>
      </c>
      <c r="G3989" s="12" t="s">
        <v>643</v>
      </c>
      <c r="H3989" s="12" t="s">
        <v>38</v>
      </c>
      <c r="I3989" s="12" t="s">
        <v>39</v>
      </c>
      <c r="J3989" s="12" t="s">
        <v>40</v>
      </c>
      <c r="K3989" s="12" t="s">
        <v>41</v>
      </c>
      <c r="L3989" s="14"/>
      <c r="M3989" s="12" t="s">
        <v>43</v>
      </c>
      <c r="N3989" s="12" t="s">
        <v>84</v>
      </c>
      <c r="O3989" s="12" t="s">
        <v>14226</v>
      </c>
      <c r="P3989" s="12" t="s">
        <v>46</v>
      </c>
      <c r="Q3989" s="12" t="s">
        <v>47</v>
      </c>
      <c r="R3989" s="12" t="s">
        <v>780</v>
      </c>
      <c r="S3989" s="13">
        <v>197804577231</v>
      </c>
      <c r="T3989" s="12" t="s">
        <v>164</v>
      </c>
      <c r="U3989" s="13">
        <v>29</v>
      </c>
      <c r="V3989" s="12" t="s">
        <v>278</v>
      </c>
      <c r="W3989" s="12" t="s">
        <v>175</v>
      </c>
      <c r="X3989" s="14"/>
      <c r="Y3989" s="14"/>
      <c r="Z3989" s="14"/>
      <c r="AA3989" s="14"/>
      <c r="AB3989" s="14"/>
      <c r="AC3989" s="15">
        <v>31.85</v>
      </c>
      <c r="AD3989" s="15">
        <f>AC3989*AG3989</f>
        <v>31.85</v>
      </c>
      <c r="AE3989" s="15">
        <v>70</v>
      </c>
      <c r="AF3989" s="15">
        <f>AE3989*AG3989</f>
        <v>70</v>
      </c>
      <c r="AG3989" s="16">
        <v>1</v>
      </c>
    </row>
    <row r="3990" spans="1:33" ht="15" customHeight="1" x14ac:dyDescent="0.2">
      <c r="A3990" s="11" t="str">
        <f>HYPERLINK("https://assets.vans.eu/images/VN000CYU4QU-HERO/1","VN000CYU4QU1")</f>
        <v>VN000CYU4QU1</v>
      </c>
      <c r="B3990" s="12" t="s">
        <v>14227</v>
      </c>
      <c r="C3990" s="12" t="s">
        <v>110</v>
      </c>
      <c r="D3990" s="12" t="s">
        <v>1057</v>
      </c>
      <c r="E3990" s="12" t="s">
        <v>14228</v>
      </c>
      <c r="F3990" s="13">
        <v>105</v>
      </c>
      <c r="G3990" s="14"/>
      <c r="H3990" s="12" t="s">
        <v>38</v>
      </c>
      <c r="I3990" s="12" t="s">
        <v>39</v>
      </c>
      <c r="J3990" s="12" t="s">
        <v>40</v>
      </c>
      <c r="K3990" s="12" t="s">
        <v>41</v>
      </c>
      <c r="L3990" s="14"/>
      <c r="M3990" s="12" t="s">
        <v>43</v>
      </c>
      <c r="N3990" s="12" t="s">
        <v>44</v>
      </c>
      <c r="O3990" s="12" t="s">
        <v>14229</v>
      </c>
      <c r="P3990" s="12" t="s">
        <v>46</v>
      </c>
      <c r="Q3990" s="12" t="s">
        <v>47</v>
      </c>
      <c r="R3990" s="12" t="s">
        <v>48</v>
      </c>
      <c r="S3990" s="13">
        <v>197643171904</v>
      </c>
      <c r="T3990" s="12" t="s">
        <v>105</v>
      </c>
      <c r="U3990" s="13">
        <v>27</v>
      </c>
      <c r="V3990" s="12" t="s">
        <v>50</v>
      </c>
      <c r="W3990" s="12" t="s">
        <v>262</v>
      </c>
      <c r="X3990" s="14"/>
      <c r="Y3990" s="12" t="s">
        <v>91</v>
      </c>
      <c r="Z3990" s="12" t="s">
        <v>165</v>
      </c>
      <c r="AA3990" s="14"/>
      <c r="AB3990" s="14"/>
      <c r="AC3990" s="15">
        <v>29.55</v>
      </c>
      <c r="AD3990" s="15">
        <f>AC3990*AG3990</f>
        <v>29.55</v>
      </c>
      <c r="AE3990" s="15">
        <v>65</v>
      </c>
      <c r="AF3990" s="15">
        <f>AE3990*AG3990</f>
        <v>65</v>
      </c>
      <c r="AG3990" s="16">
        <v>1</v>
      </c>
    </row>
    <row r="3991" spans="1:33" ht="15" customHeight="1" x14ac:dyDescent="0.2">
      <c r="A3991" s="11" t="str">
        <f>HYPERLINK("https://assets.vans.eu/images/VN000CYU4QU-HERO/1","VN000CYU4QU1")</f>
        <v>VN000CYU4QU1</v>
      </c>
      <c r="B3991" s="12" t="s">
        <v>14230</v>
      </c>
      <c r="C3991" s="12" t="s">
        <v>110</v>
      </c>
      <c r="D3991" s="12" t="s">
        <v>1057</v>
      </c>
      <c r="E3991" s="12" t="s">
        <v>14231</v>
      </c>
      <c r="F3991" s="13">
        <v>125</v>
      </c>
      <c r="G3991" s="14"/>
      <c r="H3991" s="12" t="s">
        <v>38</v>
      </c>
      <c r="I3991" s="12" t="s">
        <v>39</v>
      </c>
      <c r="J3991" s="12" t="s">
        <v>40</v>
      </c>
      <c r="K3991" s="12" t="s">
        <v>41</v>
      </c>
      <c r="L3991" s="14"/>
      <c r="M3991" s="12" t="s">
        <v>43</v>
      </c>
      <c r="N3991" s="12" t="s">
        <v>44</v>
      </c>
      <c r="O3991" s="12" t="s">
        <v>14232</v>
      </c>
      <c r="P3991" s="12" t="s">
        <v>46</v>
      </c>
      <c r="Q3991" s="12" t="s">
        <v>47</v>
      </c>
      <c r="R3991" s="12" t="s">
        <v>48</v>
      </c>
      <c r="S3991" s="13">
        <v>197643172154</v>
      </c>
      <c r="T3991" s="12" t="s">
        <v>105</v>
      </c>
      <c r="U3991" s="13">
        <v>30</v>
      </c>
      <c r="V3991" s="12" t="s">
        <v>50</v>
      </c>
      <c r="W3991" s="12" t="s">
        <v>262</v>
      </c>
      <c r="X3991" s="14"/>
      <c r="Y3991" s="12" t="s">
        <v>91</v>
      </c>
      <c r="Z3991" s="12" t="s">
        <v>165</v>
      </c>
      <c r="AA3991" s="14"/>
      <c r="AB3991" s="14"/>
      <c r="AC3991" s="15">
        <v>29.55</v>
      </c>
      <c r="AD3991" s="15">
        <f>AC3991*AG3991</f>
        <v>29.55</v>
      </c>
      <c r="AE3991" s="15">
        <v>65</v>
      </c>
      <c r="AF3991" s="15">
        <f>AE3991*AG3991</f>
        <v>65</v>
      </c>
      <c r="AG3991" s="16">
        <v>1</v>
      </c>
    </row>
    <row r="3992" spans="1:33" ht="15" customHeight="1" x14ac:dyDescent="0.2">
      <c r="A3992" s="11" t="str">
        <f>HYPERLINK("https://assets.vans.eu/images/VN000CYU4QU-HERO/1","VN000CYU4QU1")</f>
        <v>VN000CYU4QU1</v>
      </c>
      <c r="B3992" s="12" t="s">
        <v>14233</v>
      </c>
      <c r="C3992" s="12" t="s">
        <v>110</v>
      </c>
      <c r="D3992" s="12" t="s">
        <v>1057</v>
      </c>
      <c r="E3992" s="12" t="s">
        <v>14234</v>
      </c>
      <c r="F3992" s="13">
        <v>135</v>
      </c>
      <c r="G3992" s="14"/>
      <c r="H3992" s="12" t="s">
        <v>38</v>
      </c>
      <c r="I3992" s="12" t="s">
        <v>39</v>
      </c>
      <c r="J3992" s="12" t="s">
        <v>40</v>
      </c>
      <c r="K3992" s="12" t="s">
        <v>41</v>
      </c>
      <c r="L3992" s="14"/>
      <c r="M3992" s="12" t="s">
        <v>43</v>
      </c>
      <c r="N3992" s="12" t="s">
        <v>44</v>
      </c>
      <c r="O3992" s="12" t="s">
        <v>14235</v>
      </c>
      <c r="P3992" s="12" t="s">
        <v>46</v>
      </c>
      <c r="Q3992" s="12" t="s">
        <v>47</v>
      </c>
      <c r="R3992" s="12" t="s">
        <v>48</v>
      </c>
      <c r="S3992" s="13">
        <v>197643172369</v>
      </c>
      <c r="T3992" s="12" t="s">
        <v>105</v>
      </c>
      <c r="U3992" s="13">
        <v>31</v>
      </c>
      <c r="V3992" s="12" t="s">
        <v>50</v>
      </c>
      <c r="W3992" s="12" t="s">
        <v>262</v>
      </c>
      <c r="X3992" s="14"/>
      <c r="Y3992" s="12" t="s">
        <v>91</v>
      </c>
      <c r="Z3992" s="12" t="s">
        <v>165</v>
      </c>
      <c r="AA3992" s="14"/>
      <c r="AB3992" s="14"/>
      <c r="AC3992" s="15">
        <v>29.55</v>
      </c>
      <c r="AD3992" s="15">
        <f>AC3992*AG3992</f>
        <v>29.55</v>
      </c>
      <c r="AE3992" s="15">
        <v>65</v>
      </c>
      <c r="AF3992" s="15">
        <f>AE3992*AG3992</f>
        <v>65</v>
      </c>
      <c r="AG3992" s="16">
        <v>1</v>
      </c>
    </row>
    <row r="3993" spans="1:33" ht="15" customHeight="1" x14ac:dyDescent="0.2">
      <c r="A3993" s="11" t="str">
        <f t="shared" ref="A3993:A3994" si="1306">HYPERLINK("https://assets.vans.eu/images/VN000CYU4Y4-HERO/1","VN000CYU4Y41")</f>
        <v>VN000CYU4Y41</v>
      </c>
      <c r="B3993" s="12" t="s">
        <v>14236</v>
      </c>
      <c r="C3993" s="12" t="s">
        <v>110</v>
      </c>
      <c r="D3993" s="12" t="s">
        <v>4925</v>
      </c>
      <c r="E3993" s="12" t="s">
        <v>14237</v>
      </c>
      <c r="F3993" s="13">
        <v>15</v>
      </c>
      <c r="G3993" s="12" t="s">
        <v>3002</v>
      </c>
      <c r="H3993" s="12" t="s">
        <v>38</v>
      </c>
      <c r="I3993" s="12" t="s">
        <v>39</v>
      </c>
      <c r="J3993" s="12" t="s">
        <v>40</v>
      </c>
      <c r="K3993" s="12" t="s">
        <v>41</v>
      </c>
      <c r="L3993" s="14"/>
      <c r="M3993" s="12" t="s">
        <v>43</v>
      </c>
      <c r="N3993" s="12" t="s">
        <v>84</v>
      </c>
      <c r="O3993" s="12" t="s">
        <v>14238</v>
      </c>
      <c r="P3993" s="12" t="s">
        <v>46</v>
      </c>
      <c r="Q3993" s="12" t="s">
        <v>47</v>
      </c>
      <c r="R3993" s="12" t="s">
        <v>48</v>
      </c>
      <c r="S3993" s="13">
        <v>197804432813</v>
      </c>
      <c r="T3993" s="12" t="s">
        <v>49</v>
      </c>
      <c r="U3993" s="13">
        <v>32</v>
      </c>
      <c r="V3993" s="12" t="s">
        <v>50</v>
      </c>
      <c r="W3993" s="12" t="s">
        <v>51</v>
      </c>
      <c r="X3993" s="14"/>
      <c r="Y3993" s="14"/>
      <c r="Z3993" s="14"/>
      <c r="AA3993" s="14"/>
      <c r="AB3993" s="14"/>
      <c r="AC3993" s="15">
        <v>29.55</v>
      </c>
      <c r="AD3993" s="15">
        <f>AC3993*AG3993</f>
        <v>29.55</v>
      </c>
      <c r="AE3993" s="15">
        <v>65</v>
      </c>
      <c r="AF3993" s="15">
        <f>AE3993*AG3993</f>
        <v>65</v>
      </c>
      <c r="AG3993" s="16">
        <v>1</v>
      </c>
    </row>
    <row r="3994" spans="1:33" ht="15" customHeight="1" x14ac:dyDescent="0.2">
      <c r="A3994" s="11" t="str">
        <f t="shared" si="1306"/>
        <v>VN000CYU4Y41</v>
      </c>
      <c r="B3994" s="12" t="s">
        <v>14239</v>
      </c>
      <c r="C3994" s="12" t="s">
        <v>110</v>
      </c>
      <c r="D3994" s="12" t="s">
        <v>4925</v>
      </c>
      <c r="E3994" s="12" t="s">
        <v>14240</v>
      </c>
      <c r="F3994" s="13">
        <v>130</v>
      </c>
      <c r="G3994" s="12" t="s">
        <v>3002</v>
      </c>
      <c r="H3994" s="12" t="s">
        <v>38</v>
      </c>
      <c r="I3994" s="12" t="s">
        <v>39</v>
      </c>
      <c r="J3994" s="12" t="s">
        <v>40</v>
      </c>
      <c r="K3994" s="12" t="s">
        <v>41</v>
      </c>
      <c r="L3994" s="14"/>
      <c r="M3994" s="12" t="s">
        <v>43</v>
      </c>
      <c r="N3994" s="12" t="s">
        <v>84</v>
      </c>
      <c r="O3994" s="12" t="s">
        <v>14241</v>
      </c>
      <c r="P3994" s="12" t="s">
        <v>46</v>
      </c>
      <c r="Q3994" s="12" t="s">
        <v>47</v>
      </c>
      <c r="R3994" s="12" t="s">
        <v>48</v>
      </c>
      <c r="S3994" s="13">
        <v>197804434275</v>
      </c>
      <c r="T3994" s="12" t="s">
        <v>49</v>
      </c>
      <c r="U3994" s="13">
        <v>30.5</v>
      </c>
      <c r="V3994" s="12" t="s">
        <v>50</v>
      </c>
      <c r="W3994" s="12" t="s">
        <v>51</v>
      </c>
      <c r="X3994" s="14"/>
      <c r="Y3994" s="14"/>
      <c r="Z3994" s="14"/>
      <c r="AA3994" s="14"/>
      <c r="AB3994" s="14"/>
      <c r="AC3994" s="15">
        <v>29.55</v>
      </c>
      <c r="AD3994" s="15">
        <f>AC3994*AG3994</f>
        <v>29.55</v>
      </c>
      <c r="AE3994" s="15">
        <v>65</v>
      </c>
      <c r="AF3994" s="15">
        <f>AE3994*AG3994</f>
        <v>65</v>
      </c>
      <c r="AG3994" s="16">
        <v>1</v>
      </c>
    </row>
    <row r="3995" spans="1:33" ht="15" customHeight="1" x14ac:dyDescent="0.2">
      <c r="A3995" s="11" t="str">
        <f t="shared" ref="A3995:A3996" si="1307">HYPERLINK("https://assets.vans.eu/images/VN000CYUE2T-HERO/1","VN000CYUE2T1")</f>
        <v>VN000CYUE2T1</v>
      </c>
      <c r="B3995" s="12" t="s">
        <v>14242</v>
      </c>
      <c r="C3995" s="12" t="s">
        <v>110</v>
      </c>
      <c r="D3995" s="12" t="s">
        <v>7091</v>
      </c>
      <c r="E3995" s="12" t="s">
        <v>14243</v>
      </c>
      <c r="F3995" s="13">
        <v>10</v>
      </c>
      <c r="G3995" s="12" t="s">
        <v>7093</v>
      </c>
      <c r="H3995" s="12" t="s">
        <v>38</v>
      </c>
      <c r="I3995" s="12" t="s">
        <v>39</v>
      </c>
      <c r="J3995" s="12" t="s">
        <v>40</v>
      </c>
      <c r="K3995" s="12" t="s">
        <v>41</v>
      </c>
      <c r="L3995" s="14"/>
      <c r="M3995" s="12" t="s">
        <v>43</v>
      </c>
      <c r="N3995" s="12" t="s">
        <v>44</v>
      </c>
      <c r="O3995" s="12" t="s">
        <v>14244</v>
      </c>
      <c r="P3995" s="12" t="s">
        <v>46</v>
      </c>
      <c r="Q3995" s="12" t="s">
        <v>47</v>
      </c>
      <c r="R3995" s="12" t="s">
        <v>48</v>
      </c>
      <c r="S3995" s="13">
        <v>197643172017</v>
      </c>
      <c r="T3995" s="12" t="s">
        <v>105</v>
      </c>
      <c r="U3995" s="13">
        <v>31.5</v>
      </c>
      <c r="V3995" s="12" t="s">
        <v>50</v>
      </c>
      <c r="W3995" s="12" t="s">
        <v>107</v>
      </c>
      <c r="X3995" s="14"/>
      <c r="Y3995" s="12" t="s">
        <v>91</v>
      </c>
      <c r="Z3995" s="12" t="s">
        <v>165</v>
      </c>
      <c r="AA3995" s="14"/>
      <c r="AB3995" s="14"/>
      <c r="AC3995" s="15">
        <v>29.55</v>
      </c>
      <c r="AD3995" s="15">
        <f>AC3995*AG3995</f>
        <v>29.55</v>
      </c>
      <c r="AE3995" s="15">
        <v>65</v>
      </c>
      <c r="AF3995" s="15">
        <f>AE3995*AG3995</f>
        <v>65</v>
      </c>
      <c r="AG3995" s="16">
        <v>1</v>
      </c>
    </row>
    <row r="3996" spans="1:33" ht="15" customHeight="1" x14ac:dyDescent="0.2">
      <c r="A3996" s="11" t="str">
        <f t="shared" si="1307"/>
        <v>VN000CYUE2T1</v>
      </c>
      <c r="B3996" s="12" t="s">
        <v>14245</v>
      </c>
      <c r="C3996" s="12" t="s">
        <v>110</v>
      </c>
      <c r="D3996" s="12" t="s">
        <v>7091</v>
      </c>
      <c r="E3996" s="12" t="s">
        <v>14246</v>
      </c>
      <c r="F3996" s="13">
        <v>135</v>
      </c>
      <c r="G3996" s="12" t="s">
        <v>7093</v>
      </c>
      <c r="H3996" s="12" t="s">
        <v>38</v>
      </c>
      <c r="I3996" s="12" t="s">
        <v>39</v>
      </c>
      <c r="J3996" s="12" t="s">
        <v>40</v>
      </c>
      <c r="K3996" s="12" t="s">
        <v>41</v>
      </c>
      <c r="L3996" s="14"/>
      <c r="M3996" s="12" t="s">
        <v>43</v>
      </c>
      <c r="N3996" s="12" t="s">
        <v>44</v>
      </c>
      <c r="O3996" s="12" t="s">
        <v>14247</v>
      </c>
      <c r="P3996" s="12" t="s">
        <v>46</v>
      </c>
      <c r="Q3996" s="12" t="s">
        <v>47</v>
      </c>
      <c r="R3996" s="12" t="s">
        <v>48</v>
      </c>
      <c r="S3996" s="13">
        <v>197643173212</v>
      </c>
      <c r="T3996" s="12" t="s">
        <v>105</v>
      </c>
      <c r="U3996" s="13">
        <v>31</v>
      </c>
      <c r="V3996" s="12" t="s">
        <v>50</v>
      </c>
      <c r="W3996" s="12" t="s">
        <v>107</v>
      </c>
      <c r="X3996" s="14"/>
      <c r="Y3996" s="12" t="s">
        <v>91</v>
      </c>
      <c r="Z3996" s="12" t="s">
        <v>165</v>
      </c>
      <c r="AA3996" s="14"/>
      <c r="AB3996" s="14"/>
      <c r="AC3996" s="15">
        <v>29.55</v>
      </c>
      <c r="AD3996" s="15">
        <f>AC3996*AG3996</f>
        <v>29.55</v>
      </c>
      <c r="AE3996" s="15">
        <v>65</v>
      </c>
      <c r="AF3996" s="15">
        <f>AE3996*AG3996</f>
        <v>65</v>
      </c>
      <c r="AG3996" s="16">
        <v>1</v>
      </c>
    </row>
    <row r="3997" spans="1:33" ht="15" customHeight="1" x14ac:dyDescent="0.2">
      <c r="A3997" s="11" t="str">
        <f t="shared" si="1015"/>
        <v>VN000CYUEN61</v>
      </c>
      <c r="B3997" s="12" t="s">
        <v>14248</v>
      </c>
      <c r="C3997" s="12" t="s">
        <v>110</v>
      </c>
      <c r="D3997" s="12" t="s">
        <v>189</v>
      </c>
      <c r="E3997" s="12" t="s">
        <v>14249</v>
      </c>
      <c r="F3997" s="13">
        <v>20</v>
      </c>
      <c r="G3997" s="14"/>
      <c r="H3997" s="12" t="s">
        <v>38</v>
      </c>
      <c r="I3997" s="12" t="s">
        <v>39</v>
      </c>
      <c r="J3997" s="12" t="s">
        <v>40</v>
      </c>
      <c r="K3997" s="12" t="s">
        <v>41</v>
      </c>
      <c r="L3997" s="14"/>
      <c r="M3997" s="12" t="s">
        <v>43</v>
      </c>
      <c r="N3997" s="12" t="s">
        <v>84</v>
      </c>
      <c r="O3997" s="12" t="s">
        <v>14250</v>
      </c>
      <c r="P3997" s="12" t="s">
        <v>46</v>
      </c>
      <c r="Q3997" s="12" t="s">
        <v>47</v>
      </c>
      <c r="R3997" s="12" t="s">
        <v>48</v>
      </c>
      <c r="S3997" s="13">
        <v>197804433841</v>
      </c>
      <c r="T3997" s="12" t="s">
        <v>105</v>
      </c>
      <c r="U3997" s="13">
        <v>32.5</v>
      </c>
      <c r="V3997" s="12" t="s">
        <v>50</v>
      </c>
      <c r="W3997" s="12" t="s">
        <v>118</v>
      </c>
      <c r="X3997" s="14"/>
      <c r="Y3997" s="14"/>
      <c r="Z3997" s="14"/>
      <c r="AA3997" s="14"/>
      <c r="AB3997" s="14"/>
      <c r="AC3997" s="15">
        <v>29.55</v>
      </c>
      <c r="AD3997" s="15">
        <f>AC3997*AG3997</f>
        <v>29.55</v>
      </c>
      <c r="AE3997" s="15">
        <v>65</v>
      </c>
      <c r="AF3997" s="15">
        <f>AE3997*AG3997</f>
        <v>65</v>
      </c>
      <c r="AG3997" s="16">
        <v>1</v>
      </c>
    </row>
    <row r="3998" spans="1:33" ht="15" customHeight="1" x14ac:dyDescent="0.2">
      <c r="A3998" s="11" t="str">
        <f t="shared" ref="A3998:A4000" si="1308">HYPERLINK("https://assets.vans.eu/images/VN000CYUEN6-HERO/1","VN000CYUEN61")</f>
        <v>VN000CYUEN61</v>
      </c>
      <c r="B3998" s="12" t="s">
        <v>14251</v>
      </c>
      <c r="C3998" s="12" t="s">
        <v>110</v>
      </c>
      <c r="D3998" s="12" t="s">
        <v>189</v>
      </c>
      <c r="E3998" s="12" t="s">
        <v>14252</v>
      </c>
      <c r="F3998" s="13">
        <v>25</v>
      </c>
      <c r="G3998" s="14"/>
      <c r="H3998" s="12" t="s">
        <v>38</v>
      </c>
      <c r="I3998" s="12" t="s">
        <v>39</v>
      </c>
      <c r="J3998" s="12" t="s">
        <v>40</v>
      </c>
      <c r="K3998" s="12" t="s">
        <v>41</v>
      </c>
      <c r="L3998" s="14"/>
      <c r="M3998" s="12" t="s">
        <v>43</v>
      </c>
      <c r="N3998" s="12" t="s">
        <v>84</v>
      </c>
      <c r="O3998" s="12" t="s">
        <v>14253</v>
      </c>
      <c r="P3998" s="12" t="s">
        <v>46</v>
      </c>
      <c r="Q3998" s="12" t="s">
        <v>47</v>
      </c>
      <c r="R3998" s="12" t="s">
        <v>48</v>
      </c>
      <c r="S3998" s="13">
        <v>197804434053</v>
      </c>
      <c r="T3998" s="12" t="s">
        <v>105</v>
      </c>
      <c r="U3998" s="13">
        <v>33</v>
      </c>
      <c r="V3998" s="12" t="s">
        <v>50</v>
      </c>
      <c r="W3998" s="12" t="s">
        <v>118</v>
      </c>
      <c r="X3998" s="14"/>
      <c r="Y3998" s="14"/>
      <c r="Z3998" s="14"/>
      <c r="AA3998" s="14"/>
      <c r="AB3998" s="14"/>
      <c r="AC3998" s="15">
        <v>29.55</v>
      </c>
      <c r="AD3998" s="15">
        <f>AC3998*AG3998</f>
        <v>29.55</v>
      </c>
      <c r="AE3998" s="15">
        <v>65</v>
      </c>
      <c r="AF3998" s="15">
        <f>AE3998*AG3998</f>
        <v>65</v>
      </c>
      <c r="AG3998" s="16">
        <v>1</v>
      </c>
    </row>
    <row r="3999" spans="1:33" ht="15" customHeight="1" x14ac:dyDescent="0.2">
      <c r="A3999" s="11" t="str">
        <f t="shared" si="1308"/>
        <v>VN000CYUEN61</v>
      </c>
      <c r="B3999" s="12" t="s">
        <v>14254</v>
      </c>
      <c r="C3999" s="12" t="s">
        <v>110</v>
      </c>
      <c r="D3999" s="12" t="s">
        <v>189</v>
      </c>
      <c r="E3999" s="12" t="s">
        <v>14255</v>
      </c>
      <c r="F3999" s="13">
        <v>110</v>
      </c>
      <c r="G3999" s="14"/>
      <c r="H3999" s="12" t="s">
        <v>38</v>
      </c>
      <c r="I3999" s="12" t="s">
        <v>39</v>
      </c>
      <c r="J3999" s="12" t="s">
        <v>40</v>
      </c>
      <c r="K3999" s="12" t="s">
        <v>41</v>
      </c>
      <c r="L3999" s="14"/>
      <c r="M3999" s="12" t="s">
        <v>43</v>
      </c>
      <c r="N3999" s="12" t="s">
        <v>84</v>
      </c>
      <c r="O3999" s="12" t="s">
        <v>14256</v>
      </c>
      <c r="P3999" s="12" t="s">
        <v>46</v>
      </c>
      <c r="Q3999" s="12" t="s">
        <v>47</v>
      </c>
      <c r="R3999" s="12" t="s">
        <v>48</v>
      </c>
      <c r="S3999" s="13">
        <v>197804434640</v>
      </c>
      <c r="T3999" s="12" t="s">
        <v>105</v>
      </c>
      <c r="U3999" s="13">
        <v>27.5</v>
      </c>
      <c r="V3999" s="12" t="s">
        <v>50</v>
      </c>
      <c r="W3999" s="12" t="s">
        <v>118</v>
      </c>
      <c r="X3999" s="14"/>
      <c r="Y3999" s="14"/>
      <c r="Z3999" s="14"/>
      <c r="AA3999" s="14"/>
      <c r="AB3999" s="14"/>
      <c r="AC3999" s="15">
        <v>29.55</v>
      </c>
      <c r="AD3999" s="15">
        <f>AC3999*AG3999</f>
        <v>29.55</v>
      </c>
      <c r="AE3999" s="15">
        <v>65</v>
      </c>
      <c r="AF3999" s="15">
        <f>AE3999*AG3999</f>
        <v>65</v>
      </c>
      <c r="AG3999" s="16">
        <v>1</v>
      </c>
    </row>
    <row r="4000" spans="1:33" ht="15" customHeight="1" x14ac:dyDescent="0.2">
      <c r="A4000" s="11" t="str">
        <f t="shared" si="1308"/>
        <v>VN000CYUEN61</v>
      </c>
      <c r="B4000" s="12" t="s">
        <v>14257</v>
      </c>
      <c r="C4000" s="12" t="s">
        <v>110</v>
      </c>
      <c r="D4000" s="12" t="s">
        <v>189</v>
      </c>
      <c r="E4000" s="12" t="s">
        <v>14258</v>
      </c>
      <c r="F4000" s="13">
        <v>130</v>
      </c>
      <c r="G4000" s="14"/>
      <c r="H4000" s="12" t="s">
        <v>38</v>
      </c>
      <c r="I4000" s="12" t="s">
        <v>39</v>
      </c>
      <c r="J4000" s="12" t="s">
        <v>40</v>
      </c>
      <c r="K4000" s="12" t="s">
        <v>41</v>
      </c>
      <c r="L4000" s="14"/>
      <c r="M4000" s="12" t="s">
        <v>43</v>
      </c>
      <c r="N4000" s="12" t="s">
        <v>84</v>
      </c>
      <c r="O4000" s="12" t="s">
        <v>14259</v>
      </c>
      <c r="P4000" s="12" t="s">
        <v>46</v>
      </c>
      <c r="Q4000" s="12" t="s">
        <v>47</v>
      </c>
      <c r="R4000" s="12" t="s">
        <v>48</v>
      </c>
      <c r="S4000" s="13">
        <v>197804434831</v>
      </c>
      <c r="T4000" s="12" t="s">
        <v>105</v>
      </c>
      <c r="U4000" s="13">
        <v>30.5</v>
      </c>
      <c r="V4000" s="12" t="s">
        <v>50</v>
      </c>
      <c r="W4000" s="12" t="s">
        <v>118</v>
      </c>
      <c r="X4000" s="14"/>
      <c r="Y4000" s="14"/>
      <c r="Z4000" s="14"/>
      <c r="AA4000" s="14"/>
      <c r="AB4000" s="14"/>
      <c r="AC4000" s="15">
        <v>29.55</v>
      </c>
      <c r="AD4000" s="15">
        <f>AC4000*AG4000</f>
        <v>29.55</v>
      </c>
      <c r="AE4000" s="15">
        <v>65</v>
      </c>
      <c r="AF4000" s="15">
        <f>AE4000*AG4000</f>
        <v>65</v>
      </c>
      <c r="AG4000" s="16">
        <v>1</v>
      </c>
    </row>
    <row r="4001" spans="1:33" ht="15" customHeight="1" x14ac:dyDescent="0.2">
      <c r="A4001" s="11" t="str">
        <f t="shared" si="1016"/>
        <v>VN000CZ7BLA1</v>
      </c>
      <c r="B4001" s="12" t="s">
        <v>14260</v>
      </c>
      <c r="C4001" s="12" t="s">
        <v>2412</v>
      </c>
      <c r="D4001" s="12" t="s">
        <v>919</v>
      </c>
      <c r="E4001" s="12" t="s">
        <v>14261</v>
      </c>
      <c r="F4001" s="13">
        <v>115</v>
      </c>
      <c r="G4001" s="12" t="s">
        <v>4948</v>
      </c>
      <c r="H4001" s="12" t="s">
        <v>38</v>
      </c>
      <c r="I4001" s="12" t="s">
        <v>39</v>
      </c>
      <c r="J4001" s="12" t="s">
        <v>40</v>
      </c>
      <c r="K4001" s="12" t="s">
        <v>41</v>
      </c>
      <c r="L4001" s="14"/>
      <c r="M4001" s="12" t="s">
        <v>43</v>
      </c>
      <c r="N4001" s="12" t="s">
        <v>84</v>
      </c>
      <c r="O4001" s="12" t="s">
        <v>14262</v>
      </c>
      <c r="P4001" s="12" t="s">
        <v>46</v>
      </c>
      <c r="Q4001" s="12" t="s">
        <v>47</v>
      </c>
      <c r="R4001" s="12" t="s">
        <v>313</v>
      </c>
      <c r="S4001" s="13">
        <v>197804519453</v>
      </c>
      <c r="T4001" s="12" t="s">
        <v>105</v>
      </c>
      <c r="U4001" s="13">
        <v>28</v>
      </c>
      <c r="V4001" s="12" t="s">
        <v>50</v>
      </c>
      <c r="W4001" s="12" t="s">
        <v>51</v>
      </c>
      <c r="X4001" s="14"/>
      <c r="Y4001" s="14"/>
      <c r="Z4001" s="14"/>
      <c r="AA4001" s="14"/>
      <c r="AB4001" s="14"/>
      <c r="AC4001" s="15">
        <v>31.85</v>
      </c>
      <c r="AD4001" s="15">
        <f>AC4001*AG4001</f>
        <v>31.85</v>
      </c>
      <c r="AE4001" s="15">
        <v>70</v>
      </c>
      <c r="AF4001" s="15">
        <f>AE4001*AG4001</f>
        <v>70</v>
      </c>
      <c r="AG4001" s="16">
        <v>1</v>
      </c>
    </row>
    <row r="4002" spans="1:33" ht="15" customHeight="1" x14ac:dyDescent="0.2">
      <c r="A4002" s="11" t="str">
        <f t="shared" ref="A4002:A4003" si="1309">HYPERLINK("https://assets.vans.eu/images/VN000CZ7EMW-HERO/1","VN000CZ7EMW1")</f>
        <v>VN000CZ7EMW1</v>
      </c>
      <c r="B4002" s="12" t="s">
        <v>14263</v>
      </c>
      <c r="C4002" s="12" t="s">
        <v>2412</v>
      </c>
      <c r="D4002" s="12" t="s">
        <v>147</v>
      </c>
      <c r="E4002" s="12" t="s">
        <v>14264</v>
      </c>
      <c r="F4002" s="13">
        <v>110</v>
      </c>
      <c r="G4002" s="12" t="s">
        <v>2452</v>
      </c>
      <c r="H4002" s="12" t="s">
        <v>38</v>
      </c>
      <c r="I4002" s="12" t="s">
        <v>39</v>
      </c>
      <c r="J4002" s="12" t="s">
        <v>40</v>
      </c>
      <c r="K4002" s="12" t="s">
        <v>41</v>
      </c>
      <c r="L4002" s="14"/>
      <c r="M4002" s="12" t="s">
        <v>43</v>
      </c>
      <c r="N4002" s="12" t="s">
        <v>84</v>
      </c>
      <c r="O4002" s="12" t="s">
        <v>14265</v>
      </c>
      <c r="P4002" s="12" t="s">
        <v>46</v>
      </c>
      <c r="Q4002" s="12" t="s">
        <v>47</v>
      </c>
      <c r="R4002" s="12" t="s">
        <v>313</v>
      </c>
      <c r="S4002" s="13">
        <v>197804519231</v>
      </c>
      <c r="T4002" s="12" t="s">
        <v>49</v>
      </c>
      <c r="U4002" s="13">
        <v>27.5</v>
      </c>
      <c r="V4002" s="12" t="s">
        <v>50</v>
      </c>
      <c r="W4002" s="12" t="s">
        <v>118</v>
      </c>
      <c r="X4002" s="14"/>
      <c r="Y4002" s="14"/>
      <c r="Z4002" s="14"/>
      <c r="AA4002" s="14"/>
      <c r="AB4002" s="14"/>
      <c r="AC4002" s="15">
        <v>29.55</v>
      </c>
      <c r="AD4002" s="15">
        <f>AC4002*AG4002</f>
        <v>29.55</v>
      </c>
      <c r="AE4002" s="15">
        <v>65</v>
      </c>
      <c r="AF4002" s="15">
        <f>AE4002*AG4002</f>
        <v>65</v>
      </c>
      <c r="AG4002" s="16">
        <v>1</v>
      </c>
    </row>
    <row r="4003" spans="1:33" ht="15" customHeight="1" x14ac:dyDescent="0.2">
      <c r="A4003" s="11" t="str">
        <f t="shared" si="1309"/>
        <v>VN000CZ7EMW1</v>
      </c>
      <c r="B4003" s="12" t="s">
        <v>14266</v>
      </c>
      <c r="C4003" s="12" t="s">
        <v>2412</v>
      </c>
      <c r="D4003" s="12" t="s">
        <v>147</v>
      </c>
      <c r="E4003" s="12" t="s">
        <v>14267</v>
      </c>
      <c r="F4003" s="13">
        <v>130</v>
      </c>
      <c r="G4003" s="12" t="s">
        <v>2452</v>
      </c>
      <c r="H4003" s="12" t="s">
        <v>38</v>
      </c>
      <c r="I4003" s="12" t="s">
        <v>39</v>
      </c>
      <c r="J4003" s="12" t="s">
        <v>40</v>
      </c>
      <c r="K4003" s="12" t="s">
        <v>41</v>
      </c>
      <c r="L4003" s="14"/>
      <c r="M4003" s="12" t="s">
        <v>43</v>
      </c>
      <c r="N4003" s="12" t="s">
        <v>84</v>
      </c>
      <c r="O4003" s="12" t="s">
        <v>14268</v>
      </c>
      <c r="P4003" s="12" t="s">
        <v>46</v>
      </c>
      <c r="Q4003" s="12" t="s">
        <v>47</v>
      </c>
      <c r="R4003" s="12" t="s">
        <v>313</v>
      </c>
      <c r="S4003" s="13">
        <v>197804519828</v>
      </c>
      <c r="T4003" s="12" t="s">
        <v>49</v>
      </c>
      <c r="U4003" s="13">
        <v>30.5</v>
      </c>
      <c r="V4003" s="12" t="s">
        <v>50</v>
      </c>
      <c r="W4003" s="12" t="s">
        <v>118</v>
      </c>
      <c r="X4003" s="14"/>
      <c r="Y4003" s="14"/>
      <c r="Z4003" s="14"/>
      <c r="AA4003" s="14"/>
      <c r="AB4003" s="14"/>
      <c r="AC4003" s="15">
        <v>29.55</v>
      </c>
      <c r="AD4003" s="15">
        <f>AC4003*AG4003</f>
        <v>29.55</v>
      </c>
      <c r="AE4003" s="15">
        <v>65</v>
      </c>
      <c r="AF4003" s="15">
        <f>AE4003*AG4003</f>
        <v>65</v>
      </c>
      <c r="AG4003" s="16">
        <v>1</v>
      </c>
    </row>
    <row r="4004" spans="1:33" ht="15" customHeight="1" x14ac:dyDescent="0.2">
      <c r="A4004" s="11" t="str">
        <f t="shared" si="775"/>
        <v>VN000CZ7O331</v>
      </c>
      <c r="B4004" s="12" t="s">
        <v>14269</v>
      </c>
      <c r="C4004" s="12" t="s">
        <v>2412</v>
      </c>
      <c r="D4004" s="12" t="s">
        <v>1423</v>
      </c>
      <c r="E4004" s="12" t="s">
        <v>14270</v>
      </c>
      <c r="F4004" s="13">
        <v>20</v>
      </c>
      <c r="G4004" s="12" t="s">
        <v>1425</v>
      </c>
      <c r="H4004" s="12" t="s">
        <v>38</v>
      </c>
      <c r="I4004" s="12" t="s">
        <v>39</v>
      </c>
      <c r="J4004" s="12" t="s">
        <v>40</v>
      </c>
      <c r="K4004" s="12" t="s">
        <v>41</v>
      </c>
      <c r="L4004" s="14"/>
      <c r="M4004" s="12" t="s">
        <v>43</v>
      </c>
      <c r="N4004" s="12" t="s">
        <v>84</v>
      </c>
      <c r="O4004" s="12" t="s">
        <v>14271</v>
      </c>
      <c r="P4004" s="12" t="s">
        <v>46</v>
      </c>
      <c r="Q4004" s="12" t="s">
        <v>47</v>
      </c>
      <c r="R4004" s="12" t="s">
        <v>313</v>
      </c>
      <c r="S4004" s="13">
        <v>197804519071</v>
      </c>
      <c r="T4004" s="12" t="s">
        <v>49</v>
      </c>
      <c r="U4004" s="13">
        <v>32.5</v>
      </c>
      <c r="V4004" s="12" t="s">
        <v>50</v>
      </c>
      <c r="W4004" s="12" t="s">
        <v>284</v>
      </c>
      <c r="X4004" s="14"/>
      <c r="Y4004" s="14"/>
      <c r="Z4004" s="14"/>
      <c r="AA4004" s="14"/>
      <c r="AB4004" s="14"/>
      <c r="AC4004" s="15">
        <v>31.85</v>
      </c>
      <c r="AD4004" s="15">
        <f>AC4004*AG4004</f>
        <v>31.85</v>
      </c>
      <c r="AE4004" s="15">
        <v>70</v>
      </c>
      <c r="AF4004" s="15">
        <f>AE4004*AG4004</f>
        <v>70</v>
      </c>
      <c r="AG4004" s="16">
        <v>1</v>
      </c>
    </row>
    <row r="4005" spans="1:33" ht="15" customHeight="1" x14ac:dyDescent="0.2">
      <c r="A4005" s="11" t="str">
        <f t="shared" ref="A4005:A4006" si="1310">HYPERLINK("https://assets.vans.eu/images/VN000CZ7O33-HERO/1","VN000CZ7O331")</f>
        <v>VN000CZ7O331</v>
      </c>
      <c r="B4005" s="12" t="s">
        <v>14272</v>
      </c>
      <c r="C4005" s="12" t="s">
        <v>2412</v>
      </c>
      <c r="D4005" s="12" t="s">
        <v>1423</v>
      </c>
      <c r="E4005" s="12" t="s">
        <v>14273</v>
      </c>
      <c r="F4005" s="13">
        <v>120</v>
      </c>
      <c r="G4005" s="12" t="s">
        <v>1425</v>
      </c>
      <c r="H4005" s="12" t="s">
        <v>38</v>
      </c>
      <c r="I4005" s="12" t="s">
        <v>39</v>
      </c>
      <c r="J4005" s="12" t="s">
        <v>40</v>
      </c>
      <c r="K4005" s="12" t="s">
        <v>41</v>
      </c>
      <c r="L4005" s="14"/>
      <c r="M4005" s="12" t="s">
        <v>43</v>
      </c>
      <c r="N4005" s="12" t="s">
        <v>84</v>
      </c>
      <c r="O4005" s="12" t="s">
        <v>14274</v>
      </c>
      <c r="P4005" s="12" t="s">
        <v>46</v>
      </c>
      <c r="Q4005" s="12" t="s">
        <v>47</v>
      </c>
      <c r="R4005" s="12" t="s">
        <v>313</v>
      </c>
      <c r="S4005" s="13">
        <v>197804519972</v>
      </c>
      <c r="T4005" s="12" t="s">
        <v>49</v>
      </c>
      <c r="U4005" s="13">
        <v>29</v>
      </c>
      <c r="V4005" s="12" t="s">
        <v>50</v>
      </c>
      <c r="W4005" s="12" t="s">
        <v>284</v>
      </c>
      <c r="X4005" s="14"/>
      <c r="Y4005" s="14"/>
      <c r="Z4005" s="14"/>
      <c r="AA4005" s="14"/>
      <c r="AB4005" s="14"/>
      <c r="AC4005" s="15">
        <v>31.85</v>
      </c>
      <c r="AD4005" s="15">
        <f>AC4005*AG4005</f>
        <v>31.85</v>
      </c>
      <c r="AE4005" s="15">
        <v>70</v>
      </c>
      <c r="AF4005" s="15">
        <f>AE4005*AG4005</f>
        <v>70</v>
      </c>
      <c r="AG4005" s="16">
        <v>1</v>
      </c>
    </row>
    <row r="4006" spans="1:33" ht="15" customHeight="1" x14ac:dyDescent="0.2">
      <c r="A4006" s="11" t="str">
        <f t="shared" si="1310"/>
        <v>VN000CZ7O331</v>
      </c>
      <c r="B4006" s="12" t="s">
        <v>14275</v>
      </c>
      <c r="C4006" s="12" t="s">
        <v>2412</v>
      </c>
      <c r="D4006" s="12" t="s">
        <v>1423</v>
      </c>
      <c r="E4006" s="12" t="s">
        <v>14276</v>
      </c>
      <c r="F4006" s="13">
        <v>125</v>
      </c>
      <c r="G4006" s="12" t="s">
        <v>1425</v>
      </c>
      <c r="H4006" s="12" t="s">
        <v>38</v>
      </c>
      <c r="I4006" s="12" t="s">
        <v>39</v>
      </c>
      <c r="J4006" s="12" t="s">
        <v>40</v>
      </c>
      <c r="K4006" s="12" t="s">
        <v>41</v>
      </c>
      <c r="L4006" s="14"/>
      <c r="M4006" s="12" t="s">
        <v>43</v>
      </c>
      <c r="N4006" s="12" t="s">
        <v>84</v>
      </c>
      <c r="O4006" s="12" t="s">
        <v>14277</v>
      </c>
      <c r="P4006" s="12" t="s">
        <v>46</v>
      </c>
      <c r="Q4006" s="12" t="s">
        <v>47</v>
      </c>
      <c r="R4006" s="12" t="s">
        <v>313</v>
      </c>
      <c r="S4006" s="13">
        <v>197804520138</v>
      </c>
      <c r="T4006" s="12" t="s">
        <v>49</v>
      </c>
      <c r="U4006" s="13">
        <v>30</v>
      </c>
      <c r="V4006" s="12" t="s">
        <v>50</v>
      </c>
      <c r="W4006" s="12" t="s">
        <v>284</v>
      </c>
      <c r="X4006" s="14"/>
      <c r="Y4006" s="14"/>
      <c r="Z4006" s="14"/>
      <c r="AA4006" s="14"/>
      <c r="AB4006" s="14"/>
      <c r="AC4006" s="15">
        <v>31.85</v>
      </c>
      <c r="AD4006" s="15">
        <f>AC4006*AG4006</f>
        <v>31.85</v>
      </c>
      <c r="AE4006" s="15">
        <v>70</v>
      </c>
      <c r="AF4006" s="15">
        <f>AE4006*AG4006</f>
        <v>70</v>
      </c>
      <c r="AG4006" s="16">
        <v>1</v>
      </c>
    </row>
    <row r="4007" spans="1:33" ht="15" customHeight="1" x14ac:dyDescent="0.2">
      <c r="A4007" s="11" t="str">
        <f t="shared" si="1018"/>
        <v>VN000CZ7RV21</v>
      </c>
      <c r="B4007" s="12" t="s">
        <v>14278</v>
      </c>
      <c r="C4007" s="12" t="s">
        <v>2412</v>
      </c>
      <c r="D4007" s="12" t="s">
        <v>1428</v>
      </c>
      <c r="E4007" s="12" t="s">
        <v>14279</v>
      </c>
      <c r="F4007" s="13">
        <v>10</v>
      </c>
      <c r="G4007" s="14"/>
      <c r="H4007" s="12" t="s">
        <v>38</v>
      </c>
      <c r="I4007" s="12" t="s">
        <v>39</v>
      </c>
      <c r="J4007" s="12" t="s">
        <v>40</v>
      </c>
      <c r="K4007" s="12" t="s">
        <v>41</v>
      </c>
      <c r="L4007" s="14"/>
      <c r="M4007" s="12" t="s">
        <v>43</v>
      </c>
      <c r="N4007" s="12" t="s">
        <v>84</v>
      </c>
      <c r="O4007" s="12" t="s">
        <v>14280</v>
      </c>
      <c r="P4007" s="12" t="s">
        <v>46</v>
      </c>
      <c r="Q4007" s="12" t="s">
        <v>47</v>
      </c>
      <c r="R4007" s="12" t="s">
        <v>313</v>
      </c>
      <c r="S4007" s="13">
        <v>197804518944</v>
      </c>
      <c r="T4007" s="12" t="s">
        <v>164</v>
      </c>
      <c r="U4007" s="13">
        <v>31.5</v>
      </c>
      <c r="V4007" s="12" t="s">
        <v>50</v>
      </c>
      <c r="W4007" s="12" t="s">
        <v>51</v>
      </c>
      <c r="X4007" s="14"/>
      <c r="Y4007" s="14"/>
      <c r="Z4007" s="14"/>
      <c r="AA4007" s="14"/>
      <c r="AB4007" s="14"/>
      <c r="AC4007" s="15">
        <v>27.3</v>
      </c>
      <c r="AD4007" s="15">
        <f>AC4007*AG4007</f>
        <v>27.3</v>
      </c>
      <c r="AE4007" s="15">
        <v>60</v>
      </c>
      <c r="AF4007" s="15">
        <f>AE4007*AG4007</f>
        <v>60</v>
      </c>
      <c r="AG4007" s="16">
        <v>1</v>
      </c>
    </row>
    <row r="4008" spans="1:33" ht="15" customHeight="1" x14ac:dyDescent="0.2">
      <c r="A4008" s="11" t="str">
        <f t="shared" ref="A4008:A4012" si="1311">HYPERLINK("https://assets.vans.eu/images/VN000CZ7RV2-HERO/1","VN000CZ7RV21")</f>
        <v>VN000CZ7RV21</v>
      </c>
      <c r="B4008" s="12" t="s">
        <v>14281</v>
      </c>
      <c r="C4008" s="12" t="s">
        <v>2412</v>
      </c>
      <c r="D4008" s="12" t="s">
        <v>1428</v>
      </c>
      <c r="E4008" s="12" t="s">
        <v>14282</v>
      </c>
      <c r="F4008" s="13">
        <v>20</v>
      </c>
      <c r="G4008" s="14"/>
      <c r="H4008" s="12" t="s">
        <v>38</v>
      </c>
      <c r="I4008" s="12" t="s">
        <v>39</v>
      </c>
      <c r="J4008" s="12" t="s">
        <v>40</v>
      </c>
      <c r="K4008" s="12" t="s">
        <v>41</v>
      </c>
      <c r="L4008" s="14"/>
      <c r="M4008" s="12" t="s">
        <v>43</v>
      </c>
      <c r="N4008" s="12" t="s">
        <v>84</v>
      </c>
      <c r="O4008" s="12" t="s">
        <v>14283</v>
      </c>
      <c r="P4008" s="12" t="s">
        <v>46</v>
      </c>
      <c r="Q4008" s="12" t="s">
        <v>47</v>
      </c>
      <c r="R4008" s="12" t="s">
        <v>313</v>
      </c>
      <c r="S4008" s="13">
        <v>197804519200</v>
      </c>
      <c r="T4008" s="12" t="s">
        <v>164</v>
      </c>
      <c r="U4008" s="13">
        <v>32.5</v>
      </c>
      <c r="V4008" s="12" t="s">
        <v>50</v>
      </c>
      <c r="W4008" s="12" t="s">
        <v>51</v>
      </c>
      <c r="X4008" s="14"/>
      <c r="Y4008" s="14"/>
      <c r="Z4008" s="14"/>
      <c r="AA4008" s="14"/>
      <c r="AB4008" s="14"/>
      <c r="AC4008" s="15">
        <v>27.3</v>
      </c>
      <c r="AD4008" s="15">
        <f>AC4008*AG4008</f>
        <v>27.3</v>
      </c>
      <c r="AE4008" s="15">
        <v>60</v>
      </c>
      <c r="AF4008" s="15">
        <f>AE4008*AG4008</f>
        <v>60</v>
      </c>
      <c r="AG4008" s="16">
        <v>1</v>
      </c>
    </row>
    <row r="4009" spans="1:33" ht="15" customHeight="1" x14ac:dyDescent="0.2">
      <c r="A4009" s="11" t="str">
        <f t="shared" si="1311"/>
        <v>VN000CZ7RV21</v>
      </c>
      <c r="B4009" s="12" t="s">
        <v>14284</v>
      </c>
      <c r="C4009" s="12" t="s">
        <v>2412</v>
      </c>
      <c r="D4009" s="12" t="s">
        <v>1428</v>
      </c>
      <c r="E4009" s="12" t="s">
        <v>14285</v>
      </c>
      <c r="F4009" s="13">
        <v>105</v>
      </c>
      <c r="G4009" s="14"/>
      <c r="H4009" s="12" t="s">
        <v>38</v>
      </c>
      <c r="I4009" s="12" t="s">
        <v>39</v>
      </c>
      <c r="J4009" s="12" t="s">
        <v>40</v>
      </c>
      <c r="K4009" s="12" t="s">
        <v>41</v>
      </c>
      <c r="L4009" s="14"/>
      <c r="M4009" s="12" t="s">
        <v>43</v>
      </c>
      <c r="N4009" s="12" t="s">
        <v>84</v>
      </c>
      <c r="O4009" s="12" t="s">
        <v>14286</v>
      </c>
      <c r="P4009" s="12" t="s">
        <v>46</v>
      </c>
      <c r="Q4009" s="12" t="s">
        <v>47</v>
      </c>
      <c r="R4009" s="12" t="s">
        <v>313</v>
      </c>
      <c r="S4009" s="13">
        <v>197804519552</v>
      </c>
      <c r="T4009" s="12" t="s">
        <v>164</v>
      </c>
      <c r="U4009" s="13">
        <v>27</v>
      </c>
      <c r="V4009" s="12" t="s">
        <v>50</v>
      </c>
      <c r="W4009" s="12" t="s">
        <v>51</v>
      </c>
      <c r="X4009" s="14"/>
      <c r="Y4009" s="14"/>
      <c r="Z4009" s="14"/>
      <c r="AA4009" s="14"/>
      <c r="AB4009" s="14"/>
      <c r="AC4009" s="15">
        <v>27.3</v>
      </c>
      <c r="AD4009" s="15">
        <f>AC4009*AG4009</f>
        <v>27.3</v>
      </c>
      <c r="AE4009" s="15">
        <v>60</v>
      </c>
      <c r="AF4009" s="15">
        <f>AE4009*AG4009</f>
        <v>60</v>
      </c>
      <c r="AG4009" s="16">
        <v>1</v>
      </c>
    </row>
    <row r="4010" spans="1:33" ht="15" customHeight="1" x14ac:dyDescent="0.2">
      <c r="A4010" s="11" t="str">
        <f t="shared" si="1311"/>
        <v>VN000CZ7RV21</v>
      </c>
      <c r="B4010" s="12" t="s">
        <v>14287</v>
      </c>
      <c r="C4010" s="12" t="s">
        <v>2412</v>
      </c>
      <c r="D4010" s="12" t="s">
        <v>1428</v>
      </c>
      <c r="E4010" s="12" t="s">
        <v>14288</v>
      </c>
      <c r="F4010" s="13">
        <v>115</v>
      </c>
      <c r="G4010" s="14"/>
      <c r="H4010" s="12" t="s">
        <v>38</v>
      </c>
      <c r="I4010" s="12" t="s">
        <v>39</v>
      </c>
      <c r="J4010" s="12" t="s">
        <v>40</v>
      </c>
      <c r="K4010" s="12" t="s">
        <v>41</v>
      </c>
      <c r="L4010" s="14"/>
      <c r="M4010" s="12" t="s">
        <v>43</v>
      </c>
      <c r="N4010" s="12" t="s">
        <v>84</v>
      </c>
      <c r="O4010" s="12" t="s">
        <v>14289</v>
      </c>
      <c r="P4010" s="12" t="s">
        <v>46</v>
      </c>
      <c r="Q4010" s="12" t="s">
        <v>47</v>
      </c>
      <c r="R4010" s="12" t="s">
        <v>313</v>
      </c>
      <c r="S4010" s="13">
        <v>197804519880</v>
      </c>
      <c r="T4010" s="12" t="s">
        <v>164</v>
      </c>
      <c r="U4010" s="13">
        <v>28</v>
      </c>
      <c r="V4010" s="12" t="s">
        <v>50</v>
      </c>
      <c r="W4010" s="12" t="s">
        <v>51</v>
      </c>
      <c r="X4010" s="14"/>
      <c r="Y4010" s="14"/>
      <c r="Z4010" s="14"/>
      <c r="AA4010" s="14"/>
      <c r="AB4010" s="14"/>
      <c r="AC4010" s="15">
        <v>27.3</v>
      </c>
      <c r="AD4010" s="15">
        <f>AC4010*AG4010</f>
        <v>27.3</v>
      </c>
      <c r="AE4010" s="15">
        <v>60</v>
      </c>
      <c r="AF4010" s="15">
        <f>AE4010*AG4010</f>
        <v>60</v>
      </c>
      <c r="AG4010" s="16">
        <v>1</v>
      </c>
    </row>
    <row r="4011" spans="1:33" ht="15" customHeight="1" x14ac:dyDescent="0.2">
      <c r="A4011" s="11" t="str">
        <f t="shared" si="1311"/>
        <v>VN000CZ7RV21</v>
      </c>
      <c r="B4011" s="12" t="s">
        <v>14290</v>
      </c>
      <c r="C4011" s="12" t="s">
        <v>2412</v>
      </c>
      <c r="D4011" s="12" t="s">
        <v>1428</v>
      </c>
      <c r="E4011" s="12" t="s">
        <v>14291</v>
      </c>
      <c r="F4011" s="13">
        <v>120</v>
      </c>
      <c r="G4011" s="14"/>
      <c r="H4011" s="12" t="s">
        <v>38</v>
      </c>
      <c r="I4011" s="12" t="s">
        <v>39</v>
      </c>
      <c r="J4011" s="12" t="s">
        <v>40</v>
      </c>
      <c r="K4011" s="12" t="s">
        <v>41</v>
      </c>
      <c r="L4011" s="14"/>
      <c r="M4011" s="12" t="s">
        <v>43</v>
      </c>
      <c r="N4011" s="12" t="s">
        <v>84</v>
      </c>
      <c r="O4011" s="12" t="s">
        <v>14292</v>
      </c>
      <c r="P4011" s="12" t="s">
        <v>46</v>
      </c>
      <c r="Q4011" s="12" t="s">
        <v>47</v>
      </c>
      <c r="R4011" s="12" t="s">
        <v>313</v>
      </c>
      <c r="S4011" s="13">
        <v>197804520015</v>
      </c>
      <c r="T4011" s="12" t="s">
        <v>164</v>
      </c>
      <c r="U4011" s="13">
        <v>29</v>
      </c>
      <c r="V4011" s="12" t="s">
        <v>50</v>
      </c>
      <c r="W4011" s="12" t="s">
        <v>51</v>
      </c>
      <c r="X4011" s="14"/>
      <c r="Y4011" s="14"/>
      <c r="Z4011" s="14"/>
      <c r="AA4011" s="14"/>
      <c r="AB4011" s="14"/>
      <c r="AC4011" s="15">
        <v>27.3</v>
      </c>
      <c r="AD4011" s="15">
        <f>AC4011*AG4011</f>
        <v>27.3</v>
      </c>
      <c r="AE4011" s="15">
        <v>60</v>
      </c>
      <c r="AF4011" s="15">
        <f>AE4011*AG4011</f>
        <v>60</v>
      </c>
      <c r="AG4011" s="16">
        <v>1</v>
      </c>
    </row>
    <row r="4012" spans="1:33" ht="15" customHeight="1" x14ac:dyDescent="0.2">
      <c r="A4012" s="11" t="str">
        <f t="shared" si="1311"/>
        <v>VN000CZ7RV21</v>
      </c>
      <c r="B4012" s="12" t="s">
        <v>14293</v>
      </c>
      <c r="C4012" s="12" t="s">
        <v>2412</v>
      </c>
      <c r="D4012" s="12" t="s">
        <v>1428</v>
      </c>
      <c r="E4012" s="12" t="s">
        <v>14294</v>
      </c>
      <c r="F4012" s="13">
        <v>135</v>
      </c>
      <c r="G4012" s="14"/>
      <c r="H4012" s="12" t="s">
        <v>38</v>
      </c>
      <c r="I4012" s="12" t="s">
        <v>39</v>
      </c>
      <c r="J4012" s="12" t="s">
        <v>40</v>
      </c>
      <c r="K4012" s="12" t="s">
        <v>41</v>
      </c>
      <c r="L4012" s="14"/>
      <c r="M4012" s="12" t="s">
        <v>43</v>
      </c>
      <c r="N4012" s="12" t="s">
        <v>84</v>
      </c>
      <c r="O4012" s="12" t="s">
        <v>14295</v>
      </c>
      <c r="P4012" s="12" t="s">
        <v>46</v>
      </c>
      <c r="Q4012" s="12" t="s">
        <v>47</v>
      </c>
      <c r="R4012" s="12" t="s">
        <v>313</v>
      </c>
      <c r="S4012" s="13">
        <v>197804520206</v>
      </c>
      <c r="T4012" s="12" t="s">
        <v>164</v>
      </c>
      <c r="U4012" s="13">
        <v>31</v>
      </c>
      <c r="V4012" s="12" t="s">
        <v>50</v>
      </c>
      <c r="W4012" s="12" t="s">
        <v>51</v>
      </c>
      <c r="X4012" s="14"/>
      <c r="Y4012" s="14"/>
      <c r="Z4012" s="14"/>
      <c r="AA4012" s="14"/>
      <c r="AB4012" s="14"/>
      <c r="AC4012" s="15">
        <v>27.3</v>
      </c>
      <c r="AD4012" s="15">
        <f>AC4012*AG4012</f>
        <v>27.3</v>
      </c>
      <c r="AE4012" s="15">
        <v>60</v>
      </c>
      <c r="AF4012" s="15">
        <f>AE4012*AG4012</f>
        <v>60</v>
      </c>
      <c r="AG4012" s="16">
        <v>1</v>
      </c>
    </row>
    <row r="4013" spans="1:33" ht="15" customHeight="1" x14ac:dyDescent="0.2">
      <c r="A4013" s="11" t="str">
        <f t="shared" ref="A4013:A4016" si="1312">HYPERLINK("https://assets.vans.eu/images/VN000CZHBIL-HERO/1","VN000CZHBIL1")</f>
        <v>VN000CZHBIL1</v>
      </c>
      <c r="B4013" s="12" t="s">
        <v>14296</v>
      </c>
      <c r="C4013" s="12" t="s">
        <v>3916</v>
      </c>
      <c r="D4013" s="12" t="s">
        <v>14297</v>
      </c>
      <c r="E4013" s="12" t="s">
        <v>14298</v>
      </c>
      <c r="F4013" s="13">
        <v>80</v>
      </c>
      <c r="G4013" s="12" t="s">
        <v>2987</v>
      </c>
      <c r="H4013" s="12" t="s">
        <v>38</v>
      </c>
      <c r="I4013" s="12" t="s">
        <v>159</v>
      </c>
      <c r="J4013" s="12" t="s">
        <v>160</v>
      </c>
      <c r="K4013" s="12" t="s">
        <v>199</v>
      </c>
      <c r="L4013" s="12" t="s">
        <v>350</v>
      </c>
      <c r="M4013" s="12" t="s">
        <v>43</v>
      </c>
      <c r="N4013" s="12" t="s">
        <v>84</v>
      </c>
      <c r="O4013" s="12" t="s">
        <v>14299</v>
      </c>
      <c r="P4013" s="12" t="s">
        <v>46</v>
      </c>
      <c r="Q4013" s="12" t="s">
        <v>47</v>
      </c>
      <c r="R4013" s="12" t="s">
        <v>1660</v>
      </c>
      <c r="S4013" s="13">
        <v>197065592127</v>
      </c>
      <c r="T4013" s="12" t="s">
        <v>49</v>
      </c>
      <c r="U4013" s="13">
        <v>40.5</v>
      </c>
      <c r="V4013" s="12" t="s">
        <v>50</v>
      </c>
      <c r="W4013" s="12" t="s">
        <v>598</v>
      </c>
      <c r="X4013" s="14"/>
      <c r="Y4013" s="14"/>
      <c r="Z4013" s="14"/>
      <c r="AA4013" s="14"/>
      <c r="AB4013" s="14"/>
      <c r="AC4013" s="15">
        <v>45.25</v>
      </c>
      <c r="AD4013" s="15">
        <f>AC4013*AG4013</f>
        <v>45.25</v>
      </c>
      <c r="AE4013" s="15">
        <v>95</v>
      </c>
      <c r="AF4013" s="15">
        <f>AE4013*AG4013</f>
        <v>95</v>
      </c>
      <c r="AG4013" s="16">
        <v>1</v>
      </c>
    </row>
    <row r="4014" spans="1:33" ht="15" customHeight="1" x14ac:dyDescent="0.2">
      <c r="A4014" s="11" t="str">
        <f t="shared" si="1312"/>
        <v>VN000CZHBIL1</v>
      </c>
      <c r="B4014" s="12" t="s">
        <v>14300</v>
      </c>
      <c r="C4014" s="12" t="s">
        <v>3916</v>
      </c>
      <c r="D4014" s="12" t="s">
        <v>14297</v>
      </c>
      <c r="E4014" s="12" t="s">
        <v>14301</v>
      </c>
      <c r="F4014" s="13">
        <v>105</v>
      </c>
      <c r="G4014" s="12" t="s">
        <v>2987</v>
      </c>
      <c r="H4014" s="12" t="s">
        <v>38</v>
      </c>
      <c r="I4014" s="12" t="s">
        <v>159</v>
      </c>
      <c r="J4014" s="12" t="s">
        <v>160</v>
      </c>
      <c r="K4014" s="12" t="s">
        <v>199</v>
      </c>
      <c r="L4014" s="12" t="s">
        <v>350</v>
      </c>
      <c r="M4014" s="12" t="s">
        <v>43</v>
      </c>
      <c r="N4014" s="12" t="s">
        <v>84</v>
      </c>
      <c r="O4014" s="12" t="s">
        <v>14302</v>
      </c>
      <c r="P4014" s="12" t="s">
        <v>46</v>
      </c>
      <c r="Q4014" s="12" t="s">
        <v>47</v>
      </c>
      <c r="R4014" s="12" t="s">
        <v>1660</v>
      </c>
      <c r="S4014" s="13">
        <v>197065592370</v>
      </c>
      <c r="T4014" s="12" t="s">
        <v>49</v>
      </c>
      <c r="U4014" s="13">
        <v>44</v>
      </c>
      <c r="V4014" s="12" t="s">
        <v>50</v>
      </c>
      <c r="W4014" s="12" t="s">
        <v>598</v>
      </c>
      <c r="X4014" s="14"/>
      <c r="Y4014" s="14"/>
      <c r="Z4014" s="14"/>
      <c r="AA4014" s="14"/>
      <c r="AB4014" s="14"/>
      <c r="AC4014" s="15">
        <v>45.25</v>
      </c>
      <c r="AD4014" s="15">
        <f>AC4014*AG4014</f>
        <v>45.25</v>
      </c>
      <c r="AE4014" s="15">
        <v>95</v>
      </c>
      <c r="AF4014" s="15">
        <f>AE4014*AG4014</f>
        <v>95</v>
      </c>
      <c r="AG4014" s="16">
        <v>1</v>
      </c>
    </row>
    <row r="4015" spans="1:33" ht="15" customHeight="1" x14ac:dyDescent="0.2">
      <c r="A4015" s="11" t="str">
        <f t="shared" si="1312"/>
        <v>VN000CZHBIL1</v>
      </c>
      <c r="B4015" s="12" t="s">
        <v>14303</v>
      </c>
      <c r="C4015" s="12" t="s">
        <v>3916</v>
      </c>
      <c r="D4015" s="12" t="s">
        <v>14297</v>
      </c>
      <c r="E4015" s="12" t="s">
        <v>14304</v>
      </c>
      <c r="F4015" s="13">
        <v>120</v>
      </c>
      <c r="G4015" s="12" t="s">
        <v>2987</v>
      </c>
      <c r="H4015" s="12" t="s">
        <v>38</v>
      </c>
      <c r="I4015" s="12" t="s">
        <v>159</v>
      </c>
      <c r="J4015" s="12" t="s">
        <v>160</v>
      </c>
      <c r="K4015" s="12" t="s">
        <v>199</v>
      </c>
      <c r="L4015" s="12" t="s">
        <v>350</v>
      </c>
      <c r="M4015" s="12" t="s">
        <v>43</v>
      </c>
      <c r="N4015" s="12" t="s">
        <v>84</v>
      </c>
      <c r="O4015" s="12" t="s">
        <v>14305</v>
      </c>
      <c r="P4015" s="12" t="s">
        <v>46</v>
      </c>
      <c r="Q4015" s="12" t="s">
        <v>47</v>
      </c>
      <c r="R4015" s="12" t="s">
        <v>1660</v>
      </c>
      <c r="S4015" s="13">
        <v>197065592660</v>
      </c>
      <c r="T4015" s="12" t="s">
        <v>49</v>
      </c>
      <c r="U4015" s="13">
        <v>46</v>
      </c>
      <c r="V4015" s="12" t="s">
        <v>50</v>
      </c>
      <c r="W4015" s="12" t="s">
        <v>598</v>
      </c>
      <c r="X4015" s="14"/>
      <c r="Y4015" s="14"/>
      <c r="Z4015" s="14"/>
      <c r="AA4015" s="14"/>
      <c r="AB4015" s="14"/>
      <c r="AC4015" s="15">
        <v>45.25</v>
      </c>
      <c r="AD4015" s="15">
        <f>AC4015*AG4015</f>
        <v>45.25</v>
      </c>
      <c r="AE4015" s="15">
        <v>95</v>
      </c>
      <c r="AF4015" s="15">
        <f>AE4015*AG4015</f>
        <v>95</v>
      </c>
      <c r="AG4015" s="16">
        <v>1</v>
      </c>
    </row>
    <row r="4016" spans="1:33" ht="15" customHeight="1" x14ac:dyDescent="0.2">
      <c r="A4016" s="11" t="str">
        <f t="shared" si="1312"/>
        <v>VN000CZHBIL1</v>
      </c>
      <c r="B4016" s="12" t="s">
        <v>14306</v>
      </c>
      <c r="C4016" s="12" t="s">
        <v>3916</v>
      </c>
      <c r="D4016" s="12" t="s">
        <v>14297</v>
      </c>
      <c r="E4016" s="12" t="s">
        <v>14307</v>
      </c>
      <c r="F4016" s="13">
        <v>130</v>
      </c>
      <c r="G4016" s="12" t="s">
        <v>2987</v>
      </c>
      <c r="H4016" s="12" t="s">
        <v>38</v>
      </c>
      <c r="I4016" s="12" t="s">
        <v>159</v>
      </c>
      <c r="J4016" s="12" t="s">
        <v>160</v>
      </c>
      <c r="K4016" s="12" t="s">
        <v>199</v>
      </c>
      <c r="L4016" s="12" t="s">
        <v>350</v>
      </c>
      <c r="M4016" s="12" t="s">
        <v>43</v>
      </c>
      <c r="N4016" s="12" t="s">
        <v>84</v>
      </c>
      <c r="O4016" s="12" t="s">
        <v>14308</v>
      </c>
      <c r="P4016" s="12" t="s">
        <v>46</v>
      </c>
      <c r="Q4016" s="12" t="s">
        <v>47</v>
      </c>
      <c r="R4016" s="12" t="s">
        <v>1660</v>
      </c>
      <c r="S4016" s="13">
        <v>197065592714</v>
      </c>
      <c r="T4016" s="12" t="s">
        <v>49</v>
      </c>
      <c r="U4016" s="13">
        <v>47</v>
      </c>
      <c r="V4016" s="12" t="s">
        <v>50</v>
      </c>
      <c r="W4016" s="12" t="s">
        <v>598</v>
      </c>
      <c r="X4016" s="14"/>
      <c r="Y4016" s="14"/>
      <c r="Z4016" s="14"/>
      <c r="AA4016" s="14"/>
      <c r="AB4016" s="14"/>
      <c r="AC4016" s="15">
        <v>45.25</v>
      </c>
      <c r="AD4016" s="15">
        <f>AC4016*AG4016</f>
        <v>45.25</v>
      </c>
      <c r="AE4016" s="15">
        <v>95</v>
      </c>
      <c r="AF4016" s="15">
        <f>AE4016*AG4016</f>
        <v>95</v>
      </c>
      <c r="AG4016" s="16">
        <v>1</v>
      </c>
    </row>
    <row r="4017" spans="1:33" ht="15" customHeight="1" x14ac:dyDescent="0.2">
      <c r="A4017" s="11" t="str">
        <f>HYPERLINK("https://assets.vans.eu/images/VN000CZHCFB-HERO/1","VN000CZHCFB1")</f>
        <v>VN000CZHCFB1</v>
      </c>
      <c r="B4017" s="12" t="s">
        <v>14309</v>
      </c>
      <c r="C4017" s="12" t="s">
        <v>3916</v>
      </c>
      <c r="D4017" s="12" t="s">
        <v>4354</v>
      </c>
      <c r="E4017" s="12" t="s">
        <v>14310</v>
      </c>
      <c r="F4017" s="13">
        <v>110</v>
      </c>
      <c r="G4017" s="12" t="s">
        <v>4356</v>
      </c>
      <c r="H4017" s="12" t="s">
        <v>38</v>
      </c>
      <c r="I4017" s="12" t="s">
        <v>159</v>
      </c>
      <c r="J4017" s="12" t="s">
        <v>160</v>
      </c>
      <c r="K4017" s="12" t="s">
        <v>199</v>
      </c>
      <c r="L4017" s="12" t="s">
        <v>350</v>
      </c>
      <c r="M4017" s="12" t="s">
        <v>43</v>
      </c>
      <c r="N4017" s="12" t="s">
        <v>84</v>
      </c>
      <c r="O4017" s="12" t="s">
        <v>14311</v>
      </c>
      <c r="P4017" s="12" t="s">
        <v>46</v>
      </c>
      <c r="Q4017" s="12" t="s">
        <v>47</v>
      </c>
      <c r="R4017" s="12" t="s">
        <v>1660</v>
      </c>
      <c r="S4017" s="13">
        <v>197065592356</v>
      </c>
      <c r="T4017" s="12" t="s">
        <v>49</v>
      </c>
      <c r="U4017" s="13">
        <v>44.5</v>
      </c>
      <c r="V4017" s="12" t="s">
        <v>50</v>
      </c>
      <c r="W4017" s="12" t="s">
        <v>186</v>
      </c>
      <c r="X4017" s="14"/>
      <c r="Y4017" s="12" t="s">
        <v>71</v>
      </c>
      <c r="Z4017" s="12" t="s">
        <v>376</v>
      </c>
      <c r="AA4017" s="14"/>
      <c r="AB4017" s="14"/>
      <c r="AC4017" s="15">
        <v>45.25</v>
      </c>
      <c r="AD4017" s="15">
        <f>AC4017*AG4017</f>
        <v>45.25</v>
      </c>
      <c r="AE4017" s="15">
        <v>95</v>
      </c>
      <c r="AF4017" s="15">
        <f>AE4017*AG4017</f>
        <v>95</v>
      </c>
      <c r="AG4017" s="16">
        <v>1</v>
      </c>
    </row>
    <row r="4018" spans="1:33" ht="15" customHeight="1" x14ac:dyDescent="0.2">
      <c r="A4018" s="11" t="str">
        <f t="shared" si="409"/>
        <v>VN000CZHPRM1</v>
      </c>
      <c r="B4018" s="12" t="s">
        <v>14312</v>
      </c>
      <c r="C4018" s="12" t="s">
        <v>3916</v>
      </c>
      <c r="D4018" s="12" t="s">
        <v>3917</v>
      </c>
      <c r="E4018" s="12" t="s">
        <v>14313</v>
      </c>
      <c r="F4018" s="13">
        <v>105</v>
      </c>
      <c r="G4018" s="12" t="s">
        <v>3919</v>
      </c>
      <c r="H4018" s="12" t="s">
        <v>38</v>
      </c>
      <c r="I4018" s="12" t="s">
        <v>159</v>
      </c>
      <c r="J4018" s="12" t="s">
        <v>160</v>
      </c>
      <c r="K4018" s="12" t="s">
        <v>199</v>
      </c>
      <c r="L4018" s="12" t="s">
        <v>350</v>
      </c>
      <c r="M4018" s="12" t="s">
        <v>43</v>
      </c>
      <c r="N4018" s="12" t="s">
        <v>84</v>
      </c>
      <c r="O4018" s="12" t="s">
        <v>14314</v>
      </c>
      <c r="P4018" s="12" t="s">
        <v>46</v>
      </c>
      <c r="Q4018" s="12" t="s">
        <v>47</v>
      </c>
      <c r="R4018" s="12" t="s">
        <v>1660</v>
      </c>
      <c r="S4018" s="13">
        <v>197065593261</v>
      </c>
      <c r="T4018" s="12" t="s">
        <v>49</v>
      </c>
      <c r="U4018" s="13">
        <v>44</v>
      </c>
      <c r="V4018" s="12" t="s">
        <v>50</v>
      </c>
      <c r="W4018" s="12" t="s">
        <v>51</v>
      </c>
      <c r="X4018" s="14"/>
      <c r="Y4018" s="12" t="s">
        <v>71</v>
      </c>
      <c r="Z4018" s="12" t="s">
        <v>376</v>
      </c>
      <c r="AA4018" s="14"/>
      <c r="AB4018" s="14"/>
      <c r="AC4018" s="15">
        <v>45.25</v>
      </c>
      <c r="AD4018" s="15">
        <f>AC4018*AG4018</f>
        <v>45.25</v>
      </c>
      <c r="AE4018" s="15">
        <v>95</v>
      </c>
      <c r="AF4018" s="15">
        <f>AE4018*AG4018</f>
        <v>95</v>
      </c>
      <c r="AG4018" s="16">
        <v>1</v>
      </c>
    </row>
    <row r="4019" spans="1:33" ht="15" customHeight="1" x14ac:dyDescent="0.2">
      <c r="A4019" s="11" t="str">
        <f>HYPERLINK("https://assets.vans.eu/images/VN000CZUC9F-HERO/1","VN000CZUC9F1")</f>
        <v>VN000CZUC9F1</v>
      </c>
      <c r="B4019" s="12" t="s">
        <v>14315</v>
      </c>
      <c r="C4019" s="12" t="s">
        <v>14316</v>
      </c>
      <c r="D4019" s="12" t="s">
        <v>2056</v>
      </c>
      <c r="E4019" s="12" t="s">
        <v>14317</v>
      </c>
      <c r="F4019" s="13">
        <v>40</v>
      </c>
      <c r="G4019" s="12" t="s">
        <v>8975</v>
      </c>
      <c r="H4019" s="12" t="s">
        <v>38</v>
      </c>
      <c r="I4019" s="12" t="s">
        <v>159</v>
      </c>
      <c r="J4019" s="12" t="s">
        <v>160</v>
      </c>
      <c r="K4019" s="12" t="s">
        <v>82</v>
      </c>
      <c r="L4019" s="12" t="s">
        <v>42</v>
      </c>
      <c r="M4019" s="12" t="s">
        <v>43</v>
      </c>
      <c r="N4019" s="12" t="s">
        <v>161</v>
      </c>
      <c r="O4019" s="12" t="s">
        <v>14318</v>
      </c>
      <c r="P4019" s="12" t="s">
        <v>46</v>
      </c>
      <c r="Q4019" s="12" t="s">
        <v>47</v>
      </c>
      <c r="R4019" s="12" t="s">
        <v>163</v>
      </c>
      <c r="S4019" s="13">
        <v>197065593469</v>
      </c>
      <c r="T4019" s="12" t="s">
        <v>49</v>
      </c>
      <c r="U4019" s="13">
        <v>35</v>
      </c>
      <c r="V4019" s="12" t="s">
        <v>50</v>
      </c>
      <c r="W4019" s="12" t="s">
        <v>175</v>
      </c>
      <c r="X4019" s="14"/>
      <c r="Y4019" s="12" t="s">
        <v>53</v>
      </c>
      <c r="Z4019" s="12" t="s">
        <v>92</v>
      </c>
      <c r="AA4019" s="12" t="s">
        <v>3224</v>
      </c>
      <c r="AB4019" s="12" t="s">
        <v>55</v>
      </c>
      <c r="AC4019" s="15">
        <v>47.75</v>
      </c>
      <c r="AD4019" s="15">
        <f>AC4019*AG4019</f>
        <v>47.75</v>
      </c>
      <c r="AE4019" s="15">
        <v>105</v>
      </c>
      <c r="AF4019" s="15">
        <f>AE4019*AG4019</f>
        <v>105</v>
      </c>
      <c r="AG4019" s="16">
        <v>1</v>
      </c>
    </row>
    <row r="4020" spans="1:33" ht="15" customHeight="1" x14ac:dyDescent="0.2">
      <c r="A4020" s="11" t="str">
        <f t="shared" si="1019"/>
        <v>VN000D07L371</v>
      </c>
      <c r="B4020" s="12" t="s">
        <v>14319</v>
      </c>
      <c r="C4020" s="12" t="s">
        <v>6036</v>
      </c>
      <c r="D4020" s="12" t="s">
        <v>9390</v>
      </c>
      <c r="E4020" s="12" t="s">
        <v>14320</v>
      </c>
      <c r="F4020" s="13">
        <v>50</v>
      </c>
      <c r="G4020" s="12" t="s">
        <v>9392</v>
      </c>
      <c r="H4020" s="12" t="s">
        <v>38</v>
      </c>
      <c r="I4020" s="12" t="s">
        <v>113</v>
      </c>
      <c r="J4020" s="12" t="s">
        <v>529</v>
      </c>
      <c r="K4020" s="12" t="s">
        <v>82</v>
      </c>
      <c r="L4020" s="14"/>
      <c r="M4020" s="12" t="s">
        <v>43</v>
      </c>
      <c r="N4020" s="12" t="s">
        <v>161</v>
      </c>
      <c r="O4020" s="12" t="s">
        <v>14321</v>
      </c>
      <c r="P4020" s="12" t="s">
        <v>46</v>
      </c>
      <c r="Q4020" s="12" t="s">
        <v>47</v>
      </c>
      <c r="R4020" s="12" t="s">
        <v>117</v>
      </c>
      <c r="S4020" s="13">
        <v>197065754839</v>
      </c>
      <c r="T4020" s="12" t="s">
        <v>49</v>
      </c>
      <c r="U4020" s="13">
        <v>36.5</v>
      </c>
      <c r="V4020" s="12" t="s">
        <v>50</v>
      </c>
      <c r="W4020" s="12" t="s">
        <v>51</v>
      </c>
      <c r="X4020" s="14"/>
      <c r="Y4020" s="12" t="s">
        <v>53</v>
      </c>
      <c r="Z4020" s="12" t="s">
        <v>263</v>
      </c>
      <c r="AA4020" s="14"/>
      <c r="AB4020" s="14"/>
      <c r="AC4020" s="15">
        <v>38.65</v>
      </c>
      <c r="AD4020" s="15">
        <f>AC4020*AG4020</f>
        <v>38.65</v>
      </c>
      <c r="AE4020" s="15">
        <v>85</v>
      </c>
      <c r="AF4020" s="15">
        <f>AE4020*AG4020</f>
        <v>85</v>
      </c>
      <c r="AG4020" s="16">
        <v>1</v>
      </c>
    </row>
    <row r="4021" spans="1:33" ht="15" customHeight="1" x14ac:dyDescent="0.2">
      <c r="A4021" s="11" t="str">
        <f>HYPERLINK("https://assets.vans.eu/images/VN000D07L37-HERO/1","VN000D07L371")</f>
        <v>VN000D07L371</v>
      </c>
      <c r="B4021" s="12" t="s">
        <v>14322</v>
      </c>
      <c r="C4021" s="12" t="s">
        <v>6036</v>
      </c>
      <c r="D4021" s="12" t="s">
        <v>9390</v>
      </c>
      <c r="E4021" s="12" t="s">
        <v>14323</v>
      </c>
      <c r="F4021" s="13">
        <v>65</v>
      </c>
      <c r="G4021" s="12" t="s">
        <v>9392</v>
      </c>
      <c r="H4021" s="12" t="s">
        <v>38</v>
      </c>
      <c r="I4021" s="12" t="s">
        <v>113</v>
      </c>
      <c r="J4021" s="12" t="s">
        <v>529</v>
      </c>
      <c r="K4021" s="12" t="s">
        <v>82</v>
      </c>
      <c r="L4021" s="14"/>
      <c r="M4021" s="12" t="s">
        <v>43</v>
      </c>
      <c r="N4021" s="12" t="s">
        <v>161</v>
      </c>
      <c r="O4021" s="12" t="s">
        <v>14324</v>
      </c>
      <c r="P4021" s="12" t="s">
        <v>46</v>
      </c>
      <c r="Q4021" s="12" t="s">
        <v>47</v>
      </c>
      <c r="R4021" s="12" t="s">
        <v>117</v>
      </c>
      <c r="S4021" s="13">
        <v>197065755089</v>
      </c>
      <c r="T4021" s="12" t="s">
        <v>49</v>
      </c>
      <c r="U4021" s="13">
        <v>38.5</v>
      </c>
      <c r="V4021" s="12" t="s">
        <v>50</v>
      </c>
      <c r="W4021" s="12" t="s">
        <v>51</v>
      </c>
      <c r="X4021" s="14"/>
      <c r="Y4021" s="12" t="s">
        <v>53</v>
      </c>
      <c r="Z4021" s="12" t="s">
        <v>263</v>
      </c>
      <c r="AA4021" s="14"/>
      <c r="AB4021" s="14"/>
      <c r="AC4021" s="15">
        <v>38.65</v>
      </c>
      <c r="AD4021" s="15">
        <f>AC4021*AG4021</f>
        <v>38.65</v>
      </c>
      <c r="AE4021" s="15">
        <v>85</v>
      </c>
      <c r="AF4021" s="15">
        <f>AE4021*AG4021</f>
        <v>85</v>
      </c>
      <c r="AG4021" s="16">
        <v>1</v>
      </c>
    </row>
    <row r="4022" spans="1:33" ht="15" customHeight="1" x14ac:dyDescent="0.2">
      <c r="A4022" s="11" t="str">
        <f>HYPERLINK("https://assets.vans.eu/images/VN000D09BLS-HERO/1","VN000D09BLS1")</f>
        <v>VN000D09BLS1</v>
      </c>
      <c r="B4022" s="12" t="s">
        <v>14325</v>
      </c>
      <c r="C4022" s="12" t="s">
        <v>1458</v>
      </c>
      <c r="D4022" s="12" t="s">
        <v>14326</v>
      </c>
      <c r="E4022" s="12" t="s">
        <v>14327</v>
      </c>
      <c r="F4022" s="13">
        <v>95</v>
      </c>
      <c r="G4022" s="12" t="s">
        <v>14328</v>
      </c>
      <c r="H4022" s="12" t="s">
        <v>38</v>
      </c>
      <c r="I4022" s="12" t="s">
        <v>159</v>
      </c>
      <c r="J4022" s="12" t="s">
        <v>255</v>
      </c>
      <c r="K4022" s="12" t="s">
        <v>82</v>
      </c>
      <c r="L4022" s="14"/>
      <c r="M4022" s="12" t="s">
        <v>43</v>
      </c>
      <c r="N4022" s="12" t="s">
        <v>161</v>
      </c>
      <c r="O4022" s="12" t="s">
        <v>14329</v>
      </c>
      <c r="P4022" s="12" t="s">
        <v>46</v>
      </c>
      <c r="Q4022" s="12" t="s">
        <v>47</v>
      </c>
      <c r="R4022" s="12" t="s">
        <v>163</v>
      </c>
      <c r="S4022" s="13">
        <v>197065682460</v>
      </c>
      <c r="T4022" s="12" t="s">
        <v>49</v>
      </c>
      <c r="U4022" s="13">
        <v>42.5</v>
      </c>
      <c r="V4022" s="12" t="s">
        <v>50</v>
      </c>
      <c r="W4022" s="12" t="s">
        <v>625</v>
      </c>
      <c r="X4022" s="14"/>
      <c r="Y4022" s="12" t="s">
        <v>53</v>
      </c>
      <c r="Z4022" s="12" t="s">
        <v>263</v>
      </c>
      <c r="AA4022" s="14"/>
      <c r="AB4022" s="14"/>
      <c r="AC4022" s="15">
        <v>40.950000000000003</v>
      </c>
      <c r="AD4022" s="15">
        <f>AC4022*AG4022</f>
        <v>40.950000000000003</v>
      </c>
      <c r="AE4022" s="15">
        <v>90</v>
      </c>
      <c r="AF4022" s="15">
        <f>AE4022*AG4022</f>
        <v>90</v>
      </c>
      <c r="AG4022" s="16">
        <v>1</v>
      </c>
    </row>
    <row r="4023" spans="1:33" ht="15" customHeight="1" x14ac:dyDescent="0.2">
      <c r="A4023" s="11" t="str">
        <f>HYPERLINK("https://assets.vans.eu/images/VN000D09M8I-HERO/1","VN000D09M8I1")</f>
        <v>VN000D09M8I1</v>
      </c>
      <c r="B4023" s="12" t="s">
        <v>14330</v>
      </c>
      <c r="C4023" s="12" t="s">
        <v>1458</v>
      </c>
      <c r="D4023" s="12" t="s">
        <v>1487</v>
      </c>
      <c r="E4023" s="12" t="s">
        <v>14331</v>
      </c>
      <c r="F4023" s="13">
        <v>75</v>
      </c>
      <c r="G4023" s="12" t="s">
        <v>14328</v>
      </c>
      <c r="H4023" s="12" t="s">
        <v>38</v>
      </c>
      <c r="I4023" s="12" t="s">
        <v>159</v>
      </c>
      <c r="J4023" s="12" t="s">
        <v>255</v>
      </c>
      <c r="K4023" s="12" t="s">
        <v>82</v>
      </c>
      <c r="L4023" s="12" t="s">
        <v>42</v>
      </c>
      <c r="M4023" s="12" t="s">
        <v>43</v>
      </c>
      <c r="N4023" s="12" t="s">
        <v>161</v>
      </c>
      <c r="O4023" s="12" t="s">
        <v>14332</v>
      </c>
      <c r="P4023" s="12" t="s">
        <v>46</v>
      </c>
      <c r="Q4023" s="12" t="s">
        <v>47</v>
      </c>
      <c r="R4023" s="12" t="s">
        <v>163</v>
      </c>
      <c r="S4023" s="13">
        <v>197065684228</v>
      </c>
      <c r="T4023" s="12" t="s">
        <v>49</v>
      </c>
      <c r="U4023" s="13">
        <v>40</v>
      </c>
      <c r="V4023" s="12" t="s">
        <v>50</v>
      </c>
      <c r="W4023" s="12" t="s">
        <v>118</v>
      </c>
      <c r="X4023" s="14"/>
      <c r="Y4023" s="12" t="s">
        <v>53</v>
      </c>
      <c r="Z4023" s="12" t="s">
        <v>92</v>
      </c>
      <c r="AA4023" s="12" t="s">
        <v>3224</v>
      </c>
      <c r="AB4023" s="12" t="s">
        <v>55</v>
      </c>
      <c r="AC4023" s="15">
        <v>40.950000000000003</v>
      </c>
      <c r="AD4023" s="15">
        <f>AC4023*AG4023</f>
        <v>40.950000000000003</v>
      </c>
      <c r="AE4023" s="15">
        <v>90</v>
      </c>
      <c r="AF4023" s="15">
        <f>AE4023*AG4023</f>
        <v>90</v>
      </c>
      <c r="AG4023" s="16">
        <v>1</v>
      </c>
    </row>
    <row r="4024" spans="1:33" ht="15" customHeight="1" x14ac:dyDescent="0.2">
      <c r="A4024" s="11" t="str">
        <f>HYPERLINK("https://assets.vans.eu/images/VN000D0ECI1-HERO/1","VN000D0ECI11")</f>
        <v>VN000D0ECI11</v>
      </c>
      <c r="B4024" s="12" t="s">
        <v>14333</v>
      </c>
      <c r="C4024" s="12" t="s">
        <v>9399</v>
      </c>
      <c r="D4024" s="12" t="s">
        <v>14334</v>
      </c>
      <c r="E4024" s="12" t="s">
        <v>14335</v>
      </c>
      <c r="F4024" s="13">
        <v>60</v>
      </c>
      <c r="G4024" s="14"/>
      <c r="H4024" s="12" t="s">
        <v>38</v>
      </c>
      <c r="I4024" s="12" t="s">
        <v>113</v>
      </c>
      <c r="J4024" s="12" t="s">
        <v>114</v>
      </c>
      <c r="K4024" s="12" t="s">
        <v>82</v>
      </c>
      <c r="L4024" s="14"/>
      <c r="M4024" s="12" t="s">
        <v>43</v>
      </c>
      <c r="N4024" s="12" t="s">
        <v>161</v>
      </c>
      <c r="O4024" s="12" t="s">
        <v>14336</v>
      </c>
      <c r="P4024" s="12" t="s">
        <v>46</v>
      </c>
      <c r="Q4024" s="12" t="s">
        <v>47</v>
      </c>
      <c r="R4024" s="12" t="s">
        <v>117</v>
      </c>
      <c r="S4024" s="13">
        <v>197065757335</v>
      </c>
      <c r="T4024" s="12" t="s">
        <v>49</v>
      </c>
      <c r="U4024" s="13">
        <v>38</v>
      </c>
      <c r="V4024" s="12" t="s">
        <v>50</v>
      </c>
      <c r="W4024" s="12" t="s">
        <v>262</v>
      </c>
      <c r="X4024" s="14"/>
      <c r="Y4024" s="12" t="s">
        <v>53</v>
      </c>
      <c r="Z4024" s="12" t="s">
        <v>263</v>
      </c>
      <c r="AA4024" s="14"/>
      <c r="AB4024" s="14"/>
      <c r="AC4024" s="15">
        <v>40.950000000000003</v>
      </c>
      <c r="AD4024" s="15">
        <f>AC4024*AG4024</f>
        <v>40.950000000000003</v>
      </c>
      <c r="AE4024" s="15">
        <v>90</v>
      </c>
      <c r="AF4024" s="15">
        <f>AE4024*AG4024</f>
        <v>90</v>
      </c>
      <c r="AG4024" s="16">
        <v>1</v>
      </c>
    </row>
    <row r="4025" spans="1:33" ht="15" customHeight="1" x14ac:dyDescent="0.2">
      <c r="A4025" s="11" t="str">
        <f t="shared" si="1020"/>
        <v>VN000D0ENGM1</v>
      </c>
      <c r="B4025" s="12" t="s">
        <v>14337</v>
      </c>
      <c r="C4025" s="12" t="s">
        <v>9399</v>
      </c>
      <c r="D4025" s="12" t="s">
        <v>9400</v>
      </c>
      <c r="E4025" s="12" t="s">
        <v>14338</v>
      </c>
      <c r="F4025" s="13">
        <v>50</v>
      </c>
      <c r="G4025" s="14"/>
      <c r="H4025" s="12" t="s">
        <v>38</v>
      </c>
      <c r="I4025" s="12" t="s">
        <v>113</v>
      </c>
      <c r="J4025" s="12" t="s">
        <v>114</v>
      </c>
      <c r="K4025" s="12" t="s">
        <v>82</v>
      </c>
      <c r="L4025" s="14"/>
      <c r="M4025" s="12" t="s">
        <v>43</v>
      </c>
      <c r="N4025" s="12" t="s">
        <v>161</v>
      </c>
      <c r="O4025" s="12" t="s">
        <v>14339</v>
      </c>
      <c r="P4025" s="12" t="s">
        <v>46</v>
      </c>
      <c r="Q4025" s="12" t="s">
        <v>47</v>
      </c>
      <c r="R4025" s="12" t="s">
        <v>117</v>
      </c>
      <c r="S4025" s="13">
        <v>197065683832</v>
      </c>
      <c r="T4025" s="12" t="s">
        <v>49</v>
      </c>
      <c r="U4025" s="13">
        <v>36.5</v>
      </c>
      <c r="V4025" s="12" t="s">
        <v>50</v>
      </c>
      <c r="W4025" s="12" t="s">
        <v>284</v>
      </c>
      <c r="X4025" s="14"/>
      <c r="Y4025" s="12" t="s">
        <v>53</v>
      </c>
      <c r="Z4025" s="12" t="s">
        <v>263</v>
      </c>
      <c r="AA4025" s="14"/>
      <c r="AB4025" s="14"/>
      <c r="AC4025" s="15">
        <v>40.950000000000003</v>
      </c>
      <c r="AD4025" s="15">
        <f>AC4025*AG4025</f>
        <v>40.950000000000003</v>
      </c>
      <c r="AE4025" s="15">
        <v>90</v>
      </c>
      <c r="AF4025" s="15">
        <f>AE4025*AG4025</f>
        <v>90</v>
      </c>
      <c r="AG4025" s="16">
        <v>1</v>
      </c>
    </row>
    <row r="4026" spans="1:33" ht="15" customHeight="1" x14ac:dyDescent="0.2">
      <c r="A4026" s="11" t="str">
        <f t="shared" ref="A4026:A4027" si="1313">HYPERLINK("https://assets.vans.eu/images/VN000D0HBMV-HERO/1","VN000D0HBMV1")</f>
        <v>VN000D0HBMV1</v>
      </c>
      <c r="B4026" s="12" t="s">
        <v>14340</v>
      </c>
      <c r="C4026" s="12" t="s">
        <v>1108</v>
      </c>
      <c r="D4026" s="12" t="s">
        <v>2276</v>
      </c>
      <c r="E4026" s="12" t="s">
        <v>14341</v>
      </c>
      <c r="F4026" s="13">
        <v>15</v>
      </c>
      <c r="G4026" s="12" t="s">
        <v>528</v>
      </c>
      <c r="H4026" s="12" t="s">
        <v>38</v>
      </c>
      <c r="I4026" s="12" t="s">
        <v>39</v>
      </c>
      <c r="J4026" s="12" t="s">
        <v>40</v>
      </c>
      <c r="K4026" s="12" t="s">
        <v>41</v>
      </c>
      <c r="L4026" s="14"/>
      <c r="M4026" s="12" t="s">
        <v>43</v>
      </c>
      <c r="N4026" s="12" t="s">
        <v>84</v>
      </c>
      <c r="O4026" s="12" t="s">
        <v>14342</v>
      </c>
      <c r="P4026" s="12" t="s">
        <v>46</v>
      </c>
      <c r="Q4026" s="12" t="s">
        <v>47</v>
      </c>
      <c r="R4026" s="12" t="s">
        <v>780</v>
      </c>
      <c r="S4026" s="13">
        <v>197804435265</v>
      </c>
      <c r="T4026" s="12" t="s">
        <v>105</v>
      </c>
      <c r="U4026" s="13">
        <v>32</v>
      </c>
      <c r="V4026" s="12" t="s">
        <v>50</v>
      </c>
      <c r="W4026" s="12" t="s">
        <v>51</v>
      </c>
      <c r="X4026" s="14"/>
      <c r="Y4026" s="14"/>
      <c r="Z4026" s="14"/>
      <c r="AA4026" s="14"/>
      <c r="AB4026" s="14"/>
      <c r="AC4026" s="15">
        <v>34.1</v>
      </c>
      <c r="AD4026" s="15">
        <f>AC4026*AG4026</f>
        <v>34.1</v>
      </c>
      <c r="AE4026" s="15">
        <v>75</v>
      </c>
      <c r="AF4026" s="15">
        <f>AE4026*AG4026</f>
        <v>75</v>
      </c>
      <c r="AG4026" s="16">
        <v>1</v>
      </c>
    </row>
    <row r="4027" spans="1:33" ht="15" customHeight="1" x14ac:dyDescent="0.2">
      <c r="A4027" s="11" t="str">
        <f t="shared" si="1313"/>
        <v>VN000D0HBMV1</v>
      </c>
      <c r="B4027" s="12" t="s">
        <v>14343</v>
      </c>
      <c r="C4027" s="12" t="s">
        <v>1108</v>
      </c>
      <c r="D4027" s="12" t="s">
        <v>2276</v>
      </c>
      <c r="E4027" s="12" t="s">
        <v>14344</v>
      </c>
      <c r="F4027" s="13">
        <v>25</v>
      </c>
      <c r="G4027" s="12" t="s">
        <v>528</v>
      </c>
      <c r="H4027" s="12" t="s">
        <v>38</v>
      </c>
      <c r="I4027" s="12" t="s">
        <v>39</v>
      </c>
      <c r="J4027" s="12" t="s">
        <v>40</v>
      </c>
      <c r="K4027" s="12" t="s">
        <v>41</v>
      </c>
      <c r="L4027" s="14"/>
      <c r="M4027" s="12" t="s">
        <v>43</v>
      </c>
      <c r="N4027" s="12" t="s">
        <v>84</v>
      </c>
      <c r="O4027" s="12" t="s">
        <v>14345</v>
      </c>
      <c r="P4027" s="12" t="s">
        <v>46</v>
      </c>
      <c r="Q4027" s="12" t="s">
        <v>47</v>
      </c>
      <c r="R4027" s="12" t="s">
        <v>780</v>
      </c>
      <c r="S4027" s="13">
        <v>197804435579</v>
      </c>
      <c r="T4027" s="12" t="s">
        <v>105</v>
      </c>
      <c r="U4027" s="13">
        <v>33</v>
      </c>
      <c r="V4027" s="12" t="s">
        <v>50</v>
      </c>
      <c r="W4027" s="12" t="s">
        <v>51</v>
      </c>
      <c r="X4027" s="14"/>
      <c r="Y4027" s="14"/>
      <c r="Z4027" s="14"/>
      <c r="AA4027" s="14"/>
      <c r="AB4027" s="14"/>
      <c r="AC4027" s="15">
        <v>34.1</v>
      </c>
      <c r="AD4027" s="15">
        <f>AC4027*AG4027</f>
        <v>34.1</v>
      </c>
      <c r="AE4027" s="15">
        <v>75</v>
      </c>
      <c r="AF4027" s="15">
        <f>AE4027*AG4027</f>
        <v>75</v>
      </c>
      <c r="AG4027" s="16">
        <v>1</v>
      </c>
    </row>
    <row r="4028" spans="1:33" ht="15" customHeight="1" x14ac:dyDescent="0.2">
      <c r="A4028" s="11" t="str">
        <f t="shared" si="1021"/>
        <v>VN000D0HBZW1</v>
      </c>
      <c r="B4028" s="12" t="s">
        <v>14346</v>
      </c>
      <c r="C4028" s="12" t="s">
        <v>1108</v>
      </c>
      <c r="D4028" s="12" t="s">
        <v>58</v>
      </c>
      <c r="E4028" s="12" t="s">
        <v>14347</v>
      </c>
      <c r="F4028" s="13">
        <v>25</v>
      </c>
      <c r="G4028" s="14"/>
      <c r="H4028" s="12" t="s">
        <v>38</v>
      </c>
      <c r="I4028" s="12" t="s">
        <v>39</v>
      </c>
      <c r="J4028" s="12" t="s">
        <v>40</v>
      </c>
      <c r="K4028" s="12" t="s">
        <v>41</v>
      </c>
      <c r="L4028" s="14"/>
      <c r="M4028" s="12" t="s">
        <v>43</v>
      </c>
      <c r="N4028" s="12" t="s">
        <v>84</v>
      </c>
      <c r="O4028" s="12" t="s">
        <v>14348</v>
      </c>
      <c r="P4028" s="12" t="s">
        <v>46</v>
      </c>
      <c r="Q4028" s="12" t="s">
        <v>47</v>
      </c>
      <c r="R4028" s="12" t="s">
        <v>780</v>
      </c>
      <c r="S4028" s="13">
        <v>197804435715</v>
      </c>
      <c r="T4028" s="12" t="s">
        <v>49</v>
      </c>
      <c r="U4028" s="13">
        <v>33</v>
      </c>
      <c r="V4028" s="12" t="s">
        <v>50</v>
      </c>
      <c r="W4028" s="12" t="s">
        <v>51</v>
      </c>
      <c r="X4028" s="14"/>
      <c r="Y4028" s="14"/>
      <c r="Z4028" s="14"/>
      <c r="AA4028" s="14"/>
      <c r="AB4028" s="14"/>
      <c r="AC4028" s="15">
        <v>34.1</v>
      </c>
      <c r="AD4028" s="15">
        <f>AC4028*AG4028</f>
        <v>34.1</v>
      </c>
      <c r="AE4028" s="15">
        <v>75</v>
      </c>
      <c r="AF4028" s="15">
        <f>AE4028*AG4028</f>
        <v>75</v>
      </c>
      <c r="AG4028" s="16">
        <v>1</v>
      </c>
    </row>
    <row r="4029" spans="1:33" ht="15" customHeight="1" x14ac:dyDescent="0.2">
      <c r="A4029" s="11" t="str">
        <f>HYPERLINK("https://assets.vans.eu/images/VN000D0HEMY-HERO/1","VN000D0HEMY1")</f>
        <v>VN000D0HEMY1</v>
      </c>
      <c r="B4029" s="12" t="s">
        <v>14349</v>
      </c>
      <c r="C4029" s="12" t="s">
        <v>1108</v>
      </c>
      <c r="D4029" s="12" t="s">
        <v>1155</v>
      </c>
      <c r="E4029" s="12" t="s">
        <v>14350</v>
      </c>
      <c r="F4029" s="13">
        <v>15</v>
      </c>
      <c r="G4029" s="12" t="s">
        <v>2417</v>
      </c>
      <c r="H4029" s="12" t="s">
        <v>38</v>
      </c>
      <c r="I4029" s="12" t="s">
        <v>39</v>
      </c>
      <c r="J4029" s="12" t="s">
        <v>40</v>
      </c>
      <c r="K4029" s="12" t="s">
        <v>41</v>
      </c>
      <c r="L4029" s="14"/>
      <c r="M4029" s="12" t="s">
        <v>43</v>
      </c>
      <c r="N4029" s="12" t="s">
        <v>84</v>
      </c>
      <c r="O4029" s="12" t="s">
        <v>14351</v>
      </c>
      <c r="P4029" s="12" t="s">
        <v>46</v>
      </c>
      <c r="Q4029" s="12" t="s">
        <v>47</v>
      </c>
      <c r="R4029" s="12" t="s">
        <v>780</v>
      </c>
      <c r="S4029" s="13">
        <v>197804435463</v>
      </c>
      <c r="T4029" s="12" t="s">
        <v>105</v>
      </c>
      <c r="U4029" s="13">
        <v>32</v>
      </c>
      <c r="V4029" s="12" t="s">
        <v>50</v>
      </c>
      <c r="W4029" s="12" t="s">
        <v>107</v>
      </c>
      <c r="X4029" s="14"/>
      <c r="Y4029" s="14"/>
      <c r="Z4029" s="14"/>
      <c r="AA4029" s="14"/>
      <c r="AB4029" s="14"/>
      <c r="AC4029" s="15">
        <v>34.1</v>
      </c>
      <c r="AD4029" s="15">
        <f>AC4029*AG4029</f>
        <v>34.1</v>
      </c>
      <c r="AE4029" s="15">
        <v>75</v>
      </c>
      <c r="AF4029" s="15">
        <f>AE4029*AG4029</f>
        <v>75</v>
      </c>
      <c r="AG4029" s="16">
        <v>1</v>
      </c>
    </row>
    <row r="4030" spans="1:33" ht="15" customHeight="1" x14ac:dyDescent="0.2">
      <c r="A4030" s="11" t="str">
        <f>HYPERLINK("https://assets.vans.eu/images/VN000D0HN1Z-HERO/1","VN000D0HN1Z1")</f>
        <v>VN000D0HN1Z1</v>
      </c>
      <c r="B4030" s="12" t="s">
        <v>14352</v>
      </c>
      <c r="C4030" s="12" t="s">
        <v>1108</v>
      </c>
      <c r="D4030" s="12" t="s">
        <v>1656</v>
      </c>
      <c r="E4030" s="12" t="s">
        <v>14353</v>
      </c>
      <c r="F4030" s="13">
        <v>15</v>
      </c>
      <c r="G4030" s="14"/>
      <c r="H4030" s="12" t="s">
        <v>38</v>
      </c>
      <c r="I4030" s="12" t="s">
        <v>39</v>
      </c>
      <c r="J4030" s="12" t="s">
        <v>40</v>
      </c>
      <c r="K4030" s="12" t="s">
        <v>41</v>
      </c>
      <c r="L4030" s="14"/>
      <c r="M4030" s="12" t="s">
        <v>43</v>
      </c>
      <c r="N4030" s="12" t="s">
        <v>161</v>
      </c>
      <c r="O4030" s="12" t="s">
        <v>14354</v>
      </c>
      <c r="P4030" s="12" t="s">
        <v>46</v>
      </c>
      <c r="Q4030" s="12" t="s">
        <v>47</v>
      </c>
      <c r="R4030" s="12" t="s">
        <v>780</v>
      </c>
      <c r="S4030" s="13">
        <v>197065600464</v>
      </c>
      <c r="T4030" s="12" t="s">
        <v>49</v>
      </c>
      <c r="U4030" s="13">
        <v>32</v>
      </c>
      <c r="V4030" s="12" t="s">
        <v>50</v>
      </c>
      <c r="W4030" s="12" t="s">
        <v>186</v>
      </c>
      <c r="X4030" s="14"/>
      <c r="Y4030" s="12" t="s">
        <v>91</v>
      </c>
      <c r="Z4030" s="12" t="s">
        <v>165</v>
      </c>
      <c r="AA4030" s="14"/>
      <c r="AB4030" s="14"/>
      <c r="AC4030" s="15">
        <v>34.1</v>
      </c>
      <c r="AD4030" s="15">
        <f>AC4030*AG4030</f>
        <v>34.1</v>
      </c>
      <c r="AE4030" s="15">
        <v>75</v>
      </c>
      <c r="AF4030" s="15">
        <f>AE4030*AG4030</f>
        <v>75</v>
      </c>
      <c r="AG4030" s="16">
        <v>1</v>
      </c>
    </row>
    <row r="4031" spans="1:33" ht="15" customHeight="1" x14ac:dyDescent="0.2">
      <c r="A4031" s="11" t="str">
        <f t="shared" si="778"/>
        <v>VN000D0JRV21</v>
      </c>
      <c r="B4031" s="12" t="s">
        <v>14355</v>
      </c>
      <c r="C4031" s="12" t="s">
        <v>3586</v>
      </c>
      <c r="D4031" s="12" t="s">
        <v>1428</v>
      </c>
      <c r="E4031" s="12" t="s">
        <v>14356</v>
      </c>
      <c r="F4031" s="13">
        <v>25</v>
      </c>
      <c r="G4031" s="12" t="s">
        <v>2273</v>
      </c>
      <c r="H4031" s="12" t="s">
        <v>38</v>
      </c>
      <c r="I4031" s="12" t="s">
        <v>39</v>
      </c>
      <c r="J4031" s="12" t="s">
        <v>40</v>
      </c>
      <c r="K4031" s="12" t="s">
        <v>41</v>
      </c>
      <c r="L4031" s="14"/>
      <c r="M4031" s="12" t="s">
        <v>43</v>
      </c>
      <c r="N4031" s="12" t="s">
        <v>84</v>
      </c>
      <c r="O4031" s="12" t="s">
        <v>14357</v>
      </c>
      <c r="P4031" s="12" t="s">
        <v>46</v>
      </c>
      <c r="Q4031" s="12" t="s">
        <v>47</v>
      </c>
      <c r="R4031" s="12" t="s">
        <v>48</v>
      </c>
      <c r="S4031" s="13">
        <v>197804576654</v>
      </c>
      <c r="T4031" s="12" t="s">
        <v>164</v>
      </c>
      <c r="U4031" s="13">
        <v>33</v>
      </c>
      <c r="V4031" s="12" t="s">
        <v>375</v>
      </c>
      <c r="W4031" s="12" t="s">
        <v>51</v>
      </c>
      <c r="X4031" s="14"/>
      <c r="Y4031" s="14"/>
      <c r="Z4031" s="14"/>
      <c r="AA4031" s="14"/>
      <c r="AB4031" s="14"/>
      <c r="AC4031" s="15">
        <v>25</v>
      </c>
      <c r="AD4031" s="15">
        <f>AC4031*AG4031</f>
        <v>25</v>
      </c>
      <c r="AE4031" s="15">
        <v>55</v>
      </c>
      <c r="AF4031" s="15">
        <f>AE4031*AG4031</f>
        <v>55</v>
      </c>
      <c r="AG4031" s="16">
        <v>1</v>
      </c>
    </row>
    <row r="4032" spans="1:33" ht="15" customHeight="1" x14ac:dyDescent="0.2">
      <c r="A4032" s="11" t="str">
        <f t="shared" ref="A4032:A4033" si="1314">HYPERLINK("https://assets.vans.eu/images/VN000D0JRV2-HERO/1","VN000D0JRV21")</f>
        <v>VN000D0JRV21</v>
      </c>
      <c r="B4032" s="12" t="s">
        <v>14358</v>
      </c>
      <c r="C4032" s="12" t="s">
        <v>3586</v>
      </c>
      <c r="D4032" s="12" t="s">
        <v>1428</v>
      </c>
      <c r="E4032" s="12" t="s">
        <v>14359</v>
      </c>
      <c r="F4032" s="13">
        <v>120</v>
      </c>
      <c r="G4032" s="12" t="s">
        <v>2273</v>
      </c>
      <c r="H4032" s="12" t="s">
        <v>38</v>
      </c>
      <c r="I4032" s="12" t="s">
        <v>39</v>
      </c>
      <c r="J4032" s="12" t="s">
        <v>40</v>
      </c>
      <c r="K4032" s="12" t="s">
        <v>41</v>
      </c>
      <c r="L4032" s="14"/>
      <c r="M4032" s="12" t="s">
        <v>43</v>
      </c>
      <c r="N4032" s="12" t="s">
        <v>84</v>
      </c>
      <c r="O4032" s="12" t="s">
        <v>14360</v>
      </c>
      <c r="P4032" s="12" t="s">
        <v>46</v>
      </c>
      <c r="Q4032" s="12" t="s">
        <v>47</v>
      </c>
      <c r="R4032" s="12" t="s">
        <v>48</v>
      </c>
      <c r="S4032" s="13">
        <v>197804577286</v>
      </c>
      <c r="T4032" s="12" t="s">
        <v>164</v>
      </c>
      <c r="U4032" s="13">
        <v>29</v>
      </c>
      <c r="V4032" s="12" t="s">
        <v>375</v>
      </c>
      <c r="W4032" s="12" t="s">
        <v>51</v>
      </c>
      <c r="X4032" s="14"/>
      <c r="Y4032" s="14"/>
      <c r="Z4032" s="14"/>
      <c r="AA4032" s="14"/>
      <c r="AB4032" s="14"/>
      <c r="AC4032" s="15">
        <v>25</v>
      </c>
      <c r="AD4032" s="15">
        <f>AC4032*AG4032</f>
        <v>25</v>
      </c>
      <c r="AE4032" s="15">
        <v>55</v>
      </c>
      <c r="AF4032" s="15">
        <f>AE4032*AG4032</f>
        <v>55</v>
      </c>
      <c r="AG4032" s="16">
        <v>1</v>
      </c>
    </row>
    <row r="4033" spans="1:33" ht="15" customHeight="1" x14ac:dyDescent="0.2">
      <c r="A4033" s="11" t="str">
        <f t="shared" si="1314"/>
        <v>VN000D0JRV21</v>
      </c>
      <c r="B4033" s="12" t="s">
        <v>14361</v>
      </c>
      <c r="C4033" s="12" t="s">
        <v>3586</v>
      </c>
      <c r="D4033" s="12" t="s">
        <v>1428</v>
      </c>
      <c r="E4033" s="12" t="s">
        <v>14362</v>
      </c>
      <c r="F4033" s="13">
        <v>135</v>
      </c>
      <c r="G4033" s="12" t="s">
        <v>2273</v>
      </c>
      <c r="H4033" s="12" t="s">
        <v>38</v>
      </c>
      <c r="I4033" s="12" t="s">
        <v>39</v>
      </c>
      <c r="J4033" s="12" t="s">
        <v>40</v>
      </c>
      <c r="K4033" s="12" t="s">
        <v>41</v>
      </c>
      <c r="L4033" s="14"/>
      <c r="M4033" s="12" t="s">
        <v>43</v>
      </c>
      <c r="N4033" s="12" t="s">
        <v>84</v>
      </c>
      <c r="O4033" s="12" t="s">
        <v>14363</v>
      </c>
      <c r="P4033" s="12" t="s">
        <v>46</v>
      </c>
      <c r="Q4033" s="12" t="s">
        <v>47</v>
      </c>
      <c r="R4033" s="12" t="s">
        <v>48</v>
      </c>
      <c r="S4033" s="13">
        <v>197804577729</v>
      </c>
      <c r="T4033" s="12" t="s">
        <v>164</v>
      </c>
      <c r="U4033" s="13">
        <v>31</v>
      </c>
      <c r="V4033" s="12" t="s">
        <v>375</v>
      </c>
      <c r="W4033" s="12" t="s">
        <v>51</v>
      </c>
      <c r="X4033" s="14"/>
      <c r="Y4033" s="14"/>
      <c r="Z4033" s="14"/>
      <c r="AA4033" s="14"/>
      <c r="AB4033" s="14"/>
      <c r="AC4033" s="15">
        <v>25</v>
      </c>
      <c r="AD4033" s="15">
        <f>AC4033*AG4033</f>
        <v>25</v>
      </c>
      <c r="AE4033" s="15">
        <v>55</v>
      </c>
      <c r="AF4033" s="15">
        <f>AE4033*AG4033</f>
        <v>55</v>
      </c>
      <c r="AG4033" s="16">
        <v>1</v>
      </c>
    </row>
    <row r="4034" spans="1:33" ht="15" customHeight="1" x14ac:dyDescent="0.2">
      <c r="A4034" s="11" t="str">
        <f>HYPERLINK("https://assets.vans.eu/images/VN000D0KBES-HERO/1","VN000D0KBES1")</f>
        <v>VN000D0KBES1</v>
      </c>
      <c r="B4034" s="12" t="s">
        <v>14364</v>
      </c>
      <c r="C4034" s="12" t="s">
        <v>1207</v>
      </c>
      <c r="D4034" s="12" t="s">
        <v>14365</v>
      </c>
      <c r="E4034" s="12" t="s">
        <v>14366</v>
      </c>
      <c r="F4034" s="13">
        <v>75</v>
      </c>
      <c r="G4034" s="14"/>
      <c r="H4034" s="12" t="s">
        <v>38</v>
      </c>
      <c r="I4034" s="12" t="s">
        <v>242</v>
      </c>
      <c r="J4034" s="12" t="s">
        <v>243</v>
      </c>
      <c r="K4034" s="12" t="s">
        <v>244</v>
      </c>
      <c r="L4034" s="14"/>
      <c r="M4034" s="12" t="s">
        <v>43</v>
      </c>
      <c r="N4034" s="12" t="s">
        <v>274</v>
      </c>
      <c r="O4034" s="12" t="s">
        <v>14367</v>
      </c>
      <c r="P4034" s="12" t="s">
        <v>46</v>
      </c>
      <c r="Q4034" s="12" t="s">
        <v>47</v>
      </c>
      <c r="R4034" s="12" t="s">
        <v>48</v>
      </c>
      <c r="S4034" s="13">
        <v>197065214876</v>
      </c>
      <c r="T4034" s="12" t="s">
        <v>105</v>
      </c>
      <c r="U4034" s="13">
        <v>24</v>
      </c>
      <c r="V4034" s="12" t="s">
        <v>50</v>
      </c>
      <c r="W4034" s="12" t="s">
        <v>284</v>
      </c>
      <c r="X4034" s="14"/>
      <c r="Y4034" s="12" t="s">
        <v>91</v>
      </c>
      <c r="Z4034" s="12" t="s">
        <v>165</v>
      </c>
      <c r="AA4034" s="14"/>
      <c r="AB4034" s="14"/>
      <c r="AC4034" s="15">
        <v>22.75</v>
      </c>
      <c r="AD4034" s="15">
        <f>AC4034*AG4034</f>
        <v>22.75</v>
      </c>
      <c r="AE4034" s="15">
        <v>50</v>
      </c>
      <c r="AF4034" s="15">
        <f>AE4034*AG4034</f>
        <v>50</v>
      </c>
      <c r="AG4034" s="16">
        <v>1</v>
      </c>
    </row>
    <row r="4035" spans="1:33" ht="15" customHeight="1" x14ac:dyDescent="0.2">
      <c r="A4035" s="11" t="str">
        <f>HYPERLINK("https://assets.vans.eu/images/VN000D0KEN6-HERO/1","VN000D0KEN61")</f>
        <v>VN000D0KEN61</v>
      </c>
      <c r="B4035" s="12" t="s">
        <v>14368</v>
      </c>
      <c r="C4035" s="12" t="s">
        <v>1207</v>
      </c>
      <c r="D4035" s="12" t="s">
        <v>189</v>
      </c>
      <c r="E4035" s="12" t="s">
        <v>14369</v>
      </c>
      <c r="F4035" s="13">
        <v>50</v>
      </c>
      <c r="G4035" s="14"/>
      <c r="H4035" s="12" t="s">
        <v>38</v>
      </c>
      <c r="I4035" s="12" t="s">
        <v>242</v>
      </c>
      <c r="J4035" s="12" t="s">
        <v>243</v>
      </c>
      <c r="K4035" s="12" t="s">
        <v>244</v>
      </c>
      <c r="L4035" s="14"/>
      <c r="M4035" s="12" t="s">
        <v>43</v>
      </c>
      <c r="N4035" s="12" t="s">
        <v>84</v>
      </c>
      <c r="O4035" s="12" t="s">
        <v>14370</v>
      </c>
      <c r="P4035" s="12" t="s">
        <v>46</v>
      </c>
      <c r="Q4035" s="12" t="s">
        <v>47</v>
      </c>
      <c r="R4035" s="12" t="s">
        <v>48</v>
      </c>
      <c r="S4035" s="13">
        <v>197804438440</v>
      </c>
      <c r="T4035" s="12" t="s">
        <v>105</v>
      </c>
      <c r="U4035" s="13">
        <v>21</v>
      </c>
      <c r="V4035" s="12" t="s">
        <v>50</v>
      </c>
      <c r="W4035" s="12" t="s">
        <v>118</v>
      </c>
      <c r="X4035" s="14"/>
      <c r="Y4035" s="14"/>
      <c r="Z4035" s="14"/>
      <c r="AA4035" s="14"/>
      <c r="AB4035" s="14"/>
      <c r="AC4035" s="15">
        <v>25</v>
      </c>
      <c r="AD4035" s="15">
        <f>AC4035*AG4035</f>
        <v>25</v>
      </c>
      <c r="AE4035" s="15">
        <v>55</v>
      </c>
      <c r="AF4035" s="15">
        <f>AE4035*AG4035</f>
        <v>55</v>
      </c>
      <c r="AG4035" s="16">
        <v>1</v>
      </c>
    </row>
    <row r="4036" spans="1:33" ht="15" customHeight="1" x14ac:dyDescent="0.2">
      <c r="A4036" s="11" t="str">
        <f t="shared" si="1025"/>
        <v>VN000D0M11E1</v>
      </c>
      <c r="B4036" s="12" t="s">
        <v>14371</v>
      </c>
      <c r="C4036" s="12" t="s">
        <v>1763</v>
      </c>
      <c r="D4036" s="12" t="s">
        <v>1148</v>
      </c>
      <c r="E4036" s="12" t="s">
        <v>14372</v>
      </c>
      <c r="F4036" s="13">
        <v>30</v>
      </c>
      <c r="G4036" s="12" t="s">
        <v>1111</v>
      </c>
      <c r="H4036" s="12" t="s">
        <v>38</v>
      </c>
      <c r="I4036" s="12" t="s">
        <v>242</v>
      </c>
      <c r="J4036" s="12" t="s">
        <v>243</v>
      </c>
      <c r="K4036" s="12" t="s">
        <v>244</v>
      </c>
      <c r="L4036" s="14"/>
      <c r="M4036" s="12" t="s">
        <v>43</v>
      </c>
      <c r="N4036" s="12" t="s">
        <v>84</v>
      </c>
      <c r="O4036" s="12" t="s">
        <v>14373</v>
      </c>
      <c r="P4036" s="12" t="s">
        <v>46</v>
      </c>
      <c r="Q4036" s="12" t="s">
        <v>47</v>
      </c>
      <c r="R4036" s="12" t="s">
        <v>780</v>
      </c>
      <c r="S4036" s="13">
        <v>197804437399</v>
      </c>
      <c r="T4036" s="12" t="s">
        <v>105</v>
      </c>
      <c r="U4036" s="13">
        <v>18</v>
      </c>
      <c r="V4036" s="12" t="s">
        <v>50</v>
      </c>
      <c r="W4036" s="12" t="s">
        <v>107</v>
      </c>
      <c r="X4036" s="14"/>
      <c r="Y4036" s="14"/>
      <c r="Z4036" s="14"/>
      <c r="AA4036" s="14"/>
      <c r="AB4036" s="14"/>
      <c r="AC4036" s="15">
        <v>29.55</v>
      </c>
      <c r="AD4036" s="15">
        <f>AC4036*AG4036</f>
        <v>29.55</v>
      </c>
      <c r="AE4036" s="15">
        <v>65</v>
      </c>
      <c r="AF4036" s="15">
        <f>AE4036*AG4036</f>
        <v>65</v>
      </c>
      <c r="AG4036" s="16">
        <v>1</v>
      </c>
    </row>
    <row r="4037" spans="1:33" ht="15" customHeight="1" x14ac:dyDescent="0.2">
      <c r="A4037" s="11" t="str">
        <f t="shared" ref="A4037:A4038" si="1315">HYPERLINK("https://assets.vans.eu/images/VN000D0MBZW-HERO/1","VN000D0MBZW1")</f>
        <v>VN000D0MBZW1</v>
      </c>
      <c r="B4037" s="12" t="s">
        <v>14374</v>
      </c>
      <c r="C4037" s="12" t="s">
        <v>1763</v>
      </c>
      <c r="D4037" s="12" t="s">
        <v>58</v>
      </c>
      <c r="E4037" s="12" t="s">
        <v>14375</v>
      </c>
      <c r="F4037" s="13">
        <v>40</v>
      </c>
      <c r="G4037" s="14"/>
      <c r="H4037" s="12" t="s">
        <v>38</v>
      </c>
      <c r="I4037" s="12" t="s">
        <v>242</v>
      </c>
      <c r="J4037" s="12" t="s">
        <v>243</v>
      </c>
      <c r="K4037" s="12" t="s">
        <v>244</v>
      </c>
      <c r="L4037" s="14"/>
      <c r="M4037" s="12" t="s">
        <v>43</v>
      </c>
      <c r="N4037" s="12" t="s">
        <v>84</v>
      </c>
      <c r="O4037" s="12" t="s">
        <v>14376</v>
      </c>
      <c r="P4037" s="12" t="s">
        <v>46</v>
      </c>
      <c r="Q4037" s="12" t="s">
        <v>47</v>
      </c>
      <c r="R4037" s="12" t="s">
        <v>780</v>
      </c>
      <c r="S4037" s="13">
        <v>197804438112</v>
      </c>
      <c r="T4037" s="12" t="s">
        <v>49</v>
      </c>
      <c r="U4037" s="13">
        <v>19</v>
      </c>
      <c r="V4037" s="12" t="s">
        <v>50</v>
      </c>
      <c r="W4037" s="12" t="s">
        <v>51</v>
      </c>
      <c r="X4037" s="14"/>
      <c r="Y4037" s="14"/>
      <c r="Z4037" s="14"/>
      <c r="AA4037" s="14"/>
      <c r="AB4037" s="14"/>
      <c r="AC4037" s="15">
        <v>29.55</v>
      </c>
      <c r="AD4037" s="15">
        <f>AC4037*AG4037</f>
        <v>29.55</v>
      </c>
      <c r="AE4037" s="15">
        <v>65</v>
      </c>
      <c r="AF4037" s="15">
        <f>AE4037*AG4037</f>
        <v>65</v>
      </c>
      <c r="AG4037" s="16">
        <v>1</v>
      </c>
    </row>
    <row r="4038" spans="1:33" ht="15" customHeight="1" x14ac:dyDescent="0.2">
      <c r="A4038" s="11" t="str">
        <f t="shared" si="1315"/>
        <v>VN000D0MBZW1</v>
      </c>
      <c r="B4038" s="12" t="s">
        <v>14377</v>
      </c>
      <c r="C4038" s="12" t="s">
        <v>1763</v>
      </c>
      <c r="D4038" s="12" t="s">
        <v>58</v>
      </c>
      <c r="E4038" s="12" t="s">
        <v>14378</v>
      </c>
      <c r="F4038" s="13">
        <v>50</v>
      </c>
      <c r="G4038" s="14"/>
      <c r="H4038" s="12" t="s">
        <v>38</v>
      </c>
      <c r="I4038" s="12" t="s">
        <v>242</v>
      </c>
      <c r="J4038" s="12" t="s">
        <v>243</v>
      </c>
      <c r="K4038" s="12" t="s">
        <v>244</v>
      </c>
      <c r="L4038" s="14"/>
      <c r="M4038" s="12" t="s">
        <v>43</v>
      </c>
      <c r="N4038" s="12" t="s">
        <v>84</v>
      </c>
      <c r="O4038" s="12" t="s">
        <v>14379</v>
      </c>
      <c r="P4038" s="12" t="s">
        <v>46</v>
      </c>
      <c r="Q4038" s="12" t="s">
        <v>47</v>
      </c>
      <c r="R4038" s="12" t="s">
        <v>780</v>
      </c>
      <c r="S4038" s="13">
        <v>197804438402</v>
      </c>
      <c r="T4038" s="12" t="s">
        <v>49</v>
      </c>
      <c r="U4038" s="13">
        <v>21</v>
      </c>
      <c r="V4038" s="12" t="s">
        <v>50</v>
      </c>
      <c r="W4038" s="12" t="s">
        <v>51</v>
      </c>
      <c r="X4038" s="14"/>
      <c r="Y4038" s="14"/>
      <c r="Z4038" s="14"/>
      <c r="AA4038" s="14"/>
      <c r="AB4038" s="14"/>
      <c r="AC4038" s="15">
        <v>29.55</v>
      </c>
      <c r="AD4038" s="15">
        <f>AC4038*AG4038</f>
        <v>29.55</v>
      </c>
      <c r="AE4038" s="15">
        <v>65</v>
      </c>
      <c r="AF4038" s="15">
        <f>AE4038*AG4038</f>
        <v>65</v>
      </c>
      <c r="AG4038" s="16">
        <v>1</v>
      </c>
    </row>
    <row r="4039" spans="1:33" ht="15" customHeight="1" x14ac:dyDescent="0.2">
      <c r="A4039" s="11" t="str">
        <f>HYPERLINK("https://assets.vans.eu/images/VN000D0MKCZ-HERO/1","VN000D0MKCZ1")</f>
        <v>VN000D0MKCZ1</v>
      </c>
      <c r="B4039" s="12" t="s">
        <v>14380</v>
      </c>
      <c r="C4039" s="12" t="s">
        <v>1763</v>
      </c>
      <c r="D4039" s="12" t="s">
        <v>1109</v>
      </c>
      <c r="E4039" s="12" t="s">
        <v>14381</v>
      </c>
      <c r="F4039" s="13">
        <v>90</v>
      </c>
      <c r="G4039" s="12" t="s">
        <v>1111</v>
      </c>
      <c r="H4039" s="12" t="s">
        <v>38</v>
      </c>
      <c r="I4039" s="12" t="s">
        <v>242</v>
      </c>
      <c r="J4039" s="12" t="s">
        <v>243</v>
      </c>
      <c r="K4039" s="12" t="s">
        <v>244</v>
      </c>
      <c r="L4039" s="14"/>
      <c r="M4039" s="12" t="s">
        <v>43</v>
      </c>
      <c r="N4039" s="12" t="s">
        <v>84</v>
      </c>
      <c r="O4039" s="12" t="s">
        <v>14382</v>
      </c>
      <c r="P4039" s="12" t="s">
        <v>46</v>
      </c>
      <c r="Q4039" s="12" t="s">
        <v>47</v>
      </c>
      <c r="R4039" s="12" t="s">
        <v>780</v>
      </c>
      <c r="S4039" s="13">
        <v>197804439270</v>
      </c>
      <c r="T4039" s="12" t="s">
        <v>105</v>
      </c>
      <c r="U4039" s="13">
        <v>25.5</v>
      </c>
      <c r="V4039" s="12" t="s">
        <v>50</v>
      </c>
      <c r="W4039" s="12" t="s">
        <v>118</v>
      </c>
      <c r="X4039" s="14"/>
      <c r="Y4039" s="14"/>
      <c r="Z4039" s="14"/>
      <c r="AA4039" s="14"/>
      <c r="AB4039" s="14"/>
      <c r="AC4039" s="15">
        <v>29.55</v>
      </c>
      <c r="AD4039" s="15">
        <f>AC4039*AG4039</f>
        <v>29.55</v>
      </c>
      <c r="AE4039" s="15">
        <v>65</v>
      </c>
      <c r="AF4039" s="15">
        <f>AE4039*AG4039</f>
        <v>65</v>
      </c>
      <c r="AG4039" s="16">
        <v>1</v>
      </c>
    </row>
    <row r="4040" spans="1:33" ht="15" customHeight="1" x14ac:dyDescent="0.2">
      <c r="A4040" s="11" t="str">
        <f t="shared" si="1027"/>
        <v>VN000D0PEMW1</v>
      </c>
      <c r="B4040" s="12" t="s">
        <v>14383</v>
      </c>
      <c r="C4040" s="12" t="s">
        <v>1422</v>
      </c>
      <c r="D4040" s="12" t="s">
        <v>147</v>
      </c>
      <c r="E4040" s="12" t="s">
        <v>14384</v>
      </c>
      <c r="F4040" s="13">
        <v>75</v>
      </c>
      <c r="G4040" s="12" t="s">
        <v>2452</v>
      </c>
      <c r="H4040" s="12" t="s">
        <v>38</v>
      </c>
      <c r="I4040" s="12" t="s">
        <v>242</v>
      </c>
      <c r="J4040" s="12" t="s">
        <v>243</v>
      </c>
      <c r="K4040" s="12" t="s">
        <v>244</v>
      </c>
      <c r="L4040" s="14"/>
      <c r="M4040" s="12" t="s">
        <v>43</v>
      </c>
      <c r="N4040" s="12" t="s">
        <v>84</v>
      </c>
      <c r="O4040" s="12" t="s">
        <v>14385</v>
      </c>
      <c r="P4040" s="12" t="s">
        <v>46</v>
      </c>
      <c r="Q4040" s="12" t="s">
        <v>47</v>
      </c>
      <c r="R4040" s="12" t="s">
        <v>313</v>
      </c>
      <c r="S4040" s="13">
        <v>197804521005</v>
      </c>
      <c r="T4040" s="12" t="s">
        <v>49</v>
      </c>
      <c r="U4040" s="13">
        <v>24</v>
      </c>
      <c r="V4040" s="12" t="s">
        <v>50</v>
      </c>
      <c r="W4040" s="12" t="s">
        <v>118</v>
      </c>
      <c r="X4040" s="14"/>
      <c r="Y4040" s="14"/>
      <c r="Z4040" s="14"/>
      <c r="AA4040" s="14"/>
      <c r="AB4040" s="14"/>
      <c r="AC4040" s="15">
        <v>25</v>
      </c>
      <c r="AD4040" s="15">
        <f>AC4040*AG4040</f>
        <v>25</v>
      </c>
      <c r="AE4040" s="15">
        <v>55</v>
      </c>
      <c r="AF4040" s="15">
        <f>AE4040*AG4040</f>
        <v>55</v>
      </c>
      <c r="AG4040" s="16">
        <v>1</v>
      </c>
    </row>
    <row r="4041" spans="1:33" ht="15" customHeight="1" x14ac:dyDescent="0.2">
      <c r="A4041" s="11" t="str">
        <f t="shared" ref="A4041:A4042" si="1316">HYPERLINK("https://assets.vans.eu/images/VN000D0PEMW-HERO/1","VN000D0PEMW1")</f>
        <v>VN000D0PEMW1</v>
      </c>
      <c r="B4041" s="12" t="s">
        <v>14386</v>
      </c>
      <c r="C4041" s="12" t="s">
        <v>1422</v>
      </c>
      <c r="D4041" s="12" t="s">
        <v>147</v>
      </c>
      <c r="E4041" s="12" t="s">
        <v>14387</v>
      </c>
      <c r="F4041" s="13">
        <v>85</v>
      </c>
      <c r="G4041" s="12" t="s">
        <v>2452</v>
      </c>
      <c r="H4041" s="12" t="s">
        <v>38</v>
      </c>
      <c r="I4041" s="12" t="s">
        <v>242</v>
      </c>
      <c r="J4041" s="12" t="s">
        <v>243</v>
      </c>
      <c r="K4041" s="12" t="s">
        <v>244</v>
      </c>
      <c r="L4041" s="14"/>
      <c r="M4041" s="12" t="s">
        <v>43</v>
      </c>
      <c r="N4041" s="12" t="s">
        <v>84</v>
      </c>
      <c r="O4041" s="12" t="s">
        <v>14388</v>
      </c>
      <c r="P4041" s="12" t="s">
        <v>46</v>
      </c>
      <c r="Q4041" s="12" t="s">
        <v>47</v>
      </c>
      <c r="R4041" s="12" t="s">
        <v>313</v>
      </c>
      <c r="S4041" s="13">
        <v>197804521197</v>
      </c>
      <c r="T4041" s="12" t="s">
        <v>49</v>
      </c>
      <c r="U4041" s="13">
        <v>25</v>
      </c>
      <c r="V4041" s="12" t="s">
        <v>50</v>
      </c>
      <c r="W4041" s="12" t="s">
        <v>118</v>
      </c>
      <c r="X4041" s="14"/>
      <c r="Y4041" s="14"/>
      <c r="Z4041" s="14"/>
      <c r="AA4041" s="14"/>
      <c r="AB4041" s="14"/>
      <c r="AC4041" s="15">
        <v>25</v>
      </c>
      <c r="AD4041" s="15">
        <f>AC4041*AG4041</f>
        <v>25</v>
      </c>
      <c r="AE4041" s="15">
        <v>55</v>
      </c>
      <c r="AF4041" s="15">
        <f>AE4041*AG4041</f>
        <v>55</v>
      </c>
      <c r="AG4041" s="16">
        <v>1</v>
      </c>
    </row>
    <row r="4042" spans="1:33" ht="15" customHeight="1" x14ac:dyDescent="0.2">
      <c r="A4042" s="11" t="str">
        <f t="shared" si="1316"/>
        <v>VN000D0PEMW1</v>
      </c>
      <c r="B4042" s="12" t="s">
        <v>14389</v>
      </c>
      <c r="C4042" s="12" t="s">
        <v>1422</v>
      </c>
      <c r="D4042" s="12" t="s">
        <v>147</v>
      </c>
      <c r="E4042" s="12" t="s">
        <v>14390</v>
      </c>
      <c r="F4042" s="13">
        <v>100</v>
      </c>
      <c r="G4042" s="12" t="s">
        <v>2452</v>
      </c>
      <c r="H4042" s="12" t="s">
        <v>38</v>
      </c>
      <c r="I4042" s="12" t="s">
        <v>242</v>
      </c>
      <c r="J4042" s="12" t="s">
        <v>243</v>
      </c>
      <c r="K4042" s="12" t="s">
        <v>244</v>
      </c>
      <c r="L4042" s="14"/>
      <c r="M4042" s="12" t="s">
        <v>43</v>
      </c>
      <c r="N4042" s="12" t="s">
        <v>84</v>
      </c>
      <c r="O4042" s="12" t="s">
        <v>14391</v>
      </c>
      <c r="P4042" s="12" t="s">
        <v>46</v>
      </c>
      <c r="Q4042" s="12" t="s">
        <v>47</v>
      </c>
      <c r="R4042" s="12" t="s">
        <v>313</v>
      </c>
      <c r="S4042" s="13">
        <v>197804521692</v>
      </c>
      <c r="T4042" s="12" t="s">
        <v>49</v>
      </c>
      <c r="U4042" s="13">
        <v>26.5</v>
      </c>
      <c r="V4042" s="12" t="s">
        <v>50</v>
      </c>
      <c r="W4042" s="12" t="s">
        <v>118</v>
      </c>
      <c r="X4042" s="14"/>
      <c r="Y4042" s="14"/>
      <c r="Z4042" s="14"/>
      <c r="AA4042" s="14"/>
      <c r="AB4042" s="14"/>
      <c r="AC4042" s="15">
        <v>25</v>
      </c>
      <c r="AD4042" s="15">
        <f>AC4042*AG4042</f>
        <v>25</v>
      </c>
      <c r="AE4042" s="15">
        <v>55</v>
      </c>
      <c r="AF4042" s="15">
        <f>AE4042*AG4042</f>
        <v>55</v>
      </c>
      <c r="AG4042" s="16">
        <v>1</v>
      </c>
    </row>
    <row r="4043" spans="1:33" ht="15" customHeight="1" x14ac:dyDescent="0.2">
      <c r="A4043" s="11" t="str">
        <f t="shared" si="1028"/>
        <v>VN000D0S1NU1</v>
      </c>
      <c r="B4043" s="12" t="s">
        <v>14392</v>
      </c>
      <c r="C4043" s="12" t="s">
        <v>2280</v>
      </c>
      <c r="D4043" s="12" t="s">
        <v>783</v>
      </c>
      <c r="E4043" s="12" t="s">
        <v>14393</v>
      </c>
      <c r="F4043" s="13">
        <v>45</v>
      </c>
      <c r="G4043" s="12" t="s">
        <v>2273</v>
      </c>
      <c r="H4043" s="12" t="s">
        <v>38</v>
      </c>
      <c r="I4043" s="12" t="s">
        <v>242</v>
      </c>
      <c r="J4043" s="12" t="s">
        <v>243</v>
      </c>
      <c r="K4043" s="12" t="s">
        <v>244</v>
      </c>
      <c r="L4043" s="14"/>
      <c r="M4043" s="12" t="s">
        <v>43</v>
      </c>
      <c r="N4043" s="12" t="s">
        <v>84</v>
      </c>
      <c r="O4043" s="12" t="s">
        <v>14394</v>
      </c>
      <c r="P4043" s="12" t="s">
        <v>46</v>
      </c>
      <c r="Q4043" s="12" t="s">
        <v>47</v>
      </c>
      <c r="R4043" s="12" t="s">
        <v>48</v>
      </c>
      <c r="S4043" s="13">
        <v>197804520640</v>
      </c>
      <c r="T4043" s="12" t="s">
        <v>105</v>
      </c>
      <c r="U4043" s="13">
        <v>20</v>
      </c>
      <c r="V4043" s="12" t="s">
        <v>375</v>
      </c>
      <c r="W4043" s="12" t="s">
        <v>186</v>
      </c>
      <c r="X4043" s="14"/>
      <c r="Y4043" s="14"/>
      <c r="Z4043" s="14"/>
      <c r="AA4043" s="14"/>
      <c r="AB4043" s="14"/>
      <c r="AC4043" s="15">
        <v>20.5</v>
      </c>
      <c r="AD4043" s="15">
        <f>AC4043*AG4043</f>
        <v>20.5</v>
      </c>
      <c r="AE4043" s="15">
        <v>45</v>
      </c>
      <c r="AF4043" s="15">
        <f>AE4043*AG4043</f>
        <v>45</v>
      </c>
      <c r="AG4043" s="16">
        <v>1</v>
      </c>
    </row>
    <row r="4044" spans="1:33" ht="15" customHeight="1" x14ac:dyDescent="0.2">
      <c r="A4044" s="11" t="str">
        <f t="shared" ref="A4044:A4045" si="1317">HYPERLINK("https://assets.vans.eu/images/VN000D0S1NU-HERO/1","VN000D0S1NU1")</f>
        <v>VN000D0S1NU1</v>
      </c>
      <c r="B4044" s="12" t="s">
        <v>14395</v>
      </c>
      <c r="C4044" s="12" t="s">
        <v>2280</v>
      </c>
      <c r="D4044" s="12" t="s">
        <v>783</v>
      </c>
      <c r="E4044" s="12" t="s">
        <v>14396</v>
      </c>
      <c r="F4044" s="13">
        <v>75</v>
      </c>
      <c r="G4044" s="12" t="s">
        <v>2273</v>
      </c>
      <c r="H4044" s="12" t="s">
        <v>38</v>
      </c>
      <c r="I4044" s="12" t="s">
        <v>242</v>
      </c>
      <c r="J4044" s="12" t="s">
        <v>243</v>
      </c>
      <c r="K4044" s="12" t="s">
        <v>244</v>
      </c>
      <c r="L4044" s="14"/>
      <c r="M4044" s="12" t="s">
        <v>43</v>
      </c>
      <c r="N4044" s="12" t="s">
        <v>84</v>
      </c>
      <c r="O4044" s="12" t="s">
        <v>14397</v>
      </c>
      <c r="P4044" s="12" t="s">
        <v>46</v>
      </c>
      <c r="Q4044" s="12" t="s">
        <v>47</v>
      </c>
      <c r="R4044" s="12" t="s">
        <v>48</v>
      </c>
      <c r="S4044" s="13">
        <v>197804521159</v>
      </c>
      <c r="T4044" s="12" t="s">
        <v>105</v>
      </c>
      <c r="U4044" s="13">
        <v>24</v>
      </c>
      <c r="V4044" s="12" t="s">
        <v>375</v>
      </c>
      <c r="W4044" s="12" t="s">
        <v>186</v>
      </c>
      <c r="X4044" s="14"/>
      <c r="Y4044" s="14"/>
      <c r="Z4044" s="14"/>
      <c r="AA4044" s="14"/>
      <c r="AB4044" s="14"/>
      <c r="AC4044" s="15">
        <v>20.5</v>
      </c>
      <c r="AD4044" s="15">
        <f>AC4044*AG4044</f>
        <v>20.5</v>
      </c>
      <c r="AE4044" s="15">
        <v>45</v>
      </c>
      <c r="AF4044" s="15">
        <f>AE4044*AG4044</f>
        <v>45</v>
      </c>
      <c r="AG4044" s="16">
        <v>1</v>
      </c>
    </row>
    <row r="4045" spans="1:33" ht="15" customHeight="1" x14ac:dyDescent="0.2">
      <c r="A4045" s="11" t="str">
        <f t="shared" si="1317"/>
        <v>VN000D0S1NU1</v>
      </c>
      <c r="B4045" s="12" t="s">
        <v>14398</v>
      </c>
      <c r="C4045" s="12" t="s">
        <v>2280</v>
      </c>
      <c r="D4045" s="12" t="s">
        <v>783</v>
      </c>
      <c r="E4045" s="12" t="s">
        <v>14399</v>
      </c>
      <c r="F4045" s="13">
        <v>95</v>
      </c>
      <c r="G4045" s="12" t="s">
        <v>2273</v>
      </c>
      <c r="H4045" s="12" t="s">
        <v>38</v>
      </c>
      <c r="I4045" s="12" t="s">
        <v>242</v>
      </c>
      <c r="J4045" s="12" t="s">
        <v>243</v>
      </c>
      <c r="K4045" s="12" t="s">
        <v>244</v>
      </c>
      <c r="L4045" s="14"/>
      <c r="M4045" s="12" t="s">
        <v>43</v>
      </c>
      <c r="N4045" s="12" t="s">
        <v>84</v>
      </c>
      <c r="O4045" s="12" t="s">
        <v>14400</v>
      </c>
      <c r="P4045" s="12" t="s">
        <v>46</v>
      </c>
      <c r="Q4045" s="12" t="s">
        <v>47</v>
      </c>
      <c r="R4045" s="12" t="s">
        <v>48</v>
      </c>
      <c r="S4045" s="13">
        <v>197804521678</v>
      </c>
      <c r="T4045" s="12" t="s">
        <v>105</v>
      </c>
      <c r="U4045" s="13">
        <v>26</v>
      </c>
      <c r="V4045" s="12" t="s">
        <v>375</v>
      </c>
      <c r="W4045" s="12" t="s">
        <v>186</v>
      </c>
      <c r="X4045" s="14"/>
      <c r="Y4045" s="14"/>
      <c r="Z4045" s="14"/>
      <c r="AA4045" s="14"/>
      <c r="AB4045" s="14"/>
      <c r="AC4045" s="15">
        <v>20.5</v>
      </c>
      <c r="AD4045" s="15">
        <f>AC4045*AG4045</f>
        <v>20.5</v>
      </c>
      <c r="AE4045" s="15">
        <v>45</v>
      </c>
      <c r="AF4045" s="15">
        <f>AE4045*AG4045</f>
        <v>45</v>
      </c>
      <c r="AG4045" s="16">
        <v>1</v>
      </c>
    </row>
    <row r="4046" spans="1:33" ht="15" customHeight="1" x14ac:dyDescent="0.2">
      <c r="A4046" s="11" t="str">
        <f t="shared" si="1029"/>
        <v>VN000D0S7051</v>
      </c>
      <c r="B4046" s="12" t="s">
        <v>14401</v>
      </c>
      <c r="C4046" s="12" t="s">
        <v>2280</v>
      </c>
      <c r="D4046" s="12" t="s">
        <v>2273</v>
      </c>
      <c r="E4046" s="12" t="s">
        <v>14402</v>
      </c>
      <c r="F4046" s="13">
        <v>70</v>
      </c>
      <c r="G4046" s="12" t="s">
        <v>3900</v>
      </c>
      <c r="H4046" s="12" t="s">
        <v>38</v>
      </c>
      <c r="I4046" s="12" t="s">
        <v>242</v>
      </c>
      <c r="J4046" s="12" t="s">
        <v>243</v>
      </c>
      <c r="K4046" s="12" t="s">
        <v>244</v>
      </c>
      <c r="L4046" s="14"/>
      <c r="M4046" s="12" t="s">
        <v>43</v>
      </c>
      <c r="N4046" s="12" t="s">
        <v>84</v>
      </c>
      <c r="O4046" s="12" t="s">
        <v>14403</v>
      </c>
      <c r="P4046" s="12" t="s">
        <v>46</v>
      </c>
      <c r="Q4046" s="12" t="s">
        <v>47</v>
      </c>
      <c r="R4046" s="12" t="s">
        <v>48</v>
      </c>
      <c r="S4046" s="13">
        <v>197804521623</v>
      </c>
      <c r="T4046" s="12" t="s">
        <v>49</v>
      </c>
      <c r="U4046" s="13">
        <v>23.5</v>
      </c>
      <c r="V4046" s="12" t="s">
        <v>375</v>
      </c>
      <c r="W4046" s="12" t="s">
        <v>51</v>
      </c>
      <c r="X4046" s="14"/>
      <c r="Y4046" s="14"/>
      <c r="Z4046" s="14"/>
      <c r="AA4046" s="14"/>
      <c r="AB4046" s="14"/>
      <c r="AC4046" s="15">
        <v>20.5</v>
      </c>
      <c r="AD4046" s="15">
        <f>AC4046*AG4046</f>
        <v>20.5</v>
      </c>
      <c r="AE4046" s="15">
        <v>45</v>
      </c>
      <c r="AF4046" s="15">
        <f>AE4046*AG4046</f>
        <v>45</v>
      </c>
      <c r="AG4046" s="16">
        <v>1</v>
      </c>
    </row>
    <row r="4047" spans="1:33" ht="15" customHeight="1" x14ac:dyDescent="0.2">
      <c r="A4047" s="11" t="str">
        <f t="shared" ref="A4047:A4048" si="1318">HYPERLINK("https://assets.vans.eu/images/VN000D0S705-HERO/1","VN000D0S7051")</f>
        <v>VN000D0S7051</v>
      </c>
      <c r="B4047" s="12" t="s">
        <v>14404</v>
      </c>
      <c r="C4047" s="12" t="s">
        <v>2280</v>
      </c>
      <c r="D4047" s="12" t="s">
        <v>2273</v>
      </c>
      <c r="E4047" s="12" t="s">
        <v>14405</v>
      </c>
      <c r="F4047" s="13">
        <v>90</v>
      </c>
      <c r="G4047" s="12" t="s">
        <v>3900</v>
      </c>
      <c r="H4047" s="12" t="s">
        <v>38</v>
      </c>
      <c r="I4047" s="12" t="s">
        <v>242</v>
      </c>
      <c r="J4047" s="12" t="s">
        <v>243</v>
      </c>
      <c r="K4047" s="12" t="s">
        <v>244</v>
      </c>
      <c r="L4047" s="14"/>
      <c r="M4047" s="12" t="s">
        <v>43</v>
      </c>
      <c r="N4047" s="12" t="s">
        <v>84</v>
      </c>
      <c r="O4047" s="12" t="s">
        <v>14406</v>
      </c>
      <c r="P4047" s="12" t="s">
        <v>46</v>
      </c>
      <c r="Q4047" s="12" t="s">
        <v>47</v>
      </c>
      <c r="R4047" s="12" t="s">
        <v>48</v>
      </c>
      <c r="S4047" s="13">
        <v>197804522156</v>
      </c>
      <c r="T4047" s="12" t="s">
        <v>49</v>
      </c>
      <c r="U4047" s="13">
        <v>25.5</v>
      </c>
      <c r="V4047" s="12" t="s">
        <v>375</v>
      </c>
      <c r="W4047" s="12" t="s">
        <v>51</v>
      </c>
      <c r="X4047" s="14"/>
      <c r="Y4047" s="14"/>
      <c r="Z4047" s="14"/>
      <c r="AA4047" s="14"/>
      <c r="AB4047" s="14"/>
      <c r="AC4047" s="15">
        <v>20.5</v>
      </c>
      <c r="AD4047" s="15">
        <f>AC4047*AG4047</f>
        <v>20.5</v>
      </c>
      <c r="AE4047" s="15">
        <v>45</v>
      </c>
      <c r="AF4047" s="15">
        <f>AE4047*AG4047</f>
        <v>45</v>
      </c>
      <c r="AG4047" s="16">
        <v>1</v>
      </c>
    </row>
    <row r="4048" spans="1:33" ht="15" customHeight="1" x14ac:dyDescent="0.2">
      <c r="A4048" s="11" t="str">
        <f t="shared" si="1318"/>
        <v>VN000D0S7051</v>
      </c>
      <c r="B4048" s="12" t="s">
        <v>14407</v>
      </c>
      <c r="C4048" s="12" t="s">
        <v>2280</v>
      </c>
      <c r="D4048" s="12" t="s">
        <v>2273</v>
      </c>
      <c r="E4048" s="12" t="s">
        <v>14408</v>
      </c>
      <c r="F4048" s="13">
        <v>100</v>
      </c>
      <c r="G4048" s="12" t="s">
        <v>3900</v>
      </c>
      <c r="H4048" s="12" t="s">
        <v>38</v>
      </c>
      <c r="I4048" s="12" t="s">
        <v>242</v>
      </c>
      <c r="J4048" s="12" t="s">
        <v>243</v>
      </c>
      <c r="K4048" s="12" t="s">
        <v>244</v>
      </c>
      <c r="L4048" s="14"/>
      <c r="M4048" s="12" t="s">
        <v>43</v>
      </c>
      <c r="N4048" s="12" t="s">
        <v>84</v>
      </c>
      <c r="O4048" s="12" t="s">
        <v>14409</v>
      </c>
      <c r="P4048" s="12" t="s">
        <v>46</v>
      </c>
      <c r="Q4048" s="12" t="s">
        <v>47</v>
      </c>
      <c r="R4048" s="12" t="s">
        <v>48</v>
      </c>
      <c r="S4048" s="13">
        <v>197804522538</v>
      </c>
      <c r="T4048" s="12" t="s">
        <v>49</v>
      </c>
      <c r="U4048" s="13">
        <v>26.5</v>
      </c>
      <c r="V4048" s="12" t="s">
        <v>375</v>
      </c>
      <c r="W4048" s="12" t="s">
        <v>51</v>
      </c>
      <c r="X4048" s="14"/>
      <c r="Y4048" s="14"/>
      <c r="Z4048" s="14"/>
      <c r="AA4048" s="14"/>
      <c r="AB4048" s="14"/>
      <c r="AC4048" s="15">
        <v>20.5</v>
      </c>
      <c r="AD4048" s="15">
        <f>AC4048*AG4048</f>
        <v>20.5</v>
      </c>
      <c r="AE4048" s="15">
        <v>45</v>
      </c>
      <c r="AF4048" s="15">
        <f>AE4048*AG4048</f>
        <v>45</v>
      </c>
      <c r="AG4048" s="16">
        <v>1</v>
      </c>
    </row>
    <row r="4049" spans="1:33" ht="15" customHeight="1" x14ac:dyDescent="0.2">
      <c r="A4049" s="11" t="str">
        <f t="shared" ref="A4049:A4050" si="1319">HYPERLINK("https://assets.vans.eu/images/VN000D0SYLZ-HERO/1","VN000D0SYLZ1")</f>
        <v>VN000D0SYLZ1</v>
      </c>
      <c r="B4049" s="12" t="s">
        <v>14410</v>
      </c>
      <c r="C4049" s="12" t="s">
        <v>2280</v>
      </c>
      <c r="D4049" s="12" t="s">
        <v>458</v>
      </c>
      <c r="E4049" s="12" t="s">
        <v>14411</v>
      </c>
      <c r="F4049" s="13">
        <v>60</v>
      </c>
      <c r="G4049" s="12" t="s">
        <v>775</v>
      </c>
      <c r="H4049" s="12" t="s">
        <v>38</v>
      </c>
      <c r="I4049" s="12" t="s">
        <v>242</v>
      </c>
      <c r="J4049" s="12" t="s">
        <v>243</v>
      </c>
      <c r="K4049" s="12" t="s">
        <v>244</v>
      </c>
      <c r="L4049" s="14"/>
      <c r="M4049" s="12" t="s">
        <v>43</v>
      </c>
      <c r="N4049" s="12" t="s">
        <v>84</v>
      </c>
      <c r="O4049" s="12" t="s">
        <v>14412</v>
      </c>
      <c r="P4049" s="12" t="s">
        <v>46</v>
      </c>
      <c r="Q4049" s="12" t="s">
        <v>47</v>
      </c>
      <c r="R4049" s="12" t="s">
        <v>48</v>
      </c>
      <c r="S4049" s="13">
        <v>197804522071</v>
      </c>
      <c r="T4049" s="12" t="s">
        <v>105</v>
      </c>
      <c r="U4049" s="13">
        <v>22</v>
      </c>
      <c r="V4049" s="12" t="s">
        <v>278</v>
      </c>
      <c r="W4049" s="12" t="s">
        <v>299</v>
      </c>
      <c r="X4049" s="14"/>
      <c r="Y4049" s="14"/>
      <c r="Z4049" s="14"/>
      <c r="AA4049" s="14"/>
      <c r="AB4049" s="14"/>
      <c r="AC4049" s="15">
        <v>22.75</v>
      </c>
      <c r="AD4049" s="15">
        <f>AC4049*AG4049</f>
        <v>22.75</v>
      </c>
      <c r="AE4049" s="15">
        <v>50</v>
      </c>
      <c r="AF4049" s="15">
        <f>AE4049*AG4049</f>
        <v>50</v>
      </c>
      <c r="AG4049" s="16">
        <v>1</v>
      </c>
    </row>
    <row r="4050" spans="1:33" ht="15" customHeight="1" x14ac:dyDescent="0.2">
      <c r="A4050" s="11" t="str">
        <f t="shared" si="1319"/>
        <v>VN000D0SYLZ1</v>
      </c>
      <c r="B4050" s="12" t="s">
        <v>14413</v>
      </c>
      <c r="C4050" s="12" t="s">
        <v>2280</v>
      </c>
      <c r="D4050" s="12" t="s">
        <v>458</v>
      </c>
      <c r="E4050" s="12" t="s">
        <v>14414</v>
      </c>
      <c r="F4050" s="13">
        <v>95</v>
      </c>
      <c r="G4050" s="12" t="s">
        <v>775</v>
      </c>
      <c r="H4050" s="12" t="s">
        <v>38</v>
      </c>
      <c r="I4050" s="12" t="s">
        <v>242</v>
      </c>
      <c r="J4050" s="12" t="s">
        <v>243</v>
      </c>
      <c r="K4050" s="12" t="s">
        <v>244</v>
      </c>
      <c r="L4050" s="14"/>
      <c r="M4050" s="12" t="s">
        <v>43</v>
      </c>
      <c r="N4050" s="12" t="s">
        <v>84</v>
      </c>
      <c r="O4050" s="12" t="s">
        <v>14415</v>
      </c>
      <c r="P4050" s="12" t="s">
        <v>46</v>
      </c>
      <c r="Q4050" s="12" t="s">
        <v>47</v>
      </c>
      <c r="R4050" s="12" t="s">
        <v>48</v>
      </c>
      <c r="S4050" s="13">
        <v>197804522859</v>
      </c>
      <c r="T4050" s="12" t="s">
        <v>105</v>
      </c>
      <c r="U4050" s="13">
        <v>26</v>
      </c>
      <c r="V4050" s="12" t="s">
        <v>278</v>
      </c>
      <c r="W4050" s="12" t="s">
        <v>299</v>
      </c>
      <c r="X4050" s="14"/>
      <c r="Y4050" s="14"/>
      <c r="Z4050" s="14"/>
      <c r="AA4050" s="14"/>
      <c r="AB4050" s="14"/>
      <c r="AC4050" s="15">
        <v>22.75</v>
      </c>
      <c r="AD4050" s="15">
        <f>AC4050*AG4050</f>
        <v>22.75</v>
      </c>
      <c r="AE4050" s="15">
        <v>50</v>
      </c>
      <c r="AF4050" s="15">
        <f>AE4050*AG4050</f>
        <v>50</v>
      </c>
      <c r="AG4050" s="16">
        <v>1</v>
      </c>
    </row>
    <row r="4051" spans="1:33" ht="15" customHeight="1" x14ac:dyDescent="0.2">
      <c r="A4051" s="11" t="str">
        <f t="shared" ref="A4051:A4054" si="1320">HYPERLINK("https://assets.vans.eu/images/VN000D1011E-HERO/1","VN000D1011E1")</f>
        <v>VN000D1011E1</v>
      </c>
      <c r="B4051" s="12" t="s">
        <v>14416</v>
      </c>
      <c r="C4051" s="12" t="s">
        <v>2136</v>
      </c>
      <c r="D4051" s="12" t="s">
        <v>1148</v>
      </c>
      <c r="E4051" s="12" t="s">
        <v>14417</v>
      </c>
      <c r="F4051" s="13">
        <v>15</v>
      </c>
      <c r="G4051" s="12" t="s">
        <v>528</v>
      </c>
      <c r="H4051" s="12" t="s">
        <v>38</v>
      </c>
      <c r="I4051" s="12" t="s">
        <v>39</v>
      </c>
      <c r="J4051" s="12" t="s">
        <v>40</v>
      </c>
      <c r="K4051" s="12" t="s">
        <v>41</v>
      </c>
      <c r="L4051" s="14"/>
      <c r="M4051" s="12" t="s">
        <v>43</v>
      </c>
      <c r="N4051" s="12" t="s">
        <v>84</v>
      </c>
      <c r="O4051" s="12" t="s">
        <v>14418</v>
      </c>
      <c r="P4051" s="12" t="s">
        <v>46</v>
      </c>
      <c r="Q4051" s="12" t="s">
        <v>47</v>
      </c>
      <c r="R4051" s="12" t="s">
        <v>313</v>
      </c>
      <c r="S4051" s="13">
        <v>197804437696</v>
      </c>
      <c r="T4051" s="12" t="s">
        <v>49</v>
      </c>
      <c r="U4051" s="13">
        <v>32</v>
      </c>
      <c r="V4051" s="12" t="s">
        <v>50</v>
      </c>
      <c r="W4051" s="12" t="s">
        <v>107</v>
      </c>
      <c r="X4051" s="14"/>
      <c r="Y4051" s="14"/>
      <c r="Z4051" s="14"/>
      <c r="AA4051" s="14"/>
      <c r="AB4051" s="14"/>
      <c r="AC4051" s="15">
        <v>31.85</v>
      </c>
      <c r="AD4051" s="15">
        <f>AC4051*AG4051</f>
        <v>31.85</v>
      </c>
      <c r="AE4051" s="15">
        <v>70</v>
      </c>
      <c r="AF4051" s="15">
        <f>AE4051*AG4051</f>
        <v>70</v>
      </c>
      <c r="AG4051" s="16">
        <v>1</v>
      </c>
    </row>
    <row r="4052" spans="1:33" ht="15" customHeight="1" x14ac:dyDescent="0.2">
      <c r="A4052" s="11" t="str">
        <f t="shared" si="1320"/>
        <v>VN000D1011E1</v>
      </c>
      <c r="B4052" s="12" t="s">
        <v>14419</v>
      </c>
      <c r="C4052" s="12" t="s">
        <v>2136</v>
      </c>
      <c r="D4052" s="12" t="s">
        <v>1148</v>
      </c>
      <c r="E4052" s="12" t="s">
        <v>14420</v>
      </c>
      <c r="F4052" s="13">
        <v>115</v>
      </c>
      <c r="G4052" s="12" t="s">
        <v>528</v>
      </c>
      <c r="H4052" s="12" t="s">
        <v>38</v>
      </c>
      <c r="I4052" s="12" t="s">
        <v>39</v>
      </c>
      <c r="J4052" s="12" t="s">
        <v>40</v>
      </c>
      <c r="K4052" s="12" t="s">
        <v>41</v>
      </c>
      <c r="L4052" s="14"/>
      <c r="M4052" s="12" t="s">
        <v>43</v>
      </c>
      <c r="N4052" s="12" t="s">
        <v>84</v>
      </c>
      <c r="O4052" s="12" t="s">
        <v>14421</v>
      </c>
      <c r="P4052" s="12" t="s">
        <v>46</v>
      </c>
      <c r="Q4052" s="12" t="s">
        <v>47</v>
      </c>
      <c r="R4052" s="12" t="s">
        <v>313</v>
      </c>
      <c r="S4052" s="13">
        <v>197804438761</v>
      </c>
      <c r="T4052" s="12" t="s">
        <v>49</v>
      </c>
      <c r="U4052" s="13">
        <v>28</v>
      </c>
      <c r="V4052" s="12" t="s">
        <v>50</v>
      </c>
      <c r="W4052" s="12" t="s">
        <v>107</v>
      </c>
      <c r="X4052" s="14"/>
      <c r="Y4052" s="14"/>
      <c r="Z4052" s="14"/>
      <c r="AA4052" s="14"/>
      <c r="AB4052" s="14"/>
      <c r="AC4052" s="15">
        <v>31.85</v>
      </c>
      <c r="AD4052" s="15">
        <f>AC4052*AG4052</f>
        <v>31.85</v>
      </c>
      <c r="AE4052" s="15">
        <v>70</v>
      </c>
      <c r="AF4052" s="15">
        <f>AE4052*AG4052</f>
        <v>70</v>
      </c>
      <c r="AG4052" s="16">
        <v>1</v>
      </c>
    </row>
    <row r="4053" spans="1:33" ht="15" customHeight="1" x14ac:dyDescent="0.2">
      <c r="A4053" s="11" t="str">
        <f t="shared" si="1320"/>
        <v>VN000D1011E1</v>
      </c>
      <c r="B4053" s="12" t="s">
        <v>14422</v>
      </c>
      <c r="C4053" s="12" t="s">
        <v>2136</v>
      </c>
      <c r="D4053" s="12" t="s">
        <v>1148</v>
      </c>
      <c r="E4053" s="12" t="s">
        <v>14423</v>
      </c>
      <c r="F4053" s="13">
        <v>130</v>
      </c>
      <c r="G4053" s="12" t="s">
        <v>528</v>
      </c>
      <c r="H4053" s="12" t="s">
        <v>38</v>
      </c>
      <c r="I4053" s="12" t="s">
        <v>39</v>
      </c>
      <c r="J4053" s="12" t="s">
        <v>40</v>
      </c>
      <c r="K4053" s="12" t="s">
        <v>41</v>
      </c>
      <c r="L4053" s="14"/>
      <c r="M4053" s="12" t="s">
        <v>43</v>
      </c>
      <c r="N4053" s="12" t="s">
        <v>84</v>
      </c>
      <c r="O4053" s="12" t="s">
        <v>14424</v>
      </c>
      <c r="P4053" s="12" t="s">
        <v>46</v>
      </c>
      <c r="Q4053" s="12" t="s">
        <v>47</v>
      </c>
      <c r="R4053" s="12" t="s">
        <v>313</v>
      </c>
      <c r="S4053" s="13">
        <v>197804439287</v>
      </c>
      <c r="T4053" s="12" t="s">
        <v>49</v>
      </c>
      <c r="U4053" s="13">
        <v>30.5</v>
      </c>
      <c r="V4053" s="12" t="s">
        <v>50</v>
      </c>
      <c r="W4053" s="12" t="s">
        <v>107</v>
      </c>
      <c r="X4053" s="14"/>
      <c r="Y4053" s="14"/>
      <c r="Z4053" s="14"/>
      <c r="AA4053" s="14"/>
      <c r="AB4053" s="14"/>
      <c r="AC4053" s="15">
        <v>31.85</v>
      </c>
      <c r="AD4053" s="15">
        <f>AC4053*AG4053</f>
        <v>31.85</v>
      </c>
      <c r="AE4053" s="15">
        <v>70</v>
      </c>
      <c r="AF4053" s="15">
        <f>AE4053*AG4053</f>
        <v>70</v>
      </c>
      <c r="AG4053" s="16">
        <v>1</v>
      </c>
    </row>
    <row r="4054" spans="1:33" ht="15" customHeight="1" x14ac:dyDescent="0.2">
      <c r="A4054" s="11" t="str">
        <f t="shared" si="1320"/>
        <v>VN000D1011E1</v>
      </c>
      <c r="B4054" s="12" t="s">
        <v>14425</v>
      </c>
      <c r="C4054" s="12" t="s">
        <v>2136</v>
      </c>
      <c r="D4054" s="12" t="s">
        <v>1148</v>
      </c>
      <c r="E4054" s="12" t="s">
        <v>14426</v>
      </c>
      <c r="F4054" s="13">
        <v>135</v>
      </c>
      <c r="G4054" s="12" t="s">
        <v>528</v>
      </c>
      <c r="H4054" s="12" t="s">
        <v>38</v>
      </c>
      <c r="I4054" s="12" t="s">
        <v>39</v>
      </c>
      <c r="J4054" s="12" t="s">
        <v>40</v>
      </c>
      <c r="K4054" s="12" t="s">
        <v>41</v>
      </c>
      <c r="L4054" s="14"/>
      <c r="M4054" s="12" t="s">
        <v>43</v>
      </c>
      <c r="N4054" s="12" t="s">
        <v>84</v>
      </c>
      <c r="O4054" s="12" t="s">
        <v>14427</v>
      </c>
      <c r="P4054" s="12" t="s">
        <v>46</v>
      </c>
      <c r="Q4054" s="12" t="s">
        <v>47</v>
      </c>
      <c r="R4054" s="12" t="s">
        <v>313</v>
      </c>
      <c r="S4054" s="13">
        <v>197804439386</v>
      </c>
      <c r="T4054" s="12" t="s">
        <v>49</v>
      </c>
      <c r="U4054" s="13">
        <v>31</v>
      </c>
      <c r="V4054" s="12" t="s">
        <v>50</v>
      </c>
      <c r="W4054" s="12" t="s">
        <v>107</v>
      </c>
      <c r="X4054" s="14"/>
      <c r="Y4054" s="14"/>
      <c r="Z4054" s="14"/>
      <c r="AA4054" s="14"/>
      <c r="AB4054" s="14"/>
      <c r="AC4054" s="15">
        <v>31.85</v>
      </c>
      <c r="AD4054" s="15">
        <f>AC4054*AG4054</f>
        <v>31.85</v>
      </c>
      <c r="AE4054" s="15">
        <v>70</v>
      </c>
      <c r="AF4054" s="15">
        <f>AE4054*AG4054</f>
        <v>70</v>
      </c>
      <c r="AG4054" s="16">
        <v>1</v>
      </c>
    </row>
    <row r="4055" spans="1:33" ht="15" customHeight="1" x14ac:dyDescent="0.2">
      <c r="A4055" s="11" t="str">
        <f>HYPERLINK("https://assets.vans.eu/images/VN000D101KP-HERO/1","VN000D101KP1")</f>
        <v>VN000D101KP1</v>
      </c>
      <c r="B4055" s="12" t="s">
        <v>14428</v>
      </c>
      <c r="C4055" s="12" t="s">
        <v>2136</v>
      </c>
      <c r="D4055" s="12" t="s">
        <v>3943</v>
      </c>
      <c r="E4055" s="12" t="s">
        <v>14429</v>
      </c>
      <c r="F4055" s="13">
        <v>20</v>
      </c>
      <c r="G4055" s="12" t="s">
        <v>2273</v>
      </c>
      <c r="H4055" s="12" t="s">
        <v>38</v>
      </c>
      <c r="I4055" s="12" t="s">
        <v>39</v>
      </c>
      <c r="J4055" s="12" t="s">
        <v>40</v>
      </c>
      <c r="K4055" s="12" t="s">
        <v>41</v>
      </c>
      <c r="L4055" s="14"/>
      <c r="M4055" s="12" t="s">
        <v>43</v>
      </c>
      <c r="N4055" s="12" t="s">
        <v>84</v>
      </c>
      <c r="O4055" s="12" t="s">
        <v>14430</v>
      </c>
      <c r="P4055" s="12" t="s">
        <v>46</v>
      </c>
      <c r="Q4055" s="12" t="s">
        <v>47</v>
      </c>
      <c r="R4055" s="12" t="s">
        <v>313</v>
      </c>
      <c r="S4055" s="13">
        <v>197804437900</v>
      </c>
      <c r="T4055" s="12" t="s">
        <v>49</v>
      </c>
      <c r="U4055" s="13">
        <v>32.5</v>
      </c>
      <c r="V4055" s="12" t="s">
        <v>50</v>
      </c>
      <c r="W4055" s="12" t="s">
        <v>51</v>
      </c>
      <c r="X4055" s="14"/>
      <c r="Y4055" s="14"/>
      <c r="Z4055" s="14"/>
      <c r="AA4055" s="14"/>
      <c r="AB4055" s="14"/>
      <c r="AC4055" s="15">
        <v>31.85</v>
      </c>
      <c r="AD4055" s="15">
        <f>AC4055*AG4055</f>
        <v>31.85</v>
      </c>
      <c r="AE4055" s="15">
        <v>70</v>
      </c>
      <c r="AF4055" s="15">
        <f>AE4055*AG4055</f>
        <v>70</v>
      </c>
      <c r="AG4055" s="16">
        <v>1</v>
      </c>
    </row>
    <row r="4056" spans="1:33" ht="15" customHeight="1" x14ac:dyDescent="0.2">
      <c r="A4056" s="11" t="str">
        <f>HYPERLINK("https://assets.vans.eu/images/VN000D10BF2-HERO/1","VN000D10BF21")</f>
        <v>VN000D10BF21</v>
      </c>
      <c r="B4056" s="12" t="s">
        <v>14431</v>
      </c>
      <c r="C4056" s="12" t="s">
        <v>2136</v>
      </c>
      <c r="D4056" s="12" t="s">
        <v>14210</v>
      </c>
      <c r="E4056" s="12" t="s">
        <v>14432</v>
      </c>
      <c r="F4056" s="13">
        <v>120</v>
      </c>
      <c r="G4056" s="14"/>
      <c r="H4056" s="12" t="s">
        <v>38</v>
      </c>
      <c r="I4056" s="12" t="s">
        <v>39</v>
      </c>
      <c r="J4056" s="12" t="s">
        <v>40</v>
      </c>
      <c r="K4056" s="12" t="s">
        <v>41</v>
      </c>
      <c r="L4056" s="14"/>
      <c r="M4056" s="12" t="s">
        <v>43</v>
      </c>
      <c r="N4056" s="12" t="s">
        <v>161</v>
      </c>
      <c r="O4056" s="12" t="s">
        <v>14433</v>
      </c>
      <c r="P4056" s="12" t="s">
        <v>46</v>
      </c>
      <c r="Q4056" s="12" t="s">
        <v>47</v>
      </c>
      <c r="R4056" s="12" t="s">
        <v>780</v>
      </c>
      <c r="S4056" s="13">
        <v>197065604103</v>
      </c>
      <c r="T4056" s="12" t="s">
        <v>49</v>
      </c>
      <c r="U4056" s="13">
        <v>29</v>
      </c>
      <c r="V4056" s="12" t="s">
        <v>50</v>
      </c>
      <c r="W4056" s="12" t="s">
        <v>186</v>
      </c>
      <c r="X4056" s="14"/>
      <c r="Y4056" s="12" t="s">
        <v>91</v>
      </c>
      <c r="Z4056" s="12" t="s">
        <v>165</v>
      </c>
      <c r="AA4056" s="14"/>
      <c r="AB4056" s="14"/>
      <c r="AC4056" s="15">
        <v>31.85</v>
      </c>
      <c r="AD4056" s="15">
        <f>AC4056*AG4056</f>
        <v>31.85</v>
      </c>
      <c r="AE4056" s="15">
        <v>70</v>
      </c>
      <c r="AF4056" s="15">
        <f>AE4056*AG4056</f>
        <v>70</v>
      </c>
      <c r="AG4056" s="16">
        <v>1</v>
      </c>
    </row>
    <row r="4057" spans="1:33" ht="15" customHeight="1" x14ac:dyDescent="0.2">
      <c r="A4057" s="11" t="str">
        <f t="shared" si="1032"/>
        <v>VN000D10N1Z1</v>
      </c>
      <c r="B4057" s="12" t="s">
        <v>14434</v>
      </c>
      <c r="C4057" s="12" t="s">
        <v>2136</v>
      </c>
      <c r="D4057" s="12" t="s">
        <v>1656</v>
      </c>
      <c r="E4057" s="12" t="s">
        <v>14435</v>
      </c>
      <c r="F4057" s="13">
        <v>20</v>
      </c>
      <c r="G4057" s="12" t="s">
        <v>528</v>
      </c>
      <c r="H4057" s="12" t="s">
        <v>38</v>
      </c>
      <c r="I4057" s="12" t="s">
        <v>39</v>
      </c>
      <c r="J4057" s="12" t="s">
        <v>40</v>
      </c>
      <c r="K4057" s="12" t="s">
        <v>41</v>
      </c>
      <c r="L4057" s="14"/>
      <c r="M4057" s="12" t="s">
        <v>43</v>
      </c>
      <c r="N4057" s="12" t="s">
        <v>84</v>
      </c>
      <c r="O4057" s="12" t="s">
        <v>14436</v>
      </c>
      <c r="P4057" s="12" t="s">
        <v>46</v>
      </c>
      <c r="Q4057" s="12" t="s">
        <v>47</v>
      </c>
      <c r="R4057" s="12" t="s">
        <v>313</v>
      </c>
      <c r="S4057" s="13">
        <v>197804522033</v>
      </c>
      <c r="T4057" s="12" t="s">
        <v>49</v>
      </c>
      <c r="U4057" s="13">
        <v>32.5</v>
      </c>
      <c r="V4057" s="12" t="s">
        <v>50</v>
      </c>
      <c r="W4057" s="12" t="s">
        <v>186</v>
      </c>
      <c r="X4057" s="14"/>
      <c r="Y4057" s="14"/>
      <c r="Z4057" s="14"/>
      <c r="AA4057" s="14"/>
      <c r="AB4057" s="14"/>
      <c r="AC4057" s="15">
        <v>31.85</v>
      </c>
      <c r="AD4057" s="15">
        <f>AC4057*AG4057</f>
        <v>31.85</v>
      </c>
      <c r="AE4057" s="15">
        <v>70</v>
      </c>
      <c r="AF4057" s="15">
        <f>AE4057*AG4057</f>
        <v>70</v>
      </c>
      <c r="AG4057" s="16">
        <v>1</v>
      </c>
    </row>
    <row r="4058" spans="1:33" ht="15" customHeight="1" x14ac:dyDescent="0.2">
      <c r="A4058" s="11" t="str">
        <f t="shared" ref="A4058:A4060" si="1321">HYPERLINK("https://assets.vans.eu/images/VN000D10N1Z-HERO/1","VN000D10N1Z1")</f>
        <v>VN000D10N1Z1</v>
      </c>
      <c r="B4058" s="12" t="s">
        <v>14437</v>
      </c>
      <c r="C4058" s="12" t="s">
        <v>2136</v>
      </c>
      <c r="D4058" s="12" t="s">
        <v>1656</v>
      </c>
      <c r="E4058" s="12" t="s">
        <v>14438</v>
      </c>
      <c r="F4058" s="13">
        <v>120</v>
      </c>
      <c r="G4058" s="12" t="s">
        <v>528</v>
      </c>
      <c r="H4058" s="12" t="s">
        <v>38</v>
      </c>
      <c r="I4058" s="12" t="s">
        <v>39</v>
      </c>
      <c r="J4058" s="12" t="s">
        <v>40</v>
      </c>
      <c r="K4058" s="12" t="s">
        <v>41</v>
      </c>
      <c r="L4058" s="14"/>
      <c r="M4058" s="12" t="s">
        <v>43</v>
      </c>
      <c r="N4058" s="12" t="s">
        <v>84</v>
      </c>
      <c r="O4058" s="12" t="s">
        <v>14439</v>
      </c>
      <c r="P4058" s="12" t="s">
        <v>46</v>
      </c>
      <c r="Q4058" s="12" t="s">
        <v>47</v>
      </c>
      <c r="R4058" s="12" t="s">
        <v>313</v>
      </c>
      <c r="S4058" s="13">
        <v>197804522828</v>
      </c>
      <c r="T4058" s="12" t="s">
        <v>49</v>
      </c>
      <c r="U4058" s="13">
        <v>29</v>
      </c>
      <c r="V4058" s="12" t="s">
        <v>50</v>
      </c>
      <c r="W4058" s="12" t="s">
        <v>186</v>
      </c>
      <c r="X4058" s="14"/>
      <c r="Y4058" s="14"/>
      <c r="Z4058" s="14"/>
      <c r="AA4058" s="14"/>
      <c r="AB4058" s="14"/>
      <c r="AC4058" s="15">
        <v>31.85</v>
      </c>
      <c r="AD4058" s="15">
        <f>AC4058*AG4058</f>
        <v>31.85</v>
      </c>
      <c r="AE4058" s="15">
        <v>70</v>
      </c>
      <c r="AF4058" s="15">
        <f>AE4058*AG4058</f>
        <v>70</v>
      </c>
      <c r="AG4058" s="16">
        <v>1</v>
      </c>
    </row>
    <row r="4059" spans="1:33" ht="15" customHeight="1" x14ac:dyDescent="0.2">
      <c r="A4059" s="11" t="str">
        <f t="shared" si="1321"/>
        <v>VN000D10N1Z1</v>
      </c>
      <c r="B4059" s="12" t="s">
        <v>14440</v>
      </c>
      <c r="C4059" s="12" t="s">
        <v>2136</v>
      </c>
      <c r="D4059" s="12" t="s">
        <v>1656</v>
      </c>
      <c r="E4059" s="12" t="s">
        <v>14441</v>
      </c>
      <c r="F4059" s="13">
        <v>125</v>
      </c>
      <c r="G4059" s="12" t="s">
        <v>528</v>
      </c>
      <c r="H4059" s="12" t="s">
        <v>38</v>
      </c>
      <c r="I4059" s="12" t="s">
        <v>39</v>
      </c>
      <c r="J4059" s="12" t="s">
        <v>40</v>
      </c>
      <c r="K4059" s="12" t="s">
        <v>41</v>
      </c>
      <c r="L4059" s="14"/>
      <c r="M4059" s="12" t="s">
        <v>43</v>
      </c>
      <c r="N4059" s="12" t="s">
        <v>84</v>
      </c>
      <c r="O4059" s="12" t="s">
        <v>14442</v>
      </c>
      <c r="P4059" s="12" t="s">
        <v>46</v>
      </c>
      <c r="Q4059" s="12" t="s">
        <v>47</v>
      </c>
      <c r="R4059" s="12" t="s">
        <v>313</v>
      </c>
      <c r="S4059" s="13">
        <v>197804522866</v>
      </c>
      <c r="T4059" s="12" t="s">
        <v>49</v>
      </c>
      <c r="U4059" s="13">
        <v>30</v>
      </c>
      <c r="V4059" s="12" t="s">
        <v>50</v>
      </c>
      <c r="W4059" s="12" t="s">
        <v>186</v>
      </c>
      <c r="X4059" s="14"/>
      <c r="Y4059" s="14"/>
      <c r="Z4059" s="14"/>
      <c r="AA4059" s="14"/>
      <c r="AB4059" s="14"/>
      <c r="AC4059" s="15">
        <v>31.85</v>
      </c>
      <c r="AD4059" s="15">
        <f>AC4059*AG4059</f>
        <v>31.85</v>
      </c>
      <c r="AE4059" s="15">
        <v>70</v>
      </c>
      <c r="AF4059" s="15">
        <f>AE4059*AG4059</f>
        <v>70</v>
      </c>
      <c r="AG4059" s="16">
        <v>1</v>
      </c>
    </row>
    <row r="4060" spans="1:33" ht="15" customHeight="1" x14ac:dyDescent="0.2">
      <c r="A4060" s="11" t="str">
        <f t="shared" si="1321"/>
        <v>VN000D10N1Z1</v>
      </c>
      <c r="B4060" s="12" t="s">
        <v>14443</v>
      </c>
      <c r="C4060" s="12" t="s">
        <v>2136</v>
      </c>
      <c r="D4060" s="12" t="s">
        <v>1656</v>
      </c>
      <c r="E4060" s="12" t="s">
        <v>14444</v>
      </c>
      <c r="F4060" s="13">
        <v>130</v>
      </c>
      <c r="G4060" s="12" t="s">
        <v>528</v>
      </c>
      <c r="H4060" s="12" t="s">
        <v>38</v>
      </c>
      <c r="I4060" s="12" t="s">
        <v>39</v>
      </c>
      <c r="J4060" s="12" t="s">
        <v>40</v>
      </c>
      <c r="K4060" s="12" t="s">
        <v>41</v>
      </c>
      <c r="L4060" s="14"/>
      <c r="M4060" s="12" t="s">
        <v>43</v>
      </c>
      <c r="N4060" s="12" t="s">
        <v>84</v>
      </c>
      <c r="O4060" s="12" t="s">
        <v>14445</v>
      </c>
      <c r="P4060" s="12" t="s">
        <v>46</v>
      </c>
      <c r="Q4060" s="12" t="s">
        <v>47</v>
      </c>
      <c r="R4060" s="12" t="s">
        <v>313</v>
      </c>
      <c r="S4060" s="13">
        <v>197804523108</v>
      </c>
      <c r="T4060" s="12" t="s">
        <v>49</v>
      </c>
      <c r="U4060" s="13">
        <v>30.5</v>
      </c>
      <c r="V4060" s="12" t="s">
        <v>50</v>
      </c>
      <c r="W4060" s="12" t="s">
        <v>186</v>
      </c>
      <c r="X4060" s="14"/>
      <c r="Y4060" s="14"/>
      <c r="Z4060" s="14"/>
      <c r="AA4060" s="14"/>
      <c r="AB4060" s="14"/>
      <c r="AC4060" s="15">
        <v>31.85</v>
      </c>
      <c r="AD4060" s="15">
        <f>AC4060*AG4060</f>
        <v>31.85</v>
      </c>
      <c r="AE4060" s="15">
        <v>70</v>
      </c>
      <c r="AF4060" s="15">
        <f>AE4060*AG4060</f>
        <v>70</v>
      </c>
      <c r="AG4060" s="16">
        <v>1</v>
      </c>
    </row>
    <row r="4061" spans="1:33" ht="15" customHeight="1" x14ac:dyDescent="0.2">
      <c r="A4061" s="11" t="str">
        <f t="shared" ref="A4061:A4067" si="1322">HYPERLINK("https://assets.vans.eu/images/VN000D1111E-HERO/1","VN000D1111E1")</f>
        <v>VN000D1111E1</v>
      </c>
      <c r="B4061" s="12" t="s">
        <v>14446</v>
      </c>
      <c r="C4061" s="12" t="s">
        <v>2136</v>
      </c>
      <c r="D4061" s="12" t="s">
        <v>1148</v>
      </c>
      <c r="E4061" s="12" t="s">
        <v>14447</v>
      </c>
      <c r="F4061" s="13">
        <v>40</v>
      </c>
      <c r="G4061" s="12" t="s">
        <v>528</v>
      </c>
      <c r="H4061" s="12" t="s">
        <v>38</v>
      </c>
      <c r="I4061" s="12" t="s">
        <v>242</v>
      </c>
      <c r="J4061" s="12" t="s">
        <v>243</v>
      </c>
      <c r="K4061" s="12" t="s">
        <v>244</v>
      </c>
      <c r="L4061" s="14"/>
      <c r="M4061" s="12" t="s">
        <v>43</v>
      </c>
      <c r="N4061" s="12" t="s">
        <v>84</v>
      </c>
      <c r="O4061" s="12" t="s">
        <v>14448</v>
      </c>
      <c r="P4061" s="12" t="s">
        <v>46</v>
      </c>
      <c r="Q4061" s="12" t="s">
        <v>47</v>
      </c>
      <c r="R4061" s="12" t="s">
        <v>313</v>
      </c>
      <c r="S4061" s="13">
        <v>197804438327</v>
      </c>
      <c r="T4061" s="12" t="s">
        <v>49</v>
      </c>
      <c r="U4061" s="13">
        <v>19</v>
      </c>
      <c r="V4061" s="12" t="s">
        <v>50</v>
      </c>
      <c r="W4061" s="12" t="s">
        <v>107</v>
      </c>
      <c r="X4061" s="14"/>
      <c r="Y4061" s="14"/>
      <c r="Z4061" s="14"/>
      <c r="AA4061" s="14"/>
      <c r="AB4061" s="14"/>
      <c r="AC4061" s="15">
        <v>27.3</v>
      </c>
      <c r="AD4061" s="15">
        <f>AC4061*AG4061</f>
        <v>27.3</v>
      </c>
      <c r="AE4061" s="15">
        <v>60</v>
      </c>
      <c r="AF4061" s="15">
        <f>AE4061*AG4061</f>
        <v>60</v>
      </c>
      <c r="AG4061" s="16">
        <v>1</v>
      </c>
    </row>
    <row r="4062" spans="1:33" ht="15" customHeight="1" x14ac:dyDescent="0.2">
      <c r="A4062" s="11" t="str">
        <f t="shared" si="1322"/>
        <v>VN000D1111E1</v>
      </c>
      <c r="B4062" s="12" t="s">
        <v>14449</v>
      </c>
      <c r="C4062" s="12" t="s">
        <v>2136</v>
      </c>
      <c r="D4062" s="12" t="s">
        <v>1148</v>
      </c>
      <c r="E4062" s="12" t="s">
        <v>14450</v>
      </c>
      <c r="F4062" s="13">
        <v>45</v>
      </c>
      <c r="G4062" s="12" t="s">
        <v>528</v>
      </c>
      <c r="H4062" s="12" t="s">
        <v>38</v>
      </c>
      <c r="I4062" s="12" t="s">
        <v>242</v>
      </c>
      <c r="J4062" s="12" t="s">
        <v>243</v>
      </c>
      <c r="K4062" s="12" t="s">
        <v>244</v>
      </c>
      <c r="L4062" s="14"/>
      <c r="M4062" s="12" t="s">
        <v>43</v>
      </c>
      <c r="N4062" s="12" t="s">
        <v>84</v>
      </c>
      <c r="O4062" s="12" t="s">
        <v>14451</v>
      </c>
      <c r="P4062" s="12" t="s">
        <v>46</v>
      </c>
      <c r="Q4062" s="12" t="s">
        <v>47</v>
      </c>
      <c r="R4062" s="12" t="s">
        <v>313</v>
      </c>
      <c r="S4062" s="13">
        <v>197804438419</v>
      </c>
      <c r="T4062" s="12" t="s">
        <v>49</v>
      </c>
      <c r="U4062" s="13">
        <v>20</v>
      </c>
      <c r="V4062" s="12" t="s">
        <v>50</v>
      </c>
      <c r="W4062" s="12" t="s">
        <v>107</v>
      </c>
      <c r="X4062" s="14"/>
      <c r="Y4062" s="14"/>
      <c r="Z4062" s="14"/>
      <c r="AA4062" s="14"/>
      <c r="AB4062" s="14"/>
      <c r="AC4062" s="15">
        <v>27.3</v>
      </c>
      <c r="AD4062" s="15">
        <f>AC4062*AG4062</f>
        <v>27.3</v>
      </c>
      <c r="AE4062" s="15">
        <v>60</v>
      </c>
      <c r="AF4062" s="15">
        <f>AE4062*AG4062</f>
        <v>60</v>
      </c>
      <c r="AG4062" s="16">
        <v>1</v>
      </c>
    </row>
    <row r="4063" spans="1:33" ht="15" customHeight="1" x14ac:dyDescent="0.2">
      <c r="A4063" s="11" t="str">
        <f t="shared" si="1322"/>
        <v>VN000D1111E1</v>
      </c>
      <c r="B4063" s="12" t="s">
        <v>14452</v>
      </c>
      <c r="C4063" s="12" t="s">
        <v>2136</v>
      </c>
      <c r="D4063" s="12" t="s">
        <v>1148</v>
      </c>
      <c r="E4063" s="12" t="s">
        <v>14453</v>
      </c>
      <c r="F4063" s="13">
        <v>55</v>
      </c>
      <c r="G4063" s="12" t="s">
        <v>528</v>
      </c>
      <c r="H4063" s="12" t="s">
        <v>38</v>
      </c>
      <c r="I4063" s="12" t="s">
        <v>242</v>
      </c>
      <c r="J4063" s="12" t="s">
        <v>243</v>
      </c>
      <c r="K4063" s="12" t="s">
        <v>244</v>
      </c>
      <c r="L4063" s="14"/>
      <c r="M4063" s="12" t="s">
        <v>43</v>
      </c>
      <c r="N4063" s="12" t="s">
        <v>84</v>
      </c>
      <c r="O4063" s="12" t="s">
        <v>14454</v>
      </c>
      <c r="P4063" s="12" t="s">
        <v>46</v>
      </c>
      <c r="Q4063" s="12" t="s">
        <v>47</v>
      </c>
      <c r="R4063" s="12" t="s">
        <v>313</v>
      </c>
      <c r="S4063" s="13">
        <v>197804438693</v>
      </c>
      <c r="T4063" s="12" t="s">
        <v>49</v>
      </c>
      <c r="U4063" s="13">
        <v>21.5</v>
      </c>
      <c r="V4063" s="12" t="s">
        <v>50</v>
      </c>
      <c r="W4063" s="12" t="s">
        <v>107</v>
      </c>
      <c r="X4063" s="14"/>
      <c r="Y4063" s="14"/>
      <c r="Z4063" s="14"/>
      <c r="AA4063" s="14"/>
      <c r="AB4063" s="14"/>
      <c r="AC4063" s="15">
        <v>27.3</v>
      </c>
      <c r="AD4063" s="15">
        <f>AC4063*AG4063</f>
        <v>27.3</v>
      </c>
      <c r="AE4063" s="15">
        <v>60</v>
      </c>
      <c r="AF4063" s="15">
        <f>AE4063*AG4063</f>
        <v>60</v>
      </c>
      <c r="AG4063" s="16">
        <v>1</v>
      </c>
    </row>
    <row r="4064" spans="1:33" ht="15" customHeight="1" x14ac:dyDescent="0.2">
      <c r="A4064" s="11" t="str">
        <f t="shared" si="1322"/>
        <v>VN000D1111E1</v>
      </c>
      <c r="B4064" s="12" t="s">
        <v>14455</v>
      </c>
      <c r="C4064" s="12" t="s">
        <v>2136</v>
      </c>
      <c r="D4064" s="12" t="s">
        <v>1148</v>
      </c>
      <c r="E4064" s="12" t="s">
        <v>14456</v>
      </c>
      <c r="F4064" s="13">
        <v>60</v>
      </c>
      <c r="G4064" s="12" t="s">
        <v>528</v>
      </c>
      <c r="H4064" s="12" t="s">
        <v>38</v>
      </c>
      <c r="I4064" s="12" t="s">
        <v>242</v>
      </c>
      <c r="J4064" s="12" t="s">
        <v>243</v>
      </c>
      <c r="K4064" s="12" t="s">
        <v>244</v>
      </c>
      <c r="L4064" s="14"/>
      <c r="M4064" s="12" t="s">
        <v>43</v>
      </c>
      <c r="N4064" s="12" t="s">
        <v>84</v>
      </c>
      <c r="O4064" s="12" t="s">
        <v>14457</v>
      </c>
      <c r="P4064" s="12" t="s">
        <v>46</v>
      </c>
      <c r="Q4064" s="12" t="s">
        <v>47</v>
      </c>
      <c r="R4064" s="12" t="s">
        <v>313</v>
      </c>
      <c r="S4064" s="13">
        <v>197804438907</v>
      </c>
      <c r="T4064" s="12" t="s">
        <v>49</v>
      </c>
      <c r="U4064" s="13">
        <v>22</v>
      </c>
      <c r="V4064" s="12" t="s">
        <v>50</v>
      </c>
      <c r="W4064" s="12" t="s">
        <v>107</v>
      </c>
      <c r="X4064" s="14"/>
      <c r="Y4064" s="14"/>
      <c r="Z4064" s="14"/>
      <c r="AA4064" s="14"/>
      <c r="AB4064" s="14"/>
      <c r="AC4064" s="15">
        <v>27.3</v>
      </c>
      <c r="AD4064" s="15">
        <f>AC4064*AG4064</f>
        <v>27.3</v>
      </c>
      <c r="AE4064" s="15">
        <v>60</v>
      </c>
      <c r="AF4064" s="15">
        <f>AE4064*AG4064</f>
        <v>60</v>
      </c>
      <c r="AG4064" s="16">
        <v>1</v>
      </c>
    </row>
    <row r="4065" spans="1:33" ht="15" customHeight="1" x14ac:dyDescent="0.2">
      <c r="A4065" s="11" t="str">
        <f t="shared" si="1322"/>
        <v>VN000D1111E1</v>
      </c>
      <c r="B4065" s="12" t="s">
        <v>14458</v>
      </c>
      <c r="C4065" s="12" t="s">
        <v>2136</v>
      </c>
      <c r="D4065" s="12" t="s">
        <v>1148</v>
      </c>
      <c r="E4065" s="12" t="s">
        <v>14459</v>
      </c>
      <c r="F4065" s="13">
        <v>70</v>
      </c>
      <c r="G4065" s="12" t="s">
        <v>528</v>
      </c>
      <c r="H4065" s="12" t="s">
        <v>38</v>
      </c>
      <c r="I4065" s="12" t="s">
        <v>242</v>
      </c>
      <c r="J4065" s="12" t="s">
        <v>243</v>
      </c>
      <c r="K4065" s="12" t="s">
        <v>244</v>
      </c>
      <c r="L4065" s="14"/>
      <c r="M4065" s="12" t="s">
        <v>43</v>
      </c>
      <c r="N4065" s="12" t="s">
        <v>84</v>
      </c>
      <c r="O4065" s="12" t="s">
        <v>14460</v>
      </c>
      <c r="P4065" s="12" t="s">
        <v>46</v>
      </c>
      <c r="Q4065" s="12" t="s">
        <v>47</v>
      </c>
      <c r="R4065" s="12" t="s">
        <v>313</v>
      </c>
      <c r="S4065" s="13">
        <v>197804439096</v>
      </c>
      <c r="T4065" s="12" t="s">
        <v>49</v>
      </c>
      <c r="U4065" s="13">
        <v>23.5</v>
      </c>
      <c r="V4065" s="12" t="s">
        <v>50</v>
      </c>
      <c r="W4065" s="12" t="s">
        <v>107</v>
      </c>
      <c r="X4065" s="14"/>
      <c r="Y4065" s="14"/>
      <c r="Z4065" s="14"/>
      <c r="AA4065" s="14"/>
      <c r="AB4065" s="14"/>
      <c r="AC4065" s="15">
        <v>27.3</v>
      </c>
      <c r="AD4065" s="15">
        <f>AC4065*AG4065</f>
        <v>27.3</v>
      </c>
      <c r="AE4065" s="15">
        <v>60</v>
      </c>
      <c r="AF4065" s="15">
        <f>AE4065*AG4065</f>
        <v>60</v>
      </c>
      <c r="AG4065" s="16">
        <v>1</v>
      </c>
    </row>
    <row r="4066" spans="1:33" ht="15" customHeight="1" x14ac:dyDescent="0.2">
      <c r="A4066" s="11" t="str">
        <f t="shared" si="1322"/>
        <v>VN000D1111E1</v>
      </c>
      <c r="B4066" s="12" t="s">
        <v>14461</v>
      </c>
      <c r="C4066" s="12" t="s">
        <v>2136</v>
      </c>
      <c r="D4066" s="12" t="s">
        <v>1148</v>
      </c>
      <c r="E4066" s="12" t="s">
        <v>14462</v>
      </c>
      <c r="F4066" s="13">
        <v>80</v>
      </c>
      <c r="G4066" s="12" t="s">
        <v>528</v>
      </c>
      <c r="H4066" s="12" t="s">
        <v>38</v>
      </c>
      <c r="I4066" s="12" t="s">
        <v>242</v>
      </c>
      <c r="J4066" s="12" t="s">
        <v>243</v>
      </c>
      <c r="K4066" s="12" t="s">
        <v>244</v>
      </c>
      <c r="L4066" s="14"/>
      <c r="M4066" s="12" t="s">
        <v>43</v>
      </c>
      <c r="N4066" s="12" t="s">
        <v>84</v>
      </c>
      <c r="O4066" s="12" t="s">
        <v>14463</v>
      </c>
      <c r="P4066" s="12" t="s">
        <v>46</v>
      </c>
      <c r="Q4066" s="12" t="s">
        <v>47</v>
      </c>
      <c r="R4066" s="12" t="s">
        <v>313</v>
      </c>
      <c r="S4066" s="13">
        <v>197804439379</v>
      </c>
      <c r="T4066" s="12" t="s">
        <v>49</v>
      </c>
      <c r="U4066" s="13">
        <v>24.5</v>
      </c>
      <c r="V4066" s="12" t="s">
        <v>50</v>
      </c>
      <c r="W4066" s="12" t="s">
        <v>107</v>
      </c>
      <c r="X4066" s="14"/>
      <c r="Y4066" s="14"/>
      <c r="Z4066" s="14"/>
      <c r="AA4066" s="14"/>
      <c r="AB4066" s="14"/>
      <c r="AC4066" s="15">
        <v>27.3</v>
      </c>
      <c r="AD4066" s="15">
        <f>AC4066*AG4066</f>
        <v>27.3</v>
      </c>
      <c r="AE4066" s="15">
        <v>60</v>
      </c>
      <c r="AF4066" s="15">
        <f>AE4066*AG4066</f>
        <v>60</v>
      </c>
      <c r="AG4066" s="16">
        <v>1</v>
      </c>
    </row>
    <row r="4067" spans="1:33" ht="15" customHeight="1" x14ac:dyDescent="0.2">
      <c r="A4067" s="11" t="str">
        <f t="shared" si="1322"/>
        <v>VN000D1111E1</v>
      </c>
      <c r="B4067" s="12" t="s">
        <v>14464</v>
      </c>
      <c r="C4067" s="12" t="s">
        <v>2136</v>
      </c>
      <c r="D4067" s="12" t="s">
        <v>1148</v>
      </c>
      <c r="E4067" s="12" t="s">
        <v>14465</v>
      </c>
      <c r="F4067" s="13">
        <v>100</v>
      </c>
      <c r="G4067" s="12" t="s">
        <v>528</v>
      </c>
      <c r="H4067" s="12" t="s">
        <v>38</v>
      </c>
      <c r="I4067" s="12" t="s">
        <v>242</v>
      </c>
      <c r="J4067" s="12" t="s">
        <v>243</v>
      </c>
      <c r="K4067" s="12" t="s">
        <v>244</v>
      </c>
      <c r="L4067" s="14"/>
      <c r="M4067" s="12" t="s">
        <v>43</v>
      </c>
      <c r="N4067" s="12" t="s">
        <v>84</v>
      </c>
      <c r="O4067" s="12" t="s">
        <v>14466</v>
      </c>
      <c r="P4067" s="12" t="s">
        <v>46</v>
      </c>
      <c r="Q4067" s="12" t="s">
        <v>47</v>
      </c>
      <c r="R4067" s="12" t="s">
        <v>313</v>
      </c>
      <c r="S4067" s="13">
        <v>197804439744</v>
      </c>
      <c r="T4067" s="12" t="s">
        <v>49</v>
      </c>
      <c r="U4067" s="13">
        <v>26.5</v>
      </c>
      <c r="V4067" s="12" t="s">
        <v>50</v>
      </c>
      <c r="W4067" s="12" t="s">
        <v>107</v>
      </c>
      <c r="X4067" s="14"/>
      <c r="Y4067" s="14"/>
      <c r="Z4067" s="14"/>
      <c r="AA4067" s="14"/>
      <c r="AB4067" s="14"/>
      <c r="AC4067" s="15">
        <v>27.3</v>
      </c>
      <c r="AD4067" s="15">
        <f>AC4067*AG4067</f>
        <v>27.3</v>
      </c>
      <c r="AE4067" s="15">
        <v>60</v>
      </c>
      <c r="AF4067" s="15">
        <f>AE4067*AG4067</f>
        <v>60</v>
      </c>
      <c r="AG4067" s="16">
        <v>1</v>
      </c>
    </row>
    <row r="4068" spans="1:33" ht="15" customHeight="1" x14ac:dyDescent="0.2">
      <c r="A4068" s="11" t="str">
        <f t="shared" ref="A4068:A4069" si="1323">HYPERLINK("https://assets.vans.eu/images/VN000D111KP-HERO/1","VN000D111KP1")</f>
        <v>VN000D111KP1</v>
      </c>
      <c r="B4068" s="12" t="s">
        <v>14467</v>
      </c>
      <c r="C4068" s="12" t="s">
        <v>2136</v>
      </c>
      <c r="D4068" s="12" t="s">
        <v>3943</v>
      </c>
      <c r="E4068" s="12" t="s">
        <v>14468</v>
      </c>
      <c r="F4068" s="13">
        <v>50</v>
      </c>
      <c r="G4068" s="12" t="s">
        <v>2273</v>
      </c>
      <c r="H4068" s="12" t="s">
        <v>38</v>
      </c>
      <c r="I4068" s="12" t="s">
        <v>242</v>
      </c>
      <c r="J4068" s="12" t="s">
        <v>243</v>
      </c>
      <c r="K4068" s="12" t="s">
        <v>244</v>
      </c>
      <c r="L4068" s="14"/>
      <c r="M4068" s="12" t="s">
        <v>43</v>
      </c>
      <c r="N4068" s="12" t="s">
        <v>84</v>
      </c>
      <c r="O4068" s="12" t="s">
        <v>14469</v>
      </c>
      <c r="P4068" s="12" t="s">
        <v>46</v>
      </c>
      <c r="Q4068" s="12" t="s">
        <v>47</v>
      </c>
      <c r="R4068" s="12" t="s">
        <v>313</v>
      </c>
      <c r="S4068" s="13">
        <v>197804522552</v>
      </c>
      <c r="T4068" s="12" t="s">
        <v>49</v>
      </c>
      <c r="U4068" s="13">
        <v>21</v>
      </c>
      <c r="V4068" s="12" t="s">
        <v>50</v>
      </c>
      <c r="W4068" s="12" t="s">
        <v>51</v>
      </c>
      <c r="X4068" s="14"/>
      <c r="Y4068" s="14"/>
      <c r="Z4068" s="14"/>
      <c r="AA4068" s="14"/>
      <c r="AB4068" s="14"/>
      <c r="AC4068" s="15">
        <v>27.3</v>
      </c>
      <c r="AD4068" s="15">
        <f>AC4068*AG4068</f>
        <v>27.3</v>
      </c>
      <c r="AE4068" s="15">
        <v>60</v>
      </c>
      <c r="AF4068" s="15">
        <f>AE4068*AG4068</f>
        <v>60</v>
      </c>
      <c r="AG4068" s="16">
        <v>1</v>
      </c>
    </row>
    <row r="4069" spans="1:33" ht="15" customHeight="1" x14ac:dyDescent="0.2">
      <c r="A4069" s="11" t="str">
        <f t="shared" si="1323"/>
        <v>VN000D111KP1</v>
      </c>
      <c r="B4069" s="12" t="s">
        <v>14470</v>
      </c>
      <c r="C4069" s="12" t="s">
        <v>2136</v>
      </c>
      <c r="D4069" s="12" t="s">
        <v>3943</v>
      </c>
      <c r="E4069" s="12" t="s">
        <v>14471</v>
      </c>
      <c r="F4069" s="13">
        <v>95</v>
      </c>
      <c r="G4069" s="12" t="s">
        <v>2273</v>
      </c>
      <c r="H4069" s="12" t="s">
        <v>38</v>
      </c>
      <c r="I4069" s="12" t="s">
        <v>242</v>
      </c>
      <c r="J4069" s="12" t="s">
        <v>243</v>
      </c>
      <c r="K4069" s="12" t="s">
        <v>244</v>
      </c>
      <c r="L4069" s="14"/>
      <c r="M4069" s="12" t="s">
        <v>43</v>
      </c>
      <c r="N4069" s="12" t="s">
        <v>84</v>
      </c>
      <c r="O4069" s="12" t="s">
        <v>14472</v>
      </c>
      <c r="P4069" s="12" t="s">
        <v>46</v>
      </c>
      <c r="Q4069" s="12" t="s">
        <v>47</v>
      </c>
      <c r="R4069" s="12" t="s">
        <v>313</v>
      </c>
      <c r="S4069" s="13">
        <v>197804523351</v>
      </c>
      <c r="T4069" s="12" t="s">
        <v>49</v>
      </c>
      <c r="U4069" s="13">
        <v>26</v>
      </c>
      <c r="V4069" s="12" t="s">
        <v>50</v>
      </c>
      <c r="W4069" s="12" t="s">
        <v>51</v>
      </c>
      <c r="X4069" s="14"/>
      <c r="Y4069" s="14"/>
      <c r="Z4069" s="14"/>
      <c r="AA4069" s="14"/>
      <c r="AB4069" s="14"/>
      <c r="AC4069" s="15">
        <v>27.3</v>
      </c>
      <c r="AD4069" s="15">
        <f>AC4069*AG4069</f>
        <v>27.3</v>
      </c>
      <c r="AE4069" s="15">
        <v>60</v>
      </c>
      <c r="AF4069" s="15">
        <f>AE4069*AG4069</f>
        <v>60</v>
      </c>
      <c r="AG4069" s="16">
        <v>1</v>
      </c>
    </row>
    <row r="4070" spans="1:33" ht="15" customHeight="1" x14ac:dyDescent="0.2">
      <c r="A4070" s="11" t="str">
        <f>HYPERLINK("https://assets.vans.eu/images/VN000D11B9P-HERO/1","VN000D11B9P1")</f>
        <v>VN000D11B9P1</v>
      </c>
      <c r="B4070" s="12" t="s">
        <v>14473</v>
      </c>
      <c r="C4070" s="12" t="s">
        <v>2136</v>
      </c>
      <c r="D4070" s="12" t="s">
        <v>267</v>
      </c>
      <c r="E4070" s="12" t="s">
        <v>14474</v>
      </c>
      <c r="F4070" s="13">
        <v>70</v>
      </c>
      <c r="G4070" s="12" t="s">
        <v>14475</v>
      </c>
      <c r="H4070" s="12" t="s">
        <v>38</v>
      </c>
      <c r="I4070" s="12" t="s">
        <v>242</v>
      </c>
      <c r="J4070" s="12" t="s">
        <v>243</v>
      </c>
      <c r="K4070" s="12" t="s">
        <v>244</v>
      </c>
      <c r="L4070" s="14"/>
      <c r="M4070" s="12" t="s">
        <v>43</v>
      </c>
      <c r="N4070" s="12" t="s">
        <v>161</v>
      </c>
      <c r="O4070" s="12" t="s">
        <v>14476</v>
      </c>
      <c r="P4070" s="12" t="s">
        <v>46</v>
      </c>
      <c r="Q4070" s="12" t="s">
        <v>47</v>
      </c>
      <c r="R4070" s="12" t="s">
        <v>313</v>
      </c>
      <c r="S4070" s="13">
        <v>197065604547</v>
      </c>
      <c r="T4070" s="12" t="s">
        <v>49</v>
      </c>
      <c r="U4070" s="13">
        <v>23.5</v>
      </c>
      <c r="V4070" s="12" t="s">
        <v>50</v>
      </c>
      <c r="W4070" s="12" t="s">
        <v>51</v>
      </c>
      <c r="X4070" s="14"/>
      <c r="Y4070" s="12" t="s">
        <v>91</v>
      </c>
      <c r="Z4070" s="12" t="s">
        <v>165</v>
      </c>
      <c r="AA4070" s="14"/>
      <c r="AB4070" s="14"/>
      <c r="AC4070" s="15">
        <v>27.3</v>
      </c>
      <c r="AD4070" s="15">
        <f>AC4070*AG4070</f>
        <v>27.3</v>
      </c>
      <c r="AE4070" s="15">
        <v>60</v>
      </c>
      <c r="AF4070" s="15">
        <f>AE4070*AG4070</f>
        <v>60</v>
      </c>
      <c r="AG4070" s="16">
        <v>1</v>
      </c>
    </row>
    <row r="4071" spans="1:33" ht="15" customHeight="1" x14ac:dyDescent="0.2">
      <c r="A4071" s="11" t="str">
        <f t="shared" si="1034"/>
        <v>VN000D12BIY1</v>
      </c>
      <c r="B4071" s="12" t="s">
        <v>14477</v>
      </c>
      <c r="C4071" s="12" t="s">
        <v>2427</v>
      </c>
      <c r="D4071" s="12" t="s">
        <v>2010</v>
      </c>
      <c r="E4071" s="12" t="s">
        <v>14478</v>
      </c>
      <c r="F4071" s="13">
        <v>125</v>
      </c>
      <c r="G4071" s="14"/>
      <c r="H4071" s="12" t="s">
        <v>38</v>
      </c>
      <c r="I4071" s="12" t="s">
        <v>39</v>
      </c>
      <c r="J4071" s="12" t="s">
        <v>2430</v>
      </c>
      <c r="K4071" s="12" t="s">
        <v>41</v>
      </c>
      <c r="L4071" s="14"/>
      <c r="M4071" s="12" t="s">
        <v>43</v>
      </c>
      <c r="N4071" s="12" t="s">
        <v>161</v>
      </c>
      <c r="O4071" s="12" t="s">
        <v>14479</v>
      </c>
      <c r="P4071" s="12" t="s">
        <v>46</v>
      </c>
      <c r="Q4071" s="12" t="s">
        <v>2432</v>
      </c>
      <c r="R4071" s="12" t="s">
        <v>2433</v>
      </c>
      <c r="S4071" s="13">
        <v>197065604639</v>
      </c>
      <c r="T4071" s="12" t="s">
        <v>49</v>
      </c>
      <c r="U4071" s="13">
        <v>30</v>
      </c>
      <c r="V4071" s="12" t="s">
        <v>278</v>
      </c>
      <c r="W4071" s="12" t="s">
        <v>299</v>
      </c>
      <c r="X4071" s="14"/>
      <c r="Y4071" s="12" t="s">
        <v>91</v>
      </c>
      <c r="Z4071" s="12" t="s">
        <v>165</v>
      </c>
      <c r="AA4071" s="14"/>
      <c r="AB4071" s="14"/>
      <c r="AC4071" s="15">
        <v>31.85</v>
      </c>
      <c r="AD4071" s="15">
        <f>AC4071*AG4071</f>
        <v>31.85</v>
      </c>
      <c r="AE4071" s="15">
        <v>70</v>
      </c>
      <c r="AF4071" s="15">
        <f>AE4071*AG4071</f>
        <v>70</v>
      </c>
      <c r="AG4071" s="16">
        <v>1</v>
      </c>
    </row>
    <row r="4072" spans="1:33" ht="15" customHeight="1" x14ac:dyDescent="0.2">
      <c r="A4072" s="11" t="str">
        <f>HYPERLINK("https://assets.vans.eu/images/VN000D13BGS-HERO/1","VN000D13BGS1")</f>
        <v>VN000D13BGS1</v>
      </c>
      <c r="B4072" s="12" t="s">
        <v>14480</v>
      </c>
      <c r="C4072" s="12" t="s">
        <v>14481</v>
      </c>
      <c r="D4072" s="12" t="s">
        <v>14482</v>
      </c>
      <c r="E4072" s="12" t="s">
        <v>14483</v>
      </c>
      <c r="F4072" s="13">
        <v>50</v>
      </c>
      <c r="G4072" s="14"/>
      <c r="H4072" s="12" t="s">
        <v>38</v>
      </c>
      <c r="I4072" s="12" t="s">
        <v>242</v>
      </c>
      <c r="J4072" s="12" t="s">
        <v>1611</v>
      </c>
      <c r="K4072" s="12" t="s">
        <v>244</v>
      </c>
      <c r="L4072" s="14"/>
      <c r="M4072" s="12" t="s">
        <v>43</v>
      </c>
      <c r="N4072" s="12" t="s">
        <v>161</v>
      </c>
      <c r="O4072" s="12" t="s">
        <v>14484</v>
      </c>
      <c r="P4072" s="12" t="s">
        <v>46</v>
      </c>
      <c r="Q4072" s="12" t="s">
        <v>2432</v>
      </c>
      <c r="R4072" s="12" t="s">
        <v>2433</v>
      </c>
      <c r="S4072" s="13">
        <v>197065605087</v>
      </c>
      <c r="T4072" s="12" t="s">
        <v>49</v>
      </c>
      <c r="U4072" s="13">
        <v>21</v>
      </c>
      <c r="V4072" s="12" t="s">
        <v>278</v>
      </c>
      <c r="W4072" s="12" t="s">
        <v>186</v>
      </c>
      <c r="X4072" s="14"/>
      <c r="Y4072" s="12" t="s">
        <v>91</v>
      </c>
      <c r="Z4072" s="12" t="s">
        <v>165</v>
      </c>
      <c r="AA4072" s="14"/>
      <c r="AB4072" s="14"/>
      <c r="AC4072" s="15">
        <v>27.3</v>
      </c>
      <c r="AD4072" s="15">
        <f>AC4072*AG4072</f>
        <v>27.3</v>
      </c>
      <c r="AE4072" s="15">
        <v>60</v>
      </c>
      <c r="AF4072" s="15">
        <f>AE4072*AG4072</f>
        <v>60</v>
      </c>
      <c r="AG4072" s="16">
        <v>1</v>
      </c>
    </row>
    <row r="4073" spans="1:33" ht="15" customHeight="1" x14ac:dyDescent="0.2">
      <c r="A4073" s="11" t="str">
        <f t="shared" ref="A4073:A4075" si="1324">HYPERLINK("https://assets.vans.eu/images/VN000D1BEMU-HERO/1","VN000D1BEMU1")</f>
        <v>VN000D1BEMU1</v>
      </c>
      <c r="B4073" s="12" t="s">
        <v>14485</v>
      </c>
      <c r="C4073" s="12" t="s">
        <v>3572</v>
      </c>
      <c r="D4073" s="12" t="s">
        <v>1319</v>
      </c>
      <c r="E4073" s="12" t="s">
        <v>14486</v>
      </c>
      <c r="F4073" s="13">
        <v>40</v>
      </c>
      <c r="G4073" s="12" t="s">
        <v>3574</v>
      </c>
      <c r="H4073" s="12" t="s">
        <v>38</v>
      </c>
      <c r="I4073" s="12" t="s">
        <v>242</v>
      </c>
      <c r="J4073" s="12" t="s">
        <v>243</v>
      </c>
      <c r="K4073" s="12" t="s">
        <v>244</v>
      </c>
      <c r="L4073" s="14"/>
      <c r="M4073" s="12" t="s">
        <v>43</v>
      </c>
      <c r="N4073" s="12" t="s">
        <v>84</v>
      </c>
      <c r="O4073" s="12" t="s">
        <v>14487</v>
      </c>
      <c r="P4073" s="12" t="s">
        <v>46</v>
      </c>
      <c r="Q4073" s="12" t="s">
        <v>47</v>
      </c>
      <c r="R4073" s="12" t="s">
        <v>48</v>
      </c>
      <c r="S4073" s="13">
        <v>197804523375</v>
      </c>
      <c r="T4073" s="12" t="s">
        <v>164</v>
      </c>
      <c r="U4073" s="13">
        <v>19</v>
      </c>
      <c r="V4073" s="12" t="s">
        <v>50</v>
      </c>
      <c r="W4073" s="12" t="s">
        <v>118</v>
      </c>
      <c r="X4073" s="14"/>
      <c r="Y4073" s="14"/>
      <c r="Z4073" s="14"/>
      <c r="AA4073" s="14"/>
      <c r="AB4073" s="14"/>
      <c r="AC4073" s="15">
        <v>22.75</v>
      </c>
      <c r="AD4073" s="15">
        <f>AC4073*AG4073</f>
        <v>22.75</v>
      </c>
      <c r="AE4073" s="15">
        <v>50</v>
      </c>
      <c r="AF4073" s="15">
        <f>AE4073*AG4073</f>
        <v>50</v>
      </c>
      <c r="AG4073" s="16">
        <v>1</v>
      </c>
    </row>
    <row r="4074" spans="1:33" ht="15" customHeight="1" x14ac:dyDescent="0.2">
      <c r="A4074" s="11" t="str">
        <f t="shared" si="1324"/>
        <v>VN000D1BEMU1</v>
      </c>
      <c r="B4074" s="12" t="s">
        <v>14488</v>
      </c>
      <c r="C4074" s="12" t="s">
        <v>3572</v>
      </c>
      <c r="D4074" s="12" t="s">
        <v>1319</v>
      </c>
      <c r="E4074" s="12" t="s">
        <v>14489</v>
      </c>
      <c r="F4074" s="13">
        <v>75</v>
      </c>
      <c r="G4074" s="12" t="s">
        <v>3574</v>
      </c>
      <c r="H4074" s="12" t="s">
        <v>38</v>
      </c>
      <c r="I4074" s="12" t="s">
        <v>242</v>
      </c>
      <c r="J4074" s="12" t="s">
        <v>243</v>
      </c>
      <c r="K4074" s="12" t="s">
        <v>244</v>
      </c>
      <c r="L4074" s="14"/>
      <c r="M4074" s="12" t="s">
        <v>43</v>
      </c>
      <c r="N4074" s="12" t="s">
        <v>84</v>
      </c>
      <c r="O4074" s="12" t="s">
        <v>14490</v>
      </c>
      <c r="P4074" s="12" t="s">
        <v>46</v>
      </c>
      <c r="Q4074" s="12" t="s">
        <v>47</v>
      </c>
      <c r="R4074" s="12" t="s">
        <v>48</v>
      </c>
      <c r="S4074" s="13">
        <v>197804523771</v>
      </c>
      <c r="T4074" s="12" t="s">
        <v>164</v>
      </c>
      <c r="U4074" s="13">
        <v>24</v>
      </c>
      <c r="V4074" s="12" t="s">
        <v>50</v>
      </c>
      <c r="W4074" s="12" t="s">
        <v>118</v>
      </c>
      <c r="X4074" s="14"/>
      <c r="Y4074" s="14"/>
      <c r="Z4074" s="14"/>
      <c r="AA4074" s="14"/>
      <c r="AB4074" s="14"/>
      <c r="AC4074" s="15">
        <v>22.75</v>
      </c>
      <c r="AD4074" s="15">
        <f>AC4074*AG4074</f>
        <v>22.75</v>
      </c>
      <c r="AE4074" s="15">
        <v>50</v>
      </c>
      <c r="AF4074" s="15">
        <f>AE4074*AG4074</f>
        <v>50</v>
      </c>
      <c r="AG4074" s="16">
        <v>1</v>
      </c>
    </row>
    <row r="4075" spans="1:33" ht="15" customHeight="1" x14ac:dyDescent="0.2">
      <c r="A4075" s="11" t="str">
        <f t="shared" si="1324"/>
        <v>VN000D1BEMU1</v>
      </c>
      <c r="B4075" s="12" t="s">
        <v>14491</v>
      </c>
      <c r="C4075" s="12" t="s">
        <v>3572</v>
      </c>
      <c r="D4075" s="12" t="s">
        <v>1319</v>
      </c>
      <c r="E4075" s="12" t="s">
        <v>14492</v>
      </c>
      <c r="F4075" s="13">
        <v>85</v>
      </c>
      <c r="G4075" s="12" t="s">
        <v>3574</v>
      </c>
      <c r="H4075" s="12" t="s">
        <v>38</v>
      </c>
      <c r="I4075" s="12" t="s">
        <v>242</v>
      </c>
      <c r="J4075" s="12" t="s">
        <v>243</v>
      </c>
      <c r="K4075" s="12" t="s">
        <v>244</v>
      </c>
      <c r="L4075" s="14"/>
      <c r="M4075" s="12" t="s">
        <v>43</v>
      </c>
      <c r="N4075" s="12" t="s">
        <v>84</v>
      </c>
      <c r="O4075" s="12" t="s">
        <v>14493</v>
      </c>
      <c r="P4075" s="12" t="s">
        <v>46</v>
      </c>
      <c r="Q4075" s="12" t="s">
        <v>47</v>
      </c>
      <c r="R4075" s="12" t="s">
        <v>48</v>
      </c>
      <c r="S4075" s="13">
        <v>197804523955</v>
      </c>
      <c r="T4075" s="12" t="s">
        <v>164</v>
      </c>
      <c r="U4075" s="13">
        <v>25</v>
      </c>
      <c r="V4075" s="12" t="s">
        <v>50</v>
      </c>
      <c r="W4075" s="12" t="s">
        <v>118</v>
      </c>
      <c r="X4075" s="14"/>
      <c r="Y4075" s="14"/>
      <c r="Z4075" s="14"/>
      <c r="AA4075" s="14"/>
      <c r="AB4075" s="14"/>
      <c r="AC4075" s="15">
        <v>22.75</v>
      </c>
      <c r="AD4075" s="15">
        <f>AC4075*AG4075</f>
        <v>22.75</v>
      </c>
      <c r="AE4075" s="15">
        <v>50</v>
      </c>
      <c r="AF4075" s="15">
        <f>AE4075*AG4075</f>
        <v>50</v>
      </c>
      <c r="AG4075" s="16">
        <v>1</v>
      </c>
    </row>
    <row r="4076" spans="1:33" ht="15" customHeight="1" x14ac:dyDescent="0.2">
      <c r="A4076" s="11" t="str">
        <f t="shared" ref="A4076:A4079" si="1325">HYPERLINK("https://assets.vans.eu/images/VN000D1GBA2-HERO/1","VN000D1GBA21")</f>
        <v>VN000D1GBA21</v>
      </c>
      <c r="B4076" s="12" t="s">
        <v>14494</v>
      </c>
      <c r="C4076" s="12" t="s">
        <v>9139</v>
      </c>
      <c r="D4076" s="12" t="s">
        <v>1844</v>
      </c>
      <c r="E4076" s="12" t="s">
        <v>14495</v>
      </c>
      <c r="F4076" s="13">
        <v>50</v>
      </c>
      <c r="G4076" s="14"/>
      <c r="H4076" s="12" t="s">
        <v>38</v>
      </c>
      <c r="I4076" s="12" t="s">
        <v>159</v>
      </c>
      <c r="J4076" s="12" t="s">
        <v>341</v>
      </c>
      <c r="K4076" s="12" t="s">
        <v>199</v>
      </c>
      <c r="L4076" s="14"/>
      <c r="M4076" s="12" t="s">
        <v>43</v>
      </c>
      <c r="N4076" s="12" t="s">
        <v>84</v>
      </c>
      <c r="O4076" s="12" t="s">
        <v>14496</v>
      </c>
      <c r="P4076" s="12" t="s">
        <v>46</v>
      </c>
      <c r="Q4076" s="12" t="s">
        <v>47</v>
      </c>
      <c r="R4076" s="12" t="s">
        <v>163</v>
      </c>
      <c r="S4076" s="13">
        <v>197643266242</v>
      </c>
      <c r="T4076" s="12" t="s">
        <v>105</v>
      </c>
      <c r="U4076" s="13">
        <v>36.5</v>
      </c>
      <c r="V4076" s="12" t="s">
        <v>50</v>
      </c>
      <c r="W4076" s="12" t="s">
        <v>51</v>
      </c>
      <c r="X4076" s="14"/>
      <c r="Y4076" s="12" t="s">
        <v>91</v>
      </c>
      <c r="Z4076" s="12" t="s">
        <v>14497</v>
      </c>
      <c r="AA4076" s="14"/>
      <c r="AB4076" s="14"/>
      <c r="AC4076" s="15">
        <v>59.1</v>
      </c>
      <c r="AD4076" s="15">
        <f>AC4076*AG4076</f>
        <v>59.1</v>
      </c>
      <c r="AE4076" s="15">
        <v>130</v>
      </c>
      <c r="AF4076" s="15">
        <f>AE4076*AG4076</f>
        <v>130</v>
      </c>
      <c r="AG4076" s="16">
        <v>1</v>
      </c>
    </row>
    <row r="4077" spans="1:33" ht="15" customHeight="1" x14ac:dyDescent="0.2">
      <c r="A4077" s="11" t="str">
        <f t="shared" si="1325"/>
        <v>VN000D1GBA21</v>
      </c>
      <c r="B4077" s="12" t="s">
        <v>14498</v>
      </c>
      <c r="C4077" s="12" t="s">
        <v>9139</v>
      </c>
      <c r="D4077" s="12" t="s">
        <v>1844</v>
      </c>
      <c r="E4077" s="12" t="s">
        <v>14499</v>
      </c>
      <c r="F4077" s="13">
        <v>60</v>
      </c>
      <c r="G4077" s="14"/>
      <c r="H4077" s="12" t="s">
        <v>38</v>
      </c>
      <c r="I4077" s="12" t="s">
        <v>159</v>
      </c>
      <c r="J4077" s="12" t="s">
        <v>341</v>
      </c>
      <c r="K4077" s="12" t="s">
        <v>199</v>
      </c>
      <c r="L4077" s="14"/>
      <c r="M4077" s="12" t="s">
        <v>43</v>
      </c>
      <c r="N4077" s="12" t="s">
        <v>84</v>
      </c>
      <c r="O4077" s="12" t="s">
        <v>14500</v>
      </c>
      <c r="P4077" s="12" t="s">
        <v>46</v>
      </c>
      <c r="Q4077" s="12" t="s">
        <v>47</v>
      </c>
      <c r="R4077" s="12" t="s">
        <v>163</v>
      </c>
      <c r="S4077" s="13">
        <v>197643266419</v>
      </c>
      <c r="T4077" s="12" t="s">
        <v>105</v>
      </c>
      <c r="U4077" s="13">
        <v>38</v>
      </c>
      <c r="V4077" s="12" t="s">
        <v>50</v>
      </c>
      <c r="W4077" s="12" t="s">
        <v>51</v>
      </c>
      <c r="X4077" s="14"/>
      <c r="Y4077" s="12" t="s">
        <v>91</v>
      </c>
      <c r="Z4077" s="12" t="s">
        <v>14497</v>
      </c>
      <c r="AA4077" s="14"/>
      <c r="AB4077" s="14"/>
      <c r="AC4077" s="15">
        <v>59.1</v>
      </c>
      <c r="AD4077" s="15">
        <f>AC4077*AG4077</f>
        <v>59.1</v>
      </c>
      <c r="AE4077" s="15">
        <v>130</v>
      </c>
      <c r="AF4077" s="15">
        <f>AE4077*AG4077</f>
        <v>130</v>
      </c>
      <c r="AG4077" s="16">
        <v>1</v>
      </c>
    </row>
    <row r="4078" spans="1:33" ht="15" customHeight="1" x14ac:dyDescent="0.2">
      <c r="A4078" s="11" t="str">
        <f t="shared" si="1325"/>
        <v>VN000D1GBA21</v>
      </c>
      <c r="B4078" s="12" t="s">
        <v>14501</v>
      </c>
      <c r="C4078" s="12" t="s">
        <v>9139</v>
      </c>
      <c r="D4078" s="12" t="s">
        <v>1844</v>
      </c>
      <c r="E4078" s="12" t="s">
        <v>14502</v>
      </c>
      <c r="F4078" s="13">
        <v>70</v>
      </c>
      <c r="G4078" s="14"/>
      <c r="H4078" s="12" t="s">
        <v>38</v>
      </c>
      <c r="I4078" s="12" t="s">
        <v>159</v>
      </c>
      <c r="J4078" s="12" t="s">
        <v>341</v>
      </c>
      <c r="K4078" s="12" t="s">
        <v>199</v>
      </c>
      <c r="L4078" s="14"/>
      <c r="M4078" s="12" t="s">
        <v>43</v>
      </c>
      <c r="N4078" s="12" t="s">
        <v>84</v>
      </c>
      <c r="O4078" s="12" t="s">
        <v>14503</v>
      </c>
      <c r="P4078" s="12" t="s">
        <v>46</v>
      </c>
      <c r="Q4078" s="12" t="s">
        <v>47</v>
      </c>
      <c r="R4078" s="12" t="s">
        <v>163</v>
      </c>
      <c r="S4078" s="13">
        <v>197643266488</v>
      </c>
      <c r="T4078" s="12" t="s">
        <v>105</v>
      </c>
      <c r="U4078" s="13">
        <v>39</v>
      </c>
      <c r="V4078" s="12" t="s">
        <v>50</v>
      </c>
      <c r="W4078" s="12" t="s">
        <v>51</v>
      </c>
      <c r="X4078" s="14"/>
      <c r="Y4078" s="12" t="s">
        <v>91</v>
      </c>
      <c r="Z4078" s="12" t="s">
        <v>14497</v>
      </c>
      <c r="AA4078" s="14"/>
      <c r="AB4078" s="14"/>
      <c r="AC4078" s="15">
        <v>59.1</v>
      </c>
      <c r="AD4078" s="15">
        <f>AC4078*AG4078</f>
        <v>59.1</v>
      </c>
      <c r="AE4078" s="15">
        <v>130</v>
      </c>
      <c r="AF4078" s="15">
        <f>AE4078*AG4078</f>
        <v>130</v>
      </c>
      <c r="AG4078" s="16">
        <v>1</v>
      </c>
    </row>
    <row r="4079" spans="1:33" ht="15" customHeight="1" x14ac:dyDescent="0.2">
      <c r="A4079" s="11" t="str">
        <f t="shared" si="1325"/>
        <v>VN000D1GBA21</v>
      </c>
      <c r="B4079" s="12" t="s">
        <v>14504</v>
      </c>
      <c r="C4079" s="12" t="s">
        <v>9139</v>
      </c>
      <c r="D4079" s="12" t="s">
        <v>1844</v>
      </c>
      <c r="E4079" s="12" t="s">
        <v>14505</v>
      </c>
      <c r="F4079" s="13">
        <v>90</v>
      </c>
      <c r="G4079" s="14"/>
      <c r="H4079" s="12" t="s">
        <v>38</v>
      </c>
      <c r="I4079" s="12" t="s">
        <v>159</v>
      </c>
      <c r="J4079" s="12" t="s">
        <v>341</v>
      </c>
      <c r="K4079" s="12" t="s">
        <v>199</v>
      </c>
      <c r="L4079" s="14"/>
      <c r="M4079" s="12" t="s">
        <v>43</v>
      </c>
      <c r="N4079" s="12" t="s">
        <v>84</v>
      </c>
      <c r="O4079" s="12" t="s">
        <v>14506</v>
      </c>
      <c r="P4079" s="12" t="s">
        <v>46</v>
      </c>
      <c r="Q4079" s="12" t="s">
        <v>47</v>
      </c>
      <c r="R4079" s="12" t="s">
        <v>163</v>
      </c>
      <c r="S4079" s="13">
        <v>197643267034</v>
      </c>
      <c r="T4079" s="12" t="s">
        <v>105</v>
      </c>
      <c r="U4079" s="13">
        <v>42</v>
      </c>
      <c r="V4079" s="12" t="s">
        <v>50</v>
      </c>
      <c r="W4079" s="12" t="s">
        <v>51</v>
      </c>
      <c r="X4079" s="14"/>
      <c r="Y4079" s="12" t="s">
        <v>91</v>
      </c>
      <c r="Z4079" s="12" t="s">
        <v>14497</v>
      </c>
      <c r="AA4079" s="14"/>
      <c r="AB4079" s="14"/>
      <c r="AC4079" s="15">
        <v>59.1</v>
      </c>
      <c r="AD4079" s="15">
        <f>AC4079*AG4079</f>
        <v>59.1</v>
      </c>
      <c r="AE4079" s="15">
        <v>130</v>
      </c>
      <c r="AF4079" s="15">
        <f>AE4079*AG4079</f>
        <v>130</v>
      </c>
      <c r="AG4079" s="16">
        <v>1</v>
      </c>
    </row>
    <row r="4080" spans="1:33" ht="15" customHeight="1" x14ac:dyDescent="0.2">
      <c r="A4080" s="11" t="str">
        <f>HYPERLINK("https://assets.vans.eu/images/VN000D1H1NU-HERO/1","VN000D1H1NU1")</f>
        <v>VN000D1H1NU1</v>
      </c>
      <c r="B4080" s="12" t="s">
        <v>14507</v>
      </c>
      <c r="C4080" s="12" t="s">
        <v>1614</v>
      </c>
      <c r="D4080" s="12" t="s">
        <v>783</v>
      </c>
      <c r="E4080" s="12" t="s">
        <v>14508</v>
      </c>
      <c r="F4080" s="13">
        <v>45</v>
      </c>
      <c r="G4080" s="12" t="s">
        <v>5020</v>
      </c>
      <c r="H4080" s="12" t="s">
        <v>38</v>
      </c>
      <c r="I4080" s="12" t="s">
        <v>113</v>
      </c>
      <c r="J4080" s="12" t="s">
        <v>529</v>
      </c>
      <c r="K4080" s="12" t="s">
        <v>82</v>
      </c>
      <c r="L4080" s="14"/>
      <c r="M4080" s="12" t="s">
        <v>43</v>
      </c>
      <c r="N4080" s="12" t="s">
        <v>44</v>
      </c>
      <c r="O4080" s="12" t="s">
        <v>14509</v>
      </c>
      <c r="P4080" s="12" t="s">
        <v>46</v>
      </c>
      <c r="Q4080" s="12" t="s">
        <v>47</v>
      </c>
      <c r="R4080" s="12" t="s">
        <v>117</v>
      </c>
      <c r="S4080" s="13">
        <v>197643312086</v>
      </c>
      <c r="T4080" s="12" t="s">
        <v>49</v>
      </c>
      <c r="U4080" s="13">
        <v>36</v>
      </c>
      <c r="V4080" s="12" t="s">
        <v>50</v>
      </c>
      <c r="W4080" s="12" t="s">
        <v>186</v>
      </c>
      <c r="X4080" s="14"/>
      <c r="Y4080" s="12" t="s">
        <v>53</v>
      </c>
      <c r="Z4080" s="12" t="s">
        <v>263</v>
      </c>
      <c r="AA4080" s="14"/>
      <c r="AB4080" s="14"/>
      <c r="AC4080" s="15">
        <v>50</v>
      </c>
      <c r="AD4080" s="15">
        <f>AC4080*AG4080</f>
        <v>50</v>
      </c>
      <c r="AE4080" s="15">
        <v>110</v>
      </c>
      <c r="AF4080" s="15">
        <f>AE4080*AG4080</f>
        <v>110</v>
      </c>
      <c r="AG4080" s="16">
        <v>1</v>
      </c>
    </row>
    <row r="4081" spans="1:33" ht="15" customHeight="1" x14ac:dyDescent="0.2">
      <c r="A4081" s="11" t="str">
        <f>HYPERLINK("https://assets.vans.eu/images/VN000D1H4QU-HERO/1","VN000D1H4QU1")</f>
        <v>VN000D1H4QU1</v>
      </c>
      <c r="B4081" s="12" t="s">
        <v>14510</v>
      </c>
      <c r="C4081" s="12" t="s">
        <v>1614</v>
      </c>
      <c r="D4081" s="12" t="s">
        <v>1057</v>
      </c>
      <c r="E4081" s="12" t="s">
        <v>14511</v>
      </c>
      <c r="F4081" s="13">
        <v>95</v>
      </c>
      <c r="G4081" s="12" t="s">
        <v>9063</v>
      </c>
      <c r="H4081" s="12" t="s">
        <v>38</v>
      </c>
      <c r="I4081" s="12" t="s">
        <v>159</v>
      </c>
      <c r="J4081" s="12" t="s">
        <v>255</v>
      </c>
      <c r="K4081" s="12" t="s">
        <v>82</v>
      </c>
      <c r="L4081" s="14"/>
      <c r="M4081" s="12" t="s">
        <v>43</v>
      </c>
      <c r="N4081" s="12" t="s">
        <v>161</v>
      </c>
      <c r="O4081" s="12" t="s">
        <v>14512</v>
      </c>
      <c r="P4081" s="12" t="s">
        <v>46</v>
      </c>
      <c r="Q4081" s="12" t="s">
        <v>47</v>
      </c>
      <c r="R4081" s="12" t="s">
        <v>163</v>
      </c>
      <c r="S4081" s="13">
        <v>197065690168</v>
      </c>
      <c r="T4081" s="12" t="s">
        <v>49</v>
      </c>
      <c r="U4081" s="13">
        <v>42.5</v>
      </c>
      <c r="V4081" s="12" t="s">
        <v>50</v>
      </c>
      <c r="W4081" s="12" t="s">
        <v>262</v>
      </c>
      <c r="X4081" s="14"/>
      <c r="Y4081" s="12" t="s">
        <v>53</v>
      </c>
      <c r="Z4081" s="12" t="s">
        <v>263</v>
      </c>
      <c r="AA4081" s="14"/>
      <c r="AB4081" s="14"/>
      <c r="AC4081" s="15">
        <v>50</v>
      </c>
      <c r="AD4081" s="15">
        <f>AC4081*AG4081</f>
        <v>50</v>
      </c>
      <c r="AE4081" s="15">
        <v>110</v>
      </c>
      <c r="AF4081" s="15">
        <f>AE4081*AG4081</f>
        <v>110</v>
      </c>
      <c r="AG4081" s="16">
        <v>1</v>
      </c>
    </row>
    <row r="4082" spans="1:33" ht="15" customHeight="1" x14ac:dyDescent="0.2">
      <c r="A4082" s="11" t="str">
        <f t="shared" si="784"/>
        <v>VN000D1H7VF1</v>
      </c>
      <c r="B4082" s="12" t="s">
        <v>14513</v>
      </c>
      <c r="C4082" s="12" t="s">
        <v>1614</v>
      </c>
      <c r="D4082" s="12" t="s">
        <v>641</v>
      </c>
      <c r="E4082" s="12" t="s">
        <v>14514</v>
      </c>
      <c r="F4082" s="13">
        <v>50</v>
      </c>
      <c r="G4082" s="12" t="s">
        <v>1617</v>
      </c>
      <c r="H4082" s="12" t="s">
        <v>38</v>
      </c>
      <c r="I4082" s="12" t="s">
        <v>113</v>
      </c>
      <c r="J4082" s="12" t="s">
        <v>529</v>
      </c>
      <c r="K4082" s="12" t="s">
        <v>82</v>
      </c>
      <c r="L4082" s="14"/>
      <c r="M4082" s="12" t="s">
        <v>43</v>
      </c>
      <c r="N4082" s="12" t="s">
        <v>44</v>
      </c>
      <c r="O4082" s="12" t="s">
        <v>14515</v>
      </c>
      <c r="P4082" s="12" t="s">
        <v>46</v>
      </c>
      <c r="Q4082" s="12" t="s">
        <v>47</v>
      </c>
      <c r="R4082" s="12" t="s">
        <v>117</v>
      </c>
      <c r="S4082" s="13">
        <v>197643312178</v>
      </c>
      <c r="T4082" s="12" t="s">
        <v>105</v>
      </c>
      <c r="U4082" s="13">
        <v>36.5</v>
      </c>
      <c r="V4082" s="12" t="s">
        <v>50</v>
      </c>
      <c r="W4082" s="12" t="s">
        <v>455</v>
      </c>
      <c r="X4082" s="14"/>
      <c r="Y4082" s="12" t="s">
        <v>53</v>
      </c>
      <c r="Z4082" s="12" t="s">
        <v>263</v>
      </c>
      <c r="AA4082" s="14"/>
      <c r="AB4082" s="14"/>
      <c r="AC4082" s="15">
        <v>50</v>
      </c>
      <c r="AD4082" s="15">
        <f>AC4082*AG4082</f>
        <v>50</v>
      </c>
      <c r="AE4082" s="15">
        <v>110</v>
      </c>
      <c r="AF4082" s="15">
        <f>AE4082*AG4082</f>
        <v>110</v>
      </c>
      <c r="AG4082" s="16">
        <v>1</v>
      </c>
    </row>
    <row r="4083" spans="1:33" ht="15" customHeight="1" x14ac:dyDescent="0.2">
      <c r="A4083" s="11" t="str">
        <f>HYPERLINK("https://assets.vans.eu/images/VN000D1H887-HERO/1","VN000D1H8871")</f>
        <v>VN000D1H8871</v>
      </c>
      <c r="B4083" s="12" t="s">
        <v>14516</v>
      </c>
      <c r="C4083" s="12" t="s">
        <v>1614</v>
      </c>
      <c r="D4083" s="12" t="s">
        <v>1249</v>
      </c>
      <c r="E4083" s="12" t="s">
        <v>14517</v>
      </c>
      <c r="F4083" s="13">
        <v>130</v>
      </c>
      <c r="G4083" s="14"/>
      <c r="H4083" s="12" t="s">
        <v>38</v>
      </c>
      <c r="I4083" s="12" t="s">
        <v>113</v>
      </c>
      <c r="J4083" s="12" t="s">
        <v>529</v>
      </c>
      <c r="K4083" s="12" t="s">
        <v>82</v>
      </c>
      <c r="L4083" s="14"/>
      <c r="M4083" s="12" t="s">
        <v>43</v>
      </c>
      <c r="N4083" s="12" t="s">
        <v>44</v>
      </c>
      <c r="O4083" s="12" t="s">
        <v>14518</v>
      </c>
      <c r="P4083" s="12" t="s">
        <v>46</v>
      </c>
      <c r="Q4083" s="12" t="s">
        <v>47</v>
      </c>
      <c r="R4083" s="12" t="s">
        <v>117</v>
      </c>
      <c r="S4083" s="13">
        <v>197643314912</v>
      </c>
      <c r="T4083" s="12" t="s">
        <v>49</v>
      </c>
      <c r="U4083" s="13">
        <v>47</v>
      </c>
      <c r="V4083" s="12" t="s">
        <v>50</v>
      </c>
      <c r="W4083" s="12" t="s">
        <v>284</v>
      </c>
      <c r="X4083" s="14"/>
      <c r="Y4083" s="12" t="s">
        <v>53</v>
      </c>
      <c r="Z4083" s="12" t="s">
        <v>263</v>
      </c>
      <c r="AA4083" s="14"/>
      <c r="AB4083" s="14"/>
      <c r="AC4083" s="15">
        <v>50</v>
      </c>
      <c r="AD4083" s="15">
        <f>AC4083*AG4083</f>
        <v>50</v>
      </c>
      <c r="AE4083" s="15">
        <v>110</v>
      </c>
      <c r="AF4083" s="15">
        <f>AE4083*AG4083</f>
        <v>110</v>
      </c>
      <c r="AG4083" s="16">
        <v>1</v>
      </c>
    </row>
    <row r="4084" spans="1:33" ht="15" customHeight="1" x14ac:dyDescent="0.2">
      <c r="A4084" s="11" t="str">
        <f>HYPERLINK("https://assets.vans.eu/images/VN000D1HAMI-HERO/1","VN000D1HAMI1")</f>
        <v>VN000D1HAMI1</v>
      </c>
      <c r="B4084" s="12" t="s">
        <v>14519</v>
      </c>
      <c r="C4084" s="12" t="s">
        <v>1614</v>
      </c>
      <c r="D4084" s="12" t="s">
        <v>14520</v>
      </c>
      <c r="E4084" s="12" t="s">
        <v>14521</v>
      </c>
      <c r="F4084" s="13">
        <v>85</v>
      </c>
      <c r="G4084" s="14"/>
      <c r="H4084" s="12" t="s">
        <v>38</v>
      </c>
      <c r="I4084" s="12" t="s">
        <v>159</v>
      </c>
      <c r="J4084" s="12" t="s">
        <v>255</v>
      </c>
      <c r="K4084" s="12" t="s">
        <v>82</v>
      </c>
      <c r="L4084" s="12" t="s">
        <v>115</v>
      </c>
      <c r="M4084" s="12" t="s">
        <v>43</v>
      </c>
      <c r="N4084" s="12" t="s">
        <v>161</v>
      </c>
      <c r="O4084" s="12" t="s">
        <v>14522</v>
      </c>
      <c r="P4084" s="12" t="s">
        <v>46</v>
      </c>
      <c r="Q4084" s="12" t="s">
        <v>47</v>
      </c>
      <c r="R4084" s="12" t="s">
        <v>163</v>
      </c>
      <c r="S4084" s="13">
        <v>197643126188</v>
      </c>
      <c r="T4084" s="12" t="s">
        <v>49</v>
      </c>
      <c r="U4084" s="13">
        <v>41</v>
      </c>
      <c r="V4084" s="12" t="s">
        <v>50</v>
      </c>
      <c r="W4084" s="12" t="s">
        <v>175</v>
      </c>
      <c r="X4084" s="14"/>
      <c r="Y4084" s="12" t="s">
        <v>91</v>
      </c>
      <c r="Z4084" s="12" t="s">
        <v>92</v>
      </c>
      <c r="AA4084" s="12" t="s">
        <v>3224</v>
      </c>
      <c r="AB4084" s="12" t="s">
        <v>94</v>
      </c>
      <c r="AC4084" s="15">
        <v>50</v>
      </c>
      <c r="AD4084" s="15">
        <f>AC4084*AG4084</f>
        <v>50</v>
      </c>
      <c r="AE4084" s="15">
        <v>110</v>
      </c>
      <c r="AF4084" s="15">
        <f>AE4084*AG4084</f>
        <v>110</v>
      </c>
      <c r="AG4084" s="16">
        <v>1</v>
      </c>
    </row>
    <row r="4085" spans="1:33" ht="15" customHeight="1" x14ac:dyDescent="0.2">
      <c r="A4085" s="11" t="str">
        <f>HYPERLINK("https://assets.vans.eu/images/VN000D1HBXU-HERO/1","VN000D1HBXU1")</f>
        <v>VN000D1HBXU1</v>
      </c>
      <c r="B4085" s="12" t="s">
        <v>14523</v>
      </c>
      <c r="C4085" s="12" t="s">
        <v>1614</v>
      </c>
      <c r="D4085" s="12" t="s">
        <v>14524</v>
      </c>
      <c r="E4085" s="12" t="s">
        <v>14525</v>
      </c>
      <c r="F4085" s="13">
        <v>70</v>
      </c>
      <c r="G4085" s="12" t="s">
        <v>9063</v>
      </c>
      <c r="H4085" s="12" t="s">
        <v>38</v>
      </c>
      <c r="I4085" s="12" t="s">
        <v>113</v>
      </c>
      <c r="J4085" s="12" t="s">
        <v>529</v>
      </c>
      <c r="K4085" s="12" t="s">
        <v>82</v>
      </c>
      <c r="L4085" s="14"/>
      <c r="M4085" s="12" t="s">
        <v>43</v>
      </c>
      <c r="N4085" s="12" t="s">
        <v>161</v>
      </c>
      <c r="O4085" s="12" t="s">
        <v>14526</v>
      </c>
      <c r="P4085" s="12" t="s">
        <v>46</v>
      </c>
      <c r="Q4085" s="12" t="s">
        <v>47</v>
      </c>
      <c r="R4085" s="12" t="s">
        <v>117</v>
      </c>
      <c r="S4085" s="13">
        <v>197065689780</v>
      </c>
      <c r="T4085" s="12" t="s">
        <v>49</v>
      </c>
      <c r="U4085" s="13">
        <v>39</v>
      </c>
      <c r="V4085" s="12" t="s">
        <v>50</v>
      </c>
      <c r="W4085" s="12" t="s">
        <v>118</v>
      </c>
      <c r="X4085" s="14"/>
      <c r="Y4085" s="12" t="s">
        <v>53</v>
      </c>
      <c r="Z4085" s="12" t="s">
        <v>263</v>
      </c>
      <c r="AA4085" s="14"/>
      <c r="AB4085" s="14"/>
      <c r="AC4085" s="15">
        <v>50</v>
      </c>
      <c r="AD4085" s="15">
        <f>AC4085*AG4085</f>
        <v>50</v>
      </c>
      <c r="AE4085" s="15">
        <v>110</v>
      </c>
      <c r="AF4085" s="15">
        <f>AE4085*AG4085</f>
        <v>110</v>
      </c>
      <c r="AG4085" s="16">
        <v>1</v>
      </c>
    </row>
    <row r="4086" spans="1:33" ht="15" customHeight="1" x14ac:dyDescent="0.2">
      <c r="A4086" s="11" t="str">
        <f t="shared" ref="A4086:A4087" si="1326">HYPERLINK("https://assets.vans.eu/images/VN000D1HE2V-HERO/1","VN000D1HE2V1")</f>
        <v>VN000D1HE2V1</v>
      </c>
      <c r="B4086" s="12" t="s">
        <v>14527</v>
      </c>
      <c r="C4086" s="12" t="s">
        <v>1614</v>
      </c>
      <c r="D4086" s="12" t="s">
        <v>9276</v>
      </c>
      <c r="E4086" s="12" t="s">
        <v>14528</v>
      </c>
      <c r="F4086" s="13">
        <v>50</v>
      </c>
      <c r="G4086" s="12" t="s">
        <v>14529</v>
      </c>
      <c r="H4086" s="12" t="s">
        <v>38</v>
      </c>
      <c r="I4086" s="12" t="s">
        <v>113</v>
      </c>
      <c r="J4086" s="12" t="s">
        <v>529</v>
      </c>
      <c r="K4086" s="12" t="s">
        <v>82</v>
      </c>
      <c r="L4086" s="14"/>
      <c r="M4086" s="12" t="s">
        <v>43</v>
      </c>
      <c r="N4086" s="12" t="s">
        <v>44</v>
      </c>
      <c r="O4086" s="12" t="s">
        <v>14530</v>
      </c>
      <c r="P4086" s="12" t="s">
        <v>46</v>
      </c>
      <c r="Q4086" s="12" t="s">
        <v>47</v>
      </c>
      <c r="R4086" s="12" t="s">
        <v>117</v>
      </c>
      <c r="S4086" s="13">
        <v>197643312208</v>
      </c>
      <c r="T4086" s="12" t="s">
        <v>49</v>
      </c>
      <c r="U4086" s="13">
        <v>36.5</v>
      </c>
      <c r="V4086" s="12" t="s">
        <v>50</v>
      </c>
      <c r="W4086" s="12" t="s">
        <v>580</v>
      </c>
      <c r="X4086" s="14"/>
      <c r="Y4086" s="12" t="s">
        <v>53</v>
      </c>
      <c r="Z4086" s="12" t="s">
        <v>263</v>
      </c>
      <c r="AA4086" s="14"/>
      <c r="AB4086" s="14"/>
      <c r="AC4086" s="15">
        <v>50</v>
      </c>
      <c r="AD4086" s="15">
        <f>AC4086*AG4086</f>
        <v>50</v>
      </c>
      <c r="AE4086" s="15">
        <v>110</v>
      </c>
      <c r="AF4086" s="15">
        <f>AE4086*AG4086</f>
        <v>110</v>
      </c>
      <c r="AG4086" s="16">
        <v>1</v>
      </c>
    </row>
    <row r="4087" spans="1:33" ht="15" customHeight="1" x14ac:dyDescent="0.2">
      <c r="A4087" s="11" t="str">
        <f t="shared" si="1326"/>
        <v>VN000D1HE2V1</v>
      </c>
      <c r="B4087" s="12" t="s">
        <v>14531</v>
      </c>
      <c r="C4087" s="12" t="s">
        <v>1614</v>
      </c>
      <c r="D4087" s="12" t="s">
        <v>9276</v>
      </c>
      <c r="E4087" s="12" t="s">
        <v>14532</v>
      </c>
      <c r="F4087" s="13">
        <v>65</v>
      </c>
      <c r="G4087" s="12" t="s">
        <v>14529</v>
      </c>
      <c r="H4087" s="12" t="s">
        <v>38</v>
      </c>
      <c r="I4087" s="12" t="s">
        <v>113</v>
      </c>
      <c r="J4087" s="12" t="s">
        <v>529</v>
      </c>
      <c r="K4087" s="12" t="s">
        <v>82</v>
      </c>
      <c r="L4087" s="14"/>
      <c r="M4087" s="12" t="s">
        <v>43</v>
      </c>
      <c r="N4087" s="12" t="s">
        <v>44</v>
      </c>
      <c r="O4087" s="12" t="s">
        <v>14533</v>
      </c>
      <c r="P4087" s="12" t="s">
        <v>46</v>
      </c>
      <c r="Q4087" s="12" t="s">
        <v>47</v>
      </c>
      <c r="R4087" s="12" t="s">
        <v>117</v>
      </c>
      <c r="S4087" s="13">
        <v>197643312826</v>
      </c>
      <c r="T4087" s="12" t="s">
        <v>49</v>
      </c>
      <c r="U4087" s="13">
        <v>38.5</v>
      </c>
      <c r="V4087" s="12" t="s">
        <v>50</v>
      </c>
      <c r="W4087" s="12" t="s">
        <v>580</v>
      </c>
      <c r="X4087" s="14"/>
      <c r="Y4087" s="12" t="s">
        <v>53</v>
      </c>
      <c r="Z4087" s="12" t="s">
        <v>263</v>
      </c>
      <c r="AA4087" s="14"/>
      <c r="AB4087" s="14"/>
      <c r="AC4087" s="15">
        <v>50</v>
      </c>
      <c r="AD4087" s="15">
        <f>AC4087*AG4087</f>
        <v>50</v>
      </c>
      <c r="AE4087" s="15">
        <v>110</v>
      </c>
      <c r="AF4087" s="15">
        <f>AE4087*AG4087</f>
        <v>110</v>
      </c>
      <c r="AG4087" s="16">
        <v>1</v>
      </c>
    </row>
    <row r="4088" spans="1:33" ht="15" customHeight="1" x14ac:dyDescent="0.2">
      <c r="A4088" s="11" t="str">
        <f>HYPERLINK("https://assets.vans.eu/images/VN000D1HEEI-HERO/1","VN000D1HEEI1")</f>
        <v>VN000D1HEEI1</v>
      </c>
      <c r="B4088" s="12" t="s">
        <v>14534</v>
      </c>
      <c r="C4088" s="12" t="s">
        <v>1614</v>
      </c>
      <c r="D4088" s="12" t="s">
        <v>4347</v>
      </c>
      <c r="E4088" s="12" t="s">
        <v>14535</v>
      </c>
      <c r="F4088" s="13">
        <v>90</v>
      </c>
      <c r="G4088" s="14"/>
      <c r="H4088" s="12" t="s">
        <v>38</v>
      </c>
      <c r="I4088" s="12" t="s">
        <v>159</v>
      </c>
      <c r="J4088" s="12" t="s">
        <v>255</v>
      </c>
      <c r="K4088" s="12" t="s">
        <v>82</v>
      </c>
      <c r="L4088" s="12" t="s">
        <v>115</v>
      </c>
      <c r="M4088" s="12" t="s">
        <v>43</v>
      </c>
      <c r="N4088" s="12" t="s">
        <v>44</v>
      </c>
      <c r="O4088" s="12" t="s">
        <v>14536</v>
      </c>
      <c r="P4088" s="12" t="s">
        <v>46</v>
      </c>
      <c r="Q4088" s="12" t="s">
        <v>47</v>
      </c>
      <c r="R4088" s="12" t="s">
        <v>163</v>
      </c>
      <c r="S4088" s="13">
        <v>197803722649</v>
      </c>
      <c r="T4088" s="12" t="s">
        <v>49</v>
      </c>
      <c r="U4088" s="13">
        <v>42</v>
      </c>
      <c r="V4088" s="12" t="s">
        <v>50</v>
      </c>
      <c r="W4088" s="12" t="s">
        <v>118</v>
      </c>
      <c r="X4088" s="14"/>
      <c r="Y4088" s="12" t="s">
        <v>53</v>
      </c>
      <c r="Z4088" s="12" t="s">
        <v>92</v>
      </c>
      <c r="AA4088" s="12" t="s">
        <v>2287</v>
      </c>
      <c r="AB4088" s="12" t="s">
        <v>94</v>
      </c>
      <c r="AC4088" s="15">
        <v>50</v>
      </c>
      <c r="AD4088" s="15">
        <f>AC4088*AG4088</f>
        <v>50</v>
      </c>
      <c r="AE4088" s="15">
        <v>110</v>
      </c>
      <c r="AF4088" s="15">
        <f>AE4088*AG4088</f>
        <v>110</v>
      </c>
      <c r="AG4088" s="16">
        <v>1</v>
      </c>
    </row>
    <row r="4089" spans="1:33" ht="15" customHeight="1" x14ac:dyDescent="0.2">
      <c r="A4089" s="11" t="str">
        <f>HYPERLINK("https://assets.vans.eu/images/VN000D1HFUH-HERO/1","VN000D1HFUH1")</f>
        <v>VN000D1HFUH1</v>
      </c>
      <c r="B4089" s="12" t="s">
        <v>14537</v>
      </c>
      <c r="C4089" s="12" t="s">
        <v>1614</v>
      </c>
      <c r="D4089" s="12" t="s">
        <v>14538</v>
      </c>
      <c r="E4089" s="12" t="s">
        <v>14539</v>
      </c>
      <c r="F4089" s="13">
        <v>65</v>
      </c>
      <c r="G4089" s="12" t="s">
        <v>528</v>
      </c>
      <c r="H4089" s="12" t="s">
        <v>38</v>
      </c>
      <c r="I4089" s="12" t="s">
        <v>159</v>
      </c>
      <c r="J4089" s="12" t="s">
        <v>255</v>
      </c>
      <c r="K4089" s="12" t="s">
        <v>82</v>
      </c>
      <c r="L4089" s="14"/>
      <c r="M4089" s="12" t="s">
        <v>43</v>
      </c>
      <c r="N4089" s="12" t="s">
        <v>84</v>
      </c>
      <c r="O4089" s="12" t="s">
        <v>14540</v>
      </c>
      <c r="P4089" s="12" t="s">
        <v>46</v>
      </c>
      <c r="Q4089" s="12" t="s">
        <v>47</v>
      </c>
      <c r="R4089" s="12" t="s">
        <v>163</v>
      </c>
      <c r="S4089" s="13">
        <v>197804587179</v>
      </c>
      <c r="T4089" s="12" t="s">
        <v>49</v>
      </c>
      <c r="U4089" s="13">
        <v>38.5</v>
      </c>
      <c r="V4089" s="12" t="s">
        <v>50</v>
      </c>
      <c r="W4089" s="12" t="s">
        <v>284</v>
      </c>
      <c r="X4089" s="14"/>
      <c r="Y4089" s="14"/>
      <c r="Z4089" s="14"/>
      <c r="AA4089" s="14"/>
      <c r="AB4089" s="14"/>
      <c r="AC4089" s="15">
        <v>50</v>
      </c>
      <c r="AD4089" s="15">
        <f>AC4089*AG4089</f>
        <v>50</v>
      </c>
      <c r="AE4089" s="15">
        <v>110</v>
      </c>
      <c r="AF4089" s="15">
        <f>AE4089*AG4089</f>
        <v>110</v>
      </c>
      <c r="AG4089" s="16">
        <v>1</v>
      </c>
    </row>
    <row r="4090" spans="1:33" ht="15" customHeight="1" x14ac:dyDescent="0.2">
      <c r="A4090" s="11" t="str">
        <f>HYPERLINK("https://assets.vans.eu/images/VN000D1HLIM-HERO/1","VN000D1HLIM1")</f>
        <v>VN000D1HLIM1</v>
      </c>
      <c r="B4090" s="12" t="s">
        <v>14541</v>
      </c>
      <c r="C4090" s="12" t="s">
        <v>1614</v>
      </c>
      <c r="D4090" s="12" t="s">
        <v>14542</v>
      </c>
      <c r="E4090" s="12" t="s">
        <v>14543</v>
      </c>
      <c r="F4090" s="13">
        <v>95</v>
      </c>
      <c r="G4090" s="12" t="s">
        <v>14544</v>
      </c>
      <c r="H4090" s="12" t="s">
        <v>38</v>
      </c>
      <c r="I4090" s="12" t="s">
        <v>113</v>
      </c>
      <c r="J4090" s="12" t="s">
        <v>529</v>
      </c>
      <c r="K4090" s="12" t="s">
        <v>82</v>
      </c>
      <c r="L4090" s="14"/>
      <c r="M4090" s="12" t="s">
        <v>43</v>
      </c>
      <c r="N4090" s="12" t="s">
        <v>161</v>
      </c>
      <c r="O4090" s="12" t="s">
        <v>14545</v>
      </c>
      <c r="P4090" s="12" t="s">
        <v>46</v>
      </c>
      <c r="Q4090" s="12" t="s">
        <v>47</v>
      </c>
      <c r="R4090" s="12" t="s">
        <v>117</v>
      </c>
      <c r="S4090" s="13">
        <v>197065690861</v>
      </c>
      <c r="T4090" s="12" t="s">
        <v>49</v>
      </c>
      <c r="U4090" s="13">
        <v>42.5</v>
      </c>
      <c r="V4090" s="12" t="s">
        <v>50</v>
      </c>
      <c r="W4090" s="12" t="s">
        <v>118</v>
      </c>
      <c r="X4090" s="14"/>
      <c r="Y4090" s="12" t="s">
        <v>53</v>
      </c>
      <c r="Z4090" s="12" t="s">
        <v>263</v>
      </c>
      <c r="AA4090" s="14"/>
      <c r="AB4090" s="14"/>
      <c r="AC4090" s="15">
        <v>50</v>
      </c>
      <c r="AD4090" s="15">
        <f>AC4090*AG4090</f>
        <v>50</v>
      </c>
      <c r="AE4090" s="15">
        <v>110</v>
      </c>
      <c r="AF4090" s="15">
        <f>AE4090*AG4090</f>
        <v>110</v>
      </c>
      <c r="AG4090" s="16">
        <v>1</v>
      </c>
    </row>
    <row r="4091" spans="1:33" ht="15" customHeight="1" x14ac:dyDescent="0.2">
      <c r="A4091" s="11" t="str">
        <f t="shared" ref="A4091:A4094" si="1327">HYPERLINK("https://assets.vans.eu/images/VN000D1HPRP-HERO/1","VN000D1HPRP1")</f>
        <v>VN000D1HPRP1</v>
      </c>
      <c r="B4091" s="12" t="s">
        <v>14546</v>
      </c>
      <c r="C4091" s="12" t="s">
        <v>1614</v>
      </c>
      <c r="D4091" s="12" t="s">
        <v>526</v>
      </c>
      <c r="E4091" s="12" t="s">
        <v>14547</v>
      </c>
      <c r="F4091" s="13">
        <v>45</v>
      </c>
      <c r="G4091" s="12" t="s">
        <v>14544</v>
      </c>
      <c r="H4091" s="12" t="s">
        <v>38</v>
      </c>
      <c r="I4091" s="12" t="s">
        <v>113</v>
      </c>
      <c r="J4091" s="12" t="s">
        <v>529</v>
      </c>
      <c r="K4091" s="12" t="s">
        <v>82</v>
      </c>
      <c r="L4091" s="14"/>
      <c r="M4091" s="12" t="s">
        <v>43</v>
      </c>
      <c r="N4091" s="12" t="s">
        <v>161</v>
      </c>
      <c r="O4091" s="12" t="s">
        <v>14548</v>
      </c>
      <c r="P4091" s="12" t="s">
        <v>46</v>
      </c>
      <c r="Q4091" s="12" t="s">
        <v>47</v>
      </c>
      <c r="R4091" s="12" t="s">
        <v>117</v>
      </c>
      <c r="S4091" s="13">
        <v>197065689483</v>
      </c>
      <c r="T4091" s="12" t="s">
        <v>49</v>
      </c>
      <c r="U4091" s="13">
        <v>36</v>
      </c>
      <c r="V4091" s="12" t="s">
        <v>50</v>
      </c>
      <c r="W4091" s="12" t="s">
        <v>107</v>
      </c>
      <c r="X4091" s="14"/>
      <c r="Y4091" s="12" t="s">
        <v>53</v>
      </c>
      <c r="Z4091" s="12" t="s">
        <v>263</v>
      </c>
      <c r="AA4091" s="14"/>
      <c r="AB4091" s="14"/>
      <c r="AC4091" s="15">
        <v>50</v>
      </c>
      <c r="AD4091" s="15">
        <f>AC4091*AG4091</f>
        <v>50</v>
      </c>
      <c r="AE4091" s="15">
        <v>110</v>
      </c>
      <c r="AF4091" s="15">
        <f>AE4091*AG4091</f>
        <v>110</v>
      </c>
      <c r="AG4091" s="16">
        <v>1</v>
      </c>
    </row>
    <row r="4092" spans="1:33" ht="15" customHeight="1" x14ac:dyDescent="0.2">
      <c r="A4092" s="11" t="str">
        <f t="shared" si="1327"/>
        <v>VN000D1HPRP1</v>
      </c>
      <c r="B4092" s="12" t="s">
        <v>14549</v>
      </c>
      <c r="C4092" s="12" t="s">
        <v>1614</v>
      </c>
      <c r="D4092" s="12" t="s">
        <v>526</v>
      </c>
      <c r="E4092" s="12" t="s">
        <v>14550</v>
      </c>
      <c r="F4092" s="13">
        <v>55</v>
      </c>
      <c r="G4092" s="12" t="s">
        <v>14544</v>
      </c>
      <c r="H4092" s="12" t="s">
        <v>38</v>
      </c>
      <c r="I4092" s="12" t="s">
        <v>113</v>
      </c>
      <c r="J4092" s="12" t="s">
        <v>529</v>
      </c>
      <c r="K4092" s="12" t="s">
        <v>82</v>
      </c>
      <c r="L4092" s="14"/>
      <c r="M4092" s="12" t="s">
        <v>43</v>
      </c>
      <c r="N4092" s="12" t="s">
        <v>161</v>
      </c>
      <c r="O4092" s="12" t="s">
        <v>14551</v>
      </c>
      <c r="P4092" s="12" t="s">
        <v>46</v>
      </c>
      <c r="Q4092" s="12" t="s">
        <v>47</v>
      </c>
      <c r="R4092" s="12" t="s">
        <v>117</v>
      </c>
      <c r="S4092" s="13">
        <v>197065689728</v>
      </c>
      <c r="T4092" s="12" t="s">
        <v>49</v>
      </c>
      <c r="U4092" s="13">
        <v>37</v>
      </c>
      <c r="V4092" s="12" t="s">
        <v>50</v>
      </c>
      <c r="W4092" s="12" t="s">
        <v>107</v>
      </c>
      <c r="X4092" s="14"/>
      <c r="Y4092" s="12" t="s">
        <v>53</v>
      </c>
      <c r="Z4092" s="12" t="s">
        <v>263</v>
      </c>
      <c r="AA4092" s="14"/>
      <c r="AB4092" s="14"/>
      <c r="AC4092" s="15">
        <v>50</v>
      </c>
      <c r="AD4092" s="15">
        <f>AC4092*AG4092</f>
        <v>50</v>
      </c>
      <c r="AE4092" s="15">
        <v>110</v>
      </c>
      <c r="AF4092" s="15">
        <f>AE4092*AG4092</f>
        <v>110</v>
      </c>
      <c r="AG4092" s="16">
        <v>1</v>
      </c>
    </row>
    <row r="4093" spans="1:33" ht="15" customHeight="1" x14ac:dyDescent="0.2">
      <c r="A4093" s="11" t="str">
        <f t="shared" si="1327"/>
        <v>VN000D1HPRP1</v>
      </c>
      <c r="B4093" s="12" t="s">
        <v>14552</v>
      </c>
      <c r="C4093" s="12" t="s">
        <v>1614</v>
      </c>
      <c r="D4093" s="12" t="s">
        <v>526</v>
      </c>
      <c r="E4093" s="12" t="s">
        <v>14553</v>
      </c>
      <c r="F4093" s="13">
        <v>75</v>
      </c>
      <c r="G4093" s="12" t="s">
        <v>14544</v>
      </c>
      <c r="H4093" s="12" t="s">
        <v>38</v>
      </c>
      <c r="I4093" s="12" t="s">
        <v>113</v>
      </c>
      <c r="J4093" s="12" t="s">
        <v>529</v>
      </c>
      <c r="K4093" s="12" t="s">
        <v>82</v>
      </c>
      <c r="L4093" s="14"/>
      <c r="M4093" s="12" t="s">
        <v>43</v>
      </c>
      <c r="N4093" s="12" t="s">
        <v>161</v>
      </c>
      <c r="O4093" s="12" t="s">
        <v>14554</v>
      </c>
      <c r="P4093" s="12" t="s">
        <v>46</v>
      </c>
      <c r="Q4093" s="12" t="s">
        <v>47</v>
      </c>
      <c r="R4093" s="12" t="s">
        <v>117</v>
      </c>
      <c r="S4093" s="13">
        <v>197065690113</v>
      </c>
      <c r="T4093" s="12" t="s">
        <v>49</v>
      </c>
      <c r="U4093" s="13">
        <v>40</v>
      </c>
      <c r="V4093" s="12" t="s">
        <v>50</v>
      </c>
      <c r="W4093" s="12" t="s">
        <v>107</v>
      </c>
      <c r="X4093" s="14"/>
      <c r="Y4093" s="12" t="s">
        <v>53</v>
      </c>
      <c r="Z4093" s="12" t="s">
        <v>263</v>
      </c>
      <c r="AA4093" s="14"/>
      <c r="AB4093" s="14"/>
      <c r="AC4093" s="15">
        <v>50</v>
      </c>
      <c r="AD4093" s="15">
        <f>AC4093*AG4093</f>
        <v>50</v>
      </c>
      <c r="AE4093" s="15">
        <v>110</v>
      </c>
      <c r="AF4093" s="15">
        <f>AE4093*AG4093</f>
        <v>110</v>
      </c>
      <c r="AG4093" s="16">
        <v>1</v>
      </c>
    </row>
    <row r="4094" spans="1:33" ht="15" customHeight="1" x14ac:dyDescent="0.2">
      <c r="A4094" s="11" t="str">
        <f t="shared" si="1327"/>
        <v>VN000D1HPRP1</v>
      </c>
      <c r="B4094" s="12" t="s">
        <v>14555</v>
      </c>
      <c r="C4094" s="12" t="s">
        <v>1614</v>
      </c>
      <c r="D4094" s="12" t="s">
        <v>526</v>
      </c>
      <c r="E4094" s="12" t="s">
        <v>14556</v>
      </c>
      <c r="F4094" s="13">
        <v>80</v>
      </c>
      <c r="G4094" s="12" t="s">
        <v>14544</v>
      </c>
      <c r="H4094" s="12" t="s">
        <v>38</v>
      </c>
      <c r="I4094" s="12" t="s">
        <v>113</v>
      </c>
      <c r="J4094" s="12" t="s">
        <v>529</v>
      </c>
      <c r="K4094" s="12" t="s">
        <v>82</v>
      </c>
      <c r="L4094" s="14"/>
      <c r="M4094" s="12" t="s">
        <v>43</v>
      </c>
      <c r="N4094" s="12" t="s">
        <v>161</v>
      </c>
      <c r="O4094" s="12" t="s">
        <v>14557</v>
      </c>
      <c r="P4094" s="12" t="s">
        <v>46</v>
      </c>
      <c r="Q4094" s="12" t="s">
        <v>47</v>
      </c>
      <c r="R4094" s="12" t="s">
        <v>117</v>
      </c>
      <c r="S4094" s="13">
        <v>197065690199</v>
      </c>
      <c r="T4094" s="12" t="s">
        <v>49</v>
      </c>
      <c r="U4094" s="13">
        <v>40.5</v>
      </c>
      <c r="V4094" s="12" t="s">
        <v>50</v>
      </c>
      <c r="W4094" s="12" t="s">
        <v>107</v>
      </c>
      <c r="X4094" s="14"/>
      <c r="Y4094" s="12" t="s">
        <v>53</v>
      </c>
      <c r="Z4094" s="12" t="s">
        <v>263</v>
      </c>
      <c r="AA4094" s="14"/>
      <c r="AB4094" s="14"/>
      <c r="AC4094" s="15">
        <v>50</v>
      </c>
      <c r="AD4094" s="15">
        <f>AC4094*AG4094</f>
        <v>50</v>
      </c>
      <c r="AE4094" s="15">
        <v>110</v>
      </c>
      <c r="AF4094" s="15">
        <f>AE4094*AG4094</f>
        <v>110</v>
      </c>
      <c r="AG4094" s="16">
        <v>1</v>
      </c>
    </row>
    <row r="4095" spans="1:33" ht="15" customHeight="1" x14ac:dyDescent="0.2">
      <c r="A4095" s="11" t="str">
        <f t="shared" ref="A4095:A4096" si="1328">HYPERLINK("https://assets.vans.eu/images/VN000D1J4C6-HERO/1","VN000D1J4C61")</f>
        <v>VN000D1J4C61</v>
      </c>
      <c r="B4095" s="12" t="s">
        <v>14558</v>
      </c>
      <c r="C4095" s="12" t="s">
        <v>251</v>
      </c>
      <c r="D4095" s="12" t="s">
        <v>4972</v>
      </c>
      <c r="E4095" s="12" t="s">
        <v>14559</v>
      </c>
      <c r="F4095" s="13">
        <v>40</v>
      </c>
      <c r="G4095" s="14"/>
      <c r="H4095" s="12" t="s">
        <v>38</v>
      </c>
      <c r="I4095" s="12" t="s">
        <v>113</v>
      </c>
      <c r="J4095" s="12" t="s">
        <v>529</v>
      </c>
      <c r="K4095" s="12" t="s">
        <v>82</v>
      </c>
      <c r="L4095" s="12" t="s">
        <v>260</v>
      </c>
      <c r="M4095" s="12" t="s">
        <v>43</v>
      </c>
      <c r="N4095" s="12" t="s">
        <v>84</v>
      </c>
      <c r="O4095" s="12" t="s">
        <v>14560</v>
      </c>
      <c r="P4095" s="12" t="s">
        <v>46</v>
      </c>
      <c r="Q4095" s="12" t="s">
        <v>47</v>
      </c>
      <c r="R4095" s="12" t="s">
        <v>117</v>
      </c>
      <c r="S4095" s="13">
        <v>197804612086</v>
      </c>
      <c r="T4095" s="12" t="s">
        <v>49</v>
      </c>
      <c r="U4095" s="13">
        <v>35</v>
      </c>
      <c r="V4095" s="12" t="s">
        <v>50</v>
      </c>
      <c r="W4095" s="12" t="s">
        <v>107</v>
      </c>
      <c r="X4095" s="14"/>
      <c r="Y4095" s="14"/>
      <c r="Z4095" s="14"/>
      <c r="AA4095" s="14"/>
      <c r="AB4095" s="14"/>
      <c r="AC4095" s="15">
        <v>45.5</v>
      </c>
      <c r="AD4095" s="15">
        <f>AC4095*AG4095</f>
        <v>45.5</v>
      </c>
      <c r="AE4095" s="15">
        <v>100</v>
      </c>
      <c r="AF4095" s="15">
        <f>AE4095*AG4095</f>
        <v>100</v>
      </c>
      <c r="AG4095" s="16">
        <v>1</v>
      </c>
    </row>
    <row r="4096" spans="1:33" ht="15" customHeight="1" x14ac:dyDescent="0.2">
      <c r="A4096" s="11" t="str">
        <f t="shared" si="1328"/>
        <v>VN000D1J4C61</v>
      </c>
      <c r="B4096" s="12" t="s">
        <v>14561</v>
      </c>
      <c r="C4096" s="12" t="s">
        <v>251</v>
      </c>
      <c r="D4096" s="12" t="s">
        <v>4972</v>
      </c>
      <c r="E4096" s="12" t="s">
        <v>14562</v>
      </c>
      <c r="F4096" s="13">
        <v>130</v>
      </c>
      <c r="G4096" s="14"/>
      <c r="H4096" s="12" t="s">
        <v>38</v>
      </c>
      <c r="I4096" s="12" t="s">
        <v>113</v>
      </c>
      <c r="J4096" s="12" t="s">
        <v>529</v>
      </c>
      <c r="K4096" s="12" t="s">
        <v>82</v>
      </c>
      <c r="L4096" s="12" t="s">
        <v>260</v>
      </c>
      <c r="M4096" s="12" t="s">
        <v>43</v>
      </c>
      <c r="N4096" s="12" t="s">
        <v>84</v>
      </c>
      <c r="O4096" s="12" t="s">
        <v>14563</v>
      </c>
      <c r="P4096" s="12" t="s">
        <v>46</v>
      </c>
      <c r="Q4096" s="12" t="s">
        <v>47</v>
      </c>
      <c r="R4096" s="12" t="s">
        <v>117</v>
      </c>
      <c r="S4096" s="13">
        <v>197804613656</v>
      </c>
      <c r="T4096" s="12" t="s">
        <v>49</v>
      </c>
      <c r="U4096" s="13">
        <v>47</v>
      </c>
      <c r="V4096" s="12" t="s">
        <v>50</v>
      </c>
      <c r="W4096" s="12" t="s">
        <v>107</v>
      </c>
      <c r="X4096" s="14"/>
      <c r="Y4096" s="14"/>
      <c r="Z4096" s="14"/>
      <c r="AA4096" s="14"/>
      <c r="AB4096" s="14"/>
      <c r="AC4096" s="15">
        <v>45.5</v>
      </c>
      <c r="AD4096" s="15">
        <f>AC4096*AG4096</f>
        <v>45.5</v>
      </c>
      <c r="AE4096" s="15">
        <v>100</v>
      </c>
      <c r="AF4096" s="15">
        <f>AE4096*AG4096</f>
        <v>100</v>
      </c>
      <c r="AG4096" s="16">
        <v>1</v>
      </c>
    </row>
    <row r="4097" spans="1:33" ht="15" customHeight="1" x14ac:dyDescent="0.2">
      <c r="A4097" s="11" t="str">
        <f t="shared" si="616"/>
        <v>VN000D1J4VT1</v>
      </c>
      <c r="B4097" s="12" t="s">
        <v>14564</v>
      </c>
      <c r="C4097" s="12" t="s">
        <v>251</v>
      </c>
      <c r="D4097" s="12" t="s">
        <v>5807</v>
      </c>
      <c r="E4097" s="12" t="s">
        <v>14565</v>
      </c>
      <c r="F4097" s="13">
        <v>95</v>
      </c>
      <c r="G4097" s="14"/>
      <c r="H4097" s="12" t="s">
        <v>38</v>
      </c>
      <c r="I4097" s="12" t="s">
        <v>159</v>
      </c>
      <c r="J4097" s="12" t="s">
        <v>255</v>
      </c>
      <c r="K4097" s="12" t="s">
        <v>82</v>
      </c>
      <c r="L4097" s="12" t="s">
        <v>260</v>
      </c>
      <c r="M4097" s="12" t="s">
        <v>43</v>
      </c>
      <c r="N4097" s="12" t="s">
        <v>84</v>
      </c>
      <c r="O4097" s="12" t="s">
        <v>14566</v>
      </c>
      <c r="P4097" s="12" t="s">
        <v>46</v>
      </c>
      <c r="Q4097" s="12" t="s">
        <v>47</v>
      </c>
      <c r="R4097" s="12" t="s">
        <v>163</v>
      </c>
      <c r="S4097" s="13">
        <v>197804837083</v>
      </c>
      <c r="T4097" s="12" t="s">
        <v>49</v>
      </c>
      <c r="U4097" s="13">
        <v>42.5</v>
      </c>
      <c r="V4097" s="12" t="s">
        <v>50</v>
      </c>
      <c r="W4097" s="12" t="s">
        <v>51</v>
      </c>
      <c r="X4097" s="14"/>
      <c r="Y4097" s="14"/>
      <c r="Z4097" s="14"/>
      <c r="AA4097" s="14"/>
      <c r="AB4097" s="14"/>
      <c r="AC4097" s="15">
        <v>50</v>
      </c>
      <c r="AD4097" s="15">
        <f>AC4097*AG4097</f>
        <v>50</v>
      </c>
      <c r="AE4097" s="15">
        <v>110</v>
      </c>
      <c r="AF4097" s="15">
        <f>AE4097*AG4097</f>
        <v>110</v>
      </c>
      <c r="AG4097" s="16">
        <v>1</v>
      </c>
    </row>
    <row r="4098" spans="1:33" ht="15" customHeight="1" x14ac:dyDescent="0.2">
      <c r="A4098" s="11" t="str">
        <f t="shared" ref="A4098:A4101" si="1329">HYPERLINK("https://assets.vans.eu/images/VN000D1J4VT-HERO/1","VN000D1J4VT1")</f>
        <v>VN000D1J4VT1</v>
      </c>
      <c r="B4098" s="12" t="s">
        <v>14567</v>
      </c>
      <c r="C4098" s="12" t="s">
        <v>251</v>
      </c>
      <c r="D4098" s="12" t="s">
        <v>5807</v>
      </c>
      <c r="E4098" s="12" t="s">
        <v>14568</v>
      </c>
      <c r="F4098" s="13">
        <v>100</v>
      </c>
      <c r="G4098" s="14"/>
      <c r="H4098" s="12" t="s">
        <v>38</v>
      </c>
      <c r="I4098" s="12" t="s">
        <v>159</v>
      </c>
      <c r="J4098" s="12" t="s">
        <v>255</v>
      </c>
      <c r="K4098" s="12" t="s">
        <v>82</v>
      </c>
      <c r="L4098" s="12" t="s">
        <v>260</v>
      </c>
      <c r="M4098" s="12" t="s">
        <v>43</v>
      </c>
      <c r="N4098" s="12" t="s">
        <v>84</v>
      </c>
      <c r="O4098" s="12" t="s">
        <v>14569</v>
      </c>
      <c r="P4098" s="12" t="s">
        <v>46</v>
      </c>
      <c r="Q4098" s="12" t="s">
        <v>47</v>
      </c>
      <c r="R4098" s="12" t="s">
        <v>163</v>
      </c>
      <c r="S4098" s="13">
        <v>197804837267</v>
      </c>
      <c r="T4098" s="12" t="s">
        <v>49</v>
      </c>
      <c r="U4098" s="13">
        <v>43</v>
      </c>
      <c r="V4098" s="12" t="s">
        <v>50</v>
      </c>
      <c r="W4098" s="12" t="s">
        <v>51</v>
      </c>
      <c r="X4098" s="14"/>
      <c r="Y4098" s="14"/>
      <c r="Z4098" s="14"/>
      <c r="AA4098" s="14"/>
      <c r="AB4098" s="14"/>
      <c r="AC4098" s="15">
        <v>50</v>
      </c>
      <c r="AD4098" s="15">
        <f>AC4098*AG4098</f>
        <v>50</v>
      </c>
      <c r="AE4098" s="15">
        <v>110</v>
      </c>
      <c r="AF4098" s="15">
        <f>AE4098*AG4098</f>
        <v>110</v>
      </c>
      <c r="AG4098" s="16">
        <v>1</v>
      </c>
    </row>
    <row r="4099" spans="1:33" ht="15" customHeight="1" x14ac:dyDescent="0.2">
      <c r="A4099" s="11" t="str">
        <f t="shared" si="1329"/>
        <v>VN000D1J4VT1</v>
      </c>
      <c r="B4099" s="12" t="s">
        <v>14570</v>
      </c>
      <c r="C4099" s="12" t="s">
        <v>251</v>
      </c>
      <c r="D4099" s="12" t="s">
        <v>5807</v>
      </c>
      <c r="E4099" s="12" t="s">
        <v>14571</v>
      </c>
      <c r="F4099" s="13">
        <v>110</v>
      </c>
      <c r="G4099" s="14"/>
      <c r="H4099" s="12" t="s">
        <v>38</v>
      </c>
      <c r="I4099" s="12" t="s">
        <v>159</v>
      </c>
      <c r="J4099" s="12" t="s">
        <v>255</v>
      </c>
      <c r="K4099" s="12" t="s">
        <v>82</v>
      </c>
      <c r="L4099" s="12" t="s">
        <v>260</v>
      </c>
      <c r="M4099" s="12" t="s">
        <v>43</v>
      </c>
      <c r="N4099" s="12" t="s">
        <v>84</v>
      </c>
      <c r="O4099" s="12" t="s">
        <v>14572</v>
      </c>
      <c r="P4099" s="12" t="s">
        <v>46</v>
      </c>
      <c r="Q4099" s="12" t="s">
        <v>47</v>
      </c>
      <c r="R4099" s="12" t="s">
        <v>163</v>
      </c>
      <c r="S4099" s="13">
        <v>197804837731</v>
      </c>
      <c r="T4099" s="12" t="s">
        <v>49</v>
      </c>
      <c r="U4099" s="13">
        <v>44.5</v>
      </c>
      <c r="V4099" s="12" t="s">
        <v>50</v>
      </c>
      <c r="W4099" s="12" t="s">
        <v>51</v>
      </c>
      <c r="X4099" s="14"/>
      <c r="Y4099" s="14"/>
      <c r="Z4099" s="14"/>
      <c r="AA4099" s="14"/>
      <c r="AB4099" s="14"/>
      <c r="AC4099" s="15">
        <v>50</v>
      </c>
      <c r="AD4099" s="15">
        <f>AC4099*AG4099</f>
        <v>50</v>
      </c>
      <c r="AE4099" s="15">
        <v>110</v>
      </c>
      <c r="AF4099" s="15">
        <f>AE4099*AG4099</f>
        <v>110</v>
      </c>
      <c r="AG4099" s="16">
        <v>1</v>
      </c>
    </row>
    <row r="4100" spans="1:33" ht="15" customHeight="1" x14ac:dyDescent="0.2">
      <c r="A4100" s="11" t="str">
        <f t="shared" si="1329"/>
        <v>VN000D1J4VT1</v>
      </c>
      <c r="B4100" s="12" t="s">
        <v>14573</v>
      </c>
      <c r="C4100" s="12" t="s">
        <v>251</v>
      </c>
      <c r="D4100" s="12" t="s">
        <v>5807</v>
      </c>
      <c r="E4100" s="12" t="s">
        <v>14574</v>
      </c>
      <c r="F4100" s="13">
        <v>115</v>
      </c>
      <c r="G4100" s="14"/>
      <c r="H4100" s="12" t="s">
        <v>38</v>
      </c>
      <c r="I4100" s="12" t="s">
        <v>159</v>
      </c>
      <c r="J4100" s="12" t="s">
        <v>255</v>
      </c>
      <c r="K4100" s="12" t="s">
        <v>82</v>
      </c>
      <c r="L4100" s="12" t="s">
        <v>260</v>
      </c>
      <c r="M4100" s="12" t="s">
        <v>43</v>
      </c>
      <c r="N4100" s="12" t="s">
        <v>84</v>
      </c>
      <c r="O4100" s="12" t="s">
        <v>14575</v>
      </c>
      <c r="P4100" s="12" t="s">
        <v>46</v>
      </c>
      <c r="Q4100" s="12" t="s">
        <v>47</v>
      </c>
      <c r="R4100" s="12" t="s">
        <v>163</v>
      </c>
      <c r="S4100" s="13">
        <v>197804837915</v>
      </c>
      <c r="T4100" s="12" t="s">
        <v>49</v>
      </c>
      <c r="U4100" s="13">
        <v>45</v>
      </c>
      <c r="V4100" s="12" t="s">
        <v>50</v>
      </c>
      <c r="W4100" s="12" t="s">
        <v>51</v>
      </c>
      <c r="X4100" s="14"/>
      <c r="Y4100" s="14"/>
      <c r="Z4100" s="14"/>
      <c r="AA4100" s="14"/>
      <c r="AB4100" s="14"/>
      <c r="AC4100" s="15">
        <v>50</v>
      </c>
      <c r="AD4100" s="15">
        <f>AC4100*AG4100</f>
        <v>50</v>
      </c>
      <c r="AE4100" s="15">
        <v>110</v>
      </c>
      <c r="AF4100" s="15">
        <f>AE4100*AG4100</f>
        <v>110</v>
      </c>
      <c r="AG4100" s="16">
        <v>1</v>
      </c>
    </row>
    <row r="4101" spans="1:33" ht="15" customHeight="1" x14ac:dyDescent="0.2">
      <c r="A4101" s="11" t="str">
        <f t="shared" si="1329"/>
        <v>VN000D1J4VT1</v>
      </c>
      <c r="B4101" s="12" t="s">
        <v>14576</v>
      </c>
      <c r="C4101" s="12" t="s">
        <v>251</v>
      </c>
      <c r="D4101" s="12" t="s">
        <v>5807</v>
      </c>
      <c r="E4101" s="12" t="s">
        <v>14577</v>
      </c>
      <c r="F4101" s="13">
        <v>120</v>
      </c>
      <c r="G4101" s="14"/>
      <c r="H4101" s="12" t="s">
        <v>38</v>
      </c>
      <c r="I4101" s="12" t="s">
        <v>159</v>
      </c>
      <c r="J4101" s="12" t="s">
        <v>255</v>
      </c>
      <c r="K4101" s="12" t="s">
        <v>82</v>
      </c>
      <c r="L4101" s="12" t="s">
        <v>260</v>
      </c>
      <c r="M4101" s="12" t="s">
        <v>43</v>
      </c>
      <c r="N4101" s="12" t="s">
        <v>84</v>
      </c>
      <c r="O4101" s="12" t="s">
        <v>14578</v>
      </c>
      <c r="P4101" s="12" t="s">
        <v>46</v>
      </c>
      <c r="Q4101" s="12" t="s">
        <v>47</v>
      </c>
      <c r="R4101" s="12" t="s">
        <v>163</v>
      </c>
      <c r="S4101" s="13">
        <v>197804837977</v>
      </c>
      <c r="T4101" s="12" t="s">
        <v>49</v>
      </c>
      <c r="U4101" s="13">
        <v>46</v>
      </c>
      <c r="V4101" s="12" t="s">
        <v>50</v>
      </c>
      <c r="W4101" s="12" t="s">
        <v>51</v>
      </c>
      <c r="X4101" s="14"/>
      <c r="Y4101" s="14"/>
      <c r="Z4101" s="14"/>
      <c r="AA4101" s="14"/>
      <c r="AB4101" s="14"/>
      <c r="AC4101" s="15">
        <v>50</v>
      </c>
      <c r="AD4101" s="15">
        <f>AC4101*AG4101</f>
        <v>50</v>
      </c>
      <c r="AE4101" s="15">
        <v>110</v>
      </c>
      <c r="AF4101" s="15">
        <f>AE4101*AG4101</f>
        <v>110</v>
      </c>
      <c r="AG4101" s="16">
        <v>1</v>
      </c>
    </row>
    <row r="4102" spans="1:33" ht="15" customHeight="1" x14ac:dyDescent="0.2">
      <c r="A4102" s="11" t="str">
        <f t="shared" si="1036"/>
        <v>VN000D1J7D61</v>
      </c>
      <c r="B4102" s="12" t="s">
        <v>14579</v>
      </c>
      <c r="C4102" s="12" t="s">
        <v>251</v>
      </c>
      <c r="D4102" s="12" t="s">
        <v>1231</v>
      </c>
      <c r="E4102" s="12" t="s">
        <v>14580</v>
      </c>
      <c r="F4102" s="13">
        <v>85</v>
      </c>
      <c r="G4102" s="12" t="s">
        <v>3002</v>
      </c>
      <c r="H4102" s="12" t="s">
        <v>38</v>
      </c>
      <c r="I4102" s="12" t="s">
        <v>113</v>
      </c>
      <c r="J4102" s="12" t="s">
        <v>529</v>
      </c>
      <c r="K4102" s="12" t="s">
        <v>82</v>
      </c>
      <c r="L4102" s="14"/>
      <c r="M4102" s="12" t="s">
        <v>43</v>
      </c>
      <c r="N4102" s="12" t="s">
        <v>84</v>
      </c>
      <c r="O4102" s="12" t="s">
        <v>14581</v>
      </c>
      <c r="P4102" s="12" t="s">
        <v>46</v>
      </c>
      <c r="Q4102" s="12" t="s">
        <v>47</v>
      </c>
      <c r="R4102" s="12" t="s">
        <v>117</v>
      </c>
      <c r="S4102" s="13">
        <v>197804439355</v>
      </c>
      <c r="T4102" s="12" t="s">
        <v>49</v>
      </c>
      <c r="U4102" s="13">
        <v>41</v>
      </c>
      <c r="V4102" s="12" t="s">
        <v>50</v>
      </c>
      <c r="W4102" s="12" t="s">
        <v>186</v>
      </c>
      <c r="X4102" s="14"/>
      <c r="Y4102" s="14"/>
      <c r="Z4102" s="14"/>
      <c r="AA4102" s="14"/>
      <c r="AB4102" s="14"/>
      <c r="AC4102" s="15">
        <v>45.5</v>
      </c>
      <c r="AD4102" s="15">
        <f>AC4102*AG4102</f>
        <v>45.5</v>
      </c>
      <c r="AE4102" s="15">
        <v>100</v>
      </c>
      <c r="AF4102" s="15">
        <f>AE4102*AG4102</f>
        <v>100</v>
      </c>
      <c r="AG4102" s="16">
        <v>1</v>
      </c>
    </row>
    <row r="4103" spans="1:33" ht="15" customHeight="1" x14ac:dyDescent="0.2">
      <c r="A4103" s="11" t="str">
        <f>HYPERLINK("https://assets.vans.eu/images/VN000D1J7D6-HERO/1","VN000D1J7D61")</f>
        <v>VN000D1J7D61</v>
      </c>
      <c r="B4103" s="12" t="s">
        <v>14582</v>
      </c>
      <c r="C4103" s="12" t="s">
        <v>251</v>
      </c>
      <c r="D4103" s="12" t="s">
        <v>1231</v>
      </c>
      <c r="E4103" s="12" t="s">
        <v>14583</v>
      </c>
      <c r="F4103" s="13">
        <v>95</v>
      </c>
      <c r="G4103" s="12" t="s">
        <v>3002</v>
      </c>
      <c r="H4103" s="12" t="s">
        <v>38</v>
      </c>
      <c r="I4103" s="12" t="s">
        <v>113</v>
      </c>
      <c r="J4103" s="12" t="s">
        <v>529</v>
      </c>
      <c r="K4103" s="12" t="s">
        <v>82</v>
      </c>
      <c r="L4103" s="14"/>
      <c r="M4103" s="12" t="s">
        <v>43</v>
      </c>
      <c r="N4103" s="12" t="s">
        <v>84</v>
      </c>
      <c r="O4103" s="12" t="s">
        <v>14584</v>
      </c>
      <c r="P4103" s="12" t="s">
        <v>46</v>
      </c>
      <c r="Q4103" s="12" t="s">
        <v>47</v>
      </c>
      <c r="R4103" s="12" t="s">
        <v>117</v>
      </c>
      <c r="S4103" s="13">
        <v>197804439638</v>
      </c>
      <c r="T4103" s="12" t="s">
        <v>49</v>
      </c>
      <c r="U4103" s="13">
        <v>42.5</v>
      </c>
      <c r="V4103" s="12" t="s">
        <v>50</v>
      </c>
      <c r="W4103" s="12" t="s">
        <v>186</v>
      </c>
      <c r="X4103" s="14"/>
      <c r="Y4103" s="14"/>
      <c r="Z4103" s="14"/>
      <c r="AA4103" s="14"/>
      <c r="AB4103" s="14"/>
      <c r="AC4103" s="15">
        <v>45.5</v>
      </c>
      <c r="AD4103" s="15">
        <f>AC4103*AG4103</f>
        <v>45.5</v>
      </c>
      <c r="AE4103" s="15">
        <v>100</v>
      </c>
      <c r="AF4103" s="15">
        <f>AE4103*AG4103</f>
        <v>100</v>
      </c>
      <c r="AG4103" s="16">
        <v>1</v>
      </c>
    </row>
    <row r="4104" spans="1:33" ht="15" customHeight="1" x14ac:dyDescent="0.2">
      <c r="A4104" s="11" t="str">
        <f>HYPERLINK("https://assets.vans.eu/images/VN000D1J9DH-HERO/1","VN000D1J9DH1")</f>
        <v>VN000D1J9DH1</v>
      </c>
      <c r="B4104" s="12" t="s">
        <v>14585</v>
      </c>
      <c r="C4104" s="12" t="s">
        <v>251</v>
      </c>
      <c r="D4104" s="12" t="s">
        <v>9684</v>
      </c>
      <c r="E4104" s="12" t="s">
        <v>14586</v>
      </c>
      <c r="F4104" s="13">
        <v>70</v>
      </c>
      <c r="G4104" s="14"/>
      <c r="H4104" s="12" t="s">
        <v>38</v>
      </c>
      <c r="I4104" s="12" t="s">
        <v>113</v>
      </c>
      <c r="J4104" s="12" t="s">
        <v>529</v>
      </c>
      <c r="K4104" s="12" t="s">
        <v>82</v>
      </c>
      <c r="L4104" s="14"/>
      <c r="M4104" s="12" t="s">
        <v>43</v>
      </c>
      <c r="N4104" s="12" t="s">
        <v>84</v>
      </c>
      <c r="O4104" s="12" t="s">
        <v>14587</v>
      </c>
      <c r="P4104" s="12" t="s">
        <v>46</v>
      </c>
      <c r="Q4104" s="12" t="s">
        <v>47</v>
      </c>
      <c r="R4104" s="12" t="s">
        <v>117</v>
      </c>
      <c r="S4104" s="13">
        <v>197065606152</v>
      </c>
      <c r="T4104" s="12" t="s">
        <v>49</v>
      </c>
      <c r="U4104" s="13">
        <v>39</v>
      </c>
      <c r="V4104" s="12" t="s">
        <v>50</v>
      </c>
      <c r="W4104" s="12" t="s">
        <v>175</v>
      </c>
      <c r="X4104" s="14"/>
      <c r="Y4104" s="12" t="s">
        <v>91</v>
      </c>
      <c r="Z4104" s="12" t="s">
        <v>165</v>
      </c>
      <c r="AA4104" s="14"/>
      <c r="AB4104" s="14"/>
      <c r="AC4104" s="15">
        <v>50</v>
      </c>
      <c r="AD4104" s="15">
        <f>AC4104*AG4104</f>
        <v>50</v>
      </c>
      <c r="AE4104" s="15">
        <v>110</v>
      </c>
      <c r="AF4104" s="15">
        <f>AE4104*AG4104</f>
        <v>110</v>
      </c>
      <c r="AG4104" s="16">
        <v>1</v>
      </c>
    </row>
    <row r="4105" spans="1:33" ht="15" customHeight="1" x14ac:dyDescent="0.2">
      <c r="A4105" s="11" t="str">
        <f t="shared" si="1037"/>
        <v>VN000D1JBRO1</v>
      </c>
      <c r="B4105" s="12" t="s">
        <v>14588</v>
      </c>
      <c r="C4105" s="12" t="s">
        <v>251</v>
      </c>
      <c r="D4105" s="12" t="s">
        <v>1471</v>
      </c>
      <c r="E4105" s="12" t="s">
        <v>14589</v>
      </c>
      <c r="F4105" s="13">
        <v>40</v>
      </c>
      <c r="G4105" s="14"/>
      <c r="H4105" s="12" t="s">
        <v>38</v>
      </c>
      <c r="I4105" s="12" t="s">
        <v>113</v>
      </c>
      <c r="J4105" s="12" t="s">
        <v>529</v>
      </c>
      <c r="K4105" s="12" t="s">
        <v>82</v>
      </c>
      <c r="L4105" s="14"/>
      <c r="M4105" s="12" t="s">
        <v>43</v>
      </c>
      <c r="N4105" s="12" t="s">
        <v>84</v>
      </c>
      <c r="O4105" s="12" t="s">
        <v>14590</v>
      </c>
      <c r="P4105" s="12" t="s">
        <v>46</v>
      </c>
      <c r="Q4105" s="12" t="s">
        <v>47</v>
      </c>
      <c r="R4105" s="12" t="s">
        <v>117</v>
      </c>
      <c r="S4105" s="13">
        <v>197065605827</v>
      </c>
      <c r="T4105" s="12" t="s">
        <v>49</v>
      </c>
      <c r="U4105" s="13">
        <v>35</v>
      </c>
      <c r="V4105" s="12" t="s">
        <v>50</v>
      </c>
      <c r="W4105" s="12" t="s">
        <v>186</v>
      </c>
      <c r="X4105" s="14"/>
      <c r="Y4105" s="12" t="s">
        <v>91</v>
      </c>
      <c r="Z4105" s="12" t="s">
        <v>165</v>
      </c>
      <c r="AA4105" s="14"/>
      <c r="AB4105" s="14"/>
      <c r="AC4105" s="15">
        <v>45.5</v>
      </c>
      <c r="AD4105" s="15">
        <f>AC4105*AG4105</f>
        <v>45.5</v>
      </c>
      <c r="AE4105" s="15">
        <v>100</v>
      </c>
      <c r="AF4105" s="15">
        <f>AE4105*AG4105</f>
        <v>100</v>
      </c>
      <c r="AG4105" s="16">
        <v>1</v>
      </c>
    </row>
    <row r="4106" spans="1:33" ht="15" customHeight="1" x14ac:dyDescent="0.2">
      <c r="A4106" s="11" t="str">
        <f t="shared" ref="A4106:A4112" si="1330">HYPERLINK("https://assets.vans.eu/images/VN000D1JBRO-HERO/1","VN000D1JBRO1")</f>
        <v>VN000D1JBRO1</v>
      </c>
      <c r="B4106" s="12" t="s">
        <v>14591</v>
      </c>
      <c r="C4106" s="12" t="s">
        <v>251</v>
      </c>
      <c r="D4106" s="12" t="s">
        <v>1471</v>
      </c>
      <c r="E4106" s="12" t="s">
        <v>14592</v>
      </c>
      <c r="F4106" s="13">
        <v>45</v>
      </c>
      <c r="G4106" s="14"/>
      <c r="H4106" s="12" t="s">
        <v>38</v>
      </c>
      <c r="I4106" s="12" t="s">
        <v>113</v>
      </c>
      <c r="J4106" s="12" t="s">
        <v>529</v>
      </c>
      <c r="K4106" s="12" t="s">
        <v>82</v>
      </c>
      <c r="L4106" s="14"/>
      <c r="M4106" s="12" t="s">
        <v>43</v>
      </c>
      <c r="N4106" s="12" t="s">
        <v>84</v>
      </c>
      <c r="O4106" s="12" t="s">
        <v>14593</v>
      </c>
      <c r="P4106" s="12" t="s">
        <v>46</v>
      </c>
      <c r="Q4106" s="12" t="s">
        <v>47</v>
      </c>
      <c r="R4106" s="12" t="s">
        <v>117</v>
      </c>
      <c r="S4106" s="13">
        <v>197065605919</v>
      </c>
      <c r="T4106" s="12" t="s">
        <v>49</v>
      </c>
      <c r="U4106" s="13">
        <v>36</v>
      </c>
      <c r="V4106" s="12" t="s">
        <v>50</v>
      </c>
      <c r="W4106" s="12" t="s">
        <v>186</v>
      </c>
      <c r="X4106" s="14"/>
      <c r="Y4106" s="12" t="s">
        <v>91</v>
      </c>
      <c r="Z4106" s="12" t="s">
        <v>165</v>
      </c>
      <c r="AA4106" s="14"/>
      <c r="AB4106" s="14"/>
      <c r="AC4106" s="15">
        <v>45.5</v>
      </c>
      <c r="AD4106" s="15">
        <f>AC4106*AG4106</f>
        <v>45.5</v>
      </c>
      <c r="AE4106" s="15">
        <v>100</v>
      </c>
      <c r="AF4106" s="15">
        <f>AE4106*AG4106</f>
        <v>100</v>
      </c>
      <c r="AG4106" s="16">
        <v>1</v>
      </c>
    </row>
    <row r="4107" spans="1:33" ht="15" customHeight="1" x14ac:dyDescent="0.2">
      <c r="A4107" s="11" t="str">
        <f t="shared" si="1330"/>
        <v>VN000D1JBRO1</v>
      </c>
      <c r="B4107" s="12" t="s">
        <v>14594</v>
      </c>
      <c r="C4107" s="12" t="s">
        <v>251</v>
      </c>
      <c r="D4107" s="12" t="s">
        <v>1471</v>
      </c>
      <c r="E4107" s="12" t="s">
        <v>14595</v>
      </c>
      <c r="F4107" s="13">
        <v>55</v>
      </c>
      <c r="G4107" s="14"/>
      <c r="H4107" s="12" t="s">
        <v>38</v>
      </c>
      <c r="I4107" s="12" t="s">
        <v>113</v>
      </c>
      <c r="J4107" s="12" t="s">
        <v>529</v>
      </c>
      <c r="K4107" s="12" t="s">
        <v>82</v>
      </c>
      <c r="L4107" s="14"/>
      <c r="M4107" s="12" t="s">
        <v>43</v>
      </c>
      <c r="N4107" s="12" t="s">
        <v>84</v>
      </c>
      <c r="O4107" s="12" t="s">
        <v>14596</v>
      </c>
      <c r="P4107" s="12" t="s">
        <v>46</v>
      </c>
      <c r="Q4107" s="12" t="s">
        <v>47</v>
      </c>
      <c r="R4107" s="12" t="s">
        <v>117</v>
      </c>
      <c r="S4107" s="13">
        <v>197065606503</v>
      </c>
      <c r="T4107" s="12" t="s">
        <v>49</v>
      </c>
      <c r="U4107" s="13">
        <v>37</v>
      </c>
      <c r="V4107" s="12" t="s">
        <v>50</v>
      </c>
      <c r="W4107" s="12" t="s">
        <v>186</v>
      </c>
      <c r="X4107" s="14"/>
      <c r="Y4107" s="12" t="s">
        <v>91</v>
      </c>
      <c r="Z4107" s="12" t="s">
        <v>165</v>
      </c>
      <c r="AA4107" s="14"/>
      <c r="AB4107" s="14"/>
      <c r="AC4107" s="15">
        <v>45.5</v>
      </c>
      <c r="AD4107" s="15">
        <f>AC4107*AG4107</f>
        <v>45.5</v>
      </c>
      <c r="AE4107" s="15">
        <v>100</v>
      </c>
      <c r="AF4107" s="15">
        <f>AE4107*AG4107</f>
        <v>100</v>
      </c>
      <c r="AG4107" s="16">
        <v>1</v>
      </c>
    </row>
    <row r="4108" spans="1:33" ht="15" customHeight="1" x14ac:dyDescent="0.2">
      <c r="A4108" s="11" t="str">
        <f t="shared" si="1330"/>
        <v>VN000D1JBRO1</v>
      </c>
      <c r="B4108" s="12" t="s">
        <v>14597</v>
      </c>
      <c r="C4108" s="12" t="s">
        <v>251</v>
      </c>
      <c r="D4108" s="12" t="s">
        <v>1471</v>
      </c>
      <c r="E4108" s="12" t="s">
        <v>14598</v>
      </c>
      <c r="F4108" s="13">
        <v>70</v>
      </c>
      <c r="G4108" s="14"/>
      <c r="H4108" s="12" t="s">
        <v>38</v>
      </c>
      <c r="I4108" s="12" t="s">
        <v>113</v>
      </c>
      <c r="J4108" s="12" t="s">
        <v>529</v>
      </c>
      <c r="K4108" s="12" t="s">
        <v>82</v>
      </c>
      <c r="L4108" s="14"/>
      <c r="M4108" s="12" t="s">
        <v>43</v>
      </c>
      <c r="N4108" s="12" t="s">
        <v>84</v>
      </c>
      <c r="O4108" s="12" t="s">
        <v>14599</v>
      </c>
      <c r="P4108" s="12" t="s">
        <v>46</v>
      </c>
      <c r="Q4108" s="12" t="s">
        <v>47</v>
      </c>
      <c r="R4108" s="12" t="s">
        <v>117</v>
      </c>
      <c r="S4108" s="13">
        <v>197065606817</v>
      </c>
      <c r="T4108" s="12" t="s">
        <v>49</v>
      </c>
      <c r="U4108" s="13">
        <v>39</v>
      </c>
      <c r="V4108" s="12" t="s">
        <v>50</v>
      </c>
      <c r="W4108" s="12" t="s">
        <v>186</v>
      </c>
      <c r="X4108" s="14"/>
      <c r="Y4108" s="12" t="s">
        <v>91</v>
      </c>
      <c r="Z4108" s="12" t="s">
        <v>165</v>
      </c>
      <c r="AA4108" s="14"/>
      <c r="AB4108" s="14"/>
      <c r="AC4108" s="15">
        <v>45.5</v>
      </c>
      <c r="AD4108" s="15">
        <f>AC4108*AG4108</f>
        <v>45.5</v>
      </c>
      <c r="AE4108" s="15">
        <v>100</v>
      </c>
      <c r="AF4108" s="15">
        <f>AE4108*AG4108</f>
        <v>100</v>
      </c>
      <c r="AG4108" s="16">
        <v>1</v>
      </c>
    </row>
    <row r="4109" spans="1:33" ht="15" customHeight="1" x14ac:dyDescent="0.2">
      <c r="A4109" s="11" t="str">
        <f t="shared" si="1330"/>
        <v>VN000D1JBRO1</v>
      </c>
      <c r="B4109" s="12" t="s">
        <v>14600</v>
      </c>
      <c r="C4109" s="12" t="s">
        <v>251</v>
      </c>
      <c r="D4109" s="12" t="s">
        <v>1471</v>
      </c>
      <c r="E4109" s="12" t="s">
        <v>14601</v>
      </c>
      <c r="F4109" s="13">
        <v>75</v>
      </c>
      <c r="G4109" s="14"/>
      <c r="H4109" s="12" t="s">
        <v>38</v>
      </c>
      <c r="I4109" s="12" t="s">
        <v>113</v>
      </c>
      <c r="J4109" s="12" t="s">
        <v>529</v>
      </c>
      <c r="K4109" s="12" t="s">
        <v>82</v>
      </c>
      <c r="L4109" s="14"/>
      <c r="M4109" s="12" t="s">
        <v>43</v>
      </c>
      <c r="N4109" s="12" t="s">
        <v>84</v>
      </c>
      <c r="O4109" s="12" t="s">
        <v>14602</v>
      </c>
      <c r="P4109" s="12" t="s">
        <v>46</v>
      </c>
      <c r="Q4109" s="12" t="s">
        <v>47</v>
      </c>
      <c r="R4109" s="12" t="s">
        <v>117</v>
      </c>
      <c r="S4109" s="13">
        <v>197065606916</v>
      </c>
      <c r="T4109" s="12" t="s">
        <v>49</v>
      </c>
      <c r="U4109" s="13">
        <v>40</v>
      </c>
      <c r="V4109" s="12" t="s">
        <v>50</v>
      </c>
      <c r="W4109" s="12" t="s">
        <v>186</v>
      </c>
      <c r="X4109" s="14"/>
      <c r="Y4109" s="12" t="s">
        <v>91</v>
      </c>
      <c r="Z4109" s="12" t="s">
        <v>165</v>
      </c>
      <c r="AA4109" s="14"/>
      <c r="AB4109" s="14"/>
      <c r="AC4109" s="15">
        <v>45.5</v>
      </c>
      <c r="AD4109" s="15">
        <f>AC4109*AG4109</f>
        <v>45.5</v>
      </c>
      <c r="AE4109" s="15">
        <v>100</v>
      </c>
      <c r="AF4109" s="15">
        <f>AE4109*AG4109</f>
        <v>100</v>
      </c>
      <c r="AG4109" s="16">
        <v>1</v>
      </c>
    </row>
    <row r="4110" spans="1:33" ht="15" customHeight="1" x14ac:dyDescent="0.2">
      <c r="A4110" s="11" t="str">
        <f t="shared" si="1330"/>
        <v>VN000D1JBRO1</v>
      </c>
      <c r="B4110" s="12" t="s">
        <v>14603</v>
      </c>
      <c r="C4110" s="12" t="s">
        <v>251</v>
      </c>
      <c r="D4110" s="12" t="s">
        <v>1471</v>
      </c>
      <c r="E4110" s="12" t="s">
        <v>14604</v>
      </c>
      <c r="F4110" s="13">
        <v>80</v>
      </c>
      <c r="G4110" s="14"/>
      <c r="H4110" s="12" t="s">
        <v>38</v>
      </c>
      <c r="I4110" s="12" t="s">
        <v>113</v>
      </c>
      <c r="J4110" s="12" t="s">
        <v>529</v>
      </c>
      <c r="K4110" s="12" t="s">
        <v>82</v>
      </c>
      <c r="L4110" s="14"/>
      <c r="M4110" s="12" t="s">
        <v>43</v>
      </c>
      <c r="N4110" s="12" t="s">
        <v>84</v>
      </c>
      <c r="O4110" s="12" t="s">
        <v>14605</v>
      </c>
      <c r="P4110" s="12" t="s">
        <v>46</v>
      </c>
      <c r="Q4110" s="12" t="s">
        <v>47</v>
      </c>
      <c r="R4110" s="12" t="s">
        <v>117</v>
      </c>
      <c r="S4110" s="13">
        <v>197065607104</v>
      </c>
      <c r="T4110" s="12" t="s">
        <v>49</v>
      </c>
      <c r="U4110" s="13">
        <v>40.5</v>
      </c>
      <c r="V4110" s="12" t="s">
        <v>50</v>
      </c>
      <c r="W4110" s="12" t="s">
        <v>186</v>
      </c>
      <c r="X4110" s="14"/>
      <c r="Y4110" s="12" t="s">
        <v>91</v>
      </c>
      <c r="Z4110" s="12" t="s">
        <v>165</v>
      </c>
      <c r="AA4110" s="14"/>
      <c r="AB4110" s="14"/>
      <c r="AC4110" s="15">
        <v>45.5</v>
      </c>
      <c r="AD4110" s="15">
        <f>AC4110*AG4110</f>
        <v>45.5</v>
      </c>
      <c r="AE4110" s="15">
        <v>100</v>
      </c>
      <c r="AF4110" s="15">
        <f>AE4110*AG4110</f>
        <v>100</v>
      </c>
      <c r="AG4110" s="16">
        <v>1</v>
      </c>
    </row>
    <row r="4111" spans="1:33" ht="15" customHeight="1" x14ac:dyDescent="0.2">
      <c r="A4111" s="11" t="str">
        <f t="shared" si="1330"/>
        <v>VN000D1JBRO1</v>
      </c>
      <c r="B4111" s="12" t="s">
        <v>14606</v>
      </c>
      <c r="C4111" s="12" t="s">
        <v>251</v>
      </c>
      <c r="D4111" s="12" t="s">
        <v>1471</v>
      </c>
      <c r="E4111" s="12" t="s">
        <v>14607</v>
      </c>
      <c r="F4111" s="13">
        <v>105</v>
      </c>
      <c r="G4111" s="14"/>
      <c r="H4111" s="12" t="s">
        <v>38</v>
      </c>
      <c r="I4111" s="12" t="s">
        <v>113</v>
      </c>
      <c r="J4111" s="12" t="s">
        <v>529</v>
      </c>
      <c r="K4111" s="12" t="s">
        <v>82</v>
      </c>
      <c r="L4111" s="14"/>
      <c r="M4111" s="12" t="s">
        <v>43</v>
      </c>
      <c r="N4111" s="12" t="s">
        <v>84</v>
      </c>
      <c r="O4111" s="12" t="s">
        <v>14608</v>
      </c>
      <c r="P4111" s="12" t="s">
        <v>46</v>
      </c>
      <c r="Q4111" s="12" t="s">
        <v>47</v>
      </c>
      <c r="R4111" s="12" t="s">
        <v>117</v>
      </c>
      <c r="S4111" s="13">
        <v>197065607586</v>
      </c>
      <c r="T4111" s="12" t="s">
        <v>49</v>
      </c>
      <c r="U4111" s="13">
        <v>44</v>
      </c>
      <c r="V4111" s="12" t="s">
        <v>50</v>
      </c>
      <c r="W4111" s="12" t="s">
        <v>186</v>
      </c>
      <c r="X4111" s="14"/>
      <c r="Y4111" s="12" t="s">
        <v>91</v>
      </c>
      <c r="Z4111" s="12" t="s">
        <v>165</v>
      </c>
      <c r="AA4111" s="14"/>
      <c r="AB4111" s="14"/>
      <c r="AC4111" s="15">
        <v>45.5</v>
      </c>
      <c r="AD4111" s="15">
        <f>AC4111*AG4111</f>
        <v>45.5</v>
      </c>
      <c r="AE4111" s="15">
        <v>100</v>
      </c>
      <c r="AF4111" s="15">
        <f>AE4111*AG4111</f>
        <v>100</v>
      </c>
      <c r="AG4111" s="16">
        <v>1</v>
      </c>
    </row>
    <row r="4112" spans="1:33" ht="15" customHeight="1" x14ac:dyDescent="0.2">
      <c r="A4112" s="11" t="str">
        <f t="shared" si="1330"/>
        <v>VN000D1JBRO1</v>
      </c>
      <c r="B4112" s="12" t="s">
        <v>14609</v>
      </c>
      <c r="C4112" s="12" t="s">
        <v>251</v>
      </c>
      <c r="D4112" s="12" t="s">
        <v>1471</v>
      </c>
      <c r="E4112" s="12" t="s">
        <v>14610</v>
      </c>
      <c r="F4112" s="13">
        <v>110</v>
      </c>
      <c r="G4112" s="14"/>
      <c r="H4112" s="12" t="s">
        <v>38</v>
      </c>
      <c r="I4112" s="12" t="s">
        <v>113</v>
      </c>
      <c r="J4112" s="12" t="s">
        <v>529</v>
      </c>
      <c r="K4112" s="12" t="s">
        <v>82</v>
      </c>
      <c r="L4112" s="14"/>
      <c r="M4112" s="12" t="s">
        <v>43</v>
      </c>
      <c r="N4112" s="12" t="s">
        <v>84</v>
      </c>
      <c r="O4112" s="12" t="s">
        <v>14611</v>
      </c>
      <c r="P4112" s="12" t="s">
        <v>46</v>
      </c>
      <c r="Q4112" s="12" t="s">
        <v>47</v>
      </c>
      <c r="R4112" s="12" t="s">
        <v>117</v>
      </c>
      <c r="S4112" s="13">
        <v>197065607692</v>
      </c>
      <c r="T4112" s="12" t="s">
        <v>49</v>
      </c>
      <c r="U4112" s="13">
        <v>44.5</v>
      </c>
      <c r="V4112" s="12" t="s">
        <v>50</v>
      </c>
      <c r="W4112" s="12" t="s">
        <v>186</v>
      </c>
      <c r="X4112" s="14"/>
      <c r="Y4112" s="12" t="s">
        <v>91</v>
      </c>
      <c r="Z4112" s="12" t="s">
        <v>165</v>
      </c>
      <c r="AA4112" s="14"/>
      <c r="AB4112" s="14"/>
      <c r="AC4112" s="15">
        <v>45.5</v>
      </c>
      <c r="AD4112" s="15">
        <f>AC4112*AG4112</f>
        <v>45.5</v>
      </c>
      <c r="AE4112" s="15">
        <v>100</v>
      </c>
      <c r="AF4112" s="15">
        <f>AE4112*AG4112</f>
        <v>100</v>
      </c>
      <c r="AG4112" s="16">
        <v>1</v>
      </c>
    </row>
    <row r="4113" spans="1:33" ht="15" customHeight="1" x14ac:dyDescent="0.2">
      <c r="A4113" s="11" t="str">
        <f t="shared" si="528"/>
        <v>VN000D1JCFL1</v>
      </c>
      <c r="B4113" s="12" t="s">
        <v>14612</v>
      </c>
      <c r="C4113" s="12" t="s">
        <v>251</v>
      </c>
      <c r="D4113" s="12" t="s">
        <v>1258</v>
      </c>
      <c r="E4113" s="12" t="s">
        <v>14613</v>
      </c>
      <c r="F4113" s="13">
        <v>65</v>
      </c>
      <c r="G4113" s="14"/>
      <c r="H4113" s="12" t="s">
        <v>38</v>
      </c>
      <c r="I4113" s="12" t="s">
        <v>113</v>
      </c>
      <c r="J4113" s="12" t="s">
        <v>529</v>
      </c>
      <c r="K4113" s="12" t="s">
        <v>82</v>
      </c>
      <c r="L4113" s="14"/>
      <c r="M4113" s="12" t="s">
        <v>43</v>
      </c>
      <c r="N4113" s="12" t="s">
        <v>44</v>
      </c>
      <c r="O4113" s="12" t="s">
        <v>14614</v>
      </c>
      <c r="P4113" s="12" t="s">
        <v>46</v>
      </c>
      <c r="Q4113" s="12" t="s">
        <v>47</v>
      </c>
      <c r="R4113" s="12" t="s">
        <v>117</v>
      </c>
      <c r="S4113" s="13">
        <v>197643179450</v>
      </c>
      <c r="T4113" s="12" t="s">
        <v>49</v>
      </c>
      <c r="U4113" s="13">
        <v>38.5</v>
      </c>
      <c r="V4113" s="12" t="s">
        <v>50</v>
      </c>
      <c r="W4113" s="12" t="s">
        <v>284</v>
      </c>
      <c r="X4113" s="14"/>
      <c r="Y4113" s="12" t="s">
        <v>53</v>
      </c>
      <c r="Z4113" s="12" t="s">
        <v>165</v>
      </c>
      <c r="AA4113" s="14"/>
      <c r="AB4113" s="14"/>
      <c r="AC4113" s="15">
        <v>45.5</v>
      </c>
      <c r="AD4113" s="15">
        <f>AC4113*AG4113</f>
        <v>45.5</v>
      </c>
      <c r="AE4113" s="15">
        <v>100</v>
      </c>
      <c r="AF4113" s="15">
        <f>AE4113*AG4113</f>
        <v>100</v>
      </c>
      <c r="AG4113" s="16">
        <v>1</v>
      </c>
    </row>
    <row r="4114" spans="1:33" ht="15" customHeight="1" x14ac:dyDescent="0.2">
      <c r="A4114" s="11" t="str">
        <f t="shared" ref="A4114:A4115" si="1331">HYPERLINK("https://assets.vans.eu/images/VN000D1JEN7-HERO/1","VN000D1JEN71")</f>
        <v>VN000D1JEN71</v>
      </c>
      <c r="B4114" s="12" t="s">
        <v>14615</v>
      </c>
      <c r="C4114" s="12" t="s">
        <v>251</v>
      </c>
      <c r="D4114" s="12" t="s">
        <v>295</v>
      </c>
      <c r="E4114" s="12" t="s">
        <v>14616</v>
      </c>
      <c r="F4114" s="13">
        <v>45</v>
      </c>
      <c r="G4114" s="12" t="s">
        <v>2814</v>
      </c>
      <c r="H4114" s="12" t="s">
        <v>38</v>
      </c>
      <c r="I4114" s="12" t="s">
        <v>113</v>
      </c>
      <c r="J4114" s="12" t="s">
        <v>529</v>
      </c>
      <c r="K4114" s="12" t="s">
        <v>82</v>
      </c>
      <c r="L4114" s="14"/>
      <c r="M4114" s="12" t="s">
        <v>43</v>
      </c>
      <c r="N4114" s="12" t="s">
        <v>84</v>
      </c>
      <c r="O4114" s="12" t="s">
        <v>14617</v>
      </c>
      <c r="P4114" s="12" t="s">
        <v>46</v>
      </c>
      <c r="Q4114" s="12" t="s">
        <v>47</v>
      </c>
      <c r="R4114" s="12" t="s">
        <v>117</v>
      </c>
      <c r="S4114" s="13">
        <v>197804438075</v>
      </c>
      <c r="T4114" s="12" t="s">
        <v>49</v>
      </c>
      <c r="U4114" s="13">
        <v>36</v>
      </c>
      <c r="V4114" s="12" t="s">
        <v>50</v>
      </c>
      <c r="W4114" s="12" t="s">
        <v>299</v>
      </c>
      <c r="X4114" s="14"/>
      <c r="Y4114" s="14"/>
      <c r="Z4114" s="14"/>
      <c r="AA4114" s="14"/>
      <c r="AB4114" s="14"/>
      <c r="AC4114" s="15">
        <v>45.5</v>
      </c>
      <c r="AD4114" s="15">
        <f>AC4114*AG4114</f>
        <v>45.5</v>
      </c>
      <c r="AE4114" s="15">
        <v>100</v>
      </c>
      <c r="AF4114" s="15">
        <f>AE4114*AG4114</f>
        <v>100</v>
      </c>
      <c r="AG4114" s="16">
        <v>1</v>
      </c>
    </row>
    <row r="4115" spans="1:33" ht="15" customHeight="1" x14ac:dyDescent="0.2">
      <c r="A4115" s="11" t="str">
        <f t="shared" si="1331"/>
        <v>VN000D1JEN71</v>
      </c>
      <c r="B4115" s="12" t="s">
        <v>14618</v>
      </c>
      <c r="C4115" s="12" t="s">
        <v>251</v>
      </c>
      <c r="D4115" s="12" t="s">
        <v>295</v>
      </c>
      <c r="E4115" s="12" t="s">
        <v>14619</v>
      </c>
      <c r="F4115" s="13">
        <v>90</v>
      </c>
      <c r="G4115" s="12" t="s">
        <v>2814</v>
      </c>
      <c r="H4115" s="12" t="s">
        <v>38</v>
      </c>
      <c r="I4115" s="12" t="s">
        <v>113</v>
      </c>
      <c r="J4115" s="12" t="s">
        <v>529</v>
      </c>
      <c r="K4115" s="12" t="s">
        <v>82</v>
      </c>
      <c r="L4115" s="14"/>
      <c r="M4115" s="12" t="s">
        <v>43</v>
      </c>
      <c r="N4115" s="12" t="s">
        <v>84</v>
      </c>
      <c r="O4115" s="12" t="s">
        <v>14620</v>
      </c>
      <c r="P4115" s="12" t="s">
        <v>46</v>
      </c>
      <c r="Q4115" s="12" t="s">
        <v>47</v>
      </c>
      <c r="R4115" s="12" t="s">
        <v>117</v>
      </c>
      <c r="S4115" s="13">
        <v>197804439171</v>
      </c>
      <c r="T4115" s="12" t="s">
        <v>49</v>
      </c>
      <c r="U4115" s="13">
        <v>42</v>
      </c>
      <c r="V4115" s="12" t="s">
        <v>50</v>
      </c>
      <c r="W4115" s="12" t="s">
        <v>299</v>
      </c>
      <c r="X4115" s="14"/>
      <c r="Y4115" s="14"/>
      <c r="Z4115" s="14"/>
      <c r="AA4115" s="14"/>
      <c r="AB4115" s="14"/>
      <c r="AC4115" s="15">
        <v>45.5</v>
      </c>
      <c r="AD4115" s="15">
        <f>AC4115*AG4115</f>
        <v>45.5</v>
      </c>
      <c r="AE4115" s="15">
        <v>100</v>
      </c>
      <c r="AF4115" s="15">
        <f>AE4115*AG4115</f>
        <v>100</v>
      </c>
      <c r="AG4115" s="16">
        <v>1</v>
      </c>
    </row>
    <row r="4116" spans="1:33" ht="15" customHeight="1" x14ac:dyDescent="0.2">
      <c r="A4116" s="11" t="str">
        <f t="shared" ref="A4116:A4117" si="1332">HYPERLINK("https://assets.vans.eu/images/VN000D1JG2T-HERO/1","VN000D1JG2T1")</f>
        <v>VN000D1JG2T1</v>
      </c>
      <c r="B4116" s="12" t="s">
        <v>14621</v>
      </c>
      <c r="C4116" s="12" t="s">
        <v>251</v>
      </c>
      <c r="D4116" s="12" t="s">
        <v>14622</v>
      </c>
      <c r="E4116" s="12" t="s">
        <v>14623</v>
      </c>
      <c r="F4116" s="13">
        <v>85</v>
      </c>
      <c r="G4116" s="14"/>
      <c r="H4116" s="12" t="s">
        <v>38</v>
      </c>
      <c r="I4116" s="12" t="s">
        <v>159</v>
      </c>
      <c r="J4116" s="12" t="s">
        <v>255</v>
      </c>
      <c r="K4116" s="12" t="s">
        <v>82</v>
      </c>
      <c r="L4116" s="12" t="s">
        <v>260</v>
      </c>
      <c r="M4116" s="12" t="s">
        <v>43</v>
      </c>
      <c r="N4116" s="12" t="s">
        <v>44</v>
      </c>
      <c r="O4116" s="12" t="s">
        <v>14624</v>
      </c>
      <c r="P4116" s="12" t="s">
        <v>46</v>
      </c>
      <c r="Q4116" s="12" t="s">
        <v>47</v>
      </c>
      <c r="R4116" s="12" t="s">
        <v>163</v>
      </c>
      <c r="S4116" s="13">
        <v>197643135159</v>
      </c>
      <c r="T4116" s="12" t="s">
        <v>49</v>
      </c>
      <c r="U4116" s="13">
        <v>41</v>
      </c>
      <c r="V4116" s="12" t="s">
        <v>50</v>
      </c>
      <c r="W4116" s="12" t="s">
        <v>118</v>
      </c>
      <c r="X4116" s="14"/>
      <c r="Y4116" s="12" t="s">
        <v>53</v>
      </c>
      <c r="Z4116" s="12" t="s">
        <v>165</v>
      </c>
      <c r="AA4116" s="14"/>
      <c r="AB4116" s="12" t="s">
        <v>264</v>
      </c>
      <c r="AC4116" s="15">
        <v>45.5</v>
      </c>
      <c r="AD4116" s="15">
        <f>AC4116*AG4116</f>
        <v>45.5</v>
      </c>
      <c r="AE4116" s="15">
        <v>100</v>
      </c>
      <c r="AF4116" s="15">
        <f>AE4116*AG4116</f>
        <v>100</v>
      </c>
      <c r="AG4116" s="16">
        <v>1</v>
      </c>
    </row>
    <row r="4117" spans="1:33" ht="15" customHeight="1" x14ac:dyDescent="0.2">
      <c r="A4117" s="11" t="str">
        <f t="shared" si="1332"/>
        <v>VN000D1JG2T1</v>
      </c>
      <c r="B4117" s="12" t="s">
        <v>14625</v>
      </c>
      <c r="C4117" s="12" t="s">
        <v>251</v>
      </c>
      <c r="D4117" s="12" t="s">
        <v>14622</v>
      </c>
      <c r="E4117" s="12" t="s">
        <v>14626</v>
      </c>
      <c r="F4117" s="13">
        <v>115</v>
      </c>
      <c r="G4117" s="14"/>
      <c r="H4117" s="12" t="s">
        <v>38</v>
      </c>
      <c r="I4117" s="12" t="s">
        <v>159</v>
      </c>
      <c r="J4117" s="12" t="s">
        <v>255</v>
      </c>
      <c r="K4117" s="12" t="s">
        <v>82</v>
      </c>
      <c r="L4117" s="12" t="s">
        <v>260</v>
      </c>
      <c r="M4117" s="12" t="s">
        <v>43</v>
      </c>
      <c r="N4117" s="12" t="s">
        <v>44</v>
      </c>
      <c r="O4117" s="12" t="s">
        <v>14627</v>
      </c>
      <c r="P4117" s="12" t="s">
        <v>46</v>
      </c>
      <c r="Q4117" s="12" t="s">
        <v>47</v>
      </c>
      <c r="R4117" s="12" t="s">
        <v>163</v>
      </c>
      <c r="S4117" s="13">
        <v>197643135791</v>
      </c>
      <c r="T4117" s="12" t="s">
        <v>49</v>
      </c>
      <c r="U4117" s="13">
        <v>45</v>
      </c>
      <c r="V4117" s="12" t="s">
        <v>50</v>
      </c>
      <c r="W4117" s="12" t="s">
        <v>118</v>
      </c>
      <c r="X4117" s="14"/>
      <c r="Y4117" s="12" t="s">
        <v>53</v>
      </c>
      <c r="Z4117" s="12" t="s">
        <v>165</v>
      </c>
      <c r="AA4117" s="14"/>
      <c r="AB4117" s="12" t="s">
        <v>264</v>
      </c>
      <c r="AC4117" s="15">
        <v>45.5</v>
      </c>
      <c r="AD4117" s="15">
        <f>AC4117*AG4117</f>
        <v>45.5</v>
      </c>
      <c r="AE4117" s="15">
        <v>100</v>
      </c>
      <c r="AF4117" s="15">
        <f>AE4117*AG4117</f>
        <v>100</v>
      </c>
      <c r="AG4117" s="16">
        <v>1</v>
      </c>
    </row>
    <row r="4118" spans="1:33" ht="15" customHeight="1" x14ac:dyDescent="0.2">
      <c r="A4118" s="11" t="str">
        <f t="shared" ref="A4118:A4122" si="1333">HYPERLINK("https://assets.vans.eu/images/VN000D1JJDU-HERO/1","VN000D1JJDU1")</f>
        <v>VN000D1JJDU1</v>
      </c>
      <c r="B4118" s="12" t="s">
        <v>14628</v>
      </c>
      <c r="C4118" s="12" t="s">
        <v>251</v>
      </c>
      <c r="D4118" s="12" t="s">
        <v>814</v>
      </c>
      <c r="E4118" s="12" t="s">
        <v>14629</v>
      </c>
      <c r="F4118" s="13">
        <v>75</v>
      </c>
      <c r="G4118" s="14"/>
      <c r="H4118" s="12" t="s">
        <v>38</v>
      </c>
      <c r="I4118" s="12" t="s">
        <v>159</v>
      </c>
      <c r="J4118" s="12" t="s">
        <v>255</v>
      </c>
      <c r="K4118" s="12" t="s">
        <v>82</v>
      </c>
      <c r="L4118" s="12" t="s">
        <v>260</v>
      </c>
      <c r="M4118" s="12" t="s">
        <v>43</v>
      </c>
      <c r="N4118" s="12" t="s">
        <v>84</v>
      </c>
      <c r="O4118" s="12" t="s">
        <v>14630</v>
      </c>
      <c r="P4118" s="12" t="s">
        <v>46</v>
      </c>
      <c r="Q4118" s="12" t="s">
        <v>47</v>
      </c>
      <c r="R4118" s="12" t="s">
        <v>163</v>
      </c>
      <c r="S4118" s="13">
        <v>197804587490</v>
      </c>
      <c r="T4118" s="12" t="s">
        <v>49</v>
      </c>
      <c r="U4118" s="13">
        <v>40</v>
      </c>
      <c r="V4118" s="12" t="s">
        <v>50</v>
      </c>
      <c r="W4118" s="12" t="s">
        <v>284</v>
      </c>
      <c r="X4118" s="14"/>
      <c r="Y4118" s="14"/>
      <c r="Z4118" s="14"/>
      <c r="AA4118" s="14"/>
      <c r="AB4118" s="14"/>
      <c r="AC4118" s="15">
        <v>45.5</v>
      </c>
      <c r="AD4118" s="15">
        <f>AC4118*AG4118</f>
        <v>45.5</v>
      </c>
      <c r="AE4118" s="15">
        <v>100</v>
      </c>
      <c r="AF4118" s="15">
        <f>AE4118*AG4118</f>
        <v>100</v>
      </c>
      <c r="AG4118" s="16">
        <v>1</v>
      </c>
    </row>
    <row r="4119" spans="1:33" ht="15" customHeight="1" x14ac:dyDescent="0.2">
      <c r="A4119" s="11" t="str">
        <f t="shared" si="1333"/>
        <v>VN000D1JJDU1</v>
      </c>
      <c r="B4119" s="12" t="s">
        <v>14631</v>
      </c>
      <c r="C4119" s="12" t="s">
        <v>251</v>
      </c>
      <c r="D4119" s="12" t="s">
        <v>814</v>
      </c>
      <c r="E4119" s="12" t="s">
        <v>14632</v>
      </c>
      <c r="F4119" s="13">
        <v>85</v>
      </c>
      <c r="G4119" s="14"/>
      <c r="H4119" s="12" t="s">
        <v>38</v>
      </c>
      <c r="I4119" s="12" t="s">
        <v>159</v>
      </c>
      <c r="J4119" s="12" t="s">
        <v>255</v>
      </c>
      <c r="K4119" s="12" t="s">
        <v>82</v>
      </c>
      <c r="L4119" s="12" t="s">
        <v>260</v>
      </c>
      <c r="M4119" s="12" t="s">
        <v>43</v>
      </c>
      <c r="N4119" s="12" t="s">
        <v>84</v>
      </c>
      <c r="O4119" s="12" t="s">
        <v>14633</v>
      </c>
      <c r="P4119" s="12" t="s">
        <v>46</v>
      </c>
      <c r="Q4119" s="12" t="s">
        <v>47</v>
      </c>
      <c r="R4119" s="12" t="s">
        <v>163</v>
      </c>
      <c r="S4119" s="13">
        <v>197804587896</v>
      </c>
      <c r="T4119" s="12" t="s">
        <v>49</v>
      </c>
      <c r="U4119" s="13">
        <v>41</v>
      </c>
      <c r="V4119" s="12" t="s">
        <v>50</v>
      </c>
      <c r="W4119" s="12" t="s">
        <v>284</v>
      </c>
      <c r="X4119" s="14"/>
      <c r="Y4119" s="14"/>
      <c r="Z4119" s="14"/>
      <c r="AA4119" s="14"/>
      <c r="AB4119" s="14"/>
      <c r="AC4119" s="15">
        <v>45.5</v>
      </c>
      <c r="AD4119" s="15">
        <f>AC4119*AG4119</f>
        <v>45.5</v>
      </c>
      <c r="AE4119" s="15">
        <v>100</v>
      </c>
      <c r="AF4119" s="15">
        <f>AE4119*AG4119</f>
        <v>100</v>
      </c>
      <c r="AG4119" s="16">
        <v>1</v>
      </c>
    </row>
    <row r="4120" spans="1:33" ht="15" customHeight="1" x14ac:dyDescent="0.2">
      <c r="A4120" s="11" t="str">
        <f t="shared" si="1333"/>
        <v>VN000D1JJDU1</v>
      </c>
      <c r="B4120" s="12" t="s">
        <v>14634</v>
      </c>
      <c r="C4120" s="12" t="s">
        <v>251</v>
      </c>
      <c r="D4120" s="12" t="s">
        <v>814</v>
      </c>
      <c r="E4120" s="12" t="s">
        <v>14635</v>
      </c>
      <c r="F4120" s="13">
        <v>90</v>
      </c>
      <c r="G4120" s="14"/>
      <c r="H4120" s="12" t="s">
        <v>38</v>
      </c>
      <c r="I4120" s="12" t="s">
        <v>159</v>
      </c>
      <c r="J4120" s="12" t="s">
        <v>255</v>
      </c>
      <c r="K4120" s="12" t="s">
        <v>82</v>
      </c>
      <c r="L4120" s="12" t="s">
        <v>260</v>
      </c>
      <c r="M4120" s="12" t="s">
        <v>43</v>
      </c>
      <c r="N4120" s="12" t="s">
        <v>84</v>
      </c>
      <c r="O4120" s="12" t="s">
        <v>14636</v>
      </c>
      <c r="P4120" s="12" t="s">
        <v>46</v>
      </c>
      <c r="Q4120" s="12" t="s">
        <v>47</v>
      </c>
      <c r="R4120" s="12" t="s">
        <v>163</v>
      </c>
      <c r="S4120" s="13">
        <v>197804588145</v>
      </c>
      <c r="T4120" s="12" t="s">
        <v>49</v>
      </c>
      <c r="U4120" s="13">
        <v>42</v>
      </c>
      <c r="V4120" s="12" t="s">
        <v>50</v>
      </c>
      <c r="W4120" s="12" t="s">
        <v>284</v>
      </c>
      <c r="X4120" s="14"/>
      <c r="Y4120" s="14"/>
      <c r="Z4120" s="14"/>
      <c r="AA4120" s="14"/>
      <c r="AB4120" s="14"/>
      <c r="AC4120" s="15">
        <v>45.5</v>
      </c>
      <c r="AD4120" s="15">
        <f>AC4120*AG4120</f>
        <v>45.5</v>
      </c>
      <c r="AE4120" s="15">
        <v>100</v>
      </c>
      <c r="AF4120" s="15">
        <f>AE4120*AG4120</f>
        <v>100</v>
      </c>
      <c r="AG4120" s="16">
        <v>1</v>
      </c>
    </row>
    <row r="4121" spans="1:33" ht="15" customHeight="1" x14ac:dyDescent="0.2">
      <c r="A4121" s="11" t="str">
        <f t="shared" si="1333"/>
        <v>VN000D1JJDU1</v>
      </c>
      <c r="B4121" s="12" t="s">
        <v>14637</v>
      </c>
      <c r="C4121" s="12" t="s">
        <v>251</v>
      </c>
      <c r="D4121" s="12" t="s">
        <v>814</v>
      </c>
      <c r="E4121" s="12" t="s">
        <v>14638</v>
      </c>
      <c r="F4121" s="13">
        <v>105</v>
      </c>
      <c r="G4121" s="14"/>
      <c r="H4121" s="12" t="s">
        <v>38</v>
      </c>
      <c r="I4121" s="12" t="s">
        <v>159</v>
      </c>
      <c r="J4121" s="12" t="s">
        <v>255</v>
      </c>
      <c r="K4121" s="12" t="s">
        <v>82</v>
      </c>
      <c r="L4121" s="12" t="s">
        <v>260</v>
      </c>
      <c r="M4121" s="12" t="s">
        <v>43</v>
      </c>
      <c r="N4121" s="12" t="s">
        <v>84</v>
      </c>
      <c r="O4121" s="12" t="s">
        <v>14639</v>
      </c>
      <c r="P4121" s="12" t="s">
        <v>46</v>
      </c>
      <c r="Q4121" s="12" t="s">
        <v>47</v>
      </c>
      <c r="R4121" s="12" t="s">
        <v>163</v>
      </c>
      <c r="S4121" s="13">
        <v>197804588480</v>
      </c>
      <c r="T4121" s="12" t="s">
        <v>49</v>
      </c>
      <c r="U4121" s="13">
        <v>44</v>
      </c>
      <c r="V4121" s="12" t="s">
        <v>50</v>
      </c>
      <c r="W4121" s="12" t="s">
        <v>284</v>
      </c>
      <c r="X4121" s="14"/>
      <c r="Y4121" s="14"/>
      <c r="Z4121" s="14"/>
      <c r="AA4121" s="14"/>
      <c r="AB4121" s="14"/>
      <c r="AC4121" s="15">
        <v>45.5</v>
      </c>
      <c r="AD4121" s="15">
        <f>AC4121*AG4121</f>
        <v>45.5</v>
      </c>
      <c r="AE4121" s="15">
        <v>100</v>
      </c>
      <c r="AF4121" s="15">
        <f>AE4121*AG4121</f>
        <v>100</v>
      </c>
      <c r="AG4121" s="16">
        <v>1</v>
      </c>
    </row>
    <row r="4122" spans="1:33" ht="15" customHeight="1" x14ac:dyDescent="0.2">
      <c r="A4122" s="11" t="str">
        <f t="shared" si="1333"/>
        <v>VN000D1JJDU1</v>
      </c>
      <c r="B4122" s="12" t="s">
        <v>14640</v>
      </c>
      <c r="C4122" s="12" t="s">
        <v>251</v>
      </c>
      <c r="D4122" s="12" t="s">
        <v>814</v>
      </c>
      <c r="E4122" s="12" t="s">
        <v>14641</v>
      </c>
      <c r="F4122" s="13">
        <v>115</v>
      </c>
      <c r="G4122" s="14"/>
      <c r="H4122" s="12" t="s">
        <v>38</v>
      </c>
      <c r="I4122" s="12" t="s">
        <v>159</v>
      </c>
      <c r="J4122" s="12" t="s">
        <v>255</v>
      </c>
      <c r="K4122" s="12" t="s">
        <v>82</v>
      </c>
      <c r="L4122" s="12" t="s">
        <v>260</v>
      </c>
      <c r="M4122" s="12" t="s">
        <v>43</v>
      </c>
      <c r="N4122" s="12" t="s">
        <v>84</v>
      </c>
      <c r="O4122" s="12" t="s">
        <v>14642</v>
      </c>
      <c r="P4122" s="12" t="s">
        <v>46</v>
      </c>
      <c r="Q4122" s="12" t="s">
        <v>47</v>
      </c>
      <c r="R4122" s="12" t="s">
        <v>163</v>
      </c>
      <c r="S4122" s="13">
        <v>197804588886</v>
      </c>
      <c r="T4122" s="12" t="s">
        <v>49</v>
      </c>
      <c r="U4122" s="13">
        <v>45</v>
      </c>
      <c r="V4122" s="12" t="s">
        <v>50</v>
      </c>
      <c r="W4122" s="12" t="s">
        <v>284</v>
      </c>
      <c r="X4122" s="14"/>
      <c r="Y4122" s="14"/>
      <c r="Z4122" s="14"/>
      <c r="AA4122" s="14"/>
      <c r="AB4122" s="14"/>
      <c r="AC4122" s="15">
        <v>45.5</v>
      </c>
      <c r="AD4122" s="15">
        <f>AC4122*AG4122</f>
        <v>45.5</v>
      </c>
      <c r="AE4122" s="15">
        <v>100</v>
      </c>
      <c r="AF4122" s="15">
        <f>AE4122*AG4122</f>
        <v>100</v>
      </c>
      <c r="AG4122" s="16">
        <v>1</v>
      </c>
    </row>
    <row r="4123" spans="1:33" ht="15" customHeight="1" x14ac:dyDescent="0.2">
      <c r="A4123" s="11" t="str">
        <f t="shared" ref="A4123:A4129" si="1334">HYPERLINK("https://assets.vans.eu/images/VN000D1JOVM-HERO/1","VN000D1JOVM1")</f>
        <v>VN000D1JOVM1</v>
      </c>
      <c r="B4123" s="12" t="s">
        <v>14643</v>
      </c>
      <c r="C4123" s="12" t="s">
        <v>251</v>
      </c>
      <c r="D4123" s="12" t="s">
        <v>4982</v>
      </c>
      <c r="E4123" s="12" t="s">
        <v>14644</v>
      </c>
      <c r="F4123" s="13">
        <v>35</v>
      </c>
      <c r="G4123" s="12" t="s">
        <v>1111</v>
      </c>
      <c r="H4123" s="12" t="s">
        <v>38</v>
      </c>
      <c r="I4123" s="12" t="s">
        <v>113</v>
      </c>
      <c r="J4123" s="12" t="s">
        <v>529</v>
      </c>
      <c r="K4123" s="12" t="s">
        <v>82</v>
      </c>
      <c r="L4123" s="14"/>
      <c r="M4123" s="12" t="s">
        <v>43</v>
      </c>
      <c r="N4123" s="12" t="s">
        <v>84</v>
      </c>
      <c r="O4123" s="12" t="s">
        <v>14645</v>
      </c>
      <c r="P4123" s="12" t="s">
        <v>46</v>
      </c>
      <c r="Q4123" s="12" t="s">
        <v>47</v>
      </c>
      <c r="R4123" s="12" t="s">
        <v>117</v>
      </c>
      <c r="S4123" s="13">
        <v>197804439645</v>
      </c>
      <c r="T4123" s="12" t="s">
        <v>49</v>
      </c>
      <c r="U4123" s="13">
        <v>34.5</v>
      </c>
      <c r="V4123" s="12" t="s">
        <v>50</v>
      </c>
      <c r="W4123" s="12" t="s">
        <v>175</v>
      </c>
      <c r="X4123" s="14"/>
      <c r="Y4123" s="14"/>
      <c r="Z4123" s="14"/>
      <c r="AA4123" s="14"/>
      <c r="AB4123" s="14"/>
      <c r="AC4123" s="15">
        <v>50</v>
      </c>
      <c r="AD4123" s="15">
        <f>AC4123*AG4123</f>
        <v>50</v>
      </c>
      <c r="AE4123" s="15">
        <v>110</v>
      </c>
      <c r="AF4123" s="15">
        <f>AE4123*AG4123</f>
        <v>110</v>
      </c>
      <c r="AG4123" s="16">
        <v>1</v>
      </c>
    </row>
    <row r="4124" spans="1:33" ht="15" customHeight="1" x14ac:dyDescent="0.2">
      <c r="A4124" s="11" t="str">
        <f t="shared" si="1334"/>
        <v>VN000D1JOVM1</v>
      </c>
      <c r="B4124" s="12" t="s">
        <v>14646</v>
      </c>
      <c r="C4124" s="12" t="s">
        <v>251</v>
      </c>
      <c r="D4124" s="12" t="s">
        <v>4982</v>
      </c>
      <c r="E4124" s="12" t="s">
        <v>14647</v>
      </c>
      <c r="F4124" s="13">
        <v>45</v>
      </c>
      <c r="G4124" s="12" t="s">
        <v>1111</v>
      </c>
      <c r="H4124" s="12" t="s">
        <v>38</v>
      </c>
      <c r="I4124" s="12" t="s">
        <v>113</v>
      </c>
      <c r="J4124" s="12" t="s">
        <v>529</v>
      </c>
      <c r="K4124" s="12" t="s">
        <v>82</v>
      </c>
      <c r="L4124" s="14"/>
      <c r="M4124" s="12" t="s">
        <v>43</v>
      </c>
      <c r="N4124" s="12" t="s">
        <v>84</v>
      </c>
      <c r="O4124" s="12" t="s">
        <v>14648</v>
      </c>
      <c r="P4124" s="12" t="s">
        <v>46</v>
      </c>
      <c r="Q4124" s="12" t="s">
        <v>47</v>
      </c>
      <c r="R4124" s="12" t="s">
        <v>117</v>
      </c>
      <c r="S4124" s="13">
        <v>197804439768</v>
      </c>
      <c r="T4124" s="12" t="s">
        <v>49</v>
      </c>
      <c r="U4124" s="13">
        <v>36</v>
      </c>
      <c r="V4124" s="12" t="s">
        <v>50</v>
      </c>
      <c r="W4124" s="12" t="s">
        <v>175</v>
      </c>
      <c r="X4124" s="14"/>
      <c r="Y4124" s="14"/>
      <c r="Z4124" s="14"/>
      <c r="AA4124" s="14"/>
      <c r="AB4124" s="14"/>
      <c r="AC4124" s="15">
        <v>50</v>
      </c>
      <c r="AD4124" s="15">
        <f>AC4124*AG4124</f>
        <v>50</v>
      </c>
      <c r="AE4124" s="15">
        <v>110</v>
      </c>
      <c r="AF4124" s="15">
        <f>AE4124*AG4124</f>
        <v>110</v>
      </c>
      <c r="AG4124" s="16">
        <v>1</v>
      </c>
    </row>
    <row r="4125" spans="1:33" ht="15" customHeight="1" x14ac:dyDescent="0.2">
      <c r="A4125" s="11" t="str">
        <f t="shared" si="1334"/>
        <v>VN000D1JOVM1</v>
      </c>
      <c r="B4125" s="12" t="s">
        <v>14649</v>
      </c>
      <c r="C4125" s="12" t="s">
        <v>251</v>
      </c>
      <c r="D4125" s="12" t="s">
        <v>4982</v>
      </c>
      <c r="E4125" s="12" t="s">
        <v>14650</v>
      </c>
      <c r="F4125" s="13">
        <v>55</v>
      </c>
      <c r="G4125" s="12" t="s">
        <v>1111</v>
      </c>
      <c r="H4125" s="12" t="s">
        <v>38</v>
      </c>
      <c r="I4125" s="12" t="s">
        <v>113</v>
      </c>
      <c r="J4125" s="12" t="s">
        <v>529</v>
      </c>
      <c r="K4125" s="12" t="s">
        <v>82</v>
      </c>
      <c r="L4125" s="14"/>
      <c r="M4125" s="12" t="s">
        <v>43</v>
      </c>
      <c r="N4125" s="12" t="s">
        <v>84</v>
      </c>
      <c r="O4125" s="12" t="s">
        <v>14651</v>
      </c>
      <c r="P4125" s="12" t="s">
        <v>46</v>
      </c>
      <c r="Q4125" s="12" t="s">
        <v>47</v>
      </c>
      <c r="R4125" s="12" t="s">
        <v>117</v>
      </c>
      <c r="S4125" s="13">
        <v>197804439911</v>
      </c>
      <c r="T4125" s="12" t="s">
        <v>49</v>
      </c>
      <c r="U4125" s="13">
        <v>37</v>
      </c>
      <c r="V4125" s="12" t="s">
        <v>50</v>
      </c>
      <c r="W4125" s="12" t="s">
        <v>175</v>
      </c>
      <c r="X4125" s="14"/>
      <c r="Y4125" s="14"/>
      <c r="Z4125" s="14"/>
      <c r="AA4125" s="14"/>
      <c r="AB4125" s="14"/>
      <c r="AC4125" s="15">
        <v>50</v>
      </c>
      <c r="AD4125" s="15">
        <f>AC4125*AG4125</f>
        <v>50</v>
      </c>
      <c r="AE4125" s="15">
        <v>110</v>
      </c>
      <c r="AF4125" s="15">
        <f>AE4125*AG4125</f>
        <v>110</v>
      </c>
      <c r="AG4125" s="16">
        <v>1</v>
      </c>
    </row>
    <row r="4126" spans="1:33" ht="15" customHeight="1" x14ac:dyDescent="0.2">
      <c r="A4126" s="11" t="str">
        <f t="shared" si="1334"/>
        <v>VN000D1JOVM1</v>
      </c>
      <c r="B4126" s="12" t="s">
        <v>14652</v>
      </c>
      <c r="C4126" s="12" t="s">
        <v>251</v>
      </c>
      <c r="D4126" s="12" t="s">
        <v>4982</v>
      </c>
      <c r="E4126" s="12" t="s">
        <v>14653</v>
      </c>
      <c r="F4126" s="13">
        <v>60</v>
      </c>
      <c r="G4126" s="12" t="s">
        <v>1111</v>
      </c>
      <c r="H4126" s="12" t="s">
        <v>38</v>
      </c>
      <c r="I4126" s="12" t="s">
        <v>113</v>
      </c>
      <c r="J4126" s="12" t="s">
        <v>529</v>
      </c>
      <c r="K4126" s="12" t="s">
        <v>82</v>
      </c>
      <c r="L4126" s="14"/>
      <c r="M4126" s="12" t="s">
        <v>43</v>
      </c>
      <c r="N4126" s="12" t="s">
        <v>84</v>
      </c>
      <c r="O4126" s="12" t="s">
        <v>14654</v>
      </c>
      <c r="P4126" s="12" t="s">
        <v>46</v>
      </c>
      <c r="Q4126" s="12" t="s">
        <v>47</v>
      </c>
      <c r="R4126" s="12" t="s">
        <v>117</v>
      </c>
      <c r="S4126" s="13">
        <v>197804439942</v>
      </c>
      <c r="T4126" s="12" t="s">
        <v>49</v>
      </c>
      <c r="U4126" s="13">
        <v>38</v>
      </c>
      <c r="V4126" s="12" t="s">
        <v>50</v>
      </c>
      <c r="W4126" s="12" t="s">
        <v>175</v>
      </c>
      <c r="X4126" s="14"/>
      <c r="Y4126" s="14"/>
      <c r="Z4126" s="14"/>
      <c r="AA4126" s="14"/>
      <c r="AB4126" s="14"/>
      <c r="AC4126" s="15">
        <v>50</v>
      </c>
      <c r="AD4126" s="15">
        <f>AC4126*AG4126</f>
        <v>50</v>
      </c>
      <c r="AE4126" s="15">
        <v>110</v>
      </c>
      <c r="AF4126" s="15">
        <f>AE4126*AG4126</f>
        <v>110</v>
      </c>
      <c r="AG4126" s="16">
        <v>1</v>
      </c>
    </row>
    <row r="4127" spans="1:33" ht="15" customHeight="1" x14ac:dyDescent="0.2">
      <c r="A4127" s="11" t="str">
        <f t="shared" si="1334"/>
        <v>VN000D1JOVM1</v>
      </c>
      <c r="B4127" s="12" t="s">
        <v>14655</v>
      </c>
      <c r="C4127" s="12" t="s">
        <v>251</v>
      </c>
      <c r="D4127" s="12" t="s">
        <v>4982</v>
      </c>
      <c r="E4127" s="12" t="s">
        <v>14656</v>
      </c>
      <c r="F4127" s="13">
        <v>75</v>
      </c>
      <c r="G4127" s="12" t="s">
        <v>1111</v>
      </c>
      <c r="H4127" s="12" t="s">
        <v>38</v>
      </c>
      <c r="I4127" s="12" t="s">
        <v>113</v>
      </c>
      <c r="J4127" s="12" t="s">
        <v>529</v>
      </c>
      <c r="K4127" s="12" t="s">
        <v>82</v>
      </c>
      <c r="L4127" s="14"/>
      <c r="M4127" s="12" t="s">
        <v>43</v>
      </c>
      <c r="N4127" s="12" t="s">
        <v>84</v>
      </c>
      <c r="O4127" s="12" t="s">
        <v>14657</v>
      </c>
      <c r="P4127" s="12" t="s">
        <v>46</v>
      </c>
      <c r="Q4127" s="12" t="s">
        <v>47</v>
      </c>
      <c r="R4127" s="12" t="s">
        <v>117</v>
      </c>
      <c r="S4127" s="13">
        <v>197804440221</v>
      </c>
      <c r="T4127" s="12" t="s">
        <v>49</v>
      </c>
      <c r="U4127" s="13">
        <v>40</v>
      </c>
      <c r="V4127" s="12" t="s">
        <v>50</v>
      </c>
      <c r="W4127" s="12" t="s">
        <v>175</v>
      </c>
      <c r="X4127" s="14"/>
      <c r="Y4127" s="14"/>
      <c r="Z4127" s="14"/>
      <c r="AA4127" s="14"/>
      <c r="AB4127" s="14"/>
      <c r="AC4127" s="15">
        <v>50</v>
      </c>
      <c r="AD4127" s="15">
        <f>AC4127*AG4127</f>
        <v>50</v>
      </c>
      <c r="AE4127" s="15">
        <v>110</v>
      </c>
      <c r="AF4127" s="15">
        <f>AE4127*AG4127</f>
        <v>110</v>
      </c>
      <c r="AG4127" s="16">
        <v>1</v>
      </c>
    </row>
    <row r="4128" spans="1:33" ht="15" customHeight="1" x14ac:dyDescent="0.2">
      <c r="A4128" s="11" t="str">
        <f t="shared" si="1334"/>
        <v>VN000D1JOVM1</v>
      </c>
      <c r="B4128" s="12" t="s">
        <v>14658</v>
      </c>
      <c r="C4128" s="12" t="s">
        <v>251</v>
      </c>
      <c r="D4128" s="12" t="s">
        <v>4982</v>
      </c>
      <c r="E4128" s="12" t="s">
        <v>14659</v>
      </c>
      <c r="F4128" s="13">
        <v>90</v>
      </c>
      <c r="G4128" s="12" t="s">
        <v>1111</v>
      </c>
      <c r="H4128" s="12" t="s">
        <v>38</v>
      </c>
      <c r="I4128" s="12" t="s">
        <v>113</v>
      </c>
      <c r="J4128" s="12" t="s">
        <v>529</v>
      </c>
      <c r="K4128" s="12" t="s">
        <v>82</v>
      </c>
      <c r="L4128" s="14"/>
      <c r="M4128" s="12" t="s">
        <v>43</v>
      </c>
      <c r="N4128" s="12" t="s">
        <v>84</v>
      </c>
      <c r="O4128" s="12" t="s">
        <v>14660</v>
      </c>
      <c r="P4128" s="12" t="s">
        <v>46</v>
      </c>
      <c r="Q4128" s="12" t="s">
        <v>47</v>
      </c>
      <c r="R4128" s="12" t="s">
        <v>117</v>
      </c>
      <c r="S4128" s="13">
        <v>197804440269</v>
      </c>
      <c r="T4128" s="12" t="s">
        <v>49</v>
      </c>
      <c r="U4128" s="13">
        <v>42</v>
      </c>
      <c r="V4128" s="12" t="s">
        <v>50</v>
      </c>
      <c r="W4128" s="12" t="s">
        <v>175</v>
      </c>
      <c r="X4128" s="14"/>
      <c r="Y4128" s="14"/>
      <c r="Z4128" s="14"/>
      <c r="AA4128" s="14"/>
      <c r="AB4128" s="14"/>
      <c r="AC4128" s="15">
        <v>50</v>
      </c>
      <c r="AD4128" s="15">
        <f>AC4128*AG4128</f>
        <v>50</v>
      </c>
      <c r="AE4128" s="15">
        <v>110</v>
      </c>
      <c r="AF4128" s="15">
        <f>AE4128*AG4128</f>
        <v>110</v>
      </c>
      <c r="AG4128" s="16">
        <v>1</v>
      </c>
    </row>
    <row r="4129" spans="1:33" ht="15" customHeight="1" x14ac:dyDescent="0.2">
      <c r="A4129" s="11" t="str">
        <f t="shared" si="1334"/>
        <v>VN000D1JOVM1</v>
      </c>
      <c r="B4129" s="12" t="s">
        <v>14661</v>
      </c>
      <c r="C4129" s="12" t="s">
        <v>251</v>
      </c>
      <c r="D4129" s="12" t="s">
        <v>4982</v>
      </c>
      <c r="E4129" s="12" t="s">
        <v>14662</v>
      </c>
      <c r="F4129" s="13">
        <v>105</v>
      </c>
      <c r="G4129" s="12" t="s">
        <v>1111</v>
      </c>
      <c r="H4129" s="12" t="s">
        <v>38</v>
      </c>
      <c r="I4129" s="12" t="s">
        <v>113</v>
      </c>
      <c r="J4129" s="12" t="s">
        <v>529</v>
      </c>
      <c r="K4129" s="12" t="s">
        <v>82</v>
      </c>
      <c r="L4129" s="14"/>
      <c r="M4129" s="12" t="s">
        <v>43</v>
      </c>
      <c r="N4129" s="12" t="s">
        <v>84</v>
      </c>
      <c r="O4129" s="12" t="s">
        <v>14663</v>
      </c>
      <c r="P4129" s="12" t="s">
        <v>46</v>
      </c>
      <c r="Q4129" s="12" t="s">
        <v>47</v>
      </c>
      <c r="R4129" s="12" t="s">
        <v>117</v>
      </c>
      <c r="S4129" s="13">
        <v>197804440603</v>
      </c>
      <c r="T4129" s="12" t="s">
        <v>49</v>
      </c>
      <c r="U4129" s="13">
        <v>44</v>
      </c>
      <c r="V4129" s="12" t="s">
        <v>50</v>
      </c>
      <c r="W4129" s="12" t="s">
        <v>175</v>
      </c>
      <c r="X4129" s="14"/>
      <c r="Y4129" s="14"/>
      <c r="Z4129" s="14"/>
      <c r="AA4129" s="14"/>
      <c r="AB4129" s="14"/>
      <c r="AC4129" s="15">
        <v>50</v>
      </c>
      <c r="AD4129" s="15">
        <f>AC4129*AG4129</f>
        <v>50</v>
      </c>
      <c r="AE4129" s="15">
        <v>110</v>
      </c>
      <c r="AF4129" s="15">
        <f>AE4129*AG4129</f>
        <v>110</v>
      </c>
      <c r="AG4129" s="16">
        <v>1</v>
      </c>
    </row>
    <row r="4130" spans="1:33" ht="15" customHeight="1" x14ac:dyDescent="0.2">
      <c r="A4130" s="11" t="str">
        <f>HYPERLINK("https://assets.vans.eu/images/VN000D1JPCA-HERO/1","VN000D1JPCA1")</f>
        <v>VN000D1JPCA1</v>
      </c>
      <c r="B4130" s="12" t="s">
        <v>14664</v>
      </c>
      <c r="C4130" s="12" t="s">
        <v>251</v>
      </c>
      <c r="D4130" s="12" t="s">
        <v>14665</v>
      </c>
      <c r="E4130" s="12" t="s">
        <v>14666</v>
      </c>
      <c r="F4130" s="13">
        <v>45</v>
      </c>
      <c r="G4130" s="14"/>
      <c r="H4130" s="12" t="s">
        <v>38</v>
      </c>
      <c r="I4130" s="12" t="s">
        <v>113</v>
      </c>
      <c r="J4130" s="12" t="s">
        <v>529</v>
      </c>
      <c r="K4130" s="12" t="s">
        <v>82</v>
      </c>
      <c r="L4130" s="14"/>
      <c r="M4130" s="12" t="s">
        <v>43</v>
      </c>
      <c r="N4130" s="12" t="s">
        <v>161</v>
      </c>
      <c r="O4130" s="12" t="s">
        <v>14667</v>
      </c>
      <c r="P4130" s="12" t="s">
        <v>46</v>
      </c>
      <c r="Q4130" s="12" t="s">
        <v>47</v>
      </c>
      <c r="R4130" s="12" t="s">
        <v>117</v>
      </c>
      <c r="S4130" s="13">
        <v>197065606275</v>
      </c>
      <c r="T4130" s="12" t="s">
        <v>49</v>
      </c>
      <c r="U4130" s="13">
        <v>36</v>
      </c>
      <c r="V4130" s="12" t="s">
        <v>50</v>
      </c>
      <c r="W4130" s="12" t="s">
        <v>107</v>
      </c>
      <c r="X4130" s="14"/>
      <c r="Y4130" s="12" t="s">
        <v>91</v>
      </c>
      <c r="Z4130" s="12" t="s">
        <v>165</v>
      </c>
      <c r="AA4130" s="14"/>
      <c r="AB4130" s="14"/>
      <c r="AC4130" s="15">
        <v>45.5</v>
      </c>
      <c r="AD4130" s="15">
        <f>AC4130*AG4130</f>
        <v>45.5</v>
      </c>
      <c r="AE4130" s="15">
        <v>100</v>
      </c>
      <c r="AF4130" s="15">
        <f>AE4130*AG4130</f>
        <v>100</v>
      </c>
      <c r="AG4130" s="16">
        <v>1</v>
      </c>
    </row>
    <row r="4131" spans="1:33" ht="15" customHeight="1" x14ac:dyDescent="0.2">
      <c r="A4131" s="11" t="str">
        <f>HYPERLINK("https://assets.vans.eu/images/VN000D1JTUP-HERO/1","VN000D1JTUP1")</f>
        <v>VN000D1JTUP1</v>
      </c>
      <c r="B4131" s="12" t="s">
        <v>14668</v>
      </c>
      <c r="C4131" s="12" t="s">
        <v>251</v>
      </c>
      <c r="D4131" s="12" t="s">
        <v>576</v>
      </c>
      <c r="E4131" s="12" t="s">
        <v>14669</v>
      </c>
      <c r="F4131" s="13">
        <v>85</v>
      </c>
      <c r="G4131" s="14"/>
      <c r="H4131" s="12" t="s">
        <v>38</v>
      </c>
      <c r="I4131" s="12" t="s">
        <v>159</v>
      </c>
      <c r="J4131" s="12" t="s">
        <v>255</v>
      </c>
      <c r="K4131" s="12" t="s">
        <v>82</v>
      </c>
      <c r="L4131" s="12" t="s">
        <v>260</v>
      </c>
      <c r="M4131" s="12" t="s">
        <v>43</v>
      </c>
      <c r="N4131" s="12" t="s">
        <v>44</v>
      </c>
      <c r="O4131" s="12" t="s">
        <v>14670</v>
      </c>
      <c r="P4131" s="12" t="s">
        <v>46</v>
      </c>
      <c r="Q4131" s="12" t="s">
        <v>47</v>
      </c>
      <c r="R4131" s="12" t="s">
        <v>163</v>
      </c>
      <c r="S4131" s="13">
        <v>197643135128</v>
      </c>
      <c r="T4131" s="12" t="s">
        <v>49</v>
      </c>
      <c r="U4131" s="13">
        <v>41</v>
      </c>
      <c r="V4131" s="12" t="s">
        <v>50</v>
      </c>
      <c r="W4131" s="12" t="s">
        <v>580</v>
      </c>
      <c r="X4131" s="14"/>
      <c r="Y4131" s="12" t="s">
        <v>53</v>
      </c>
      <c r="Z4131" s="12" t="s">
        <v>165</v>
      </c>
      <c r="AA4131" s="14"/>
      <c r="AB4131" s="12" t="s">
        <v>264</v>
      </c>
      <c r="AC4131" s="15">
        <v>45.5</v>
      </c>
      <c r="AD4131" s="15">
        <f>AC4131*AG4131</f>
        <v>45.5</v>
      </c>
      <c r="AE4131" s="15">
        <v>100</v>
      </c>
      <c r="AF4131" s="15">
        <f>AE4131*AG4131</f>
        <v>100</v>
      </c>
      <c r="AG4131" s="16">
        <v>1</v>
      </c>
    </row>
    <row r="4132" spans="1:33" ht="15" customHeight="1" x14ac:dyDescent="0.2">
      <c r="A4132" s="11" t="str">
        <f t="shared" ref="A4132:A4135" si="1335">HYPERLINK("https://assets.vans.eu/images/VN000D1JV0N-HERO/1","VN000D1JV0N1")</f>
        <v>VN000D1JV0N1</v>
      </c>
      <c r="B4132" s="12" t="s">
        <v>14671</v>
      </c>
      <c r="C4132" s="12" t="s">
        <v>251</v>
      </c>
      <c r="D4132" s="12" t="s">
        <v>7171</v>
      </c>
      <c r="E4132" s="12" t="s">
        <v>14672</v>
      </c>
      <c r="F4132" s="13">
        <v>75</v>
      </c>
      <c r="G4132" s="14"/>
      <c r="H4132" s="12" t="s">
        <v>38</v>
      </c>
      <c r="I4132" s="12" t="s">
        <v>159</v>
      </c>
      <c r="J4132" s="12" t="s">
        <v>255</v>
      </c>
      <c r="K4132" s="12" t="s">
        <v>82</v>
      </c>
      <c r="L4132" s="12" t="s">
        <v>260</v>
      </c>
      <c r="M4132" s="12" t="s">
        <v>43</v>
      </c>
      <c r="N4132" s="12" t="s">
        <v>84</v>
      </c>
      <c r="O4132" s="12" t="s">
        <v>14673</v>
      </c>
      <c r="P4132" s="12" t="s">
        <v>46</v>
      </c>
      <c r="Q4132" s="12" t="s">
        <v>47</v>
      </c>
      <c r="R4132" s="12" t="s">
        <v>163</v>
      </c>
      <c r="S4132" s="13">
        <v>197804836383</v>
      </c>
      <c r="T4132" s="12" t="s">
        <v>49</v>
      </c>
      <c r="U4132" s="13">
        <v>40</v>
      </c>
      <c r="V4132" s="12" t="s">
        <v>50</v>
      </c>
      <c r="W4132" s="12" t="s">
        <v>118</v>
      </c>
      <c r="X4132" s="14"/>
      <c r="Y4132" s="14"/>
      <c r="Z4132" s="14"/>
      <c r="AA4132" s="14"/>
      <c r="AB4132" s="14"/>
      <c r="AC4132" s="15">
        <v>50</v>
      </c>
      <c r="AD4132" s="15">
        <f>AC4132*AG4132</f>
        <v>50</v>
      </c>
      <c r="AE4132" s="15">
        <v>110</v>
      </c>
      <c r="AF4132" s="15">
        <f>AE4132*AG4132</f>
        <v>110</v>
      </c>
      <c r="AG4132" s="16">
        <v>1</v>
      </c>
    </row>
    <row r="4133" spans="1:33" ht="15" customHeight="1" x14ac:dyDescent="0.2">
      <c r="A4133" s="11" t="str">
        <f t="shared" si="1335"/>
        <v>VN000D1JV0N1</v>
      </c>
      <c r="B4133" s="12" t="s">
        <v>14674</v>
      </c>
      <c r="C4133" s="12" t="s">
        <v>251</v>
      </c>
      <c r="D4133" s="12" t="s">
        <v>7171</v>
      </c>
      <c r="E4133" s="12" t="s">
        <v>14675</v>
      </c>
      <c r="F4133" s="13">
        <v>80</v>
      </c>
      <c r="G4133" s="14"/>
      <c r="H4133" s="12" t="s">
        <v>38</v>
      </c>
      <c r="I4133" s="12" t="s">
        <v>159</v>
      </c>
      <c r="J4133" s="12" t="s">
        <v>255</v>
      </c>
      <c r="K4133" s="12" t="s">
        <v>82</v>
      </c>
      <c r="L4133" s="12" t="s">
        <v>260</v>
      </c>
      <c r="M4133" s="12" t="s">
        <v>43</v>
      </c>
      <c r="N4133" s="12" t="s">
        <v>84</v>
      </c>
      <c r="O4133" s="12" t="s">
        <v>14676</v>
      </c>
      <c r="P4133" s="12" t="s">
        <v>46</v>
      </c>
      <c r="Q4133" s="12" t="s">
        <v>47</v>
      </c>
      <c r="R4133" s="12" t="s">
        <v>163</v>
      </c>
      <c r="S4133" s="13">
        <v>197804836567</v>
      </c>
      <c r="T4133" s="12" t="s">
        <v>49</v>
      </c>
      <c r="U4133" s="13">
        <v>40.5</v>
      </c>
      <c r="V4133" s="12" t="s">
        <v>50</v>
      </c>
      <c r="W4133" s="12" t="s">
        <v>118</v>
      </c>
      <c r="X4133" s="14"/>
      <c r="Y4133" s="14"/>
      <c r="Z4133" s="14"/>
      <c r="AA4133" s="14"/>
      <c r="AB4133" s="14"/>
      <c r="AC4133" s="15">
        <v>50</v>
      </c>
      <c r="AD4133" s="15">
        <f>AC4133*AG4133</f>
        <v>50</v>
      </c>
      <c r="AE4133" s="15">
        <v>110</v>
      </c>
      <c r="AF4133" s="15">
        <f>AE4133*AG4133</f>
        <v>110</v>
      </c>
      <c r="AG4133" s="16">
        <v>1</v>
      </c>
    </row>
    <row r="4134" spans="1:33" ht="15" customHeight="1" x14ac:dyDescent="0.2">
      <c r="A4134" s="11" t="str">
        <f t="shared" si="1335"/>
        <v>VN000D1JV0N1</v>
      </c>
      <c r="B4134" s="12" t="s">
        <v>14677</v>
      </c>
      <c r="C4134" s="12" t="s">
        <v>251</v>
      </c>
      <c r="D4134" s="12" t="s">
        <v>7171</v>
      </c>
      <c r="E4134" s="12" t="s">
        <v>14678</v>
      </c>
      <c r="F4134" s="13">
        <v>100</v>
      </c>
      <c r="G4134" s="14"/>
      <c r="H4134" s="12" t="s">
        <v>38</v>
      </c>
      <c r="I4134" s="12" t="s">
        <v>159</v>
      </c>
      <c r="J4134" s="12" t="s">
        <v>255</v>
      </c>
      <c r="K4134" s="12" t="s">
        <v>82</v>
      </c>
      <c r="L4134" s="12" t="s">
        <v>260</v>
      </c>
      <c r="M4134" s="12" t="s">
        <v>43</v>
      </c>
      <c r="N4134" s="12" t="s">
        <v>84</v>
      </c>
      <c r="O4134" s="12" t="s">
        <v>14679</v>
      </c>
      <c r="P4134" s="12" t="s">
        <v>46</v>
      </c>
      <c r="Q4134" s="12" t="s">
        <v>47</v>
      </c>
      <c r="R4134" s="12" t="s">
        <v>163</v>
      </c>
      <c r="S4134" s="13">
        <v>197804837397</v>
      </c>
      <c r="T4134" s="12" t="s">
        <v>49</v>
      </c>
      <c r="U4134" s="13">
        <v>43</v>
      </c>
      <c r="V4134" s="12" t="s">
        <v>50</v>
      </c>
      <c r="W4134" s="12" t="s">
        <v>118</v>
      </c>
      <c r="X4134" s="14"/>
      <c r="Y4134" s="14"/>
      <c r="Z4134" s="14"/>
      <c r="AA4134" s="14"/>
      <c r="AB4134" s="14"/>
      <c r="AC4134" s="15">
        <v>50</v>
      </c>
      <c r="AD4134" s="15">
        <f>AC4134*AG4134</f>
        <v>50</v>
      </c>
      <c r="AE4134" s="15">
        <v>110</v>
      </c>
      <c r="AF4134" s="15">
        <f>AE4134*AG4134</f>
        <v>110</v>
      </c>
      <c r="AG4134" s="16">
        <v>1</v>
      </c>
    </row>
    <row r="4135" spans="1:33" ht="15" customHeight="1" x14ac:dyDescent="0.2">
      <c r="A4135" s="11" t="str">
        <f t="shared" si="1335"/>
        <v>VN000D1JV0N1</v>
      </c>
      <c r="B4135" s="12" t="s">
        <v>14680</v>
      </c>
      <c r="C4135" s="12" t="s">
        <v>251</v>
      </c>
      <c r="D4135" s="12" t="s">
        <v>7171</v>
      </c>
      <c r="E4135" s="12" t="s">
        <v>14681</v>
      </c>
      <c r="F4135" s="13">
        <v>105</v>
      </c>
      <c r="G4135" s="14"/>
      <c r="H4135" s="12" t="s">
        <v>38</v>
      </c>
      <c r="I4135" s="12" t="s">
        <v>159</v>
      </c>
      <c r="J4135" s="12" t="s">
        <v>255</v>
      </c>
      <c r="K4135" s="12" t="s">
        <v>82</v>
      </c>
      <c r="L4135" s="12" t="s">
        <v>260</v>
      </c>
      <c r="M4135" s="12" t="s">
        <v>43</v>
      </c>
      <c r="N4135" s="12" t="s">
        <v>84</v>
      </c>
      <c r="O4135" s="12" t="s">
        <v>14682</v>
      </c>
      <c r="P4135" s="12" t="s">
        <v>46</v>
      </c>
      <c r="Q4135" s="12" t="s">
        <v>47</v>
      </c>
      <c r="R4135" s="12" t="s">
        <v>163</v>
      </c>
      <c r="S4135" s="13">
        <v>197804837595</v>
      </c>
      <c r="T4135" s="12" t="s">
        <v>49</v>
      </c>
      <c r="U4135" s="13">
        <v>44</v>
      </c>
      <c r="V4135" s="12" t="s">
        <v>50</v>
      </c>
      <c r="W4135" s="12" t="s">
        <v>118</v>
      </c>
      <c r="X4135" s="14"/>
      <c r="Y4135" s="14"/>
      <c r="Z4135" s="14"/>
      <c r="AA4135" s="14"/>
      <c r="AB4135" s="14"/>
      <c r="AC4135" s="15">
        <v>50</v>
      </c>
      <c r="AD4135" s="15">
        <f>AC4135*AG4135</f>
        <v>50</v>
      </c>
      <c r="AE4135" s="15">
        <v>110</v>
      </c>
      <c r="AF4135" s="15">
        <f>AE4135*AG4135</f>
        <v>110</v>
      </c>
      <c r="AG4135" s="16">
        <v>1</v>
      </c>
    </row>
    <row r="4136" spans="1:33" ht="15" customHeight="1" x14ac:dyDescent="0.2">
      <c r="A4136" s="11" t="str">
        <f t="shared" ref="A4136:A4142" si="1336">HYPERLINK("https://assets.vans.eu/images/VN000D1JY23-HERO/1","VN000D1JY231")</f>
        <v>VN000D1JY231</v>
      </c>
      <c r="B4136" s="12" t="s">
        <v>14683</v>
      </c>
      <c r="C4136" s="12" t="s">
        <v>251</v>
      </c>
      <c r="D4136" s="12" t="s">
        <v>1312</v>
      </c>
      <c r="E4136" s="12" t="s">
        <v>14684</v>
      </c>
      <c r="F4136" s="13">
        <v>40</v>
      </c>
      <c r="G4136" s="14"/>
      <c r="H4136" s="12" t="s">
        <v>38</v>
      </c>
      <c r="I4136" s="12" t="s">
        <v>159</v>
      </c>
      <c r="J4136" s="12" t="s">
        <v>255</v>
      </c>
      <c r="K4136" s="12" t="s">
        <v>82</v>
      </c>
      <c r="L4136" s="12" t="s">
        <v>260</v>
      </c>
      <c r="M4136" s="12" t="s">
        <v>43</v>
      </c>
      <c r="N4136" s="12" t="s">
        <v>84</v>
      </c>
      <c r="O4136" s="12" t="s">
        <v>14685</v>
      </c>
      <c r="P4136" s="12" t="s">
        <v>46</v>
      </c>
      <c r="Q4136" s="12" t="s">
        <v>47</v>
      </c>
      <c r="R4136" s="12" t="s">
        <v>163</v>
      </c>
      <c r="S4136" s="13">
        <v>197804612079</v>
      </c>
      <c r="T4136" s="12" t="s">
        <v>49</v>
      </c>
      <c r="U4136" s="13">
        <v>35</v>
      </c>
      <c r="V4136" s="12" t="s">
        <v>50</v>
      </c>
      <c r="W4136" s="12" t="s">
        <v>51</v>
      </c>
      <c r="X4136" s="14"/>
      <c r="Y4136" s="14"/>
      <c r="Z4136" s="14"/>
      <c r="AA4136" s="14"/>
      <c r="AB4136" s="14"/>
      <c r="AC4136" s="15">
        <v>47.75</v>
      </c>
      <c r="AD4136" s="15">
        <f>AC4136*AG4136</f>
        <v>47.75</v>
      </c>
      <c r="AE4136" s="15">
        <v>105</v>
      </c>
      <c r="AF4136" s="15">
        <f>AE4136*AG4136</f>
        <v>105</v>
      </c>
      <c r="AG4136" s="16">
        <v>1</v>
      </c>
    </row>
    <row r="4137" spans="1:33" ht="15" customHeight="1" x14ac:dyDescent="0.2">
      <c r="A4137" s="11" t="str">
        <f t="shared" si="1336"/>
        <v>VN000D1JY231</v>
      </c>
      <c r="B4137" s="12" t="s">
        <v>14686</v>
      </c>
      <c r="C4137" s="12" t="s">
        <v>251</v>
      </c>
      <c r="D4137" s="12" t="s">
        <v>1312</v>
      </c>
      <c r="E4137" s="12" t="s">
        <v>14687</v>
      </c>
      <c r="F4137" s="13">
        <v>45</v>
      </c>
      <c r="G4137" s="14"/>
      <c r="H4137" s="12" t="s">
        <v>38</v>
      </c>
      <c r="I4137" s="12" t="s">
        <v>159</v>
      </c>
      <c r="J4137" s="12" t="s">
        <v>255</v>
      </c>
      <c r="K4137" s="12" t="s">
        <v>82</v>
      </c>
      <c r="L4137" s="12" t="s">
        <v>260</v>
      </c>
      <c r="M4137" s="12" t="s">
        <v>43</v>
      </c>
      <c r="N4137" s="12" t="s">
        <v>84</v>
      </c>
      <c r="O4137" s="12" t="s">
        <v>14688</v>
      </c>
      <c r="P4137" s="12" t="s">
        <v>46</v>
      </c>
      <c r="Q4137" s="12" t="s">
        <v>47</v>
      </c>
      <c r="R4137" s="12" t="s">
        <v>163</v>
      </c>
      <c r="S4137" s="13">
        <v>197804612246</v>
      </c>
      <c r="T4137" s="12" t="s">
        <v>49</v>
      </c>
      <c r="U4137" s="13">
        <v>36</v>
      </c>
      <c r="V4137" s="12" t="s">
        <v>50</v>
      </c>
      <c r="W4137" s="12" t="s">
        <v>51</v>
      </c>
      <c r="X4137" s="14"/>
      <c r="Y4137" s="14"/>
      <c r="Z4137" s="14"/>
      <c r="AA4137" s="14"/>
      <c r="AB4137" s="14"/>
      <c r="AC4137" s="15">
        <v>47.75</v>
      </c>
      <c r="AD4137" s="15">
        <f>AC4137*AG4137</f>
        <v>47.75</v>
      </c>
      <c r="AE4137" s="15">
        <v>105</v>
      </c>
      <c r="AF4137" s="15">
        <f>AE4137*AG4137</f>
        <v>105</v>
      </c>
      <c r="AG4137" s="16">
        <v>1</v>
      </c>
    </row>
    <row r="4138" spans="1:33" ht="15" customHeight="1" x14ac:dyDescent="0.2">
      <c r="A4138" s="11" t="str">
        <f t="shared" si="1336"/>
        <v>VN000D1JY231</v>
      </c>
      <c r="B4138" s="12" t="s">
        <v>14689</v>
      </c>
      <c r="C4138" s="12" t="s">
        <v>251</v>
      </c>
      <c r="D4138" s="12" t="s">
        <v>1312</v>
      </c>
      <c r="E4138" s="12" t="s">
        <v>14690</v>
      </c>
      <c r="F4138" s="13">
        <v>55</v>
      </c>
      <c r="G4138" s="14"/>
      <c r="H4138" s="12" t="s">
        <v>38</v>
      </c>
      <c r="I4138" s="12" t="s">
        <v>159</v>
      </c>
      <c r="J4138" s="12" t="s">
        <v>255</v>
      </c>
      <c r="K4138" s="12" t="s">
        <v>82</v>
      </c>
      <c r="L4138" s="12" t="s">
        <v>260</v>
      </c>
      <c r="M4138" s="12" t="s">
        <v>43</v>
      </c>
      <c r="N4138" s="12" t="s">
        <v>84</v>
      </c>
      <c r="O4138" s="12" t="s">
        <v>14691</v>
      </c>
      <c r="P4138" s="12" t="s">
        <v>46</v>
      </c>
      <c r="Q4138" s="12" t="s">
        <v>47</v>
      </c>
      <c r="R4138" s="12" t="s">
        <v>163</v>
      </c>
      <c r="S4138" s="13">
        <v>197804612475</v>
      </c>
      <c r="T4138" s="12" t="s">
        <v>49</v>
      </c>
      <c r="U4138" s="13">
        <v>37</v>
      </c>
      <c r="V4138" s="12" t="s">
        <v>50</v>
      </c>
      <c r="W4138" s="12" t="s">
        <v>51</v>
      </c>
      <c r="X4138" s="14"/>
      <c r="Y4138" s="14"/>
      <c r="Z4138" s="14"/>
      <c r="AA4138" s="14"/>
      <c r="AB4138" s="14"/>
      <c r="AC4138" s="15">
        <v>47.75</v>
      </c>
      <c r="AD4138" s="15">
        <f>AC4138*AG4138</f>
        <v>47.75</v>
      </c>
      <c r="AE4138" s="15">
        <v>105</v>
      </c>
      <c r="AF4138" s="15">
        <f>AE4138*AG4138</f>
        <v>105</v>
      </c>
      <c r="AG4138" s="16">
        <v>1</v>
      </c>
    </row>
    <row r="4139" spans="1:33" ht="15" customHeight="1" x14ac:dyDescent="0.2">
      <c r="A4139" s="11" t="str">
        <f t="shared" si="1336"/>
        <v>VN000D1JY231</v>
      </c>
      <c r="B4139" s="12" t="s">
        <v>14692</v>
      </c>
      <c r="C4139" s="12" t="s">
        <v>251</v>
      </c>
      <c r="D4139" s="12" t="s">
        <v>1312</v>
      </c>
      <c r="E4139" s="12" t="s">
        <v>14693</v>
      </c>
      <c r="F4139" s="13">
        <v>75</v>
      </c>
      <c r="G4139" s="14"/>
      <c r="H4139" s="12" t="s">
        <v>38</v>
      </c>
      <c r="I4139" s="12" t="s">
        <v>159</v>
      </c>
      <c r="J4139" s="12" t="s">
        <v>255</v>
      </c>
      <c r="K4139" s="12" t="s">
        <v>82</v>
      </c>
      <c r="L4139" s="12" t="s">
        <v>260</v>
      </c>
      <c r="M4139" s="12" t="s">
        <v>43</v>
      </c>
      <c r="N4139" s="12" t="s">
        <v>84</v>
      </c>
      <c r="O4139" s="12" t="s">
        <v>14694</v>
      </c>
      <c r="P4139" s="12" t="s">
        <v>46</v>
      </c>
      <c r="Q4139" s="12" t="s">
        <v>47</v>
      </c>
      <c r="R4139" s="12" t="s">
        <v>163</v>
      </c>
      <c r="S4139" s="13">
        <v>197804612949</v>
      </c>
      <c r="T4139" s="12" t="s">
        <v>49</v>
      </c>
      <c r="U4139" s="13">
        <v>40</v>
      </c>
      <c r="V4139" s="12" t="s">
        <v>50</v>
      </c>
      <c r="W4139" s="12" t="s">
        <v>51</v>
      </c>
      <c r="X4139" s="14"/>
      <c r="Y4139" s="14"/>
      <c r="Z4139" s="14"/>
      <c r="AA4139" s="14"/>
      <c r="AB4139" s="14"/>
      <c r="AC4139" s="15">
        <v>47.75</v>
      </c>
      <c r="AD4139" s="15">
        <f>AC4139*AG4139</f>
        <v>47.75</v>
      </c>
      <c r="AE4139" s="15">
        <v>105</v>
      </c>
      <c r="AF4139" s="15">
        <f>AE4139*AG4139</f>
        <v>105</v>
      </c>
      <c r="AG4139" s="16">
        <v>1</v>
      </c>
    </row>
    <row r="4140" spans="1:33" ht="15" customHeight="1" x14ac:dyDescent="0.2">
      <c r="A4140" s="11" t="str">
        <f t="shared" si="1336"/>
        <v>VN000D1JY231</v>
      </c>
      <c r="B4140" s="12" t="s">
        <v>14695</v>
      </c>
      <c r="C4140" s="12" t="s">
        <v>251</v>
      </c>
      <c r="D4140" s="12" t="s">
        <v>1312</v>
      </c>
      <c r="E4140" s="12" t="s">
        <v>14696</v>
      </c>
      <c r="F4140" s="13">
        <v>85</v>
      </c>
      <c r="G4140" s="14"/>
      <c r="H4140" s="12" t="s">
        <v>38</v>
      </c>
      <c r="I4140" s="12" t="s">
        <v>159</v>
      </c>
      <c r="J4140" s="12" t="s">
        <v>255</v>
      </c>
      <c r="K4140" s="12" t="s">
        <v>82</v>
      </c>
      <c r="L4140" s="12" t="s">
        <v>260</v>
      </c>
      <c r="M4140" s="12" t="s">
        <v>43</v>
      </c>
      <c r="N4140" s="12" t="s">
        <v>84</v>
      </c>
      <c r="O4140" s="12" t="s">
        <v>14697</v>
      </c>
      <c r="P4140" s="12" t="s">
        <v>46</v>
      </c>
      <c r="Q4140" s="12" t="s">
        <v>47</v>
      </c>
      <c r="R4140" s="12" t="s">
        <v>163</v>
      </c>
      <c r="S4140" s="13">
        <v>197804613045</v>
      </c>
      <c r="T4140" s="12" t="s">
        <v>49</v>
      </c>
      <c r="U4140" s="13">
        <v>41</v>
      </c>
      <c r="V4140" s="12" t="s">
        <v>50</v>
      </c>
      <c r="W4140" s="12" t="s">
        <v>51</v>
      </c>
      <c r="X4140" s="14"/>
      <c r="Y4140" s="14"/>
      <c r="Z4140" s="14"/>
      <c r="AA4140" s="14"/>
      <c r="AB4140" s="14"/>
      <c r="AC4140" s="15">
        <v>47.75</v>
      </c>
      <c r="AD4140" s="15">
        <f>AC4140*AG4140</f>
        <v>47.75</v>
      </c>
      <c r="AE4140" s="15">
        <v>105</v>
      </c>
      <c r="AF4140" s="15">
        <f>AE4140*AG4140</f>
        <v>105</v>
      </c>
      <c r="AG4140" s="16">
        <v>1</v>
      </c>
    </row>
    <row r="4141" spans="1:33" ht="15" customHeight="1" x14ac:dyDescent="0.2">
      <c r="A4141" s="11" t="str">
        <f t="shared" si="1336"/>
        <v>VN000D1JY231</v>
      </c>
      <c r="B4141" s="12" t="s">
        <v>14698</v>
      </c>
      <c r="C4141" s="12" t="s">
        <v>251</v>
      </c>
      <c r="D4141" s="12" t="s">
        <v>1312</v>
      </c>
      <c r="E4141" s="12" t="s">
        <v>14699</v>
      </c>
      <c r="F4141" s="13">
        <v>90</v>
      </c>
      <c r="G4141" s="14"/>
      <c r="H4141" s="12" t="s">
        <v>38</v>
      </c>
      <c r="I4141" s="12" t="s">
        <v>159</v>
      </c>
      <c r="J4141" s="12" t="s">
        <v>255</v>
      </c>
      <c r="K4141" s="12" t="s">
        <v>82</v>
      </c>
      <c r="L4141" s="12" t="s">
        <v>260</v>
      </c>
      <c r="M4141" s="12" t="s">
        <v>43</v>
      </c>
      <c r="N4141" s="12" t="s">
        <v>84</v>
      </c>
      <c r="O4141" s="12" t="s">
        <v>14700</v>
      </c>
      <c r="P4141" s="12" t="s">
        <v>46</v>
      </c>
      <c r="Q4141" s="12" t="s">
        <v>47</v>
      </c>
      <c r="R4141" s="12" t="s">
        <v>163</v>
      </c>
      <c r="S4141" s="13">
        <v>197804613090</v>
      </c>
      <c r="T4141" s="12" t="s">
        <v>49</v>
      </c>
      <c r="U4141" s="13">
        <v>42</v>
      </c>
      <c r="V4141" s="12" t="s">
        <v>50</v>
      </c>
      <c r="W4141" s="12" t="s">
        <v>51</v>
      </c>
      <c r="X4141" s="14"/>
      <c r="Y4141" s="14"/>
      <c r="Z4141" s="14"/>
      <c r="AA4141" s="14"/>
      <c r="AB4141" s="14"/>
      <c r="AC4141" s="15">
        <v>47.75</v>
      </c>
      <c r="AD4141" s="15">
        <f>AC4141*AG4141</f>
        <v>47.75</v>
      </c>
      <c r="AE4141" s="15">
        <v>105</v>
      </c>
      <c r="AF4141" s="15">
        <f>AE4141*AG4141</f>
        <v>105</v>
      </c>
      <c r="AG4141" s="16">
        <v>1</v>
      </c>
    </row>
    <row r="4142" spans="1:33" ht="15" customHeight="1" x14ac:dyDescent="0.2">
      <c r="A4142" s="11" t="str">
        <f t="shared" si="1336"/>
        <v>VN000D1JY231</v>
      </c>
      <c r="B4142" s="12" t="s">
        <v>14701</v>
      </c>
      <c r="C4142" s="12" t="s">
        <v>251</v>
      </c>
      <c r="D4142" s="12" t="s">
        <v>1312</v>
      </c>
      <c r="E4142" s="12" t="s">
        <v>14702</v>
      </c>
      <c r="F4142" s="13">
        <v>105</v>
      </c>
      <c r="G4142" s="14"/>
      <c r="H4142" s="12" t="s">
        <v>38</v>
      </c>
      <c r="I4142" s="12" t="s">
        <v>159</v>
      </c>
      <c r="J4142" s="12" t="s">
        <v>255</v>
      </c>
      <c r="K4142" s="12" t="s">
        <v>82</v>
      </c>
      <c r="L4142" s="12" t="s">
        <v>260</v>
      </c>
      <c r="M4142" s="12" t="s">
        <v>43</v>
      </c>
      <c r="N4142" s="12" t="s">
        <v>84</v>
      </c>
      <c r="O4142" s="12" t="s">
        <v>14703</v>
      </c>
      <c r="P4142" s="12" t="s">
        <v>46</v>
      </c>
      <c r="Q4142" s="12" t="s">
        <v>47</v>
      </c>
      <c r="R4142" s="12" t="s">
        <v>163</v>
      </c>
      <c r="S4142" s="13">
        <v>197804613335</v>
      </c>
      <c r="T4142" s="12" t="s">
        <v>49</v>
      </c>
      <c r="U4142" s="13">
        <v>44</v>
      </c>
      <c r="V4142" s="12" t="s">
        <v>50</v>
      </c>
      <c r="W4142" s="12" t="s">
        <v>51</v>
      </c>
      <c r="X4142" s="14"/>
      <c r="Y4142" s="14"/>
      <c r="Z4142" s="14"/>
      <c r="AA4142" s="14"/>
      <c r="AB4142" s="14"/>
      <c r="AC4142" s="15">
        <v>47.75</v>
      </c>
      <c r="AD4142" s="15">
        <f>AC4142*AG4142</f>
        <v>47.75</v>
      </c>
      <c r="AE4142" s="15">
        <v>105</v>
      </c>
      <c r="AF4142" s="15">
        <f>AE4142*AG4142</f>
        <v>105</v>
      </c>
      <c r="AG4142" s="16">
        <v>1</v>
      </c>
    </row>
    <row r="4143" spans="1:33" ht="15" customHeight="1" x14ac:dyDescent="0.2">
      <c r="A4143" s="11" t="str">
        <f t="shared" ref="A4143:A4144" si="1337">HYPERLINK("https://assets.vans.eu/images/VN000D1SEMW-HERO/1","VN000D1SEMW1")</f>
        <v>VN000D1SEMW1</v>
      </c>
      <c r="B4143" s="12" t="s">
        <v>14704</v>
      </c>
      <c r="C4143" s="12" t="s">
        <v>5073</v>
      </c>
      <c r="D4143" s="12" t="s">
        <v>147</v>
      </c>
      <c r="E4143" s="12" t="s">
        <v>14705</v>
      </c>
      <c r="F4143" s="13">
        <v>35</v>
      </c>
      <c r="G4143" s="14"/>
      <c r="H4143" s="12" t="s">
        <v>38</v>
      </c>
      <c r="I4143" s="12" t="s">
        <v>113</v>
      </c>
      <c r="J4143" s="12" t="s">
        <v>114</v>
      </c>
      <c r="K4143" s="12" t="s">
        <v>82</v>
      </c>
      <c r="L4143" s="14"/>
      <c r="M4143" s="12" t="s">
        <v>43</v>
      </c>
      <c r="N4143" s="12" t="s">
        <v>84</v>
      </c>
      <c r="O4143" s="12" t="s">
        <v>14706</v>
      </c>
      <c r="P4143" s="12" t="s">
        <v>46</v>
      </c>
      <c r="Q4143" s="12" t="s">
        <v>47</v>
      </c>
      <c r="R4143" s="12" t="s">
        <v>948</v>
      </c>
      <c r="S4143" s="13">
        <v>197804523900</v>
      </c>
      <c r="T4143" s="12" t="s">
        <v>49</v>
      </c>
      <c r="U4143" s="13">
        <v>34.5</v>
      </c>
      <c r="V4143" s="12" t="s">
        <v>50</v>
      </c>
      <c r="W4143" s="12" t="s">
        <v>118</v>
      </c>
      <c r="X4143" s="14"/>
      <c r="Y4143" s="14"/>
      <c r="Z4143" s="14"/>
      <c r="AA4143" s="14"/>
      <c r="AB4143" s="14"/>
      <c r="AC4143" s="15">
        <v>43.2</v>
      </c>
      <c r="AD4143" s="15">
        <f>AC4143*AG4143</f>
        <v>43.2</v>
      </c>
      <c r="AE4143" s="15">
        <v>95</v>
      </c>
      <c r="AF4143" s="15">
        <f>AE4143*AG4143</f>
        <v>95</v>
      </c>
      <c r="AG4143" s="16">
        <v>1</v>
      </c>
    </row>
    <row r="4144" spans="1:33" ht="15" customHeight="1" x14ac:dyDescent="0.2">
      <c r="A4144" s="11" t="str">
        <f t="shared" si="1337"/>
        <v>VN000D1SEMW1</v>
      </c>
      <c r="B4144" s="12" t="s">
        <v>14707</v>
      </c>
      <c r="C4144" s="12" t="s">
        <v>5073</v>
      </c>
      <c r="D4144" s="12" t="s">
        <v>147</v>
      </c>
      <c r="E4144" s="12" t="s">
        <v>14708</v>
      </c>
      <c r="F4144" s="13">
        <v>65</v>
      </c>
      <c r="G4144" s="14"/>
      <c r="H4144" s="12" t="s">
        <v>38</v>
      </c>
      <c r="I4144" s="12" t="s">
        <v>113</v>
      </c>
      <c r="J4144" s="12" t="s">
        <v>114</v>
      </c>
      <c r="K4144" s="12" t="s">
        <v>82</v>
      </c>
      <c r="L4144" s="14"/>
      <c r="M4144" s="12" t="s">
        <v>43</v>
      </c>
      <c r="N4144" s="12" t="s">
        <v>84</v>
      </c>
      <c r="O4144" s="12" t="s">
        <v>14709</v>
      </c>
      <c r="P4144" s="12" t="s">
        <v>46</v>
      </c>
      <c r="Q4144" s="12" t="s">
        <v>47</v>
      </c>
      <c r="R4144" s="12" t="s">
        <v>948</v>
      </c>
      <c r="S4144" s="13">
        <v>197804524778</v>
      </c>
      <c r="T4144" s="12" t="s">
        <v>49</v>
      </c>
      <c r="U4144" s="13">
        <v>38.5</v>
      </c>
      <c r="V4144" s="12" t="s">
        <v>50</v>
      </c>
      <c r="W4144" s="12" t="s">
        <v>118</v>
      </c>
      <c r="X4144" s="14"/>
      <c r="Y4144" s="14"/>
      <c r="Z4144" s="14"/>
      <c r="AA4144" s="14"/>
      <c r="AB4144" s="14"/>
      <c r="AC4144" s="15">
        <v>43.2</v>
      </c>
      <c r="AD4144" s="15">
        <f>AC4144*AG4144</f>
        <v>43.2</v>
      </c>
      <c r="AE4144" s="15">
        <v>95</v>
      </c>
      <c r="AF4144" s="15">
        <f>AE4144*AG4144</f>
        <v>95</v>
      </c>
      <c r="AG4144" s="16">
        <v>1</v>
      </c>
    </row>
    <row r="4145" spans="1:33" ht="15" customHeight="1" x14ac:dyDescent="0.2">
      <c r="A4145" s="11" t="str">
        <f t="shared" si="1040"/>
        <v>VN000D221NU1</v>
      </c>
      <c r="B4145" s="12" t="s">
        <v>14710</v>
      </c>
      <c r="C4145" s="12" t="s">
        <v>110</v>
      </c>
      <c r="D4145" s="12" t="s">
        <v>783</v>
      </c>
      <c r="E4145" s="12" t="s">
        <v>14711</v>
      </c>
      <c r="F4145" s="13">
        <v>50</v>
      </c>
      <c r="G4145" s="14"/>
      <c r="H4145" s="12" t="s">
        <v>38</v>
      </c>
      <c r="I4145" s="12" t="s">
        <v>159</v>
      </c>
      <c r="J4145" s="12" t="s">
        <v>160</v>
      </c>
      <c r="K4145" s="12" t="s">
        <v>82</v>
      </c>
      <c r="L4145" s="14"/>
      <c r="M4145" s="12" t="s">
        <v>43</v>
      </c>
      <c r="N4145" s="12" t="s">
        <v>84</v>
      </c>
      <c r="O4145" s="12" t="s">
        <v>14712</v>
      </c>
      <c r="P4145" s="12" t="s">
        <v>46</v>
      </c>
      <c r="Q4145" s="12" t="s">
        <v>47</v>
      </c>
      <c r="R4145" s="12" t="s">
        <v>163</v>
      </c>
      <c r="S4145" s="13">
        <v>197804440696</v>
      </c>
      <c r="T4145" s="12" t="s">
        <v>105</v>
      </c>
      <c r="U4145" s="13">
        <v>36.5</v>
      </c>
      <c r="V4145" s="12" t="s">
        <v>50</v>
      </c>
      <c r="W4145" s="12" t="s">
        <v>186</v>
      </c>
      <c r="X4145" s="14"/>
      <c r="Y4145" s="14"/>
      <c r="Z4145" s="14"/>
      <c r="AA4145" s="14"/>
      <c r="AB4145" s="14"/>
      <c r="AC4145" s="15">
        <v>43.2</v>
      </c>
      <c r="AD4145" s="15">
        <f>AC4145*AG4145</f>
        <v>43.2</v>
      </c>
      <c r="AE4145" s="15">
        <v>95</v>
      </c>
      <c r="AF4145" s="15">
        <f>AE4145*AG4145</f>
        <v>95</v>
      </c>
      <c r="AG4145" s="16">
        <v>1</v>
      </c>
    </row>
    <row r="4146" spans="1:33" ht="15" customHeight="1" x14ac:dyDescent="0.2">
      <c r="A4146" s="11" t="str">
        <f t="shared" si="1041"/>
        <v>VN000D22B9P1</v>
      </c>
      <c r="B4146" s="12" t="s">
        <v>14713</v>
      </c>
      <c r="C4146" s="12" t="s">
        <v>110</v>
      </c>
      <c r="D4146" s="12" t="s">
        <v>267</v>
      </c>
      <c r="E4146" s="12" t="s">
        <v>14714</v>
      </c>
      <c r="F4146" s="13">
        <v>45</v>
      </c>
      <c r="G4146" s="12" t="s">
        <v>9571</v>
      </c>
      <c r="H4146" s="12" t="s">
        <v>38</v>
      </c>
      <c r="I4146" s="12" t="s">
        <v>159</v>
      </c>
      <c r="J4146" s="12" t="s">
        <v>160</v>
      </c>
      <c r="K4146" s="12" t="s">
        <v>82</v>
      </c>
      <c r="L4146" s="14"/>
      <c r="M4146" s="12" t="s">
        <v>43</v>
      </c>
      <c r="N4146" s="12" t="s">
        <v>84</v>
      </c>
      <c r="O4146" s="12" t="s">
        <v>14715</v>
      </c>
      <c r="P4146" s="12" t="s">
        <v>46</v>
      </c>
      <c r="Q4146" s="12" t="s">
        <v>47</v>
      </c>
      <c r="R4146" s="12" t="s">
        <v>163</v>
      </c>
      <c r="S4146" s="13">
        <v>197804440771</v>
      </c>
      <c r="T4146" s="12" t="s">
        <v>49</v>
      </c>
      <c r="U4146" s="13">
        <v>36</v>
      </c>
      <c r="V4146" s="12" t="s">
        <v>50</v>
      </c>
      <c r="W4146" s="12" t="s">
        <v>51</v>
      </c>
      <c r="X4146" s="14"/>
      <c r="Y4146" s="14"/>
      <c r="Z4146" s="14"/>
      <c r="AA4146" s="14"/>
      <c r="AB4146" s="14"/>
      <c r="AC4146" s="15">
        <v>43.2</v>
      </c>
      <c r="AD4146" s="15">
        <f>AC4146*AG4146</f>
        <v>43.2</v>
      </c>
      <c r="AE4146" s="15">
        <v>95</v>
      </c>
      <c r="AF4146" s="15">
        <f>AE4146*AG4146</f>
        <v>95</v>
      </c>
      <c r="AG4146" s="16">
        <v>1</v>
      </c>
    </row>
    <row r="4147" spans="1:33" ht="15" customHeight="1" x14ac:dyDescent="0.2">
      <c r="A4147" s="11" t="str">
        <f t="shared" ref="A4147:A4150" si="1338">HYPERLINK("https://assets.vans.eu/images/VN000D22B9P-HERO/1","VN000D22B9P1")</f>
        <v>VN000D22B9P1</v>
      </c>
      <c r="B4147" s="12" t="s">
        <v>14716</v>
      </c>
      <c r="C4147" s="12" t="s">
        <v>110</v>
      </c>
      <c r="D4147" s="12" t="s">
        <v>267</v>
      </c>
      <c r="E4147" s="12" t="s">
        <v>14717</v>
      </c>
      <c r="F4147" s="13">
        <v>50</v>
      </c>
      <c r="G4147" s="12" t="s">
        <v>9571</v>
      </c>
      <c r="H4147" s="12" t="s">
        <v>38</v>
      </c>
      <c r="I4147" s="12" t="s">
        <v>159</v>
      </c>
      <c r="J4147" s="12" t="s">
        <v>160</v>
      </c>
      <c r="K4147" s="12" t="s">
        <v>82</v>
      </c>
      <c r="L4147" s="14"/>
      <c r="M4147" s="12" t="s">
        <v>43</v>
      </c>
      <c r="N4147" s="12" t="s">
        <v>84</v>
      </c>
      <c r="O4147" s="12" t="s">
        <v>14718</v>
      </c>
      <c r="P4147" s="12" t="s">
        <v>46</v>
      </c>
      <c r="Q4147" s="12" t="s">
        <v>47</v>
      </c>
      <c r="R4147" s="12" t="s">
        <v>163</v>
      </c>
      <c r="S4147" s="13">
        <v>197804440856</v>
      </c>
      <c r="T4147" s="12" t="s">
        <v>49</v>
      </c>
      <c r="U4147" s="13">
        <v>36.5</v>
      </c>
      <c r="V4147" s="12" t="s">
        <v>50</v>
      </c>
      <c r="W4147" s="12" t="s">
        <v>51</v>
      </c>
      <c r="X4147" s="14"/>
      <c r="Y4147" s="14"/>
      <c r="Z4147" s="14"/>
      <c r="AA4147" s="14"/>
      <c r="AB4147" s="14"/>
      <c r="AC4147" s="15">
        <v>43.2</v>
      </c>
      <c r="AD4147" s="15">
        <f>AC4147*AG4147</f>
        <v>43.2</v>
      </c>
      <c r="AE4147" s="15">
        <v>95</v>
      </c>
      <c r="AF4147" s="15">
        <f>AE4147*AG4147</f>
        <v>95</v>
      </c>
      <c r="AG4147" s="16">
        <v>1</v>
      </c>
    </row>
    <row r="4148" spans="1:33" ht="15" customHeight="1" x14ac:dyDescent="0.2">
      <c r="A4148" s="11" t="str">
        <f t="shared" si="1338"/>
        <v>VN000D22B9P1</v>
      </c>
      <c r="B4148" s="12" t="s">
        <v>14719</v>
      </c>
      <c r="C4148" s="12" t="s">
        <v>110</v>
      </c>
      <c r="D4148" s="12" t="s">
        <v>267</v>
      </c>
      <c r="E4148" s="12" t="s">
        <v>14720</v>
      </c>
      <c r="F4148" s="13">
        <v>55</v>
      </c>
      <c r="G4148" s="12" t="s">
        <v>9571</v>
      </c>
      <c r="H4148" s="12" t="s">
        <v>38</v>
      </c>
      <c r="I4148" s="12" t="s">
        <v>159</v>
      </c>
      <c r="J4148" s="12" t="s">
        <v>160</v>
      </c>
      <c r="K4148" s="12" t="s">
        <v>82</v>
      </c>
      <c r="L4148" s="14"/>
      <c r="M4148" s="12" t="s">
        <v>43</v>
      </c>
      <c r="N4148" s="12" t="s">
        <v>84</v>
      </c>
      <c r="O4148" s="12" t="s">
        <v>14721</v>
      </c>
      <c r="P4148" s="12" t="s">
        <v>46</v>
      </c>
      <c r="Q4148" s="12" t="s">
        <v>47</v>
      </c>
      <c r="R4148" s="12" t="s">
        <v>163</v>
      </c>
      <c r="S4148" s="13">
        <v>197804441044</v>
      </c>
      <c r="T4148" s="12" t="s">
        <v>49</v>
      </c>
      <c r="U4148" s="13">
        <v>37</v>
      </c>
      <c r="V4148" s="12" t="s">
        <v>50</v>
      </c>
      <c r="W4148" s="12" t="s">
        <v>51</v>
      </c>
      <c r="X4148" s="14"/>
      <c r="Y4148" s="14"/>
      <c r="Z4148" s="14"/>
      <c r="AA4148" s="14"/>
      <c r="AB4148" s="14"/>
      <c r="AC4148" s="15">
        <v>43.2</v>
      </c>
      <c r="AD4148" s="15">
        <f>AC4148*AG4148</f>
        <v>43.2</v>
      </c>
      <c r="AE4148" s="15">
        <v>95</v>
      </c>
      <c r="AF4148" s="15">
        <f>AE4148*AG4148</f>
        <v>95</v>
      </c>
      <c r="AG4148" s="16">
        <v>1</v>
      </c>
    </row>
    <row r="4149" spans="1:33" ht="15" customHeight="1" x14ac:dyDescent="0.2">
      <c r="A4149" s="11" t="str">
        <f t="shared" si="1338"/>
        <v>VN000D22B9P1</v>
      </c>
      <c r="B4149" s="12" t="s">
        <v>14722</v>
      </c>
      <c r="C4149" s="12" t="s">
        <v>110</v>
      </c>
      <c r="D4149" s="12" t="s">
        <v>267</v>
      </c>
      <c r="E4149" s="12" t="s">
        <v>14723</v>
      </c>
      <c r="F4149" s="13">
        <v>65</v>
      </c>
      <c r="G4149" s="12" t="s">
        <v>9571</v>
      </c>
      <c r="H4149" s="12" t="s">
        <v>38</v>
      </c>
      <c r="I4149" s="12" t="s">
        <v>159</v>
      </c>
      <c r="J4149" s="12" t="s">
        <v>160</v>
      </c>
      <c r="K4149" s="12" t="s">
        <v>82</v>
      </c>
      <c r="L4149" s="14"/>
      <c r="M4149" s="12" t="s">
        <v>43</v>
      </c>
      <c r="N4149" s="12" t="s">
        <v>84</v>
      </c>
      <c r="O4149" s="12" t="s">
        <v>14724</v>
      </c>
      <c r="P4149" s="12" t="s">
        <v>46</v>
      </c>
      <c r="Q4149" s="12" t="s">
        <v>47</v>
      </c>
      <c r="R4149" s="12" t="s">
        <v>163</v>
      </c>
      <c r="S4149" s="13">
        <v>197804441198</v>
      </c>
      <c r="T4149" s="12" t="s">
        <v>49</v>
      </c>
      <c r="U4149" s="13">
        <v>38.5</v>
      </c>
      <c r="V4149" s="12" t="s">
        <v>50</v>
      </c>
      <c r="W4149" s="12" t="s">
        <v>51</v>
      </c>
      <c r="X4149" s="14"/>
      <c r="Y4149" s="14"/>
      <c r="Z4149" s="14"/>
      <c r="AA4149" s="14"/>
      <c r="AB4149" s="14"/>
      <c r="AC4149" s="15">
        <v>43.2</v>
      </c>
      <c r="AD4149" s="15">
        <f>AC4149*AG4149</f>
        <v>43.2</v>
      </c>
      <c r="AE4149" s="15">
        <v>95</v>
      </c>
      <c r="AF4149" s="15">
        <f>AE4149*AG4149</f>
        <v>95</v>
      </c>
      <c r="AG4149" s="16">
        <v>1</v>
      </c>
    </row>
    <row r="4150" spans="1:33" ht="15" customHeight="1" x14ac:dyDescent="0.2">
      <c r="A4150" s="11" t="str">
        <f t="shared" si="1338"/>
        <v>VN000D22B9P1</v>
      </c>
      <c r="B4150" s="12" t="s">
        <v>14725</v>
      </c>
      <c r="C4150" s="12" t="s">
        <v>110</v>
      </c>
      <c r="D4150" s="12" t="s">
        <v>267</v>
      </c>
      <c r="E4150" s="12" t="s">
        <v>14726</v>
      </c>
      <c r="F4150" s="13">
        <v>75</v>
      </c>
      <c r="G4150" s="12" t="s">
        <v>9571</v>
      </c>
      <c r="H4150" s="12" t="s">
        <v>38</v>
      </c>
      <c r="I4150" s="12" t="s">
        <v>159</v>
      </c>
      <c r="J4150" s="12" t="s">
        <v>160</v>
      </c>
      <c r="K4150" s="12" t="s">
        <v>82</v>
      </c>
      <c r="L4150" s="14"/>
      <c r="M4150" s="12" t="s">
        <v>43</v>
      </c>
      <c r="N4150" s="12" t="s">
        <v>84</v>
      </c>
      <c r="O4150" s="12" t="s">
        <v>14727</v>
      </c>
      <c r="P4150" s="12" t="s">
        <v>46</v>
      </c>
      <c r="Q4150" s="12" t="s">
        <v>47</v>
      </c>
      <c r="R4150" s="12" t="s">
        <v>163</v>
      </c>
      <c r="S4150" s="13">
        <v>197804441525</v>
      </c>
      <c r="T4150" s="12" t="s">
        <v>49</v>
      </c>
      <c r="U4150" s="13">
        <v>40</v>
      </c>
      <c r="V4150" s="12" t="s">
        <v>50</v>
      </c>
      <c r="W4150" s="12" t="s">
        <v>51</v>
      </c>
      <c r="X4150" s="14"/>
      <c r="Y4150" s="14"/>
      <c r="Z4150" s="14"/>
      <c r="AA4150" s="14"/>
      <c r="AB4150" s="14"/>
      <c r="AC4150" s="15">
        <v>43.2</v>
      </c>
      <c r="AD4150" s="15">
        <f>AC4150*AG4150</f>
        <v>43.2</v>
      </c>
      <c r="AE4150" s="15">
        <v>95</v>
      </c>
      <c r="AF4150" s="15">
        <f>AE4150*AG4150</f>
        <v>95</v>
      </c>
      <c r="AG4150" s="16">
        <v>1</v>
      </c>
    </row>
    <row r="4151" spans="1:33" ht="15" customHeight="1" x14ac:dyDescent="0.2">
      <c r="A4151" s="11" t="str">
        <f t="shared" ref="A4151:A4156" si="1339">HYPERLINK("https://assets.vans.eu/images/VN000D22BRD-HERO/1","VN000D22BRD1")</f>
        <v>VN000D22BRD1</v>
      </c>
      <c r="B4151" s="12" t="s">
        <v>14728</v>
      </c>
      <c r="C4151" s="12" t="s">
        <v>110</v>
      </c>
      <c r="D4151" s="12" t="s">
        <v>590</v>
      </c>
      <c r="E4151" s="12" t="s">
        <v>14729</v>
      </c>
      <c r="F4151" s="13">
        <v>85</v>
      </c>
      <c r="G4151" s="14"/>
      <c r="H4151" s="12" t="s">
        <v>38</v>
      </c>
      <c r="I4151" s="12" t="s">
        <v>159</v>
      </c>
      <c r="J4151" s="12" t="s">
        <v>160</v>
      </c>
      <c r="K4151" s="12" t="s">
        <v>82</v>
      </c>
      <c r="L4151" s="14"/>
      <c r="M4151" s="12" t="s">
        <v>43</v>
      </c>
      <c r="N4151" s="12" t="s">
        <v>84</v>
      </c>
      <c r="O4151" s="12" t="s">
        <v>14730</v>
      </c>
      <c r="P4151" s="12" t="s">
        <v>46</v>
      </c>
      <c r="Q4151" s="12" t="s">
        <v>47</v>
      </c>
      <c r="R4151" s="12" t="s">
        <v>163</v>
      </c>
      <c r="S4151" s="13">
        <v>197804441778</v>
      </c>
      <c r="T4151" s="12" t="s">
        <v>164</v>
      </c>
      <c r="U4151" s="13">
        <v>41</v>
      </c>
      <c r="V4151" s="12" t="s">
        <v>50</v>
      </c>
      <c r="W4151" s="12" t="s">
        <v>262</v>
      </c>
      <c r="X4151" s="14"/>
      <c r="Y4151" s="14"/>
      <c r="Z4151" s="14"/>
      <c r="AA4151" s="14"/>
      <c r="AB4151" s="14"/>
      <c r="AC4151" s="15">
        <v>43.2</v>
      </c>
      <c r="AD4151" s="15">
        <f>AC4151*AG4151</f>
        <v>43.2</v>
      </c>
      <c r="AE4151" s="15">
        <v>95</v>
      </c>
      <c r="AF4151" s="15">
        <f>AE4151*AG4151</f>
        <v>95</v>
      </c>
      <c r="AG4151" s="16">
        <v>1</v>
      </c>
    </row>
    <row r="4152" spans="1:33" ht="15" customHeight="1" x14ac:dyDescent="0.2">
      <c r="A4152" s="11" t="str">
        <f t="shared" si="1339"/>
        <v>VN000D22BRD1</v>
      </c>
      <c r="B4152" s="12" t="s">
        <v>14731</v>
      </c>
      <c r="C4152" s="12" t="s">
        <v>110</v>
      </c>
      <c r="D4152" s="12" t="s">
        <v>590</v>
      </c>
      <c r="E4152" s="12" t="s">
        <v>14732</v>
      </c>
      <c r="F4152" s="13">
        <v>95</v>
      </c>
      <c r="G4152" s="14"/>
      <c r="H4152" s="12" t="s">
        <v>38</v>
      </c>
      <c r="I4152" s="12" t="s">
        <v>159</v>
      </c>
      <c r="J4152" s="12" t="s">
        <v>160</v>
      </c>
      <c r="K4152" s="12" t="s">
        <v>82</v>
      </c>
      <c r="L4152" s="14"/>
      <c r="M4152" s="12" t="s">
        <v>43</v>
      </c>
      <c r="N4152" s="12" t="s">
        <v>84</v>
      </c>
      <c r="O4152" s="12" t="s">
        <v>14733</v>
      </c>
      <c r="P4152" s="12" t="s">
        <v>46</v>
      </c>
      <c r="Q4152" s="12" t="s">
        <v>47</v>
      </c>
      <c r="R4152" s="12" t="s">
        <v>163</v>
      </c>
      <c r="S4152" s="13">
        <v>197804441891</v>
      </c>
      <c r="T4152" s="12" t="s">
        <v>164</v>
      </c>
      <c r="U4152" s="13">
        <v>42.5</v>
      </c>
      <c r="V4152" s="12" t="s">
        <v>50</v>
      </c>
      <c r="W4152" s="12" t="s">
        <v>262</v>
      </c>
      <c r="X4152" s="14"/>
      <c r="Y4152" s="14"/>
      <c r="Z4152" s="14"/>
      <c r="AA4152" s="14"/>
      <c r="AB4152" s="14"/>
      <c r="AC4152" s="15">
        <v>43.2</v>
      </c>
      <c r="AD4152" s="15">
        <f>AC4152*AG4152</f>
        <v>43.2</v>
      </c>
      <c r="AE4152" s="15">
        <v>95</v>
      </c>
      <c r="AF4152" s="15">
        <f>AE4152*AG4152</f>
        <v>95</v>
      </c>
      <c r="AG4152" s="16">
        <v>1</v>
      </c>
    </row>
    <row r="4153" spans="1:33" ht="15" customHeight="1" x14ac:dyDescent="0.2">
      <c r="A4153" s="11" t="str">
        <f t="shared" si="1339"/>
        <v>VN000D22BRD1</v>
      </c>
      <c r="B4153" s="12" t="s">
        <v>14734</v>
      </c>
      <c r="C4153" s="12" t="s">
        <v>110</v>
      </c>
      <c r="D4153" s="12" t="s">
        <v>590</v>
      </c>
      <c r="E4153" s="12" t="s">
        <v>14735</v>
      </c>
      <c r="F4153" s="13">
        <v>100</v>
      </c>
      <c r="G4153" s="14"/>
      <c r="H4153" s="12" t="s">
        <v>38</v>
      </c>
      <c r="I4153" s="12" t="s">
        <v>159</v>
      </c>
      <c r="J4153" s="12" t="s">
        <v>160</v>
      </c>
      <c r="K4153" s="12" t="s">
        <v>82</v>
      </c>
      <c r="L4153" s="14"/>
      <c r="M4153" s="12" t="s">
        <v>43</v>
      </c>
      <c r="N4153" s="12" t="s">
        <v>84</v>
      </c>
      <c r="O4153" s="12" t="s">
        <v>14736</v>
      </c>
      <c r="P4153" s="12" t="s">
        <v>46</v>
      </c>
      <c r="Q4153" s="12" t="s">
        <v>47</v>
      </c>
      <c r="R4153" s="12" t="s">
        <v>163</v>
      </c>
      <c r="S4153" s="13">
        <v>197804442157</v>
      </c>
      <c r="T4153" s="12" t="s">
        <v>164</v>
      </c>
      <c r="U4153" s="13">
        <v>43</v>
      </c>
      <c r="V4153" s="12" t="s">
        <v>50</v>
      </c>
      <c r="W4153" s="12" t="s">
        <v>262</v>
      </c>
      <c r="X4153" s="14"/>
      <c r="Y4153" s="14"/>
      <c r="Z4153" s="14"/>
      <c r="AA4153" s="14"/>
      <c r="AB4153" s="14"/>
      <c r="AC4153" s="15">
        <v>43.2</v>
      </c>
      <c r="AD4153" s="15">
        <f>AC4153*AG4153</f>
        <v>43.2</v>
      </c>
      <c r="AE4153" s="15">
        <v>95</v>
      </c>
      <c r="AF4153" s="15">
        <f>AE4153*AG4153</f>
        <v>95</v>
      </c>
      <c r="AG4153" s="16">
        <v>1</v>
      </c>
    </row>
    <row r="4154" spans="1:33" ht="15" customHeight="1" x14ac:dyDescent="0.2">
      <c r="A4154" s="11" t="str">
        <f t="shared" si="1339"/>
        <v>VN000D22BRD1</v>
      </c>
      <c r="B4154" s="12" t="s">
        <v>14737</v>
      </c>
      <c r="C4154" s="12" t="s">
        <v>110</v>
      </c>
      <c r="D4154" s="12" t="s">
        <v>590</v>
      </c>
      <c r="E4154" s="12" t="s">
        <v>14738</v>
      </c>
      <c r="F4154" s="13">
        <v>105</v>
      </c>
      <c r="G4154" s="14"/>
      <c r="H4154" s="12" t="s">
        <v>38</v>
      </c>
      <c r="I4154" s="12" t="s">
        <v>159</v>
      </c>
      <c r="J4154" s="12" t="s">
        <v>160</v>
      </c>
      <c r="K4154" s="12" t="s">
        <v>82</v>
      </c>
      <c r="L4154" s="14"/>
      <c r="M4154" s="12" t="s">
        <v>43</v>
      </c>
      <c r="N4154" s="12" t="s">
        <v>84</v>
      </c>
      <c r="O4154" s="12" t="s">
        <v>14739</v>
      </c>
      <c r="P4154" s="12" t="s">
        <v>46</v>
      </c>
      <c r="Q4154" s="12" t="s">
        <v>47</v>
      </c>
      <c r="R4154" s="12" t="s">
        <v>163</v>
      </c>
      <c r="S4154" s="13">
        <v>197804442324</v>
      </c>
      <c r="T4154" s="12" t="s">
        <v>164</v>
      </c>
      <c r="U4154" s="13">
        <v>44</v>
      </c>
      <c r="V4154" s="12" t="s">
        <v>50</v>
      </c>
      <c r="W4154" s="12" t="s">
        <v>262</v>
      </c>
      <c r="X4154" s="14"/>
      <c r="Y4154" s="14"/>
      <c r="Z4154" s="14"/>
      <c r="AA4154" s="14"/>
      <c r="AB4154" s="14"/>
      <c r="AC4154" s="15">
        <v>43.2</v>
      </c>
      <c r="AD4154" s="15">
        <f>AC4154*AG4154</f>
        <v>43.2</v>
      </c>
      <c r="AE4154" s="15">
        <v>95</v>
      </c>
      <c r="AF4154" s="15">
        <f>AE4154*AG4154</f>
        <v>95</v>
      </c>
      <c r="AG4154" s="16">
        <v>1</v>
      </c>
    </row>
    <row r="4155" spans="1:33" ht="15" customHeight="1" x14ac:dyDescent="0.2">
      <c r="A4155" s="11" t="str">
        <f t="shared" si="1339"/>
        <v>VN000D22BRD1</v>
      </c>
      <c r="B4155" s="12" t="s">
        <v>14740</v>
      </c>
      <c r="C4155" s="12" t="s">
        <v>110</v>
      </c>
      <c r="D4155" s="12" t="s">
        <v>590</v>
      </c>
      <c r="E4155" s="12" t="s">
        <v>14741</v>
      </c>
      <c r="F4155" s="13">
        <v>110</v>
      </c>
      <c r="G4155" s="14"/>
      <c r="H4155" s="12" t="s">
        <v>38</v>
      </c>
      <c r="I4155" s="12" t="s">
        <v>159</v>
      </c>
      <c r="J4155" s="12" t="s">
        <v>160</v>
      </c>
      <c r="K4155" s="12" t="s">
        <v>82</v>
      </c>
      <c r="L4155" s="14"/>
      <c r="M4155" s="12" t="s">
        <v>43</v>
      </c>
      <c r="N4155" s="12" t="s">
        <v>84</v>
      </c>
      <c r="O4155" s="12" t="s">
        <v>14742</v>
      </c>
      <c r="P4155" s="12" t="s">
        <v>46</v>
      </c>
      <c r="Q4155" s="12" t="s">
        <v>47</v>
      </c>
      <c r="R4155" s="12" t="s">
        <v>163</v>
      </c>
      <c r="S4155" s="13">
        <v>197804442379</v>
      </c>
      <c r="T4155" s="12" t="s">
        <v>164</v>
      </c>
      <c r="U4155" s="13">
        <v>44.5</v>
      </c>
      <c r="V4155" s="12" t="s">
        <v>50</v>
      </c>
      <c r="W4155" s="12" t="s">
        <v>262</v>
      </c>
      <c r="X4155" s="14"/>
      <c r="Y4155" s="14"/>
      <c r="Z4155" s="14"/>
      <c r="AA4155" s="14"/>
      <c r="AB4155" s="14"/>
      <c r="AC4155" s="15">
        <v>43.2</v>
      </c>
      <c r="AD4155" s="15">
        <f>AC4155*AG4155</f>
        <v>43.2</v>
      </c>
      <c r="AE4155" s="15">
        <v>95</v>
      </c>
      <c r="AF4155" s="15">
        <f>AE4155*AG4155</f>
        <v>95</v>
      </c>
      <c r="AG4155" s="16">
        <v>1</v>
      </c>
    </row>
    <row r="4156" spans="1:33" ht="15" customHeight="1" x14ac:dyDescent="0.2">
      <c r="A4156" s="11" t="str">
        <f t="shared" si="1339"/>
        <v>VN000D22BRD1</v>
      </c>
      <c r="B4156" s="12" t="s">
        <v>14743</v>
      </c>
      <c r="C4156" s="12" t="s">
        <v>110</v>
      </c>
      <c r="D4156" s="12" t="s">
        <v>590</v>
      </c>
      <c r="E4156" s="12" t="s">
        <v>14744</v>
      </c>
      <c r="F4156" s="13">
        <v>130</v>
      </c>
      <c r="G4156" s="14"/>
      <c r="H4156" s="12" t="s">
        <v>38</v>
      </c>
      <c r="I4156" s="12" t="s">
        <v>159</v>
      </c>
      <c r="J4156" s="12" t="s">
        <v>160</v>
      </c>
      <c r="K4156" s="12" t="s">
        <v>82</v>
      </c>
      <c r="L4156" s="14"/>
      <c r="M4156" s="12" t="s">
        <v>43</v>
      </c>
      <c r="N4156" s="12" t="s">
        <v>84</v>
      </c>
      <c r="O4156" s="12" t="s">
        <v>14745</v>
      </c>
      <c r="P4156" s="12" t="s">
        <v>46</v>
      </c>
      <c r="Q4156" s="12" t="s">
        <v>47</v>
      </c>
      <c r="R4156" s="12" t="s">
        <v>163</v>
      </c>
      <c r="S4156" s="13">
        <v>197804442751</v>
      </c>
      <c r="T4156" s="12" t="s">
        <v>164</v>
      </c>
      <c r="U4156" s="13">
        <v>47</v>
      </c>
      <c r="V4156" s="12" t="s">
        <v>50</v>
      </c>
      <c r="W4156" s="12" t="s">
        <v>262</v>
      </c>
      <c r="X4156" s="14"/>
      <c r="Y4156" s="14"/>
      <c r="Z4156" s="14"/>
      <c r="AA4156" s="14"/>
      <c r="AB4156" s="14"/>
      <c r="AC4156" s="15">
        <v>43.2</v>
      </c>
      <c r="AD4156" s="15">
        <f>AC4156*AG4156</f>
        <v>43.2</v>
      </c>
      <c r="AE4156" s="15">
        <v>95</v>
      </c>
      <c r="AF4156" s="15">
        <f>AE4156*AG4156</f>
        <v>95</v>
      </c>
      <c r="AG4156" s="16">
        <v>1</v>
      </c>
    </row>
    <row r="4157" spans="1:33" ht="15" customHeight="1" x14ac:dyDescent="0.2">
      <c r="A4157" s="11" t="str">
        <f>HYPERLINK("https://assets.vans.eu/images/VN000D22BW2-HERO/1","VN000D22BW21")</f>
        <v>VN000D22BW21</v>
      </c>
      <c r="B4157" s="12" t="s">
        <v>14746</v>
      </c>
      <c r="C4157" s="12" t="s">
        <v>110</v>
      </c>
      <c r="D4157" s="12" t="s">
        <v>14747</v>
      </c>
      <c r="E4157" s="12" t="s">
        <v>14748</v>
      </c>
      <c r="F4157" s="13">
        <v>75</v>
      </c>
      <c r="G4157" s="12" t="s">
        <v>9571</v>
      </c>
      <c r="H4157" s="12" t="s">
        <v>38</v>
      </c>
      <c r="I4157" s="12" t="s">
        <v>159</v>
      </c>
      <c r="J4157" s="12" t="s">
        <v>160</v>
      </c>
      <c r="K4157" s="12" t="s">
        <v>82</v>
      </c>
      <c r="L4157" s="14"/>
      <c r="M4157" s="12" t="s">
        <v>43</v>
      </c>
      <c r="N4157" s="12" t="s">
        <v>84</v>
      </c>
      <c r="O4157" s="12" t="s">
        <v>14749</v>
      </c>
      <c r="P4157" s="12" t="s">
        <v>46</v>
      </c>
      <c r="Q4157" s="12" t="s">
        <v>47</v>
      </c>
      <c r="R4157" s="12" t="s">
        <v>163</v>
      </c>
      <c r="S4157" s="13">
        <v>197804441785</v>
      </c>
      <c r="T4157" s="12" t="s">
        <v>49</v>
      </c>
      <c r="U4157" s="13">
        <v>40</v>
      </c>
      <c r="V4157" s="12" t="s">
        <v>50</v>
      </c>
      <c r="W4157" s="12" t="s">
        <v>186</v>
      </c>
      <c r="X4157" s="14"/>
      <c r="Y4157" s="14"/>
      <c r="Z4157" s="14"/>
      <c r="AA4157" s="14"/>
      <c r="AB4157" s="14"/>
      <c r="AC4157" s="15">
        <v>43.2</v>
      </c>
      <c r="AD4157" s="15">
        <f>AC4157*AG4157</f>
        <v>43.2</v>
      </c>
      <c r="AE4157" s="15">
        <v>95</v>
      </c>
      <c r="AF4157" s="15">
        <f>AE4157*AG4157</f>
        <v>95</v>
      </c>
      <c r="AG4157" s="16">
        <v>1</v>
      </c>
    </row>
    <row r="4158" spans="1:33" ht="15" customHeight="1" x14ac:dyDescent="0.2">
      <c r="A4158" s="11" t="str">
        <f>HYPERLINK("https://assets.vans.eu/images/VN000D22BZW-HERO/1","VN000D22BZW1")</f>
        <v>VN000D22BZW1</v>
      </c>
      <c r="B4158" s="12" t="s">
        <v>14750</v>
      </c>
      <c r="C4158" s="12" t="s">
        <v>110</v>
      </c>
      <c r="D4158" s="12" t="s">
        <v>58</v>
      </c>
      <c r="E4158" s="12" t="s">
        <v>14751</v>
      </c>
      <c r="F4158" s="13">
        <v>75</v>
      </c>
      <c r="G4158" s="12" t="s">
        <v>7493</v>
      </c>
      <c r="H4158" s="12" t="s">
        <v>38</v>
      </c>
      <c r="I4158" s="12" t="s">
        <v>159</v>
      </c>
      <c r="J4158" s="12" t="s">
        <v>160</v>
      </c>
      <c r="K4158" s="12" t="s">
        <v>82</v>
      </c>
      <c r="L4158" s="14"/>
      <c r="M4158" s="12" t="s">
        <v>43</v>
      </c>
      <c r="N4158" s="12" t="s">
        <v>84</v>
      </c>
      <c r="O4158" s="12" t="s">
        <v>14752</v>
      </c>
      <c r="P4158" s="12" t="s">
        <v>46</v>
      </c>
      <c r="Q4158" s="12" t="s">
        <v>47</v>
      </c>
      <c r="R4158" s="12" t="s">
        <v>163</v>
      </c>
      <c r="S4158" s="13">
        <v>197804441846</v>
      </c>
      <c r="T4158" s="12" t="s">
        <v>105</v>
      </c>
      <c r="U4158" s="13">
        <v>40</v>
      </c>
      <c r="V4158" s="12" t="s">
        <v>50</v>
      </c>
      <c r="W4158" s="12" t="s">
        <v>51</v>
      </c>
      <c r="X4158" s="14"/>
      <c r="Y4158" s="14"/>
      <c r="Z4158" s="14"/>
      <c r="AA4158" s="14"/>
      <c r="AB4158" s="14"/>
      <c r="AC4158" s="15">
        <v>45.5</v>
      </c>
      <c r="AD4158" s="15">
        <f>AC4158*AG4158</f>
        <v>45.5</v>
      </c>
      <c r="AE4158" s="15">
        <v>100</v>
      </c>
      <c r="AF4158" s="15">
        <f>AE4158*AG4158</f>
        <v>100</v>
      </c>
      <c r="AG4158" s="16">
        <v>1</v>
      </c>
    </row>
    <row r="4159" spans="1:33" ht="15" customHeight="1" x14ac:dyDescent="0.2">
      <c r="A4159" s="11" t="str">
        <f>HYPERLINK("https://assets.vans.eu/images/VN000D22EMB-HERO/1","VN000D22EMB1")</f>
        <v>VN000D22EMB1</v>
      </c>
      <c r="B4159" s="12" t="s">
        <v>14753</v>
      </c>
      <c r="C4159" s="12" t="s">
        <v>110</v>
      </c>
      <c r="D4159" s="12" t="s">
        <v>1944</v>
      </c>
      <c r="E4159" s="12" t="s">
        <v>14754</v>
      </c>
      <c r="F4159" s="13">
        <v>120</v>
      </c>
      <c r="G4159" s="14"/>
      <c r="H4159" s="12" t="s">
        <v>38</v>
      </c>
      <c r="I4159" s="12" t="s">
        <v>159</v>
      </c>
      <c r="J4159" s="12" t="s">
        <v>160</v>
      </c>
      <c r="K4159" s="12" t="s">
        <v>82</v>
      </c>
      <c r="L4159" s="14"/>
      <c r="M4159" s="12" t="s">
        <v>43</v>
      </c>
      <c r="N4159" s="12" t="s">
        <v>84</v>
      </c>
      <c r="O4159" s="12" t="s">
        <v>14755</v>
      </c>
      <c r="P4159" s="12" t="s">
        <v>46</v>
      </c>
      <c r="Q4159" s="12" t="s">
        <v>47</v>
      </c>
      <c r="R4159" s="12" t="s">
        <v>163</v>
      </c>
      <c r="S4159" s="13">
        <v>197804443529</v>
      </c>
      <c r="T4159" s="12" t="s">
        <v>49</v>
      </c>
      <c r="U4159" s="13">
        <v>46</v>
      </c>
      <c r="V4159" s="12" t="s">
        <v>50</v>
      </c>
      <c r="W4159" s="12" t="s">
        <v>118</v>
      </c>
      <c r="X4159" s="14"/>
      <c r="Y4159" s="14"/>
      <c r="Z4159" s="14"/>
      <c r="AA4159" s="14"/>
      <c r="AB4159" s="14"/>
      <c r="AC4159" s="15">
        <v>45.5</v>
      </c>
      <c r="AD4159" s="15">
        <f>AC4159*AG4159</f>
        <v>45.5</v>
      </c>
      <c r="AE4159" s="15">
        <v>100</v>
      </c>
      <c r="AF4159" s="15">
        <f>AE4159*AG4159</f>
        <v>100</v>
      </c>
      <c r="AG4159" s="16">
        <v>1</v>
      </c>
    </row>
    <row r="4160" spans="1:33" ht="15" customHeight="1" x14ac:dyDescent="0.2">
      <c r="A4160" s="11" t="str">
        <f t="shared" ref="A4160:A4161" si="1340">HYPERLINK("https://assets.vans.eu/images/VN000D22EMT-HERO/1","VN000D22EMT1")</f>
        <v>VN000D22EMT1</v>
      </c>
      <c r="B4160" s="12" t="s">
        <v>14756</v>
      </c>
      <c r="C4160" s="12" t="s">
        <v>110</v>
      </c>
      <c r="D4160" s="12" t="s">
        <v>5149</v>
      </c>
      <c r="E4160" s="12" t="s">
        <v>14757</v>
      </c>
      <c r="F4160" s="13">
        <v>55</v>
      </c>
      <c r="G4160" s="14"/>
      <c r="H4160" s="12" t="s">
        <v>38</v>
      </c>
      <c r="I4160" s="12" t="s">
        <v>159</v>
      </c>
      <c r="J4160" s="12" t="s">
        <v>160</v>
      </c>
      <c r="K4160" s="12" t="s">
        <v>82</v>
      </c>
      <c r="L4160" s="14"/>
      <c r="M4160" s="12" t="s">
        <v>43</v>
      </c>
      <c r="N4160" s="12" t="s">
        <v>84</v>
      </c>
      <c r="O4160" s="12" t="s">
        <v>14758</v>
      </c>
      <c r="P4160" s="12" t="s">
        <v>46</v>
      </c>
      <c r="Q4160" s="12" t="s">
        <v>47</v>
      </c>
      <c r="R4160" s="12" t="s">
        <v>163</v>
      </c>
      <c r="S4160" s="13">
        <v>197804442027</v>
      </c>
      <c r="T4160" s="12" t="s">
        <v>105</v>
      </c>
      <c r="U4160" s="13">
        <v>37</v>
      </c>
      <c r="V4160" s="12" t="s">
        <v>50</v>
      </c>
      <c r="W4160" s="12" t="s">
        <v>284</v>
      </c>
      <c r="X4160" s="14"/>
      <c r="Y4160" s="14"/>
      <c r="Z4160" s="14"/>
      <c r="AA4160" s="14"/>
      <c r="AB4160" s="14"/>
      <c r="AC4160" s="15">
        <v>45.5</v>
      </c>
      <c r="AD4160" s="15">
        <f>AC4160*AG4160</f>
        <v>45.5</v>
      </c>
      <c r="AE4160" s="15">
        <v>100</v>
      </c>
      <c r="AF4160" s="15">
        <f>AE4160*AG4160</f>
        <v>100</v>
      </c>
      <c r="AG4160" s="16">
        <v>1</v>
      </c>
    </row>
    <row r="4161" spans="1:33" ht="15" customHeight="1" x14ac:dyDescent="0.2">
      <c r="A4161" s="11" t="str">
        <f t="shared" si="1340"/>
        <v>VN000D22EMT1</v>
      </c>
      <c r="B4161" s="12" t="s">
        <v>14759</v>
      </c>
      <c r="C4161" s="12" t="s">
        <v>110</v>
      </c>
      <c r="D4161" s="12" t="s">
        <v>5149</v>
      </c>
      <c r="E4161" s="12" t="s">
        <v>14760</v>
      </c>
      <c r="F4161" s="13">
        <v>115</v>
      </c>
      <c r="G4161" s="14"/>
      <c r="H4161" s="12" t="s">
        <v>38</v>
      </c>
      <c r="I4161" s="12" t="s">
        <v>159</v>
      </c>
      <c r="J4161" s="12" t="s">
        <v>160</v>
      </c>
      <c r="K4161" s="12" t="s">
        <v>82</v>
      </c>
      <c r="L4161" s="14"/>
      <c r="M4161" s="12" t="s">
        <v>43</v>
      </c>
      <c r="N4161" s="12" t="s">
        <v>84</v>
      </c>
      <c r="O4161" s="12" t="s">
        <v>14761</v>
      </c>
      <c r="P4161" s="12" t="s">
        <v>46</v>
      </c>
      <c r="Q4161" s="12" t="s">
        <v>47</v>
      </c>
      <c r="R4161" s="12" t="s">
        <v>163</v>
      </c>
      <c r="S4161" s="13">
        <v>197804443451</v>
      </c>
      <c r="T4161" s="12" t="s">
        <v>105</v>
      </c>
      <c r="U4161" s="13">
        <v>45</v>
      </c>
      <c r="V4161" s="12" t="s">
        <v>50</v>
      </c>
      <c r="W4161" s="12" t="s">
        <v>284</v>
      </c>
      <c r="X4161" s="14"/>
      <c r="Y4161" s="14"/>
      <c r="Z4161" s="14"/>
      <c r="AA4161" s="14"/>
      <c r="AB4161" s="14"/>
      <c r="AC4161" s="15">
        <v>45.5</v>
      </c>
      <c r="AD4161" s="15">
        <f>AC4161*AG4161</f>
        <v>45.5</v>
      </c>
      <c r="AE4161" s="15">
        <v>100</v>
      </c>
      <c r="AF4161" s="15">
        <f>AE4161*AG4161</f>
        <v>100</v>
      </c>
      <c r="AG4161" s="16">
        <v>1</v>
      </c>
    </row>
    <row r="4162" spans="1:33" ht="15" customHeight="1" x14ac:dyDescent="0.2">
      <c r="A4162" s="11" t="str">
        <f t="shared" si="1043"/>
        <v>VN000D22EMU1</v>
      </c>
      <c r="B4162" s="12" t="s">
        <v>14762</v>
      </c>
      <c r="C4162" s="12" t="s">
        <v>110</v>
      </c>
      <c r="D4162" s="12" t="s">
        <v>1319</v>
      </c>
      <c r="E4162" s="12" t="s">
        <v>14763</v>
      </c>
      <c r="F4162" s="13">
        <v>50</v>
      </c>
      <c r="G4162" s="14"/>
      <c r="H4162" s="12" t="s">
        <v>38</v>
      </c>
      <c r="I4162" s="12" t="s">
        <v>159</v>
      </c>
      <c r="J4162" s="12" t="s">
        <v>160</v>
      </c>
      <c r="K4162" s="12" t="s">
        <v>82</v>
      </c>
      <c r="L4162" s="14"/>
      <c r="M4162" s="12" t="s">
        <v>43</v>
      </c>
      <c r="N4162" s="12" t="s">
        <v>84</v>
      </c>
      <c r="O4162" s="12" t="s">
        <v>14764</v>
      </c>
      <c r="P4162" s="12" t="s">
        <v>46</v>
      </c>
      <c r="Q4162" s="12" t="s">
        <v>47</v>
      </c>
      <c r="R4162" s="12" t="s">
        <v>163</v>
      </c>
      <c r="S4162" s="13">
        <v>197804441884</v>
      </c>
      <c r="T4162" s="12" t="s">
        <v>49</v>
      </c>
      <c r="U4162" s="13">
        <v>36.5</v>
      </c>
      <c r="V4162" s="12" t="s">
        <v>50</v>
      </c>
      <c r="W4162" s="12" t="s">
        <v>118</v>
      </c>
      <c r="X4162" s="14"/>
      <c r="Y4162" s="14"/>
      <c r="Z4162" s="14"/>
      <c r="AA4162" s="14"/>
      <c r="AB4162" s="14"/>
      <c r="AC4162" s="15">
        <v>45.5</v>
      </c>
      <c r="AD4162" s="15">
        <f>AC4162*AG4162</f>
        <v>45.5</v>
      </c>
      <c r="AE4162" s="15">
        <v>100</v>
      </c>
      <c r="AF4162" s="15">
        <f>AE4162*AG4162</f>
        <v>100</v>
      </c>
      <c r="AG4162" s="16">
        <v>1</v>
      </c>
    </row>
    <row r="4163" spans="1:33" ht="15" customHeight="1" x14ac:dyDescent="0.2">
      <c r="A4163" s="11" t="str">
        <f t="shared" ref="A4163:A4167" si="1341">HYPERLINK("https://assets.vans.eu/images/VN000D22EMU-HERO/1","VN000D22EMU1")</f>
        <v>VN000D22EMU1</v>
      </c>
      <c r="B4163" s="12" t="s">
        <v>14765</v>
      </c>
      <c r="C4163" s="12" t="s">
        <v>110</v>
      </c>
      <c r="D4163" s="12" t="s">
        <v>1319</v>
      </c>
      <c r="E4163" s="12" t="s">
        <v>14766</v>
      </c>
      <c r="F4163" s="13">
        <v>55</v>
      </c>
      <c r="G4163" s="14"/>
      <c r="H4163" s="12" t="s">
        <v>38</v>
      </c>
      <c r="I4163" s="12" t="s">
        <v>159</v>
      </c>
      <c r="J4163" s="12" t="s">
        <v>160</v>
      </c>
      <c r="K4163" s="12" t="s">
        <v>82</v>
      </c>
      <c r="L4163" s="14"/>
      <c r="M4163" s="12" t="s">
        <v>43</v>
      </c>
      <c r="N4163" s="12" t="s">
        <v>84</v>
      </c>
      <c r="O4163" s="12" t="s">
        <v>14767</v>
      </c>
      <c r="P4163" s="12" t="s">
        <v>46</v>
      </c>
      <c r="Q4163" s="12" t="s">
        <v>47</v>
      </c>
      <c r="R4163" s="12" t="s">
        <v>163</v>
      </c>
      <c r="S4163" s="13">
        <v>197804442164</v>
      </c>
      <c r="T4163" s="12" t="s">
        <v>49</v>
      </c>
      <c r="U4163" s="13">
        <v>37</v>
      </c>
      <c r="V4163" s="12" t="s">
        <v>50</v>
      </c>
      <c r="W4163" s="12" t="s">
        <v>118</v>
      </c>
      <c r="X4163" s="14"/>
      <c r="Y4163" s="14"/>
      <c r="Z4163" s="14"/>
      <c r="AA4163" s="14"/>
      <c r="AB4163" s="14"/>
      <c r="AC4163" s="15">
        <v>45.5</v>
      </c>
      <c r="AD4163" s="15">
        <f>AC4163*AG4163</f>
        <v>45.5</v>
      </c>
      <c r="AE4163" s="15">
        <v>100</v>
      </c>
      <c r="AF4163" s="15">
        <f>AE4163*AG4163</f>
        <v>100</v>
      </c>
      <c r="AG4163" s="16">
        <v>1</v>
      </c>
    </row>
    <row r="4164" spans="1:33" ht="15" customHeight="1" x14ac:dyDescent="0.2">
      <c r="A4164" s="11" t="str">
        <f t="shared" si="1341"/>
        <v>VN000D22EMU1</v>
      </c>
      <c r="B4164" s="12" t="s">
        <v>14768</v>
      </c>
      <c r="C4164" s="12" t="s">
        <v>110</v>
      </c>
      <c r="D4164" s="12" t="s">
        <v>1319</v>
      </c>
      <c r="E4164" s="12" t="s">
        <v>14769</v>
      </c>
      <c r="F4164" s="13">
        <v>60</v>
      </c>
      <c r="G4164" s="14"/>
      <c r="H4164" s="12" t="s">
        <v>38</v>
      </c>
      <c r="I4164" s="12" t="s">
        <v>159</v>
      </c>
      <c r="J4164" s="12" t="s">
        <v>160</v>
      </c>
      <c r="K4164" s="12" t="s">
        <v>82</v>
      </c>
      <c r="L4164" s="14"/>
      <c r="M4164" s="12" t="s">
        <v>43</v>
      </c>
      <c r="N4164" s="12" t="s">
        <v>84</v>
      </c>
      <c r="O4164" s="12" t="s">
        <v>14770</v>
      </c>
      <c r="P4164" s="12" t="s">
        <v>46</v>
      </c>
      <c r="Q4164" s="12" t="s">
        <v>47</v>
      </c>
      <c r="R4164" s="12" t="s">
        <v>163</v>
      </c>
      <c r="S4164" s="13">
        <v>197804442362</v>
      </c>
      <c r="T4164" s="12" t="s">
        <v>49</v>
      </c>
      <c r="U4164" s="13">
        <v>38</v>
      </c>
      <c r="V4164" s="12" t="s">
        <v>50</v>
      </c>
      <c r="W4164" s="12" t="s">
        <v>118</v>
      </c>
      <c r="X4164" s="14"/>
      <c r="Y4164" s="14"/>
      <c r="Z4164" s="14"/>
      <c r="AA4164" s="14"/>
      <c r="AB4164" s="14"/>
      <c r="AC4164" s="15">
        <v>45.5</v>
      </c>
      <c r="AD4164" s="15">
        <f>AC4164*AG4164</f>
        <v>45.5</v>
      </c>
      <c r="AE4164" s="15">
        <v>100</v>
      </c>
      <c r="AF4164" s="15">
        <f>AE4164*AG4164</f>
        <v>100</v>
      </c>
      <c r="AG4164" s="16">
        <v>1</v>
      </c>
    </row>
    <row r="4165" spans="1:33" ht="15" customHeight="1" x14ac:dyDescent="0.2">
      <c r="A4165" s="11" t="str">
        <f t="shared" si="1341"/>
        <v>VN000D22EMU1</v>
      </c>
      <c r="B4165" s="12" t="s">
        <v>14771</v>
      </c>
      <c r="C4165" s="12" t="s">
        <v>110</v>
      </c>
      <c r="D4165" s="12" t="s">
        <v>1319</v>
      </c>
      <c r="E4165" s="12" t="s">
        <v>14772</v>
      </c>
      <c r="F4165" s="13">
        <v>65</v>
      </c>
      <c r="G4165" s="14"/>
      <c r="H4165" s="12" t="s">
        <v>38</v>
      </c>
      <c r="I4165" s="12" t="s">
        <v>159</v>
      </c>
      <c r="J4165" s="12" t="s">
        <v>160</v>
      </c>
      <c r="K4165" s="12" t="s">
        <v>82</v>
      </c>
      <c r="L4165" s="14"/>
      <c r="M4165" s="12" t="s">
        <v>43</v>
      </c>
      <c r="N4165" s="12" t="s">
        <v>84</v>
      </c>
      <c r="O4165" s="12" t="s">
        <v>14773</v>
      </c>
      <c r="P4165" s="12" t="s">
        <v>46</v>
      </c>
      <c r="Q4165" s="12" t="s">
        <v>47</v>
      </c>
      <c r="R4165" s="12" t="s">
        <v>163</v>
      </c>
      <c r="S4165" s="13">
        <v>197804442539</v>
      </c>
      <c r="T4165" s="12" t="s">
        <v>49</v>
      </c>
      <c r="U4165" s="13">
        <v>38.5</v>
      </c>
      <c r="V4165" s="12" t="s">
        <v>50</v>
      </c>
      <c r="W4165" s="12" t="s">
        <v>118</v>
      </c>
      <c r="X4165" s="14"/>
      <c r="Y4165" s="14"/>
      <c r="Z4165" s="14"/>
      <c r="AA4165" s="14"/>
      <c r="AB4165" s="14"/>
      <c r="AC4165" s="15">
        <v>45.5</v>
      </c>
      <c r="AD4165" s="15">
        <f>AC4165*AG4165</f>
        <v>45.5</v>
      </c>
      <c r="AE4165" s="15">
        <v>100</v>
      </c>
      <c r="AF4165" s="15">
        <f>AE4165*AG4165</f>
        <v>100</v>
      </c>
      <c r="AG4165" s="16">
        <v>1</v>
      </c>
    </row>
    <row r="4166" spans="1:33" ht="15" customHeight="1" x14ac:dyDescent="0.2">
      <c r="A4166" s="11" t="str">
        <f t="shared" si="1341"/>
        <v>VN000D22EMU1</v>
      </c>
      <c r="B4166" s="12" t="s">
        <v>14774</v>
      </c>
      <c r="C4166" s="12" t="s">
        <v>110</v>
      </c>
      <c r="D4166" s="12" t="s">
        <v>1319</v>
      </c>
      <c r="E4166" s="12" t="s">
        <v>14775</v>
      </c>
      <c r="F4166" s="13">
        <v>80</v>
      </c>
      <c r="G4166" s="14"/>
      <c r="H4166" s="12" t="s">
        <v>38</v>
      </c>
      <c r="I4166" s="12" t="s">
        <v>159</v>
      </c>
      <c r="J4166" s="12" t="s">
        <v>160</v>
      </c>
      <c r="K4166" s="12" t="s">
        <v>82</v>
      </c>
      <c r="L4166" s="14"/>
      <c r="M4166" s="12" t="s">
        <v>43</v>
      </c>
      <c r="N4166" s="12" t="s">
        <v>84</v>
      </c>
      <c r="O4166" s="12" t="s">
        <v>14776</v>
      </c>
      <c r="P4166" s="12" t="s">
        <v>46</v>
      </c>
      <c r="Q4166" s="12" t="s">
        <v>47</v>
      </c>
      <c r="R4166" s="12" t="s">
        <v>163</v>
      </c>
      <c r="S4166" s="13">
        <v>197804442959</v>
      </c>
      <c r="T4166" s="12" t="s">
        <v>49</v>
      </c>
      <c r="U4166" s="13">
        <v>40.5</v>
      </c>
      <c r="V4166" s="12" t="s">
        <v>50</v>
      </c>
      <c r="W4166" s="12" t="s">
        <v>118</v>
      </c>
      <c r="X4166" s="14"/>
      <c r="Y4166" s="14"/>
      <c r="Z4166" s="14"/>
      <c r="AA4166" s="14"/>
      <c r="AB4166" s="14"/>
      <c r="AC4166" s="15">
        <v>45.5</v>
      </c>
      <c r="AD4166" s="15">
        <f>AC4166*AG4166</f>
        <v>45.5</v>
      </c>
      <c r="AE4166" s="15">
        <v>100</v>
      </c>
      <c r="AF4166" s="15">
        <f>AE4166*AG4166</f>
        <v>100</v>
      </c>
      <c r="AG4166" s="16">
        <v>1</v>
      </c>
    </row>
    <row r="4167" spans="1:33" ht="15" customHeight="1" x14ac:dyDescent="0.2">
      <c r="A4167" s="11" t="str">
        <f t="shared" si="1341"/>
        <v>VN000D22EMU1</v>
      </c>
      <c r="B4167" s="12" t="s">
        <v>14777</v>
      </c>
      <c r="C4167" s="12" t="s">
        <v>110</v>
      </c>
      <c r="D4167" s="12" t="s">
        <v>1319</v>
      </c>
      <c r="E4167" s="12" t="s">
        <v>14778</v>
      </c>
      <c r="F4167" s="13">
        <v>90</v>
      </c>
      <c r="G4167" s="14"/>
      <c r="H4167" s="12" t="s">
        <v>38</v>
      </c>
      <c r="I4167" s="12" t="s">
        <v>159</v>
      </c>
      <c r="J4167" s="12" t="s">
        <v>160</v>
      </c>
      <c r="K4167" s="12" t="s">
        <v>82</v>
      </c>
      <c r="L4167" s="14"/>
      <c r="M4167" s="12" t="s">
        <v>43</v>
      </c>
      <c r="N4167" s="12" t="s">
        <v>84</v>
      </c>
      <c r="O4167" s="12" t="s">
        <v>14779</v>
      </c>
      <c r="P4167" s="12" t="s">
        <v>46</v>
      </c>
      <c r="Q4167" s="12" t="s">
        <v>47</v>
      </c>
      <c r="R4167" s="12" t="s">
        <v>163</v>
      </c>
      <c r="S4167" s="13">
        <v>197804443321</v>
      </c>
      <c r="T4167" s="12" t="s">
        <v>49</v>
      </c>
      <c r="U4167" s="13">
        <v>42</v>
      </c>
      <c r="V4167" s="12" t="s">
        <v>50</v>
      </c>
      <c r="W4167" s="12" t="s">
        <v>118</v>
      </c>
      <c r="X4167" s="14"/>
      <c r="Y4167" s="14"/>
      <c r="Z4167" s="14"/>
      <c r="AA4167" s="14"/>
      <c r="AB4167" s="14"/>
      <c r="AC4167" s="15">
        <v>45.5</v>
      </c>
      <c r="AD4167" s="15">
        <f>AC4167*AG4167</f>
        <v>45.5</v>
      </c>
      <c r="AE4167" s="15">
        <v>100</v>
      </c>
      <c r="AF4167" s="15">
        <f>AE4167*AG4167</f>
        <v>100</v>
      </c>
      <c r="AG4167" s="16">
        <v>1</v>
      </c>
    </row>
    <row r="4168" spans="1:33" ht="15" customHeight="1" x14ac:dyDescent="0.2">
      <c r="A4168" s="11" t="str">
        <f t="shared" ref="A4168:A4169" si="1342">HYPERLINK("https://assets.vans.eu/images/VN000D22RV2-HERO/1","VN000D22RV21")</f>
        <v>VN000D22RV21</v>
      </c>
      <c r="B4168" s="12" t="s">
        <v>14780</v>
      </c>
      <c r="C4168" s="12" t="s">
        <v>110</v>
      </c>
      <c r="D4168" s="12" t="s">
        <v>1428</v>
      </c>
      <c r="E4168" s="12" t="s">
        <v>14781</v>
      </c>
      <c r="F4168" s="13">
        <v>50</v>
      </c>
      <c r="G4168" s="14"/>
      <c r="H4168" s="12" t="s">
        <v>38</v>
      </c>
      <c r="I4168" s="12" t="s">
        <v>159</v>
      </c>
      <c r="J4168" s="12" t="s">
        <v>160</v>
      </c>
      <c r="K4168" s="12" t="s">
        <v>82</v>
      </c>
      <c r="L4168" s="14"/>
      <c r="M4168" s="12" t="s">
        <v>43</v>
      </c>
      <c r="N4168" s="12" t="s">
        <v>84</v>
      </c>
      <c r="O4168" s="12" t="s">
        <v>14782</v>
      </c>
      <c r="P4168" s="12" t="s">
        <v>46</v>
      </c>
      <c r="Q4168" s="12" t="s">
        <v>47</v>
      </c>
      <c r="R4168" s="12" t="s">
        <v>163</v>
      </c>
      <c r="S4168" s="13">
        <v>197804442232</v>
      </c>
      <c r="T4168" s="12" t="s">
        <v>164</v>
      </c>
      <c r="U4168" s="13">
        <v>36.5</v>
      </c>
      <c r="V4168" s="12" t="s">
        <v>50</v>
      </c>
      <c r="W4168" s="12" t="s">
        <v>51</v>
      </c>
      <c r="X4168" s="14"/>
      <c r="Y4168" s="14"/>
      <c r="Z4168" s="14"/>
      <c r="AA4168" s="14"/>
      <c r="AB4168" s="14"/>
      <c r="AC4168" s="15">
        <v>43.2</v>
      </c>
      <c r="AD4168" s="15">
        <f>AC4168*AG4168</f>
        <v>43.2</v>
      </c>
      <c r="AE4168" s="15">
        <v>95</v>
      </c>
      <c r="AF4168" s="15">
        <f>AE4168*AG4168</f>
        <v>95</v>
      </c>
      <c r="AG4168" s="16">
        <v>1</v>
      </c>
    </row>
    <row r="4169" spans="1:33" ht="15" customHeight="1" x14ac:dyDescent="0.2">
      <c r="A4169" s="11" t="str">
        <f t="shared" si="1342"/>
        <v>VN000D22RV21</v>
      </c>
      <c r="B4169" s="12" t="s">
        <v>14783</v>
      </c>
      <c r="C4169" s="12" t="s">
        <v>110</v>
      </c>
      <c r="D4169" s="12" t="s">
        <v>1428</v>
      </c>
      <c r="E4169" s="12" t="s">
        <v>14784</v>
      </c>
      <c r="F4169" s="13">
        <v>55</v>
      </c>
      <c r="G4169" s="14"/>
      <c r="H4169" s="12" t="s">
        <v>38</v>
      </c>
      <c r="I4169" s="12" t="s">
        <v>159</v>
      </c>
      <c r="J4169" s="12" t="s">
        <v>160</v>
      </c>
      <c r="K4169" s="12" t="s">
        <v>82</v>
      </c>
      <c r="L4169" s="14"/>
      <c r="M4169" s="12" t="s">
        <v>43</v>
      </c>
      <c r="N4169" s="12" t="s">
        <v>84</v>
      </c>
      <c r="O4169" s="12" t="s">
        <v>14785</v>
      </c>
      <c r="P4169" s="12" t="s">
        <v>46</v>
      </c>
      <c r="Q4169" s="12" t="s">
        <v>47</v>
      </c>
      <c r="R4169" s="12" t="s">
        <v>163</v>
      </c>
      <c r="S4169" s="13">
        <v>197804442423</v>
      </c>
      <c r="T4169" s="12" t="s">
        <v>164</v>
      </c>
      <c r="U4169" s="13">
        <v>37</v>
      </c>
      <c r="V4169" s="12" t="s">
        <v>50</v>
      </c>
      <c r="W4169" s="12" t="s">
        <v>51</v>
      </c>
      <c r="X4169" s="14"/>
      <c r="Y4169" s="14"/>
      <c r="Z4169" s="14"/>
      <c r="AA4169" s="14"/>
      <c r="AB4169" s="14"/>
      <c r="AC4169" s="15">
        <v>43.2</v>
      </c>
      <c r="AD4169" s="15">
        <f>AC4169*AG4169</f>
        <v>43.2</v>
      </c>
      <c r="AE4169" s="15">
        <v>95</v>
      </c>
      <c r="AF4169" s="15">
        <f>AE4169*AG4169</f>
        <v>95</v>
      </c>
      <c r="AG4169" s="16">
        <v>1</v>
      </c>
    </row>
    <row r="4170" spans="1:33" ht="15" customHeight="1" x14ac:dyDescent="0.2">
      <c r="A4170" s="11" t="str">
        <f>HYPERLINK("https://assets.vans.eu/images/VN000D22W00-HERO/1","VN000D22W001")</f>
        <v>VN000D22W001</v>
      </c>
      <c r="B4170" s="12" t="s">
        <v>14786</v>
      </c>
      <c r="C4170" s="12" t="s">
        <v>110</v>
      </c>
      <c r="D4170" s="12" t="s">
        <v>10300</v>
      </c>
      <c r="E4170" s="12" t="s">
        <v>14787</v>
      </c>
      <c r="F4170" s="13">
        <v>70</v>
      </c>
      <c r="G4170" s="14"/>
      <c r="H4170" s="12" t="s">
        <v>38</v>
      </c>
      <c r="I4170" s="12" t="s">
        <v>159</v>
      </c>
      <c r="J4170" s="12" t="s">
        <v>160</v>
      </c>
      <c r="K4170" s="12" t="s">
        <v>82</v>
      </c>
      <c r="L4170" s="14"/>
      <c r="M4170" s="12" t="s">
        <v>43</v>
      </c>
      <c r="N4170" s="12" t="s">
        <v>161</v>
      </c>
      <c r="O4170" s="12" t="s">
        <v>14788</v>
      </c>
      <c r="P4170" s="12" t="s">
        <v>46</v>
      </c>
      <c r="Q4170" s="12" t="s">
        <v>47</v>
      </c>
      <c r="R4170" s="12" t="s">
        <v>163</v>
      </c>
      <c r="S4170" s="13">
        <v>197065609276</v>
      </c>
      <c r="T4170" s="12" t="s">
        <v>49</v>
      </c>
      <c r="U4170" s="13">
        <v>39</v>
      </c>
      <c r="V4170" s="12" t="s">
        <v>209</v>
      </c>
      <c r="W4170" s="12" t="s">
        <v>175</v>
      </c>
      <c r="X4170" s="14"/>
      <c r="Y4170" s="12" t="s">
        <v>91</v>
      </c>
      <c r="Z4170" s="12" t="s">
        <v>2600</v>
      </c>
      <c r="AA4170" s="14"/>
      <c r="AB4170" s="14"/>
      <c r="AC4170" s="15">
        <v>43.2</v>
      </c>
      <c r="AD4170" s="15">
        <f>AC4170*AG4170</f>
        <v>43.2</v>
      </c>
      <c r="AE4170" s="15">
        <v>95</v>
      </c>
      <c r="AF4170" s="15">
        <f>AE4170*AG4170</f>
        <v>95</v>
      </c>
      <c r="AG4170" s="16">
        <v>1</v>
      </c>
    </row>
    <row r="4171" spans="1:33" ht="15" customHeight="1" x14ac:dyDescent="0.2">
      <c r="A4171" s="11" t="str">
        <f>HYPERLINK("https://assets.vans.eu/images/VN000D25OVM-HERO/1","VN000D25OVM1")</f>
        <v>VN000D25OVM1</v>
      </c>
      <c r="B4171" s="12" t="s">
        <v>14789</v>
      </c>
      <c r="C4171" s="12" t="s">
        <v>1614</v>
      </c>
      <c r="D4171" s="12" t="s">
        <v>4982</v>
      </c>
      <c r="E4171" s="12" t="s">
        <v>14790</v>
      </c>
      <c r="F4171" s="13">
        <v>85</v>
      </c>
      <c r="G4171" s="12" t="s">
        <v>2814</v>
      </c>
      <c r="H4171" s="12" t="s">
        <v>38</v>
      </c>
      <c r="I4171" s="12" t="s">
        <v>159</v>
      </c>
      <c r="J4171" s="12" t="s">
        <v>255</v>
      </c>
      <c r="K4171" s="12" t="s">
        <v>82</v>
      </c>
      <c r="L4171" s="14"/>
      <c r="M4171" s="12" t="s">
        <v>43</v>
      </c>
      <c r="N4171" s="12" t="s">
        <v>161</v>
      </c>
      <c r="O4171" s="12" t="s">
        <v>14791</v>
      </c>
      <c r="P4171" s="12" t="s">
        <v>46</v>
      </c>
      <c r="Q4171" s="12" t="s">
        <v>47</v>
      </c>
      <c r="R4171" s="12" t="s">
        <v>163</v>
      </c>
      <c r="S4171" s="13">
        <v>197065694241</v>
      </c>
      <c r="T4171" s="12" t="s">
        <v>49</v>
      </c>
      <c r="U4171" s="13">
        <v>41</v>
      </c>
      <c r="V4171" s="12" t="s">
        <v>50</v>
      </c>
      <c r="W4171" s="12" t="s">
        <v>175</v>
      </c>
      <c r="X4171" s="14"/>
      <c r="Y4171" s="12" t="s">
        <v>53</v>
      </c>
      <c r="Z4171" s="12" t="s">
        <v>263</v>
      </c>
      <c r="AA4171" s="14"/>
      <c r="AB4171" s="14"/>
      <c r="AC4171" s="15">
        <v>50</v>
      </c>
      <c r="AD4171" s="15">
        <f>AC4171*AG4171</f>
        <v>50</v>
      </c>
      <c r="AE4171" s="15">
        <v>110</v>
      </c>
      <c r="AF4171" s="15">
        <f>AE4171*AG4171</f>
        <v>110</v>
      </c>
      <c r="AG4171" s="16">
        <v>1</v>
      </c>
    </row>
    <row r="4172" spans="1:33" ht="15" customHeight="1" x14ac:dyDescent="0.2">
      <c r="A4172" s="11" t="str">
        <f t="shared" ref="A4172:A4173" si="1343">HYPERLINK("https://assets.vans.eu/images/VN000D25PWT-HERO/1","VN000D25PWT1")</f>
        <v>VN000D25PWT1</v>
      </c>
      <c r="B4172" s="12" t="s">
        <v>14792</v>
      </c>
      <c r="C4172" s="12" t="s">
        <v>1614</v>
      </c>
      <c r="D4172" s="12" t="s">
        <v>2289</v>
      </c>
      <c r="E4172" s="12" t="s">
        <v>14793</v>
      </c>
      <c r="F4172" s="13">
        <v>40</v>
      </c>
      <c r="G4172" s="12" t="s">
        <v>5734</v>
      </c>
      <c r="H4172" s="12" t="s">
        <v>38</v>
      </c>
      <c r="I4172" s="12" t="s">
        <v>159</v>
      </c>
      <c r="J4172" s="12" t="s">
        <v>255</v>
      </c>
      <c r="K4172" s="12" t="s">
        <v>82</v>
      </c>
      <c r="L4172" s="14"/>
      <c r="M4172" s="12" t="s">
        <v>43</v>
      </c>
      <c r="N4172" s="12" t="s">
        <v>44</v>
      </c>
      <c r="O4172" s="12" t="s">
        <v>14794</v>
      </c>
      <c r="P4172" s="12" t="s">
        <v>46</v>
      </c>
      <c r="Q4172" s="12" t="s">
        <v>47</v>
      </c>
      <c r="R4172" s="12" t="s">
        <v>163</v>
      </c>
      <c r="S4172" s="13">
        <v>197643311805</v>
      </c>
      <c r="T4172" s="12" t="s">
        <v>49</v>
      </c>
      <c r="U4172" s="13">
        <v>35</v>
      </c>
      <c r="V4172" s="12" t="s">
        <v>50</v>
      </c>
      <c r="W4172" s="12" t="s">
        <v>455</v>
      </c>
      <c r="X4172" s="14"/>
      <c r="Y4172" s="12" t="s">
        <v>53</v>
      </c>
      <c r="Z4172" s="12" t="s">
        <v>263</v>
      </c>
      <c r="AA4172" s="14"/>
      <c r="AB4172" s="14"/>
      <c r="AC4172" s="15">
        <v>50</v>
      </c>
      <c r="AD4172" s="15">
        <f>AC4172*AG4172</f>
        <v>50</v>
      </c>
      <c r="AE4172" s="15">
        <v>110</v>
      </c>
      <c r="AF4172" s="15">
        <f>AE4172*AG4172</f>
        <v>110</v>
      </c>
      <c r="AG4172" s="16">
        <v>1</v>
      </c>
    </row>
    <row r="4173" spans="1:33" ht="15" customHeight="1" x14ac:dyDescent="0.2">
      <c r="A4173" s="11" t="str">
        <f t="shared" si="1343"/>
        <v>VN000D25PWT1</v>
      </c>
      <c r="B4173" s="12" t="s">
        <v>14795</v>
      </c>
      <c r="C4173" s="12" t="s">
        <v>1614</v>
      </c>
      <c r="D4173" s="12" t="s">
        <v>2289</v>
      </c>
      <c r="E4173" s="12" t="s">
        <v>14796</v>
      </c>
      <c r="F4173" s="13">
        <v>80</v>
      </c>
      <c r="G4173" s="12" t="s">
        <v>5734</v>
      </c>
      <c r="H4173" s="12" t="s">
        <v>38</v>
      </c>
      <c r="I4173" s="12" t="s">
        <v>159</v>
      </c>
      <c r="J4173" s="12" t="s">
        <v>255</v>
      </c>
      <c r="K4173" s="12" t="s">
        <v>82</v>
      </c>
      <c r="L4173" s="14"/>
      <c r="M4173" s="12" t="s">
        <v>43</v>
      </c>
      <c r="N4173" s="12" t="s">
        <v>44</v>
      </c>
      <c r="O4173" s="12" t="s">
        <v>14797</v>
      </c>
      <c r="P4173" s="12" t="s">
        <v>46</v>
      </c>
      <c r="Q4173" s="12" t="s">
        <v>47</v>
      </c>
      <c r="R4173" s="12" t="s">
        <v>163</v>
      </c>
      <c r="S4173" s="13">
        <v>197643313335</v>
      </c>
      <c r="T4173" s="12" t="s">
        <v>49</v>
      </c>
      <c r="U4173" s="13">
        <v>40.5</v>
      </c>
      <c r="V4173" s="12" t="s">
        <v>50</v>
      </c>
      <c r="W4173" s="12" t="s">
        <v>455</v>
      </c>
      <c r="X4173" s="14"/>
      <c r="Y4173" s="12" t="s">
        <v>53</v>
      </c>
      <c r="Z4173" s="12" t="s">
        <v>263</v>
      </c>
      <c r="AA4173" s="14"/>
      <c r="AB4173" s="14"/>
      <c r="AC4173" s="15">
        <v>50</v>
      </c>
      <c r="AD4173" s="15">
        <f>AC4173*AG4173</f>
        <v>50</v>
      </c>
      <c r="AE4173" s="15">
        <v>110</v>
      </c>
      <c r="AF4173" s="15">
        <f>AE4173*AG4173</f>
        <v>110</v>
      </c>
      <c r="AG4173" s="16">
        <v>1</v>
      </c>
    </row>
    <row r="4174" spans="1:33" ht="15" customHeight="1" x14ac:dyDescent="0.2">
      <c r="A4174" s="11" t="str">
        <f>HYPERLINK("https://assets.vans.eu/images/VN000D26BR1-HERO/1","VN000D26BR11")</f>
        <v>VN000D26BR11</v>
      </c>
      <c r="B4174" s="12" t="s">
        <v>14798</v>
      </c>
      <c r="C4174" s="12" t="s">
        <v>251</v>
      </c>
      <c r="D4174" s="12" t="s">
        <v>496</v>
      </c>
      <c r="E4174" s="12" t="s">
        <v>14799</v>
      </c>
      <c r="F4174" s="13">
        <v>85</v>
      </c>
      <c r="G4174" s="12" t="s">
        <v>5020</v>
      </c>
      <c r="H4174" s="12" t="s">
        <v>38</v>
      </c>
      <c r="I4174" s="12" t="s">
        <v>159</v>
      </c>
      <c r="J4174" s="12" t="s">
        <v>255</v>
      </c>
      <c r="K4174" s="12" t="s">
        <v>82</v>
      </c>
      <c r="L4174" s="14"/>
      <c r="M4174" s="12" t="s">
        <v>43</v>
      </c>
      <c r="N4174" s="12" t="s">
        <v>44</v>
      </c>
      <c r="O4174" s="12" t="s">
        <v>14800</v>
      </c>
      <c r="P4174" s="12" t="s">
        <v>46</v>
      </c>
      <c r="Q4174" s="12" t="s">
        <v>47</v>
      </c>
      <c r="R4174" s="12" t="s">
        <v>163</v>
      </c>
      <c r="S4174" s="13">
        <v>197643183167</v>
      </c>
      <c r="T4174" s="12" t="s">
        <v>49</v>
      </c>
      <c r="U4174" s="13">
        <v>41</v>
      </c>
      <c r="V4174" s="12" t="s">
        <v>50</v>
      </c>
      <c r="W4174" s="12" t="s">
        <v>118</v>
      </c>
      <c r="X4174" s="14"/>
      <c r="Y4174" s="12" t="s">
        <v>91</v>
      </c>
      <c r="Z4174" s="12" t="s">
        <v>165</v>
      </c>
      <c r="AA4174" s="14"/>
      <c r="AB4174" s="14"/>
      <c r="AC4174" s="15">
        <v>45.5</v>
      </c>
      <c r="AD4174" s="15">
        <f>AC4174*AG4174</f>
        <v>45.5</v>
      </c>
      <c r="AE4174" s="15">
        <v>100</v>
      </c>
      <c r="AF4174" s="15">
        <f>AE4174*AG4174</f>
        <v>100</v>
      </c>
      <c r="AG4174" s="16">
        <v>1</v>
      </c>
    </row>
    <row r="4175" spans="1:33" ht="15" customHeight="1" x14ac:dyDescent="0.2">
      <c r="A4175" s="11" t="str">
        <f>HYPERLINK("https://assets.vans.eu/images/VN000D26DFN-HERO/1","VN000D26DFN1")</f>
        <v>VN000D26DFN1</v>
      </c>
      <c r="B4175" s="12" t="s">
        <v>14801</v>
      </c>
      <c r="C4175" s="12" t="s">
        <v>251</v>
      </c>
      <c r="D4175" s="12" t="s">
        <v>5823</v>
      </c>
      <c r="E4175" s="12" t="s">
        <v>14802</v>
      </c>
      <c r="F4175" s="13">
        <v>35</v>
      </c>
      <c r="G4175" s="12" t="s">
        <v>2814</v>
      </c>
      <c r="H4175" s="12" t="s">
        <v>38</v>
      </c>
      <c r="I4175" s="12" t="s">
        <v>159</v>
      </c>
      <c r="J4175" s="12" t="s">
        <v>255</v>
      </c>
      <c r="K4175" s="12" t="s">
        <v>82</v>
      </c>
      <c r="L4175" s="14"/>
      <c r="M4175" s="12" t="s">
        <v>43</v>
      </c>
      <c r="N4175" s="12" t="s">
        <v>84</v>
      </c>
      <c r="O4175" s="12" t="s">
        <v>14803</v>
      </c>
      <c r="P4175" s="12" t="s">
        <v>46</v>
      </c>
      <c r="Q4175" s="12" t="s">
        <v>47</v>
      </c>
      <c r="R4175" s="12" t="s">
        <v>163</v>
      </c>
      <c r="S4175" s="13">
        <v>197804443246</v>
      </c>
      <c r="T4175" s="12" t="s">
        <v>49</v>
      </c>
      <c r="U4175" s="13">
        <v>34.5</v>
      </c>
      <c r="V4175" s="12" t="s">
        <v>50</v>
      </c>
      <c r="W4175" s="12" t="s">
        <v>186</v>
      </c>
      <c r="X4175" s="14"/>
      <c r="Y4175" s="14"/>
      <c r="Z4175" s="14"/>
      <c r="AA4175" s="14"/>
      <c r="AB4175" s="14"/>
      <c r="AC4175" s="15">
        <v>45.5</v>
      </c>
      <c r="AD4175" s="15">
        <f>AC4175*AG4175</f>
        <v>45.5</v>
      </c>
      <c r="AE4175" s="15">
        <v>100</v>
      </c>
      <c r="AF4175" s="15">
        <f>AE4175*AG4175</f>
        <v>100</v>
      </c>
      <c r="AG4175" s="16">
        <v>1</v>
      </c>
    </row>
    <row r="4176" spans="1:33" ht="15" customHeight="1" x14ac:dyDescent="0.2">
      <c r="A4176" s="11" t="str">
        <f t="shared" ref="A4176:A4180" si="1344">HYPERLINK("https://assets.vans.eu/images/VN000D26GWT-HERO/1","VN000D26GWT1")</f>
        <v>VN000D26GWT1</v>
      </c>
      <c r="B4176" s="12" t="s">
        <v>14804</v>
      </c>
      <c r="C4176" s="12" t="s">
        <v>251</v>
      </c>
      <c r="D4176" s="12" t="s">
        <v>2812</v>
      </c>
      <c r="E4176" s="12" t="s">
        <v>14805</v>
      </c>
      <c r="F4176" s="13">
        <v>55</v>
      </c>
      <c r="G4176" s="12" t="s">
        <v>2291</v>
      </c>
      <c r="H4176" s="12" t="s">
        <v>38</v>
      </c>
      <c r="I4176" s="12" t="s">
        <v>159</v>
      </c>
      <c r="J4176" s="12" t="s">
        <v>255</v>
      </c>
      <c r="K4176" s="12" t="s">
        <v>82</v>
      </c>
      <c r="L4176" s="14"/>
      <c r="M4176" s="12" t="s">
        <v>43</v>
      </c>
      <c r="N4176" s="12" t="s">
        <v>84</v>
      </c>
      <c r="O4176" s="12" t="s">
        <v>14806</v>
      </c>
      <c r="P4176" s="12" t="s">
        <v>46</v>
      </c>
      <c r="Q4176" s="12" t="s">
        <v>47</v>
      </c>
      <c r="R4176" s="12" t="s">
        <v>163</v>
      </c>
      <c r="S4176" s="13">
        <v>197804444687</v>
      </c>
      <c r="T4176" s="12" t="s">
        <v>49</v>
      </c>
      <c r="U4176" s="13">
        <v>37</v>
      </c>
      <c r="V4176" s="12" t="s">
        <v>50</v>
      </c>
      <c r="W4176" s="12" t="s">
        <v>186</v>
      </c>
      <c r="X4176" s="14"/>
      <c r="Y4176" s="14"/>
      <c r="Z4176" s="14"/>
      <c r="AA4176" s="14"/>
      <c r="AB4176" s="14"/>
      <c r="AC4176" s="15">
        <v>45.5</v>
      </c>
      <c r="AD4176" s="15">
        <f>AC4176*AG4176</f>
        <v>45.5</v>
      </c>
      <c r="AE4176" s="15">
        <v>100</v>
      </c>
      <c r="AF4176" s="15">
        <f>AE4176*AG4176</f>
        <v>100</v>
      </c>
      <c r="AG4176" s="16">
        <v>1</v>
      </c>
    </row>
    <row r="4177" spans="1:33" ht="15" customHeight="1" x14ac:dyDescent="0.2">
      <c r="A4177" s="11" t="str">
        <f t="shared" si="1344"/>
        <v>VN000D26GWT1</v>
      </c>
      <c r="B4177" s="12" t="s">
        <v>14807</v>
      </c>
      <c r="C4177" s="12" t="s">
        <v>251</v>
      </c>
      <c r="D4177" s="12" t="s">
        <v>2812</v>
      </c>
      <c r="E4177" s="12" t="s">
        <v>14808</v>
      </c>
      <c r="F4177" s="13">
        <v>60</v>
      </c>
      <c r="G4177" s="12" t="s">
        <v>2291</v>
      </c>
      <c r="H4177" s="12" t="s">
        <v>38</v>
      </c>
      <c r="I4177" s="12" t="s">
        <v>159</v>
      </c>
      <c r="J4177" s="12" t="s">
        <v>255</v>
      </c>
      <c r="K4177" s="12" t="s">
        <v>82</v>
      </c>
      <c r="L4177" s="14"/>
      <c r="M4177" s="12" t="s">
        <v>43</v>
      </c>
      <c r="N4177" s="12" t="s">
        <v>84</v>
      </c>
      <c r="O4177" s="12" t="s">
        <v>14809</v>
      </c>
      <c r="P4177" s="12" t="s">
        <v>46</v>
      </c>
      <c r="Q4177" s="12" t="s">
        <v>47</v>
      </c>
      <c r="R4177" s="12" t="s">
        <v>163</v>
      </c>
      <c r="S4177" s="13">
        <v>197804444878</v>
      </c>
      <c r="T4177" s="12" t="s">
        <v>49</v>
      </c>
      <c r="U4177" s="13">
        <v>38</v>
      </c>
      <c r="V4177" s="12" t="s">
        <v>50</v>
      </c>
      <c r="W4177" s="12" t="s">
        <v>186</v>
      </c>
      <c r="X4177" s="14"/>
      <c r="Y4177" s="14"/>
      <c r="Z4177" s="14"/>
      <c r="AA4177" s="14"/>
      <c r="AB4177" s="14"/>
      <c r="AC4177" s="15">
        <v>45.5</v>
      </c>
      <c r="AD4177" s="15">
        <f>AC4177*AG4177</f>
        <v>45.5</v>
      </c>
      <c r="AE4177" s="15">
        <v>100</v>
      </c>
      <c r="AF4177" s="15">
        <f>AE4177*AG4177</f>
        <v>100</v>
      </c>
      <c r="AG4177" s="16">
        <v>1</v>
      </c>
    </row>
    <row r="4178" spans="1:33" ht="15" customHeight="1" x14ac:dyDescent="0.2">
      <c r="A4178" s="11" t="str">
        <f t="shared" si="1344"/>
        <v>VN000D26GWT1</v>
      </c>
      <c r="B4178" s="12" t="s">
        <v>14810</v>
      </c>
      <c r="C4178" s="12" t="s">
        <v>251</v>
      </c>
      <c r="D4178" s="12" t="s">
        <v>2812</v>
      </c>
      <c r="E4178" s="12" t="s">
        <v>14811</v>
      </c>
      <c r="F4178" s="13">
        <v>65</v>
      </c>
      <c r="G4178" s="12" t="s">
        <v>2291</v>
      </c>
      <c r="H4178" s="12" t="s">
        <v>38</v>
      </c>
      <c r="I4178" s="12" t="s">
        <v>159</v>
      </c>
      <c r="J4178" s="12" t="s">
        <v>255</v>
      </c>
      <c r="K4178" s="12" t="s">
        <v>82</v>
      </c>
      <c r="L4178" s="14"/>
      <c r="M4178" s="12" t="s">
        <v>43</v>
      </c>
      <c r="N4178" s="12" t="s">
        <v>84</v>
      </c>
      <c r="O4178" s="12" t="s">
        <v>14812</v>
      </c>
      <c r="P4178" s="12" t="s">
        <v>46</v>
      </c>
      <c r="Q4178" s="12" t="s">
        <v>47</v>
      </c>
      <c r="R4178" s="12" t="s">
        <v>163</v>
      </c>
      <c r="S4178" s="13">
        <v>197804444953</v>
      </c>
      <c r="T4178" s="12" t="s">
        <v>49</v>
      </c>
      <c r="U4178" s="13">
        <v>38.5</v>
      </c>
      <c r="V4178" s="12" t="s">
        <v>50</v>
      </c>
      <c r="W4178" s="12" t="s">
        <v>186</v>
      </c>
      <c r="X4178" s="14"/>
      <c r="Y4178" s="14"/>
      <c r="Z4178" s="14"/>
      <c r="AA4178" s="14"/>
      <c r="AB4178" s="14"/>
      <c r="AC4178" s="15">
        <v>45.5</v>
      </c>
      <c r="AD4178" s="15">
        <f>AC4178*AG4178</f>
        <v>45.5</v>
      </c>
      <c r="AE4178" s="15">
        <v>100</v>
      </c>
      <c r="AF4178" s="15">
        <f>AE4178*AG4178</f>
        <v>100</v>
      </c>
      <c r="AG4178" s="16">
        <v>1</v>
      </c>
    </row>
    <row r="4179" spans="1:33" ht="15" customHeight="1" x14ac:dyDescent="0.2">
      <c r="A4179" s="11" t="str">
        <f t="shared" si="1344"/>
        <v>VN000D26GWT1</v>
      </c>
      <c r="B4179" s="12" t="s">
        <v>14813</v>
      </c>
      <c r="C4179" s="12" t="s">
        <v>251</v>
      </c>
      <c r="D4179" s="12" t="s">
        <v>2812</v>
      </c>
      <c r="E4179" s="12" t="s">
        <v>14814</v>
      </c>
      <c r="F4179" s="13">
        <v>70</v>
      </c>
      <c r="G4179" s="12" t="s">
        <v>2291</v>
      </c>
      <c r="H4179" s="12" t="s">
        <v>38</v>
      </c>
      <c r="I4179" s="12" t="s">
        <v>159</v>
      </c>
      <c r="J4179" s="12" t="s">
        <v>255</v>
      </c>
      <c r="K4179" s="12" t="s">
        <v>82</v>
      </c>
      <c r="L4179" s="14"/>
      <c r="M4179" s="12" t="s">
        <v>43</v>
      </c>
      <c r="N4179" s="12" t="s">
        <v>84</v>
      </c>
      <c r="O4179" s="12" t="s">
        <v>14815</v>
      </c>
      <c r="P4179" s="12" t="s">
        <v>46</v>
      </c>
      <c r="Q4179" s="12" t="s">
        <v>47</v>
      </c>
      <c r="R4179" s="12" t="s">
        <v>163</v>
      </c>
      <c r="S4179" s="13">
        <v>197804445165</v>
      </c>
      <c r="T4179" s="12" t="s">
        <v>49</v>
      </c>
      <c r="U4179" s="13">
        <v>39</v>
      </c>
      <c r="V4179" s="12" t="s">
        <v>50</v>
      </c>
      <c r="W4179" s="12" t="s">
        <v>186</v>
      </c>
      <c r="X4179" s="14"/>
      <c r="Y4179" s="14"/>
      <c r="Z4179" s="14"/>
      <c r="AA4179" s="14"/>
      <c r="AB4179" s="14"/>
      <c r="AC4179" s="15">
        <v>45.5</v>
      </c>
      <c r="AD4179" s="15">
        <f>AC4179*AG4179</f>
        <v>45.5</v>
      </c>
      <c r="AE4179" s="15">
        <v>100</v>
      </c>
      <c r="AF4179" s="15">
        <f>AE4179*AG4179</f>
        <v>100</v>
      </c>
      <c r="AG4179" s="16">
        <v>1</v>
      </c>
    </row>
    <row r="4180" spans="1:33" ht="15" customHeight="1" x14ac:dyDescent="0.2">
      <c r="A4180" s="11" t="str">
        <f t="shared" si="1344"/>
        <v>VN000D26GWT1</v>
      </c>
      <c r="B4180" s="12" t="s">
        <v>14816</v>
      </c>
      <c r="C4180" s="12" t="s">
        <v>251</v>
      </c>
      <c r="D4180" s="12" t="s">
        <v>2812</v>
      </c>
      <c r="E4180" s="12" t="s">
        <v>14817</v>
      </c>
      <c r="F4180" s="13">
        <v>115</v>
      </c>
      <c r="G4180" s="12" t="s">
        <v>2291</v>
      </c>
      <c r="H4180" s="12" t="s">
        <v>38</v>
      </c>
      <c r="I4180" s="12" t="s">
        <v>159</v>
      </c>
      <c r="J4180" s="12" t="s">
        <v>255</v>
      </c>
      <c r="K4180" s="12" t="s">
        <v>82</v>
      </c>
      <c r="L4180" s="14"/>
      <c r="M4180" s="12" t="s">
        <v>43</v>
      </c>
      <c r="N4180" s="12" t="s">
        <v>84</v>
      </c>
      <c r="O4180" s="12" t="s">
        <v>14818</v>
      </c>
      <c r="P4180" s="12" t="s">
        <v>46</v>
      </c>
      <c r="Q4180" s="12" t="s">
        <v>47</v>
      </c>
      <c r="R4180" s="12" t="s">
        <v>163</v>
      </c>
      <c r="S4180" s="13">
        <v>197804446308</v>
      </c>
      <c r="T4180" s="12" t="s">
        <v>49</v>
      </c>
      <c r="U4180" s="13">
        <v>45</v>
      </c>
      <c r="V4180" s="12" t="s">
        <v>50</v>
      </c>
      <c r="W4180" s="12" t="s">
        <v>186</v>
      </c>
      <c r="X4180" s="14"/>
      <c r="Y4180" s="14"/>
      <c r="Z4180" s="14"/>
      <c r="AA4180" s="14"/>
      <c r="AB4180" s="14"/>
      <c r="AC4180" s="15">
        <v>45.5</v>
      </c>
      <c r="AD4180" s="15">
        <f>AC4180*AG4180</f>
        <v>45.5</v>
      </c>
      <c r="AE4180" s="15">
        <v>100</v>
      </c>
      <c r="AF4180" s="15">
        <f>AE4180*AG4180</f>
        <v>100</v>
      </c>
      <c r="AG4180" s="16">
        <v>1</v>
      </c>
    </row>
    <row r="4181" spans="1:33" ht="15" customHeight="1" x14ac:dyDescent="0.2">
      <c r="A4181" s="11" t="str">
        <f t="shared" ref="A4181:A4189" si="1345">HYPERLINK("https://assets.vans.eu/images/VN000D26JDU-HERO/1","VN000D26JDU1")</f>
        <v>VN000D26JDU1</v>
      </c>
      <c r="B4181" s="12" t="s">
        <v>14819</v>
      </c>
      <c r="C4181" s="12" t="s">
        <v>251</v>
      </c>
      <c r="D4181" s="12" t="s">
        <v>814</v>
      </c>
      <c r="E4181" s="12" t="s">
        <v>14820</v>
      </c>
      <c r="F4181" s="13">
        <v>75</v>
      </c>
      <c r="G4181" s="12" t="s">
        <v>2291</v>
      </c>
      <c r="H4181" s="12" t="s">
        <v>38</v>
      </c>
      <c r="I4181" s="12" t="s">
        <v>159</v>
      </c>
      <c r="J4181" s="12" t="s">
        <v>255</v>
      </c>
      <c r="K4181" s="12" t="s">
        <v>82</v>
      </c>
      <c r="L4181" s="14"/>
      <c r="M4181" s="12" t="s">
        <v>43</v>
      </c>
      <c r="N4181" s="12" t="s">
        <v>84</v>
      </c>
      <c r="O4181" s="12" t="s">
        <v>14821</v>
      </c>
      <c r="P4181" s="12" t="s">
        <v>46</v>
      </c>
      <c r="Q4181" s="12" t="s">
        <v>47</v>
      </c>
      <c r="R4181" s="12" t="s">
        <v>163</v>
      </c>
      <c r="S4181" s="13">
        <v>197804445400</v>
      </c>
      <c r="T4181" s="12" t="s">
        <v>49</v>
      </c>
      <c r="U4181" s="13">
        <v>40</v>
      </c>
      <c r="V4181" s="12" t="s">
        <v>50</v>
      </c>
      <c r="W4181" s="12" t="s">
        <v>284</v>
      </c>
      <c r="X4181" s="14"/>
      <c r="Y4181" s="14"/>
      <c r="Z4181" s="14"/>
      <c r="AA4181" s="14"/>
      <c r="AB4181" s="14"/>
      <c r="AC4181" s="15">
        <v>45.5</v>
      </c>
      <c r="AD4181" s="15">
        <f>AC4181*AG4181</f>
        <v>45.5</v>
      </c>
      <c r="AE4181" s="15">
        <v>100</v>
      </c>
      <c r="AF4181" s="15">
        <f>AE4181*AG4181</f>
        <v>100</v>
      </c>
      <c r="AG4181" s="16">
        <v>1</v>
      </c>
    </row>
    <row r="4182" spans="1:33" ht="15" customHeight="1" x14ac:dyDescent="0.2">
      <c r="A4182" s="11" t="str">
        <f t="shared" si="1345"/>
        <v>VN000D26JDU1</v>
      </c>
      <c r="B4182" s="12" t="s">
        <v>14822</v>
      </c>
      <c r="C4182" s="12" t="s">
        <v>251</v>
      </c>
      <c r="D4182" s="12" t="s">
        <v>814</v>
      </c>
      <c r="E4182" s="12" t="s">
        <v>14823</v>
      </c>
      <c r="F4182" s="13">
        <v>80</v>
      </c>
      <c r="G4182" s="12" t="s">
        <v>2291</v>
      </c>
      <c r="H4182" s="12" t="s">
        <v>38</v>
      </c>
      <c r="I4182" s="12" t="s">
        <v>159</v>
      </c>
      <c r="J4182" s="12" t="s">
        <v>255</v>
      </c>
      <c r="K4182" s="12" t="s">
        <v>82</v>
      </c>
      <c r="L4182" s="14"/>
      <c r="M4182" s="12" t="s">
        <v>43</v>
      </c>
      <c r="N4182" s="12" t="s">
        <v>84</v>
      </c>
      <c r="O4182" s="12" t="s">
        <v>14824</v>
      </c>
      <c r="P4182" s="12" t="s">
        <v>46</v>
      </c>
      <c r="Q4182" s="12" t="s">
        <v>47</v>
      </c>
      <c r="R4182" s="12" t="s">
        <v>163</v>
      </c>
      <c r="S4182" s="13">
        <v>197804445509</v>
      </c>
      <c r="T4182" s="12" t="s">
        <v>49</v>
      </c>
      <c r="U4182" s="13">
        <v>40.5</v>
      </c>
      <c r="V4182" s="12" t="s">
        <v>50</v>
      </c>
      <c r="W4182" s="12" t="s">
        <v>284</v>
      </c>
      <c r="X4182" s="14"/>
      <c r="Y4182" s="14"/>
      <c r="Z4182" s="14"/>
      <c r="AA4182" s="14"/>
      <c r="AB4182" s="14"/>
      <c r="AC4182" s="15">
        <v>45.5</v>
      </c>
      <c r="AD4182" s="15">
        <f>AC4182*AG4182</f>
        <v>45.5</v>
      </c>
      <c r="AE4182" s="15">
        <v>100</v>
      </c>
      <c r="AF4182" s="15">
        <f>AE4182*AG4182</f>
        <v>100</v>
      </c>
      <c r="AG4182" s="16">
        <v>1</v>
      </c>
    </row>
    <row r="4183" spans="1:33" ht="15" customHeight="1" x14ac:dyDescent="0.2">
      <c r="A4183" s="11" t="str">
        <f t="shared" si="1345"/>
        <v>VN000D26JDU1</v>
      </c>
      <c r="B4183" s="12" t="s">
        <v>14825</v>
      </c>
      <c r="C4183" s="12" t="s">
        <v>251</v>
      </c>
      <c r="D4183" s="12" t="s">
        <v>814</v>
      </c>
      <c r="E4183" s="12" t="s">
        <v>14826</v>
      </c>
      <c r="F4183" s="13">
        <v>90</v>
      </c>
      <c r="G4183" s="12" t="s">
        <v>2291</v>
      </c>
      <c r="H4183" s="12" t="s">
        <v>38</v>
      </c>
      <c r="I4183" s="12" t="s">
        <v>159</v>
      </c>
      <c r="J4183" s="12" t="s">
        <v>255</v>
      </c>
      <c r="K4183" s="12" t="s">
        <v>82</v>
      </c>
      <c r="L4183" s="14"/>
      <c r="M4183" s="12" t="s">
        <v>43</v>
      </c>
      <c r="N4183" s="12" t="s">
        <v>84</v>
      </c>
      <c r="O4183" s="12" t="s">
        <v>14827</v>
      </c>
      <c r="P4183" s="12" t="s">
        <v>46</v>
      </c>
      <c r="Q4183" s="12" t="s">
        <v>47</v>
      </c>
      <c r="R4183" s="12" t="s">
        <v>163</v>
      </c>
      <c r="S4183" s="13">
        <v>197804445752</v>
      </c>
      <c r="T4183" s="12" t="s">
        <v>49</v>
      </c>
      <c r="U4183" s="13">
        <v>42</v>
      </c>
      <c r="V4183" s="12" t="s">
        <v>50</v>
      </c>
      <c r="W4183" s="12" t="s">
        <v>284</v>
      </c>
      <c r="X4183" s="14"/>
      <c r="Y4183" s="14"/>
      <c r="Z4183" s="14"/>
      <c r="AA4183" s="14"/>
      <c r="AB4183" s="14"/>
      <c r="AC4183" s="15">
        <v>45.5</v>
      </c>
      <c r="AD4183" s="15">
        <f>AC4183*AG4183</f>
        <v>45.5</v>
      </c>
      <c r="AE4183" s="15">
        <v>100</v>
      </c>
      <c r="AF4183" s="15">
        <f>AE4183*AG4183</f>
        <v>100</v>
      </c>
      <c r="AG4183" s="16">
        <v>1</v>
      </c>
    </row>
    <row r="4184" spans="1:33" ht="15" customHeight="1" x14ac:dyDescent="0.2">
      <c r="A4184" s="11" t="str">
        <f t="shared" si="1345"/>
        <v>VN000D26JDU1</v>
      </c>
      <c r="B4184" s="12" t="s">
        <v>14828</v>
      </c>
      <c r="C4184" s="12" t="s">
        <v>251</v>
      </c>
      <c r="D4184" s="12" t="s">
        <v>814</v>
      </c>
      <c r="E4184" s="12" t="s">
        <v>14829</v>
      </c>
      <c r="F4184" s="13">
        <v>95</v>
      </c>
      <c r="G4184" s="12" t="s">
        <v>2291</v>
      </c>
      <c r="H4184" s="12" t="s">
        <v>38</v>
      </c>
      <c r="I4184" s="12" t="s">
        <v>159</v>
      </c>
      <c r="J4184" s="12" t="s">
        <v>255</v>
      </c>
      <c r="K4184" s="12" t="s">
        <v>82</v>
      </c>
      <c r="L4184" s="14"/>
      <c r="M4184" s="12" t="s">
        <v>43</v>
      </c>
      <c r="N4184" s="12" t="s">
        <v>84</v>
      </c>
      <c r="O4184" s="12" t="s">
        <v>14830</v>
      </c>
      <c r="P4184" s="12" t="s">
        <v>46</v>
      </c>
      <c r="Q4184" s="12" t="s">
        <v>47</v>
      </c>
      <c r="R4184" s="12" t="s">
        <v>163</v>
      </c>
      <c r="S4184" s="13">
        <v>197804445943</v>
      </c>
      <c r="T4184" s="12" t="s">
        <v>49</v>
      </c>
      <c r="U4184" s="13">
        <v>42.5</v>
      </c>
      <c r="V4184" s="12" t="s">
        <v>50</v>
      </c>
      <c r="W4184" s="12" t="s">
        <v>284</v>
      </c>
      <c r="X4184" s="14"/>
      <c r="Y4184" s="14"/>
      <c r="Z4184" s="14"/>
      <c r="AA4184" s="14"/>
      <c r="AB4184" s="14"/>
      <c r="AC4184" s="15">
        <v>45.5</v>
      </c>
      <c r="AD4184" s="15">
        <f>AC4184*AG4184</f>
        <v>45.5</v>
      </c>
      <c r="AE4184" s="15">
        <v>100</v>
      </c>
      <c r="AF4184" s="15">
        <f>AE4184*AG4184</f>
        <v>100</v>
      </c>
      <c r="AG4184" s="16">
        <v>1</v>
      </c>
    </row>
    <row r="4185" spans="1:33" ht="15" customHeight="1" x14ac:dyDescent="0.2">
      <c r="A4185" s="11" t="str">
        <f t="shared" si="1345"/>
        <v>VN000D26JDU1</v>
      </c>
      <c r="B4185" s="12" t="s">
        <v>14831</v>
      </c>
      <c r="C4185" s="12" t="s">
        <v>251</v>
      </c>
      <c r="D4185" s="12" t="s">
        <v>814</v>
      </c>
      <c r="E4185" s="12" t="s">
        <v>14832</v>
      </c>
      <c r="F4185" s="13">
        <v>100</v>
      </c>
      <c r="G4185" s="12" t="s">
        <v>2291</v>
      </c>
      <c r="H4185" s="12" t="s">
        <v>38</v>
      </c>
      <c r="I4185" s="12" t="s">
        <v>159</v>
      </c>
      <c r="J4185" s="12" t="s">
        <v>255</v>
      </c>
      <c r="K4185" s="12" t="s">
        <v>82</v>
      </c>
      <c r="L4185" s="14"/>
      <c r="M4185" s="12" t="s">
        <v>43</v>
      </c>
      <c r="N4185" s="12" t="s">
        <v>84</v>
      </c>
      <c r="O4185" s="12" t="s">
        <v>14833</v>
      </c>
      <c r="P4185" s="12" t="s">
        <v>46</v>
      </c>
      <c r="Q4185" s="12" t="s">
        <v>47</v>
      </c>
      <c r="R4185" s="12" t="s">
        <v>163</v>
      </c>
      <c r="S4185" s="13">
        <v>197804446032</v>
      </c>
      <c r="T4185" s="12" t="s">
        <v>49</v>
      </c>
      <c r="U4185" s="13">
        <v>43</v>
      </c>
      <c r="V4185" s="12" t="s">
        <v>50</v>
      </c>
      <c r="W4185" s="12" t="s">
        <v>284</v>
      </c>
      <c r="X4185" s="14"/>
      <c r="Y4185" s="14"/>
      <c r="Z4185" s="14"/>
      <c r="AA4185" s="14"/>
      <c r="AB4185" s="14"/>
      <c r="AC4185" s="15">
        <v>45.5</v>
      </c>
      <c r="AD4185" s="15">
        <f>AC4185*AG4185</f>
        <v>45.5</v>
      </c>
      <c r="AE4185" s="15">
        <v>100</v>
      </c>
      <c r="AF4185" s="15">
        <f>AE4185*AG4185</f>
        <v>100</v>
      </c>
      <c r="AG4185" s="16">
        <v>1</v>
      </c>
    </row>
    <row r="4186" spans="1:33" ht="15" customHeight="1" x14ac:dyDescent="0.2">
      <c r="A4186" s="11" t="str">
        <f t="shared" si="1345"/>
        <v>VN000D26JDU1</v>
      </c>
      <c r="B4186" s="12" t="s">
        <v>14834</v>
      </c>
      <c r="C4186" s="12" t="s">
        <v>251</v>
      </c>
      <c r="D4186" s="12" t="s">
        <v>814</v>
      </c>
      <c r="E4186" s="12" t="s">
        <v>14835</v>
      </c>
      <c r="F4186" s="13">
        <v>105</v>
      </c>
      <c r="G4186" s="12" t="s">
        <v>2291</v>
      </c>
      <c r="H4186" s="12" t="s">
        <v>38</v>
      </c>
      <c r="I4186" s="12" t="s">
        <v>159</v>
      </c>
      <c r="J4186" s="12" t="s">
        <v>255</v>
      </c>
      <c r="K4186" s="12" t="s">
        <v>82</v>
      </c>
      <c r="L4186" s="14"/>
      <c r="M4186" s="12" t="s">
        <v>43</v>
      </c>
      <c r="N4186" s="12" t="s">
        <v>84</v>
      </c>
      <c r="O4186" s="12" t="s">
        <v>14836</v>
      </c>
      <c r="P4186" s="12" t="s">
        <v>46</v>
      </c>
      <c r="Q4186" s="12" t="s">
        <v>47</v>
      </c>
      <c r="R4186" s="12" t="s">
        <v>163</v>
      </c>
      <c r="S4186" s="13">
        <v>197804446216</v>
      </c>
      <c r="T4186" s="12" t="s">
        <v>49</v>
      </c>
      <c r="U4186" s="13">
        <v>44</v>
      </c>
      <c r="V4186" s="12" t="s">
        <v>50</v>
      </c>
      <c r="W4186" s="12" t="s">
        <v>284</v>
      </c>
      <c r="X4186" s="14"/>
      <c r="Y4186" s="14"/>
      <c r="Z4186" s="14"/>
      <c r="AA4186" s="14"/>
      <c r="AB4186" s="14"/>
      <c r="AC4186" s="15">
        <v>45.5</v>
      </c>
      <c r="AD4186" s="15">
        <f>AC4186*AG4186</f>
        <v>45.5</v>
      </c>
      <c r="AE4186" s="15">
        <v>100</v>
      </c>
      <c r="AF4186" s="15">
        <f>AE4186*AG4186</f>
        <v>100</v>
      </c>
      <c r="AG4186" s="16">
        <v>1</v>
      </c>
    </row>
    <row r="4187" spans="1:33" ht="15" customHeight="1" x14ac:dyDescent="0.2">
      <c r="A4187" s="11" t="str">
        <f t="shared" si="1345"/>
        <v>VN000D26JDU1</v>
      </c>
      <c r="B4187" s="12" t="s">
        <v>14837</v>
      </c>
      <c r="C4187" s="12" t="s">
        <v>251</v>
      </c>
      <c r="D4187" s="12" t="s">
        <v>814</v>
      </c>
      <c r="E4187" s="12" t="s">
        <v>14838</v>
      </c>
      <c r="F4187" s="13">
        <v>110</v>
      </c>
      <c r="G4187" s="12" t="s">
        <v>2291</v>
      </c>
      <c r="H4187" s="12" t="s">
        <v>38</v>
      </c>
      <c r="I4187" s="12" t="s">
        <v>159</v>
      </c>
      <c r="J4187" s="12" t="s">
        <v>255</v>
      </c>
      <c r="K4187" s="12" t="s">
        <v>82</v>
      </c>
      <c r="L4187" s="14"/>
      <c r="M4187" s="12" t="s">
        <v>43</v>
      </c>
      <c r="N4187" s="12" t="s">
        <v>84</v>
      </c>
      <c r="O4187" s="12" t="s">
        <v>14839</v>
      </c>
      <c r="P4187" s="12" t="s">
        <v>46</v>
      </c>
      <c r="Q4187" s="12" t="s">
        <v>47</v>
      </c>
      <c r="R4187" s="12" t="s">
        <v>163</v>
      </c>
      <c r="S4187" s="13">
        <v>197804446278</v>
      </c>
      <c r="T4187" s="12" t="s">
        <v>49</v>
      </c>
      <c r="U4187" s="13">
        <v>44.5</v>
      </c>
      <c r="V4187" s="12" t="s">
        <v>50</v>
      </c>
      <c r="W4187" s="12" t="s">
        <v>284</v>
      </c>
      <c r="X4187" s="14"/>
      <c r="Y4187" s="14"/>
      <c r="Z4187" s="14"/>
      <c r="AA4187" s="14"/>
      <c r="AB4187" s="14"/>
      <c r="AC4187" s="15">
        <v>45.5</v>
      </c>
      <c r="AD4187" s="15">
        <f>AC4187*AG4187</f>
        <v>45.5</v>
      </c>
      <c r="AE4187" s="15">
        <v>100</v>
      </c>
      <c r="AF4187" s="15">
        <f>AE4187*AG4187</f>
        <v>100</v>
      </c>
      <c r="AG4187" s="16">
        <v>1</v>
      </c>
    </row>
    <row r="4188" spans="1:33" ht="15" customHeight="1" x14ac:dyDescent="0.2">
      <c r="A4188" s="11" t="str">
        <f t="shared" si="1345"/>
        <v>VN000D26JDU1</v>
      </c>
      <c r="B4188" s="12" t="s">
        <v>14840</v>
      </c>
      <c r="C4188" s="12" t="s">
        <v>251</v>
      </c>
      <c r="D4188" s="12" t="s">
        <v>814</v>
      </c>
      <c r="E4188" s="12" t="s">
        <v>14841</v>
      </c>
      <c r="F4188" s="13">
        <v>115</v>
      </c>
      <c r="G4188" s="12" t="s">
        <v>2291</v>
      </c>
      <c r="H4188" s="12" t="s">
        <v>38</v>
      </c>
      <c r="I4188" s="12" t="s">
        <v>159</v>
      </c>
      <c r="J4188" s="12" t="s">
        <v>255</v>
      </c>
      <c r="K4188" s="12" t="s">
        <v>82</v>
      </c>
      <c r="L4188" s="14"/>
      <c r="M4188" s="12" t="s">
        <v>43</v>
      </c>
      <c r="N4188" s="12" t="s">
        <v>84</v>
      </c>
      <c r="O4188" s="12" t="s">
        <v>14842</v>
      </c>
      <c r="P4188" s="12" t="s">
        <v>46</v>
      </c>
      <c r="Q4188" s="12" t="s">
        <v>47</v>
      </c>
      <c r="R4188" s="12" t="s">
        <v>163</v>
      </c>
      <c r="S4188" s="13">
        <v>197804446346</v>
      </c>
      <c r="T4188" s="12" t="s">
        <v>49</v>
      </c>
      <c r="U4188" s="13">
        <v>45</v>
      </c>
      <c r="V4188" s="12" t="s">
        <v>50</v>
      </c>
      <c r="W4188" s="12" t="s">
        <v>284</v>
      </c>
      <c r="X4188" s="14"/>
      <c r="Y4188" s="14"/>
      <c r="Z4188" s="14"/>
      <c r="AA4188" s="14"/>
      <c r="AB4188" s="14"/>
      <c r="AC4188" s="15">
        <v>45.5</v>
      </c>
      <c r="AD4188" s="15">
        <f>AC4188*AG4188</f>
        <v>45.5</v>
      </c>
      <c r="AE4188" s="15">
        <v>100</v>
      </c>
      <c r="AF4188" s="15">
        <f>AE4188*AG4188</f>
        <v>100</v>
      </c>
      <c r="AG4188" s="16">
        <v>1</v>
      </c>
    </row>
    <row r="4189" spans="1:33" ht="15" customHeight="1" x14ac:dyDescent="0.2">
      <c r="A4189" s="11" t="str">
        <f t="shared" si="1345"/>
        <v>VN000D26JDU1</v>
      </c>
      <c r="B4189" s="12" t="s">
        <v>14843</v>
      </c>
      <c r="C4189" s="12" t="s">
        <v>251</v>
      </c>
      <c r="D4189" s="12" t="s">
        <v>814</v>
      </c>
      <c r="E4189" s="12" t="s">
        <v>14844</v>
      </c>
      <c r="F4189" s="13">
        <v>130</v>
      </c>
      <c r="G4189" s="12" t="s">
        <v>2291</v>
      </c>
      <c r="H4189" s="12" t="s">
        <v>38</v>
      </c>
      <c r="I4189" s="12" t="s">
        <v>159</v>
      </c>
      <c r="J4189" s="12" t="s">
        <v>255</v>
      </c>
      <c r="K4189" s="12" t="s">
        <v>82</v>
      </c>
      <c r="L4189" s="14"/>
      <c r="M4189" s="12" t="s">
        <v>43</v>
      </c>
      <c r="N4189" s="12" t="s">
        <v>84</v>
      </c>
      <c r="O4189" s="12" t="s">
        <v>14845</v>
      </c>
      <c r="P4189" s="12" t="s">
        <v>46</v>
      </c>
      <c r="Q4189" s="12" t="s">
        <v>47</v>
      </c>
      <c r="R4189" s="12" t="s">
        <v>163</v>
      </c>
      <c r="S4189" s="13">
        <v>197804446575</v>
      </c>
      <c r="T4189" s="12" t="s">
        <v>49</v>
      </c>
      <c r="U4189" s="13">
        <v>47</v>
      </c>
      <c r="V4189" s="12" t="s">
        <v>50</v>
      </c>
      <c r="W4189" s="12" t="s">
        <v>284</v>
      </c>
      <c r="X4189" s="14"/>
      <c r="Y4189" s="14"/>
      <c r="Z4189" s="14"/>
      <c r="AA4189" s="14"/>
      <c r="AB4189" s="14"/>
      <c r="AC4189" s="15">
        <v>45.5</v>
      </c>
      <c r="AD4189" s="15">
        <f>AC4189*AG4189</f>
        <v>45.5</v>
      </c>
      <c r="AE4189" s="15">
        <v>100</v>
      </c>
      <c r="AF4189" s="15">
        <f>AE4189*AG4189</f>
        <v>100</v>
      </c>
      <c r="AG4189" s="16">
        <v>1</v>
      </c>
    </row>
    <row r="4190" spans="1:33" ht="15" customHeight="1" x14ac:dyDescent="0.2">
      <c r="A4190" s="11" t="str">
        <f t="shared" si="786"/>
        <v>VN000D26KGR1</v>
      </c>
      <c r="B4190" s="12" t="s">
        <v>14846</v>
      </c>
      <c r="C4190" s="12" t="s">
        <v>251</v>
      </c>
      <c r="D4190" s="12" t="s">
        <v>7184</v>
      </c>
      <c r="E4190" s="12" t="s">
        <v>14847</v>
      </c>
      <c r="F4190" s="13">
        <v>60</v>
      </c>
      <c r="G4190" s="12" t="s">
        <v>5020</v>
      </c>
      <c r="H4190" s="12" t="s">
        <v>38</v>
      </c>
      <c r="I4190" s="12" t="s">
        <v>159</v>
      </c>
      <c r="J4190" s="12" t="s">
        <v>255</v>
      </c>
      <c r="K4190" s="12" t="s">
        <v>82</v>
      </c>
      <c r="L4190" s="14"/>
      <c r="M4190" s="12" t="s">
        <v>43</v>
      </c>
      <c r="N4190" s="12" t="s">
        <v>44</v>
      </c>
      <c r="O4190" s="12" t="s">
        <v>14848</v>
      </c>
      <c r="P4190" s="12" t="s">
        <v>46</v>
      </c>
      <c r="Q4190" s="12" t="s">
        <v>47</v>
      </c>
      <c r="R4190" s="12" t="s">
        <v>163</v>
      </c>
      <c r="S4190" s="13">
        <v>197643444176</v>
      </c>
      <c r="T4190" s="12" t="s">
        <v>49</v>
      </c>
      <c r="U4190" s="13">
        <v>38</v>
      </c>
      <c r="V4190" s="12" t="s">
        <v>50</v>
      </c>
      <c r="W4190" s="12" t="s">
        <v>580</v>
      </c>
      <c r="X4190" s="14"/>
      <c r="Y4190" s="12" t="s">
        <v>91</v>
      </c>
      <c r="Z4190" s="12" t="s">
        <v>165</v>
      </c>
      <c r="AA4190" s="14"/>
      <c r="AB4190" s="14"/>
      <c r="AC4190" s="15">
        <v>45.5</v>
      </c>
      <c r="AD4190" s="15">
        <f>AC4190*AG4190</f>
        <v>45.5</v>
      </c>
      <c r="AE4190" s="15">
        <v>100</v>
      </c>
      <c r="AF4190" s="15">
        <f>AE4190*AG4190</f>
        <v>100</v>
      </c>
      <c r="AG4190" s="16">
        <v>1</v>
      </c>
    </row>
    <row r="4191" spans="1:33" ht="15" customHeight="1" x14ac:dyDescent="0.2">
      <c r="A4191" s="11" t="str">
        <f>HYPERLINK("https://assets.vans.eu/images/VN000D26NVY-HERO/1","VN000D26NVY1")</f>
        <v>VN000D26NVY1</v>
      </c>
      <c r="B4191" s="12" t="s">
        <v>14849</v>
      </c>
      <c r="C4191" s="12" t="s">
        <v>251</v>
      </c>
      <c r="D4191" s="12" t="s">
        <v>2760</v>
      </c>
      <c r="E4191" s="12" t="s">
        <v>14850</v>
      </c>
      <c r="F4191" s="13">
        <v>45</v>
      </c>
      <c r="G4191" s="12" t="s">
        <v>14851</v>
      </c>
      <c r="H4191" s="12" t="s">
        <v>38</v>
      </c>
      <c r="I4191" s="12" t="s">
        <v>159</v>
      </c>
      <c r="J4191" s="12" t="s">
        <v>255</v>
      </c>
      <c r="K4191" s="12" t="s">
        <v>82</v>
      </c>
      <c r="L4191" s="14"/>
      <c r="M4191" s="12" t="s">
        <v>43</v>
      </c>
      <c r="N4191" s="12" t="s">
        <v>44</v>
      </c>
      <c r="O4191" s="12" t="s">
        <v>14852</v>
      </c>
      <c r="P4191" s="12" t="s">
        <v>46</v>
      </c>
      <c r="Q4191" s="12" t="s">
        <v>47</v>
      </c>
      <c r="R4191" s="12" t="s">
        <v>163</v>
      </c>
      <c r="S4191" s="13">
        <v>197643182726</v>
      </c>
      <c r="T4191" s="12" t="s">
        <v>49</v>
      </c>
      <c r="U4191" s="13">
        <v>36</v>
      </c>
      <c r="V4191" s="12" t="s">
        <v>50</v>
      </c>
      <c r="W4191" s="12" t="s">
        <v>284</v>
      </c>
      <c r="X4191" s="14"/>
      <c r="Y4191" s="12" t="s">
        <v>53</v>
      </c>
      <c r="Z4191" s="12" t="s">
        <v>165</v>
      </c>
      <c r="AA4191" s="14"/>
      <c r="AB4191" s="14"/>
      <c r="AC4191" s="15">
        <v>45.5</v>
      </c>
      <c r="AD4191" s="15">
        <f>AC4191*AG4191</f>
        <v>45.5</v>
      </c>
      <c r="AE4191" s="15">
        <v>100</v>
      </c>
      <c r="AF4191" s="15">
        <f>AE4191*AG4191</f>
        <v>100</v>
      </c>
      <c r="AG4191" s="16">
        <v>1</v>
      </c>
    </row>
    <row r="4192" spans="1:33" ht="15" customHeight="1" x14ac:dyDescent="0.2">
      <c r="A4192" s="11" t="str">
        <f t="shared" si="787"/>
        <v>VN000D26WGR1</v>
      </c>
      <c r="B4192" s="12" t="s">
        <v>14853</v>
      </c>
      <c r="C4192" s="12" t="s">
        <v>251</v>
      </c>
      <c r="D4192" s="12" t="s">
        <v>7191</v>
      </c>
      <c r="E4192" s="12" t="s">
        <v>14854</v>
      </c>
      <c r="F4192" s="13">
        <v>95</v>
      </c>
      <c r="G4192" s="12" t="s">
        <v>7193</v>
      </c>
      <c r="H4192" s="12" t="s">
        <v>38</v>
      </c>
      <c r="I4192" s="12" t="s">
        <v>159</v>
      </c>
      <c r="J4192" s="12" t="s">
        <v>255</v>
      </c>
      <c r="K4192" s="12" t="s">
        <v>82</v>
      </c>
      <c r="L4192" s="14"/>
      <c r="M4192" s="12" t="s">
        <v>43</v>
      </c>
      <c r="N4192" s="12" t="s">
        <v>44</v>
      </c>
      <c r="O4192" s="12" t="s">
        <v>14855</v>
      </c>
      <c r="P4192" s="12" t="s">
        <v>46</v>
      </c>
      <c r="Q4192" s="12" t="s">
        <v>47</v>
      </c>
      <c r="R4192" s="12" t="s">
        <v>163</v>
      </c>
      <c r="S4192" s="13">
        <v>197643184577</v>
      </c>
      <c r="T4192" s="12" t="s">
        <v>49</v>
      </c>
      <c r="U4192" s="13">
        <v>42.5</v>
      </c>
      <c r="V4192" s="12" t="s">
        <v>50</v>
      </c>
      <c r="W4192" s="12" t="s">
        <v>175</v>
      </c>
      <c r="X4192" s="14"/>
      <c r="Y4192" s="12" t="s">
        <v>53</v>
      </c>
      <c r="Z4192" s="12" t="s">
        <v>165</v>
      </c>
      <c r="AA4192" s="14"/>
      <c r="AB4192" s="14"/>
      <c r="AC4192" s="15">
        <v>47.75</v>
      </c>
      <c r="AD4192" s="15">
        <f>AC4192*AG4192</f>
        <v>47.75</v>
      </c>
      <c r="AE4192" s="15">
        <v>105</v>
      </c>
      <c r="AF4192" s="15">
        <f>AE4192*AG4192</f>
        <v>105</v>
      </c>
      <c r="AG4192" s="16">
        <v>1</v>
      </c>
    </row>
    <row r="4193" spans="1:33" ht="15" customHeight="1" x14ac:dyDescent="0.2">
      <c r="A4193" s="11" t="str">
        <f>HYPERLINK("https://assets.vans.eu/images/VN000D26Z5D-HERO/1","VN000D26Z5D1")</f>
        <v>VN000D26Z5D1</v>
      </c>
      <c r="B4193" s="12" t="s">
        <v>14856</v>
      </c>
      <c r="C4193" s="12" t="s">
        <v>251</v>
      </c>
      <c r="D4193" s="12" t="s">
        <v>2575</v>
      </c>
      <c r="E4193" s="12" t="s">
        <v>14857</v>
      </c>
      <c r="F4193" s="13">
        <v>120</v>
      </c>
      <c r="G4193" s="12" t="s">
        <v>7193</v>
      </c>
      <c r="H4193" s="12" t="s">
        <v>38</v>
      </c>
      <c r="I4193" s="12" t="s">
        <v>159</v>
      </c>
      <c r="J4193" s="12" t="s">
        <v>255</v>
      </c>
      <c r="K4193" s="12" t="s">
        <v>82</v>
      </c>
      <c r="L4193" s="14"/>
      <c r="M4193" s="12" t="s">
        <v>43</v>
      </c>
      <c r="N4193" s="12" t="s">
        <v>44</v>
      </c>
      <c r="O4193" s="12" t="s">
        <v>14858</v>
      </c>
      <c r="P4193" s="12" t="s">
        <v>46</v>
      </c>
      <c r="Q4193" s="12" t="s">
        <v>47</v>
      </c>
      <c r="R4193" s="12" t="s">
        <v>163</v>
      </c>
      <c r="S4193" s="13">
        <v>197643185185</v>
      </c>
      <c r="T4193" s="12" t="s">
        <v>49</v>
      </c>
      <c r="U4193" s="13">
        <v>46</v>
      </c>
      <c r="V4193" s="12" t="s">
        <v>50</v>
      </c>
      <c r="W4193" s="12" t="s">
        <v>175</v>
      </c>
      <c r="X4193" s="14"/>
      <c r="Y4193" s="12" t="s">
        <v>53</v>
      </c>
      <c r="Z4193" s="12" t="s">
        <v>165</v>
      </c>
      <c r="AA4193" s="14"/>
      <c r="AB4193" s="14"/>
      <c r="AC4193" s="15">
        <v>47.75</v>
      </c>
      <c r="AD4193" s="15">
        <f>AC4193*AG4193</f>
        <v>47.75</v>
      </c>
      <c r="AE4193" s="15">
        <v>105</v>
      </c>
      <c r="AF4193" s="15">
        <f>AE4193*AG4193</f>
        <v>105</v>
      </c>
      <c r="AG4193" s="16">
        <v>1</v>
      </c>
    </row>
    <row r="4194" spans="1:33" ht="15" customHeight="1" x14ac:dyDescent="0.2">
      <c r="A4194" s="11" t="str">
        <f t="shared" si="1046"/>
        <v>VN000D281OJ1</v>
      </c>
      <c r="B4194" s="12" t="s">
        <v>14859</v>
      </c>
      <c r="C4194" s="12" t="s">
        <v>9609</v>
      </c>
      <c r="D4194" s="12" t="s">
        <v>9223</v>
      </c>
      <c r="E4194" s="12" t="s">
        <v>14860</v>
      </c>
      <c r="F4194" s="13">
        <v>35</v>
      </c>
      <c r="G4194" s="14"/>
      <c r="H4194" s="12" t="s">
        <v>38</v>
      </c>
      <c r="I4194" s="12" t="s">
        <v>159</v>
      </c>
      <c r="J4194" s="12" t="s">
        <v>255</v>
      </c>
      <c r="K4194" s="12" t="s">
        <v>82</v>
      </c>
      <c r="L4194" s="14"/>
      <c r="M4194" s="12" t="s">
        <v>43</v>
      </c>
      <c r="N4194" s="12" t="s">
        <v>84</v>
      </c>
      <c r="O4194" s="12" t="s">
        <v>14861</v>
      </c>
      <c r="P4194" s="12" t="s">
        <v>46</v>
      </c>
      <c r="Q4194" s="12" t="s">
        <v>2432</v>
      </c>
      <c r="R4194" s="12" t="s">
        <v>9612</v>
      </c>
      <c r="S4194" s="13">
        <v>197804524099</v>
      </c>
      <c r="T4194" s="12" t="s">
        <v>105</v>
      </c>
      <c r="U4194" s="13">
        <v>34.5</v>
      </c>
      <c r="V4194" s="12" t="s">
        <v>50</v>
      </c>
      <c r="W4194" s="12" t="s">
        <v>51</v>
      </c>
      <c r="X4194" s="14"/>
      <c r="Y4194" s="14"/>
      <c r="Z4194" s="14"/>
      <c r="AA4194" s="14"/>
      <c r="AB4194" s="14"/>
      <c r="AC4194" s="15">
        <v>113.65</v>
      </c>
      <c r="AD4194" s="15">
        <f>AC4194*AG4194</f>
        <v>113.65</v>
      </c>
      <c r="AE4194" s="15">
        <v>250</v>
      </c>
      <c r="AF4194" s="15">
        <f>AE4194*AG4194</f>
        <v>250</v>
      </c>
      <c r="AG4194" s="16">
        <v>1</v>
      </c>
    </row>
    <row r="4195" spans="1:33" ht="15" customHeight="1" x14ac:dyDescent="0.2">
      <c r="A4195" s="11" t="str">
        <f>HYPERLINK("https://assets.vans.eu/images/VN000D281OJ-HERO/1","VN000D281OJ1")</f>
        <v>VN000D281OJ1</v>
      </c>
      <c r="B4195" s="12" t="s">
        <v>14862</v>
      </c>
      <c r="C4195" s="12" t="s">
        <v>9609</v>
      </c>
      <c r="D4195" s="12" t="s">
        <v>9223</v>
      </c>
      <c r="E4195" s="12" t="s">
        <v>14863</v>
      </c>
      <c r="F4195" s="13">
        <v>65</v>
      </c>
      <c r="G4195" s="14"/>
      <c r="H4195" s="12" t="s">
        <v>38</v>
      </c>
      <c r="I4195" s="12" t="s">
        <v>159</v>
      </c>
      <c r="J4195" s="12" t="s">
        <v>255</v>
      </c>
      <c r="K4195" s="12" t="s">
        <v>82</v>
      </c>
      <c r="L4195" s="14"/>
      <c r="M4195" s="12" t="s">
        <v>43</v>
      </c>
      <c r="N4195" s="12" t="s">
        <v>84</v>
      </c>
      <c r="O4195" s="12" t="s">
        <v>14864</v>
      </c>
      <c r="P4195" s="12" t="s">
        <v>46</v>
      </c>
      <c r="Q4195" s="12" t="s">
        <v>2432</v>
      </c>
      <c r="R4195" s="12" t="s">
        <v>9612</v>
      </c>
      <c r="S4195" s="13">
        <v>197804524976</v>
      </c>
      <c r="T4195" s="12" t="s">
        <v>105</v>
      </c>
      <c r="U4195" s="13">
        <v>38.5</v>
      </c>
      <c r="V4195" s="12" t="s">
        <v>50</v>
      </c>
      <c r="W4195" s="12" t="s">
        <v>51</v>
      </c>
      <c r="X4195" s="14"/>
      <c r="Y4195" s="14"/>
      <c r="Z4195" s="14"/>
      <c r="AA4195" s="14"/>
      <c r="AB4195" s="14"/>
      <c r="AC4195" s="15">
        <v>113.65</v>
      </c>
      <c r="AD4195" s="15">
        <f>AC4195*AG4195</f>
        <v>113.65</v>
      </c>
      <c r="AE4195" s="15">
        <v>250</v>
      </c>
      <c r="AF4195" s="15">
        <f>AE4195*AG4195</f>
        <v>250</v>
      </c>
      <c r="AG4195" s="16">
        <v>1</v>
      </c>
    </row>
    <row r="4196" spans="1:33" ht="15" customHeight="1" x14ac:dyDescent="0.2">
      <c r="A4196" s="11" t="str">
        <f>HYPERLINK("https://assets.vans.eu/images/VN000D28B7G-HERO/1","VN000D28B7G1")</f>
        <v>VN000D28B7G1</v>
      </c>
      <c r="B4196" s="12" t="s">
        <v>14865</v>
      </c>
      <c r="C4196" s="12" t="s">
        <v>9609</v>
      </c>
      <c r="D4196" s="12" t="s">
        <v>9054</v>
      </c>
      <c r="E4196" s="12" t="s">
        <v>14866</v>
      </c>
      <c r="F4196" s="13">
        <v>100</v>
      </c>
      <c r="G4196" s="14"/>
      <c r="H4196" s="12" t="s">
        <v>38</v>
      </c>
      <c r="I4196" s="12" t="s">
        <v>159</v>
      </c>
      <c r="J4196" s="12" t="s">
        <v>255</v>
      </c>
      <c r="K4196" s="12" t="s">
        <v>82</v>
      </c>
      <c r="L4196" s="14"/>
      <c r="M4196" s="12" t="s">
        <v>43</v>
      </c>
      <c r="N4196" s="12" t="s">
        <v>161</v>
      </c>
      <c r="O4196" s="12" t="s">
        <v>14867</v>
      </c>
      <c r="P4196" s="12" t="s">
        <v>46</v>
      </c>
      <c r="Q4196" s="12" t="s">
        <v>2432</v>
      </c>
      <c r="R4196" s="12" t="s">
        <v>9612</v>
      </c>
      <c r="S4196" s="13">
        <v>197065693824</v>
      </c>
      <c r="T4196" s="12" t="s">
        <v>105</v>
      </c>
      <c r="U4196" s="13">
        <v>43</v>
      </c>
      <c r="V4196" s="12" t="s">
        <v>50</v>
      </c>
      <c r="W4196" s="12" t="s">
        <v>186</v>
      </c>
      <c r="X4196" s="14"/>
      <c r="Y4196" s="12" t="s">
        <v>91</v>
      </c>
      <c r="Z4196" s="12" t="s">
        <v>165</v>
      </c>
      <c r="AA4196" s="14"/>
      <c r="AB4196" s="14"/>
      <c r="AC4196" s="15">
        <v>113.65</v>
      </c>
      <c r="AD4196" s="15">
        <f>AC4196*AG4196</f>
        <v>113.65</v>
      </c>
      <c r="AE4196" s="15">
        <v>250</v>
      </c>
      <c r="AF4196" s="15">
        <f>AE4196*AG4196</f>
        <v>250</v>
      </c>
      <c r="AG4196" s="16">
        <v>1</v>
      </c>
    </row>
    <row r="4197" spans="1:33" ht="15" customHeight="1" x14ac:dyDescent="0.2">
      <c r="A4197" s="11" t="str">
        <f>HYPERLINK("https://assets.vans.eu/images/VN000D28EMF-HERO/1","VN000D28EMF1")</f>
        <v>VN000D28EMF1</v>
      </c>
      <c r="B4197" s="12" t="s">
        <v>14868</v>
      </c>
      <c r="C4197" s="12" t="s">
        <v>9609</v>
      </c>
      <c r="D4197" s="12" t="s">
        <v>1282</v>
      </c>
      <c r="E4197" s="12" t="s">
        <v>14869</v>
      </c>
      <c r="F4197" s="13">
        <v>35</v>
      </c>
      <c r="G4197" s="14"/>
      <c r="H4197" s="12" t="s">
        <v>38</v>
      </c>
      <c r="I4197" s="12" t="s">
        <v>159</v>
      </c>
      <c r="J4197" s="12" t="s">
        <v>255</v>
      </c>
      <c r="K4197" s="12" t="s">
        <v>82</v>
      </c>
      <c r="L4197" s="14"/>
      <c r="M4197" s="12" t="s">
        <v>43</v>
      </c>
      <c r="N4197" s="12" t="s">
        <v>84</v>
      </c>
      <c r="O4197" s="12" t="s">
        <v>14870</v>
      </c>
      <c r="P4197" s="12" t="s">
        <v>46</v>
      </c>
      <c r="Q4197" s="12" t="s">
        <v>2432</v>
      </c>
      <c r="R4197" s="12" t="s">
        <v>9612</v>
      </c>
      <c r="S4197" s="13">
        <v>197804524037</v>
      </c>
      <c r="T4197" s="12" t="s">
        <v>105</v>
      </c>
      <c r="U4197" s="13">
        <v>34.5</v>
      </c>
      <c r="V4197" s="12" t="s">
        <v>50</v>
      </c>
      <c r="W4197" s="12" t="s">
        <v>118</v>
      </c>
      <c r="X4197" s="14"/>
      <c r="Y4197" s="14"/>
      <c r="Z4197" s="14"/>
      <c r="AA4197" s="14"/>
      <c r="AB4197" s="14"/>
      <c r="AC4197" s="15">
        <v>113.65</v>
      </c>
      <c r="AD4197" s="15">
        <f>AC4197*AG4197</f>
        <v>113.65</v>
      </c>
      <c r="AE4197" s="15">
        <v>250</v>
      </c>
      <c r="AF4197" s="15">
        <f>AE4197*AG4197</f>
        <v>250</v>
      </c>
      <c r="AG4197" s="16">
        <v>1</v>
      </c>
    </row>
    <row r="4198" spans="1:33" ht="15" customHeight="1" x14ac:dyDescent="0.2">
      <c r="A4198" s="11" t="str">
        <f>HYPERLINK("https://assets.vans.eu/images/VN000D29EMV-HERO/1","VN000D29EMV1")</f>
        <v>VN000D29EMV1</v>
      </c>
      <c r="B4198" s="12" t="s">
        <v>14871</v>
      </c>
      <c r="C4198" s="12" t="s">
        <v>14872</v>
      </c>
      <c r="D4198" s="12" t="s">
        <v>1908</v>
      </c>
      <c r="E4198" s="12" t="s">
        <v>14873</v>
      </c>
      <c r="F4198" s="13">
        <v>40</v>
      </c>
      <c r="G4198" s="14"/>
      <c r="H4198" s="12" t="s">
        <v>38</v>
      </c>
      <c r="I4198" s="12" t="s">
        <v>159</v>
      </c>
      <c r="J4198" s="12" t="s">
        <v>255</v>
      </c>
      <c r="K4198" s="12" t="s">
        <v>82</v>
      </c>
      <c r="L4198" s="14"/>
      <c r="M4198" s="12" t="s">
        <v>43</v>
      </c>
      <c r="N4198" s="12" t="s">
        <v>84</v>
      </c>
      <c r="O4198" s="12" t="s">
        <v>14874</v>
      </c>
      <c r="P4198" s="12" t="s">
        <v>46</v>
      </c>
      <c r="Q4198" s="12" t="s">
        <v>2432</v>
      </c>
      <c r="R4198" s="12" t="s">
        <v>9612</v>
      </c>
      <c r="S4198" s="13">
        <v>197804524488</v>
      </c>
      <c r="T4198" s="12" t="s">
        <v>49</v>
      </c>
      <c r="U4198" s="13">
        <v>35</v>
      </c>
      <c r="V4198" s="12" t="s">
        <v>50</v>
      </c>
      <c r="W4198" s="12" t="s">
        <v>51</v>
      </c>
      <c r="X4198" s="14"/>
      <c r="Y4198" s="14"/>
      <c r="Z4198" s="14"/>
      <c r="AA4198" s="14"/>
      <c r="AB4198" s="14"/>
      <c r="AC4198" s="15">
        <v>77.3</v>
      </c>
      <c r="AD4198" s="15">
        <f>AC4198*AG4198</f>
        <v>77.3</v>
      </c>
      <c r="AE4198" s="15">
        <v>170</v>
      </c>
      <c r="AF4198" s="15">
        <f>AE4198*AG4198</f>
        <v>170</v>
      </c>
      <c r="AG4198" s="16">
        <v>1</v>
      </c>
    </row>
    <row r="4199" spans="1:33" ht="15" customHeight="1" x14ac:dyDescent="0.2">
      <c r="A4199" s="11" t="str">
        <f t="shared" ref="A4199:A4200" si="1346">HYPERLINK("https://assets.vans.eu/images/VN000D29EMW-HERO/1","VN000D29EMW1")</f>
        <v>VN000D29EMW1</v>
      </c>
      <c r="B4199" s="12" t="s">
        <v>14875</v>
      </c>
      <c r="C4199" s="12" t="s">
        <v>14872</v>
      </c>
      <c r="D4199" s="12" t="s">
        <v>147</v>
      </c>
      <c r="E4199" s="12" t="s">
        <v>14876</v>
      </c>
      <c r="F4199" s="13">
        <v>35</v>
      </c>
      <c r="G4199" s="12" t="s">
        <v>14877</v>
      </c>
      <c r="H4199" s="12" t="s">
        <v>38</v>
      </c>
      <c r="I4199" s="12" t="s">
        <v>113</v>
      </c>
      <c r="J4199" s="12" t="s">
        <v>529</v>
      </c>
      <c r="K4199" s="12" t="s">
        <v>82</v>
      </c>
      <c r="L4199" s="14"/>
      <c r="M4199" s="12" t="s">
        <v>43</v>
      </c>
      <c r="N4199" s="12" t="s">
        <v>84</v>
      </c>
      <c r="O4199" s="12" t="s">
        <v>14878</v>
      </c>
      <c r="P4199" s="12" t="s">
        <v>46</v>
      </c>
      <c r="Q4199" s="12" t="s">
        <v>2432</v>
      </c>
      <c r="R4199" s="12" t="s">
        <v>14879</v>
      </c>
      <c r="S4199" s="13">
        <v>197804524587</v>
      </c>
      <c r="T4199" s="12" t="s">
        <v>49</v>
      </c>
      <c r="U4199" s="13">
        <v>34.5</v>
      </c>
      <c r="V4199" s="12" t="s">
        <v>50</v>
      </c>
      <c r="W4199" s="12" t="s">
        <v>118</v>
      </c>
      <c r="X4199" s="14"/>
      <c r="Y4199" s="14"/>
      <c r="Z4199" s="14"/>
      <c r="AA4199" s="14"/>
      <c r="AB4199" s="14"/>
      <c r="AC4199" s="15">
        <v>77.3</v>
      </c>
      <c r="AD4199" s="15">
        <f>AC4199*AG4199</f>
        <v>77.3</v>
      </c>
      <c r="AE4199" s="15">
        <v>170</v>
      </c>
      <c r="AF4199" s="15">
        <f>AE4199*AG4199</f>
        <v>170</v>
      </c>
      <c r="AG4199" s="16">
        <v>1</v>
      </c>
    </row>
    <row r="4200" spans="1:33" ht="15" customHeight="1" x14ac:dyDescent="0.2">
      <c r="A4200" s="11" t="str">
        <f t="shared" si="1346"/>
        <v>VN000D29EMW1</v>
      </c>
      <c r="B4200" s="12" t="s">
        <v>14880</v>
      </c>
      <c r="C4200" s="12" t="s">
        <v>14872</v>
      </c>
      <c r="D4200" s="12" t="s">
        <v>147</v>
      </c>
      <c r="E4200" s="12" t="s">
        <v>14881</v>
      </c>
      <c r="F4200" s="13">
        <v>130</v>
      </c>
      <c r="G4200" s="12" t="s">
        <v>14877</v>
      </c>
      <c r="H4200" s="12" t="s">
        <v>38</v>
      </c>
      <c r="I4200" s="12" t="s">
        <v>113</v>
      </c>
      <c r="J4200" s="12" t="s">
        <v>529</v>
      </c>
      <c r="K4200" s="12" t="s">
        <v>82</v>
      </c>
      <c r="L4200" s="14"/>
      <c r="M4200" s="12" t="s">
        <v>43</v>
      </c>
      <c r="N4200" s="12" t="s">
        <v>84</v>
      </c>
      <c r="O4200" s="12" t="s">
        <v>14882</v>
      </c>
      <c r="P4200" s="12" t="s">
        <v>46</v>
      </c>
      <c r="Q4200" s="12" t="s">
        <v>2432</v>
      </c>
      <c r="R4200" s="12" t="s">
        <v>14879</v>
      </c>
      <c r="S4200" s="13">
        <v>197804527069</v>
      </c>
      <c r="T4200" s="12" t="s">
        <v>49</v>
      </c>
      <c r="U4200" s="13">
        <v>47</v>
      </c>
      <c r="V4200" s="12" t="s">
        <v>50</v>
      </c>
      <c r="W4200" s="12" t="s">
        <v>118</v>
      </c>
      <c r="X4200" s="14"/>
      <c r="Y4200" s="14"/>
      <c r="Z4200" s="14"/>
      <c r="AA4200" s="14"/>
      <c r="AB4200" s="14"/>
      <c r="AC4200" s="15">
        <v>77.3</v>
      </c>
      <c r="AD4200" s="15">
        <f>AC4200*AG4200</f>
        <v>77.3</v>
      </c>
      <c r="AE4200" s="15">
        <v>170</v>
      </c>
      <c r="AF4200" s="15">
        <f>AE4200*AG4200</f>
        <v>170</v>
      </c>
      <c r="AG4200" s="16">
        <v>1</v>
      </c>
    </row>
    <row r="4201" spans="1:33" ht="15" customHeight="1" x14ac:dyDescent="0.2">
      <c r="A4201" s="11" t="str">
        <f t="shared" ref="A4201:A4202" si="1347">HYPERLINK("https://assets.vans.eu/images/VN000D29F89-HERO/1","VN000D29F891")</f>
        <v>VN000D29F891</v>
      </c>
      <c r="B4201" s="12" t="s">
        <v>14883</v>
      </c>
      <c r="C4201" s="12" t="s">
        <v>14872</v>
      </c>
      <c r="D4201" s="12" t="s">
        <v>14884</v>
      </c>
      <c r="E4201" s="12" t="s">
        <v>14885</v>
      </c>
      <c r="F4201" s="13">
        <v>35</v>
      </c>
      <c r="G4201" s="14"/>
      <c r="H4201" s="12" t="s">
        <v>38</v>
      </c>
      <c r="I4201" s="12" t="s">
        <v>113</v>
      </c>
      <c r="J4201" s="12" t="s">
        <v>529</v>
      </c>
      <c r="K4201" s="12" t="s">
        <v>82</v>
      </c>
      <c r="L4201" s="14"/>
      <c r="M4201" s="12" t="s">
        <v>43</v>
      </c>
      <c r="N4201" s="12" t="s">
        <v>84</v>
      </c>
      <c r="O4201" s="12" t="s">
        <v>14886</v>
      </c>
      <c r="P4201" s="12" t="s">
        <v>46</v>
      </c>
      <c r="Q4201" s="12" t="s">
        <v>2432</v>
      </c>
      <c r="R4201" s="12" t="s">
        <v>14879</v>
      </c>
      <c r="S4201" s="13">
        <v>197804524440</v>
      </c>
      <c r="T4201" s="12" t="s">
        <v>49</v>
      </c>
      <c r="U4201" s="13">
        <v>34.5</v>
      </c>
      <c r="V4201" s="12" t="s">
        <v>50</v>
      </c>
      <c r="W4201" s="12" t="s">
        <v>186</v>
      </c>
      <c r="X4201" s="14"/>
      <c r="Y4201" s="14"/>
      <c r="Z4201" s="14"/>
      <c r="AA4201" s="14"/>
      <c r="AB4201" s="14"/>
      <c r="AC4201" s="15">
        <v>77.3</v>
      </c>
      <c r="AD4201" s="15">
        <f>AC4201*AG4201</f>
        <v>77.3</v>
      </c>
      <c r="AE4201" s="15">
        <v>170</v>
      </c>
      <c r="AF4201" s="15">
        <f>AE4201*AG4201</f>
        <v>170</v>
      </c>
      <c r="AG4201" s="16">
        <v>1</v>
      </c>
    </row>
    <row r="4202" spans="1:33" ht="15" customHeight="1" x14ac:dyDescent="0.2">
      <c r="A4202" s="11" t="str">
        <f t="shared" si="1347"/>
        <v>VN000D29F891</v>
      </c>
      <c r="B4202" s="12" t="s">
        <v>14887</v>
      </c>
      <c r="C4202" s="12" t="s">
        <v>14872</v>
      </c>
      <c r="D4202" s="12" t="s">
        <v>14884</v>
      </c>
      <c r="E4202" s="12" t="s">
        <v>14888</v>
      </c>
      <c r="F4202" s="13">
        <v>80</v>
      </c>
      <c r="G4202" s="14"/>
      <c r="H4202" s="12" t="s">
        <v>38</v>
      </c>
      <c r="I4202" s="12" t="s">
        <v>113</v>
      </c>
      <c r="J4202" s="12" t="s">
        <v>529</v>
      </c>
      <c r="K4202" s="12" t="s">
        <v>82</v>
      </c>
      <c r="L4202" s="14"/>
      <c r="M4202" s="12" t="s">
        <v>43</v>
      </c>
      <c r="N4202" s="12" t="s">
        <v>84</v>
      </c>
      <c r="O4202" s="12" t="s">
        <v>14889</v>
      </c>
      <c r="P4202" s="12" t="s">
        <v>46</v>
      </c>
      <c r="Q4202" s="12" t="s">
        <v>2432</v>
      </c>
      <c r="R4202" s="12" t="s">
        <v>14879</v>
      </c>
      <c r="S4202" s="13">
        <v>197804525805</v>
      </c>
      <c r="T4202" s="12" t="s">
        <v>49</v>
      </c>
      <c r="U4202" s="13">
        <v>40.5</v>
      </c>
      <c r="V4202" s="12" t="s">
        <v>50</v>
      </c>
      <c r="W4202" s="12" t="s">
        <v>186</v>
      </c>
      <c r="X4202" s="14"/>
      <c r="Y4202" s="14"/>
      <c r="Z4202" s="14"/>
      <c r="AA4202" s="14"/>
      <c r="AB4202" s="14"/>
      <c r="AC4202" s="15">
        <v>77.3</v>
      </c>
      <c r="AD4202" s="15">
        <f>AC4202*AG4202</f>
        <v>77.3</v>
      </c>
      <c r="AE4202" s="15">
        <v>170</v>
      </c>
      <c r="AF4202" s="15">
        <f>AE4202*AG4202</f>
        <v>170</v>
      </c>
      <c r="AG4202" s="16">
        <v>1</v>
      </c>
    </row>
    <row r="4203" spans="1:33" ht="15" customHeight="1" x14ac:dyDescent="0.2">
      <c r="A4203" s="11" t="str">
        <f t="shared" ref="A4203:A4205" si="1348">HYPERLINK("https://assets.vans.eu/images/VN000D29Y2B-HERO/1","VN000D29Y2B1")</f>
        <v>VN000D29Y2B1</v>
      </c>
      <c r="B4203" s="12" t="s">
        <v>14890</v>
      </c>
      <c r="C4203" s="12" t="s">
        <v>14872</v>
      </c>
      <c r="D4203" s="12" t="s">
        <v>14891</v>
      </c>
      <c r="E4203" s="12" t="s">
        <v>14892</v>
      </c>
      <c r="F4203" s="13">
        <v>50</v>
      </c>
      <c r="G4203" s="14"/>
      <c r="H4203" s="12" t="s">
        <v>38</v>
      </c>
      <c r="I4203" s="12" t="s">
        <v>113</v>
      </c>
      <c r="J4203" s="12" t="s">
        <v>529</v>
      </c>
      <c r="K4203" s="12" t="s">
        <v>82</v>
      </c>
      <c r="L4203" s="14"/>
      <c r="M4203" s="12" t="s">
        <v>43</v>
      </c>
      <c r="N4203" s="12" t="s">
        <v>161</v>
      </c>
      <c r="O4203" s="12" t="s">
        <v>14893</v>
      </c>
      <c r="P4203" s="12" t="s">
        <v>46</v>
      </c>
      <c r="Q4203" s="12" t="s">
        <v>2432</v>
      </c>
      <c r="R4203" s="12" t="s">
        <v>14879</v>
      </c>
      <c r="S4203" s="13">
        <v>197065693008</v>
      </c>
      <c r="T4203" s="12" t="s">
        <v>49</v>
      </c>
      <c r="U4203" s="13">
        <v>36.5</v>
      </c>
      <c r="V4203" s="12" t="s">
        <v>209</v>
      </c>
      <c r="W4203" s="12" t="s">
        <v>580</v>
      </c>
      <c r="X4203" s="14"/>
      <c r="Y4203" s="12" t="s">
        <v>91</v>
      </c>
      <c r="Z4203" s="12" t="s">
        <v>165</v>
      </c>
      <c r="AA4203" s="14"/>
      <c r="AB4203" s="14"/>
      <c r="AC4203" s="15">
        <v>77.3</v>
      </c>
      <c r="AD4203" s="15">
        <f>AC4203*AG4203</f>
        <v>77.3</v>
      </c>
      <c r="AE4203" s="15">
        <v>170</v>
      </c>
      <c r="AF4203" s="15">
        <f>AE4203*AG4203</f>
        <v>170</v>
      </c>
      <c r="AG4203" s="16">
        <v>1</v>
      </c>
    </row>
    <row r="4204" spans="1:33" ht="15" customHeight="1" x14ac:dyDescent="0.2">
      <c r="A4204" s="11" t="str">
        <f t="shared" si="1348"/>
        <v>VN000D29Y2B1</v>
      </c>
      <c r="B4204" s="12" t="s">
        <v>14894</v>
      </c>
      <c r="C4204" s="12" t="s">
        <v>14872</v>
      </c>
      <c r="D4204" s="12" t="s">
        <v>14891</v>
      </c>
      <c r="E4204" s="12" t="s">
        <v>14895</v>
      </c>
      <c r="F4204" s="13">
        <v>55</v>
      </c>
      <c r="G4204" s="14"/>
      <c r="H4204" s="12" t="s">
        <v>38</v>
      </c>
      <c r="I4204" s="12" t="s">
        <v>113</v>
      </c>
      <c r="J4204" s="12" t="s">
        <v>529</v>
      </c>
      <c r="K4204" s="12" t="s">
        <v>82</v>
      </c>
      <c r="L4204" s="14"/>
      <c r="M4204" s="12" t="s">
        <v>43</v>
      </c>
      <c r="N4204" s="12" t="s">
        <v>161</v>
      </c>
      <c r="O4204" s="12" t="s">
        <v>14896</v>
      </c>
      <c r="P4204" s="12" t="s">
        <v>46</v>
      </c>
      <c r="Q4204" s="12" t="s">
        <v>2432</v>
      </c>
      <c r="R4204" s="12" t="s">
        <v>14879</v>
      </c>
      <c r="S4204" s="13">
        <v>197065693114</v>
      </c>
      <c r="T4204" s="12" t="s">
        <v>49</v>
      </c>
      <c r="U4204" s="13">
        <v>37</v>
      </c>
      <c r="V4204" s="12" t="s">
        <v>209</v>
      </c>
      <c r="W4204" s="12" t="s">
        <v>580</v>
      </c>
      <c r="X4204" s="14"/>
      <c r="Y4204" s="12" t="s">
        <v>91</v>
      </c>
      <c r="Z4204" s="12" t="s">
        <v>165</v>
      </c>
      <c r="AA4204" s="14"/>
      <c r="AB4204" s="14"/>
      <c r="AC4204" s="15">
        <v>77.3</v>
      </c>
      <c r="AD4204" s="15">
        <f>AC4204*AG4204</f>
        <v>77.3</v>
      </c>
      <c r="AE4204" s="15">
        <v>170</v>
      </c>
      <c r="AF4204" s="15">
        <f>AE4204*AG4204</f>
        <v>170</v>
      </c>
      <c r="AG4204" s="16">
        <v>1</v>
      </c>
    </row>
    <row r="4205" spans="1:33" ht="15" customHeight="1" x14ac:dyDescent="0.2">
      <c r="A4205" s="11" t="str">
        <f t="shared" si="1348"/>
        <v>VN000D29Y2B1</v>
      </c>
      <c r="B4205" s="12" t="s">
        <v>14897</v>
      </c>
      <c r="C4205" s="12" t="s">
        <v>14872</v>
      </c>
      <c r="D4205" s="12" t="s">
        <v>14891</v>
      </c>
      <c r="E4205" s="12" t="s">
        <v>14898</v>
      </c>
      <c r="F4205" s="13">
        <v>60</v>
      </c>
      <c r="G4205" s="14"/>
      <c r="H4205" s="12" t="s">
        <v>38</v>
      </c>
      <c r="I4205" s="12" t="s">
        <v>113</v>
      </c>
      <c r="J4205" s="12" t="s">
        <v>529</v>
      </c>
      <c r="K4205" s="12" t="s">
        <v>82</v>
      </c>
      <c r="L4205" s="14"/>
      <c r="M4205" s="12" t="s">
        <v>43</v>
      </c>
      <c r="N4205" s="12" t="s">
        <v>161</v>
      </c>
      <c r="O4205" s="12" t="s">
        <v>14899</v>
      </c>
      <c r="P4205" s="12" t="s">
        <v>46</v>
      </c>
      <c r="Q4205" s="12" t="s">
        <v>2432</v>
      </c>
      <c r="R4205" s="12" t="s">
        <v>14879</v>
      </c>
      <c r="S4205" s="13">
        <v>197065693305</v>
      </c>
      <c r="T4205" s="12" t="s">
        <v>49</v>
      </c>
      <c r="U4205" s="13">
        <v>38</v>
      </c>
      <c r="V4205" s="12" t="s">
        <v>209</v>
      </c>
      <c r="W4205" s="12" t="s">
        <v>580</v>
      </c>
      <c r="X4205" s="14"/>
      <c r="Y4205" s="12" t="s">
        <v>91</v>
      </c>
      <c r="Z4205" s="12" t="s">
        <v>165</v>
      </c>
      <c r="AA4205" s="14"/>
      <c r="AB4205" s="14"/>
      <c r="AC4205" s="15">
        <v>77.3</v>
      </c>
      <c r="AD4205" s="15">
        <f>AC4205*AG4205</f>
        <v>77.3</v>
      </c>
      <c r="AE4205" s="15">
        <v>170</v>
      </c>
      <c r="AF4205" s="15">
        <f>AE4205*AG4205</f>
        <v>170</v>
      </c>
      <c r="AG4205" s="16">
        <v>1</v>
      </c>
    </row>
    <row r="4206" spans="1:33" ht="15" customHeight="1" x14ac:dyDescent="0.2">
      <c r="A4206" s="11" t="str">
        <f>HYPERLINK("https://assets.vans.eu/images/VN000D2A2LH-HERO/1","VN000D2A2LH1")</f>
        <v>VN000D2A2LH1</v>
      </c>
      <c r="B4206" s="12" t="s">
        <v>14900</v>
      </c>
      <c r="C4206" s="12" t="s">
        <v>14901</v>
      </c>
      <c r="D4206" s="12" t="s">
        <v>14902</v>
      </c>
      <c r="E4206" s="12" t="s">
        <v>14903</v>
      </c>
      <c r="F4206" s="13">
        <v>130</v>
      </c>
      <c r="G4206" s="14"/>
      <c r="H4206" s="12" t="s">
        <v>38</v>
      </c>
      <c r="I4206" s="12" t="s">
        <v>159</v>
      </c>
      <c r="J4206" s="12" t="s">
        <v>255</v>
      </c>
      <c r="K4206" s="12" t="s">
        <v>82</v>
      </c>
      <c r="L4206" s="14"/>
      <c r="M4206" s="12" t="s">
        <v>43</v>
      </c>
      <c r="N4206" s="12" t="s">
        <v>84</v>
      </c>
      <c r="O4206" s="12" t="s">
        <v>14904</v>
      </c>
      <c r="P4206" s="12" t="s">
        <v>46</v>
      </c>
      <c r="Q4206" s="12" t="s">
        <v>276</v>
      </c>
      <c r="R4206" s="12" t="s">
        <v>277</v>
      </c>
      <c r="S4206" s="13">
        <v>197804525935</v>
      </c>
      <c r="T4206" s="12" t="s">
        <v>49</v>
      </c>
      <c r="U4206" s="13">
        <v>47</v>
      </c>
      <c r="V4206" s="12" t="s">
        <v>209</v>
      </c>
      <c r="W4206" s="12" t="s">
        <v>625</v>
      </c>
      <c r="X4206" s="14"/>
      <c r="Y4206" s="14"/>
      <c r="Z4206" s="14"/>
      <c r="AA4206" s="14"/>
      <c r="AB4206" s="14"/>
      <c r="AC4206" s="15">
        <v>36.4</v>
      </c>
      <c r="AD4206" s="15">
        <f>AC4206*AG4206</f>
        <v>36.4</v>
      </c>
      <c r="AE4206" s="15">
        <v>80</v>
      </c>
      <c r="AF4206" s="15">
        <f>AE4206*AG4206</f>
        <v>80</v>
      </c>
      <c r="AG4206" s="16">
        <v>1</v>
      </c>
    </row>
    <row r="4207" spans="1:33" ht="15" customHeight="1" x14ac:dyDescent="0.2">
      <c r="A4207" s="11" t="str">
        <f t="shared" ref="A4207:A4210" si="1349">HYPERLINK("https://assets.vans.eu/images/VN000D2CBA2-HERO/1","VN000D2CBA21")</f>
        <v>VN000D2CBA21</v>
      </c>
      <c r="B4207" s="12" t="s">
        <v>14905</v>
      </c>
      <c r="C4207" s="12" t="s">
        <v>14906</v>
      </c>
      <c r="D4207" s="12" t="s">
        <v>1844</v>
      </c>
      <c r="E4207" s="12" t="s">
        <v>14907</v>
      </c>
      <c r="F4207" s="13">
        <v>85</v>
      </c>
      <c r="G4207" s="14"/>
      <c r="H4207" s="12" t="s">
        <v>38</v>
      </c>
      <c r="I4207" s="12" t="s">
        <v>159</v>
      </c>
      <c r="J4207" s="12" t="s">
        <v>255</v>
      </c>
      <c r="K4207" s="12" t="s">
        <v>82</v>
      </c>
      <c r="L4207" s="14"/>
      <c r="M4207" s="12" t="s">
        <v>43</v>
      </c>
      <c r="N4207" s="12" t="s">
        <v>84</v>
      </c>
      <c r="O4207" s="12" t="s">
        <v>14908</v>
      </c>
      <c r="P4207" s="12" t="s">
        <v>46</v>
      </c>
      <c r="Q4207" s="12" t="s">
        <v>2432</v>
      </c>
      <c r="R4207" s="12" t="s">
        <v>9612</v>
      </c>
      <c r="S4207" s="13">
        <v>197065694760</v>
      </c>
      <c r="T4207" s="12" t="s">
        <v>49</v>
      </c>
      <c r="U4207" s="13">
        <v>41</v>
      </c>
      <c r="V4207" s="12" t="s">
        <v>50</v>
      </c>
      <c r="W4207" s="12" t="s">
        <v>51</v>
      </c>
      <c r="X4207" s="14"/>
      <c r="Y4207" s="12" t="s">
        <v>91</v>
      </c>
      <c r="Z4207" s="12" t="s">
        <v>165</v>
      </c>
      <c r="AA4207" s="14"/>
      <c r="AB4207" s="14"/>
      <c r="AC4207" s="15">
        <v>77.3</v>
      </c>
      <c r="AD4207" s="15">
        <f>AC4207*AG4207</f>
        <v>77.3</v>
      </c>
      <c r="AE4207" s="15">
        <v>170</v>
      </c>
      <c r="AF4207" s="15">
        <f>AE4207*AG4207</f>
        <v>170</v>
      </c>
      <c r="AG4207" s="16">
        <v>1</v>
      </c>
    </row>
    <row r="4208" spans="1:33" ht="15" customHeight="1" x14ac:dyDescent="0.2">
      <c r="A4208" s="11" t="str">
        <f t="shared" si="1349"/>
        <v>VN000D2CBA21</v>
      </c>
      <c r="B4208" s="12" t="s">
        <v>14909</v>
      </c>
      <c r="C4208" s="12" t="s">
        <v>14906</v>
      </c>
      <c r="D4208" s="12" t="s">
        <v>1844</v>
      </c>
      <c r="E4208" s="12" t="s">
        <v>14910</v>
      </c>
      <c r="F4208" s="13">
        <v>100</v>
      </c>
      <c r="G4208" s="14"/>
      <c r="H4208" s="12" t="s">
        <v>38</v>
      </c>
      <c r="I4208" s="12" t="s">
        <v>159</v>
      </c>
      <c r="J4208" s="12" t="s">
        <v>255</v>
      </c>
      <c r="K4208" s="12" t="s">
        <v>82</v>
      </c>
      <c r="L4208" s="14"/>
      <c r="M4208" s="12" t="s">
        <v>43</v>
      </c>
      <c r="N4208" s="12" t="s">
        <v>84</v>
      </c>
      <c r="O4208" s="12" t="s">
        <v>14911</v>
      </c>
      <c r="P4208" s="12" t="s">
        <v>46</v>
      </c>
      <c r="Q4208" s="12" t="s">
        <v>2432</v>
      </c>
      <c r="R4208" s="12" t="s">
        <v>9612</v>
      </c>
      <c r="S4208" s="13">
        <v>197065694951</v>
      </c>
      <c r="T4208" s="12" t="s">
        <v>49</v>
      </c>
      <c r="U4208" s="13">
        <v>43</v>
      </c>
      <c r="V4208" s="12" t="s">
        <v>50</v>
      </c>
      <c r="W4208" s="12" t="s">
        <v>51</v>
      </c>
      <c r="X4208" s="14"/>
      <c r="Y4208" s="12" t="s">
        <v>91</v>
      </c>
      <c r="Z4208" s="12" t="s">
        <v>165</v>
      </c>
      <c r="AA4208" s="14"/>
      <c r="AB4208" s="14"/>
      <c r="AC4208" s="15">
        <v>77.3</v>
      </c>
      <c r="AD4208" s="15">
        <f>AC4208*AG4208</f>
        <v>77.3</v>
      </c>
      <c r="AE4208" s="15">
        <v>170</v>
      </c>
      <c r="AF4208" s="15">
        <f>AE4208*AG4208</f>
        <v>170</v>
      </c>
      <c r="AG4208" s="16">
        <v>1</v>
      </c>
    </row>
    <row r="4209" spans="1:33" ht="15" customHeight="1" x14ac:dyDescent="0.2">
      <c r="A4209" s="11" t="str">
        <f t="shared" si="1349"/>
        <v>VN000D2CBA21</v>
      </c>
      <c r="B4209" s="12" t="s">
        <v>14912</v>
      </c>
      <c r="C4209" s="12" t="s">
        <v>14906</v>
      </c>
      <c r="D4209" s="12" t="s">
        <v>1844</v>
      </c>
      <c r="E4209" s="12" t="s">
        <v>14913</v>
      </c>
      <c r="F4209" s="13">
        <v>105</v>
      </c>
      <c r="G4209" s="14"/>
      <c r="H4209" s="12" t="s">
        <v>38</v>
      </c>
      <c r="I4209" s="12" t="s">
        <v>159</v>
      </c>
      <c r="J4209" s="12" t="s">
        <v>255</v>
      </c>
      <c r="K4209" s="12" t="s">
        <v>82</v>
      </c>
      <c r="L4209" s="14"/>
      <c r="M4209" s="12" t="s">
        <v>43</v>
      </c>
      <c r="N4209" s="12" t="s">
        <v>84</v>
      </c>
      <c r="O4209" s="12" t="s">
        <v>14914</v>
      </c>
      <c r="P4209" s="12" t="s">
        <v>46</v>
      </c>
      <c r="Q4209" s="12" t="s">
        <v>2432</v>
      </c>
      <c r="R4209" s="12" t="s">
        <v>9612</v>
      </c>
      <c r="S4209" s="13">
        <v>197065695118</v>
      </c>
      <c r="T4209" s="12" t="s">
        <v>49</v>
      </c>
      <c r="U4209" s="13">
        <v>44</v>
      </c>
      <c r="V4209" s="12" t="s">
        <v>50</v>
      </c>
      <c r="W4209" s="12" t="s">
        <v>51</v>
      </c>
      <c r="X4209" s="14"/>
      <c r="Y4209" s="12" t="s">
        <v>91</v>
      </c>
      <c r="Z4209" s="12" t="s">
        <v>165</v>
      </c>
      <c r="AA4209" s="14"/>
      <c r="AB4209" s="14"/>
      <c r="AC4209" s="15">
        <v>77.3</v>
      </c>
      <c r="AD4209" s="15">
        <f>AC4209*AG4209</f>
        <v>77.3</v>
      </c>
      <c r="AE4209" s="15">
        <v>170</v>
      </c>
      <c r="AF4209" s="15">
        <f>AE4209*AG4209</f>
        <v>170</v>
      </c>
      <c r="AG4209" s="16">
        <v>1</v>
      </c>
    </row>
    <row r="4210" spans="1:33" ht="15" customHeight="1" x14ac:dyDescent="0.2">
      <c r="A4210" s="11" t="str">
        <f t="shared" si="1349"/>
        <v>VN000D2CBA21</v>
      </c>
      <c r="B4210" s="12" t="s">
        <v>14915</v>
      </c>
      <c r="C4210" s="12" t="s">
        <v>14906</v>
      </c>
      <c r="D4210" s="12" t="s">
        <v>1844</v>
      </c>
      <c r="E4210" s="12" t="s">
        <v>14916</v>
      </c>
      <c r="F4210" s="13">
        <v>115</v>
      </c>
      <c r="G4210" s="14"/>
      <c r="H4210" s="12" t="s">
        <v>38</v>
      </c>
      <c r="I4210" s="12" t="s">
        <v>159</v>
      </c>
      <c r="J4210" s="12" t="s">
        <v>255</v>
      </c>
      <c r="K4210" s="12" t="s">
        <v>82</v>
      </c>
      <c r="L4210" s="14"/>
      <c r="M4210" s="12" t="s">
        <v>43</v>
      </c>
      <c r="N4210" s="12" t="s">
        <v>84</v>
      </c>
      <c r="O4210" s="12" t="s">
        <v>14917</v>
      </c>
      <c r="P4210" s="12" t="s">
        <v>46</v>
      </c>
      <c r="Q4210" s="12" t="s">
        <v>2432</v>
      </c>
      <c r="R4210" s="12" t="s">
        <v>9612</v>
      </c>
      <c r="S4210" s="13">
        <v>197065695248</v>
      </c>
      <c r="T4210" s="12" t="s">
        <v>49</v>
      </c>
      <c r="U4210" s="13">
        <v>45</v>
      </c>
      <c r="V4210" s="12" t="s">
        <v>50</v>
      </c>
      <c r="W4210" s="12" t="s">
        <v>51</v>
      </c>
      <c r="X4210" s="14"/>
      <c r="Y4210" s="12" t="s">
        <v>91</v>
      </c>
      <c r="Z4210" s="12" t="s">
        <v>165</v>
      </c>
      <c r="AA4210" s="14"/>
      <c r="AB4210" s="14"/>
      <c r="AC4210" s="15">
        <v>77.3</v>
      </c>
      <c r="AD4210" s="15">
        <f>AC4210*AG4210</f>
        <v>77.3</v>
      </c>
      <c r="AE4210" s="15">
        <v>170</v>
      </c>
      <c r="AF4210" s="15">
        <f>AE4210*AG4210</f>
        <v>170</v>
      </c>
      <c r="AG4210" s="16">
        <v>1</v>
      </c>
    </row>
    <row r="4211" spans="1:33" ht="15" customHeight="1" x14ac:dyDescent="0.2">
      <c r="A4211" s="11" t="str">
        <f t="shared" ref="A4211:A4212" si="1350">HYPERLINK("https://assets.vans.eu/images/VN000D2CEMS-HERO/1","VN000D2CEMS1")</f>
        <v>VN000D2CEMS1</v>
      </c>
      <c r="B4211" s="12" t="s">
        <v>14918</v>
      </c>
      <c r="C4211" s="12" t="s">
        <v>14906</v>
      </c>
      <c r="D4211" s="12" t="s">
        <v>863</v>
      </c>
      <c r="E4211" s="12" t="s">
        <v>14919</v>
      </c>
      <c r="F4211" s="13">
        <v>65</v>
      </c>
      <c r="G4211" s="14"/>
      <c r="H4211" s="12" t="s">
        <v>38</v>
      </c>
      <c r="I4211" s="12" t="s">
        <v>113</v>
      </c>
      <c r="J4211" s="12" t="s">
        <v>529</v>
      </c>
      <c r="K4211" s="12" t="s">
        <v>82</v>
      </c>
      <c r="L4211" s="14"/>
      <c r="M4211" s="12" t="s">
        <v>43</v>
      </c>
      <c r="N4211" s="12" t="s">
        <v>84</v>
      </c>
      <c r="O4211" s="12" t="s">
        <v>14920</v>
      </c>
      <c r="P4211" s="12" t="s">
        <v>46</v>
      </c>
      <c r="Q4211" s="12" t="s">
        <v>2432</v>
      </c>
      <c r="R4211" s="12" t="s">
        <v>14879</v>
      </c>
      <c r="S4211" s="13">
        <v>197804525812</v>
      </c>
      <c r="T4211" s="12" t="s">
        <v>49</v>
      </c>
      <c r="U4211" s="13">
        <v>38.5</v>
      </c>
      <c r="V4211" s="12" t="s">
        <v>50</v>
      </c>
      <c r="W4211" s="12" t="s">
        <v>107</v>
      </c>
      <c r="X4211" s="14"/>
      <c r="Y4211" s="14"/>
      <c r="Z4211" s="14"/>
      <c r="AA4211" s="14"/>
      <c r="AB4211" s="14"/>
      <c r="AC4211" s="15">
        <v>77.3</v>
      </c>
      <c r="AD4211" s="15">
        <f>AC4211*AG4211</f>
        <v>77.3</v>
      </c>
      <c r="AE4211" s="15">
        <v>170</v>
      </c>
      <c r="AF4211" s="15">
        <f>AE4211*AG4211</f>
        <v>170</v>
      </c>
      <c r="AG4211" s="16">
        <v>1</v>
      </c>
    </row>
    <row r="4212" spans="1:33" ht="15" customHeight="1" x14ac:dyDescent="0.2">
      <c r="A4212" s="11" t="str">
        <f t="shared" si="1350"/>
        <v>VN000D2CEMS1</v>
      </c>
      <c r="B4212" s="12" t="s">
        <v>14921</v>
      </c>
      <c r="C4212" s="12" t="s">
        <v>14906</v>
      </c>
      <c r="D4212" s="12" t="s">
        <v>863</v>
      </c>
      <c r="E4212" s="12" t="s">
        <v>14922</v>
      </c>
      <c r="F4212" s="13">
        <v>75</v>
      </c>
      <c r="G4212" s="14"/>
      <c r="H4212" s="12" t="s">
        <v>38</v>
      </c>
      <c r="I4212" s="12" t="s">
        <v>113</v>
      </c>
      <c r="J4212" s="12" t="s">
        <v>529</v>
      </c>
      <c r="K4212" s="12" t="s">
        <v>82</v>
      </c>
      <c r="L4212" s="14"/>
      <c r="M4212" s="12" t="s">
        <v>43</v>
      </c>
      <c r="N4212" s="12" t="s">
        <v>84</v>
      </c>
      <c r="O4212" s="12" t="s">
        <v>14923</v>
      </c>
      <c r="P4212" s="12" t="s">
        <v>46</v>
      </c>
      <c r="Q4212" s="12" t="s">
        <v>2432</v>
      </c>
      <c r="R4212" s="12" t="s">
        <v>14879</v>
      </c>
      <c r="S4212" s="13">
        <v>197804526116</v>
      </c>
      <c r="T4212" s="12" t="s">
        <v>49</v>
      </c>
      <c r="U4212" s="13">
        <v>40</v>
      </c>
      <c r="V4212" s="12" t="s">
        <v>50</v>
      </c>
      <c r="W4212" s="12" t="s">
        <v>107</v>
      </c>
      <c r="X4212" s="14"/>
      <c r="Y4212" s="14"/>
      <c r="Z4212" s="14"/>
      <c r="AA4212" s="14"/>
      <c r="AB4212" s="14"/>
      <c r="AC4212" s="15">
        <v>77.3</v>
      </c>
      <c r="AD4212" s="15">
        <f>AC4212*AG4212</f>
        <v>77.3</v>
      </c>
      <c r="AE4212" s="15">
        <v>170</v>
      </c>
      <c r="AF4212" s="15">
        <f>AE4212*AG4212</f>
        <v>170</v>
      </c>
      <c r="AG4212" s="16">
        <v>1</v>
      </c>
    </row>
    <row r="4213" spans="1:33" ht="15" customHeight="1" x14ac:dyDescent="0.2">
      <c r="A4213" s="11" t="str">
        <f>HYPERLINK("https://assets.vans.eu/images/VN000D2DBA2-HERO/1","VN000D2DBA21")</f>
        <v>VN000D2DBA21</v>
      </c>
      <c r="B4213" s="12" t="s">
        <v>14924</v>
      </c>
      <c r="C4213" s="12" t="s">
        <v>9614</v>
      </c>
      <c r="D4213" s="12" t="s">
        <v>1844</v>
      </c>
      <c r="E4213" s="12" t="s">
        <v>14925</v>
      </c>
      <c r="F4213" s="13">
        <v>35</v>
      </c>
      <c r="G4213" s="14"/>
      <c r="H4213" s="12" t="s">
        <v>38</v>
      </c>
      <c r="I4213" s="12" t="s">
        <v>159</v>
      </c>
      <c r="J4213" s="12" t="s">
        <v>255</v>
      </c>
      <c r="K4213" s="12" t="s">
        <v>82</v>
      </c>
      <c r="L4213" s="14"/>
      <c r="M4213" s="12" t="s">
        <v>43</v>
      </c>
      <c r="N4213" s="12" t="s">
        <v>84</v>
      </c>
      <c r="O4213" s="12" t="s">
        <v>14926</v>
      </c>
      <c r="P4213" s="12" t="s">
        <v>46</v>
      </c>
      <c r="Q4213" s="12" t="s">
        <v>2432</v>
      </c>
      <c r="R4213" s="12" t="s">
        <v>9612</v>
      </c>
      <c r="S4213" s="13">
        <v>197065694807</v>
      </c>
      <c r="T4213" s="12" t="s">
        <v>49</v>
      </c>
      <c r="U4213" s="13">
        <v>34.5</v>
      </c>
      <c r="V4213" s="12" t="s">
        <v>50</v>
      </c>
      <c r="W4213" s="12" t="s">
        <v>51</v>
      </c>
      <c r="X4213" s="14"/>
      <c r="Y4213" s="12" t="s">
        <v>91</v>
      </c>
      <c r="Z4213" s="12" t="s">
        <v>165</v>
      </c>
      <c r="AA4213" s="14"/>
      <c r="AB4213" s="14"/>
      <c r="AC4213" s="15">
        <v>81.849999999999994</v>
      </c>
      <c r="AD4213" s="15">
        <f>AC4213*AG4213</f>
        <v>81.849999999999994</v>
      </c>
      <c r="AE4213" s="15">
        <v>180</v>
      </c>
      <c r="AF4213" s="15">
        <f>AE4213*AG4213</f>
        <v>180</v>
      </c>
      <c r="AG4213" s="16">
        <v>1</v>
      </c>
    </row>
    <row r="4214" spans="1:33" ht="15" customHeight="1" x14ac:dyDescent="0.2">
      <c r="A4214" s="11" t="str">
        <f>HYPERLINK("https://assets.vans.eu/images/VN000D2TY31-HERO/1","VN000D2TY311")</f>
        <v>VN000D2TY311</v>
      </c>
      <c r="B4214" s="12" t="s">
        <v>14927</v>
      </c>
      <c r="C4214" s="12" t="s">
        <v>110</v>
      </c>
      <c r="D4214" s="12" t="s">
        <v>14928</v>
      </c>
      <c r="E4214" s="12" t="s">
        <v>14929</v>
      </c>
      <c r="F4214" s="13">
        <v>50</v>
      </c>
      <c r="G4214" s="12" t="s">
        <v>14930</v>
      </c>
      <c r="H4214" s="12" t="s">
        <v>38</v>
      </c>
      <c r="I4214" s="12" t="s">
        <v>205</v>
      </c>
      <c r="J4214" s="12" t="s">
        <v>206</v>
      </c>
      <c r="K4214" s="12" t="s">
        <v>207</v>
      </c>
      <c r="L4214" s="14"/>
      <c r="M4214" s="12" t="s">
        <v>43</v>
      </c>
      <c r="N4214" s="12" t="s">
        <v>44</v>
      </c>
      <c r="O4214" s="12" t="s">
        <v>14931</v>
      </c>
      <c r="P4214" s="12" t="s">
        <v>46</v>
      </c>
      <c r="Q4214" s="12" t="s">
        <v>47</v>
      </c>
      <c r="R4214" s="12" t="s">
        <v>48</v>
      </c>
      <c r="S4214" s="13">
        <v>197643185734</v>
      </c>
      <c r="T4214" s="12" t="s">
        <v>105</v>
      </c>
      <c r="U4214" s="13">
        <v>36.5</v>
      </c>
      <c r="V4214" s="12" t="s">
        <v>50</v>
      </c>
      <c r="W4214" s="12" t="s">
        <v>455</v>
      </c>
      <c r="X4214" s="14"/>
      <c r="Y4214" s="12" t="s">
        <v>91</v>
      </c>
      <c r="Z4214" s="12" t="s">
        <v>165</v>
      </c>
      <c r="AA4214" s="14"/>
      <c r="AB4214" s="14"/>
      <c r="AC4214" s="15">
        <v>34.1</v>
      </c>
      <c r="AD4214" s="15">
        <f>AC4214*AG4214</f>
        <v>34.1</v>
      </c>
      <c r="AE4214" s="15">
        <v>75</v>
      </c>
      <c r="AF4214" s="15">
        <f>AE4214*AG4214</f>
        <v>75</v>
      </c>
      <c r="AG4214" s="16">
        <v>1</v>
      </c>
    </row>
    <row r="4215" spans="1:33" ht="15" customHeight="1" x14ac:dyDescent="0.2">
      <c r="A4215" s="11" t="str">
        <f>HYPERLINK("https://assets.vans.eu/images/VN000D2UBIY-HERO/1","VN000D2UBIY1")</f>
        <v>VN000D2UBIY1</v>
      </c>
      <c r="B4215" s="12" t="s">
        <v>14932</v>
      </c>
      <c r="C4215" s="12" t="s">
        <v>1108</v>
      </c>
      <c r="D4215" s="12" t="s">
        <v>2010</v>
      </c>
      <c r="E4215" s="12" t="s">
        <v>14933</v>
      </c>
      <c r="F4215" s="13">
        <v>45</v>
      </c>
      <c r="G4215" s="14"/>
      <c r="H4215" s="12" t="s">
        <v>38</v>
      </c>
      <c r="I4215" s="12" t="s">
        <v>205</v>
      </c>
      <c r="J4215" s="12" t="s">
        <v>206</v>
      </c>
      <c r="K4215" s="12" t="s">
        <v>207</v>
      </c>
      <c r="L4215" s="14"/>
      <c r="M4215" s="12" t="s">
        <v>43</v>
      </c>
      <c r="N4215" s="12" t="s">
        <v>161</v>
      </c>
      <c r="O4215" s="12" t="s">
        <v>14934</v>
      </c>
      <c r="P4215" s="12" t="s">
        <v>46</v>
      </c>
      <c r="Q4215" s="12" t="s">
        <v>47</v>
      </c>
      <c r="R4215" s="12" t="s">
        <v>313</v>
      </c>
      <c r="S4215" s="13">
        <v>197065818005</v>
      </c>
      <c r="T4215" s="12" t="s">
        <v>105</v>
      </c>
      <c r="U4215" s="13">
        <v>36</v>
      </c>
      <c r="V4215" s="12" t="s">
        <v>50</v>
      </c>
      <c r="W4215" s="12" t="s">
        <v>299</v>
      </c>
      <c r="X4215" s="14"/>
      <c r="Y4215" s="12" t="s">
        <v>91</v>
      </c>
      <c r="Z4215" s="12" t="s">
        <v>165</v>
      </c>
      <c r="AA4215" s="14"/>
      <c r="AB4215" s="14"/>
      <c r="AC4215" s="15">
        <v>36.4</v>
      </c>
      <c r="AD4215" s="15">
        <f>AC4215*AG4215</f>
        <v>36.4</v>
      </c>
      <c r="AE4215" s="15">
        <v>80</v>
      </c>
      <c r="AF4215" s="15">
        <f>AE4215*AG4215</f>
        <v>80</v>
      </c>
      <c r="AG4215" s="16">
        <v>1</v>
      </c>
    </row>
    <row r="4216" spans="1:33" ht="15" customHeight="1" x14ac:dyDescent="0.2">
      <c r="A4216" s="11" t="str">
        <f t="shared" si="1047"/>
        <v>VN000D2VBLA1</v>
      </c>
      <c r="B4216" s="12" t="s">
        <v>14935</v>
      </c>
      <c r="C4216" s="12" t="s">
        <v>34</v>
      </c>
      <c r="D4216" s="12" t="s">
        <v>919</v>
      </c>
      <c r="E4216" s="12" t="s">
        <v>14936</v>
      </c>
      <c r="F4216" s="13">
        <v>45</v>
      </c>
      <c r="G4216" s="12" t="s">
        <v>9619</v>
      </c>
      <c r="H4216" s="12" t="s">
        <v>38</v>
      </c>
      <c r="I4216" s="12" t="s">
        <v>205</v>
      </c>
      <c r="J4216" s="12" t="s">
        <v>206</v>
      </c>
      <c r="K4216" s="12" t="s">
        <v>207</v>
      </c>
      <c r="L4216" s="14"/>
      <c r="M4216" s="12" t="s">
        <v>43</v>
      </c>
      <c r="N4216" s="12" t="s">
        <v>44</v>
      </c>
      <c r="O4216" s="12" t="s">
        <v>14937</v>
      </c>
      <c r="P4216" s="12" t="s">
        <v>46</v>
      </c>
      <c r="Q4216" s="12" t="s">
        <v>47</v>
      </c>
      <c r="R4216" s="12" t="s">
        <v>48</v>
      </c>
      <c r="S4216" s="13">
        <v>197643269373</v>
      </c>
      <c r="T4216" s="12" t="s">
        <v>105</v>
      </c>
      <c r="U4216" s="13">
        <v>36</v>
      </c>
      <c r="V4216" s="12" t="s">
        <v>50</v>
      </c>
      <c r="W4216" s="12" t="s">
        <v>51</v>
      </c>
      <c r="X4216" s="14"/>
      <c r="Y4216" s="12" t="s">
        <v>91</v>
      </c>
      <c r="Z4216" s="12" t="s">
        <v>165</v>
      </c>
      <c r="AA4216" s="14"/>
      <c r="AB4216" s="14"/>
      <c r="AC4216" s="15">
        <v>31.85</v>
      </c>
      <c r="AD4216" s="15">
        <f>AC4216*AG4216</f>
        <v>31.85</v>
      </c>
      <c r="AE4216" s="15">
        <v>70</v>
      </c>
      <c r="AF4216" s="15">
        <f>AE4216*AG4216</f>
        <v>70</v>
      </c>
      <c r="AG4216" s="16">
        <v>1</v>
      </c>
    </row>
    <row r="4217" spans="1:33" ht="15" customHeight="1" x14ac:dyDescent="0.2">
      <c r="A4217" s="11" t="str">
        <f t="shared" ref="A4217:A4218" si="1351">HYPERLINK("https://assets.vans.eu/images/VN000D2VBLA-HERO/1","VN000D2VBLA1")</f>
        <v>VN000D2VBLA1</v>
      </c>
      <c r="B4217" s="12" t="s">
        <v>14938</v>
      </c>
      <c r="C4217" s="12" t="s">
        <v>34</v>
      </c>
      <c r="D4217" s="12" t="s">
        <v>919</v>
      </c>
      <c r="E4217" s="12" t="s">
        <v>14939</v>
      </c>
      <c r="F4217" s="13">
        <v>55</v>
      </c>
      <c r="G4217" s="12" t="s">
        <v>9619</v>
      </c>
      <c r="H4217" s="12" t="s">
        <v>38</v>
      </c>
      <c r="I4217" s="12" t="s">
        <v>205</v>
      </c>
      <c r="J4217" s="12" t="s">
        <v>206</v>
      </c>
      <c r="K4217" s="12" t="s">
        <v>207</v>
      </c>
      <c r="L4217" s="14"/>
      <c r="M4217" s="12" t="s">
        <v>43</v>
      </c>
      <c r="N4217" s="12" t="s">
        <v>44</v>
      </c>
      <c r="O4217" s="12" t="s">
        <v>14940</v>
      </c>
      <c r="P4217" s="12" t="s">
        <v>46</v>
      </c>
      <c r="Q4217" s="12" t="s">
        <v>47</v>
      </c>
      <c r="R4217" s="12" t="s">
        <v>48</v>
      </c>
      <c r="S4217" s="13">
        <v>197643269540</v>
      </c>
      <c r="T4217" s="12" t="s">
        <v>105</v>
      </c>
      <c r="U4217" s="13">
        <v>37</v>
      </c>
      <c r="V4217" s="12" t="s">
        <v>50</v>
      </c>
      <c r="W4217" s="12" t="s">
        <v>51</v>
      </c>
      <c r="X4217" s="14"/>
      <c r="Y4217" s="12" t="s">
        <v>91</v>
      </c>
      <c r="Z4217" s="12" t="s">
        <v>165</v>
      </c>
      <c r="AA4217" s="14"/>
      <c r="AB4217" s="14"/>
      <c r="AC4217" s="15">
        <v>31.85</v>
      </c>
      <c r="AD4217" s="15">
        <f>AC4217*AG4217</f>
        <v>31.85</v>
      </c>
      <c r="AE4217" s="15">
        <v>70</v>
      </c>
      <c r="AF4217" s="15">
        <f>AE4217*AG4217</f>
        <v>70</v>
      </c>
      <c r="AG4217" s="16">
        <v>1</v>
      </c>
    </row>
    <row r="4218" spans="1:33" ht="15" customHeight="1" x14ac:dyDescent="0.2">
      <c r="A4218" s="11" t="str">
        <f t="shared" si="1351"/>
        <v>VN000D2VBLA1</v>
      </c>
      <c r="B4218" s="12" t="s">
        <v>14941</v>
      </c>
      <c r="C4218" s="12" t="s">
        <v>34</v>
      </c>
      <c r="D4218" s="12" t="s">
        <v>919</v>
      </c>
      <c r="E4218" s="12" t="s">
        <v>14942</v>
      </c>
      <c r="F4218" s="13">
        <v>65</v>
      </c>
      <c r="G4218" s="12" t="s">
        <v>9619</v>
      </c>
      <c r="H4218" s="12" t="s">
        <v>38</v>
      </c>
      <c r="I4218" s="12" t="s">
        <v>205</v>
      </c>
      <c r="J4218" s="12" t="s">
        <v>206</v>
      </c>
      <c r="K4218" s="12" t="s">
        <v>207</v>
      </c>
      <c r="L4218" s="14"/>
      <c r="M4218" s="12" t="s">
        <v>43</v>
      </c>
      <c r="N4218" s="12" t="s">
        <v>44</v>
      </c>
      <c r="O4218" s="12" t="s">
        <v>14943</v>
      </c>
      <c r="P4218" s="12" t="s">
        <v>46</v>
      </c>
      <c r="Q4218" s="12" t="s">
        <v>47</v>
      </c>
      <c r="R4218" s="12" t="s">
        <v>48</v>
      </c>
      <c r="S4218" s="13">
        <v>197643269724</v>
      </c>
      <c r="T4218" s="12" t="s">
        <v>105</v>
      </c>
      <c r="U4218" s="13">
        <v>38.5</v>
      </c>
      <c r="V4218" s="12" t="s">
        <v>50</v>
      </c>
      <c r="W4218" s="12" t="s">
        <v>51</v>
      </c>
      <c r="X4218" s="14"/>
      <c r="Y4218" s="12" t="s">
        <v>91</v>
      </c>
      <c r="Z4218" s="12" t="s">
        <v>165</v>
      </c>
      <c r="AA4218" s="14"/>
      <c r="AB4218" s="14"/>
      <c r="AC4218" s="15">
        <v>31.85</v>
      </c>
      <c r="AD4218" s="15">
        <f>AC4218*AG4218</f>
        <v>31.85</v>
      </c>
      <c r="AE4218" s="15">
        <v>70</v>
      </c>
      <c r="AF4218" s="15">
        <f>AE4218*AG4218</f>
        <v>70</v>
      </c>
      <c r="AG4218" s="16">
        <v>1</v>
      </c>
    </row>
    <row r="4219" spans="1:33" ht="15" customHeight="1" x14ac:dyDescent="0.2">
      <c r="A4219" s="11" t="str">
        <f>HYPERLINK("https://assets.vans.eu/images/VN000D2VO79-HERO/1","VN000D2VO791")</f>
        <v>VN000D2VO791</v>
      </c>
      <c r="B4219" s="12" t="s">
        <v>14944</v>
      </c>
      <c r="C4219" s="12" t="s">
        <v>34</v>
      </c>
      <c r="D4219" s="12" t="s">
        <v>14945</v>
      </c>
      <c r="E4219" s="12" t="s">
        <v>14946</v>
      </c>
      <c r="F4219" s="13">
        <v>45</v>
      </c>
      <c r="G4219" s="14"/>
      <c r="H4219" s="12" t="s">
        <v>38</v>
      </c>
      <c r="I4219" s="12" t="s">
        <v>205</v>
      </c>
      <c r="J4219" s="12" t="s">
        <v>206</v>
      </c>
      <c r="K4219" s="12" t="s">
        <v>207</v>
      </c>
      <c r="L4219" s="12" t="s">
        <v>260</v>
      </c>
      <c r="M4219" s="12" t="s">
        <v>43</v>
      </c>
      <c r="N4219" s="12" t="s">
        <v>84</v>
      </c>
      <c r="O4219" s="12" t="s">
        <v>14947</v>
      </c>
      <c r="P4219" s="12" t="s">
        <v>46</v>
      </c>
      <c r="Q4219" s="12" t="s">
        <v>47</v>
      </c>
      <c r="R4219" s="12" t="s">
        <v>48</v>
      </c>
      <c r="S4219" s="13">
        <v>197804612208</v>
      </c>
      <c r="T4219" s="12" t="s">
        <v>105</v>
      </c>
      <c r="U4219" s="13">
        <v>36</v>
      </c>
      <c r="V4219" s="12" t="s">
        <v>50</v>
      </c>
      <c r="W4219" s="12" t="s">
        <v>186</v>
      </c>
      <c r="X4219" s="14"/>
      <c r="Y4219" s="14"/>
      <c r="Z4219" s="14"/>
      <c r="AA4219" s="14"/>
      <c r="AB4219" s="14"/>
      <c r="AC4219" s="15">
        <v>29.55</v>
      </c>
      <c r="AD4219" s="15">
        <f>AC4219*AG4219</f>
        <v>29.55</v>
      </c>
      <c r="AE4219" s="15">
        <v>65</v>
      </c>
      <c r="AF4219" s="15">
        <f>AE4219*AG4219</f>
        <v>65</v>
      </c>
      <c r="AG4219" s="16">
        <v>1</v>
      </c>
    </row>
    <row r="4220" spans="1:33" ht="15" customHeight="1" x14ac:dyDescent="0.2">
      <c r="A4220" s="11" t="str">
        <f t="shared" si="619"/>
        <v>VN000D2YBKA1</v>
      </c>
      <c r="B4220" s="12" t="s">
        <v>14948</v>
      </c>
      <c r="C4220" s="12" t="s">
        <v>5833</v>
      </c>
      <c r="D4220" s="12" t="s">
        <v>252</v>
      </c>
      <c r="E4220" s="12" t="s">
        <v>14949</v>
      </c>
      <c r="F4220" s="13">
        <v>55</v>
      </c>
      <c r="G4220" s="14"/>
      <c r="H4220" s="12" t="s">
        <v>38</v>
      </c>
      <c r="I4220" s="12" t="s">
        <v>205</v>
      </c>
      <c r="J4220" s="12" t="s">
        <v>206</v>
      </c>
      <c r="K4220" s="12" t="s">
        <v>207</v>
      </c>
      <c r="L4220" s="14"/>
      <c r="M4220" s="12" t="s">
        <v>43</v>
      </c>
      <c r="N4220" s="12" t="s">
        <v>84</v>
      </c>
      <c r="O4220" s="12" t="s">
        <v>14950</v>
      </c>
      <c r="P4220" s="12" t="s">
        <v>46</v>
      </c>
      <c r="Q4220" s="12" t="s">
        <v>47</v>
      </c>
      <c r="R4220" s="12" t="s">
        <v>313</v>
      </c>
      <c r="S4220" s="13">
        <v>197804527885</v>
      </c>
      <c r="T4220" s="12" t="s">
        <v>105</v>
      </c>
      <c r="U4220" s="13">
        <v>37</v>
      </c>
      <c r="V4220" s="12" t="s">
        <v>50</v>
      </c>
      <c r="W4220" s="12" t="s">
        <v>51</v>
      </c>
      <c r="X4220" s="14"/>
      <c r="Y4220" s="14"/>
      <c r="Z4220" s="14"/>
      <c r="AA4220" s="14"/>
      <c r="AB4220" s="14"/>
      <c r="AC4220" s="15">
        <v>31.85</v>
      </c>
      <c r="AD4220" s="15">
        <f>AC4220*AG4220</f>
        <v>31.85</v>
      </c>
      <c r="AE4220" s="15">
        <v>70</v>
      </c>
      <c r="AF4220" s="15">
        <f>AE4220*AG4220</f>
        <v>70</v>
      </c>
      <c r="AG4220" s="16">
        <v>1</v>
      </c>
    </row>
    <row r="4221" spans="1:33" ht="15" customHeight="1" x14ac:dyDescent="0.2">
      <c r="A4221" s="11" t="str">
        <f t="shared" si="620"/>
        <v>VN000D3212S1</v>
      </c>
      <c r="B4221" s="12" t="s">
        <v>14951</v>
      </c>
      <c r="C4221" s="12" t="s">
        <v>309</v>
      </c>
      <c r="D4221" s="12" t="s">
        <v>5837</v>
      </c>
      <c r="E4221" s="12" t="s">
        <v>14952</v>
      </c>
      <c r="F4221" s="13">
        <v>35</v>
      </c>
      <c r="G4221" s="12" t="s">
        <v>5839</v>
      </c>
      <c r="H4221" s="12" t="s">
        <v>38</v>
      </c>
      <c r="I4221" s="12" t="s">
        <v>159</v>
      </c>
      <c r="J4221" s="12" t="s">
        <v>160</v>
      </c>
      <c r="K4221" s="12" t="s">
        <v>82</v>
      </c>
      <c r="L4221" s="14"/>
      <c r="M4221" s="12" t="s">
        <v>43</v>
      </c>
      <c r="N4221" s="12" t="s">
        <v>44</v>
      </c>
      <c r="O4221" s="12" t="s">
        <v>14953</v>
      </c>
      <c r="P4221" s="12" t="s">
        <v>46</v>
      </c>
      <c r="Q4221" s="12" t="s">
        <v>47</v>
      </c>
      <c r="R4221" s="12" t="s">
        <v>1660</v>
      </c>
      <c r="S4221" s="13">
        <v>197643269465</v>
      </c>
      <c r="T4221" s="12" t="s">
        <v>105</v>
      </c>
      <c r="U4221" s="13">
        <v>34.5</v>
      </c>
      <c r="V4221" s="12" t="s">
        <v>50</v>
      </c>
      <c r="W4221" s="12" t="s">
        <v>284</v>
      </c>
      <c r="X4221" s="14"/>
      <c r="Y4221" s="12" t="s">
        <v>53</v>
      </c>
      <c r="Z4221" s="12" t="s">
        <v>2600</v>
      </c>
      <c r="AA4221" s="14"/>
      <c r="AB4221" s="14"/>
      <c r="AC4221" s="15">
        <v>50</v>
      </c>
      <c r="AD4221" s="15">
        <f>AC4221*AG4221</f>
        <v>50</v>
      </c>
      <c r="AE4221" s="15">
        <v>110</v>
      </c>
      <c r="AF4221" s="15">
        <f>AE4221*AG4221</f>
        <v>110</v>
      </c>
      <c r="AG4221" s="16">
        <v>1</v>
      </c>
    </row>
    <row r="4222" spans="1:33" ht="15" customHeight="1" x14ac:dyDescent="0.2">
      <c r="A4222" s="11" t="str">
        <f t="shared" si="788"/>
        <v>VN000D32WTM1</v>
      </c>
      <c r="B4222" s="12" t="s">
        <v>14954</v>
      </c>
      <c r="C4222" s="12" t="s">
        <v>309</v>
      </c>
      <c r="D4222" s="12" t="s">
        <v>7196</v>
      </c>
      <c r="E4222" s="12" t="s">
        <v>14955</v>
      </c>
      <c r="F4222" s="13">
        <v>35</v>
      </c>
      <c r="G4222" s="12" t="s">
        <v>7193</v>
      </c>
      <c r="H4222" s="12" t="s">
        <v>38</v>
      </c>
      <c r="I4222" s="12" t="s">
        <v>159</v>
      </c>
      <c r="J4222" s="12" t="s">
        <v>160</v>
      </c>
      <c r="K4222" s="12" t="s">
        <v>82</v>
      </c>
      <c r="L4222" s="14"/>
      <c r="M4222" s="12" t="s">
        <v>43</v>
      </c>
      <c r="N4222" s="12" t="s">
        <v>44</v>
      </c>
      <c r="O4222" s="12" t="s">
        <v>14956</v>
      </c>
      <c r="P4222" s="12" t="s">
        <v>46</v>
      </c>
      <c r="Q4222" s="12" t="s">
        <v>47</v>
      </c>
      <c r="R4222" s="12" t="s">
        <v>1660</v>
      </c>
      <c r="S4222" s="13">
        <v>197643269946</v>
      </c>
      <c r="T4222" s="12" t="s">
        <v>105</v>
      </c>
      <c r="U4222" s="13">
        <v>34.5</v>
      </c>
      <c r="V4222" s="12" t="s">
        <v>50</v>
      </c>
      <c r="W4222" s="12" t="s">
        <v>175</v>
      </c>
      <c r="X4222" s="14"/>
      <c r="Y4222" s="12" t="s">
        <v>53</v>
      </c>
      <c r="Z4222" s="12" t="s">
        <v>165</v>
      </c>
      <c r="AA4222" s="14"/>
      <c r="AB4222" s="14"/>
      <c r="AC4222" s="15">
        <v>47.75</v>
      </c>
      <c r="AD4222" s="15">
        <f>AC4222*AG4222</f>
        <v>47.75</v>
      </c>
      <c r="AE4222" s="15">
        <v>105</v>
      </c>
      <c r="AF4222" s="15">
        <f>AE4222*AG4222</f>
        <v>105</v>
      </c>
      <c r="AG4222" s="16">
        <v>1</v>
      </c>
    </row>
    <row r="4223" spans="1:33" ht="15" customHeight="1" x14ac:dyDescent="0.2">
      <c r="A4223" s="11" t="str">
        <f t="shared" ref="A4223:A4225" si="1352">HYPERLINK("https://assets.vans.eu/images/VN000D3MJDU-HERO/1","VN000D3MJDU1")</f>
        <v>VN000D3MJDU1</v>
      </c>
      <c r="B4223" s="12" t="s">
        <v>14957</v>
      </c>
      <c r="C4223" s="12" t="s">
        <v>14958</v>
      </c>
      <c r="D4223" s="12" t="s">
        <v>814</v>
      </c>
      <c r="E4223" s="12" t="s">
        <v>14959</v>
      </c>
      <c r="F4223" s="13">
        <v>80</v>
      </c>
      <c r="G4223" s="12" t="s">
        <v>1460</v>
      </c>
      <c r="H4223" s="12" t="s">
        <v>38</v>
      </c>
      <c r="I4223" s="12" t="s">
        <v>159</v>
      </c>
      <c r="J4223" s="12" t="s">
        <v>341</v>
      </c>
      <c r="K4223" s="12" t="s">
        <v>199</v>
      </c>
      <c r="L4223" s="14"/>
      <c r="M4223" s="12" t="s">
        <v>43</v>
      </c>
      <c r="N4223" s="12" t="s">
        <v>84</v>
      </c>
      <c r="O4223" s="12" t="s">
        <v>14960</v>
      </c>
      <c r="P4223" s="12" t="s">
        <v>46</v>
      </c>
      <c r="Q4223" s="12" t="s">
        <v>47</v>
      </c>
      <c r="R4223" s="12" t="s">
        <v>163</v>
      </c>
      <c r="S4223" s="13">
        <v>197804448449</v>
      </c>
      <c r="T4223" s="12" t="s">
        <v>49</v>
      </c>
      <c r="U4223" s="13">
        <v>40.5</v>
      </c>
      <c r="V4223" s="12" t="s">
        <v>50</v>
      </c>
      <c r="W4223" s="12" t="s">
        <v>284</v>
      </c>
      <c r="X4223" s="14"/>
      <c r="Y4223" s="14"/>
      <c r="Z4223" s="14"/>
      <c r="AA4223" s="14"/>
      <c r="AB4223" s="14"/>
      <c r="AC4223" s="15">
        <v>40.950000000000003</v>
      </c>
      <c r="AD4223" s="15">
        <f>AC4223*AG4223</f>
        <v>40.950000000000003</v>
      </c>
      <c r="AE4223" s="15">
        <v>90</v>
      </c>
      <c r="AF4223" s="15">
        <f>AE4223*AG4223</f>
        <v>90</v>
      </c>
      <c r="AG4223" s="16">
        <v>1</v>
      </c>
    </row>
    <row r="4224" spans="1:33" ht="15" customHeight="1" x14ac:dyDescent="0.2">
      <c r="A4224" s="11" t="str">
        <f t="shared" si="1352"/>
        <v>VN000D3MJDU1</v>
      </c>
      <c r="B4224" s="12" t="s">
        <v>14961</v>
      </c>
      <c r="C4224" s="12" t="s">
        <v>14958</v>
      </c>
      <c r="D4224" s="12" t="s">
        <v>814</v>
      </c>
      <c r="E4224" s="12" t="s">
        <v>14962</v>
      </c>
      <c r="F4224" s="13">
        <v>85</v>
      </c>
      <c r="G4224" s="12" t="s">
        <v>1460</v>
      </c>
      <c r="H4224" s="12" t="s">
        <v>38</v>
      </c>
      <c r="I4224" s="12" t="s">
        <v>159</v>
      </c>
      <c r="J4224" s="12" t="s">
        <v>341</v>
      </c>
      <c r="K4224" s="12" t="s">
        <v>199</v>
      </c>
      <c r="L4224" s="14"/>
      <c r="M4224" s="12" t="s">
        <v>43</v>
      </c>
      <c r="N4224" s="12" t="s">
        <v>84</v>
      </c>
      <c r="O4224" s="12" t="s">
        <v>14963</v>
      </c>
      <c r="P4224" s="12" t="s">
        <v>46</v>
      </c>
      <c r="Q4224" s="12" t="s">
        <v>47</v>
      </c>
      <c r="R4224" s="12" t="s">
        <v>163</v>
      </c>
      <c r="S4224" s="13">
        <v>197804448661</v>
      </c>
      <c r="T4224" s="12" t="s">
        <v>49</v>
      </c>
      <c r="U4224" s="13">
        <v>41</v>
      </c>
      <c r="V4224" s="12" t="s">
        <v>50</v>
      </c>
      <c r="W4224" s="12" t="s">
        <v>284</v>
      </c>
      <c r="X4224" s="14"/>
      <c r="Y4224" s="14"/>
      <c r="Z4224" s="14"/>
      <c r="AA4224" s="14"/>
      <c r="AB4224" s="14"/>
      <c r="AC4224" s="15">
        <v>40.950000000000003</v>
      </c>
      <c r="AD4224" s="15">
        <f>AC4224*AG4224</f>
        <v>40.950000000000003</v>
      </c>
      <c r="AE4224" s="15">
        <v>90</v>
      </c>
      <c r="AF4224" s="15">
        <f>AE4224*AG4224</f>
        <v>90</v>
      </c>
      <c r="AG4224" s="16">
        <v>1</v>
      </c>
    </row>
    <row r="4225" spans="1:33" ht="15" customHeight="1" x14ac:dyDescent="0.2">
      <c r="A4225" s="11" t="str">
        <f t="shared" si="1352"/>
        <v>VN000D3MJDU1</v>
      </c>
      <c r="B4225" s="12" t="s">
        <v>14964</v>
      </c>
      <c r="C4225" s="12" t="s">
        <v>14958</v>
      </c>
      <c r="D4225" s="12" t="s">
        <v>814</v>
      </c>
      <c r="E4225" s="12" t="s">
        <v>14965</v>
      </c>
      <c r="F4225" s="13">
        <v>130</v>
      </c>
      <c r="G4225" s="12" t="s">
        <v>1460</v>
      </c>
      <c r="H4225" s="12" t="s">
        <v>38</v>
      </c>
      <c r="I4225" s="12" t="s">
        <v>159</v>
      </c>
      <c r="J4225" s="12" t="s">
        <v>341</v>
      </c>
      <c r="K4225" s="12" t="s">
        <v>199</v>
      </c>
      <c r="L4225" s="14"/>
      <c r="M4225" s="12" t="s">
        <v>43</v>
      </c>
      <c r="N4225" s="12" t="s">
        <v>84</v>
      </c>
      <c r="O4225" s="12" t="s">
        <v>14966</v>
      </c>
      <c r="P4225" s="12" t="s">
        <v>46</v>
      </c>
      <c r="Q4225" s="12" t="s">
        <v>47</v>
      </c>
      <c r="R4225" s="12" t="s">
        <v>163</v>
      </c>
      <c r="S4225" s="13">
        <v>197804449620</v>
      </c>
      <c r="T4225" s="12" t="s">
        <v>49</v>
      </c>
      <c r="U4225" s="13">
        <v>47</v>
      </c>
      <c r="V4225" s="12" t="s">
        <v>50</v>
      </c>
      <c r="W4225" s="12" t="s">
        <v>284</v>
      </c>
      <c r="X4225" s="14"/>
      <c r="Y4225" s="14"/>
      <c r="Z4225" s="14"/>
      <c r="AA4225" s="14"/>
      <c r="AB4225" s="14"/>
      <c r="AC4225" s="15">
        <v>40.950000000000003</v>
      </c>
      <c r="AD4225" s="15">
        <f>AC4225*AG4225</f>
        <v>40.950000000000003</v>
      </c>
      <c r="AE4225" s="15">
        <v>90</v>
      </c>
      <c r="AF4225" s="15">
        <f>AE4225*AG4225</f>
        <v>90</v>
      </c>
      <c r="AG4225" s="16">
        <v>1</v>
      </c>
    </row>
    <row r="4226" spans="1:33" ht="15" customHeight="1" x14ac:dyDescent="0.2">
      <c r="A4226" s="11" t="str">
        <f t="shared" si="1048"/>
        <v>VN000D3QEMP1</v>
      </c>
      <c r="B4226" s="12" t="s">
        <v>14967</v>
      </c>
      <c r="C4226" s="12" t="s">
        <v>9622</v>
      </c>
      <c r="D4226" s="12" t="s">
        <v>704</v>
      </c>
      <c r="E4226" s="12" t="s">
        <v>14968</v>
      </c>
      <c r="F4226" s="13">
        <v>40</v>
      </c>
      <c r="G4226" s="14"/>
      <c r="H4226" s="12" t="s">
        <v>38</v>
      </c>
      <c r="I4226" s="12" t="s">
        <v>159</v>
      </c>
      <c r="J4226" s="12" t="s">
        <v>341</v>
      </c>
      <c r="K4226" s="12" t="s">
        <v>199</v>
      </c>
      <c r="L4226" s="14"/>
      <c r="M4226" s="12" t="s">
        <v>43</v>
      </c>
      <c r="N4226" s="12" t="s">
        <v>84</v>
      </c>
      <c r="O4226" s="12" t="s">
        <v>14969</v>
      </c>
      <c r="P4226" s="12" t="s">
        <v>46</v>
      </c>
      <c r="Q4226" s="12" t="s">
        <v>47</v>
      </c>
      <c r="R4226" s="12" t="s">
        <v>1660</v>
      </c>
      <c r="S4226" s="13">
        <v>197804447268</v>
      </c>
      <c r="T4226" s="12" t="s">
        <v>49</v>
      </c>
      <c r="U4226" s="13">
        <v>35</v>
      </c>
      <c r="V4226" s="12" t="s">
        <v>50</v>
      </c>
      <c r="W4226" s="12" t="s">
        <v>186</v>
      </c>
      <c r="X4226" s="14"/>
      <c r="Y4226" s="14"/>
      <c r="Z4226" s="14"/>
      <c r="AA4226" s="14"/>
      <c r="AB4226" s="14"/>
      <c r="AC4226" s="15">
        <v>45.5</v>
      </c>
      <c r="AD4226" s="15">
        <f>AC4226*AG4226</f>
        <v>45.5</v>
      </c>
      <c r="AE4226" s="15">
        <v>100</v>
      </c>
      <c r="AF4226" s="15">
        <f>AE4226*AG4226</f>
        <v>100</v>
      </c>
      <c r="AG4226" s="16">
        <v>1</v>
      </c>
    </row>
    <row r="4227" spans="1:33" ht="15" customHeight="1" x14ac:dyDescent="0.2">
      <c r="A4227" s="11" t="str">
        <f t="shared" ref="A4227:A4230" si="1353">HYPERLINK("https://assets.vans.eu/images/VN000D3QEMP-HERO/1","VN000D3QEMP1")</f>
        <v>VN000D3QEMP1</v>
      </c>
      <c r="B4227" s="12" t="s">
        <v>14970</v>
      </c>
      <c r="C4227" s="12" t="s">
        <v>9622</v>
      </c>
      <c r="D4227" s="12" t="s">
        <v>704</v>
      </c>
      <c r="E4227" s="12" t="s">
        <v>14971</v>
      </c>
      <c r="F4227" s="13">
        <v>45</v>
      </c>
      <c r="G4227" s="14"/>
      <c r="H4227" s="12" t="s">
        <v>38</v>
      </c>
      <c r="I4227" s="12" t="s">
        <v>159</v>
      </c>
      <c r="J4227" s="12" t="s">
        <v>341</v>
      </c>
      <c r="K4227" s="12" t="s">
        <v>199</v>
      </c>
      <c r="L4227" s="14"/>
      <c r="M4227" s="12" t="s">
        <v>43</v>
      </c>
      <c r="N4227" s="12" t="s">
        <v>84</v>
      </c>
      <c r="O4227" s="12" t="s">
        <v>14972</v>
      </c>
      <c r="P4227" s="12" t="s">
        <v>46</v>
      </c>
      <c r="Q4227" s="12" t="s">
        <v>47</v>
      </c>
      <c r="R4227" s="12" t="s">
        <v>1660</v>
      </c>
      <c r="S4227" s="13">
        <v>197804447411</v>
      </c>
      <c r="T4227" s="12" t="s">
        <v>49</v>
      </c>
      <c r="U4227" s="13">
        <v>36</v>
      </c>
      <c r="V4227" s="12" t="s">
        <v>50</v>
      </c>
      <c r="W4227" s="12" t="s">
        <v>186</v>
      </c>
      <c r="X4227" s="14"/>
      <c r="Y4227" s="14"/>
      <c r="Z4227" s="14"/>
      <c r="AA4227" s="14"/>
      <c r="AB4227" s="14"/>
      <c r="AC4227" s="15">
        <v>45.5</v>
      </c>
      <c r="AD4227" s="15">
        <f>AC4227*AG4227</f>
        <v>45.5</v>
      </c>
      <c r="AE4227" s="15">
        <v>100</v>
      </c>
      <c r="AF4227" s="15">
        <f>AE4227*AG4227</f>
        <v>100</v>
      </c>
      <c r="AG4227" s="16">
        <v>1</v>
      </c>
    </row>
    <row r="4228" spans="1:33" ht="15" customHeight="1" x14ac:dyDescent="0.2">
      <c r="A4228" s="11" t="str">
        <f t="shared" si="1353"/>
        <v>VN000D3QEMP1</v>
      </c>
      <c r="B4228" s="12" t="s">
        <v>14973</v>
      </c>
      <c r="C4228" s="12" t="s">
        <v>9622</v>
      </c>
      <c r="D4228" s="12" t="s">
        <v>704</v>
      </c>
      <c r="E4228" s="12" t="s">
        <v>14974</v>
      </c>
      <c r="F4228" s="13">
        <v>75</v>
      </c>
      <c r="G4228" s="14"/>
      <c r="H4228" s="12" t="s">
        <v>38</v>
      </c>
      <c r="I4228" s="12" t="s">
        <v>159</v>
      </c>
      <c r="J4228" s="12" t="s">
        <v>341</v>
      </c>
      <c r="K4228" s="12" t="s">
        <v>199</v>
      </c>
      <c r="L4228" s="14"/>
      <c r="M4228" s="12" t="s">
        <v>43</v>
      </c>
      <c r="N4228" s="12" t="s">
        <v>84</v>
      </c>
      <c r="O4228" s="12" t="s">
        <v>14975</v>
      </c>
      <c r="P4228" s="12" t="s">
        <v>46</v>
      </c>
      <c r="Q4228" s="12" t="s">
        <v>47</v>
      </c>
      <c r="R4228" s="12" t="s">
        <v>1660</v>
      </c>
      <c r="S4228" s="13">
        <v>197804448227</v>
      </c>
      <c r="T4228" s="12" t="s">
        <v>49</v>
      </c>
      <c r="U4228" s="13">
        <v>40</v>
      </c>
      <c r="V4228" s="12" t="s">
        <v>50</v>
      </c>
      <c r="W4228" s="12" t="s">
        <v>186</v>
      </c>
      <c r="X4228" s="14"/>
      <c r="Y4228" s="14"/>
      <c r="Z4228" s="14"/>
      <c r="AA4228" s="14"/>
      <c r="AB4228" s="14"/>
      <c r="AC4228" s="15">
        <v>45.5</v>
      </c>
      <c r="AD4228" s="15">
        <f>AC4228*AG4228</f>
        <v>45.5</v>
      </c>
      <c r="AE4228" s="15">
        <v>100</v>
      </c>
      <c r="AF4228" s="15">
        <f>AE4228*AG4228</f>
        <v>100</v>
      </c>
      <c r="AG4228" s="16">
        <v>1</v>
      </c>
    </row>
    <row r="4229" spans="1:33" ht="15" customHeight="1" x14ac:dyDescent="0.2">
      <c r="A4229" s="11" t="str">
        <f t="shared" si="1353"/>
        <v>VN000D3QEMP1</v>
      </c>
      <c r="B4229" s="12" t="s">
        <v>14976</v>
      </c>
      <c r="C4229" s="12" t="s">
        <v>9622</v>
      </c>
      <c r="D4229" s="12" t="s">
        <v>704</v>
      </c>
      <c r="E4229" s="12" t="s">
        <v>14977</v>
      </c>
      <c r="F4229" s="13">
        <v>110</v>
      </c>
      <c r="G4229" s="14"/>
      <c r="H4229" s="12" t="s">
        <v>38</v>
      </c>
      <c r="I4229" s="12" t="s">
        <v>159</v>
      </c>
      <c r="J4229" s="12" t="s">
        <v>341</v>
      </c>
      <c r="K4229" s="12" t="s">
        <v>199</v>
      </c>
      <c r="L4229" s="14"/>
      <c r="M4229" s="12" t="s">
        <v>43</v>
      </c>
      <c r="N4229" s="12" t="s">
        <v>84</v>
      </c>
      <c r="O4229" s="12" t="s">
        <v>14978</v>
      </c>
      <c r="P4229" s="12" t="s">
        <v>46</v>
      </c>
      <c r="Q4229" s="12" t="s">
        <v>47</v>
      </c>
      <c r="R4229" s="12" t="s">
        <v>1660</v>
      </c>
      <c r="S4229" s="13">
        <v>197804449187</v>
      </c>
      <c r="T4229" s="12" t="s">
        <v>49</v>
      </c>
      <c r="U4229" s="13">
        <v>44.5</v>
      </c>
      <c r="V4229" s="12" t="s">
        <v>50</v>
      </c>
      <c r="W4229" s="12" t="s">
        <v>186</v>
      </c>
      <c r="X4229" s="14"/>
      <c r="Y4229" s="14"/>
      <c r="Z4229" s="14"/>
      <c r="AA4229" s="14"/>
      <c r="AB4229" s="14"/>
      <c r="AC4229" s="15">
        <v>45.5</v>
      </c>
      <c r="AD4229" s="15">
        <f>AC4229*AG4229</f>
        <v>45.5</v>
      </c>
      <c r="AE4229" s="15">
        <v>100</v>
      </c>
      <c r="AF4229" s="15">
        <f>AE4229*AG4229</f>
        <v>100</v>
      </c>
      <c r="AG4229" s="16">
        <v>1</v>
      </c>
    </row>
    <row r="4230" spans="1:33" ht="15" customHeight="1" x14ac:dyDescent="0.2">
      <c r="A4230" s="11" t="str">
        <f t="shared" si="1353"/>
        <v>VN000D3QEMP1</v>
      </c>
      <c r="B4230" s="12" t="s">
        <v>14979</v>
      </c>
      <c r="C4230" s="12" t="s">
        <v>9622</v>
      </c>
      <c r="D4230" s="12" t="s">
        <v>704</v>
      </c>
      <c r="E4230" s="12" t="s">
        <v>14980</v>
      </c>
      <c r="F4230" s="13">
        <v>120</v>
      </c>
      <c r="G4230" s="14"/>
      <c r="H4230" s="12" t="s">
        <v>38</v>
      </c>
      <c r="I4230" s="12" t="s">
        <v>159</v>
      </c>
      <c r="J4230" s="12" t="s">
        <v>341</v>
      </c>
      <c r="K4230" s="12" t="s">
        <v>199</v>
      </c>
      <c r="L4230" s="14"/>
      <c r="M4230" s="12" t="s">
        <v>43</v>
      </c>
      <c r="N4230" s="12" t="s">
        <v>84</v>
      </c>
      <c r="O4230" s="12" t="s">
        <v>14981</v>
      </c>
      <c r="P4230" s="12" t="s">
        <v>46</v>
      </c>
      <c r="Q4230" s="12" t="s">
        <v>47</v>
      </c>
      <c r="R4230" s="12" t="s">
        <v>1660</v>
      </c>
      <c r="S4230" s="13">
        <v>197804449453</v>
      </c>
      <c r="T4230" s="12" t="s">
        <v>49</v>
      </c>
      <c r="U4230" s="13">
        <v>46</v>
      </c>
      <c r="V4230" s="12" t="s">
        <v>50</v>
      </c>
      <c r="W4230" s="12" t="s">
        <v>186</v>
      </c>
      <c r="X4230" s="14"/>
      <c r="Y4230" s="14"/>
      <c r="Z4230" s="14"/>
      <c r="AA4230" s="14"/>
      <c r="AB4230" s="14"/>
      <c r="AC4230" s="15">
        <v>45.5</v>
      </c>
      <c r="AD4230" s="15">
        <f>AC4230*AG4230</f>
        <v>45.5</v>
      </c>
      <c r="AE4230" s="15">
        <v>100</v>
      </c>
      <c r="AF4230" s="15">
        <f>AE4230*AG4230</f>
        <v>100</v>
      </c>
      <c r="AG4230" s="16">
        <v>1</v>
      </c>
    </row>
    <row r="4231" spans="1:33" ht="15" customHeight="1" x14ac:dyDescent="0.2">
      <c r="A4231" s="11" t="str">
        <f t="shared" ref="A4231:A4232" si="1354">HYPERLINK("https://assets.vans.eu/images/VN000D3SYB2-HERO/1","VN000D3SYB21")</f>
        <v>VN000D3SYB21</v>
      </c>
      <c r="B4231" s="12" t="s">
        <v>14982</v>
      </c>
      <c r="C4231" s="12" t="s">
        <v>14983</v>
      </c>
      <c r="D4231" s="12" t="s">
        <v>1138</v>
      </c>
      <c r="E4231" s="12" t="s">
        <v>14984</v>
      </c>
      <c r="F4231" s="13">
        <v>90</v>
      </c>
      <c r="G4231" s="14"/>
      <c r="H4231" s="12" t="s">
        <v>38</v>
      </c>
      <c r="I4231" s="12" t="s">
        <v>159</v>
      </c>
      <c r="J4231" s="12" t="s">
        <v>341</v>
      </c>
      <c r="K4231" s="12" t="s">
        <v>199</v>
      </c>
      <c r="L4231" s="14"/>
      <c r="M4231" s="12" t="s">
        <v>43</v>
      </c>
      <c r="N4231" s="12" t="s">
        <v>84</v>
      </c>
      <c r="O4231" s="12" t="s">
        <v>14985</v>
      </c>
      <c r="P4231" s="12" t="s">
        <v>46</v>
      </c>
      <c r="Q4231" s="12" t="s">
        <v>47</v>
      </c>
      <c r="R4231" s="12" t="s">
        <v>163</v>
      </c>
      <c r="S4231" s="13">
        <v>197804529315</v>
      </c>
      <c r="T4231" s="12" t="s">
        <v>49</v>
      </c>
      <c r="U4231" s="13">
        <v>42</v>
      </c>
      <c r="V4231" s="12" t="s">
        <v>50</v>
      </c>
      <c r="W4231" s="12" t="s">
        <v>175</v>
      </c>
      <c r="X4231" s="14"/>
      <c r="Y4231" s="14"/>
      <c r="Z4231" s="14"/>
      <c r="AA4231" s="14"/>
      <c r="AB4231" s="14"/>
      <c r="AC4231" s="15">
        <v>50</v>
      </c>
      <c r="AD4231" s="15">
        <f>AC4231*AG4231</f>
        <v>50</v>
      </c>
      <c r="AE4231" s="15">
        <v>110</v>
      </c>
      <c r="AF4231" s="15">
        <f>AE4231*AG4231</f>
        <v>110</v>
      </c>
      <c r="AG4231" s="16">
        <v>1</v>
      </c>
    </row>
    <row r="4232" spans="1:33" ht="15" customHeight="1" x14ac:dyDescent="0.2">
      <c r="A4232" s="11" t="str">
        <f t="shared" si="1354"/>
        <v>VN000D3SYB21</v>
      </c>
      <c r="B4232" s="12" t="s">
        <v>14986</v>
      </c>
      <c r="C4232" s="12" t="s">
        <v>14983</v>
      </c>
      <c r="D4232" s="12" t="s">
        <v>1138</v>
      </c>
      <c r="E4232" s="12" t="s">
        <v>14987</v>
      </c>
      <c r="F4232" s="13">
        <v>95</v>
      </c>
      <c r="G4232" s="14"/>
      <c r="H4232" s="12" t="s">
        <v>38</v>
      </c>
      <c r="I4232" s="12" t="s">
        <v>159</v>
      </c>
      <c r="J4232" s="12" t="s">
        <v>341</v>
      </c>
      <c r="K4232" s="12" t="s">
        <v>199</v>
      </c>
      <c r="L4232" s="14"/>
      <c r="M4232" s="12" t="s">
        <v>43</v>
      </c>
      <c r="N4232" s="12" t="s">
        <v>84</v>
      </c>
      <c r="O4232" s="12" t="s">
        <v>14988</v>
      </c>
      <c r="P4232" s="12" t="s">
        <v>46</v>
      </c>
      <c r="Q4232" s="12" t="s">
        <v>47</v>
      </c>
      <c r="R4232" s="12" t="s">
        <v>163</v>
      </c>
      <c r="S4232" s="13">
        <v>197804529391</v>
      </c>
      <c r="T4232" s="12" t="s">
        <v>49</v>
      </c>
      <c r="U4232" s="13">
        <v>42.5</v>
      </c>
      <c r="V4232" s="12" t="s">
        <v>50</v>
      </c>
      <c r="W4232" s="12" t="s">
        <v>175</v>
      </c>
      <c r="X4232" s="14"/>
      <c r="Y4232" s="14"/>
      <c r="Z4232" s="14"/>
      <c r="AA4232" s="14"/>
      <c r="AB4232" s="14"/>
      <c r="AC4232" s="15">
        <v>50</v>
      </c>
      <c r="AD4232" s="15">
        <f>AC4232*AG4232</f>
        <v>50</v>
      </c>
      <c r="AE4232" s="15">
        <v>110</v>
      </c>
      <c r="AF4232" s="15">
        <f>AE4232*AG4232</f>
        <v>110</v>
      </c>
      <c r="AG4232" s="16">
        <v>1</v>
      </c>
    </row>
    <row r="4233" spans="1:33" ht="15" customHeight="1" x14ac:dyDescent="0.2">
      <c r="A4233" s="11" t="str">
        <f>HYPERLINK("https://assets.vans.eu/images/VN000D45BZW-HERO/1","VN000D45BZW1")</f>
        <v>VN000D45BZW1</v>
      </c>
      <c r="B4233" s="12" t="s">
        <v>14989</v>
      </c>
      <c r="C4233" s="12" t="s">
        <v>956</v>
      </c>
      <c r="D4233" s="12" t="s">
        <v>58</v>
      </c>
      <c r="E4233" s="12" t="s">
        <v>14990</v>
      </c>
      <c r="F4233" s="13">
        <v>70</v>
      </c>
      <c r="G4233" s="12" t="s">
        <v>1460</v>
      </c>
      <c r="H4233" s="12" t="s">
        <v>38</v>
      </c>
      <c r="I4233" s="12" t="s">
        <v>159</v>
      </c>
      <c r="J4233" s="12" t="s">
        <v>341</v>
      </c>
      <c r="K4233" s="12" t="s">
        <v>199</v>
      </c>
      <c r="L4233" s="14"/>
      <c r="M4233" s="12" t="s">
        <v>43</v>
      </c>
      <c r="N4233" s="12" t="s">
        <v>84</v>
      </c>
      <c r="O4233" s="12" t="s">
        <v>14991</v>
      </c>
      <c r="P4233" s="12" t="s">
        <v>46</v>
      </c>
      <c r="Q4233" s="12" t="s">
        <v>47</v>
      </c>
      <c r="R4233" s="12" t="s">
        <v>163</v>
      </c>
      <c r="S4233" s="13">
        <v>197804529223</v>
      </c>
      <c r="T4233" s="12" t="s">
        <v>49</v>
      </c>
      <c r="U4233" s="13">
        <v>39</v>
      </c>
      <c r="V4233" s="12" t="s">
        <v>50</v>
      </c>
      <c r="W4233" s="12" t="s">
        <v>51</v>
      </c>
      <c r="X4233" s="14"/>
      <c r="Y4233" s="14"/>
      <c r="Z4233" s="14"/>
      <c r="AA4233" s="14"/>
      <c r="AB4233" s="14"/>
      <c r="AC4233" s="15">
        <v>45.5</v>
      </c>
      <c r="AD4233" s="15">
        <f>AC4233*AG4233</f>
        <v>45.5</v>
      </c>
      <c r="AE4233" s="15">
        <v>100</v>
      </c>
      <c r="AF4233" s="15">
        <f>AE4233*AG4233</f>
        <v>100</v>
      </c>
      <c r="AG4233" s="16">
        <v>1</v>
      </c>
    </row>
    <row r="4234" spans="1:33" ht="15" customHeight="1" x14ac:dyDescent="0.2">
      <c r="A4234" s="11" t="str">
        <f t="shared" ref="A4234:A4239" si="1355">HYPERLINK("https://assets.vans.eu/images/VN000D45EMY-HERO/1","VN000D45EMY1")</f>
        <v>VN000D45EMY1</v>
      </c>
      <c r="B4234" s="12" t="s">
        <v>14992</v>
      </c>
      <c r="C4234" s="12" t="s">
        <v>956</v>
      </c>
      <c r="D4234" s="12" t="s">
        <v>1155</v>
      </c>
      <c r="E4234" s="12" t="s">
        <v>14993</v>
      </c>
      <c r="F4234" s="13">
        <v>85</v>
      </c>
      <c r="G4234" s="14"/>
      <c r="H4234" s="12" t="s">
        <v>38</v>
      </c>
      <c r="I4234" s="12" t="s">
        <v>159</v>
      </c>
      <c r="J4234" s="12" t="s">
        <v>341</v>
      </c>
      <c r="K4234" s="12" t="s">
        <v>199</v>
      </c>
      <c r="L4234" s="14"/>
      <c r="M4234" s="12" t="s">
        <v>43</v>
      </c>
      <c r="N4234" s="12" t="s">
        <v>84</v>
      </c>
      <c r="O4234" s="12" t="s">
        <v>14994</v>
      </c>
      <c r="P4234" s="12" t="s">
        <v>46</v>
      </c>
      <c r="Q4234" s="12" t="s">
        <v>47</v>
      </c>
      <c r="R4234" s="12" t="s">
        <v>163</v>
      </c>
      <c r="S4234" s="13">
        <v>197804529629</v>
      </c>
      <c r="T4234" s="12" t="s">
        <v>49</v>
      </c>
      <c r="U4234" s="13">
        <v>41</v>
      </c>
      <c r="V4234" s="12" t="s">
        <v>50</v>
      </c>
      <c r="W4234" s="12" t="s">
        <v>107</v>
      </c>
      <c r="X4234" s="14"/>
      <c r="Y4234" s="14"/>
      <c r="Z4234" s="14"/>
      <c r="AA4234" s="14"/>
      <c r="AB4234" s="14"/>
      <c r="AC4234" s="15">
        <v>45.5</v>
      </c>
      <c r="AD4234" s="15">
        <f>AC4234*AG4234</f>
        <v>45.5</v>
      </c>
      <c r="AE4234" s="15">
        <v>100</v>
      </c>
      <c r="AF4234" s="15">
        <f>AE4234*AG4234</f>
        <v>100</v>
      </c>
      <c r="AG4234" s="16">
        <v>1</v>
      </c>
    </row>
    <row r="4235" spans="1:33" ht="15" customHeight="1" x14ac:dyDescent="0.2">
      <c r="A4235" s="11" t="str">
        <f t="shared" si="1355"/>
        <v>VN000D45EMY1</v>
      </c>
      <c r="B4235" s="12" t="s">
        <v>14995</v>
      </c>
      <c r="C4235" s="12" t="s">
        <v>956</v>
      </c>
      <c r="D4235" s="12" t="s">
        <v>1155</v>
      </c>
      <c r="E4235" s="12" t="s">
        <v>14996</v>
      </c>
      <c r="F4235" s="13">
        <v>90</v>
      </c>
      <c r="G4235" s="14"/>
      <c r="H4235" s="12" t="s">
        <v>38</v>
      </c>
      <c r="I4235" s="12" t="s">
        <v>159</v>
      </c>
      <c r="J4235" s="12" t="s">
        <v>341</v>
      </c>
      <c r="K4235" s="12" t="s">
        <v>199</v>
      </c>
      <c r="L4235" s="14"/>
      <c r="M4235" s="12" t="s">
        <v>43</v>
      </c>
      <c r="N4235" s="12" t="s">
        <v>84</v>
      </c>
      <c r="O4235" s="12" t="s">
        <v>14997</v>
      </c>
      <c r="P4235" s="12" t="s">
        <v>46</v>
      </c>
      <c r="Q4235" s="12" t="s">
        <v>47</v>
      </c>
      <c r="R4235" s="12" t="s">
        <v>163</v>
      </c>
      <c r="S4235" s="13">
        <v>197804529827</v>
      </c>
      <c r="T4235" s="12" t="s">
        <v>49</v>
      </c>
      <c r="U4235" s="13">
        <v>42</v>
      </c>
      <c r="V4235" s="12" t="s">
        <v>50</v>
      </c>
      <c r="W4235" s="12" t="s">
        <v>107</v>
      </c>
      <c r="X4235" s="14"/>
      <c r="Y4235" s="14"/>
      <c r="Z4235" s="14"/>
      <c r="AA4235" s="14"/>
      <c r="AB4235" s="14"/>
      <c r="AC4235" s="15">
        <v>45.5</v>
      </c>
      <c r="AD4235" s="15">
        <f>AC4235*AG4235</f>
        <v>45.5</v>
      </c>
      <c r="AE4235" s="15">
        <v>100</v>
      </c>
      <c r="AF4235" s="15">
        <f>AE4235*AG4235</f>
        <v>100</v>
      </c>
      <c r="AG4235" s="16">
        <v>1</v>
      </c>
    </row>
    <row r="4236" spans="1:33" ht="15" customHeight="1" x14ac:dyDescent="0.2">
      <c r="A4236" s="11" t="str">
        <f t="shared" si="1355"/>
        <v>VN000D45EMY1</v>
      </c>
      <c r="B4236" s="12" t="s">
        <v>14998</v>
      </c>
      <c r="C4236" s="12" t="s">
        <v>956</v>
      </c>
      <c r="D4236" s="12" t="s">
        <v>1155</v>
      </c>
      <c r="E4236" s="12" t="s">
        <v>14999</v>
      </c>
      <c r="F4236" s="13">
        <v>95</v>
      </c>
      <c r="G4236" s="14"/>
      <c r="H4236" s="12" t="s">
        <v>38</v>
      </c>
      <c r="I4236" s="12" t="s">
        <v>159</v>
      </c>
      <c r="J4236" s="12" t="s">
        <v>341</v>
      </c>
      <c r="K4236" s="12" t="s">
        <v>199</v>
      </c>
      <c r="L4236" s="14"/>
      <c r="M4236" s="12" t="s">
        <v>43</v>
      </c>
      <c r="N4236" s="12" t="s">
        <v>84</v>
      </c>
      <c r="O4236" s="12" t="s">
        <v>15000</v>
      </c>
      <c r="P4236" s="12" t="s">
        <v>46</v>
      </c>
      <c r="Q4236" s="12" t="s">
        <v>47</v>
      </c>
      <c r="R4236" s="12" t="s">
        <v>163</v>
      </c>
      <c r="S4236" s="13">
        <v>197804530014</v>
      </c>
      <c r="T4236" s="12" t="s">
        <v>49</v>
      </c>
      <c r="U4236" s="13">
        <v>42.5</v>
      </c>
      <c r="V4236" s="12" t="s">
        <v>50</v>
      </c>
      <c r="W4236" s="12" t="s">
        <v>107</v>
      </c>
      <c r="X4236" s="14"/>
      <c r="Y4236" s="14"/>
      <c r="Z4236" s="14"/>
      <c r="AA4236" s="14"/>
      <c r="AB4236" s="14"/>
      <c r="AC4236" s="15">
        <v>45.5</v>
      </c>
      <c r="AD4236" s="15">
        <f>AC4236*AG4236</f>
        <v>45.5</v>
      </c>
      <c r="AE4236" s="15">
        <v>100</v>
      </c>
      <c r="AF4236" s="15">
        <f>AE4236*AG4236</f>
        <v>100</v>
      </c>
      <c r="AG4236" s="16">
        <v>1</v>
      </c>
    </row>
    <row r="4237" spans="1:33" ht="15" customHeight="1" x14ac:dyDescent="0.2">
      <c r="A4237" s="11" t="str">
        <f t="shared" si="1355"/>
        <v>VN000D45EMY1</v>
      </c>
      <c r="B4237" s="12" t="s">
        <v>15001</v>
      </c>
      <c r="C4237" s="12" t="s">
        <v>956</v>
      </c>
      <c r="D4237" s="12" t="s">
        <v>1155</v>
      </c>
      <c r="E4237" s="12" t="s">
        <v>15002</v>
      </c>
      <c r="F4237" s="13">
        <v>105</v>
      </c>
      <c r="G4237" s="14"/>
      <c r="H4237" s="12" t="s">
        <v>38</v>
      </c>
      <c r="I4237" s="12" t="s">
        <v>159</v>
      </c>
      <c r="J4237" s="12" t="s">
        <v>341</v>
      </c>
      <c r="K4237" s="12" t="s">
        <v>199</v>
      </c>
      <c r="L4237" s="14"/>
      <c r="M4237" s="12" t="s">
        <v>43</v>
      </c>
      <c r="N4237" s="12" t="s">
        <v>84</v>
      </c>
      <c r="O4237" s="12" t="s">
        <v>15003</v>
      </c>
      <c r="P4237" s="12" t="s">
        <v>46</v>
      </c>
      <c r="Q4237" s="12" t="s">
        <v>47</v>
      </c>
      <c r="R4237" s="12" t="s">
        <v>163</v>
      </c>
      <c r="S4237" s="13">
        <v>197804530274</v>
      </c>
      <c r="T4237" s="12" t="s">
        <v>49</v>
      </c>
      <c r="U4237" s="13">
        <v>44</v>
      </c>
      <c r="V4237" s="12" t="s">
        <v>50</v>
      </c>
      <c r="W4237" s="12" t="s">
        <v>107</v>
      </c>
      <c r="X4237" s="14"/>
      <c r="Y4237" s="14"/>
      <c r="Z4237" s="14"/>
      <c r="AA4237" s="14"/>
      <c r="AB4237" s="14"/>
      <c r="AC4237" s="15">
        <v>45.5</v>
      </c>
      <c r="AD4237" s="15">
        <f>AC4237*AG4237</f>
        <v>45.5</v>
      </c>
      <c r="AE4237" s="15">
        <v>100</v>
      </c>
      <c r="AF4237" s="15">
        <f>AE4237*AG4237</f>
        <v>100</v>
      </c>
      <c r="AG4237" s="16">
        <v>1</v>
      </c>
    </row>
    <row r="4238" spans="1:33" ht="15" customHeight="1" x14ac:dyDescent="0.2">
      <c r="A4238" s="11" t="str">
        <f t="shared" si="1355"/>
        <v>VN000D45EMY1</v>
      </c>
      <c r="B4238" s="12" t="s">
        <v>15004</v>
      </c>
      <c r="C4238" s="12" t="s">
        <v>956</v>
      </c>
      <c r="D4238" s="12" t="s">
        <v>1155</v>
      </c>
      <c r="E4238" s="12" t="s">
        <v>15005</v>
      </c>
      <c r="F4238" s="13">
        <v>110</v>
      </c>
      <c r="G4238" s="14"/>
      <c r="H4238" s="12" t="s">
        <v>38</v>
      </c>
      <c r="I4238" s="12" t="s">
        <v>159</v>
      </c>
      <c r="J4238" s="12" t="s">
        <v>341</v>
      </c>
      <c r="K4238" s="12" t="s">
        <v>199</v>
      </c>
      <c r="L4238" s="14"/>
      <c r="M4238" s="12" t="s">
        <v>43</v>
      </c>
      <c r="N4238" s="12" t="s">
        <v>84</v>
      </c>
      <c r="O4238" s="12" t="s">
        <v>15006</v>
      </c>
      <c r="P4238" s="12" t="s">
        <v>46</v>
      </c>
      <c r="Q4238" s="12" t="s">
        <v>47</v>
      </c>
      <c r="R4238" s="12" t="s">
        <v>163</v>
      </c>
      <c r="S4238" s="13">
        <v>197804530489</v>
      </c>
      <c r="T4238" s="12" t="s">
        <v>49</v>
      </c>
      <c r="U4238" s="13">
        <v>44.5</v>
      </c>
      <c r="V4238" s="12" t="s">
        <v>50</v>
      </c>
      <c r="W4238" s="12" t="s">
        <v>107</v>
      </c>
      <c r="X4238" s="14"/>
      <c r="Y4238" s="14"/>
      <c r="Z4238" s="14"/>
      <c r="AA4238" s="14"/>
      <c r="AB4238" s="14"/>
      <c r="AC4238" s="15">
        <v>45.5</v>
      </c>
      <c r="AD4238" s="15">
        <f>AC4238*AG4238</f>
        <v>45.5</v>
      </c>
      <c r="AE4238" s="15">
        <v>100</v>
      </c>
      <c r="AF4238" s="15">
        <f>AE4238*AG4238</f>
        <v>100</v>
      </c>
      <c r="AG4238" s="16">
        <v>1</v>
      </c>
    </row>
    <row r="4239" spans="1:33" ht="15" customHeight="1" x14ac:dyDescent="0.2">
      <c r="A4239" s="11" t="str">
        <f t="shared" si="1355"/>
        <v>VN000D45EMY1</v>
      </c>
      <c r="B4239" s="12" t="s">
        <v>15007</v>
      </c>
      <c r="C4239" s="12" t="s">
        <v>956</v>
      </c>
      <c r="D4239" s="12" t="s">
        <v>1155</v>
      </c>
      <c r="E4239" s="12" t="s">
        <v>15008</v>
      </c>
      <c r="F4239" s="13">
        <v>115</v>
      </c>
      <c r="G4239" s="14"/>
      <c r="H4239" s="12" t="s">
        <v>38</v>
      </c>
      <c r="I4239" s="12" t="s">
        <v>159</v>
      </c>
      <c r="J4239" s="12" t="s">
        <v>341</v>
      </c>
      <c r="K4239" s="12" t="s">
        <v>199</v>
      </c>
      <c r="L4239" s="14"/>
      <c r="M4239" s="12" t="s">
        <v>43</v>
      </c>
      <c r="N4239" s="12" t="s">
        <v>84</v>
      </c>
      <c r="O4239" s="12" t="s">
        <v>15009</v>
      </c>
      <c r="P4239" s="12" t="s">
        <v>46</v>
      </c>
      <c r="Q4239" s="12" t="s">
        <v>47</v>
      </c>
      <c r="R4239" s="12" t="s">
        <v>163</v>
      </c>
      <c r="S4239" s="13">
        <v>197804530588</v>
      </c>
      <c r="T4239" s="12" t="s">
        <v>49</v>
      </c>
      <c r="U4239" s="13">
        <v>45</v>
      </c>
      <c r="V4239" s="12" t="s">
        <v>50</v>
      </c>
      <c r="W4239" s="12" t="s">
        <v>107</v>
      </c>
      <c r="X4239" s="14"/>
      <c r="Y4239" s="14"/>
      <c r="Z4239" s="14"/>
      <c r="AA4239" s="14"/>
      <c r="AB4239" s="14"/>
      <c r="AC4239" s="15">
        <v>45.5</v>
      </c>
      <c r="AD4239" s="15">
        <f>AC4239*AG4239</f>
        <v>45.5</v>
      </c>
      <c r="AE4239" s="15">
        <v>100</v>
      </c>
      <c r="AF4239" s="15">
        <f>AE4239*AG4239</f>
        <v>100</v>
      </c>
      <c r="AG4239" s="16">
        <v>1</v>
      </c>
    </row>
    <row r="4240" spans="1:33" ht="15" customHeight="1" x14ac:dyDescent="0.2">
      <c r="A4240" s="11" t="str">
        <f t="shared" si="790"/>
        <v>VN000D45NWH1</v>
      </c>
      <c r="B4240" s="12" t="s">
        <v>15010</v>
      </c>
      <c r="C4240" s="12" t="s">
        <v>956</v>
      </c>
      <c r="D4240" s="12" t="s">
        <v>7203</v>
      </c>
      <c r="E4240" s="12" t="s">
        <v>15011</v>
      </c>
      <c r="F4240" s="13">
        <v>85</v>
      </c>
      <c r="G4240" s="14"/>
      <c r="H4240" s="12" t="s">
        <v>38</v>
      </c>
      <c r="I4240" s="12" t="s">
        <v>159</v>
      </c>
      <c r="J4240" s="12" t="s">
        <v>341</v>
      </c>
      <c r="K4240" s="12" t="s">
        <v>199</v>
      </c>
      <c r="L4240" s="14"/>
      <c r="M4240" s="12" t="s">
        <v>43</v>
      </c>
      <c r="N4240" s="12" t="s">
        <v>44</v>
      </c>
      <c r="O4240" s="12" t="s">
        <v>15012</v>
      </c>
      <c r="P4240" s="12" t="s">
        <v>46</v>
      </c>
      <c r="Q4240" s="12" t="s">
        <v>47</v>
      </c>
      <c r="R4240" s="12" t="s">
        <v>163</v>
      </c>
      <c r="S4240" s="13">
        <v>197643274599</v>
      </c>
      <c r="T4240" s="12" t="s">
        <v>49</v>
      </c>
      <c r="U4240" s="13">
        <v>41</v>
      </c>
      <c r="V4240" s="12" t="s">
        <v>50</v>
      </c>
      <c r="W4240" s="12" t="s">
        <v>186</v>
      </c>
      <c r="X4240" s="12" t="s">
        <v>3847</v>
      </c>
      <c r="Y4240" s="12" t="s">
        <v>91</v>
      </c>
      <c r="Z4240" s="12" t="s">
        <v>652</v>
      </c>
      <c r="AA4240" s="14"/>
      <c r="AB4240" s="14"/>
      <c r="AC4240" s="15">
        <v>45.5</v>
      </c>
      <c r="AD4240" s="15">
        <f>AC4240*AG4240</f>
        <v>45.5</v>
      </c>
      <c r="AE4240" s="15">
        <v>100</v>
      </c>
      <c r="AF4240" s="15">
        <f>AE4240*AG4240</f>
        <v>100</v>
      </c>
      <c r="AG4240" s="16">
        <v>1</v>
      </c>
    </row>
    <row r="4241" spans="1:33" ht="15" customHeight="1" x14ac:dyDescent="0.2">
      <c r="A4241" s="11" t="str">
        <f t="shared" si="131"/>
        <v>VN000D4M2391</v>
      </c>
      <c r="B4241" s="12" t="s">
        <v>15013</v>
      </c>
      <c r="C4241" s="12" t="s">
        <v>1608</v>
      </c>
      <c r="D4241" s="12" t="s">
        <v>1609</v>
      </c>
      <c r="E4241" s="12" t="s">
        <v>15014</v>
      </c>
      <c r="F4241" s="13">
        <v>45</v>
      </c>
      <c r="G4241" s="14"/>
      <c r="H4241" s="12" t="s">
        <v>38</v>
      </c>
      <c r="I4241" s="12" t="s">
        <v>242</v>
      </c>
      <c r="J4241" s="12" t="s">
        <v>1611</v>
      </c>
      <c r="K4241" s="12" t="s">
        <v>244</v>
      </c>
      <c r="L4241" s="12" t="s">
        <v>42</v>
      </c>
      <c r="M4241" s="12" t="s">
        <v>43</v>
      </c>
      <c r="N4241" s="12" t="s">
        <v>84</v>
      </c>
      <c r="O4241" s="12" t="s">
        <v>15015</v>
      </c>
      <c r="P4241" s="12" t="s">
        <v>46</v>
      </c>
      <c r="Q4241" s="12" t="s">
        <v>47</v>
      </c>
      <c r="R4241" s="12" t="s">
        <v>48</v>
      </c>
      <c r="S4241" s="13">
        <v>197643356868</v>
      </c>
      <c r="T4241" s="12" t="s">
        <v>49</v>
      </c>
      <c r="U4241" s="13">
        <v>20</v>
      </c>
      <c r="V4241" s="12" t="s">
        <v>1468</v>
      </c>
      <c r="W4241" s="12" t="s">
        <v>455</v>
      </c>
      <c r="X4241" s="14"/>
      <c r="Y4241" s="12" t="s">
        <v>91</v>
      </c>
      <c r="Z4241" s="12" t="s">
        <v>165</v>
      </c>
      <c r="AA4241" s="14"/>
      <c r="AB4241" s="14"/>
      <c r="AC4241" s="15">
        <v>25</v>
      </c>
      <c r="AD4241" s="15">
        <f>AC4241*AG4241</f>
        <v>25</v>
      </c>
      <c r="AE4241" s="15">
        <v>55</v>
      </c>
      <c r="AF4241" s="15">
        <f>AE4241*AG4241</f>
        <v>55</v>
      </c>
      <c r="AG4241" s="16">
        <v>1</v>
      </c>
    </row>
    <row r="4242" spans="1:33" ht="15" customHeight="1" x14ac:dyDescent="0.2">
      <c r="A4242" s="11" t="str">
        <f t="shared" ref="A4242:A4244" si="1356">HYPERLINK("https://assets.vans.eu/images/VN000D4MBZW-HERO/1","VN000D4MBZW1")</f>
        <v>VN000D4MBZW1</v>
      </c>
      <c r="B4242" s="12" t="s">
        <v>15016</v>
      </c>
      <c r="C4242" s="12" t="s">
        <v>1608</v>
      </c>
      <c r="D4242" s="12" t="s">
        <v>58</v>
      </c>
      <c r="E4242" s="12" t="s">
        <v>15017</v>
      </c>
      <c r="F4242" s="13">
        <v>40</v>
      </c>
      <c r="G4242" s="14"/>
      <c r="H4242" s="12" t="s">
        <v>38</v>
      </c>
      <c r="I4242" s="12" t="s">
        <v>242</v>
      </c>
      <c r="J4242" s="12" t="s">
        <v>1611</v>
      </c>
      <c r="K4242" s="12" t="s">
        <v>244</v>
      </c>
      <c r="L4242" s="14"/>
      <c r="M4242" s="12" t="s">
        <v>43</v>
      </c>
      <c r="N4242" s="12" t="s">
        <v>44</v>
      </c>
      <c r="O4242" s="12" t="s">
        <v>15018</v>
      </c>
      <c r="P4242" s="12" t="s">
        <v>46</v>
      </c>
      <c r="Q4242" s="12" t="s">
        <v>47</v>
      </c>
      <c r="R4242" s="12" t="s">
        <v>48</v>
      </c>
      <c r="S4242" s="13">
        <v>197643356905</v>
      </c>
      <c r="T4242" s="12" t="s">
        <v>49</v>
      </c>
      <c r="U4242" s="13">
        <v>19</v>
      </c>
      <c r="V4242" s="12" t="s">
        <v>1468</v>
      </c>
      <c r="W4242" s="12" t="s">
        <v>51</v>
      </c>
      <c r="X4242" s="14"/>
      <c r="Y4242" s="12" t="s">
        <v>91</v>
      </c>
      <c r="Z4242" s="12" t="s">
        <v>165</v>
      </c>
      <c r="AA4242" s="14"/>
      <c r="AB4242" s="14"/>
      <c r="AC4242" s="15">
        <v>25</v>
      </c>
      <c r="AD4242" s="15">
        <f>AC4242*AG4242</f>
        <v>25</v>
      </c>
      <c r="AE4242" s="15">
        <v>55</v>
      </c>
      <c r="AF4242" s="15">
        <f>AE4242*AG4242</f>
        <v>55</v>
      </c>
      <c r="AG4242" s="16">
        <v>1</v>
      </c>
    </row>
    <row r="4243" spans="1:33" ht="15" customHeight="1" x14ac:dyDescent="0.2">
      <c r="A4243" s="11" t="str">
        <f t="shared" si="1356"/>
        <v>VN000D4MBZW1</v>
      </c>
      <c r="B4243" s="12" t="s">
        <v>15019</v>
      </c>
      <c r="C4243" s="12" t="s">
        <v>1608</v>
      </c>
      <c r="D4243" s="12" t="s">
        <v>58</v>
      </c>
      <c r="E4243" s="12" t="s">
        <v>15020</v>
      </c>
      <c r="F4243" s="13">
        <v>45</v>
      </c>
      <c r="G4243" s="14"/>
      <c r="H4243" s="12" t="s">
        <v>38</v>
      </c>
      <c r="I4243" s="12" t="s">
        <v>242</v>
      </c>
      <c r="J4243" s="12" t="s">
        <v>1611</v>
      </c>
      <c r="K4243" s="12" t="s">
        <v>244</v>
      </c>
      <c r="L4243" s="14"/>
      <c r="M4243" s="12" t="s">
        <v>43</v>
      </c>
      <c r="N4243" s="12" t="s">
        <v>44</v>
      </c>
      <c r="O4243" s="12" t="s">
        <v>15021</v>
      </c>
      <c r="P4243" s="12" t="s">
        <v>46</v>
      </c>
      <c r="Q4243" s="12" t="s">
        <v>47</v>
      </c>
      <c r="R4243" s="12" t="s">
        <v>48</v>
      </c>
      <c r="S4243" s="13">
        <v>197643356936</v>
      </c>
      <c r="T4243" s="12" t="s">
        <v>49</v>
      </c>
      <c r="U4243" s="13">
        <v>20</v>
      </c>
      <c r="V4243" s="12" t="s">
        <v>1468</v>
      </c>
      <c r="W4243" s="12" t="s">
        <v>51</v>
      </c>
      <c r="X4243" s="14"/>
      <c r="Y4243" s="12" t="s">
        <v>91</v>
      </c>
      <c r="Z4243" s="12" t="s">
        <v>165</v>
      </c>
      <c r="AA4243" s="14"/>
      <c r="AB4243" s="14"/>
      <c r="AC4243" s="15">
        <v>25</v>
      </c>
      <c r="AD4243" s="15">
        <f>AC4243*AG4243</f>
        <v>25</v>
      </c>
      <c r="AE4243" s="15">
        <v>55</v>
      </c>
      <c r="AF4243" s="15">
        <f>AE4243*AG4243</f>
        <v>55</v>
      </c>
      <c r="AG4243" s="16">
        <v>1</v>
      </c>
    </row>
    <row r="4244" spans="1:33" ht="15" customHeight="1" x14ac:dyDescent="0.2">
      <c r="A4244" s="11" t="str">
        <f t="shared" si="1356"/>
        <v>VN000D4MBZW1</v>
      </c>
      <c r="B4244" s="12" t="s">
        <v>15022</v>
      </c>
      <c r="C4244" s="12" t="s">
        <v>1608</v>
      </c>
      <c r="D4244" s="12" t="s">
        <v>58</v>
      </c>
      <c r="E4244" s="12" t="s">
        <v>15023</v>
      </c>
      <c r="F4244" s="13">
        <v>55</v>
      </c>
      <c r="G4244" s="14"/>
      <c r="H4244" s="12" t="s">
        <v>38</v>
      </c>
      <c r="I4244" s="12" t="s">
        <v>242</v>
      </c>
      <c r="J4244" s="12" t="s">
        <v>1611</v>
      </c>
      <c r="K4244" s="12" t="s">
        <v>244</v>
      </c>
      <c r="L4244" s="14"/>
      <c r="M4244" s="12" t="s">
        <v>43</v>
      </c>
      <c r="N4244" s="12" t="s">
        <v>44</v>
      </c>
      <c r="O4244" s="12" t="s">
        <v>15024</v>
      </c>
      <c r="P4244" s="12" t="s">
        <v>46</v>
      </c>
      <c r="Q4244" s="12" t="s">
        <v>47</v>
      </c>
      <c r="R4244" s="12" t="s">
        <v>48</v>
      </c>
      <c r="S4244" s="13">
        <v>197643356998</v>
      </c>
      <c r="T4244" s="12" t="s">
        <v>49</v>
      </c>
      <c r="U4244" s="13">
        <v>21.5</v>
      </c>
      <c r="V4244" s="12" t="s">
        <v>1468</v>
      </c>
      <c r="W4244" s="12" t="s">
        <v>51</v>
      </c>
      <c r="X4244" s="14"/>
      <c r="Y4244" s="12" t="s">
        <v>91</v>
      </c>
      <c r="Z4244" s="12" t="s">
        <v>165</v>
      </c>
      <c r="AA4244" s="14"/>
      <c r="AB4244" s="14"/>
      <c r="AC4244" s="15">
        <v>25</v>
      </c>
      <c r="AD4244" s="15">
        <f>AC4244*AG4244</f>
        <v>25</v>
      </c>
      <c r="AE4244" s="15">
        <v>55</v>
      </c>
      <c r="AF4244" s="15">
        <f>AE4244*AG4244</f>
        <v>55</v>
      </c>
      <c r="AG4244" s="16">
        <v>1</v>
      </c>
    </row>
    <row r="4245" spans="1:33" ht="15" customHeight="1" x14ac:dyDescent="0.2">
      <c r="A4245" s="11" t="str">
        <f t="shared" ref="A4245:A4246" si="1357">HYPERLINK("https://assets.vans.eu/images/VN000D4MKCZ-HERO/1","VN000D4MKCZ1")</f>
        <v>VN000D4MKCZ1</v>
      </c>
      <c r="B4245" s="12" t="s">
        <v>15025</v>
      </c>
      <c r="C4245" s="12" t="s">
        <v>1608</v>
      </c>
      <c r="D4245" s="12" t="s">
        <v>1109</v>
      </c>
      <c r="E4245" s="12" t="s">
        <v>15026</v>
      </c>
      <c r="F4245" s="13">
        <v>75</v>
      </c>
      <c r="G4245" s="14"/>
      <c r="H4245" s="12" t="s">
        <v>38</v>
      </c>
      <c r="I4245" s="12" t="s">
        <v>242</v>
      </c>
      <c r="J4245" s="12" t="s">
        <v>1611</v>
      </c>
      <c r="K4245" s="12" t="s">
        <v>244</v>
      </c>
      <c r="L4245" s="14"/>
      <c r="M4245" s="12" t="s">
        <v>43</v>
      </c>
      <c r="N4245" s="12" t="s">
        <v>84</v>
      </c>
      <c r="O4245" s="12" t="s">
        <v>15027</v>
      </c>
      <c r="P4245" s="12" t="s">
        <v>46</v>
      </c>
      <c r="Q4245" s="12" t="s">
        <v>47</v>
      </c>
      <c r="R4245" s="12" t="s">
        <v>48</v>
      </c>
      <c r="S4245" s="13">
        <v>197804449385</v>
      </c>
      <c r="T4245" s="12" t="s">
        <v>49</v>
      </c>
      <c r="U4245" s="13">
        <v>24</v>
      </c>
      <c r="V4245" s="12" t="s">
        <v>1468</v>
      </c>
      <c r="W4245" s="12" t="s">
        <v>118</v>
      </c>
      <c r="X4245" s="14"/>
      <c r="Y4245" s="14"/>
      <c r="Z4245" s="14"/>
      <c r="AA4245" s="14"/>
      <c r="AB4245" s="14"/>
      <c r="AC4245" s="15">
        <v>25</v>
      </c>
      <c r="AD4245" s="15">
        <f>AC4245*AG4245</f>
        <v>25</v>
      </c>
      <c r="AE4245" s="15">
        <v>55</v>
      </c>
      <c r="AF4245" s="15">
        <f>AE4245*AG4245</f>
        <v>55</v>
      </c>
      <c r="AG4245" s="16">
        <v>1</v>
      </c>
    </row>
    <row r="4246" spans="1:33" ht="15" customHeight="1" x14ac:dyDescent="0.2">
      <c r="A4246" s="11" t="str">
        <f t="shared" si="1357"/>
        <v>VN000D4MKCZ1</v>
      </c>
      <c r="B4246" s="12" t="s">
        <v>15028</v>
      </c>
      <c r="C4246" s="12" t="s">
        <v>1608</v>
      </c>
      <c r="D4246" s="12" t="s">
        <v>1109</v>
      </c>
      <c r="E4246" s="12" t="s">
        <v>15029</v>
      </c>
      <c r="F4246" s="13">
        <v>95</v>
      </c>
      <c r="G4246" s="14"/>
      <c r="H4246" s="12" t="s">
        <v>38</v>
      </c>
      <c r="I4246" s="12" t="s">
        <v>242</v>
      </c>
      <c r="J4246" s="12" t="s">
        <v>1611</v>
      </c>
      <c r="K4246" s="12" t="s">
        <v>244</v>
      </c>
      <c r="L4246" s="14"/>
      <c r="M4246" s="12" t="s">
        <v>43</v>
      </c>
      <c r="N4246" s="12" t="s">
        <v>84</v>
      </c>
      <c r="O4246" s="12" t="s">
        <v>15030</v>
      </c>
      <c r="P4246" s="12" t="s">
        <v>46</v>
      </c>
      <c r="Q4246" s="12" t="s">
        <v>47</v>
      </c>
      <c r="R4246" s="12" t="s">
        <v>48</v>
      </c>
      <c r="S4246" s="13">
        <v>197804449675</v>
      </c>
      <c r="T4246" s="12" t="s">
        <v>49</v>
      </c>
      <c r="U4246" s="13">
        <v>26</v>
      </c>
      <c r="V4246" s="12" t="s">
        <v>1468</v>
      </c>
      <c r="W4246" s="12" t="s">
        <v>118</v>
      </c>
      <c r="X4246" s="14"/>
      <c r="Y4246" s="14"/>
      <c r="Z4246" s="14"/>
      <c r="AA4246" s="14"/>
      <c r="AB4246" s="14"/>
      <c r="AC4246" s="15">
        <v>25</v>
      </c>
      <c r="AD4246" s="15">
        <f>AC4246*AG4246</f>
        <v>25</v>
      </c>
      <c r="AE4246" s="15">
        <v>55</v>
      </c>
      <c r="AF4246" s="15">
        <f>AE4246*AG4246</f>
        <v>55</v>
      </c>
      <c r="AG4246" s="16">
        <v>1</v>
      </c>
    </row>
    <row r="4247" spans="1:33" ht="15" customHeight="1" x14ac:dyDescent="0.2">
      <c r="A4247" s="11" t="str">
        <f t="shared" si="1050"/>
        <v>VN000D4MNVY1</v>
      </c>
      <c r="B4247" s="12" t="s">
        <v>15031</v>
      </c>
      <c r="C4247" s="12" t="s">
        <v>1608</v>
      </c>
      <c r="D4247" s="12" t="s">
        <v>2760</v>
      </c>
      <c r="E4247" s="12" t="s">
        <v>15032</v>
      </c>
      <c r="F4247" s="13">
        <v>70</v>
      </c>
      <c r="G4247" s="12" t="s">
        <v>2814</v>
      </c>
      <c r="H4247" s="12" t="s">
        <v>38</v>
      </c>
      <c r="I4247" s="12" t="s">
        <v>242</v>
      </c>
      <c r="J4247" s="12" t="s">
        <v>1611</v>
      </c>
      <c r="K4247" s="12" t="s">
        <v>244</v>
      </c>
      <c r="L4247" s="14"/>
      <c r="M4247" s="12" t="s">
        <v>43</v>
      </c>
      <c r="N4247" s="12" t="s">
        <v>44</v>
      </c>
      <c r="O4247" s="12" t="s">
        <v>15033</v>
      </c>
      <c r="P4247" s="12" t="s">
        <v>46</v>
      </c>
      <c r="Q4247" s="12" t="s">
        <v>47</v>
      </c>
      <c r="R4247" s="12" t="s">
        <v>48</v>
      </c>
      <c r="S4247" s="13">
        <v>197643357391</v>
      </c>
      <c r="T4247" s="12" t="s">
        <v>49</v>
      </c>
      <c r="U4247" s="13">
        <v>23.5</v>
      </c>
      <c r="V4247" s="12" t="s">
        <v>1468</v>
      </c>
      <c r="W4247" s="12" t="s">
        <v>284</v>
      </c>
      <c r="X4247" s="14"/>
      <c r="Y4247" s="12" t="s">
        <v>91</v>
      </c>
      <c r="Z4247" s="12" t="s">
        <v>165</v>
      </c>
      <c r="AA4247" s="14"/>
      <c r="AB4247" s="14"/>
      <c r="AC4247" s="15">
        <v>25</v>
      </c>
      <c r="AD4247" s="15">
        <f>AC4247*AG4247</f>
        <v>25</v>
      </c>
      <c r="AE4247" s="15">
        <v>55</v>
      </c>
      <c r="AF4247" s="15">
        <f>AE4247*AG4247</f>
        <v>55</v>
      </c>
      <c r="AG4247" s="16">
        <v>1</v>
      </c>
    </row>
    <row r="4248" spans="1:33" ht="15" customHeight="1" x14ac:dyDescent="0.2">
      <c r="A4248" s="11" t="str">
        <f>HYPERLINK("https://assets.vans.eu/images/VN000D4MY3K-HERO/1","VN000D4MY3K1")</f>
        <v>VN000D4MY3K1</v>
      </c>
      <c r="B4248" s="12" t="s">
        <v>15034</v>
      </c>
      <c r="C4248" s="12" t="s">
        <v>1608</v>
      </c>
      <c r="D4248" s="12" t="s">
        <v>15035</v>
      </c>
      <c r="E4248" s="12" t="s">
        <v>15036</v>
      </c>
      <c r="F4248" s="13">
        <v>70</v>
      </c>
      <c r="G4248" s="14"/>
      <c r="H4248" s="12" t="s">
        <v>38</v>
      </c>
      <c r="I4248" s="12" t="s">
        <v>242</v>
      </c>
      <c r="J4248" s="12" t="s">
        <v>1611</v>
      </c>
      <c r="K4248" s="12" t="s">
        <v>244</v>
      </c>
      <c r="L4248" s="14"/>
      <c r="M4248" s="12" t="s">
        <v>43</v>
      </c>
      <c r="N4248" s="12" t="s">
        <v>44</v>
      </c>
      <c r="O4248" s="12" t="s">
        <v>15037</v>
      </c>
      <c r="P4248" s="12" t="s">
        <v>46</v>
      </c>
      <c r="Q4248" s="12" t="s">
        <v>47</v>
      </c>
      <c r="R4248" s="12" t="s">
        <v>48</v>
      </c>
      <c r="S4248" s="13">
        <v>197643357735</v>
      </c>
      <c r="T4248" s="12" t="s">
        <v>49</v>
      </c>
      <c r="U4248" s="13">
        <v>23.5</v>
      </c>
      <c r="V4248" s="12" t="s">
        <v>1468</v>
      </c>
      <c r="W4248" s="12" t="s">
        <v>299</v>
      </c>
      <c r="X4248" s="14"/>
      <c r="Y4248" s="12" t="s">
        <v>91</v>
      </c>
      <c r="Z4248" s="12" t="s">
        <v>165</v>
      </c>
      <c r="AA4248" s="14"/>
      <c r="AB4248" s="14"/>
      <c r="AC4248" s="15">
        <v>25</v>
      </c>
      <c r="AD4248" s="15">
        <f>AC4248*AG4248</f>
        <v>25</v>
      </c>
      <c r="AE4248" s="15">
        <v>55</v>
      </c>
      <c r="AF4248" s="15">
        <f>AE4248*AG4248</f>
        <v>55</v>
      </c>
      <c r="AG4248" s="16">
        <v>1</v>
      </c>
    </row>
    <row r="4249" spans="1:33" ht="15" customHeight="1" x14ac:dyDescent="0.2">
      <c r="A4249" s="11" t="str">
        <f>HYPERLINK("https://assets.vans.eu/images/VN000D4MY6Z-HERO/1","VN000D4MY6Z1")</f>
        <v>VN000D4MY6Z1</v>
      </c>
      <c r="B4249" s="12" t="s">
        <v>15038</v>
      </c>
      <c r="C4249" s="12" t="s">
        <v>1608</v>
      </c>
      <c r="D4249" s="12" t="s">
        <v>15039</v>
      </c>
      <c r="E4249" s="12" t="s">
        <v>15040</v>
      </c>
      <c r="F4249" s="13">
        <v>70</v>
      </c>
      <c r="G4249" s="14"/>
      <c r="H4249" s="12" t="s">
        <v>38</v>
      </c>
      <c r="I4249" s="12" t="s">
        <v>242</v>
      </c>
      <c r="J4249" s="12" t="s">
        <v>1611</v>
      </c>
      <c r="K4249" s="12" t="s">
        <v>244</v>
      </c>
      <c r="L4249" s="14"/>
      <c r="M4249" s="12" t="s">
        <v>43</v>
      </c>
      <c r="N4249" s="12" t="s">
        <v>44</v>
      </c>
      <c r="O4249" s="12" t="s">
        <v>15041</v>
      </c>
      <c r="P4249" s="12" t="s">
        <v>46</v>
      </c>
      <c r="Q4249" s="12" t="s">
        <v>47</v>
      </c>
      <c r="R4249" s="12" t="s">
        <v>48</v>
      </c>
      <c r="S4249" s="13">
        <v>197643358558</v>
      </c>
      <c r="T4249" s="12" t="s">
        <v>49</v>
      </c>
      <c r="U4249" s="13">
        <v>23.5</v>
      </c>
      <c r="V4249" s="12" t="s">
        <v>1468</v>
      </c>
      <c r="W4249" s="12" t="s">
        <v>284</v>
      </c>
      <c r="X4249" s="14"/>
      <c r="Y4249" s="12" t="s">
        <v>91</v>
      </c>
      <c r="Z4249" s="12" t="s">
        <v>165</v>
      </c>
      <c r="AA4249" s="14"/>
      <c r="AB4249" s="14"/>
      <c r="AC4249" s="15">
        <v>25</v>
      </c>
      <c r="AD4249" s="15">
        <f>AC4249*AG4249</f>
        <v>25</v>
      </c>
      <c r="AE4249" s="15">
        <v>55</v>
      </c>
      <c r="AF4249" s="15">
        <f>AE4249*AG4249</f>
        <v>55</v>
      </c>
      <c r="AG4249" s="16">
        <v>1</v>
      </c>
    </row>
    <row r="4250" spans="1:33" ht="15" customHeight="1" x14ac:dyDescent="0.2">
      <c r="A4250" s="11" t="str">
        <f t="shared" ref="A4250:A4251" si="1358">HYPERLINK("https://assets.vans.eu/images/VN000D4N141-HERO/1","VN000D4N1411")</f>
        <v>VN000D4N1411</v>
      </c>
      <c r="B4250" s="12" t="s">
        <v>15042</v>
      </c>
      <c r="C4250" s="12" t="s">
        <v>251</v>
      </c>
      <c r="D4250" s="12" t="s">
        <v>15043</v>
      </c>
      <c r="E4250" s="12" t="s">
        <v>15044</v>
      </c>
      <c r="F4250" s="13">
        <v>10</v>
      </c>
      <c r="G4250" s="12" t="s">
        <v>4997</v>
      </c>
      <c r="H4250" s="12" t="s">
        <v>38</v>
      </c>
      <c r="I4250" s="12" t="s">
        <v>39</v>
      </c>
      <c r="J4250" s="12" t="s">
        <v>2430</v>
      </c>
      <c r="K4250" s="12" t="s">
        <v>41</v>
      </c>
      <c r="L4250" s="14"/>
      <c r="M4250" s="12" t="s">
        <v>43</v>
      </c>
      <c r="N4250" s="12" t="s">
        <v>84</v>
      </c>
      <c r="O4250" s="12" t="s">
        <v>15045</v>
      </c>
      <c r="P4250" s="12" t="s">
        <v>46</v>
      </c>
      <c r="Q4250" s="12" t="s">
        <v>47</v>
      </c>
      <c r="R4250" s="12" t="s">
        <v>48</v>
      </c>
      <c r="S4250" s="13">
        <v>197804447473</v>
      </c>
      <c r="T4250" s="12" t="s">
        <v>49</v>
      </c>
      <c r="U4250" s="13">
        <v>31.5</v>
      </c>
      <c r="V4250" s="12" t="s">
        <v>1468</v>
      </c>
      <c r="W4250" s="12" t="s">
        <v>51</v>
      </c>
      <c r="X4250" s="14"/>
      <c r="Y4250" s="14"/>
      <c r="Z4250" s="14"/>
      <c r="AA4250" s="14"/>
      <c r="AB4250" s="14"/>
      <c r="AC4250" s="15">
        <v>29.55</v>
      </c>
      <c r="AD4250" s="15">
        <f>AC4250*AG4250</f>
        <v>29.55</v>
      </c>
      <c r="AE4250" s="15">
        <v>65</v>
      </c>
      <c r="AF4250" s="15">
        <f>AE4250*AG4250</f>
        <v>65</v>
      </c>
      <c r="AG4250" s="16">
        <v>1</v>
      </c>
    </row>
    <row r="4251" spans="1:33" ht="15" customHeight="1" x14ac:dyDescent="0.2">
      <c r="A4251" s="11" t="str">
        <f t="shared" si="1358"/>
        <v>VN000D4N1411</v>
      </c>
      <c r="B4251" s="12" t="s">
        <v>15046</v>
      </c>
      <c r="C4251" s="12" t="s">
        <v>251</v>
      </c>
      <c r="D4251" s="12" t="s">
        <v>15043</v>
      </c>
      <c r="E4251" s="12" t="s">
        <v>15047</v>
      </c>
      <c r="F4251" s="13">
        <v>25</v>
      </c>
      <c r="G4251" s="12" t="s">
        <v>4997</v>
      </c>
      <c r="H4251" s="12" t="s">
        <v>38</v>
      </c>
      <c r="I4251" s="12" t="s">
        <v>39</v>
      </c>
      <c r="J4251" s="12" t="s">
        <v>2430</v>
      </c>
      <c r="K4251" s="12" t="s">
        <v>41</v>
      </c>
      <c r="L4251" s="14"/>
      <c r="M4251" s="12" t="s">
        <v>43</v>
      </c>
      <c r="N4251" s="12" t="s">
        <v>84</v>
      </c>
      <c r="O4251" s="12" t="s">
        <v>15048</v>
      </c>
      <c r="P4251" s="12" t="s">
        <v>46</v>
      </c>
      <c r="Q4251" s="12" t="s">
        <v>47</v>
      </c>
      <c r="R4251" s="12" t="s">
        <v>48</v>
      </c>
      <c r="S4251" s="13">
        <v>197804447947</v>
      </c>
      <c r="T4251" s="12" t="s">
        <v>49</v>
      </c>
      <c r="U4251" s="13">
        <v>33</v>
      </c>
      <c r="V4251" s="12" t="s">
        <v>1468</v>
      </c>
      <c r="W4251" s="12" t="s">
        <v>51</v>
      </c>
      <c r="X4251" s="14"/>
      <c r="Y4251" s="14"/>
      <c r="Z4251" s="14"/>
      <c r="AA4251" s="14"/>
      <c r="AB4251" s="14"/>
      <c r="AC4251" s="15">
        <v>29.55</v>
      </c>
      <c r="AD4251" s="15">
        <f>AC4251*AG4251</f>
        <v>29.55</v>
      </c>
      <c r="AE4251" s="15">
        <v>65</v>
      </c>
      <c r="AF4251" s="15">
        <f>AE4251*AG4251</f>
        <v>65</v>
      </c>
      <c r="AG4251" s="16">
        <v>1</v>
      </c>
    </row>
    <row r="4252" spans="1:33" ht="15" customHeight="1" x14ac:dyDescent="0.2">
      <c r="A4252" s="11" t="str">
        <f>HYPERLINK("https://assets.vans.eu/images/VN000D4N208-HERO/1","VN000D4N2081")</f>
        <v>VN000D4N2081</v>
      </c>
      <c r="B4252" s="12" t="s">
        <v>15049</v>
      </c>
      <c r="C4252" s="12" t="s">
        <v>251</v>
      </c>
      <c r="D4252" s="12" t="s">
        <v>4995</v>
      </c>
      <c r="E4252" s="12" t="s">
        <v>15050</v>
      </c>
      <c r="F4252" s="13">
        <v>130</v>
      </c>
      <c r="G4252" s="12" t="s">
        <v>4997</v>
      </c>
      <c r="H4252" s="12" t="s">
        <v>38</v>
      </c>
      <c r="I4252" s="12" t="s">
        <v>39</v>
      </c>
      <c r="J4252" s="12" t="s">
        <v>2430</v>
      </c>
      <c r="K4252" s="12" t="s">
        <v>41</v>
      </c>
      <c r="L4252" s="14"/>
      <c r="M4252" s="12" t="s">
        <v>43</v>
      </c>
      <c r="N4252" s="12" t="s">
        <v>84</v>
      </c>
      <c r="O4252" s="12" t="s">
        <v>15051</v>
      </c>
      <c r="P4252" s="12" t="s">
        <v>46</v>
      </c>
      <c r="Q4252" s="12" t="s">
        <v>47</v>
      </c>
      <c r="R4252" s="12" t="s">
        <v>48</v>
      </c>
      <c r="S4252" s="13">
        <v>197804449392</v>
      </c>
      <c r="T4252" s="12" t="s">
        <v>49</v>
      </c>
      <c r="U4252" s="13">
        <v>30.5</v>
      </c>
      <c r="V4252" s="12" t="s">
        <v>1468</v>
      </c>
      <c r="W4252" s="12" t="s">
        <v>455</v>
      </c>
      <c r="X4252" s="14"/>
      <c r="Y4252" s="14"/>
      <c r="Z4252" s="14"/>
      <c r="AA4252" s="14"/>
      <c r="AB4252" s="14"/>
      <c r="AC4252" s="15">
        <v>29.55</v>
      </c>
      <c r="AD4252" s="15">
        <f>AC4252*AG4252</f>
        <v>29.55</v>
      </c>
      <c r="AE4252" s="15">
        <v>65</v>
      </c>
      <c r="AF4252" s="15">
        <f>AE4252*AG4252</f>
        <v>65</v>
      </c>
      <c r="AG4252" s="16">
        <v>1</v>
      </c>
    </row>
    <row r="4253" spans="1:33" ht="15" customHeight="1" x14ac:dyDescent="0.2">
      <c r="A4253" s="11" t="str">
        <f t="shared" ref="A4253:A4256" si="1359">HYPERLINK("https://assets.vans.eu/images/VN000D4N2B6-HERO/1","VN000D4N2B61")</f>
        <v>VN000D4N2B61</v>
      </c>
      <c r="B4253" s="12" t="s">
        <v>15052</v>
      </c>
      <c r="C4253" s="12" t="s">
        <v>251</v>
      </c>
      <c r="D4253" s="12" t="s">
        <v>4375</v>
      </c>
      <c r="E4253" s="12" t="s">
        <v>15053</v>
      </c>
      <c r="F4253" s="13">
        <v>10</v>
      </c>
      <c r="G4253" s="14"/>
      <c r="H4253" s="12" t="s">
        <v>38</v>
      </c>
      <c r="I4253" s="12" t="s">
        <v>39</v>
      </c>
      <c r="J4253" s="12" t="s">
        <v>2430</v>
      </c>
      <c r="K4253" s="12" t="s">
        <v>41</v>
      </c>
      <c r="L4253" s="14"/>
      <c r="M4253" s="12" t="s">
        <v>43</v>
      </c>
      <c r="N4253" s="12" t="s">
        <v>84</v>
      </c>
      <c r="O4253" s="12" t="s">
        <v>15054</v>
      </c>
      <c r="P4253" s="12" t="s">
        <v>46</v>
      </c>
      <c r="Q4253" s="12" t="s">
        <v>47</v>
      </c>
      <c r="R4253" s="12" t="s">
        <v>48</v>
      </c>
      <c r="S4253" s="13">
        <v>197804447824</v>
      </c>
      <c r="T4253" s="12" t="s">
        <v>49</v>
      </c>
      <c r="U4253" s="13">
        <v>31.5</v>
      </c>
      <c r="V4253" s="12" t="s">
        <v>1468</v>
      </c>
      <c r="W4253" s="12" t="s">
        <v>51</v>
      </c>
      <c r="X4253" s="14"/>
      <c r="Y4253" s="14"/>
      <c r="Z4253" s="14"/>
      <c r="AA4253" s="14"/>
      <c r="AB4253" s="14"/>
      <c r="AC4253" s="15">
        <v>29.55</v>
      </c>
      <c r="AD4253" s="15">
        <f>AC4253*AG4253</f>
        <v>29.55</v>
      </c>
      <c r="AE4253" s="15">
        <v>65</v>
      </c>
      <c r="AF4253" s="15">
        <f>AE4253*AG4253</f>
        <v>65</v>
      </c>
      <c r="AG4253" s="16">
        <v>1</v>
      </c>
    </row>
    <row r="4254" spans="1:33" ht="15" customHeight="1" x14ac:dyDescent="0.2">
      <c r="A4254" s="11" t="str">
        <f t="shared" si="1359"/>
        <v>VN000D4N2B61</v>
      </c>
      <c r="B4254" s="12" t="s">
        <v>15055</v>
      </c>
      <c r="C4254" s="12" t="s">
        <v>251</v>
      </c>
      <c r="D4254" s="12" t="s">
        <v>4375</v>
      </c>
      <c r="E4254" s="12" t="s">
        <v>15056</v>
      </c>
      <c r="F4254" s="13">
        <v>15</v>
      </c>
      <c r="G4254" s="14"/>
      <c r="H4254" s="12" t="s">
        <v>38</v>
      </c>
      <c r="I4254" s="12" t="s">
        <v>39</v>
      </c>
      <c r="J4254" s="12" t="s">
        <v>2430</v>
      </c>
      <c r="K4254" s="12" t="s">
        <v>41</v>
      </c>
      <c r="L4254" s="14"/>
      <c r="M4254" s="12" t="s">
        <v>43</v>
      </c>
      <c r="N4254" s="12" t="s">
        <v>84</v>
      </c>
      <c r="O4254" s="12" t="s">
        <v>15057</v>
      </c>
      <c r="P4254" s="12" t="s">
        <v>46</v>
      </c>
      <c r="Q4254" s="12" t="s">
        <v>47</v>
      </c>
      <c r="R4254" s="12" t="s">
        <v>48</v>
      </c>
      <c r="S4254" s="13">
        <v>197804448043</v>
      </c>
      <c r="T4254" s="12" t="s">
        <v>49</v>
      </c>
      <c r="U4254" s="13">
        <v>32</v>
      </c>
      <c r="V4254" s="12" t="s">
        <v>1468</v>
      </c>
      <c r="W4254" s="12" t="s">
        <v>51</v>
      </c>
      <c r="X4254" s="14"/>
      <c r="Y4254" s="14"/>
      <c r="Z4254" s="14"/>
      <c r="AA4254" s="14"/>
      <c r="AB4254" s="14"/>
      <c r="AC4254" s="15">
        <v>29.55</v>
      </c>
      <c r="AD4254" s="15">
        <f>AC4254*AG4254</f>
        <v>29.55</v>
      </c>
      <c r="AE4254" s="15">
        <v>65</v>
      </c>
      <c r="AF4254" s="15">
        <f>AE4254*AG4254</f>
        <v>65</v>
      </c>
      <c r="AG4254" s="16">
        <v>1</v>
      </c>
    </row>
    <row r="4255" spans="1:33" ht="15" customHeight="1" x14ac:dyDescent="0.2">
      <c r="A4255" s="11" t="str">
        <f t="shared" si="1359"/>
        <v>VN000D4N2B61</v>
      </c>
      <c r="B4255" s="12" t="s">
        <v>15058</v>
      </c>
      <c r="C4255" s="12" t="s">
        <v>251</v>
      </c>
      <c r="D4255" s="12" t="s">
        <v>4375</v>
      </c>
      <c r="E4255" s="12" t="s">
        <v>15059</v>
      </c>
      <c r="F4255" s="13">
        <v>25</v>
      </c>
      <c r="G4255" s="14"/>
      <c r="H4255" s="12" t="s">
        <v>38</v>
      </c>
      <c r="I4255" s="12" t="s">
        <v>39</v>
      </c>
      <c r="J4255" s="12" t="s">
        <v>2430</v>
      </c>
      <c r="K4255" s="12" t="s">
        <v>41</v>
      </c>
      <c r="L4255" s="14"/>
      <c r="M4255" s="12" t="s">
        <v>43</v>
      </c>
      <c r="N4255" s="12" t="s">
        <v>84</v>
      </c>
      <c r="O4255" s="12" t="s">
        <v>15060</v>
      </c>
      <c r="P4255" s="12" t="s">
        <v>46</v>
      </c>
      <c r="Q4255" s="12" t="s">
        <v>47</v>
      </c>
      <c r="R4255" s="12" t="s">
        <v>48</v>
      </c>
      <c r="S4255" s="13">
        <v>197804448357</v>
      </c>
      <c r="T4255" s="12" t="s">
        <v>49</v>
      </c>
      <c r="U4255" s="13">
        <v>33</v>
      </c>
      <c r="V4255" s="12" t="s">
        <v>1468</v>
      </c>
      <c r="W4255" s="12" t="s">
        <v>51</v>
      </c>
      <c r="X4255" s="14"/>
      <c r="Y4255" s="14"/>
      <c r="Z4255" s="14"/>
      <c r="AA4255" s="14"/>
      <c r="AB4255" s="14"/>
      <c r="AC4255" s="15">
        <v>29.55</v>
      </c>
      <c r="AD4255" s="15">
        <f>AC4255*AG4255</f>
        <v>29.55</v>
      </c>
      <c r="AE4255" s="15">
        <v>65</v>
      </c>
      <c r="AF4255" s="15">
        <f>AE4255*AG4255</f>
        <v>65</v>
      </c>
      <c r="AG4255" s="16">
        <v>1</v>
      </c>
    </row>
    <row r="4256" spans="1:33" ht="15" customHeight="1" x14ac:dyDescent="0.2">
      <c r="A4256" s="11" t="str">
        <f t="shared" si="1359"/>
        <v>VN000D4N2B61</v>
      </c>
      <c r="B4256" s="12" t="s">
        <v>15061</v>
      </c>
      <c r="C4256" s="12" t="s">
        <v>251</v>
      </c>
      <c r="D4256" s="12" t="s">
        <v>4375</v>
      </c>
      <c r="E4256" s="12" t="s">
        <v>15062</v>
      </c>
      <c r="F4256" s="13">
        <v>135</v>
      </c>
      <c r="G4256" s="14"/>
      <c r="H4256" s="12" t="s">
        <v>38</v>
      </c>
      <c r="I4256" s="12" t="s">
        <v>39</v>
      </c>
      <c r="J4256" s="12" t="s">
        <v>2430</v>
      </c>
      <c r="K4256" s="12" t="s">
        <v>41</v>
      </c>
      <c r="L4256" s="14"/>
      <c r="M4256" s="12" t="s">
        <v>43</v>
      </c>
      <c r="N4256" s="12" t="s">
        <v>84</v>
      </c>
      <c r="O4256" s="12" t="s">
        <v>15063</v>
      </c>
      <c r="P4256" s="12" t="s">
        <v>46</v>
      </c>
      <c r="Q4256" s="12" t="s">
        <v>47</v>
      </c>
      <c r="R4256" s="12" t="s">
        <v>48</v>
      </c>
      <c r="S4256" s="13">
        <v>197804449361</v>
      </c>
      <c r="T4256" s="12" t="s">
        <v>49</v>
      </c>
      <c r="U4256" s="13">
        <v>31</v>
      </c>
      <c r="V4256" s="12" t="s">
        <v>1468</v>
      </c>
      <c r="W4256" s="12" t="s">
        <v>51</v>
      </c>
      <c r="X4256" s="14"/>
      <c r="Y4256" s="14"/>
      <c r="Z4256" s="14"/>
      <c r="AA4256" s="14"/>
      <c r="AB4256" s="14"/>
      <c r="AC4256" s="15">
        <v>29.55</v>
      </c>
      <c r="AD4256" s="15">
        <f>AC4256*AG4256</f>
        <v>29.55</v>
      </c>
      <c r="AE4256" s="15">
        <v>65</v>
      </c>
      <c r="AF4256" s="15">
        <f>AE4256*AG4256</f>
        <v>65</v>
      </c>
      <c r="AG4256" s="16">
        <v>1</v>
      </c>
    </row>
    <row r="4257" spans="1:33" ht="15" customHeight="1" x14ac:dyDescent="0.2">
      <c r="A4257" s="11" t="str">
        <f t="shared" ref="A4257:A4258" si="1360">HYPERLINK("https://assets.vans.eu/images/VN000D4NBZW-HERO/1","VN000D4NBZW1")</f>
        <v>VN000D4NBZW1</v>
      </c>
      <c r="B4257" s="12" t="s">
        <v>15064</v>
      </c>
      <c r="C4257" s="12" t="s">
        <v>251</v>
      </c>
      <c r="D4257" s="12" t="s">
        <v>58</v>
      </c>
      <c r="E4257" s="12" t="s">
        <v>15065</v>
      </c>
      <c r="F4257" s="13">
        <v>15</v>
      </c>
      <c r="G4257" s="14"/>
      <c r="H4257" s="12" t="s">
        <v>38</v>
      </c>
      <c r="I4257" s="12" t="s">
        <v>39</v>
      </c>
      <c r="J4257" s="12" t="s">
        <v>2430</v>
      </c>
      <c r="K4257" s="12" t="s">
        <v>41</v>
      </c>
      <c r="L4257" s="14"/>
      <c r="M4257" s="12" t="s">
        <v>43</v>
      </c>
      <c r="N4257" s="12" t="s">
        <v>44</v>
      </c>
      <c r="O4257" s="12" t="s">
        <v>15066</v>
      </c>
      <c r="P4257" s="12" t="s">
        <v>46</v>
      </c>
      <c r="Q4257" s="12" t="s">
        <v>47</v>
      </c>
      <c r="R4257" s="12" t="s">
        <v>48</v>
      </c>
      <c r="S4257" s="13">
        <v>197643357254</v>
      </c>
      <c r="T4257" s="12" t="s">
        <v>49</v>
      </c>
      <c r="U4257" s="13">
        <v>32</v>
      </c>
      <c r="V4257" s="12" t="s">
        <v>1468</v>
      </c>
      <c r="W4257" s="12" t="s">
        <v>51</v>
      </c>
      <c r="X4257" s="14"/>
      <c r="Y4257" s="12" t="s">
        <v>91</v>
      </c>
      <c r="Z4257" s="12" t="s">
        <v>165</v>
      </c>
      <c r="AA4257" s="14"/>
      <c r="AB4257" s="14"/>
      <c r="AC4257" s="15">
        <v>29.55</v>
      </c>
      <c r="AD4257" s="15">
        <f>AC4257*AG4257</f>
        <v>29.55</v>
      </c>
      <c r="AE4257" s="15">
        <v>65</v>
      </c>
      <c r="AF4257" s="15">
        <f>AE4257*AG4257</f>
        <v>65</v>
      </c>
      <c r="AG4257" s="16">
        <v>1</v>
      </c>
    </row>
    <row r="4258" spans="1:33" ht="15" customHeight="1" x14ac:dyDescent="0.2">
      <c r="A4258" s="11" t="str">
        <f t="shared" si="1360"/>
        <v>VN000D4NBZW1</v>
      </c>
      <c r="B4258" s="12" t="s">
        <v>15067</v>
      </c>
      <c r="C4258" s="12" t="s">
        <v>251</v>
      </c>
      <c r="D4258" s="12" t="s">
        <v>58</v>
      </c>
      <c r="E4258" s="12" t="s">
        <v>15068</v>
      </c>
      <c r="F4258" s="13">
        <v>20</v>
      </c>
      <c r="G4258" s="14"/>
      <c r="H4258" s="12" t="s">
        <v>38</v>
      </c>
      <c r="I4258" s="12" t="s">
        <v>39</v>
      </c>
      <c r="J4258" s="12" t="s">
        <v>2430</v>
      </c>
      <c r="K4258" s="12" t="s">
        <v>41</v>
      </c>
      <c r="L4258" s="14"/>
      <c r="M4258" s="12" t="s">
        <v>43</v>
      </c>
      <c r="N4258" s="12" t="s">
        <v>44</v>
      </c>
      <c r="O4258" s="12" t="s">
        <v>15069</v>
      </c>
      <c r="P4258" s="12" t="s">
        <v>46</v>
      </c>
      <c r="Q4258" s="12" t="s">
        <v>47</v>
      </c>
      <c r="R4258" s="12" t="s">
        <v>48</v>
      </c>
      <c r="S4258" s="13">
        <v>197643357445</v>
      </c>
      <c r="T4258" s="12" t="s">
        <v>49</v>
      </c>
      <c r="U4258" s="13">
        <v>32.5</v>
      </c>
      <c r="V4258" s="12" t="s">
        <v>1468</v>
      </c>
      <c r="W4258" s="12" t="s">
        <v>51</v>
      </c>
      <c r="X4258" s="14"/>
      <c r="Y4258" s="12" t="s">
        <v>91</v>
      </c>
      <c r="Z4258" s="12" t="s">
        <v>165</v>
      </c>
      <c r="AA4258" s="14"/>
      <c r="AB4258" s="14"/>
      <c r="AC4258" s="15">
        <v>29.55</v>
      </c>
      <c r="AD4258" s="15">
        <f>AC4258*AG4258</f>
        <v>29.55</v>
      </c>
      <c r="AE4258" s="15">
        <v>65</v>
      </c>
      <c r="AF4258" s="15">
        <f>AE4258*AG4258</f>
        <v>65</v>
      </c>
      <c r="AG4258" s="16">
        <v>1</v>
      </c>
    </row>
    <row r="4259" spans="1:33" ht="15" customHeight="1" x14ac:dyDescent="0.2">
      <c r="A4259" s="11" t="str">
        <f t="shared" ref="A4259:A4260" si="1361">HYPERLINK("https://assets.vans.eu/images/VN000D4NDJR-HERO/1","VN000D4NDJR1")</f>
        <v>VN000D4NDJR1</v>
      </c>
      <c r="B4259" s="12" t="s">
        <v>15070</v>
      </c>
      <c r="C4259" s="12" t="s">
        <v>251</v>
      </c>
      <c r="D4259" s="12" t="s">
        <v>2829</v>
      </c>
      <c r="E4259" s="12" t="s">
        <v>15071</v>
      </c>
      <c r="F4259" s="13">
        <v>105</v>
      </c>
      <c r="G4259" s="12" t="s">
        <v>3002</v>
      </c>
      <c r="H4259" s="12" t="s">
        <v>38</v>
      </c>
      <c r="I4259" s="12" t="s">
        <v>39</v>
      </c>
      <c r="J4259" s="12" t="s">
        <v>2430</v>
      </c>
      <c r="K4259" s="12" t="s">
        <v>41</v>
      </c>
      <c r="L4259" s="14"/>
      <c r="M4259" s="12" t="s">
        <v>43</v>
      </c>
      <c r="N4259" s="12" t="s">
        <v>84</v>
      </c>
      <c r="O4259" s="12" t="s">
        <v>15072</v>
      </c>
      <c r="P4259" s="12" t="s">
        <v>46</v>
      </c>
      <c r="Q4259" s="12" t="s">
        <v>47</v>
      </c>
      <c r="R4259" s="12" t="s">
        <v>48</v>
      </c>
      <c r="S4259" s="13">
        <v>197804449163</v>
      </c>
      <c r="T4259" s="12" t="s">
        <v>49</v>
      </c>
      <c r="U4259" s="13">
        <v>27</v>
      </c>
      <c r="V4259" s="12" t="s">
        <v>1468</v>
      </c>
      <c r="W4259" s="12" t="s">
        <v>175</v>
      </c>
      <c r="X4259" s="14"/>
      <c r="Y4259" s="14"/>
      <c r="Z4259" s="14"/>
      <c r="AA4259" s="14"/>
      <c r="AB4259" s="14"/>
      <c r="AC4259" s="15">
        <v>29.55</v>
      </c>
      <c r="AD4259" s="15">
        <f>AC4259*AG4259</f>
        <v>29.55</v>
      </c>
      <c r="AE4259" s="15">
        <v>65</v>
      </c>
      <c r="AF4259" s="15">
        <f>AE4259*AG4259</f>
        <v>65</v>
      </c>
      <c r="AG4259" s="16">
        <v>1</v>
      </c>
    </row>
    <row r="4260" spans="1:33" ht="15" customHeight="1" x14ac:dyDescent="0.2">
      <c r="A4260" s="11" t="str">
        <f t="shared" si="1361"/>
        <v>VN000D4NDJR1</v>
      </c>
      <c r="B4260" s="12" t="s">
        <v>15073</v>
      </c>
      <c r="C4260" s="12" t="s">
        <v>251</v>
      </c>
      <c r="D4260" s="12" t="s">
        <v>2829</v>
      </c>
      <c r="E4260" s="12" t="s">
        <v>15074</v>
      </c>
      <c r="F4260" s="13">
        <v>135</v>
      </c>
      <c r="G4260" s="12" t="s">
        <v>3002</v>
      </c>
      <c r="H4260" s="12" t="s">
        <v>38</v>
      </c>
      <c r="I4260" s="12" t="s">
        <v>39</v>
      </c>
      <c r="J4260" s="12" t="s">
        <v>2430</v>
      </c>
      <c r="K4260" s="12" t="s">
        <v>41</v>
      </c>
      <c r="L4260" s="14"/>
      <c r="M4260" s="12" t="s">
        <v>43</v>
      </c>
      <c r="N4260" s="12" t="s">
        <v>84</v>
      </c>
      <c r="O4260" s="12" t="s">
        <v>15075</v>
      </c>
      <c r="P4260" s="12" t="s">
        <v>46</v>
      </c>
      <c r="Q4260" s="12" t="s">
        <v>47</v>
      </c>
      <c r="R4260" s="12" t="s">
        <v>48</v>
      </c>
      <c r="S4260" s="13">
        <v>197804449743</v>
      </c>
      <c r="T4260" s="12" t="s">
        <v>49</v>
      </c>
      <c r="U4260" s="13">
        <v>31</v>
      </c>
      <c r="V4260" s="12" t="s">
        <v>1468</v>
      </c>
      <c r="W4260" s="12" t="s">
        <v>175</v>
      </c>
      <c r="X4260" s="14"/>
      <c r="Y4260" s="14"/>
      <c r="Z4260" s="14"/>
      <c r="AA4260" s="14"/>
      <c r="AB4260" s="14"/>
      <c r="AC4260" s="15">
        <v>29.55</v>
      </c>
      <c r="AD4260" s="15">
        <f>AC4260*AG4260</f>
        <v>29.55</v>
      </c>
      <c r="AE4260" s="15">
        <v>65</v>
      </c>
      <c r="AF4260" s="15">
        <f>AE4260*AG4260</f>
        <v>65</v>
      </c>
      <c r="AG4260" s="16">
        <v>1</v>
      </c>
    </row>
    <row r="4261" spans="1:33" ht="15" customHeight="1" x14ac:dyDescent="0.2">
      <c r="A4261" s="11" t="str">
        <f t="shared" ref="A4261:A4262" si="1362">HYPERLINK("https://assets.vans.eu/images/VN000D4NKCZ-HERO/1","VN000D4NKCZ1")</f>
        <v>VN000D4NKCZ1</v>
      </c>
      <c r="B4261" s="12" t="s">
        <v>15076</v>
      </c>
      <c r="C4261" s="12" t="s">
        <v>251</v>
      </c>
      <c r="D4261" s="12" t="s">
        <v>1109</v>
      </c>
      <c r="E4261" s="12" t="s">
        <v>15077</v>
      </c>
      <c r="F4261" s="13">
        <v>30</v>
      </c>
      <c r="G4261" s="14"/>
      <c r="H4261" s="12" t="s">
        <v>38</v>
      </c>
      <c r="I4261" s="12" t="s">
        <v>39</v>
      </c>
      <c r="J4261" s="12" t="s">
        <v>2430</v>
      </c>
      <c r="K4261" s="12" t="s">
        <v>41</v>
      </c>
      <c r="L4261" s="14"/>
      <c r="M4261" s="12" t="s">
        <v>43</v>
      </c>
      <c r="N4261" s="12" t="s">
        <v>84</v>
      </c>
      <c r="O4261" s="12" t="s">
        <v>15078</v>
      </c>
      <c r="P4261" s="12" t="s">
        <v>46</v>
      </c>
      <c r="Q4261" s="12" t="s">
        <v>47</v>
      </c>
      <c r="R4261" s="12" t="s">
        <v>48</v>
      </c>
      <c r="S4261" s="13">
        <v>197804449798</v>
      </c>
      <c r="T4261" s="12" t="s">
        <v>49</v>
      </c>
      <c r="U4261" s="13">
        <v>34</v>
      </c>
      <c r="V4261" s="12" t="s">
        <v>1468</v>
      </c>
      <c r="W4261" s="12" t="s">
        <v>118</v>
      </c>
      <c r="X4261" s="14"/>
      <c r="Y4261" s="14"/>
      <c r="Z4261" s="14"/>
      <c r="AA4261" s="14"/>
      <c r="AB4261" s="14"/>
      <c r="AC4261" s="15">
        <v>29.55</v>
      </c>
      <c r="AD4261" s="15">
        <f>AC4261*AG4261</f>
        <v>29.55</v>
      </c>
      <c r="AE4261" s="15">
        <v>65</v>
      </c>
      <c r="AF4261" s="15">
        <f>AE4261*AG4261</f>
        <v>65</v>
      </c>
      <c r="AG4261" s="16">
        <v>1</v>
      </c>
    </row>
    <row r="4262" spans="1:33" ht="15" customHeight="1" x14ac:dyDescent="0.2">
      <c r="A4262" s="11" t="str">
        <f t="shared" si="1362"/>
        <v>VN000D4NKCZ1</v>
      </c>
      <c r="B4262" s="12" t="s">
        <v>15079</v>
      </c>
      <c r="C4262" s="12" t="s">
        <v>251</v>
      </c>
      <c r="D4262" s="12" t="s">
        <v>1109</v>
      </c>
      <c r="E4262" s="12" t="s">
        <v>15080</v>
      </c>
      <c r="F4262" s="13">
        <v>130</v>
      </c>
      <c r="G4262" s="14"/>
      <c r="H4262" s="12" t="s">
        <v>38</v>
      </c>
      <c r="I4262" s="12" t="s">
        <v>39</v>
      </c>
      <c r="J4262" s="12" t="s">
        <v>2430</v>
      </c>
      <c r="K4262" s="12" t="s">
        <v>41</v>
      </c>
      <c r="L4262" s="14"/>
      <c r="M4262" s="12" t="s">
        <v>43</v>
      </c>
      <c r="N4262" s="12" t="s">
        <v>84</v>
      </c>
      <c r="O4262" s="12" t="s">
        <v>15081</v>
      </c>
      <c r="P4262" s="12" t="s">
        <v>46</v>
      </c>
      <c r="Q4262" s="12" t="s">
        <v>47</v>
      </c>
      <c r="R4262" s="12" t="s">
        <v>48</v>
      </c>
      <c r="S4262" s="13">
        <v>197804450015</v>
      </c>
      <c r="T4262" s="12" t="s">
        <v>49</v>
      </c>
      <c r="U4262" s="13">
        <v>30.5</v>
      </c>
      <c r="V4262" s="12" t="s">
        <v>1468</v>
      </c>
      <c r="W4262" s="12" t="s">
        <v>118</v>
      </c>
      <c r="X4262" s="14"/>
      <c r="Y4262" s="14"/>
      <c r="Z4262" s="14"/>
      <c r="AA4262" s="14"/>
      <c r="AB4262" s="14"/>
      <c r="AC4262" s="15">
        <v>29.55</v>
      </c>
      <c r="AD4262" s="15">
        <f>AC4262*AG4262</f>
        <v>29.55</v>
      </c>
      <c r="AE4262" s="15">
        <v>65</v>
      </c>
      <c r="AF4262" s="15">
        <f>AE4262*AG4262</f>
        <v>65</v>
      </c>
      <c r="AG4262" s="16">
        <v>1</v>
      </c>
    </row>
    <row r="4263" spans="1:33" ht="15" customHeight="1" x14ac:dyDescent="0.2">
      <c r="A4263" s="11" t="str">
        <f t="shared" si="1053"/>
        <v>VN000D4SCFL1</v>
      </c>
      <c r="B4263" s="12" t="s">
        <v>15082</v>
      </c>
      <c r="C4263" s="12" t="s">
        <v>1257</v>
      </c>
      <c r="D4263" s="12" t="s">
        <v>1258</v>
      </c>
      <c r="E4263" s="12" t="s">
        <v>15083</v>
      </c>
      <c r="F4263" s="13">
        <v>80</v>
      </c>
      <c r="G4263" s="14"/>
      <c r="H4263" s="12" t="s">
        <v>38</v>
      </c>
      <c r="I4263" s="12" t="s">
        <v>242</v>
      </c>
      <c r="J4263" s="12" t="s">
        <v>243</v>
      </c>
      <c r="K4263" s="12" t="s">
        <v>244</v>
      </c>
      <c r="L4263" s="14"/>
      <c r="M4263" s="12" t="s">
        <v>43</v>
      </c>
      <c r="N4263" s="12" t="s">
        <v>84</v>
      </c>
      <c r="O4263" s="12" t="s">
        <v>15084</v>
      </c>
      <c r="P4263" s="12" t="s">
        <v>46</v>
      </c>
      <c r="Q4263" s="12" t="s">
        <v>47</v>
      </c>
      <c r="R4263" s="12" t="s">
        <v>48</v>
      </c>
      <c r="S4263" s="13">
        <v>197804531363</v>
      </c>
      <c r="T4263" s="12" t="s">
        <v>105</v>
      </c>
      <c r="U4263" s="13">
        <v>24.5</v>
      </c>
      <c r="V4263" s="12" t="s">
        <v>50</v>
      </c>
      <c r="W4263" s="12" t="s">
        <v>284</v>
      </c>
      <c r="X4263" s="14"/>
      <c r="Y4263" s="14"/>
      <c r="Z4263" s="14"/>
      <c r="AA4263" s="14"/>
      <c r="AB4263" s="14"/>
      <c r="AC4263" s="15">
        <v>22.75</v>
      </c>
      <c r="AD4263" s="15">
        <f>AC4263*AG4263</f>
        <v>22.75</v>
      </c>
      <c r="AE4263" s="15">
        <v>50</v>
      </c>
      <c r="AF4263" s="15">
        <f>AE4263*AG4263</f>
        <v>50</v>
      </c>
      <c r="AG4263" s="16">
        <v>1</v>
      </c>
    </row>
    <row r="4264" spans="1:33" ht="15" customHeight="1" x14ac:dyDescent="0.2">
      <c r="A4264" s="11" t="str">
        <f>HYPERLINK("https://assets.vans.eu/images/VN000D4SCFL-HERO/1","VN000D4SCFL1")</f>
        <v>VN000D4SCFL1</v>
      </c>
      <c r="B4264" s="12" t="s">
        <v>15085</v>
      </c>
      <c r="C4264" s="12" t="s">
        <v>1257</v>
      </c>
      <c r="D4264" s="12" t="s">
        <v>1258</v>
      </c>
      <c r="E4264" s="12" t="s">
        <v>15086</v>
      </c>
      <c r="F4264" s="13">
        <v>100</v>
      </c>
      <c r="G4264" s="14"/>
      <c r="H4264" s="12" t="s">
        <v>38</v>
      </c>
      <c r="I4264" s="12" t="s">
        <v>242</v>
      </c>
      <c r="J4264" s="12" t="s">
        <v>243</v>
      </c>
      <c r="K4264" s="12" t="s">
        <v>244</v>
      </c>
      <c r="L4264" s="14"/>
      <c r="M4264" s="12" t="s">
        <v>43</v>
      </c>
      <c r="N4264" s="12" t="s">
        <v>84</v>
      </c>
      <c r="O4264" s="12" t="s">
        <v>15087</v>
      </c>
      <c r="P4264" s="12" t="s">
        <v>46</v>
      </c>
      <c r="Q4264" s="12" t="s">
        <v>47</v>
      </c>
      <c r="R4264" s="12" t="s">
        <v>48</v>
      </c>
      <c r="S4264" s="13">
        <v>197804531592</v>
      </c>
      <c r="T4264" s="12" t="s">
        <v>105</v>
      </c>
      <c r="U4264" s="13">
        <v>26.5</v>
      </c>
      <c r="V4264" s="12" t="s">
        <v>50</v>
      </c>
      <c r="W4264" s="12" t="s">
        <v>284</v>
      </c>
      <c r="X4264" s="14"/>
      <c r="Y4264" s="14"/>
      <c r="Z4264" s="14"/>
      <c r="AA4264" s="14"/>
      <c r="AB4264" s="14"/>
      <c r="AC4264" s="15">
        <v>22.75</v>
      </c>
      <c r="AD4264" s="15">
        <f>AC4264*AG4264</f>
        <v>22.75</v>
      </c>
      <c r="AE4264" s="15">
        <v>50</v>
      </c>
      <c r="AF4264" s="15">
        <f>AE4264*AG4264</f>
        <v>50</v>
      </c>
      <c r="AG4264" s="16">
        <v>1</v>
      </c>
    </row>
    <row r="4265" spans="1:33" ht="15" customHeight="1" x14ac:dyDescent="0.2">
      <c r="A4265" s="11" t="str">
        <f>HYPERLINK("https://assets.vans.eu/images/VN000D5D17P-HERO/1","VN000D5D17P1")</f>
        <v>VN000D5D17P1</v>
      </c>
      <c r="B4265" s="12" t="s">
        <v>15088</v>
      </c>
      <c r="C4265" s="12" t="s">
        <v>2592</v>
      </c>
      <c r="D4265" s="12" t="s">
        <v>2593</v>
      </c>
      <c r="E4265" s="12" t="s">
        <v>15089</v>
      </c>
      <c r="F4265" s="13">
        <v>130</v>
      </c>
      <c r="G4265" s="14"/>
      <c r="H4265" s="12" t="s">
        <v>38</v>
      </c>
      <c r="I4265" s="12" t="s">
        <v>159</v>
      </c>
      <c r="J4265" s="12" t="s">
        <v>341</v>
      </c>
      <c r="K4265" s="12" t="s">
        <v>199</v>
      </c>
      <c r="L4265" s="14"/>
      <c r="M4265" s="12" t="s">
        <v>43</v>
      </c>
      <c r="N4265" s="12" t="s">
        <v>84</v>
      </c>
      <c r="O4265" s="12" t="s">
        <v>15090</v>
      </c>
      <c r="P4265" s="12" t="s">
        <v>46</v>
      </c>
      <c r="Q4265" s="12" t="s">
        <v>47</v>
      </c>
      <c r="R4265" s="12" t="s">
        <v>163</v>
      </c>
      <c r="S4265" s="13">
        <v>197804532384</v>
      </c>
      <c r="T4265" s="12" t="s">
        <v>49</v>
      </c>
      <c r="U4265" s="13">
        <v>47</v>
      </c>
      <c r="V4265" s="12" t="s">
        <v>50</v>
      </c>
      <c r="W4265" s="12" t="s">
        <v>118</v>
      </c>
      <c r="X4265" s="14"/>
      <c r="Y4265" s="14"/>
      <c r="Z4265" s="14"/>
      <c r="AA4265" s="14"/>
      <c r="AB4265" s="14"/>
      <c r="AC4265" s="15">
        <v>45.5</v>
      </c>
      <c r="AD4265" s="15">
        <f>AC4265*AG4265</f>
        <v>45.5</v>
      </c>
      <c r="AE4265" s="15">
        <v>100</v>
      </c>
      <c r="AF4265" s="15">
        <f>AE4265*AG4265</f>
        <v>100</v>
      </c>
      <c r="AG4265" s="16">
        <v>1</v>
      </c>
    </row>
    <row r="4266" spans="1:33" ht="15" customHeight="1" x14ac:dyDescent="0.2">
      <c r="A4266" s="11" t="str">
        <f t="shared" ref="A4266:A4268" si="1363">HYPERLINK("https://assets.vans.eu/images/VN000D5DDUF-HERO/1","VN000D5DDUF1")</f>
        <v>VN000D5DDUF1</v>
      </c>
      <c r="B4266" s="12" t="s">
        <v>15091</v>
      </c>
      <c r="C4266" s="12" t="s">
        <v>2592</v>
      </c>
      <c r="D4266" s="12" t="s">
        <v>7257</v>
      </c>
      <c r="E4266" s="12" t="s">
        <v>15092</v>
      </c>
      <c r="F4266" s="13">
        <v>35</v>
      </c>
      <c r="G4266" s="14"/>
      <c r="H4266" s="12" t="s">
        <v>38</v>
      </c>
      <c r="I4266" s="12" t="s">
        <v>159</v>
      </c>
      <c r="J4266" s="12" t="s">
        <v>341</v>
      </c>
      <c r="K4266" s="12" t="s">
        <v>199</v>
      </c>
      <c r="L4266" s="14"/>
      <c r="M4266" s="12" t="s">
        <v>43</v>
      </c>
      <c r="N4266" s="12" t="s">
        <v>84</v>
      </c>
      <c r="O4266" s="12" t="s">
        <v>15093</v>
      </c>
      <c r="P4266" s="12" t="s">
        <v>46</v>
      </c>
      <c r="Q4266" s="12" t="s">
        <v>47</v>
      </c>
      <c r="R4266" s="12" t="s">
        <v>163</v>
      </c>
      <c r="S4266" s="13">
        <v>197804531431</v>
      </c>
      <c r="T4266" s="12" t="s">
        <v>49</v>
      </c>
      <c r="U4266" s="13">
        <v>34.5</v>
      </c>
      <c r="V4266" s="12" t="s">
        <v>50</v>
      </c>
      <c r="W4266" s="12" t="s">
        <v>175</v>
      </c>
      <c r="X4266" s="14"/>
      <c r="Y4266" s="14"/>
      <c r="Z4266" s="14"/>
      <c r="AA4266" s="14"/>
      <c r="AB4266" s="14"/>
      <c r="AC4266" s="15">
        <v>45.5</v>
      </c>
      <c r="AD4266" s="15">
        <f>AC4266*AG4266</f>
        <v>45.5</v>
      </c>
      <c r="AE4266" s="15">
        <v>100</v>
      </c>
      <c r="AF4266" s="15">
        <f>AE4266*AG4266</f>
        <v>100</v>
      </c>
      <c r="AG4266" s="16">
        <v>1</v>
      </c>
    </row>
    <row r="4267" spans="1:33" ht="15" customHeight="1" x14ac:dyDescent="0.2">
      <c r="A4267" s="11" t="str">
        <f t="shared" si="1363"/>
        <v>VN000D5DDUF1</v>
      </c>
      <c r="B4267" s="12" t="s">
        <v>15094</v>
      </c>
      <c r="C4267" s="12" t="s">
        <v>2592</v>
      </c>
      <c r="D4267" s="12" t="s">
        <v>7257</v>
      </c>
      <c r="E4267" s="12" t="s">
        <v>15095</v>
      </c>
      <c r="F4267" s="13">
        <v>40</v>
      </c>
      <c r="G4267" s="14"/>
      <c r="H4267" s="12" t="s">
        <v>38</v>
      </c>
      <c r="I4267" s="12" t="s">
        <v>159</v>
      </c>
      <c r="J4267" s="12" t="s">
        <v>341</v>
      </c>
      <c r="K4267" s="12" t="s">
        <v>199</v>
      </c>
      <c r="L4267" s="14"/>
      <c r="M4267" s="12" t="s">
        <v>43</v>
      </c>
      <c r="N4267" s="12" t="s">
        <v>84</v>
      </c>
      <c r="O4267" s="12" t="s">
        <v>15096</v>
      </c>
      <c r="P4267" s="12" t="s">
        <v>46</v>
      </c>
      <c r="Q4267" s="12" t="s">
        <v>47</v>
      </c>
      <c r="R4267" s="12" t="s">
        <v>163</v>
      </c>
      <c r="S4267" s="13">
        <v>197804531455</v>
      </c>
      <c r="T4267" s="12" t="s">
        <v>49</v>
      </c>
      <c r="U4267" s="13">
        <v>35</v>
      </c>
      <c r="V4267" s="12" t="s">
        <v>50</v>
      </c>
      <c r="W4267" s="12" t="s">
        <v>175</v>
      </c>
      <c r="X4267" s="14"/>
      <c r="Y4267" s="14"/>
      <c r="Z4267" s="14"/>
      <c r="AA4267" s="14"/>
      <c r="AB4267" s="14"/>
      <c r="AC4267" s="15">
        <v>45.5</v>
      </c>
      <c r="AD4267" s="15">
        <f>AC4267*AG4267</f>
        <v>45.5</v>
      </c>
      <c r="AE4267" s="15">
        <v>100</v>
      </c>
      <c r="AF4267" s="15">
        <f>AE4267*AG4267</f>
        <v>100</v>
      </c>
      <c r="AG4267" s="16">
        <v>1</v>
      </c>
    </row>
    <row r="4268" spans="1:33" ht="15" customHeight="1" x14ac:dyDescent="0.2">
      <c r="A4268" s="11" t="str">
        <f t="shared" si="1363"/>
        <v>VN000D5DDUF1</v>
      </c>
      <c r="B4268" s="12" t="s">
        <v>15097</v>
      </c>
      <c r="C4268" s="12" t="s">
        <v>2592</v>
      </c>
      <c r="D4268" s="12" t="s">
        <v>7257</v>
      </c>
      <c r="E4268" s="12" t="s">
        <v>15098</v>
      </c>
      <c r="F4268" s="13">
        <v>45</v>
      </c>
      <c r="G4268" s="14"/>
      <c r="H4268" s="12" t="s">
        <v>38</v>
      </c>
      <c r="I4268" s="12" t="s">
        <v>159</v>
      </c>
      <c r="J4268" s="12" t="s">
        <v>341</v>
      </c>
      <c r="K4268" s="12" t="s">
        <v>199</v>
      </c>
      <c r="L4268" s="14"/>
      <c r="M4268" s="12" t="s">
        <v>43</v>
      </c>
      <c r="N4268" s="12" t="s">
        <v>84</v>
      </c>
      <c r="O4268" s="12" t="s">
        <v>15099</v>
      </c>
      <c r="P4268" s="12" t="s">
        <v>46</v>
      </c>
      <c r="Q4268" s="12" t="s">
        <v>47</v>
      </c>
      <c r="R4268" s="12" t="s">
        <v>163</v>
      </c>
      <c r="S4268" s="13">
        <v>197804531479</v>
      </c>
      <c r="T4268" s="12" t="s">
        <v>49</v>
      </c>
      <c r="U4268" s="13">
        <v>36</v>
      </c>
      <c r="V4268" s="12" t="s">
        <v>50</v>
      </c>
      <c r="W4268" s="12" t="s">
        <v>175</v>
      </c>
      <c r="X4268" s="14"/>
      <c r="Y4268" s="14"/>
      <c r="Z4268" s="14"/>
      <c r="AA4268" s="14"/>
      <c r="AB4268" s="14"/>
      <c r="AC4268" s="15">
        <v>45.5</v>
      </c>
      <c r="AD4268" s="15">
        <f>AC4268*AG4268</f>
        <v>45.5</v>
      </c>
      <c r="AE4268" s="15">
        <v>100</v>
      </c>
      <c r="AF4268" s="15">
        <f>AE4268*AG4268</f>
        <v>100</v>
      </c>
      <c r="AG4268" s="16">
        <v>1</v>
      </c>
    </row>
    <row r="4269" spans="1:33" ht="15" customHeight="1" x14ac:dyDescent="0.2">
      <c r="A4269" s="11" t="str">
        <f t="shared" si="798"/>
        <v>VN000D5IBKA1</v>
      </c>
      <c r="B4269" s="12" t="s">
        <v>15100</v>
      </c>
      <c r="C4269" s="12" t="s">
        <v>309</v>
      </c>
      <c r="D4269" s="12" t="s">
        <v>252</v>
      </c>
      <c r="E4269" s="12" t="s">
        <v>15101</v>
      </c>
      <c r="F4269" s="13">
        <v>80</v>
      </c>
      <c r="G4269" s="14"/>
      <c r="H4269" s="12" t="s">
        <v>38</v>
      </c>
      <c r="I4269" s="12" t="s">
        <v>159</v>
      </c>
      <c r="J4269" s="12" t="s">
        <v>160</v>
      </c>
      <c r="K4269" s="12" t="s">
        <v>82</v>
      </c>
      <c r="L4269" s="14"/>
      <c r="M4269" s="12" t="s">
        <v>43</v>
      </c>
      <c r="N4269" s="12" t="s">
        <v>84</v>
      </c>
      <c r="O4269" s="12" t="s">
        <v>15102</v>
      </c>
      <c r="P4269" s="12" t="s">
        <v>46</v>
      </c>
      <c r="Q4269" s="12" t="s">
        <v>47</v>
      </c>
      <c r="R4269" s="12" t="s">
        <v>1660</v>
      </c>
      <c r="S4269" s="13">
        <v>700053654556</v>
      </c>
      <c r="T4269" s="12" t="s">
        <v>105</v>
      </c>
      <c r="U4269" s="13">
        <v>40.5</v>
      </c>
      <c r="V4269" s="12" t="s">
        <v>50</v>
      </c>
      <c r="W4269" s="12" t="s">
        <v>51</v>
      </c>
      <c r="X4269" s="14"/>
      <c r="Y4269" s="12" t="s">
        <v>91</v>
      </c>
      <c r="Z4269" s="12" t="s">
        <v>165</v>
      </c>
      <c r="AA4269" s="14"/>
      <c r="AB4269" s="14"/>
      <c r="AC4269" s="15">
        <v>45.5</v>
      </c>
      <c r="AD4269" s="15">
        <f>AC4269*AG4269</f>
        <v>45.5</v>
      </c>
      <c r="AE4269" s="15">
        <v>100</v>
      </c>
      <c r="AF4269" s="15">
        <f>AE4269*AG4269</f>
        <v>100</v>
      </c>
      <c r="AG4269" s="16">
        <v>1</v>
      </c>
    </row>
    <row r="4270" spans="1:33" ht="15" customHeight="1" x14ac:dyDescent="0.2">
      <c r="A4270" s="11" t="str">
        <f t="shared" ref="A4270:A4272" si="1364">HYPERLINK("https://assets.vans.eu/images/VN000D5IBKA-HERO/1","VN000D5IBKA1")</f>
        <v>VN000D5IBKA1</v>
      </c>
      <c r="B4270" s="12" t="s">
        <v>15103</v>
      </c>
      <c r="C4270" s="12" t="s">
        <v>309</v>
      </c>
      <c r="D4270" s="12" t="s">
        <v>252</v>
      </c>
      <c r="E4270" s="12" t="s">
        <v>15104</v>
      </c>
      <c r="F4270" s="13">
        <v>85</v>
      </c>
      <c r="G4270" s="14"/>
      <c r="H4270" s="12" t="s">
        <v>38</v>
      </c>
      <c r="I4270" s="12" t="s">
        <v>159</v>
      </c>
      <c r="J4270" s="12" t="s">
        <v>160</v>
      </c>
      <c r="K4270" s="12" t="s">
        <v>82</v>
      </c>
      <c r="L4270" s="14"/>
      <c r="M4270" s="12" t="s">
        <v>43</v>
      </c>
      <c r="N4270" s="12" t="s">
        <v>84</v>
      </c>
      <c r="O4270" s="12" t="s">
        <v>15105</v>
      </c>
      <c r="P4270" s="12" t="s">
        <v>46</v>
      </c>
      <c r="Q4270" s="12" t="s">
        <v>47</v>
      </c>
      <c r="R4270" s="12" t="s">
        <v>1660</v>
      </c>
      <c r="S4270" s="13">
        <v>700053654563</v>
      </c>
      <c r="T4270" s="12" t="s">
        <v>105</v>
      </c>
      <c r="U4270" s="13">
        <v>41</v>
      </c>
      <c r="V4270" s="12" t="s">
        <v>50</v>
      </c>
      <c r="W4270" s="12" t="s">
        <v>51</v>
      </c>
      <c r="X4270" s="14"/>
      <c r="Y4270" s="12" t="s">
        <v>91</v>
      </c>
      <c r="Z4270" s="12" t="s">
        <v>165</v>
      </c>
      <c r="AA4270" s="14"/>
      <c r="AB4270" s="14"/>
      <c r="AC4270" s="15">
        <v>45.5</v>
      </c>
      <c r="AD4270" s="15">
        <f>AC4270*AG4270</f>
        <v>45.5</v>
      </c>
      <c r="AE4270" s="15">
        <v>100</v>
      </c>
      <c r="AF4270" s="15">
        <f>AE4270*AG4270</f>
        <v>100</v>
      </c>
      <c r="AG4270" s="16">
        <v>1</v>
      </c>
    </row>
    <row r="4271" spans="1:33" ht="15" customHeight="1" x14ac:dyDescent="0.2">
      <c r="A4271" s="11" t="str">
        <f t="shared" si="1364"/>
        <v>VN000D5IBKA1</v>
      </c>
      <c r="B4271" s="12" t="s">
        <v>15106</v>
      </c>
      <c r="C4271" s="12" t="s">
        <v>309</v>
      </c>
      <c r="D4271" s="12" t="s">
        <v>252</v>
      </c>
      <c r="E4271" s="12" t="s">
        <v>15107</v>
      </c>
      <c r="F4271" s="13">
        <v>90</v>
      </c>
      <c r="G4271" s="14"/>
      <c r="H4271" s="12" t="s">
        <v>38</v>
      </c>
      <c r="I4271" s="12" t="s">
        <v>159</v>
      </c>
      <c r="J4271" s="12" t="s">
        <v>160</v>
      </c>
      <c r="K4271" s="12" t="s">
        <v>82</v>
      </c>
      <c r="L4271" s="14"/>
      <c r="M4271" s="12" t="s">
        <v>43</v>
      </c>
      <c r="N4271" s="12" t="s">
        <v>84</v>
      </c>
      <c r="O4271" s="12" t="s">
        <v>15108</v>
      </c>
      <c r="P4271" s="12" t="s">
        <v>46</v>
      </c>
      <c r="Q4271" s="12" t="s">
        <v>47</v>
      </c>
      <c r="R4271" s="12" t="s">
        <v>1660</v>
      </c>
      <c r="S4271" s="13">
        <v>700053654570</v>
      </c>
      <c r="T4271" s="12" t="s">
        <v>105</v>
      </c>
      <c r="U4271" s="13">
        <v>42</v>
      </c>
      <c r="V4271" s="12" t="s">
        <v>50</v>
      </c>
      <c r="W4271" s="12" t="s">
        <v>51</v>
      </c>
      <c r="X4271" s="14"/>
      <c r="Y4271" s="12" t="s">
        <v>91</v>
      </c>
      <c r="Z4271" s="12" t="s">
        <v>165</v>
      </c>
      <c r="AA4271" s="14"/>
      <c r="AB4271" s="14"/>
      <c r="AC4271" s="15">
        <v>45.5</v>
      </c>
      <c r="AD4271" s="15">
        <f>AC4271*AG4271</f>
        <v>45.5</v>
      </c>
      <c r="AE4271" s="15">
        <v>100</v>
      </c>
      <c r="AF4271" s="15">
        <f>AE4271*AG4271</f>
        <v>100</v>
      </c>
      <c r="AG4271" s="16">
        <v>1</v>
      </c>
    </row>
    <row r="4272" spans="1:33" ht="15" customHeight="1" x14ac:dyDescent="0.2">
      <c r="A4272" s="11" t="str">
        <f t="shared" si="1364"/>
        <v>VN000D5IBKA1</v>
      </c>
      <c r="B4272" s="12" t="s">
        <v>15109</v>
      </c>
      <c r="C4272" s="12" t="s">
        <v>309</v>
      </c>
      <c r="D4272" s="12" t="s">
        <v>252</v>
      </c>
      <c r="E4272" s="12" t="s">
        <v>15110</v>
      </c>
      <c r="F4272" s="13">
        <v>115</v>
      </c>
      <c r="G4272" s="14"/>
      <c r="H4272" s="12" t="s">
        <v>38</v>
      </c>
      <c r="I4272" s="12" t="s">
        <v>159</v>
      </c>
      <c r="J4272" s="12" t="s">
        <v>160</v>
      </c>
      <c r="K4272" s="12" t="s">
        <v>82</v>
      </c>
      <c r="L4272" s="14"/>
      <c r="M4272" s="12" t="s">
        <v>43</v>
      </c>
      <c r="N4272" s="12" t="s">
        <v>84</v>
      </c>
      <c r="O4272" s="12" t="s">
        <v>15111</v>
      </c>
      <c r="P4272" s="12" t="s">
        <v>46</v>
      </c>
      <c r="Q4272" s="12" t="s">
        <v>47</v>
      </c>
      <c r="R4272" s="12" t="s">
        <v>1660</v>
      </c>
      <c r="S4272" s="13">
        <v>700053654778</v>
      </c>
      <c r="T4272" s="12" t="s">
        <v>105</v>
      </c>
      <c r="U4272" s="13">
        <v>45</v>
      </c>
      <c r="V4272" s="12" t="s">
        <v>50</v>
      </c>
      <c r="W4272" s="12" t="s">
        <v>51</v>
      </c>
      <c r="X4272" s="14"/>
      <c r="Y4272" s="12" t="s">
        <v>91</v>
      </c>
      <c r="Z4272" s="12" t="s">
        <v>165</v>
      </c>
      <c r="AA4272" s="14"/>
      <c r="AB4272" s="14"/>
      <c r="AC4272" s="15">
        <v>45.5</v>
      </c>
      <c r="AD4272" s="15">
        <f>AC4272*AG4272</f>
        <v>45.5</v>
      </c>
      <c r="AE4272" s="15">
        <v>100</v>
      </c>
      <c r="AF4272" s="15">
        <f>AE4272*AG4272</f>
        <v>100</v>
      </c>
      <c r="AG4272" s="16">
        <v>1</v>
      </c>
    </row>
    <row r="4273" spans="1:33" ht="15" customHeight="1" x14ac:dyDescent="0.2">
      <c r="A4273" s="11" t="str">
        <f>HYPERLINK("https://assets.vans.eu/images/VN000D5PBMA-HERO/1","VN000D5PBMA1")</f>
        <v>VN000D5PBMA1</v>
      </c>
      <c r="B4273" s="12" t="s">
        <v>15112</v>
      </c>
      <c r="C4273" s="12" t="s">
        <v>3586</v>
      </c>
      <c r="D4273" s="12" t="s">
        <v>919</v>
      </c>
      <c r="E4273" s="12" t="s">
        <v>15113</v>
      </c>
      <c r="F4273" s="13">
        <v>65</v>
      </c>
      <c r="G4273" s="12" t="s">
        <v>5864</v>
      </c>
      <c r="H4273" s="12" t="s">
        <v>38</v>
      </c>
      <c r="I4273" s="12" t="s">
        <v>159</v>
      </c>
      <c r="J4273" s="12" t="s">
        <v>160</v>
      </c>
      <c r="K4273" s="12" t="s">
        <v>82</v>
      </c>
      <c r="L4273" s="14"/>
      <c r="M4273" s="12" t="s">
        <v>43</v>
      </c>
      <c r="N4273" s="12" t="s">
        <v>44</v>
      </c>
      <c r="O4273" s="12" t="s">
        <v>15114</v>
      </c>
      <c r="P4273" s="12" t="s">
        <v>46</v>
      </c>
      <c r="Q4273" s="12" t="s">
        <v>47</v>
      </c>
      <c r="R4273" s="12" t="s">
        <v>163</v>
      </c>
      <c r="S4273" s="13">
        <v>197643199625</v>
      </c>
      <c r="T4273" s="12" t="s">
        <v>49</v>
      </c>
      <c r="U4273" s="13">
        <v>38.5</v>
      </c>
      <c r="V4273" s="12" t="s">
        <v>209</v>
      </c>
      <c r="W4273" s="12" t="s">
        <v>51</v>
      </c>
      <c r="X4273" s="14"/>
      <c r="Y4273" s="12" t="s">
        <v>53</v>
      </c>
      <c r="Z4273" s="12" t="s">
        <v>165</v>
      </c>
      <c r="AA4273" s="14"/>
      <c r="AB4273" s="14"/>
      <c r="AC4273" s="15">
        <v>38.65</v>
      </c>
      <c r="AD4273" s="15">
        <f>AC4273*AG4273</f>
        <v>38.65</v>
      </c>
      <c r="AE4273" s="15">
        <v>85</v>
      </c>
      <c r="AF4273" s="15">
        <f>AE4273*AG4273</f>
        <v>85</v>
      </c>
      <c r="AG4273" s="16">
        <v>1</v>
      </c>
    </row>
    <row r="4274" spans="1:33" ht="15" customHeight="1" x14ac:dyDescent="0.2">
      <c r="A4274" s="11" t="str">
        <f t="shared" si="534"/>
        <v>VN000D5PZCF1</v>
      </c>
      <c r="B4274" s="12" t="s">
        <v>15115</v>
      </c>
      <c r="C4274" s="12" t="s">
        <v>3586</v>
      </c>
      <c r="D4274" s="12" t="s">
        <v>5009</v>
      </c>
      <c r="E4274" s="12" t="s">
        <v>15116</v>
      </c>
      <c r="F4274" s="13">
        <v>35</v>
      </c>
      <c r="G4274" s="12" t="s">
        <v>2273</v>
      </c>
      <c r="H4274" s="12" t="s">
        <v>38</v>
      </c>
      <c r="I4274" s="12" t="s">
        <v>159</v>
      </c>
      <c r="J4274" s="12" t="s">
        <v>160</v>
      </c>
      <c r="K4274" s="12" t="s">
        <v>82</v>
      </c>
      <c r="L4274" s="14"/>
      <c r="M4274" s="12" t="s">
        <v>43</v>
      </c>
      <c r="N4274" s="12" t="s">
        <v>44</v>
      </c>
      <c r="O4274" s="12" t="s">
        <v>15117</v>
      </c>
      <c r="P4274" s="12" t="s">
        <v>46</v>
      </c>
      <c r="Q4274" s="12" t="s">
        <v>47</v>
      </c>
      <c r="R4274" s="12" t="s">
        <v>163</v>
      </c>
      <c r="S4274" s="13">
        <v>197643200659</v>
      </c>
      <c r="T4274" s="12" t="s">
        <v>105</v>
      </c>
      <c r="U4274" s="13">
        <v>34.5</v>
      </c>
      <c r="V4274" s="12" t="s">
        <v>375</v>
      </c>
      <c r="W4274" s="12" t="s">
        <v>262</v>
      </c>
      <c r="X4274" s="14"/>
      <c r="Y4274" s="12" t="s">
        <v>91</v>
      </c>
      <c r="Z4274" s="12" t="s">
        <v>165</v>
      </c>
      <c r="AA4274" s="14"/>
      <c r="AB4274" s="14"/>
      <c r="AC4274" s="15">
        <v>36.4</v>
      </c>
      <c r="AD4274" s="15">
        <f>AC4274*AG4274</f>
        <v>36.4</v>
      </c>
      <c r="AE4274" s="15">
        <v>80</v>
      </c>
      <c r="AF4274" s="15">
        <f>AE4274*AG4274</f>
        <v>80</v>
      </c>
      <c r="AG4274" s="16">
        <v>1</v>
      </c>
    </row>
    <row r="4275" spans="1:33" ht="15" customHeight="1" x14ac:dyDescent="0.2">
      <c r="A4275" s="11" t="str">
        <f t="shared" si="1055"/>
        <v>VN000D5R11U1</v>
      </c>
      <c r="B4275" s="12" t="s">
        <v>15118</v>
      </c>
      <c r="C4275" s="12" t="s">
        <v>5867</v>
      </c>
      <c r="D4275" s="12" t="s">
        <v>9680</v>
      </c>
      <c r="E4275" s="12" t="s">
        <v>15119</v>
      </c>
      <c r="F4275" s="13">
        <v>40</v>
      </c>
      <c r="G4275" s="14"/>
      <c r="H4275" s="12" t="s">
        <v>38</v>
      </c>
      <c r="I4275" s="12" t="s">
        <v>159</v>
      </c>
      <c r="J4275" s="12" t="s">
        <v>341</v>
      </c>
      <c r="K4275" s="12" t="s">
        <v>199</v>
      </c>
      <c r="L4275" s="14"/>
      <c r="M4275" s="12" t="s">
        <v>43</v>
      </c>
      <c r="N4275" s="12" t="s">
        <v>84</v>
      </c>
      <c r="O4275" s="12" t="s">
        <v>15120</v>
      </c>
      <c r="P4275" s="12" t="s">
        <v>46</v>
      </c>
      <c r="Q4275" s="12" t="s">
        <v>47</v>
      </c>
      <c r="R4275" s="12" t="s">
        <v>163</v>
      </c>
      <c r="S4275" s="13">
        <v>197804531752</v>
      </c>
      <c r="T4275" s="12" t="s">
        <v>49</v>
      </c>
      <c r="U4275" s="13">
        <v>35</v>
      </c>
      <c r="V4275" s="12" t="s">
        <v>50</v>
      </c>
      <c r="W4275" s="12" t="s">
        <v>933</v>
      </c>
      <c r="X4275" s="14"/>
      <c r="Y4275" s="14"/>
      <c r="Z4275" s="14"/>
      <c r="AA4275" s="14"/>
      <c r="AB4275" s="14"/>
      <c r="AC4275" s="15">
        <v>38.65</v>
      </c>
      <c r="AD4275" s="15">
        <f>AC4275*AG4275</f>
        <v>38.65</v>
      </c>
      <c r="AE4275" s="15">
        <v>85</v>
      </c>
      <c r="AF4275" s="15">
        <f>AE4275*AG4275</f>
        <v>85</v>
      </c>
      <c r="AG4275" s="16">
        <v>1</v>
      </c>
    </row>
    <row r="4276" spans="1:33" ht="15" customHeight="1" x14ac:dyDescent="0.2">
      <c r="A4276" s="11" t="str">
        <f t="shared" ref="A4276:A4278" si="1365">HYPERLINK("https://assets.vans.eu/images/VN000D5R11U-HERO/1","VN000D5R11U1")</f>
        <v>VN000D5R11U1</v>
      </c>
      <c r="B4276" s="12" t="s">
        <v>15121</v>
      </c>
      <c r="C4276" s="12" t="s">
        <v>5867</v>
      </c>
      <c r="D4276" s="12" t="s">
        <v>9680</v>
      </c>
      <c r="E4276" s="12" t="s">
        <v>15122</v>
      </c>
      <c r="F4276" s="13">
        <v>45</v>
      </c>
      <c r="G4276" s="14"/>
      <c r="H4276" s="12" t="s">
        <v>38</v>
      </c>
      <c r="I4276" s="12" t="s">
        <v>159</v>
      </c>
      <c r="J4276" s="12" t="s">
        <v>341</v>
      </c>
      <c r="K4276" s="12" t="s">
        <v>199</v>
      </c>
      <c r="L4276" s="14"/>
      <c r="M4276" s="12" t="s">
        <v>43</v>
      </c>
      <c r="N4276" s="12" t="s">
        <v>84</v>
      </c>
      <c r="O4276" s="12" t="s">
        <v>15123</v>
      </c>
      <c r="P4276" s="12" t="s">
        <v>46</v>
      </c>
      <c r="Q4276" s="12" t="s">
        <v>47</v>
      </c>
      <c r="R4276" s="12" t="s">
        <v>163</v>
      </c>
      <c r="S4276" s="13">
        <v>197804531912</v>
      </c>
      <c r="T4276" s="12" t="s">
        <v>49</v>
      </c>
      <c r="U4276" s="13">
        <v>36</v>
      </c>
      <c r="V4276" s="12" t="s">
        <v>50</v>
      </c>
      <c r="W4276" s="12" t="s">
        <v>933</v>
      </c>
      <c r="X4276" s="14"/>
      <c r="Y4276" s="14"/>
      <c r="Z4276" s="14"/>
      <c r="AA4276" s="14"/>
      <c r="AB4276" s="14"/>
      <c r="AC4276" s="15">
        <v>38.65</v>
      </c>
      <c r="AD4276" s="15">
        <f>AC4276*AG4276</f>
        <v>38.65</v>
      </c>
      <c r="AE4276" s="15">
        <v>85</v>
      </c>
      <c r="AF4276" s="15">
        <f>AE4276*AG4276</f>
        <v>85</v>
      </c>
      <c r="AG4276" s="16">
        <v>1</v>
      </c>
    </row>
    <row r="4277" spans="1:33" ht="15" customHeight="1" x14ac:dyDescent="0.2">
      <c r="A4277" s="11" t="str">
        <f t="shared" si="1365"/>
        <v>VN000D5R11U1</v>
      </c>
      <c r="B4277" s="12" t="s">
        <v>15124</v>
      </c>
      <c r="C4277" s="12" t="s">
        <v>5867</v>
      </c>
      <c r="D4277" s="12" t="s">
        <v>9680</v>
      </c>
      <c r="E4277" s="12" t="s">
        <v>15125</v>
      </c>
      <c r="F4277" s="13">
        <v>50</v>
      </c>
      <c r="G4277" s="14"/>
      <c r="H4277" s="12" t="s">
        <v>38</v>
      </c>
      <c r="I4277" s="12" t="s">
        <v>159</v>
      </c>
      <c r="J4277" s="12" t="s">
        <v>341</v>
      </c>
      <c r="K4277" s="12" t="s">
        <v>199</v>
      </c>
      <c r="L4277" s="14"/>
      <c r="M4277" s="12" t="s">
        <v>43</v>
      </c>
      <c r="N4277" s="12" t="s">
        <v>84</v>
      </c>
      <c r="O4277" s="12" t="s">
        <v>15126</v>
      </c>
      <c r="P4277" s="12" t="s">
        <v>46</v>
      </c>
      <c r="Q4277" s="12" t="s">
        <v>47</v>
      </c>
      <c r="R4277" s="12" t="s">
        <v>163</v>
      </c>
      <c r="S4277" s="13">
        <v>197804531998</v>
      </c>
      <c r="T4277" s="12" t="s">
        <v>49</v>
      </c>
      <c r="U4277" s="13">
        <v>36.5</v>
      </c>
      <c r="V4277" s="12" t="s">
        <v>50</v>
      </c>
      <c r="W4277" s="12" t="s">
        <v>933</v>
      </c>
      <c r="X4277" s="14"/>
      <c r="Y4277" s="14"/>
      <c r="Z4277" s="14"/>
      <c r="AA4277" s="14"/>
      <c r="AB4277" s="14"/>
      <c r="AC4277" s="15">
        <v>38.65</v>
      </c>
      <c r="AD4277" s="15">
        <f>AC4277*AG4277</f>
        <v>38.65</v>
      </c>
      <c r="AE4277" s="15">
        <v>85</v>
      </c>
      <c r="AF4277" s="15">
        <f>AE4277*AG4277</f>
        <v>85</v>
      </c>
      <c r="AG4277" s="16">
        <v>1</v>
      </c>
    </row>
    <row r="4278" spans="1:33" ht="15" customHeight="1" x14ac:dyDescent="0.2">
      <c r="A4278" s="11" t="str">
        <f t="shared" si="1365"/>
        <v>VN000D5R11U1</v>
      </c>
      <c r="B4278" s="12" t="s">
        <v>15127</v>
      </c>
      <c r="C4278" s="12" t="s">
        <v>5867</v>
      </c>
      <c r="D4278" s="12" t="s">
        <v>9680</v>
      </c>
      <c r="E4278" s="12" t="s">
        <v>15128</v>
      </c>
      <c r="F4278" s="13">
        <v>60</v>
      </c>
      <c r="G4278" s="14"/>
      <c r="H4278" s="12" t="s">
        <v>38</v>
      </c>
      <c r="I4278" s="12" t="s">
        <v>159</v>
      </c>
      <c r="J4278" s="12" t="s">
        <v>341</v>
      </c>
      <c r="K4278" s="12" t="s">
        <v>199</v>
      </c>
      <c r="L4278" s="14"/>
      <c r="M4278" s="12" t="s">
        <v>43</v>
      </c>
      <c r="N4278" s="12" t="s">
        <v>84</v>
      </c>
      <c r="O4278" s="12" t="s">
        <v>15129</v>
      </c>
      <c r="P4278" s="12" t="s">
        <v>46</v>
      </c>
      <c r="Q4278" s="12" t="s">
        <v>47</v>
      </c>
      <c r="R4278" s="12" t="s">
        <v>163</v>
      </c>
      <c r="S4278" s="13">
        <v>197804532261</v>
      </c>
      <c r="T4278" s="12" t="s">
        <v>49</v>
      </c>
      <c r="U4278" s="13">
        <v>38</v>
      </c>
      <c r="V4278" s="12" t="s">
        <v>50</v>
      </c>
      <c r="W4278" s="12" t="s">
        <v>933</v>
      </c>
      <c r="X4278" s="14"/>
      <c r="Y4278" s="14"/>
      <c r="Z4278" s="14"/>
      <c r="AA4278" s="14"/>
      <c r="AB4278" s="14"/>
      <c r="AC4278" s="15">
        <v>38.65</v>
      </c>
      <c r="AD4278" s="15">
        <f>AC4278*AG4278</f>
        <v>38.65</v>
      </c>
      <c r="AE4278" s="15">
        <v>85</v>
      </c>
      <c r="AF4278" s="15">
        <f>AE4278*AG4278</f>
        <v>85</v>
      </c>
      <c r="AG4278" s="16">
        <v>1</v>
      </c>
    </row>
    <row r="4279" spans="1:33" ht="15" customHeight="1" x14ac:dyDescent="0.2">
      <c r="A4279" s="11" t="str">
        <f t="shared" si="1056"/>
        <v>VN000D5R9DH1</v>
      </c>
      <c r="B4279" s="12" t="s">
        <v>15130</v>
      </c>
      <c r="C4279" s="12" t="s">
        <v>5867</v>
      </c>
      <c r="D4279" s="12" t="s">
        <v>9684</v>
      </c>
      <c r="E4279" s="12" t="s">
        <v>15131</v>
      </c>
      <c r="F4279" s="13">
        <v>40</v>
      </c>
      <c r="G4279" s="14"/>
      <c r="H4279" s="12" t="s">
        <v>38</v>
      </c>
      <c r="I4279" s="12" t="s">
        <v>159</v>
      </c>
      <c r="J4279" s="12" t="s">
        <v>341</v>
      </c>
      <c r="K4279" s="12" t="s">
        <v>199</v>
      </c>
      <c r="L4279" s="14"/>
      <c r="M4279" s="12" t="s">
        <v>43</v>
      </c>
      <c r="N4279" s="12" t="s">
        <v>84</v>
      </c>
      <c r="O4279" s="12" t="s">
        <v>15132</v>
      </c>
      <c r="P4279" s="12" t="s">
        <v>46</v>
      </c>
      <c r="Q4279" s="12" t="s">
        <v>47</v>
      </c>
      <c r="R4279" s="12" t="s">
        <v>163</v>
      </c>
      <c r="S4279" s="13">
        <v>197804531721</v>
      </c>
      <c r="T4279" s="12" t="s">
        <v>49</v>
      </c>
      <c r="U4279" s="13">
        <v>35</v>
      </c>
      <c r="V4279" s="12" t="s">
        <v>50</v>
      </c>
      <c r="W4279" s="12" t="s">
        <v>175</v>
      </c>
      <c r="X4279" s="14"/>
      <c r="Y4279" s="14"/>
      <c r="Z4279" s="14"/>
      <c r="AA4279" s="14"/>
      <c r="AB4279" s="14"/>
      <c r="AC4279" s="15">
        <v>38.65</v>
      </c>
      <c r="AD4279" s="15">
        <f>AC4279*AG4279</f>
        <v>38.65</v>
      </c>
      <c r="AE4279" s="15">
        <v>85</v>
      </c>
      <c r="AF4279" s="15">
        <f>AE4279*AG4279</f>
        <v>85</v>
      </c>
      <c r="AG4279" s="16">
        <v>1</v>
      </c>
    </row>
    <row r="4280" spans="1:33" ht="15" customHeight="1" x14ac:dyDescent="0.2">
      <c r="A4280" s="11" t="str">
        <f t="shared" ref="A4280:A4282" si="1366">HYPERLINK("https://assets.vans.eu/images/VN000D5R9DH-HERO/1","VN000D5R9DH1")</f>
        <v>VN000D5R9DH1</v>
      </c>
      <c r="B4280" s="12" t="s">
        <v>15133</v>
      </c>
      <c r="C4280" s="12" t="s">
        <v>5867</v>
      </c>
      <c r="D4280" s="12" t="s">
        <v>9684</v>
      </c>
      <c r="E4280" s="12" t="s">
        <v>15134</v>
      </c>
      <c r="F4280" s="13">
        <v>45</v>
      </c>
      <c r="G4280" s="14"/>
      <c r="H4280" s="12" t="s">
        <v>38</v>
      </c>
      <c r="I4280" s="12" t="s">
        <v>159</v>
      </c>
      <c r="J4280" s="12" t="s">
        <v>341</v>
      </c>
      <c r="K4280" s="12" t="s">
        <v>199</v>
      </c>
      <c r="L4280" s="14"/>
      <c r="M4280" s="12" t="s">
        <v>43</v>
      </c>
      <c r="N4280" s="12" t="s">
        <v>84</v>
      </c>
      <c r="O4280" s="12" t="s">
        <v>15135</v>
      </c>
      <c r="P4280" s="12" t="s">
        <v>46</v>
      </c>
      <c r="Q4280" s="12" t="s">
        <v>47</v>
      </c>
      <c r="R4280" s="12" t="s">
        <v>163</v>
      </c>
      <c r="S4280" s="13">
        <v>197804531783</v>
      </c>
      <c r="T4280" s="12" t="s">
        <v>49</v>
      </c>
      <c r="U4280" s="13">
        <v>36</v>
      </c>
      <c r="V4280" s="12" t="s">
        <v>50</v>
      </c>
      <c r="W4280" s="12" t="s">
        <v>175</v>
      </c>
      <c r="X4280" s="14"/>
      <c r="Y4280" s="14"/>
      <c r="Z4280" s="14"/>
      <c r="AA4280" s="14"/>
      <c r="AB4280" s="14"/>
      <c r="AC4280" s="15">
        <v>38.65</v>
      </c>
      <c r="AD4280" s="15">
        <f>AC4280*AG4280</f>
        <v>38.65</v>
      </c>
      <c r="AE4280" s="15">
        <v>85</v>
      </c>
      <c r="AF4280" s="15">
        <f>AE4280*AG4280</f>
        <v>85</v>
      </c>
      <c r="AG4280" s="16">
        <v>1</v>
      </c>
    </row>
    <row r="4281" spans="1:33" ht="15" customHeight="1" x14ac:dyDescent="0.2">
      <c r="A4281" s="11" t="str">
        <f t="shared" si="1366"/>
        <v>VN000D5R9DH1</v>
      </c>
      <c r="B4281" s="12" t="s">
        <v>15136</v>
      </c>
      <c r="C4281" s="12" t="s">
        <v>5867</v>
      </c>
      <c r="D4281" s="12" t="s">
        <v>9684</v>
      </c>
      <c r="E4281" s="12" t="s">
        <v>15137</v>
      </c>
      <c r="F4281" s="13">
        <v>50</v>
      </c>
      <c r="G4281" s="14"/>
      <c r="H4281" s="12" t="s">
        <v>38</v>
      </c>
      <c r="I4281" s="12" t="s">
        <v>159</v>
      </c>
      <c r="J4281" s="12" t="s">
        <v>341</v>
      </c>
      <c r="K4281" s="12" t="s">
        <v>199</v>
      </c>
      <c r="L4281" s="14"/>
      <c r="M4281" s="12" t="s">
        <v>43</v>
      </c>
      <c r="N4281" s="12" t="s">
        <v>84</v>
      </c>
      <c r="O4281" s="12" t="s">
        <v>15138</v>
      </c>
      <c r="P4281" s="12" t="s">
        <v>46</v>
      </c>
      <c r="Q4281" s="12" t="s">
        <v>47</v>
      </c>
      <c r="R4281" s="12" t="s">
        <v>163</v>
      </c>
      <c r="S4281" s="13">
        <v>197804531950</v>
      </c>
      <c r="T4281" s="12" t="s">
        <v>49</v>
      </c>
      <c r="U4281" s="13">
        <v>36.5</v>
      </c>
      <c r="V4281" s="12" t="s">
        <v>50</v>
      </c>
      <c r="W4281" s="12" t="s">
        <v>175</v>
      </c>
      <c r="X4281" s="14"/>
      <c r="Y4281" s="14"/>
      <c r="Z4281" s="14"/>
      <c r="AA4281" s="14"/>
      <c r="AB4281" s="14"/>
      <c r="AC4281" s="15">
        <v>38.65</v>
      </c>
      <c r="AD4281" s="15">
        <f>AC4281*AG4281</f>
        <v>38.65</v>
      </c>
      <c r="AE4281" s="15">
        <v>85</v>
      </c>
      <c r="AF4281" s="15">
        <f>AE4281*AG4281</f>
        <v>85</v>
      </c>
      <c r="AG4281" s="16">
        <v>1</v>
      </c>
    </row>
    <row r="4282" spans="1:33" ht="15" customHeight="1" x14ac:dyDescent="0.2">
      <c r="A4282" s="11" t="str">
        <f t="shared" si="1366"/>
        <v>VN000D5R9DH1</v>
      </c>
      <c r="B4282" s="12" t="s">
        <v>15139</v>
      </c>
      <c r="C4282" s="12" t="s">
        <v>5867</v>
      </c>
      <c r="D4282" s="12" t="s">
        <v>9684</v>
      </c>
      <c r="E4282" s="12" t="s">
        <v>15140</v>
      </c>
      <c r="F4282" s="13">
        <v>55</v>
      </c>
      <c r="G4282" s="14"/>
      <c r="H4282" s="12" t="s">
        <v>38</v>
      </c>
      <c r="I4282" s="12" t="s">
        <v>159</v>
      </c>
      <c r="J4282" s="12" t="s">
        <v>341</v>
      </c>
      <c r="K4282" s="12" t="s">
        <v>199</v>
      </c>
      <c r="L4282" s="14"/>
      <c r="M4282" s="12" t="s">
        <v>43</v>
      </c>
      <c r="N4282" s="12" t="s">
        <v>84</v>
      </c>
      <c r="O4282" s="12" t="s">
        <v>15141</v>
      </c>
      <c r="P4282" s="12" t="s">
        <v>46</v>
      </c>
      <c r="Q4282" s="12" t="s">
        <v>47</v>
      </c>
      <c r="R4282" s="12" t="s">
        <v>163</v>
      </c>
      <c r="S4282" s="13">
        <v>197804532025</v>
      </c>
      <c r="T4282" s="12" t="s">
        <v>49</v>
      </c>
      <c r="U4282" s="13">
        <v>37</v>
      </c>
      <c r="V4282" s="12" t="s">
        <v>50</v>
      </c>
      <c r="W4282" s="12" t="s">
        <v>175</v>
      </c>
      <c r="X4282" s="14"/>
      <c r="Y4282" s="14"/>
      <c r="Z4282" s="14"/>
      <c r="AA4282" s="14"/>
      <c r="AB4282" s="14"/>
      <c r="AC4282" s="15">
        <v>38.65</v>
      </c>
      <c r="AD4282" s="15">
        <f>AC4282*AG4282</f>
        <v>38.65</v>
      </c>
      <c r="AE4282" s="15">
        <v>85</v>
      </c>
      <c r="AF4282" s="15">
        <f>AE4282*AG4282</f>
        <v>85</v>
      </c>
      <c r="AG4282" s="16">
        <v>1</v>
      </c>
    </row>
    <row r="4283" spans="1:33" ht="15" customHeight="1" x14ac:dyDescent="0.2">
      <c r="A4283" s="11" t="str">
        <f t="shared" ref="A4283:A4286" si="1367">HYPERLINK("https://assets.vans.eu/images/VN000D5RBRG-HERO/1","VN000D5RBRG1")</f>
        <v>VN000D5RBRG1</v>
      </c>
      <c r="B4283" s="12" t="s">
        <v>15142</v>
      </c>
      <c r="C4283" s="12" t="s">
        <v>5867</v>
      </c>
      <c r="D4283" s="12" t="s">
        <v>5868</v>
      </c>
      <c r="E4283" s="12" t="s">
        <v>15143</v>
      </c>
      <c r="F4283" s="13">
        <v>105</v>
      </c>
      <c r="G4283" s="12" t="s">
        <v>1460</v>
      </c>
      <c r="H4283" s="12" t="s">
        <v>38</v>
      </c>
      <c r="I4283" s="12" t="s">
        <v>159</v>
      </c>
      <c r="J4283" s="12" t="s">
        <v>341</v>
      </c>
      <c r="K4283" s="12" t="s">
        <v>199</v>
      </c>
      <c r="L4283" s="14"/>
      <c r="M4283" s="12" t="s">
        <v>43</v>
      </c>
      <c r="N4283" s="12" t="s">
        <v>84</v>
      </c>
      <c r="O4283" s="12" t="s">
        <v>15144</v>
      </c>
      <c r="P4283" s="12" t="s">
        <v>46</v>
      </c>
      <c r="Q4283" s="12" t="s">
        <v>47</v>
      </c>
      <c r="R4283" s="12" t="s">
        <v>163</v>
      </c>
      <c r="S4283" s="13">
        <v>197804533718</v>
      </c>
      <c r="T4283" s="12" t="s">
        <v>49</v>
      </c>
      <c r="U4283" s="13">
        <v>44</v>
      </c>
      <c r="V4283" s="12" t="s">
        <v>50</v>
      </c>
      <c r="W4283" s="12" t="s">
        <v>107</v>
      </c>
      <c r="X4283" s="14"/>
      <c r="Y4283" s="14"/>
      <c r="Z4283" s="14"/>
      <c r="AA4283" s="14"/>
      <c r="AB4283" s="14"/>
      <c r="AC4283" s="15">
        <v>38.65</v>
      </c>
      <c r="AD4283" s="15">
        <f>AC4283*AG4283</f>
        <v>38.65</v>
      </c>
      <c r="AE4283" s="15">
        <v>85</v>
      </c>
      <c r="AF4283" s="15">
        <f>AE4283*AG4283</f>
        <v>85</v>
      </c>
      <c r="AG4283" s="16">
        <v>1</v>
      </c>
    </row>
    <row r="4284" spans="1:33" ht="15" customHeight="1" x14ac:dyDescent="0.2">
      <c r="A4284" s="11" t="str">
        <f t="shared" si="1367"/>
        <v>VN000D5RBRG1</v>
      </c>
      <c r="B4284" s="12" t="s">
        <v>15145</v>
      </c>
      <c r="C4284" s="12" t="s">
        <v>5867</v>
      </c>
      <c r="D4284" s="12" t="s">
        <v>5868</v>
      </c>
      <c r="E4284" s="12" t="s">
        <v>15146</v>
      </c>
      <c r="F4284" s="13">
        <v>115</v>
      </c>
      <c r="G4284" s="12" t="s">
        <v>1460</v>
      </c>
      <c r="H4284" s="12" t="s">
        <v>38</v>
      </c>
      <c r="I4284" s="12" t="s">
        <v>159</v>
      </c>
      <c r="J4284" s="12" t="s">
        <v>341</v>
      </c>
      <c r="K4284" s="12" t="s">
        <v>199</v>
      </c>
      <c r="L4284" s="14"/>
      <c r="M4284" s="12" t="s">
        <v>43</v>
      </c>
      <c r="N4284" s="12" t="s">
        <v>84</v>
      </c>
      <c r="O4284" s="12" t="s">
        <v>15147</v>
      </c>
      <c r="P4284" s="12" t="s">
        <v>46</v>
      </c>
      <c r="Q4284" s="12" t="s">
        <v>47</v>
      </c>
      <c r="R4284" s="12" t="s">
        <v>163</v>
      </c>
      <c r="S4284" s="13">
        <v>197804534067</v>
      </c>
      <c r="T4284" s="12" t="s">
        <v>49</v>
      </c>
      <c r="U4284" s="13">
        <v>45</v>
      </c>
      <c r="V4284" s="12" t="s">
        <v>50</v>
      </c>
      <c r="W4284" s="12" t="s">
        <v>107</v>
      </c>
      <c r="X4284" s="14"/>
      <c r="Y4284" s="14"/>
      <c r="Z4284" s="14"/>
      <c r="AA4284" s="14"/>
      <c r="AB4284" s="14"/>
      <c r="AC4284" s="15">
        <v>38.65</v>
      </c>
      <c r="AD4284" s="15">
        <f>AC4284*AG4284</f>
        <v>38.65</v>
      </c>
      <c r="AE4284" s="15">
        <v>85</v>
      </c>
      <c r="AF4284" s="15">
        <f>AE4284*AG4284</f>
        <v>85</v>
      </c>
      <c r="AG4284" s="16">
        <v>1</v>
      </c>
    </row>
    <row r="4285" spans="1:33" ht="15" customHeight="1" x14ac:dyDescent="0.2">
      <c r="A4285" s="11" t="str">
        <f t="shared" si="1367"/>
        <v>VN000D5RBRG1</v>
      </c>
      <c r="B4285" s="12" t="s">
        <v>15148</v>
      </c>
      <c r="C4285" s="12" t="s">
        <v>5867</v>
      </c>
      <c r="D4285" s="12" t="s">
        <v>5868</v>
      </c>
      <c r="E4285" s="12" t="s">
        <v>15149</v>
      </c>
      <c r="F4285" s="13">
        <v>120</v>
      </c>
      <c r="G4285" s="12" t="s">
        <v>1460</v>
      </c>
      <c r="H4285" s="12" t="s">
        <v>38</v>
      </c>
      <c r="I4285" s="12" t="s">
        <v>159</v>
      </c>
      <c r="J4285" s="12" t="s">
        <v>341</v>
      </c>
      <c r="K4285" s="12" t="s">
        <v>199</v>
      </c>
      <c r="L4285" s="14"/>
      <c r="M4285" s="12" t="s">
        <v>43</v>
      </c>
      <c r="N4285" s="12" t="s">
        <v>84</v>
      </c>
      <c r="O4285" s="12" t="s">
        <v>15150</v>
      </c>
      <c r="P4285" s="12" t="s">
        <v>46</v>
      </c>
      <c r="Q4285" s="12" t="s">
        <v>47</v>
      </c>
      <c r="R4285" s="12" t="s">
        <v>163</v>
      </c>
      <c r="S4285" s="13">
        <v>197804534173</v>
      </c>
      <c r="T4285" s="12" t="s">
        <v>49</v>
      </c>
      <c r="U4285" s="13">
        <v>46</v>
      </c>
      <c r="V4285" s="12" t="s">
        <v>50</v>
      </c>
      <c r="W4285" s="12" t="s">
        <v>107</v>
      </c>
      <c r="X4285" s="14"/>
      <c r="Y4285" s="14"/>
      <c r="Z4285" s="14"/>
      <c r="AA4285" s="14"/>
      <c r="AB4285" s="14"/>
      <c r="AC4285" s="15">
        <v>38.65</v>
      </c>
      <c r="AD4285" s="15">
        <f>AC4285*AG4285</f>
        <v>38.65</v>
      </c>
      <c r="AE4285" s="15">
        <v>85</v>
      </c>
      <c r="AF4285" s="15">
        <f>AE4285*AG4285</f>
        <v>85</v>
      </c>
      <c r="AG4285" s="16">
        <v>1</v>
      </c>
    </row>
    <row r="4286" spans="1:33" ht="15" customHeight="1" x14ac:dyDescent="0.2">
      <c r="A4286" s="11" t="str">
        <f t="shared" si="1367"/>
        <v>VN000D5RBRG1</v>
      </c>
      <c r="B4286" s="12" t="s">
        <v>15151</v>
      </c>
      <c r="C4286" s="12" t="s">
        <v>5867</v>
      </c>
      <c r="D4286" s="12" t="s">
        <v>5868</v>
      </c>
      <c r="E4286" s="12" t="s">
        <v>15152</v>
      </c>
      <c r="F4286" s="13">
        <v>130</v>
      </c>
      <c r="G4286" s="12" t="s">
        <v>1460</v>
      </c>
      <c r="H4286" s="12" t="s">
        <v>38</v>
      </c>
      <c r="I4286" s="12" t="s">
        <v>159</v>
      </c>
      <c r="J4286" s="12" t="s">
        <v>341</v>
      </c>
      <c r="K4286" s="12" t="s">
        <v>199</v>
      </c>
      <c r="L4286" s="14"/>
      <c r="M4286" s="12" t="s">
        <v>43</v>
      </c>
      <c r="N4286" s="12" t="s">
        <v>84</v>
      </c>
      <c r="O4286" s="12" t="s">
        <v>15153</v>
      </c>
      <c r="P4286" s="12" t="s">
        <v>46</v>
      </c>
      <c r="Q4286" s="12" t="s">
        <v>47</v>
      </c>
      <c r="R4286" s="12" t="s">
        <v>163</v>
      </c>
      <c r="S4286" s="13">
        <v>197804534371</v>
      </c>
      <c r="T4286" s="12" t="s">
        <v>49</v>
      </c>
      <c r="U4286" s="13">
        <v>47</v>
      </c>
      <c r="V4286" s="12" t="s">
        <v>50</v>
      </c>
      <c r="W4286" s="12" t="s">
        <v>107</v>
      </c>
      <c r="X4286" s="14"/>
      <c r="Y4286" s="14"/>
      <c r="Z4286" s="14"/>
      <c r="AA4286" s="14"/>
      <c r="AB4286" s="14"/>
      <c r="AC4286" s="15">
        <v>38.65</v>
      </c>
      <c r="AD4286" s="15">
        <f>AC4286*AG4286</f>
        <v>38.65</v>
      </c>
      <c r="AE4286" s="15">
        <v>85</v>
      </c>
      <c r="AF4286" s="15">
        <f>AE4286*AG4286</f>
        <v>85</v>
      </c>
      <c r="AG4286" s="16">
        <v>1</v>
      </c>
    </row>
    <row r="4287" spans="1:33" ht="15" customHeight="1" x14ac:dyDescent="0.2">
      <c r="A4287" s="11" t="str">
        <f t="shared" si="1058"/>
        <v>VN000D5RY521</v>
      </c>
      <c r="B4287" s="12" t="s">
        <v>15154</v>
      </c>
      <c r="C4287" s="12" t="s">
        <v>5867</v>
      </c>
      <c r="D4287" s="12" t="s">
        <v>9700</v>
      </c>
      <c r="E4287" s="12" t="s">
        <v>15155</v>
      </c>
      <c r="F4287" s="13">
        <v>130</v>
      </c>
      <c r="G4287" s="14"/>
      <c r="H4287" s="12" t="s">
        <v>38</v>
      </c>
      <c r="I4287" s="12" t="s">
        <v>159</v>
      </c>
      <c r="J4287" s="12" t="s">
        <v>341</v>
      </c>
      <c r="K4287" s="12" t="s">
        <v>199</v>
      </c>
      <c r="L4287" s="14"/>
      <c r="M4287" s="12" t="s">
        <v>43</v>
      </c>
      <c r="N4287" s="12" t="s">
        <v>84</v>
      </c>
      <c r="O4287" s="12" t="s">
        <v>15156</v>
      </c>
      <c r="P4287" s="12" t="s">
        <v>46</v>
      </c>
      <c r="Q4287" s="12" t="s">
        <v>47</v>
      </c>
      <c r="R4287" s="12" t="s">
        <v>163</v>
      </c>
      <c r="S4287" s="13">
        <v>197804534999</v>
      </c>
      <c r="T4287" s="12" t="s">
        <v>49</v>
      </c>
      <c r="U4287" s="13">
        <v>47</v>
      </c>
      <c r="V4287" s="12" t="s">
        <v>50</v>
      </c>
      <c r="W4287" s="12" t="s">
        <v>262</v>
      </c>
      <c r="X4287" s="14"/>
      <c r="Y4287" s="14"/>
      <c r="Z4287" s="14"/>
      <c r="AA4287" s="14"/>
      <c r="AB4287" s="14"/>
      <c r="AC4287" s="15">
        <v>38.65</v>
      </c>
      <c r="AD4287" s="15">
        <f>AC4287*AG4287</f>
        <v>38.65</v>
      </c>
      <c r="AE4287" s="15">
        <v>85</v>
      </c>
      <c r="AF4287" s="15">
        <f>AE4287*AG4287</f>
        <v>85</v>
      </c>
      <c r="AG4287" s="16">
        <v>1</v>
      </c>
    </row>
    <row r="4288" spans="1:33" ht="15" customHeight="1" x14ac:dyDescent="0.2">
      <c r="A4288" s="11" t="str">
        <f t="shared" si="1059"/>
        <v>VN000D5VBH71</v>
      </c>
      <c r="B4288" s="12" t="s">
        <v>15157</v>
      </c>
      <c r="C4288" s="12" t="s">
        <v>1006</v>
      </c>
      <c r="D4288" s="12" t="s">
        <v>1030</v>
      </c>
      <c r="E4288" s="12" t="s">
        <v>15158</v>
      </c>
      <c r="F4288" s="13">
        <v>35</v>
      </c>
      <c r="G4288" s="14"/>
      <c r="H4288" s="12" t="s">
        <v>38</v>
      </c>
      <c r="I4288" s="12" t="s">
        <v>113</v>
      </c>
      <c r="J4288" s="12" t="s">
        <v>529</v>
      </c>
      <c r="K4288" s="12" t="s">
        <v>82</v>
      </c>
      <c r="L4288" s="14"/>
      <c r="M4288" s="12" t="s">
        <v>43</v>
      </c>
      <c r="N4288" s="12" t="s">
        <v>84</v>
      </c>
      <c r="O4288" s="12" t="s">
        <v>15159</v>
      </c>
      <c r="P4288" s="12" t="s">
        <v>46</v>
      </c>
      <c r="Q4288" s="12" t="s">
        <v>47</v>
      </c>
      <c r="R4288" s="12" t="s">
        <v>117</v>
      </c>
      <c r="S4288" s="13">
        <v>197804450077</v>
      </c>
      <c r="T4288" s="12" t="s">
        <v>49</v>
      </c>
      <c r="U4288" s="13">
        <v>34.5</v>
      </c>
      <c r="V4288" s="12" t="s">
        <v>50</v>
      </c>
      <c r="W4288" s="12" t="s">
        <v>455</v>
      </c>
      <c r="X4288" s="14"/>
      <c r="Y4288" s="14"/>
      <c r="Z4288" s="14"/>
      <c r="AA4288" s="14"/>
      <c r="AB4288" s="14"/>
      <c r="AC4288" s="15">
        <v>70.5</v>
      </c>
      <c r="AD4288" s="15">
        <f>AC4288*AG4288</f>
        <v>70.5</v>
      </c>
      <c r="AE4288" s="15">
        <v>155</v>
      </c>
      <c r="AF4288" s="15">
        <f>AE4288*AG4288</f>
        <v>155</v>
      </c>
      <c r="AG4288" s="16">
        <v>1</v>
      </c>
    </row>
    <row r="4289" spans="1:33" ht="15" customHeight="1" x14ac:dyDescent="0.2">
      <c r="A4289" s="11" t="str">
        <f t="shared" ref="A4289:A4290" si="1368">HYPERLINK("https://assets.vans.eu/images/VN000D5VBH7-HERO/1","VN000D5VBH71")</f>
        <v>VN000D5VBH71</v>
      </c>
      <c r="B4289" s="12" t="s">
        <v>15160</v>
      </c>
      <c r="C4289" s="12" t="s">
        <v>1006</v>
      </c>
      <c r="D4289" s="12" t="s">
        <v>1030</v>
      </c>
      <c r="E4289" s="12" t="s">
        <v>15161</v>
      </c>
      <c r="F4289" s="13">
        <v>50</v>
      </c>
      <c r="G4289" s="14"/>
      <c r="H4289" s="12" t="s">
        <v>38</v>
      </c>
      <c r="I4289" s="12" t="s">
        <v>113</v>
      </c>
      <c r="J4289" s="12" t="s">
        <v>529</v>
      </c>
      <c r="K4289" s="12" t="s">
        <v>82</v>
      </c>
      <c r="L4289" s="14"/>
      <c r="M4289" s="12" t="s">
        <v>43</v>
      </c>
      <c r="N4289" s="12" t="s">
        <v>84</v>
      </c>
      <c r="O4289" s="12" t="s">
        <v>15162</v>
      </c>
      <c r="P4289" s="12" t="s">
        <v>46</v>
      </c>
      <c r="Q4289" s="12" t="s">
        <v>47</v>
      </c>
      <c r="R4289" s="12" t="s">
        <v>117</v>
      </c>
      <c r="S4289" s="13">
        <v>197804450442</v>
      </c>
      <c r="T4289" s="12" t="s">
        <v>49</v>
      </c>
      <c r="U4289" s="13">
        <v>36.5</v>
      </c>
      <c r="V4289" s="12" t="s">
        <v>50</v>
      </c>
      <c r="W4289" s="12" t="s">
        <v>455</v>
      </c>
      <c r="X4289" s="14"/>
      <c r="Y4289" s="14"/>
      <c r="Z4289" s="14"/>
      <c r="AA4289" s="14"/>
      <c r="AB4289" s="14"/>
      <c r="AC4289" s="15">
        <v>70.5</v>
      </c>
      <c r="AD4289" s="15">
        <f>AC4289*AG4289</f>
        <v>70.5</v>
      </c>
      <c r="AE4289" s="15">
        <v>155</v>
      </c>
      <c r="AF4289" s="15">
        <f>AE4289*AG4289</f>
        <v>155</v>
      </c>
      <c r="AG4289" s="16">
        <v>1</v>
      </c>
    </row>
    <row r="4290" spans="1:33" ht="15" customHeight="1" x14ac:dyDescent="0.2">
      <c r="A4290" s="11" t="str">
        <f t="shared" si="1368"/>
        <v>VN000D5VBH71</v>
      </c>
      <c r="B4290" s="12" t="s">
        <v>15163</v>
      </c>
      <c r="C4290" s="12" t="s">
        <v>1006</v>
      </c>
      <c r="D4290" s="12" t="s">
        <v>1030</v>
      </c>
      <c r="E4290" s="12" t="s">
        <v>15164</v>
      </c>
      <c r="F4290" s="13">
        <v>65</v>
      </c>
      <c r="G4290" s="14"/>
      <c r="H4290" s="12" t="s">
        <v>38</v>
      </c>
      <c r="I4290" s="12" t="s">
        <v>113</v>
      </c>
      <c r="J4290" s="12" t="s">
        <v>529</v>
      </c>
      <c r="K4290" s="12" t="s">
        <v>82</v>
      </c>
      <c r="L4290" s="14"/>
      <c r="M4290" s="12" t="s">
        <v>43</v>
      </c>
      <c r="N4290" s="12" t="s">
        <v>84</v>
      </c>
      <c r="O4290" s="12" t="s">
        <v>15165</v>
      </c>
      <c r="P4290" s="12" t="s">
        <v>46</v>
      </c>
      <c r="Q4290" s="12" t="s">
        <v>47</v>
      </c>
      <c r="R4290" s="12" t="s">
        <v>117</v>
      </c>
      <c r="S4290" s="13">
        <v>197804450688</v>
      </c>
      <c r="T4290" s="12" t="s">
        <v>49</v>
      </c>
      <c r="U4290" s="13">
        <v>38.5</v>
      </c>
      <c r="V4290" s="12" t="s">
        <v>50</v>
      </c>
      <c r="W4290" s="12" t="s">
        <v>455</v>
      </c>
      <c r="X4290" s="14"/>
      <c r="Y4290" s="14"/>
      <c r="Z4290" s="14"/>
      <c r="AA4290" s="14"/>
      <c r="AB4290" s="14"/>
      <c r="AC4290" s="15">
        <v>70.5</v>
      </c>
      <c r="AD4290" s="15">
        <f>AC4290*AG4290</f>
        <v>70.5</v>
      </c>
      <c r="AE4290" s="15">
        <v>155</v>
      </c>
      <c r="AF4290" s="15">
        <f>AE4290*AG4290</f>
        <v>155</v>
      </c>
      <c r="AG4290" s="16">
        <v>1</v>
      </c>
    </row>
    <row r="4291" spans="1:33" ht="15" customHeight="1" x14ac:dyDescent="0.2">
      <c r="A4291" s="11" t="str">
        <f t="shared" si="1060"/>
        <v>VN000D5VDRB1</v>
      </c>
      <c r="B4291" s="12" t="s">
        <v>15166</v>
      </c>
      <c r="C4291" s="12" t="s">
        <v>1006</v>
      </c>
      <c r="D4291" s="12" t="s">
        <v>2663</v>
      </c>
      <c r="E4291" s="12" t="s">
        <v>15167</v>
      </c>
      <c r="F4291" s="13">
        <v>75</v>
      </c>
      <c r="G4291" s="14"/>
      <c r="H4291" s="12" t="s">
        <v>38</v>
      </c>
      <c r="I4291" s="12" t="s">
        <v>159</v>
      </c>
      <c r="J4291" s="12" t="s">
        <v>255</v>
      </c>
      <c r="K4291" s="12" t="s">
        <v>82</v>
      </c>
      <c r="L4291" s="14"/>
      <c r="M4291" s="12" t="s">
        <v>43</v>
      </c>
      <c r="N4291" s="12" t="s">
        <v>84</v>
      </c>
      <c r="O4291" s="12" t="s">
        <v>15168</v>
      </c>
      <c r="P4291" s="12" t="s">
        <v>46</v>
      </c>
      <c r="Q4291" s="12" t="s">
        <v>47</v>
      </c>
      <c r="R4291" s="12" t="s">
        <v>163</v>
      </c>
      <c r="S4291" s="13">
        <v>197804451074</v>
      </c>
      <c r="T4291" s="12" t="s">
        <v>49</v>
      </c>
      <c r="U4291" s="13">
        <v>40</v>
      </c>
      <c r="V4291" s="12" t="s">
        <v>50</v>
      </c>
      <c r="W4291" s="12" t="s">
        <v>186</v>
      </c>
      <c r="X4291" s="14"/>
      <c r="Y4291" s="14"/>
      <c r="Z4291" s="14"/>
      <c r="AA4291" s="14"/>
      <c r="AB4291" s="14"/>
      <c r="AC4291" s="15">
        <v>70.5</v>
      </c>
      <c r="AD4291" s="15">
        <f>AC4291*AG4291</f>
        <v>70.5</v>
      </c>
      <c r="AE4291" s="15">
        <v>155</v>
      </c>
      <c r="AF4291" s="15">
        <f>AE4291*AG4291</f>
        <v>155</v>
      </c>
      <c r="AG4291" s="16">
        <v>1</v>
      </c>
    </row>
    <row r="4292" spans="1:33" ht="15" customHeight="1" x14ac:dyDescent="0.2">
      <c r="A4292" s="11" t="str">
        <f>HYPERLINK("https://assets.vans.eu/images/VN000D5VDRB-HERO/1","VN000D5VDRB1")</f>
        <v>VN000D5VDRB1</v>
      </c>
      <c r="B4292" s="12" t="s">
        <v>15169</v>
      </c>
      <c r="C4292" s="12" t="s">
        <v>1006</v>
      </c>
      <c r="D4292" s="12" t="s">
        <v>2663</v>
      </c>
      <c r="E4292" s="12" t="s">
        <v>15170</v>
      </c>
      <c r="F4292" s="13">
        <v>80</v>
      </c>
      <c r="G4292" s="14"/>
      <c r="H4292" s="12" t="s">
        <v>38</v>
      </c>
      <c r="I4292" s="12" t="s">
        <v>159</v>
      </c>
      <c r="J4292" s="12" t="s">
        <v>255</v>
      </c>
      <c r="K4292" s="12" t="s">
        <v>82</v>
      </c>
      <c r="L4292" s="14"/>
      <c r="M4292" s="12" t="s">
        <v>43</v>
      </c>
      <c r="N4292" s="12" t="s">
        <v>84</v>
      </c>
      <c r="O4292" s="12" t="s">
        <v>15171</v>
      </c>
      <c r="P4292" s="12" t="s">
        <v>46</v>
      </c>
      <c r="Q4292" s="12" t="s">
        <v>47</v>
      </c>
      <c r="R4292" s="12" t="s">
        <v>163</v>
      </c>
      <c r="S4292" s="13">
        <v>197804451241</v>
      </c>
      <c r="T4292" s="12" t="s">
        <v>49</v>
      </c>
      <c r="U4292" s="13">
        <v>40.5</v>
      </c>
      <c r="V4292" s="12" t="s">
        <v>50</v>
      </c>
      <c r="W4292" s="12" t="s">
        <v>186</v>
      </c>
      <c r="X4292" s="14"/>
      <c r="Y4292" s="14"/>
      <c r="Z4292" s="14"/>
      <c r="AA4292" s="14"/>
      <c r="AB4292" s="14"/>
      <c r="AC4292" s="15">
        <v>70.5</v>
      </c>
      <c r="AD4292" s="15">
        <f>AC4292*AG4292</f>
        <v>70.5</v>
      </c>
      <c r="AE4292" s="15">
        <v>155</v>
      </c>
      <c r="AF4292" s="15">
        <f>AE4292*AG4292</f>
        <v>155</v>
      </c>
      <c r="AG4292" s="16">
        <v>1</v>
      </c>
    </row>
    <row r="4293" spans="1:33" ht="15" customHeight="1" x14ac:dyDescent="0.2">
      <c r="A4293" s="11" t="str">
        <f t="shared" ref="A4293:A4295" si="1369">HYPERLINK("https://assets.vans.eu/images/VN000D5VDRK-HERO/1","VN000D5VDRK1")</f>
        <v>VN000D5VDRK1</v>
      </c>
      <c r="B4293" s="12" t="s">
        <v>15172</v>
      </c>
      <c r="C4293" s="12" t="s">
        <v>1006</v>
      </c>
      <c r="D4293" s="12" t="s">
        <v>14144</v>
      </c>
      <c r="E4293" s="12" t="s">
        <v>15173</v>
      </c>
      <c r="F4293" s="13">
        <v>40</v>
      </c>
      <c r="G4293" s="14"/>
      <c r="H4293" s="12" t="s">
        <v>38</v>
      </c>
      <c r="I4293" s="12" t="s">
        <v>159</v>
      </c>
      <c r="J4293" s="12" t="s">
        <v>255</v>
      </c>
      <c r="K4293" s="12" t="s">
        <v>82</v>
      </c>
      <c r="L4293" s="14"/>
      <c r="M4293" s="12" t="s">
        <v>43</v>
      </c>
      <c r="N4293" s="12" t="s">
        <v>84</v>
      </c>
      <c r="O4293" s="12" t="s">
        <v>15174</v>
      </c>
      <c r="P4293" s="12" t="s">
        <v>46</v>
      </c>
      <c r="Q4293" s="12" t="s">
        <v>47</v>
      </c>
      <c r="R4293" s="12" t="s">
        <v>163</v>
      </c>
      <c r="S4293" s="13">
        <v>197804450169</v>
      </c>
      <c r="T4293" s="12" t="s">
        <v>49</v>
      </c>
      <c r="U4293" s="13">
        <v>35</v>
      </c>
      <c r="V4293" s="12" t="s">
        <v>50</v>
      </c>
      <c r="W4293" s="12" t="s">
        <v>118</v>
      </c>
      <c r="X4293" s="14"/>
      <c r="Y4293" s="14"/>
      <c r="Z4293" s="14"/>
      <c r="AA4293" s="14"/>
      <c r="AB4293" s="14"/>
      <c r="AC4293" s="15">
        <v>70.5</v>
      </c>
      <c r="AD4293" s="15">
        <f>AC4293*AG4293</f>
        <v>70.5</v>
      </c>
      <c r="AE4293" s="15">
        <v>155</v>
      </c>
      <c r="AF4293" s="15">
        <f>AE4293*AG4293</f>
        <v>155</v>
      </c>
      <c r="AG4293" s="16">
        <v>1</v>
      </c>
    </row>
    <row r="4294" spans="1:33" ht="15" customHeight="1" x14ac:dyDescent="0.2">
      <c r="A4294" s="11" t="str">
        <f t="shared" si="1369"/>
        <v>VN000D5VDRK1</v>
      </c>
      <c r="B4294" s="12" t="s">
        <v>15175</v>
      </c>
      <c r="C4294" s="12" t="s">
        <v>1006</v>
      </c>
      <c r="D4294" s="12" t="s">
        <v>14144</v>
      </c>
      <c r="E4294" s="12" t="s">
        <v>15176</v>
      </c>
      <c r="F4294" s="13">
        <v>45</v>
      </c>
      <c r="G4294" s="14"/>
      <c r="H4294" s="12" t="s">
        <v>38</v>
      </c>
      <c r="I4294" s="12" t="s">
        <v>159</v>
      </c>
      <c r="J4294" s="12" t="s">
        <v>255</v>
      </c>
      <c r="K4294" s="12" t="s">
        <v>82</v>
      </c>
      <c r="L4294" s="14"/>
      <c r="M4294" s="12" t="s">
        <v>43</v>
      </c>
      <c r="N4294" s="12" t="s">
        <v>84</v>
      </c>
      <c r="O4294" s="12" t="s">
        <v>15177</v>
      </c>
      <c r="P4294" s="12" t="s">
        <v>46</v>
      </c>
      <c r="Q4294" s="12" t="s">
        <v>47</v>
      </c>
      <c r="R4294" s="12" t="s">
        <v>163</v>
      </c>
      <c r="S4294" s="13">
        <v>197804450312</v>
      </c>
      <c r="T4294" s="12" t="s">
        <v>49</v>
      </c>
      <c r="U4294" s="13">
        <v>36</v>
      </c>
      <c r="V4294" s="12" t="s">
        <v>50</v>
      </c>
      <c r="W4294" s="12" t="s">
        <v>118</v>
      </c>
      <c r="X4294" s="14"/>
      <c r="Y4294" s="14"/>
      <c r="Z4294" s="14"/>
      <c r="AA4294" s="14"/>
      <c r="AB4294" s="14"/>
      <c r="AC4294" s="15">
        <v>70.5</v>
      </c>
      <c r="AD4294" s="15">
        <f>AC4294*AG4294</f>
        <v>70.5</v>
      </c>
      <c r="AE4294" s="15">
        <v>155</v>
      </c>
      <c r="AF4294" s="15">
        <f>AE4294*AG4294</f>
        <v>155</v>
      </c>
      <c r="AG4294" s="16">
        <v>1</v>
      </c>
    </row>
    <row r="4295" spans="1:33" ht="15" customHeight="1" x14ac:dyDescent="0.2">
      <c r="A4295" s="11" t="str">
        <f t="shared" si="1369"/>
        <v>VN000D5VDRK1</v>
      </c>
      <c r="B4295" s="12" t="s">
        <v>15178</v>
      </c>
      <c r="C4295" s="12" t="s">
        <v>1006</v>
      </c>
      <c r="D4295" s="12" t="s">
        <v>14144</v>
      </c>
      <c r="E4295" s="12" t="s">
        <v>15179</v>
      </c>
      <c r="F4295" s="13">
        <v>85</v>
      </c>
      <c r="G4295" s="14"/>
      <c r="H4295" s="12" t="s">
        <v>38</v>
      </c>
      <c r="I4295" s="12" t="s">
        <v>159</v>
      </c>
      <c r="J4295" s="12" t="s">
        <v>255</v>
      </c>
      <c r="K4295" s="12" t="s">
        <v>82</v>
      </c>
      <c r="L4295" s="14"/>
      <c r="M4295" s="12" t="s">
        <v>43</v>
      </c>
      <c r="N4295" s="12" t="s">
        <v>84</v>
      </c>
      <c r="O4295" s="12" t="s">
        <v>15180</v>
      </c>
      <c r="P4295" s="12" t="s">
        <v>46</v>
      </c>
      <c r="Q4295" s="12" t="s">
        <v>47</v>
      </c>
      <c r="R4295" s="12" t="s">
        <v>163</v>
      </c>
      <c r="S4295" s="13">
        <v>197804451333</v>
      </c>
      <c r="T4295" s="12" t="s">
        <v>49</v>
      </c>
      <c r="U4295" s="13">
        <v>41</v>
      </c>
      <c r="V4295" s="12" t="s">
        <v>50</v>
      </c>
      <c r="W4295" s="12" t="s">
        <v>118</v>
      </c>
      <c r="X4295" s="14"/>
      <c r="Y4295" s="14"/>
      <c r="Z4295" s="14"/>
      <c r="AA4295" s="14"/>
      <c r="AB4295" s="14"/>
      <c r="AC4295" s="15">
        <v>70.5</v>
      </c>
      <c r="AD4295" s="15">
        <f>AC4295*AG4295</f>
        <v>70.5</v>
      </c>
      <c r="AE4295" s="15">
        <v>155</v>
      </c>
      <c r="AF4295" s="15">
        <f>AE4295*AG4295</f>
        <v>155</v>
      </c>
      <c r="AG4295" s="16">
        <v>1</v>
      </c>
    </row>
    <row r="4296" spans="1:33" ht="15" customHeight="1" x14ac:dyDescent="0.2">
      <c r="A4296" s="11" t="str">
        <f t="shared" ref="A4296:A4298" si="1370">HYPERLINK("https://assets.vans.eu/images/VN000D5VZRY-HERO/1","VN000D5VZRY1")</f>
        <v>VN000D5VZRY1</v>
      </c>
      <c r="B4296" s="12" t="s">
        <v>15181</v>
      </c>
      <c r="C4296" s="12" t="s">
        <v>1006</v>
      </c>
      <c r="D4296" s="12" t="s">
        <v>1996</v>
      </c>
      <c r="E4296" s="12" t="s">
        <v>15182</v>
      </c>
      <c r="F4296" s="13">
        <v>50</v>
      </c>
      <c r="G4296" s="14"/>
      <c r="H4296" s="12" t="s">
        <v>38</v>
      </c>
      <c r="I4296" s="12" t="s">
        <v>113</v>
      </c>
      <c r="J4296" s="12" t="s">
        <v>529</v>
      </c>
      <c r="K4296" s="12" t="s">
        <v>82</v>
      </c>
      <c r="L4296" s="14"/>
      <c r="M4296" s="12" t="s">
        <v>43</v>
      </c>
      <c r="N4296" s="12" t="s">
        <v>84</v>
      </c>
      <c r="O4296" s="12" t="s">
        <v>15183</v>
      </c>
      <c r="P4296" s="12" t="s">
        <v>46</v>
      </c>
      <c r="Q4296" s="12" t="s">
        <v>47</v>
      </c>
      <c r="R4296" s="12" t="s">
        <v>117</v>
      </c>
      <c r="S4296" s="13">
        <v>197804450701</v>
      </c>
      <c r="T4296" s="12" t="s">
        <v>49</v>
      </c>
      <c r="U4296" s="13">
        <v>36.5</v>
      </c>
      <c r="V4296" s="12" t="s">
        <v>50</v>
      </c>
      <c r="W4296" s="12" t="s">
        <v>299</v>
      </c>
      <c r="X4296" s="14"/>
      <c r="Y4296" s="14"/>
      <c r="Z4296" s="14"/>
      <c r="AA4296" s="14"/>
      <c r="AB4296" s="14"/>
      <c r="AC4296" s="15">
        <v>70.5</v>
      </c>
      <c r="AD4296" s="15">
        <f>AC4296*AG4296</f>
        <v>70.5</v>
      </c>
      <c r="AE4296" s="15">
        <v>155</v>
      </c>
      <c r="AF4296" s="15">
        <f>AE4296*AG4296</f>
        <v>155</v>
      </c>
      <c r="AG4296" s="16">
        <v>1</v>
      </c>
    </row>
    <row r="4297" spans="1:33" ht="15" customHeight="1" x14ac:dyDescent="0.2">
      <c r="A4297" s="11" t="str">
        <f t="shared" si="1370"/>
        <v>VN000D5VZRY1</v>
      </c>
      <c r="B4297" s="12" t="s">
        <v>15184</v>
      </c>
      <c r="C4297" s="12" t="s">
        <v>1006</v>
      </c>
      <c r="D4297" s="12" t="s">
        <v>1996</v>
      </c>
      <c r="E4297" s="12" t="s">
        <v>15185</v>
      </c>
      <c r="F4297" s="13">
        <v>55</v>
      </c>
      <c r="G4297" s="14"/>
      <c r="H4297" s="12" t="s">
        <v>38</v>
      </c>
      <c r="I4297" s="12" t="s">
        <v>113</v>
      </c>
      <c r="J4297" s="12" t="s">
        <v>529</v>
      </c>
      <c r="K4297" s="12" t="s">
        <v>82</v>
      </c>
      <c r="L4297" s="14"/>
      <c r="M4297" s="12" t="s">
        <v>43</v>
      </c>
      <c r="N4297" s="12" t="s">
        <v>84</v>
      </c>
      <c r="O4297" s="12" t="s">
        <v>15186</v>
      </c>
      <c r="P4297" s="12" t="s">
        <v>46</v>
      </c>
      <c r="Q4297" s="12" t="s">
        <v>47</v>
      </c>
      <c r="R4297" s="12" t="s">
        <v>117</v>
      </c>
      <c r="S4297" s="13">
        <v>197804450770</v>
      </c>
      <c r="T4297" s="12" t="s">
        <v>49</v>
      </c>
      <c r="U4297" s="13">
        <v>37</v>
      </c>
      <c r="V4297" s="12" t="s">
        <v>50</v>
      </c>
      <c r="W4297" s="12" t="s">
        <v>299</v>
      </c>
      <c r="X4297" s="14"/>
      <c r="Y4297" s="14"/>
      <c r="Z4297" s="14"/>
      <c r="AA4297" s="14"/>
      <c r="AB4297" s="14"/>
      <c r="AC4297" s="15">
        <v>70.5</v>
      </c>
      <c r="AD4297" s="15">
        <f>AC4297*AG4297</f>
        <v>70.5</v>
      </c>
      <c r="AE4297" s="15">
        <v>155</v>
      </c>
      <c r="AF4297" s="15">
        <f>AE4297*AG4297</f>
        <v>155</v>
      </c>
      <c r="AG4297" s="16">
        <v>1</v>
      </c>
    </row>
    <row r="4298" spans="1:33" ht="15" customHeight="1" x14ac:dyDescent="0.2">
      <c r="A4298" s="11" t="str">
        <f t="shared" si="1370"/>
        <v>VN000D5VZRY1</v>
      </c>
      <c r="B4298" s="12" t="s">
        <v>15187</v>
      </c>
      <c r="C4298" s="12" t="s">
        <v>1006</v>
      </c>
      <c r="D4298" s="12" t="s">
        <v>1996</v>
      </c>
      <c r="E4298" s="12" t="s">
        <v>15188</v>
      </c>
      <c r="F4298" s="13">
        <v>65</v>
      </c>
      <c r="G4298" s="14"/>
      <c r="H4298" s="12" t="s">
        <v>38</v>
      </c>
      <c r="I4298" s="12" t="s">
        <v>113</v>
      </c>
      <c r="J4298" s="12" t="s">
        <v>529</v>
      </c>
      <c r="K4298" s="12" t="s">
        <v>82</v>
      </c>
      <c r="L4298" s="14"/>
      <c r="M4298" s="12" t="s">
        <v>43</v>
      </c>
      <c r="N4298" s="12" t="s">
        <v>84</v>
      </c>
      <c r="O4298" s="12" t="s">
        <v>15189</v>
      </c>
      <c r="P4298" s="12" t="s">
        <v>46</v>
      </c>
      <c r="Q4298" s="12" t="s">
        <v>47</v>
      </c>
      <c r="R4298" s="12" t="s">
        <v>117</v>
      </c>
      <c r="S4298" s="13">
        <v>197804451104</v>
      </c>
      <c r="T4298" s="12" t="s">
        <v>49</v>
      </c>
      <c r="U4298" s="13">
        <v>38.5</v>
      </c>
      <c r="V4298" s="12" t="s">
        <v>50</v>
      </c>
      <c r="W4298" s="12" t="s">
        <v>299</v>
      </c>
      <c r="X4298" s="14"/>
      <c r="Y4298" s="14"/>
      <c r="Z4298" s="14"/>
      <c r="AA4298" s="14"/>
      <c r="AB4298" s="14"/>
      <c r="AC4298" s="15">
        <v>70.5</v>
      </c>
      <c r="AD4298" s="15">
        <f>AC4298*AG4298</f>
        <v>70.5</v>
      </c>
      <c r="AE4298" s="15">
        <v>155</v>
      </c>
      <c r="AF4298" s="15">
        <f>AE4298*AG4298</f>
        <v>155</v>
      </c>
      <c r="AG4298" s="16">
        <v>1</v>
      </c>
    </row>
    <row r="4299" spans="1:33" ht="15" customHeight="1" x14ac:dyDescent="0.2">
      <c r="A4299" s="11" t="str">
        <f t="shared" ref="A4299:A4300" si="1371">HYPERLINK("https://assets.vans.eu/images/VN000D609JC-HERO/1","VN000D609JC1")</f>
        <v>VN000D609JC1</v>
      </c>
      <c r="B4299" s="12" t="s">
        <v>15190</v>
      </c>
      <c r="C4299" s="12" t="s">
        <v>1470</v>
      </c>
      <c r="D4299" s="12" t="s">
        <v>4481</v>
      </c>
      <c r="E4299" s="12" t="s">
        <v>15191</v>
      </c>
      <c r="F4299" s="13">
        <v>35</v>
      </c>
      <c r="G4299" s="14"/>
      <c r="H4299" s="12" t="s">
        <v>38</v>
      </c>
      <c r="I4299" s="12" t="s">
        <v>159</v>
      </c>
      <c r="J4299" s="12" t="s">
        <v>255</v>
      </c>
      <c r="K4299" s="12" t="s">
        <v>82</v>
      </c>
      <c r="L4299" s="14"/>
      <c r="M4299" s="12" t="s">
        <v>43</v>
      </c>
      <c r="N4299" s="12" t="s">
        <v>84</v>
      </c>
      <c r="O4299" s="12" t="s">
        <v>15192</v>
      </c>
      <c r="P4299" s="12" t="s">
        <v>46</v>
      </c>
      <c r="Q4299" s="12" t="s">
        <v>47</v>
      </c>
      <c r="R4299" s="12" t="s">
        <v>163</v>
      </c>
      <c r="S4299" s="13">
        <v>197804532391</v>
      </c>
      <c r="T4299" s="12" t="s">
        <v>49</v>
      </c>
      <c r="U4299" s="13">
        <v>34.5</v>
      </c>
      <c r="V4299" s="12" t="s">
        <v>278</v>
      </c>
      <c r="W4299" s="12" t="s">
        <v>186</v>
      </c>
      <c r="X4299" s="14"/>
      <c r="Y4299" s="14"/>
      <c r="Z4299" s="14"/>
      <c r="AA4299" s="14"/>
      <c r="AB4299" s="14"/>
      <c r="AC4299" s="15">
        <v>52.3</v>
      </c>
      <c r="AD4299" s="15">
        <f>AC4299*AG4299</f>
        <v>52.3</v>
      </c>
      <c r="AE4299" s="15">
        <v>115</v>
      </c>
      <c r="AF4299" s="15">
        <f>AE4299*AG4299</f>
        <v>115</v>
      </c>
      <c r="AG4299" s="16">
        <v>1</v>
      </c>
    </row>
    <row r="4300" spans="1:33" ht="15" customHeight="1" x14ac:dyDescent="0.2">
      <c r="A4300" s="11" t="str">
        <f t="shared" si="1371"/>
        <v>VN000D609JC1</v>
      </c>
      <c r="B4300" s="12" t="s">
        <v>15193</v>
      </c>
      <c r="C4300" s="12" t="s">
        <v>1470</v>
      </c>
      <c r="D4300" s="12" t="s">
        <v>4481</v>
      </c>
      <c r="E4300" s="12" t="s">
        <v>15194</v>
      </c>
      <c r="F4300" s="13">
        <v>80</v>
      </c>
      <c r="G4300" s="14"/>
      <c r="H4300" s="12" t="s">
        <v>38</v>
      </c>
      <c r="I4300" s="12" t="s">
        <v>159</v>
      </c>
      <c r="J4300" s="12" t="s">
        <v>255</v>
      </c>
      <c r="K4300" s="12" t="s">
        <v>82</v>
      </c>
      <c r="L4300" s="14"/>
      <c r="M4300" s="12" t="s">
        <v>43</v>
      </c>
      <c r="N4300" s="12" t="s">
        <v>84</v>
      </c>
      <c r="O4300" s="12" t="s">
        <v>15195</v>
      </c>
      <c r="P4300" s="12" t="s">
        <v>46</v>
      </c>
      <c r="Q4300" s="12" t="s">
        <v>47</v>
      </c>
      <c r="R4300" s="12" t="s">
        <v>163</v>
      </c>
      <c r="S4300" s="13">
        <v>197804533855</v>
      </c>
      <c r="T4300" s="12" t="s">
        <v>49</v>
      </c>
      <c r="U4300" s="13">
        <v>40.5</v>
      </c>
      <c r="V4300" s="12" t="s">
        <v>278</v>
      </c>
      <c r="W4300" s="12" t="s">
        <v>186</v>
      </c>
      <c r="X4300" s="14"/>
      <c r="Y4300" s="14"/>
      <c r="Z4300" s="14"/>
      <c r="AA4300" s="14"/>
      <c r="AB4300" s="14"/>
      <c r="AC4300" s="15">
        <v>52.3</v>
      </c>
      <c r="AD4300" s="15">
        <f>AC4300*AG4300</f>
        <v>52.3</v>
      </c>
      <c r="AE4300" s="15">
        <v>115</v>
      </c>
      <c r="AF4300" s="15">
        <f>AE4300*AG4300</f>
        <v>115</v>
      </c>
      <c r="AG4300" s="16">
        <v>1</v>
      </c>
    </row>
    <row r="4301" spans="1:33" ht="15" customHeight="1" x14ac:dyDescent="0.2">
      <c r="A4301" s="11" t="str">
        <f t="shared" si="113"/>
        <v>VN000D60BRO1</v>
      </c>
      <c r="B4301" s="12" t="s">
        <v>15196</v>
      </c>
      <c r="C4301" s="12" t="s">
        <v>1470</v>
      </c>
      <c r="D4301" s="12" t="s">
        <v>1471</v>
      </c>
      <c r="E4301" s="12" t="s">
        <v>15197</v>
      </c>
      <c r="F4301" s="13">
        <v>40</v>
      </c>
      <c r="G4301" s="14"/>
      <c r="H4301" s="12" t="s">
        <v>38</v>
      </c>
      <c r="I4301" s="12" t="s">
        <v>159</v>
      </c>
      <c r="J4301" s="12" t="s">
        <v>255</v>
      </c>
      <c r="K4301" s="12" t="s">
        <v>82</v>
      </c>
      <c r="L4301" s="14"/>
      <c r="M4301" s="12" t="s">
        <v>43</v>
      </c>
      <c r="N4301" s="12" t="s">
        <v>44</v>
      </c>
      <c r="O4301" s="12" t="s">
        <v>15198</v>
      </c>
      <c r="P4301" s="12" t="s">
        <v>46</v>
      </c>
      <c r="Q4301" s="12" t="s">
        <v>47</v>
      </c>
      <c r="R4301" s="12" t="s">
        <v>163</v>
      </c>
      <c r="S4301" s="13">
        <v>197643281559</v>
      </c>
      <c r="T4301" s="12" t="s">
        <v>49</v>
      </c>
      <c r="U4301" s="13">
        <v>35</v>
      </c>
      <c r="V4301" s="12" t="s">
        <v>278</v>
      </c>
      <c r="W4301" s="12" t="s">
        <v>186</v>
      </c>
      <c r="X4301" s="14"/>
      <c r="Y4301" s="12" t="s">
        <v>91</v>
      </c>
      <c r="Z4301" s="12" t="s">
        <v>165</v>
      </c>
      <c r="AA4301" s="14"/>
      <c r="AB4301" s="14"/>
      <c r="AC4301" s="15">
        <v>52.3</v>
      </c>
      <c r="AD4301" s="15">
        <f>AC4301*AG4301</f>
        <v>52.3</v>
      </c>
      <c r="AE4301" s="15">
        <v>115</v>
      </c>
      <c r="AF4301" s="15">
        <f>AE4301*AG4301</f>
        <v>115</v>
      </c>
      <c r="AG4301" s="16">
        <v>1</v>
      </c>
    </row>
    <row r="4302" spans="1:33" ht="15" customHeight="1" x14ac:dyDescent="0.2">
      <c r="A4302" s="11" t="str">
        <f>HYPERLINK("https://assets.vans.eu/images/VN000D60CRM-HERO/1","VN000D60CRM1")</f>
        <v>VN000D60CRM1</v>
      </c>
      <c r="B4302" s="12" t="s">
        <v>15199</v>
      </c>
      <c r="C4302" s="12" t="s">
        <v>1470</v>
      </c>
      <c r="D4302" s="12" t="s">
        <v>2783</v>
      </c>
      <c r="E4302" s="12" t="s">
        <v>15200</v>
      </c>
      <c r="F4302" s="13">
        <v>60</v>
      </c>
      <c r="G4302" s="14"/>
      <c r="H4302" s="12" t="s">
        <v>38</v>
      </c>
      <c r="I4302" s="12" t="s">
        <v>113</v>
      </c>
      <c r="J4302" s="12" t="s">
        <v>529</v>
      </c>
      <c r="K4302" s="12" t="s">
        <v>82</v>
      </c>
      <c r="L4302" s="14"/>
      <c r="M4302" s="12" t="s">
        <v>43</v>
      </c>
      <c r="N4302" s="12" t="s">
        <v>44</v>
      </c>
      <c r="O4302" s="12" t="s">
        <v>15201</v>
      </c>
      <c r="P4302" s="12" t="s">
        <v>46</v>
      </c>
      <c r="Q4302" s="12" t="s">
        <v>47</v>
      </c>
      <c r="R4302" s="12" t="s">
        <v>117</v>
      </c>
      <c r="S4302" s="13">
        <v>197643282426</v>
      </c>
      <c r="T4302" s="12" t="s">
        <v>49</v>
      </c>
      <c r="U4302" s="13">
        <v>38</v>
      </c>
      <c r="V4302" s="12" t="s">
        <v>278</v>
      </c>
      <c r="W4302" s="12" t="s">
        <v>580</v>
      </c>
      <c r="X4302" s="14"/>
      <c r="Y4302" s="12" t="s">
        <v>91</v>
      </c>
      <c r="Z4302" s="12" t="s">
        <v>165</v>
      </c>
      <c r="AA4302" s="14"/>
      <c r="AB4302" s="14"/>
      <c r="AC4302" s="15">
        <v>52.3</v>
      </c>
      <c r="AD4302" s="15">
        <f>AC4302*AG4302</f>
        <v>52.3</v>
      </c>
      <c r="AE4302" s="15">
        <v>115</v>
      </c>
      <c r="AF4302" s="15">
        <f>AE4302*AG4302</f>
        <v>115</v>
      </c>
      <c r="AG4302" s="16">
        <v>1</v>
      </c>
    </row>
    <row r="4303" spans="1:33" ht="15" customHeight="1" x14ac:dyDescent="0.2">
      <c r="A4303" s="11" t="str">
        <f t="shared" ref="A4303:A4305" si="1372">HYPERLINK("https://assets.vans.eu/images/VN000D60EMW-HERO/1","VN000D60EMW1")</f>
        <v>VN000D60EMW1</v>
      </c>
      <c r="B4303" s="12" t="s">
        <v>15202</v>
      </c>
      <c r="C4303" s="12" t="s">
        <v>1470</v>
      </c>
      <c r="D4303" s="12" t="s">
        <v>147</v>
      </c>
      <c r="E4303" s="12" t="s">
        <v>15203</v>
      </c>
      <c r="F4303" s="13">
        <v>45</v>
      </c>
      <c r="G4303" s="14"/>
      <c r="H4303" s="12" t="s">
        <v>38</v>
      </c>
      <c r="I4303" s="12" t="s">
        <v>113</v>
      </c>
      <c r="J4303" s="12" t="s">
        <v>529</v>
      </c>
      <c r="K4303" s="12" t="s">
        <v>82</v>
      </c>
      <c r="L4303" s="14"/>
      <c r="M4303" s="12" t="s">
        <v>43</v>
      </c>
      <c r="N4303" s="12" t="s">
        <v>84</v>
      </c>
      <c r="O4303" s="12" t="s">
        <v>15204</v>
      </c>
      <c r="P4303" s="12" t="s">
        <v>46</v>
      </c>
      <c r="Q4303" s="12" t="s">
        <v>47</v>
      </c>
      <c r="R4303" s="12" t="s">
        <v>117</v>
      </c>
      <c r="S4303" s="13">
        <v>197804532810</v>
      </c>
      <c r="T4303" s="12" t="s">
        <v>49</v>
      </c>
      <c r="U4303" s="13">
        <v>36</v>
      </c>
      <c r="V4303" s="12" t="s">
        <v>278</v>
      </c>
      <c r="W4303" s="12" t="s">
        <v>118</v>
      </c>
      <c r="X4303" s="14"/>
      <c r="Y4303" s="14"/>
      <c r="Z4303" s="14"/>
      <c r="AA4303" s="14"/>
      <c r="AB4303" s="14"/>
      <c r="AC4303" s="15">
        <v>52.3</v>
      </c>
      <c r="AD4303" s="15">
        <f>AC4303*AG4303</f>
        <v>52.3</v>
      </c>
      <c r="AE4303" s="15">
        <v>115</v>
      </c>
      <c r="AF4303" s="15">
        <f>AE4303*AG4303</f>
        <v>115</v>
      </c>
      <c r="AG4303" s="16">
        <v>1</v>
      </c>
    </row>
    <row r="4304" spans="1:33" ht="15" customHeight="1" x14ac:dyDescent="0.2">
      <c r="A4304" s="11" t="str">
        <f t="shared" si="1372"/>
        <v>VN000D60EMW1</v>
      </c>
      <c r="B4304" s="12" t="s">
        <v>15205</v>
      </c>
      <c r="C4304" s="12" t="s">
        <v>1470</v>
      </c>
      <c r="D4304" s="12" t="s">
        <v>147</v>
      </c>
      <c r="E4304" s="12" t="s">
        <v>15206</v>
      </c>
      <c r="F4304" s="13">
        <v>55</v>
      </c>
      <c r="G4304" s="14"/>
      <c r="H4304" s="12" t="s">
        <v>38</v>
      </c>
      <c r="I4304" s="12" t="s">
        <v>113</v>
      </c>
      <c r="J4304" s="12" t="s">
        <v>529</v>
      </c>
      <c r="K4304" s="12" t="s">
        <v>82</v>
      </c>
      <c r="L4304" s="14"/>
      <c r="M4304" s="12" t="s">
        <v>43</v>
      </c>
      <c r="N4304" s="12" t="s">
        <v>84</v>
      </c>
      <c r="O4304" s="12" t="s">
        <v>15207</v>
      </c>
      <c r="P4304" s="12" t="s">
        <v>46</v>
      </c>
      <c r="Q4304" s="12" t="s">
        <v>47</v>
      </c>
      <c r="R4304" s="12" t="s">
        <v>117</v>
      </c>
      <c r="S4304" s="13">
        <v>197804533121</v>
      </c>
      <c r="T4304" s="12" t="s">
        <v>49</v>
      </c>
      <c r="U4304" s="13">
        <v>37</v>
      </c>
      <c r="V4304" s="12" t="s">
        <v>278</v>
      </c>
      <c r="W4304" s="12" t="s">
        <v>118</v>
      </c>
      <c r="X4304" s="14"/>
      <c r="Y4304" s="14"/>
      <c r="Z4304" s="14"/>
      <c r="AA4304" s="14"/>
      <c r="AB4304" s="14"/>
      <c r="AC4304" s="15">
        <v>52.3</v>
      </c>
      <c r="AD4304" s="15">
        <f>AC4304*AG4304</f>
        <v>52.3</v>
      </c>
      <c r="AE4304" s="15">
        <v>115</v>
      </c>
      <c r="AF4304" s="15">
        <f>AE4304*AG4304</f>
        <v>115</v>
      </c>
      <c r="AG4304" s="16">
        <v>1</v>
      </c>
    </row>
    <row r="4305" spans="1:33" ht="15" customHeight="1" x14ac:dyDescent="0.2">
      <c r="A4305" s="11" t="str">
        <f t="shared" si="1372"/>
        <v>VN000D60EMW1</v>
      </c>
      <c r="B4305" s="12" t="s">
        <v>15208</v>
      </c>
      <c r="C4305" s="12" t="s">
        <v>1470</v>
      </c>
      <c r="D4305" s="12" t="s">
        <v>147</v>
      </c>
      <c r="E4305" s="12" t="s">
        <v>15209</v>
      </c>
      <c r="F4305" s="13">
        <v>80</v>
      </c>
      <c r="G4305" s="14"/>
      <c r="H4305" s="12" t="s">
        <v>38</v>
      </c>
      <c r="I4305" s="12" t="s">
        <v>113</v>
      </c>
      <c r="J4305" s="12" t="s">
        <v>529</v>
      </c>
      <c r="K4305" s="12" t="s">
        <v>82</v>
      </c>
      <c r="L4305" s="14"/>
      <c r="M4305" s="12" t="s">
        <v>43</v>
      </c>
      <c r="N4305" s="12" t="s">
        <v>84</v>
      </c>
      <c r="O4305" s="12" t="s">
        <v>15210</v>
      </c>
      <c r="P4305" s="12" t="s">
        <v>46</v>
      </c>
      <c r="Q4305" s="12" t="s">
        <v>47</v>
      </c>
      <c r="R4305" s="12" t="s">
        <v>117</v>
      </c>
      <c r="S4305" s="13">
        <v>197804534029</v>
      </c>
      <c r="T4305" s="12" t="s">
        <v>49</v>
      </c>
      <c r="U4305" s="13">
        <v>40.5</v>
      </c>
      <c r="V4305" s="12" t="s">
        <v>278</v>
      </c>
      <c r="W4305" s="12" t="s">
        <v>118</v>
      </c>
      <c r="X4305" s="14"/>
      <c r="Y4305" s="14"/>
      <c r="Z4305" s="14"/>
      <c r="AA4305" s="14"/>
      <c r="AB4305" s="14"/>
      <c r="AC4305" s="15">
        <v>52.3</v>
      </c>
      <c r="AD4305" s="15">
        <f>AC4305*AG4305</f>
        <v>52.3</v>
      </c>
      <c r="AE4305" s="15">
        <v>115</v>
      </c>
      <c r="AF4305" s="15">
        <f>AE4305*AG4305</f>
        <v>115</v>
      </c>
      <c r="AG4305" s="16">
        <v>1</v>
      </c>
    </row>
    <row r="4306" spans="1:33" ht="15" customHeight="1" x14ac:dyDescent="0.2">
      <c r="A4306" s="11" t="str">
        <f t="shared" ref="A4306:A4308" si="1373">HYPERLINK("https://assets.vans.eu/images/VN000D60JLN-HERO/1","VN000D60JLN1")</f>
        <v>VN000D60JLN1</v>
      </c>
      <c r="B4306" s="12" t="s">
        <v>15211</v>
      </c>
      <c r="C4306" s="12" t="s">
        <v>1470</v>
      </c>
      <c r="D4306" s="12" t="s">
        <v>15212</v>
      </c>
      <c r="E4306" s="12" t="s">
        <v>15213</v>
      </c>
      <c r="F4306" s="13">
        <v>40</v>
      </c>
      <c r="G4306" s="14"/>
      <c r="H4306" s="12" t="s">
        <v>38</v>
      </c>
      <c r="I4306" s="12" t="s">
        <v>113</v>
      </c>
      <c r="J4306" s="12" t="s">
        <v>529</v>
      </c>
      <c r="K4306" s="12" t="s">
        <v>82</v>
      </c>
      <c r="L4306" s="14"/>
      <c r="M4306" s="12" t="s">
        <v>43</v>
      </c>
      <c r="N4306" s="12" t="s">
        <v>44</v>
      </c>
      <c r="O4306" s="12" t="s">
        <v>15214</v>
      </c>
      <c r="P4306" s="12" t="s">
        <v>46</v>
      </c>
      <c r="Q4306" s="12" t="s">
        <v>47</v>
      </c>
      <c r="R4306" s="12" t="s">
        <v>117</v>
      </c>
      <c r="S4306" s="13">
        <v>197643281948</v>
      </c>
      <c r="T4306" s="12" t="s">
        <v>49</v>
      </c>
      <c r="U4306" s="13">
        <v>35</v>
      </c>
      <c r="V4306" s="12" t="s">
        <v>278</v>
      </c>
      <c r="W4306" s="12" t="s">
        <v>118</v>
      </c>
      <c r="X4306" s="14"/>
      <c r="Y4306" s="12" t="s">
        <v>91</v>
      </c>
      <c r="Z4306" s="12" t="s">
        <v>165</v>
      </c>
      <c r="AA4306" s="14"/>
      <c r="AB4306" s="14"/>
      <c r="AC4306" s="15">
        <v>52.3</v>
      </c>
      <c r="AD4306" s="15">
        <f>AC4306*AG4306</f>
        <v>52.3</v>
      </c>
      <c r="AE4306" s="15">
        <v>115</v>
      </c>
      <c r="AF4306" s="15">
        <f>AE4306*AG4306</f>
        <v>115</v>
      </c>
      <c r="AG4306" s="16">
        <v>1</v>
      </c>
    </row>
    <row r="4307" spans="1:33" ht="15" customHeight="1" x14ac:dyDescent="0.2">
      <c r="A4307" s="11" t="str">
        <f t="shared" si="1373"/>
        <v>VN000D60JLN1</v>
      </c>
      <c r="B4307" s="12" t="s">
        <v>15215</v>
      </c>
      <c r="C4307" s="12" t="s">
        <v>1470</v>
      </c>
      <c r="D4307" s="12" t="s">
        <v>15212</v>
      </c>
      <c r="E4307" s="12" t="s">
        <v>15216</v>
      </c>
      <c r="F4307" s="13">
        <v>50</v>
      </c>
      <c r="G4307" s="14"/>
      <c r="H4307" s="12" t="s">
        <v>38</v>
      </c>
      <c r="I4307" s="12" t="s">
        <v>113</v>
      </c>
      <c r="J4307" s="12" t="s">
        <v>529</v>
      </c>
      <c r="K4307" s="12" t="s">
        <v>82</v>
      </c>
      <c r="L4307" s="14"/>
      <c r="M4307" s="12" t="s">
        <v>43</v>
      </c>
      <c r="N4307" s="12" t="s">
        <v>44</v>
      </c>
      <c r="O4307" s="12" t="s">
        <v>15217</v>
      </c>
      <c r="P4307" s="12" t="s">
        <v>46</v>
      </c>
      <c r="Q4307" s="12" t="s">
        <v>47</v>
      </c>
      <c r="R4307" s="12" t="s">
        <v>117</v>
      </c>
      <c r="S4307" s="13">
        <v>197643282266</v>
      </c>
      <c r="T4307" s="12" t="s">
        <v>49</v>
      </c>
      <c r="U4307" s="13">
        <v>36.5</v>
      </c>
      <c r="V4307" s="12" t="s">
        <v>278</v>
      </c>
      <c r="W4307" s="12" t="s">
        <v>118</v>
      </c>
      <c r="X4307" s="14"/>
      <c r="Y4307" s="12" t="s">
        <v>91</v>
      </c>
      <c r="Z4307" s="12" t="s">
        <v>165</v>
      </c>
      <c r="AA4307" s="14"/>
      <c r="AB4307" s="14"/>
      <c r="AC4307" s="15">
        <v>52.3</v>
      </c>
      <c r="AD4307" s="15">
        <f>AC4307*AG4307</f>
        <v>52.3</v>
      </c>
      <c r="AE4307" s="15">
        <v>115</v>
      </c>
      <c r="AF4307" s="15">
        <f>AE4307*AG4307</f>
        <v>115</v>
      </c>
      <c r="AG4307" s="16">
        <v>1</v>
      </c>
    </row>
    <row r="4308" spans="1:33" ht="15" customHeight="1" x14ac:dyDescent="0.2">
      <c r="A4308" s="11" t="str">
        <f t="shared" si="1373"/>
        <v>VN000D60JLN1</v>
      </c>
      <c r="B4308" s="12" t="s">
        <v>15218</v>
      </c>
      <c r="C4308" s="12" t="s">
        <v>1470</v>
      </c>
      <c r="D4308" s="12" t="s">
        <v>15212</v>
      </c>
      <c r="E4308" s="12" t="s">
        <v>15219</v>
      </c>
      <c r="F4308" s="13">
        <v>65</v>
      </c>
      <c r="G4308" s="14"/>
      <c r="H4308" s="12" t="s">
        <v>38</v>
      </c>
      <c r="I4308" s="12" t="s">
        <v>113</v>
      </c>
      <c r="J4308" s="12" t="s">
        <v>529</v>
      </c>
      <c r="K4308" s="12" t="s">
        <v>82</v>
      </c>
      <c r="L4308" s="14"/>
      <c r="M4308" s="12" t="s">
        <v>43</v>
      </c>
      <c r="N4308" s="12" t="s">
        <v>44</v>
      </c>
      <c r="O4308" s="12" t="s">
        <v>15220</v>
      </c>
      <c r="P4308" s="12" t="s">
        <v>46</v>
      </c>
      <c r="Q4308" s="12" t="s">
        <v>47</v>
      </c>
      <c r="R4308" s="12" t="s">
        <v>117</v>
      </c>
      <c r="S4308" s="13">
        <v>197643282822</v>
      </c>
      <c r="T4308" s="12" t="s">
        <v>49</v>
      </c>
      <c r="U4308" s="13">
        <v>38.5</v>
      </c>
      <c r="V4308" s="12" t="s">
        <v>278</v>
      </c>
      <c r="W4308" s="12" t="s">
        <v>118</v>
      </c>
      <c r="X4308" s="14"/>
      <c r="Y4308" s="12" t="s">
        <v>91</v>
      </c>
      <c r="Z4308" s="12" t="s">
        <v>165</v>
      </c>
      <c r="AA4308" s="14"/>
      <c r="AB4308" s="14"/>
      <c r="AC4308" s="15">
        <v>52.3</v>
      </c>
      <c r="AD4308" s="15">
        <f>AC4308*AG4308</f>
        <v>52.3</v>
      </c>
      <c r="AE4308" s="15">
        <v>115</v>
      </c>
      <c r="AF4308" s="15">
        <f>AE4308*AG4308</f>
        <v>115</v>
      </c>
      <c r="AG4308" s="16">
        <v>1</v>
      </c>
    </row>
    <row r="4309" spans="1:33" ht="15" customHeight="1" x14ac:dyDescent="0.2">
      <c r="A4309" s="11" t="str">
        <f t="shared" ref="A4309:A4311" si="1374">HYPERLINK("https://assets.vans.eu/images/VN000D60RV2-HERO/1","VN000D60RV21")</f>
        <v>VN000D60RV21</v>
      </c>
      <c r="B4309" s="12" t="s">
        <v>15221</v>
      </c>
      <c r="C4309" s="12" t="s">
        <v>1470</v>
      </c>
      <c r="D4309" s="12" t="s">
        <v>1428</v>
      </c>
      <c r="E4309" s="12" t="s">
        <v>15222</v>
      </c>
      <c r="F4309" s="13">
        <v>75</v>
      </c>
      <c r="G4309" s="14"/>
      <c r="H4309" s="12" t="s">
        <v>38</v>
      </c>
      <c r="I4309" s="12" t="s">
        <v>159</v>
      </c>
      <c r="J4309" s="12" t="s">
        <v>255</v>
      </c>
      <c r="K4309" s="12" t="s">
        <v>82</v>
      </c>
      <c r="L4309" s="14"/>
      <c r="M4309" s="12" t="s">
        <v>43</v>
      </c>
      <c r="N4309" s="12" t="s">
        <v>84</v>
      </c>
      <c r="O4309" s="12" t="s">
        <v>15223</v>
      </c>
      <c r="P4309" s="12" t="s">
        <v>46</v>
      </c>
      <c r="Q4309" s="12" t="s">
        <v>47</v>
      </c>
      <c r="R4309" s="12" t="s">
        <v>163</v>
      </c>
      <c r="S4309" s="13">
        <v>197804534081</v>
      </c>
      <c r="T4309" s="12" t="s">
        <v>49</v>
      </c>
      <c r="U4309" s="13">
        <v>40</v>
      </c>
      <c r="V4309" s="12" t="s">
        <v>278</v>
      </c>
      <c r="W4309" s="12" t="s">
        <v>51</v>
      </c>
      <c r="X4309" s="14"/>
      <c r="Y4309" s="14"/>
      <c r="Z4309" s="14"/>
      <c r="AA4309" s="14"/>
      <c r="AB4309" s="14"/>
      <c r="AC4309" s="15">
        <v>52.3</v>
      </c>
      <c r="AD4309" s="15">
        <f>AC4309*AG4309</f>
        <v>52.3</v>
      </c>
      <c r="AE4309" s="15">
        <v>115</v>
      </c>
      <c r="AF4309" s="15">
        <f>AE4309*AG4309</f>
        <v>115</v>
      </c>
      <c r="AG4309" s="16">
        <v>1</v>
      </c>
    </row>
    <row r="4310" spans="1:33" ht="15" customHeight="1" x14ac:dyDescent="0.2">
      <c r="A4310" s="11" t="str">
        <f t="shared" si="1374"/>
        <v>VN000D60RV21</v>
      </c>
      <c r="B4310" s="12" t="s">
        <v>15224</v>
      </c>
      <c r="C4310" s="12" t="s">
        <v>1470</v>
      </c>
      <c r="D4310" s="12" t="s">
        <v>1428</v>
      </c>
      <c r="E4310" s="12" t="s">
        <v>15225</v>
      </c>
      <c r="F4310" s="13">
        <v>95</v>
      </c>
      <c r="G4310" s="14"/>
      <c r="H4310" s="12" t="s">
        <v>38</v>
      </c>
      <c r="I4310" s="12" t="s">
        <v>159</v>
      </c>
      <c r="J4310" s="12" t="s">
        <v>255</v>
      </c>
      <c r="K4310" s="12" t="s">
        <v>82</v>
      </c>
      <c r="L4310" s="14"/>
      <c r="M4310" s="12" t="s">
        <v>43</v>
      </c>
      <c r="N4310" s="12" t="s">
        <v>84</v>
      </c>
      <c r="O4310" s="12" t="s">
        <v>15226</v>
      </c>
      <c r="P4310" s="12" t="s">
        <v>46</v>
      </c>
      <c r="Q4310" s="12" t="s">
        <v>47</v>
      </c>
      <c r="R4310" s="12" t="s">
        <v>163</v>
      </c>
      <c r="S4310" s="13">
        <v>197804534708</v>
      </c>
      <c r="T4310" s="12" t="s">
        <v>49</v>
      </c>
      <c r="U4310" s="13">
        <v>42.5</v>
      </c>
      <c r="V4310" s="12" t="s">
        <v>278</v>
      </c>
      <c r="W4310" s="12" t="s">
        <v>51</v>
      </c>
      <c r="X4310" s="14"/>
      <c r="Y4310" s="14"/>
      <c r="Z4310" s="14"/>
      <c r="AA4310" s="14"/>
      <c r="AB4310" s="14"/>
      <c r="AC4310" s="15">
        <v>52.3</v>
      </c>
      <c r="AD4310" s="15">
        <f>AC4310*AG4310</f>
        <v>52.3</v>
      </c>
      <c r="AE4310" s="15">
        <v>115</v>
      </c>
      <c r="AF4310" s="15">
        <f>AE4310*AG4310</f>
        <v>115</v>
      </c>
      <c r="AG4310" s="16">
        <v>1</v>
      </c>
    </row>
    <row r="4311" spans="1:33" ht="15" customHeight="1" x14ac:dyDescent="0.2">
      <c r="A4311" s="11" t="str">
        <f t="shared" si="1374"/>
        <v>VN000D60RV21</v>
      </c>
      <c r="B4311" s="12" t="s">
        <v>15227</v>
      </c>
      <c r="C4311" s="12" t="s">
        <v>1470</v>
      </c>
      <c r="D4311" s="12" t="s">
        <v>1428</v>
      </c>
      <c r="E4311" s="12" t="s">
        <v>15228</v>
      </c>
      <c r="F4311" s="13">
        <v>130</v>
      </c>
      <c r="G4311" s="14"/>
      <c r="H4311" s="12" t="s">
        <v>38</v>
      </c>
      <c r="I4311" s="12" t="s">
        <v>159</v>
      </c>
      <c r="J4311" s="12" t="s">
        <v>255</v>
      </c>
      <c r="K4311" s="12" t="s">
        <v>82</v>
      </c>
      <c r="L4311" s="14"/>
      <c r="M4311" s="12" t="s">
        <v>43</v>
      </c>
      <c r="N4311" s="12" t="s">
        <v>84</v>
      </c>
      <c r="O4311" s="12" t="s">
        <v>15229</v>
      </c>
      <c r="P4311" s="12" t="s">
        <v>46</v>
      </c>
      <c r="Q4311" s="12" t="s">
        <v>47</v>
      </c>
      <c r="R4311" s="12" t="s">
        <v>163</v>
      </c>
      <c r="S4311" s="13">
        <v>197804535262</v>
      </c>
      <c r="T4311" s="12" t="s">
        <v>49</v>
      </c>
      <c r="U4311" s="13">
        <v>47</v>
      </c>
      <c r="V4311" s="12" t="s">
        <v>278</v>
      </c>
      <c r="W4311" s="12" t="s">
        <v>51</v>
      </c>
      <c r="X4311" s="14"/>
      <c r="Y4311" s="14"/>
      <c r="Z4311" s="14"/>
      <c r="AA4311" s="14"/>
      <c r="AB4311" s="14"/>
      <c r="AC4311" s="15">
        <v>52.3</v>
      </c>
      <c r="AD4311" s="15">
        <f>AC4311*AG4311</f>
        <v>52.3</v>
      </c>
      <c r="AE4311" s="15">
        <v>115</v>
      </c>
      <c r="AF4311" s="15">
        <f>AE4311*AG4311</f>
        <v>115</v>
      </c>
      <c r="AG4311" s="16">
        <v>1</v>
      </c>
    </row>
    <row r="4312" spans="1:33" ht="15" customHeight="1" x14ac:dyDescent="0.2">
      <c r="A4312" s="11" t="str">
        <f>HYPERLINK("https://assets.vans.eu/images/VN000D61BA2-HERO/1","VN000D61BA21")</f>
        <v>VN000D61BA21</v>
      </c>
      <c r="B4312" s="12" t="s">
        <v>15230</v>
      </c>
      <c r="C4312" s="12" t="s">
        <v>1114</v>
      </c>
      <c r="D4312" s="12" t="s">
        <v>1844</v>
      </c>
      <c r="E4312" s="12" t="s">
        <v>15231</v>
      </c>
      <c r="F4312" s="13">
        <v>85</v>
      </c>
      <c r="G4312" s="14"/>
      <c r="H4312" s="12" t="s">
        <v>38</v>
      </c>
      <c r="I4312" s="12" t="s">
        <v>159</v>
      </c>
      <c r="J4312" s="12" t="s">
        <v>255</v>
      </c>
      <c r="K4312" s="12" t="s">
        <v>82</v>
      </c>
      <c r="L4312" s="14"/>
      <c r="M4312" s="12" t="s">
        <v>43</v>
      </c>
      <c r="N4312" s="12" t="s">
        <v>84</v>
      </c>
      <c r="O4312" s="12" t="s">
        <v>15232</v>
      </c>
      <c r="P4312" s="12" t="s">
        <v>46</v>
      </c>
      <c r="Q4312" s="12" t="s">
        <v>47</v>
      </c>
      <c r="R4312" s="12" t="s">
        <v>163</v>
      </c>
      <c r="S4312" s="13">
        <v>197643284550</v>
      </c>
      <c r="T4312" s="12" t="s">
        <v>49</v>
      </c>
      <c r="U4312" s="13">
        <v>41</v>
      </c>
      <c r="V4312" s="12" t="s">
        <v>50</v>
      </c>
      <c r="W4312" s="12" t="s">
        <v>51</v>
      </c>
      <c r="X4312" s="14"/>
      <c r="Y4312" s="12" t="s">
        <v>91</v>
      </c>
      <c r="Z4312" s="12" t="s">
        <v>165</v>
      </c>
      <c r="AA4312" s="14"/>
      <c r="AB4312" s="14"/>
      <c r="AC4312" s="15">
        <v>54.55</v>
      </c>
      <c r="AD4312" s="15">
        <f>AC4312*AG4312</f>
        <v>54.55</v>
      </c>
      <c r="AE4312" s="15">
        <v>120</v>
      </c>
      <c r="AF4312" s="15">
        <f>AE4312*AG4312</f>
        <v>120</v>
      </c>
      <c r="AG4312" s="16">
        <v>1</v>
      </c>
    </row>
    <row r="4313" spans="1:33" ht="15" customHeight="1" x14ac:dyDescent="0.2">
      <c r="A4313" s="11" t="str">
        <f>HYPERLINK("https://assets.vans.eu/images/VN000D61EMP-HERO/1","VN000D61EMP1")</f>
        <v>VN000D61EMP1</v>
      </c>
      <c r="B4313" s="12" t="s">
        <v>15233</v>
      </c>
      <c r="C4313" s="12" t="s">
        <v>1114</v>
      </c>
      <c r="D4313" s="12" t="s">
        <v>704</v>
      </c>
      <c r="E4313" s="12" t="s">
        <v>15234</v>
      </c>
      <c r="F4313" s="13">
        <v>120</v>
      </c>
      <c r="G4313" s="12" t="s">
        <v>4383</v>
      </c>
      <c r="H4313" s="12" t="s">
        <v>38</v>
      </c>
      <c r="I4313" s="12" t="s">
        <v>159</v>
      </c>
      <c r="J4313" s="12" t="s">
        <v>255</v>
      </c>
      <c r="K4313" s="12" t="s">
        <v>82</v>
      </c>
      <c r="L4313" s="14"/>
      <c r="M4313" s="12" t="s">
        <v>43</v>
      </c>
      <c r="N4313" s="12" t="s">
        <v>84</v>
      </c>
      <c r="O4313" s="12" t="s">
        <v>15235</v>
      </c>
      <c r="P4313" s="12" t="s">
        <v>46</v>
      </c>
      <c r="Q4313" s="12" t="s">
        <v>47</v>
      </c>
      <c r="R4313" s="12" t="s">
        <v>163</v>
      </c>
      <c r="S4313" s="13">
        <v>197804537365</v>
      </c>
      <c r="T4313" s="12" t="s">
        <v>49</v>
      </c>
      <c r="U4313" s="13">
        <v>46</v>
      </c>
      <c r="V4313" s="12" t="s">
        <v>50</v>
      </c>
      <c r="W4313" s="12" t="s">
        <v>186</v>
      </c>
      <c r="X4313" s="14"/>
      <c r="Y4313" s="14"/>
      <c r="Z4313" s="14"/>
      <c r="AA4313" s="14"/>
      <c r="AB4313" s="14"/>
      <c r="AC4313" s="15">
        <v>54.55</v>
      </c>
      <c r="AD4313" s="15">
        <f>AC4313*AG4313</f>
        <v>54.55</v>
      </c>
      <c r="AE4313" s="15">
        <v>120</v>
      </c>
      <c r="AF4313" s="15">
        <f>AE4313*AG4313</f>
        <v>120</v>
      </c>
      <c r="AG4313" s="16">
        <v>1</v>
      </c>
    </row>
    <row r="4314" spans="1:33" ht="15" customHeight="1" x14ac:dyDescent="0.2">
      <c r="A4314" s="11" t="str">
        <f t="shared" ref="A4314:A4315" si="1375">HYPERLINK("https://assets.vans.eu/images/VN000D6CCI2-HERO/1","VN000D6CCI21")</f>
        <v>VN000D6CCI21</v>
      </c>
      <c r="B4314" s="12" t="s">
        <v>15236</v>
      </c>
      <c r="C4314" s="12" t="s">
        <v>110</v>
      </c>
      <c r="D4314" s="12" t="s">
        <v>2499</v>
      </c>
      <c r="E4314" s="12" t="s">
        <v>15237</v>
      </c>
      <c r="F4314" s="13">
        <v>85</v>
      </c>
      <c r="G4314" s="12" t="s">
        <v>5020</v>
      </c>
      <c r="H4314" s="12" t="s">
        <v>38</v>
      </c>
      <c r="I4314" s="12" t="s">
        <v>159</v>
      </c>
      <c r="J4314" s="12" t="s">
        <v>160</v>
      </c>
      <c r="K4314" s="12" t="s">
        <v>82</v>
      </c>
      <c r="L4314" s="14"/>
      <c r="M4314" s="12" t="s">
        <v>43</v>
      </c>
      <c r="N4314" s="12" t="s">
        <v>44</v>
      </c>
      <c r="O4314" s="12" t="s">
        <v>15238</v>
      </c>
      <c r="P4314" s="12" t="s">
        <v>46</v>
      </c>
      <c r="Q4314" s="12" t="s">
        <v>47</v>
      </c>
      <c r="R4314" s="12" t="s">
        <v>163</v>
      </c>
      <c r="S4314" s="13">
        <v>197643203926</v>
      </c>
      <c r="T4314" s="12" t="s">
        <v>105</v>
      </c>
      <c r="U4314" s="13">
        <v>41</v>
      </c>
      <c r="V4314" s="12" t="s">
        <v>50</v>
      </c>
      <c r="W4314" s="12" t="s">
        <v>118</v>
      </c>
      <c r="X4314" s="14"/>
      <c r="Y4314" s="12" t="s">
        <v>91</v>
      </c>
      <c r="Z4314" s="12" t="s">
        <v>2600</v>
      </c>
      <c r="AA4314" s="14"/>
      <c r="AB4314" s="14"/>
      <c r="AC4314" s="15">
        <v>43.2</v>
      </c>
      <c r="AD4314" s="15">
        <f>AC4314*AG4314</f>
        <v>43.2</v>
      </c>
      <c r="AE4314" s="15">
        <v>95</v>
      </c>
      <c r="AF4314" s="15">
        <f>AE4314*AG4314</f>
        <v>95</v>
      </c>
      <c r="AG4314" s="16">
        <v>1</v>
      </c>
    </row>
    <row r="4315" spans="1:33" ht="15" customHeight="1" x14ac:dyDescent="0.2">
      <c r="A4315" s="11" t="str">
        <f t="shared" si="1375"/>
        <v>VN000D6CCI21</v>
      </c>
      <c r="B4315" s="12" t="s">
        <v>15239</v>
      </c>
      <c r="C4315" s="12" t="s">
        <v>110</v>
      </c>
      <c r="D4315" s="12" t="s">
        <v>2499</v>
      </c>
      <c r="E4315" s="12" t="s">
        <v>15240</v>
      </c>
      <c r="F4315" s="13">
        <v>90</v>
      </c>
      <c r="G4315" s="12" t="s">
        <v>5020</v>
      </c>
      <c r="H4315" s="12" t="s">
        <v>38</v>
      </c>
      <c r="I4315" s="12" t="s">
        <v>159</v>
      </c>
      <c r="J4315" s="12" t="s">
        <v>160</v>
      </c>
      <c r="K4315" s="12" t="s">
        <v>82</v>
      </c>
      <c r="L4315" s="14"/>
      <c r="M4315" s="12" t="s">
        <v>43</v>
      </c>
      <c r="N4315" s="12" t="s">
        <v>44</v>
      </c>
      <c r="O4315" s="12" t="s">
        <v>15241</v>
      </c>
      <c r="P4315" s="12" t="s">
        <v>46</v>
      </c>
      <c r="Q4315" s="12" t="s">
        <v>47</v>
      </c>
      <c r="R4315" s="12" t="s">
        <v>163</v>
      </c>
      <c r="S4315" s="13">
        <v>197643204107</v>
      </c>
      <c r="T4315" s="12" t="s">
        <v>105</v>
      </c>
      <c r="U4315" s="13">
        <v>42</v>
      </c>
      <c r="V4315" s="12" t="s">
        <v>50</v>
      </c>
      <c r="W4315" s="12" t="s">
        <v>118</v>
      </c>
      <c r="X4315" s="14"/>
      <c r="Y4315" s="12" t="s">
        <v>91</v>
      </c>
      <c r="Z4315" s="12" t="s">
        <v>2600</v>
      </c>
      <c r="AA4315" s="14"/>
      <c r="AB4315" s="14"/>
      <c r="AC4315" s="15">
        <v>43.2</v>
      </c>
      <c r="AD4315" s="15">
        <f>AC4315*AG4315</f>
        <v>43.2</v>
      </c>
      <c r="AE4315" s="15">
        <v>95</v>
      </c>
      <c r="AF4315" s="15">
        <f>AE4315*AG4315</f>
        <v>95</v>
      </c>
      <c r="AG4315" s="16">
        <v>1</v>
      </c>
    </row>
    <row r="4316" spans="1:33" ht="15" customHeight="1" x14ac:dyDescent="0.2">
      <c r="A4316" s="11" t="str">
        <f>HYPERLINK("https://assets.vans.eu/images/VN000D6CDFM-HERO/1","VN000D6CDFM1")</f>
        <v>VN000D6CDFM1</v>
      </c>
      <c r="B4316" s="12" t="s">
        <v>15242</v>
      </c>
      <c r="C4316" s="12" t="s">
        <v>110</v>
      </c>
      <c r="D4316" s="12" t="s">
        <v>5823</v>
      </c>
      <c r="E4316" s="12" t="s">
        <v>15243</v>
      </c>
      <c r="F4316" s="13">
        <v>85</v>
      </c>
      <c r="G4316" s="12" t="s">
        <v>2814</v>
      </c>
      <c r="H4316" s="12" t="s">
        <v>38</v>
      </c>
      <c r="I4316" s="12" t="s">
        <v>159</v>
      </c>
      <c r="J4316" s="12" t="s">
        <v>160</v>
      </c>
      <c r="K4316" s="12" t="s">
        <v>82</v>
      </c>
      <c r="L4316" s="14"/>
      <c r="M4316" s="12" t="s">
        <v>43</v>
      </c>
      <c r="N4316" s="12" t="s">
        <v>44</v>
      </c>
      <c r="O4316" s="12" t="s">
        <v>15244</v>
      </c>
      <c r="P4316" s="12" t="s">
        <v>46</v>
      </c>
      <c r="Q4316" s="12" t="s">
        <v>47</v>
      </c>
      <c r="R4316" s="12" t="s">
        <v>163</v>
      </c>
      <c r="S4316" s="13">
        <v>197643204312</v>
      </c>
      <c r="T4316" s="12" t="s">
        <v>164</v>
      </c>
      <c r="U4316" s="13">
        <v>41</v>
      </c>
      <c r="V4316" s="12" t="s">
        <v>50</v>
      </c>
      <c r="W4316" s="12" t="s">
        <v>186</v>
      </c>
      <c r="X4316" s="14"/>
      <c r="Y4316" s="12" t="s">
        <v>53</v>
      </c>
      <c r="Z4316" s="12" t="s">
        <v>2600</v>
      </c>
      <c r="AA4316" s="14"/>
      <c r="AB4316" s="14"/>
      <c r="AC4316" s="15">
        <v>43.2</v>
      </c>
      <c r="AD4316" s="15">
        <f>AC4316*AG4316</f>
        <v>43.2</v>
      </c>
      <c r="AE4316" s="15">
        <v>95</v>
      </c>
      <c r="AF4316" s="15">
        <f>AE4316*AG4316</f>
        <v>95</v>
      </c>
      <c r="AG4316" s="16">
        <v>1</v>
      </c>
    </row>
    <row r="4317" spans="1:33" ht="15" customHeight="1" x14ac:dyDescent="0.2">
      <c r="A4317" s="11" t="str">
        <f t="shared" ref="A4317:A4319" si="1376">HYPERLINK("https://assets.vans.eu/images/VN000D6F239-HERO/1","VN000D6F2391")</f>
        <v>VN000D6F2391</v>
      </c>
      <c r="B4317" s="12" t="s">
        <v>15245</v>
      </c>
      <c r="C4317" s="12" t="s">
        <v>1614</v>
      </c>
      <c r="D4317" s="12" t="s">
        <v>1609</v>
      </c>
      <c r="E4317" s="12" t="s">
        <v>15246</v>
      </c>
      <c r="F4317" s="13">
        <v>80</v>
      </c>
      <c r="G4317" s="12" t="s">
        <v>7286</v>
      </c>
      <c r="H4317" s="12" t="s">
        <v>38</v>
      </c>
      <c r="I4317" s="12" t="s">
        <v>159</v>
      </c>
      <c r="J4317" s="12" t="s">
        <v>255</v>
      </c>
      <c r="K4317" s="12" t="s">
        <v>82</v>
      </c>
      <c r="L4317" s="14"/>
      <c r="M4317" s="12" t="s">
        <v>43</v>
      </c>
      <c r="N4317" s="12" t="s">
        <v>84</v>
      </c>
      <c r="O4317" s="12" t="s">
        <v>15247</v>
      </c>
      <c r="P4317" s="12" t="s">
        <v>46</v>
      </c>
      <c r="Q4317" s="12" t="s">
        <v>47</v>
      </c>
      <c r="R4317" s="12" t="s">
        <v>163</v>
      </c>
      <c r="S4317" s="13">
        <v>197804537143</v>
      </c>
      <c r="T4317" s="12" t="s">
        <v>49</v>
      </c>
      <c r="U4317" s="13">
        <v>40.5</v>
      </c>
      <c r="V4317" s="12" t="s">
        <v>50</v>
      </c>
      <c r="W4317" s="12" t="s">
        <v>455</v>
      </c>
      <c r="X4317" s="14"/>
      <c r="Y4317" s="14"/>
      <c r="Z4317" s="14"/>
      <c r="AA4317" s="14"/>
      <c r="AB4317" s="14"/>
      <c r="AC4317" s="15">
        <v>50</v>
      </c>
      <c r="AD4317" s="15">
        <f>AC4317*AG4317</f>
        <v>50</v>
      </c>
      <c r="AE4317" s="15">
        <v>110</v>
      </c>
      <c r="AF4317" s="15">
        <f>AE4317*AG4317</f>
        <v>110</v>
      </c>
      <c r="AG4317" s="16">
        <v>1</v>
      </c>
    </row>
    <row r="4318" spans="1:33" ht="15" customHeight="1" x14ac:dyDescent="0.2">
      <c r="A4318" s="11" t="str">
        <f t="shared" si="1376"/>
        <v>VN000D6F2391</v>
      </c>
      <c r="B4318" s="12" t="s">
        <v>15248</v>
      </c>
      <c r="C4318" s="12" t="s">
        <v>1614</v>
      </c>
      <c r="D4318" s="12" t="s">
        <v>1609</v>
      </c>
      <c r="E4318" s="12" t="s">
        <v>15249</v>
      </c>
      <c r="F4318" s="13">
        <v>85</v>
      </c>
      <c r="G4318" s="12" t="s">
        <v>7286</v>
      </c>
      <c r="H4318" s="12" t="s">
        <v>38</v>
      </c>
      <c r="I4318" s="12" t="s">
        <v>159</v>
      </c>
      <c r="J4318" s="12" t="s">
        <v>255</v>
      </c>
      <c r="K4318" s="12" t="s">
        <v>82</v>
      </c>
      <c r="L4318" s="14"/>
      <c r="M4318" s="12" t="s">
        <v>43</v>
      </c>
      <c r="N4318" s="12" t="s">
        <v>84</v>
      </c>
      <c r="O4318" s="12" t="s">
        <v>15250</v>
      </c>
      <c r="P4318" s="12" t="s">
        <v>46</v>
      </c>
      <c r="Q4318" s="12" t="s">
        <v>47</v>
      </c>
      <c r="R4318" s="12" t="s">
        <v>163</v>
      </c>
      <c r="S4318" s="13">
        <v>197804537334</v>
      </c>
      <c r="T4318" s="12" t="s">
        <v>49</v>
      </c>
      <c r="U4318" s="13">
        <v>41</v>
      </c>
      <c r="V4318" s="12" t="s">
        <v>50</v>
      </c>
      <c r="W4318" s="12" t="s">
        <v>455</v>
      </c>
      <c r="X4318" s="14"/>
      <c r="Y4318" s="14"/>
      <c r="Z4318" s="14"/>
      <c r="AA4318" s="14"/>
      <c r="AB4318" s="14"/>
      <c r="AC4318" s="15">
        <v>50</v>
      </c>
      <c r="AD4318" s="15">
        <f>AC4318*AG4318</f>
        <v>50</v>
      </c>
      <c r="AE4318" s="15">
        <v>110</v>
      </c>
      <c r="AF4318" s="15">
        <f>AE4318*AG4318</f>
        <v>110</v>
      </c>
      <c r="AG4318" s="16">
        <v>1</v>
      </c>
    </row>
    <row r="4319" spans="1:33" ht="15" customHeight="1" x14ac:dyDescent="0.2">
      <c r="A4319" s="11" t="str">
        <f t="shared" si="1376"/>
        <v>VN000D6F2391</v>
      </c>
      <c r="B4319" s="12" t="s">
        <v>15251</v>
      </c>
      <c r="C4319" s="12" t="s">
        <v>1614</v>
      </c>
      <c r="D4319" s="12" t="s">
        <v>1609</v>
      </c>
      <c r="E4319" s="12" t="s">
        <v>15252</v>
      </c>
      <c r="F4319" s="13">
        <v>110</v>
      </c>
      <c r="G4319" s="12" t="s">
        <v>7286</v>
      </c>
      <c r="H4319" s="12" t="s">
        <v>38</v>
      </c>
      <c r="I4319" s="12" t="s">
        <v>159</v>
      </c>
      <c r="J4319" s="12" t="s">
        <v>255</v>
      </c>
      <c r="K4319" s="12" t="s">
        <v>82</v>
      </c>
      <c r="L4319" s="14"/>
      <c r="M4319" s="12" t="s">
        <v>43</v>
      </c>
      <c r="N4319" s="12" t="s">
        <v>84</v>
      </c>
      <c r="O4319" s="12" t="s">
        <v>15253</v>
      </c>
      <c r="P4319" s="12" t="s">
        <v>46</v>
      </c>
      <c r="Q4319" s="12" t="s">
        <v>47</v>
      </c>
      <c r="R4319" s="12" t="s">
        <v>163</v>
      </c>
      <c r="S4319" s="13">
        <v>197804538065</v>
      </c>
      <c r="T4319" s="12" t="s">
        <v>49</v>
      </c>
      <c r="U4319" s="13">
        <v>44.5</v>
      </c>
      <c r="V4319" s="12" t="s">
        <v>50</v>
      </c>
      <c r="W4319" s="12" t="s">
        <v>455</v>
      </c>
      <c r="X4319" s="14"/>
      <c r="Y4319" s="14"/>
      <c r="Z4319" s="14"/>
      <c r="AA4319" s="14"/>
      <c r="AB4319" s="14"/>
      <c r="AC4319" s="15">
        <v>50</v>
      </c>
      <c r="AD4319" s="15">
        <f>AC4319*AG4319</f>
        <v>50</v>
      </c>
      <c r="AE4319" s="15">
        <v>110</v>
      </c>
      <c r="AF4319" s="15">
        <f>AE4319*AG4319</f>
        <v>110</v>
      </c>
      <c r="AG4319" s="16">
        <v>1</v>
      </c>
    </row>
    <row r="4320" spans="1:33" ht="15" customHeight="1" x14ac:dyDescent="0.2">
      <c r="A4320" s="11" t="str">
        <f t="shared" si="1067"/>
        <v>VN000D6FBF01</v>
      </c>
      <c r="B4320" s="12" t="s">
        <v>15254</v>
      </c>
      <c r="C4320" s="12" t="s">
        <v>1614</v>
      </c>
      <c r="D4320" s="12" t="s">
        <v>5907</v>
      </c>
      <c r="E4320" s="12" t="s">
        <v>15255</v>
      </c>
      <c r="F4320" s="13">
        <v>90</v>
      </c>
      <c r="G4320" s="12" t="s">
        <v>9782</v>
      </c>
      <c r="H4320" s="12" t="s">
        <v>38</v>
      </c>
      <c r="I4320" s="12" t="s">
        <v>159</v>
      </c>
      <c r="J4320" s="12" t="s">
        <v>255</v>
      </c>
      <c r="K4320" s="12" t="s">
        <v>82</v>
      </c>
      <c r="L4320" s="14"/>
      <c r="M4320" s="12" t="s">
        <v>43</v>
      </c>
      <c r="N4320" s="12" t="s">
        <v>84</v>
      </c>
      <c r="O4320" s="12" t="s">
        <v>15256</v>
      </c>
      <c r="P4320" s="12" t="s">
        <v>46</v>
      </c>
      <c r="Q4320" s="12" t="s">
        <v>47</v>
      </c>
      <c r="R4320" s="12" t="s">
        <v>163</v>
      </c>
      <c r="S4320" s="13">
        <v>197804537464</v>
      </c>
      <c r="T4320" s="12" t="s">
        <v>105</v>
      </c>
      <c r="U4320" s="13">
        <v>42</v>
      </c>
      <c r="V4320" s="12" t="s">
        <v>50</v>
      </c>
      <c r="W4320" s="12" t="s">
        <v>186</v>
      </c>
      <c r="X4320" s="14"/>
      <c r="Y4320" s="14"/>
      <c r="Z4320" s="14"/>
      <c r="AA4320" s="14"/>
      <c r="AB4320" s="14"/>
      <c r="AC4320" s="15">
        <v>50</v>
      </c>
      <c r="AD4320" s="15">
        <f>AC4320*AG4320</f>
        <v>50</v>
      </c>
      <c r="AE4320" s="15">
        <v>110</v>
      </c>
      <c r="AF4320" s="15">
        <f>AE4320*AG4320</f>
        <v>110</v>
      </c>
      <c r="AG4320" s="16">
        <v>1</v>
      </c>
    </row>
    <row r="4321" spans="1:33" ht="15" customHeight="1" x14ac:dyDescent="0.2">
      <c r="A4321" s="11" t="str">
        <f t="shared" ref="A4321:A4326" si="1377">HYPERLINK("https://assets.vans.eu/images/VN000D6FBF0-HERO/1","VN000D6FBF01")</f>
        <v>VN000D6FBF01</v>
      </c>
      <c r="B4321" s="12" t="s">
        <v>15257</v>
      </c>
      <c r="C4321" s="12" t="s">
        <v>1614</v>
      </c>
      <c r="D4321" s="12" t="s">
        <v>5907</v>
      </c>
      <c r="E4321" s="12" t="s">
        <v>15258</v>
      </c>
      <c r="F4321" s="13">
        <v>95</v>
      </c>
      <c r="G4321" s="12" t="s">
        <v>9782</v>
      </c>
      <c r="H4321" s="12" t="s">
        <v>38</v>
      </c>
      <c r="I4321" s="12" t="s">
        <v>159</v>
      </c>
      <c r="J4321" s="12" t="s">
        <v>255</v>
      </c>
      <c r="K4321" s="12" t="s">
        <v>82</v>
      </c>
      <c r="L4321" s="14"/>
      <c r="M4321" s="12" t="s">
        <v>43</v>
      </c>
      <c r="N4321" s="12" t="s">
        <v>84</v>
      </c>
      <c r="O4321" s="12" t="s">
        <v>15259</v>
      </c>
      <c r="P4321" s="12" t="s">
        <v>46</v>
      </c>
      <c r="Q4321" s="12" t="s">
        <v>47</v>
      </c>
      <c r="R4321" s="12" t="s">
        <v>163</v>
      </c>
      <c r="S4321" s="13">
        <v>197804537624</v>
      </c>
      <c r="T4321" s="12" t="s">
        <v>105</v>
      </c>
      <c r="U4321" s="13">
        <v>42.5</v>
      </c>
      <c r="V4321" s="12" t="s">
        <v>50</v>
      </c>
      <c r="W4321" s="12" t="s">
        <v>186</v>
      </c>
      <c r="X4321" s="14"/>
      <c r="Y4321" s="14"/>
      <c r="Z4321" s="14"/>
      <c r="AA4321" s="14"/>
      <c r="AB4321" s="14"/>
      <c r="AC4321" s="15">
        <v>50</v>
      </c>
      <c r="AD4321" s="15">
        <f>AC4321*AG4321</f>
        <v>50</v>
      </c>
      <c r="AE4321" s="15">
        <v>110</v>
      </c>
      <c r="AF4321" s="15">
        <f>AE4321*AG4321</f>
        <v>110</v>
      </c>
      <c r="AG4321" s="16">
        <v>1</v>
      </c>
    </row>
    <row r="4322" spans="1:33" ht="15" customHeight="1" x14ac:dyDescent="0.2">
      <c r="A4322" s="11" t="str">
        <f t="shared" si="1377"/>
        <v>VN000D6FBF01</v>
      </c>
      <c r="B4322" s="12" t="s">
        <v>15260</v>
      </c>
      <c r="C4322" s="12" t="s">
        <v>1614</v>
      </c>
      <c r="D4322" s="12" t="s">
        <v>5907</v>
      </c>
      <c r="E4322" s="12" t="s">
        <v>15261</v>
      </c>
      <c r="F4322" s="13">
        <v>100</v>
      </c>
      <c r="G4322" s="12" t="s">
        <v>9782</v>
      </c>
      <c r="H4322" s="12" t="s">
        <v>38</v>
      </c>
      <c r="I4322" s="12" t="s">
        <v>159</v>
      </c>
      <c r="J4322" s="12" t="s">
        <v>255</v>
      </c>
      <c r="K4322" s="12" t="s">
        <v>82</v>
      </c>
      <c r="L4322" s="14"/>
      <c r="M4322" s="12" t="s">
        <v>43</v>
      </c>
      <c r="N4322" s="12" t="s">
        <v>84</v>
      </c>
      <c r="O4322" s="12" t="s">
        <v>15262</v>
      </c>
      <c r="P4322" s="12" t="s">
        <v>46</v>
      </c>
      <c r="Q4322" s="12" t="s">
        <v>47</v>
      </c>
      <c r="R4322" s="12" t="s">
        <v>163</v>
      </c>
      <c r="S4322" s="13">
        <v>197804537808</v>
      </c>
      <c r="T4322" s="12" t="s">
        <v>105</v>
      </c>
      <c r="U4322" s="13">
        <v>43</v>
      </c>
      <c r="V4322" s="12" t="s">
        <v>50</v>
      </c>
      <c r="W4322" s="12" t="s">
        <v>186</v>
      </c>
      <c r="X4322" s="14"/>
      <c r="Y4322" s="14"/>
      <c r="Z4322" s="14"/>
      <c r="AA4322" s="14"/>
      <c r="AB4322" s="14"/>
      <c r="AC4322" s="15">
        <v>50</v>
      </c>
      <c r="AD4322" s="15">
        <f>AC4322*AG4322</f>
        <v>50</v>
      </c>
      <c r="AE4322" s="15">
        <v>110</v>
      </c>
      <c r="AF4322" s="15">
        <f>AE4322*AG4322</f>
        <v>110</v>
      </c>
      <c r="AG4322" s="16">
        <v>1</v>
      </c>
    </row>
    <row r="4323" spans="1:33" ht="15" customHeight="1" x14ac:dyDescent="0.2">
      <c r="A4323" s="11" t="str">
        <f t="shared" si="1377"/>
        <v>VN000D6FBF01</v>
      </c>
      <c r="B4323" s="12" t="s">
        <v>15263</v>
      </c>
      <c r="C4323" s="12" t="s">
        <v>1614</v>
      </c>
      <c r="D4323" s="12" t="s">
        <v>5907</v>
      </c>
      <c r="E4323" s="12" t="s">
        <v>15264</v>
      </c>
      <c r="F4323" s="13">
        <v>105</v>
      </c>
      <c r="G4323" s="12" t="s">
        <v>9782</v>
      </c>
      <c r="H4323" s="12" t="s">
        <v>38</v>
      </c>
      <c r="I4323" s="12" t="s">
        <v>159</v>
      </c>
      <c r="J4323" s="12" t="s">
        <v>255</v>
      </c>
      <c r="K4323" s="12" t="s">
        <v>82</v>
      </c>
      <c r="L4323" s="14"/>
      <c r="M4323" s="12" t="s">
        <v>43</v>
      </c>
      <c r="N4323" s="12" t="s">
        <v>84</v>
      </c>
      <c r="O4323" s="12" t="s">
        <v>15265</v>
      </c>
      <c r="P4323" s="12" t="s">
        <v>46</v>
      </c>
      <c r="Q4323" s="12" t="s">
        <v>47</v>
      </c>
      <c r="R4323" s="12" t="s">
        <v>163</v>
      </c>
      <c r="S4323" s="13">
        <v>197804537846</v>
      </c>
      <c r="T4323" s="12" t="s">
        <v>105</v>
      </c>
      <c r="U4323" s="13">
        <v>44</v>
      </c>
      <c r="V4323" s="12" t="s">
        <v>50</v>
      </c>
      <c r="W4323" s="12" t="s">
        <v>186</v>
      </c>
      <c r="X4323" s="14"/>
      <c r="Y4323" s="14"/>
      <c r="Z4323" s="14"/>
      <c r="AA4323" s="14"/>
      <c r="AB4323" s="14"/>
      <c r="AC4323" s="15">
        <v>50</v>
      </c>
      <c r="AD4323" s="15">
        <f>AC4323*AG4323</f>
        <v>50</v>
      </c>
      <c r="AE4323" s="15">
        <v>110</v>
      </c>
      <c r="AF4323" s="15">
        <f>AE4323*AG4323</f>
        <v>110</v>
      </c>
      <c r="AG4323" s="16">
        <v>1</v>
      </c>
    </row>
    <row r="4324" spans="1:33" ht="15" customHeight="1" x14ac:dyDescent="0.2">
      <c r="A4324" s="11" t="str">
        <f t="shared" si="1377"/>
        <v>VN000D6FBF01</v>
      </c>
      <c r="B4324" s="12" t="s">
        <v>15266</v>
      </c>
      <c r="C4324" s="12" t="s">
        <v>1614</v>
      </c>
      <c r="D4324" s="12" t="s">
        <v>5907</v>
      </c>
      <c r="E4324" s="12" t="s">
        <v>15267</v>
      </c>
      <c r="F4324" s="13">
        <v>110</v>
      </c>
      <c r="G4324" s="12" t="s">
        <v>9782</v>
      </c>
      <c r="H4324" s="12" t="s">
        <v>38</v>
      </c>
      <c r="I4324" s="12" t="s">
        <v>159</v>
      </c>
      <c r="J4324" s="12" t="s">
        <v>255</v>
      </c>
      <c r="K4324" s="12" t="s">
        <v>82</v>
      </c>
      <c r="L4324" s="14"/>
      <c r="M4324" s="12" t="s">
        <v>43</v>
      </c>
      <c r="N4324" s="12" t="s">
        <v>84</v>
      </c>
      <c r="O4324" s="12" t="s">
        <v>15268</v>
      </c>
      <c r="P4324" s="12" t="s">
        <v>46</v>
      </c>
      <c r="Q4324" s="12" t="s">
        <v>47</v>
      </c>
      <c r="R4324" s="12" t="s">
        <v>163</v>
      </c>
      <c r="S4324" s="13">
        <v>197804538126</v>
      </c>
      <c r="T4324" s="12" t="s">
        <v>105</v>
      </c>
      <c r="U4324" s="13">
        <v>44.5</v>
      </c>
      <c r="V4324" s="12" t="s">
        <v>50</v>
      </c>
      <c r="W4324" s="12" t="s">
        <v>186</v>
      </c>
      <c r="X4324" s="14"/>
      <c r="Y4324" s="14"/>
      <c r="Z4324" s="14"/>
      <c r="AA4324" s="14"/>
      <c r="AB4324" s="14"/>
      <c r="AC4324" s="15">
        <v>50</v>
      </c>
      <c r="AD4324" s="15">
        <f>AC4324*AG4324</f>
        <v>50</v>
      </c>
      <c r="AE4324" s="15">
        <v>110</v>
      </c>
      <c r="AF4324" s="15">
        <f>AE4324*AG4324</f>
        <v>110</v>
      </c>
      <c r="AG4324" s="16">
        <v>1</v>
      </c>
    </row>
    <row r="4325" spans="1:33" ht="15" customHeight="1" x14ac:dyDescent="0.2">
      <c r="A4325" s="11" t="str">
        <f t="shared" si="1377"/>
        <v>VN000D6FBF01</v>
      </c>
      <c r="B4325" s="12" t="s">
        <v>15269</v>
      </c>
      <c r="C4325" s="12" t="s">
        <v>1614</v>
      </c>
      <c r="D4325" s="12" t="s">
        <v>5907</v>
      </c>
      <c r="E4325" s="12" t="s">
        <v>15270</v>
      </c>
      <c r="F4325" s="13">
        <v>115</v>
      </c>
      <c r="G4325" s="12" t="s">
        <v>9782</v>
      </c>
      <c r="H4325" s="12" t="s">
        <v>38</v>
      </c>
      <c r="I4325" s="12" t="s">
        <v>159</v>
      </c>
      <c r="J4325" s="12" t="s">
        <v>255</v>
      </c>
      <c r="K4325" s="12" t="s">
        <v>82</v>
      </c>
      <c r="L4325" s="14"/>
      <c r="M4325" s="12" t="s">
        <v>43</v>
      </c>
      <c r="N4325" s="12" t="s">
        <v>84</v>
      </c>
      <c r="O4325" s="12" t="s">
        <v>15271</v>
      </c>
      <c r="P4325" s="12" t="s">
        <v>46</v>
      </c>
      <c r="Q4325" s="12" t="s">
        <v>47</v>
      </c>
      <c r="R4325" s="12" t="s">
        <v>163</v>
      </c>
      <c r="S4325" s="13">
        <v>197804538188</v>
      </c>
      <c r="T4325" s="12" t="s">
        <v>105</v>
      </c>
      <c r="U4325" s="13">
        <v>45</v>
      </c>
      <c r="V4325" s="12" t="s">
        <v>50</v>
      </c>
      <c r="W4325" s="12" t="s">
        <v>186</v>
      </c>
      <c r="X4325" s="14"/>
      <c r="Y4325" s="14"/>
      <c r="Z4325" s="14"/>
      <c r="AA4325" s="14"/>
      <c r="AB4325" s="14"/>
      <c r="AC4325" s="15">
        <v>50</v>
      </c>
      <c r="AD4325" s="15">
        <f>AC4325*AG4325</f>
        <v>50</v>
      </c>
      <c r="AE4325" s="15">
        <v>110</v>
      </c>
      <c r="AF4325" s="15">
        <f>AE4325*AG4325</f>
        <v>110</v>
      </c>
      <c r="AG4325" s="16">
        <v>1</v>
      </c>
    </row>
    <row r="4326" spans="1:33" ht="15" customHeight="1" x14ac:dyDescent="0.2">
      <c r="A4326" s="11" t="str">
        <f t="shared" si="1377"/>
        <v>VN000D6FBF01</v>
      </c>
      <c r="B4326" s="12" t="s">
        <v>15272</v>
      </c>
      <c r="C4326" s="12" t="s">
        <v>1614</v>
      </c>
      <c r="D4326" s="12" t="s">
        <v>5907</v>
      </c>
      <c r="E4326" s="12" t="s">
        <v>15273</v>
      </c>
      <c r="F4326" s="13">
        <v>120</v>
      </c>
      <c r="G4326" s="12" t="s">
        <v>9782</v>
      </c>
      <c r="H4326" s="12" t="s">
        <v>38</v>
      </c>
      <c r="I4326" s="12" t="s">
        <v>159</v>
      </c>
      <c r="J4326" s="12" t="s">
        <v>255</v>
      </c>
      <c r="K4326" s="12" t="s">
        <v>82</v>
      </c>
      <c r="L4326" s="14"/>
      <c r="M4326" s="12" t="s">
        <v>43</v>
      </c>
      <c r="N4326" s="12" t="s">
        <v>84</v>
      </c>
      <c r="O4326" s="12" t="s">
        <v>15274</v>
      </c>
      <c r="P4326" s="12" t="s">
        <v>46</v>
      </c>
      <c r="Q4326" s="12" t="s">
        <v>47</v>
      </c>
      <c r="R4326" s="12" t="s">
        <v>163</v>
      </c>
      <c r="S4326" s="13">
        <v>197804538348</v>
      </c>
      <c r="T4326" s="12" t="s">
        <v>105</v>
      </c>
      <c r="U4326" s="13">
        <v>46</v>
      </c>
      <c r="V4326" s="12" t="s">
        <v>50</v>
      </c>
      <c r="W4326" s="12" t="s">
        <v>186</v>
      </c>
      <c r="X4326" s="14"/>
      <c r="Y4326" s="14"/>
      <c r="Z4326" s="14"/>
      <c r="AA4326" s="14"/>
      <c r="AB4326" s="14"/>
      <c r="AC4326" s="15">
        <v>50</v>
      </c>
      <c r="AD4326" s="15">
        <f>AC4326*AG4326</f>
        <v>50</v>
      </c>
      <c r="AE4326" s="15">
        <v>110</v>
      </c>
      <c r="AF4326" s="15">
        <f>AE4326*AG4326</f>
        <v>110</v>
      </c>
      <c r="AG4326" s="16">
        <v>1</v>
      </c>
    </row>
    <row r="4327" spans="1:33" ht="15" customHeight="1" x14ac:dyDescent="0.2">
      <c r="A4327" s="11" t="str">
        <f t="shared" si="1068"/>
        <v>VN000D6FBGK1</v>
      </c>
      <c r="B4327" s="12" t="s">
        <v>15275</v>
      </c>
      <c r="C4327" s="12" t="s">
        <v>1614</v>
      </c>
      <c r="D4327" s="12" t="s">
        <v>4850</v>
      </c>
      <c r="E4327" s="12" t="s">
        <v>15276</v>
      </c>
      <c r="F4327" s="13">
        <v>45</v>
      </c>
      <c r="G4327" s="12" t="s">
        <v>9782</v>
      </c>
      <c r="H4327" s="12" t="s">
        <v>38</v>
      </c>
      <c r="I4327" s="12" t="s">
        <v>159</v>
      </c>
      <c r="J4327" s="12" t="s">
        <v>255</v>
      </c>
      <c r="K4327" s="12" t="s">
        <v>82</v>
      </c>
      <c r="L4327" s="14"/>
      <c r="M4327" s="12" t="s">
        <v>43</v>
      </c>
      <c r="N4327" s="12" t="s">
        <v>84</v>
      </c>
      <c r="O4327" s="12" t="s">
        <v>15277</v>
      </c>
      <c r="P4327" s="12" t="s">
        <v>46</v>
      </c>
      <c r="Q4327" s="12" t="s">
        <v>47</v>
      </c>
      <c r="R4327" s="12" t="s">
        <v>163</v>
      </c>
      <c r="S4327" s="13">
        <v>197804536320</v>
      </c>
      <c r="T4327" s="12" t="s">
        <v>105</v>
      </c>
      <c r="U4327" s="13">
        <v>36</v>
      </c>
      <c r="V4327" s="12" t="s">
        <v>50</v>
      </c>
      <c r="W4327" s="12" t="s">
        <v>118</v>
      </c>
      <c r="X4327" s="14"/>
      <c r="Y4327" s="14"/>
      <c r="Z4327" s="14"/>
      <c r="AA4327" s="14"/>
      <c r="AB4327" s="14"/>
      <c r="AC4327" s="15">
        <v>50</v>
      </c>
      <c r="AD4327" s="15">
        <f>AC4327*AG4327</f>
        <v>50</v>
      </c>
      <c r="AE4327" s="15">
        <v>110</v>
      </c>
      <c r="AF4327" s="15">
        <f>AE4327*AG4327</f>
        <v>110</v>
      </c>
      <c r="AG4327" s="16">
        <v>1</v>
      </c>
    </row>
    <row r="4328" spans="1:33" ht="15" customHeight="1" x14ac:dyDescent="0.2">
      <c r="A4328" s="11" t="str">
        <f t="shared" ref="A4328:A4334" si="1378">HYPERLINK("https://assets.vans.eu/images/VN000D6FBGK-HERO/1","VN000D6FBGK1")</f>
        <v>VN000D6FBGK1</v>
      </c>
      <c r="B4328" s="12" t="s">
        <v>15278</v>
      </c>
      <c r="C4328" s="12" t="s">
        <v>1614</v>
      </c>
      <c r="D4328" s="12" t="s">
        <v>4850</v>
      </c>
      <c r="E4328" s="12" t="s">
        <v>15279</v>
      </c>
      <c r="F4328" s="13">
        <v>60</v>
      </c>
      <c r="G4328" s="12" t="s">
        <v>9782</v>
      </c>
      <c r="H4328" s="12" t="s">
        <v>38</v>
      </c>
      <c r="I4328" s="12" t="s">
        <v>159</v>
      </c>
      <c r="J4328" s="12" t="s">
        <v>255</v>
      </c>
      <c r="K4328" s="12" t="s">
        <v>82</v>
      </c>
      <c r="L4328" s="14"/>
      <c r="M4328" s="12" t="s">
        <v>43</v>
      </c>
      <c r="N4328" s="12" t="s">
        <v>84</v>
      </c>
      <c r="O4328" s="12" t="s">
        <v>15280</v>
      </c>
      <c r="P4328" s="12" t="s">
        <v>46</v>
      </c>
      <c r="Q4328" s="12" t="s">
        <v>47</v>
      </c>
      <c r="R4328" s="12" t="s">
        <v>163</v>
      </c>
      <c r="S4328" s="13">
        <v>197804536702</v>
      </c>
      <c r="T4328" s="12" t="s">
        <v>105</v>
      </c>
      <c r="U4328" s="13">
        <v>38</v>
      </c>
      <c r="V4328" s="12" t="s">
        <v>50</v>
      </c>
      <c r="W4328" s="12" t="s">
        <v>118</v>
      </c>
      <c r="X4328" s="14"/>
      <c r="Y4328" s="14"/>
      <c r="Z4328" s="14"/>
      <c r="AA4328" s="14"/>
      <c r="AB4328" s="14"/>
      <c r="AC4328" s="15">
        <v>50</v>
      </c>
      <c r="AD4328" s="15">
        <f>AC4328*AG4328</f>
        <v>50</v>
      </c>
      <c r="AE4328" s="15">
        <v>110</v>
      </c>
      <c r="AF4328" s="15">
        <f>AE4328*AG4328</f>
        <v>110</v>
      </c>
      <c r="AG4328" s="16">
        <v>1</v>
      </c>
    </row>
    <row r="4329" spans="1:33" ht="15" customHeight="1" x14ac:dyDescent="0.2">
      <c r="A4329" s="11" t="str">
        <f t="shared" si="1378"/>
        <v>VN000D6FBGK1</v>
      </c>
      <c r="B4329" s="12" t="s">
        <v>15281</v>
      </c>
      <c r="C4329" s="12" t="s">
        <v>1614</v>
      </c>
      <c r="D4329" s="12" t="s">
        <v>4850</v>
      </c>
      <c r="E4329" s="12" t="s">
        <v>15282</v>
      </c>
      <c r="F4329" s="13">
        <v>65</v>
      </c>
      <c r="G4329" s="12" t="s">
        <v>9782</v>
      </c>
      <c r="H4329" s="12" t="s">
        <v>38</v>
      </c>
      <c r="I4329" s="12" t="s">
        <v>159</v>
      </c>
      <c r="J4329" s="12" t="s">
        <v>255</v>
      </c>
      <c r="K4329" s="12" t="s">
        <v>82</v>
      </c>
      <c r="L4329" s="14"/>
      <c r="M4329" s="12" t="s">
        <v>43</v>
      </c>
      <c r="N4329" s="12" t="s">
        <v>84</v>
      </c>
      <c r="O4329" s="12" t="s">
        <v>15283</v>
      </c>
      <c r="P4329" s="12" t="s">
        <v>46</v>
      </c>
      <c r="Q4329" s="12" t="s">
        <v>47</v>
      </c>
      <c r="R4329" s="12" t="s">
        <v>163</v>
      </c>
      <c r="S4329" s="13">
        <v>197804536757</v>
      </c>
      <c r="T4329" s="12" t="s">
        <v>105</v>
      </c>
      <c r="U4329" s="13">
        <v>38.5</v>
      </c>
      <c r="V4329" s="12" t="s">
        <v>50</v>
      </c>
      <c r="W4329" s="12" t="s">
        <v>118</v>
      </c>
      <c r="X4329" s="14"/>
      <c r="Y4329" s="14"/>
      <c r="Z4329" s="14"/>
      <c r="AA4329" s="14"/>
      <c r="AB4329" s="14"/>
      <c r="AC4329" s="15">
        <v>50</v>
      </c>
      <c r="AD4329" s="15">
        <f>AC4329*AG4329</f>
        <v>50</v>
      </c>
      <c r="AE4329" s="15">
        <v>110</v>
      </c>
      <c r="AF4329" s="15">
        <f>AE4329*AG4329</f>
        <v>110</v>
      </c>
      <c r="AG4329" s="16">
        <v>1</v>
      </c>
    </row>
    <row r="4330" spans="1:33" ht="15" customHeight="1" x14ac:dyDescent="0.2">
      <c r="A4330" s="11" t="str">
        <f t="shared" si="1378"/>
        <v>VN000D6FBGK1</v>
      </c>
      <c r="B4330" s="12" t="s">
        <v>15284</v>
      </c>
      <c r="C4330" s="12" t="s">
        <v>1614</v>
      </c>
      <c r="D4330" s="12" t="s">
        <v>4850</v>
      </c>
      <c r="E4330" s="12" t="s">
        <v>15285</v>
      </c>
      <c r="F4330" s="13">
        <v>70</v>
      </c>
      <c r="G4330" s="12" t="s">
        <v>9782</v>
      </c>
      <c r="H4330" s="12" t="s">
        <v>38</v>
      </c>
      <c r="I4330" s="12" t="s">
        <v>159</v>
      </c>
      <c r="J4330" s="12" t="s">
        <v>255</v>
      </c>
      <c r="K4330" s="12" t="s">
        <v>82</v>
      </c>
      <c r="L4330" s="14"/>
      <c r="M4330" s="12" t="s">
        <v>43</v>
      </c>
      <c r="N4330" s="12" t="s">
        <v>84</v>
      </c>
      <c r="O4330" s="12" t="s">
        <v>15286</v>
      </c>
      <c r="P4330" s="12" t="s">
        <v>46</v>
      </c>
      <c r="Q4330" s="12" t="s">
        <v>47</v>
      </c>
      <c r="R4330" s="12" t="s">
        <v>163</v>
      </c>
      <c r="S4330" s="13">
        <v>197804537006</v>
      </c>
      <c r="T4330" s="12" t="s">
        <v>105</v>
      </c>
      <c r="U4330" s="13">
        <v>39</v>
      </c>
      <c r="V4330" s="12" t="s">
        <v>50</v>
      </c>
      <c r="W4330" s="12" t="s">
        <v>118</v>
      </c>
      <c r="X4330" s="14"/>
      <c r="Y4330" s="14"/>
      <c r="Z4330" s="14"/>
      <c r="AA4330" s="14"/>
      <c r="AB4330" s="14"/>
      <c r="AC4330" s="15">
        <v>50</v>
      </c>
      <c r="AD4330" s="15">
        <f>AC4330*AG4330</f>
        <v>50</v>
      </c>
      <c r="AE4330" s="15">
        <v>110</v>
      </c>
      <c r="AF4330" s="15">
        <f>AE4330*AG4330</f>
        <v>110</v>
      </c>
      <c r="AG4330" s="16">
        <v>1</v>
      </c>
    </row>
    <row r="4331" spans="1:33" ht="15" customHeight="1" x14ac:dyDescent="0.2">
      <c r="A4331" s="11" t="str">
        <f t="shared" si="1378"/>
        <v>VN000D6FBGK1</v>
      </c>
      <c r="B4331" s="12" t="s">
        <v>15287</v>
      </c>
      <c r="C4331" s="12" t="s">
        <v>1614</v>
      </c>
      <c r="D4331" s="12" t="s">
        <v>4850</v>
      </c>
      <c r="E4331" s="12" t="s">
        <v>15288</v>
      </c>
      <c r="F4331" s="13">
        <v>75</v>
      </c>
      <c r="G4331" s="12" t="s">
        <v>9782</v>
      </c>
      <c r="H4331" s="12" t="s">
        <v>38</v>
      </c>
      <c r="I4331" s="12" t="s">
        <v>159</v>
      </c>
      <c r="J4331" s="12" t="s">
        <v>255</v>
      </c>
      <c r="K4331" s="12" t="s">
        <v>82</v>
      </c>
      <c r="L4331" s="14"/>
      <c r="M4331" s="12" t="s">
        <v>43</v>
      </c>
      <c r="N4331" s="12" t="s">
        <v>84</v>
      </c>
      <c r="O4331" s="12" t="s">
        <v>15289</v>
      </c>
      <c r="P4331" s="12" t="s">
        <v>46</v>
      </c>
      <c r="Q4331" s="12" t="s">
        <v>47</v>
      </c>
      <c r="R4331" s="12" t="s">
        <v>163</v>
      </c>
      <c r="S4331" s="13">
        <v>197804537075</v>
      </c>
      <c r="T4331" s="12" t="s">
        <v>105</v>
      </c>
      <c r="U4331" s="13">
        <v>40</v>
      </c>
      <c r="V4331" s="12" t="s">
        <v>50</v>
      </c>
      <c r="W4331" s="12" t="s">
        <v>118</v>
      </c>
      <c r="X4331" s="14"/>
      <c r="Y4331" s="14"/>
      <c r="Z4331" s="14"/>
      <c r="AA4331" s="14"/>
      <c r="AB4331" s="14"/>
      <c r="AC4331" s="15">
        <v>50</v>
      </c>
      <c r="AD4331" s="15">
        <f>AC4331*AG4331</f>
        <v>50</v>
      </c>
      <c r="AE4331" s="15">
        <v>110</v>
      </c>
      <c r="AF4331" s="15">
        <f>AE4331*AG4331</f>
        <v>110</v>
      </c>
      <c r="AG4331" s="16">
        <v>1</v>
      </c>
    </row>
    <row r="4332" spans="1:33" ht="15" customHeight="1" x14ac:dyDescent="0.2">
      <c r="A4332" s="11" t="str">
        <f t="shared" si="1378"/>
        <v>VN000D6FBGK1</v>
      </c>
      <c r="B4332" s="12" t="s">
        <v>15290</v>
      </c>
      <c r="C4332" s="12" t="s">
        <v>1614</v>
      </c>
      <c r="D4332" s="12" t="s">
        <v>4850</v>
      </c>
      <c r="E4332" s="12" t="s">
        <v>15291</v>
      </c>
      <c r="F4332" s="13">
        <v>80</v>
      </c>
      <c r="G4332" s="12" t="s">
        <v>9782</v>
      </c>
      <c r="H4332" s="12" t="s">
        <v>38</v>
      </c>
      <c r="I4332" s="12" t="s">
        <v>159</v>
      </c>
      <c r="J4332" s="12" t="s">
        <v>255</v>
      </c>
      <c r="K4332" s="12" t="s">
        <v>82</v>
      </c>
      <c r="L4332" s="14"/>
      <c r="M4332" s="12" t="s">
        <v>43</v>
      </c>
      <c r="N4332" s="12" t="s">
        <v>84</v>
      </c>
      <c r="O4332" s="12" t="s">
        <v>15292</v>
      </c>
      <c r="P4332" s="12" t="s">
        <v>46</v>
      </c>
      <c r="Q4332" s="12" t="s">
        <v>47</v>
      </c>
      <c r="R4332" s="12" t="s">
        <v>163</v>
      </c>
      <c r="S4332" s="13">
        <v>197804537242</v>
      </c>
      <c r="T4332" s="12" t="s">
        <v>105</v>
      </c>
      <c r="U4332" s="13">
        <v>40.5</v>
      </c>
      <c r="V4332" s="12" t="s">
        <v>50</v>
      </c>
      <c r="W4332" s="12" t="s">
        <v>118</v>
      </c>
      <c r="X4332" s="14"/>
      <c r="Y4332" s="14"/>
      <c r="Z4332" s="14"/>
      <c r="AA4332" s="14"/>
      <c r="AB4332" s="14"/>
      <c r="AC4332" s="15">
        <v>50</v>
      </c>
      <c r="AD4332" s="15">
        <f>AC4332*AG4332</f>
        <v>50</v>
      </c>
      <c r="AE4332" s="15">
        <v>110</v>
      </c>
      <c r="AF4332" s="15">
        <f>AE4332*AG4332</f>
        <v>110</v>
      </c>
      <c r="AG4332" s="16">
        <v>1</v>
      </c>
    </row>
    <row r="4333" spans="1:33" ht="15" customHeight="1" x14ac:dyDescent="0.2">
      <c r="A4333" s="11" t="str">
        <f t="shared" si="1378"/>
        <v>VN000D6FBGK1</v>
      </c>
      <c r="B4333" s="12" t="s">
        <v>15293</v>
      </c>
      <c r="C4333" s="12" t="s">
        <v>1614</v>
      </c>
      <c r="D4333" s="12" t="s">
        <v>4850</v>
      </c>
      <c r="E4333" s="12" t="s">
        <v>15294</v>
      </c>
      <c r="F4333" s="13">
        <v>90</v>
      </c>
      <c r="G4333" s="12" t="s">
        <v>9782</v>
      </c>
      <c r="H4333" s="12" t="s">
        <v>38</v>
      </c>
      <c r="I4333" s="12" t="s">
        <v>159</v>
      </c>
      <c r="J4333" s="12" t="s">
        <v>255</v>
      </c>
      <c r="K4333" s="12" t="s">
        <v>82</v>
      </c>
      <c r="L4333" s="14"/>
      <c r="M4333" s="12" t="s">
        <v>43</v>
      </c>
      <c r="N4333" s="12" t="s">
        <v>84</v>
      </c>
      <c r="O4333" s="12" t="s">
        <v>15295</v>
      </c>
      <c r="P4333" s="12" t="s">
        <v>46</v>
      </c>
      <c r="Q4333" s="12" t="s">
        <v>47</v>
      </c>
      <c r="R4333" s="12" t="s">
        <v>163</v>
      </c>
      <c r="S4333" s="13">
        <v>197804537488</v>
      </c>
      <c r="T4333" s="12" t="s">
        <v>105</v>
      </c>
      <c r="U4333" s="13">
        <v>42</v>
      </c>
      <c r="V4333" s="12" t="s">
        <v>50</v>
      </c>
      <c r="W4333" s="12" t="s">
        <v>118</v>
      </c>
      <c r="X4333" s="14"/>
      <c r="Y4333" s="14"/>
      <c r="Z4333" s="14"/>
      <c r="AA4333" s="14"/>
      <c r="AB4333" s="14"/>
      <c r="AC4333" s="15">
        <v>50</v>
      </c>
      <c r="AD4333" s="15">
        <f>AC4333*AG4333</f>
        <v>50</v>
      </c>
      <c r="AE4333" s="15">
        <v>110</v>
      </c>
      <c r="AF4333" s="15">
        <f>AE4333*AG4333</f>
        <v>110</v>
      </c>
      <c r="AG4333" s="16">
        <v>1</v>
      </c>
    </row>
    <row r="4334" spans="1:33" ht="15" customHeight="1" x14ac:dyDescent="0.2">
      <c r="A4334" s="11" t="str">
        <f t="shared" si="1378"/>
        <v>VN000D6FBGK1</v>
      </c>
      <c r="B4334" s="12" t="s">
        <v>15296</v>
      </c>
      <c r="C4334" s="12" t="s">
        <v>1614</v>
      </c>
      <c r="D4334" s="12" t="s">
        <v>4850</v>
      </c>
      <c r="E4334" s="12" t="s">
        <v>15297</v>
      </c>
      <c r="F4334" s="13">
        <v>100</v>
      </c>
      <c r="G4334" s="12" t="s">
        <v>9782</v>
      </c>
      <c r="H4334" s="12" t="s">
        <v>38</v>
      </c>
      <c r="I4334" s="12" t="s">
        <v>159</v>
      </c>
      <c r="J4334" s="12" t="s">
        <v>255</v>
      </c>
      <c r="K4334" s="12" t="s">
        <v>82</v>
      </c>
      <c r="L4334" s="14"/>
      <c r="M4334" s="12" t="s">
        <v>43</v>
      </c>
      <c r="N4334" s="12" t="s">
        <v>84</v>
      </c>
      <c r="O4334" s="12" t="s">
        <v>15298</v>
      </c>
      <c r="P4334" s="12" t="s">
        <v>46</v>
      </c>
      <c r="Q4334" s="12" t="s">
        <v>47</v>
      </c>
      <c r="R4334" s="12" t="s">
        <v>163</v>
      </c>
      <c r="S4334" s="13">
        <v>197804537822</v>
      </c>
      <c r="T4334" s="12" t="s">
        <v>105</v>
      </c>
      <c r="U4334" s="13">
        <v>43</v>
      </c>
      <c r="V4334" s="12" t="s">
        <v>50</v>
      </c>
      <c r="W4334" s="12" t="s">
        <v>118</v>
      </c>
      <c r="X4334" s="14"/>
      <c r="Y4334" s="14"/>
      <c r="Z4334" s="14"/>
      <c r="AA4334" s="14"/>
      <c r="AB4334" s="14"/>
      <c r="AC4334" s="15">
        <v>50</v>
      </c>
      <c r="AD4334" s="15">
        <f>AC4334*AG4334</f>
        <v>50</v>
      </c>
      <c r="AE4334" s="15">
        <v>110</v>
      </c>
      <c r="AF4334" s="15">
        <f>AE4334*AG4334</f>
        <v>110</v>
      </c>
      <c r="AG4334" s="16">
        <v>1</v>
      </c>
    </row>
    <row r="4335" spans="1:33" ht="15" customHeight="1" x14ac:dyDescent="0.2">
      <c r="A4335" s="11" t="str">
        <f t="shared" ref="A4335:A4336" si="1379">HYPERLINK("https://assets.vans.eu/images/VN000D6FEME-HERO/1","VN000D6FEME1")</f>
        <v>VN000D6FEME1</v>
      </c>
      <c r="B4335" s="12" t="s">
        <v>15299</v>
      </c>
      <c r="C4335" s="12" t="s">
        <v>1614</v>
      </c>
      <c r="D4335" s="12" t="s">
        <v>5920</v>
      </c>
      <c r="E4335" s="12" t="s">
        <v>15300</v>
      </c>
      <c r="F4335" s="13">
        <v>40</v>
      </c>
      <c r="G4335" s="12" t="s">
        <v>9789</v>
      </c>
      <c r="H4335" s="12" t="s">
        <v>38</v>
      </c>
      <c r="I4335" s="12" t="s">
        <v>159</v>
      </c>
      <c r="J4335" s="12" t="s">
        <v>255</v>
      </c>
      <c r="K4335" s="12" t="s">
        <v>82</v>
      </c>
      <c r="L4335" s="14"/>
      <c r="M4335" s="12" t="s">
        <v>43</v>
      </c>
      <c r="N4335" s="12" t="s">
        <v>84</v>
      </c>
      <c r="O4335" s="12" t="s">
        <v>15301</v>
      </c>
      <c r="P4335" s="12" t="s">
        <v>46</v>
      </c>
      <c r="Q4335" s="12" t="s">
        <v>47</v>
      </c>
      <c r="R4335" s="12" t="s">
        <v>163</v>
      </c>
      <c r="S4335" s="13">
        <v>197804536436</v>
      </c>
      <c r="T4335" s="12" t="s">
        <v>49</v>
      </c>
      <c r="U4335" s="13">
        <v>35</v>
      </c>
      <c r="V4335" s="12" t="s">
        <v>50</v>
      </c>
      <c r="W4335" s="12" t="s">
        <v>118</v>
      </c>
      <c r="X4335" s="14"/>
      <c r="Y4335" s="14"/>
      <c r="Z4335" s="14"/>
      <c r="AA4335" s="14"/>
      <c r="AB4335" s="14"/>
      <c r="AC4335" s="15">
        <v>52.3</v>
      </c>
      <c r="AD4335" s="15">
        <f>AC4335*AG4335</f>
        <v>52.3</v>
      </c>
      <c r="AE4335" s="15">
        <v>115</v>
      </c>
      <c r="AF4335" s="15">
        <f>AE4335*AG4335</f>
        <v>115</v>
      </c>
      <c r="AG4335" s="16">
        <v>1</v>
      </c>
    </row>
    <row r="4336" spans="1:33" ht="15" customHeight="1" x14ac:dyDescent="0.2">
      <c r="A4336" s="11" t="str">
        <f t="shared" si="1379"/>
        <v>VN000D6FEME1</v>
      </c>
      <c r="B4336" s="12" t="s">
        <v>15302</v>
      </c>
      <c r="C4336" s="12" t="s">
        <v>1614</v>
      </c>
      <c r="D4336" s="12" t="s">
        <v>5920</v>
      </c>
      <c r="E4336" s="12" t="s">
        <v>15303</v>
      </c>
      <c r="F4336" s="13">
        <v>80</v>
      </c>
      <c r="G4336" s="12" t="s">
        <v>9789</v>
      </c>
      <c r="H4336" s="12" t="s">
        <v>38</v>
      </c>
      <c r="I4336" s="12" t="s">
        <v>159</v>
      </c>
      <c r="J4336" s="12" t="s">
        <v>255</v>
      </c>
      <c r="K4336" s="12" t="s">
        <v>82</v>
      </c>
      <c r="L4336" s="14"/>
      <c r="M4336" s="12" t="s">
        <v>43</v>
      </c>
      <c r="N4336" s="12" t="s">
        <v>84</v>
      </c>
      <c r="O4336" s="12" t="s">
        <v>15304</v>
      </c>
      <c r="P4336" s="12" t="s">
        <v>46</v>
      </c>
      <c r="Q4336" s="12" t="s">
        <v>47</v>
      </c>
      <c r="R4336" s="12" t="s">
        <v>163</v>
      </c>
      <c r="S4336" s="13">
        <v>197804537761</v>
      </c>
      <c r="T4336" s="12" t="s">
        <v>49</v>
      </c>
      <c r="U4336" s="13">
        <v>40.5</v>
      </c>
      <c r="V4336" s="12" t="s">
        <v>50</v>
      </c>
      <c r="W4336" s="12" t="s">
        <v>118</v>
      </c>
      <c r="X4336" s="14"/>
      <c r="Y4336" s="14"/>
      <c r="Z4336" s="14"/>
      <c r="AA4336" s="14"/>
      <c r="AB4336" s="14"/>
      <c r="AC4336" s="15">
        <v>52.3</v>
      </c>
      <c r="AD4336" s="15">
        <f>AC4336*AG4336</f>
        <v>52.3</v>
      </c>
      <c r="AE4336" s="15">
        <v>115</v>
      </c>
      <c r="AF4336" s="15">
        <f>AE4336*AG4336</f>
        <v>115</v>
      </c>
      <c r="AG4336" s="16">
        <v>1</v>
      </c>
    </row>
    <row r="4337" spans="1:33" ht="15" customHeight="1" x14ac:dyDescent="0.2">
      <c r="A4337" s="11" t="str">
        <f t="shared" si="802"/>
        <v>VN000D6FLKZ1</v>
      </c>
      <c r="B4337" s="12" t="s">
        <v>15305</v>
      </c>
      <c r="C4337" s="12" t="s">
        <v>1614</v>
      </c>
      <c r="D4337" s="12" t="s">
        <v>1213</v>
      </c>
      <c r="E4337" s="12" t="s">
        <v>15306</v>
      </c>
      <c r="F4337" s="13">
        <v>75</v>
      </c>
      <c r="G4337" s="12" t="s">
        <v>2814</v>
      </c>
      <c r="H4337" s="12" t="s">
        <v>38</v>
      </c>
      <c r="I4337" s="12" t="s">
        <v>159</v>
      </c>
      <c r="J4337" s="12" t="s">
        <v>255</v>
      </c>
      <c r="K4337" s="12" t="s">
        <v>82</v>
      </c>
      <c r="L4337" s="14"/>
      <c r="M4337" s="12" t="s">
        <v>43</v>
      </c>
      <c r="N4337" s="12" t="s">
        <v>44</v>
      </c>
      <c r="O4337" s="12" t="s">
        <v>15307</v>
      </c>
      <c r="P4337" s="12" t="s">
        <v>46</v>
      </c>
      <c r="Q4337" s="12" t="s">
        <v>47</v>
      </c>
      <c r="R4337" s="12" t="s">
        <v>163</v>
      </c>
      <c r="S4337" s="13">
        <v>197643313236</v>
      </c>
      <c r="T4337" s="12" t="s">
        <v>49</v>
      </c>
      <c r="U4337" s="13">
        <v>40</v>
      </c>
      <c r="V4337" s="12" t="s">
        <v>50</v>
      </c>
      <c r="W4337" s="12" t="s">
        <v>284</v>
      </c>
      <c r="X4337" s="14"/>
      <c r="Y4337" s="12" t="s">
        <v>53</v>
      </c>
      <c r="Z4337" s="12" t="s">
        <v>263</v>
      </c>
      <c r="AA4337" s="14"/>
      <c r="AB4337" s="14"/>
      <c r="AC4337" s="15">
        <v>50</v>
      </c>
      <c r="AD4337" s="15">
        <f>AC4337*AG4337</f>
        <v>50</v>
      </c>
      <c r="AE4337" s="15">
        <v>110</v>
      </c>
      <c r="AF4337" s="15">
        <f>AE4337*AG4337</f>
        <v>110</v>
      </c>
      <c r="AG4337" s="16">
        <v>1</v>
      </c>
    </row>
    <row r="4338" spans="1:33" ht="15" customHeight="1" x14ac:dyDescent="0.2">
      <c r="A4338" s="11" t="str">
        <f t="shared" si="1070"/>
        <v>VN000D6FY491</v>
      </c>
      <c r="B4338" s="12" t="s">
        <v>15308</v>
      </c>
      <c r="C4338" s="12" t="s">
        <v>1614</v>
      </c>
      <c r="D4338" s="12" t="s">
        <v>5737</v>
      </c>
      <c r="E4338" s="12" t="s">
        <v>15309</v>
      </c>
      <c r="F4338" s="13">
        <v>85</v>
      </c>
      <c r="G4338" s="12" t="s">
        <v>7286</v>
      </c>
      <c r="H4338" s="12" t="s">
        <v>38</v>
      </c>
      <c r="I4338" s="12" t="s">
        <v>159</v>
      </c>
      <c r="J4338" s="12" t="s">
        <v>255</v>
      </c>
      <c r="K4338" s="12" t="s">
        <v>82</v>
      </c>
      <c r="L4338" s="14"/>
      <c r="M4338" s="12" t="s">
        <v>43</v>
      </c>
      <c r="N4338" s="12" t="s">
        <v>84</v>
      </c>
      <c r="O4338" s="12" t="s">
        <v>15310</v>
      </c>
      <c r="P4338" s="12" t="s">
        <v>46</v>
      </c>
      <c r="Q4338" s="12" t="s">
        <v>47</v>
      </c>
      <c r="R4338" s="12" t="s">
        <v>163</v>
      </c>
      <c r="S4338" s="13">
        <v>197804537631</v>
      </c>
      <c r="T4338" s="12" t="s">
        <v>49</v>
      </c>
      <c r="U4338" s="13">
        <v>41</v>
      </c>
      <c r="V4338" s="12" t="s">
        <v>50</v>
      </c>
      <c r="W4338" s="12" t="s">
        <v>186</v>
      </c>
      <c r="X4338" s="14"/>
      <c r="Y4338" s="14"/>
      <c r="Z4338" s="14"/>
      <c r="AA4338" s="14"/>
      <c r="AB4338" s="14"/>
      <c r="AC4338" s="15">
        <v>50</v>
      </c>
      <c r="AD4338" s="15">
        <f>AC4338*AG4338</f>
        <v>50</v>
      </c>
      <c r="AE4338" s="15">
        <v>110</v>
      </c>
      <c r="AF4338" s="15">
        <f>AE4338*AG4338</f>
        <v>110</v>
      </c>
      <c r="AG4338" s="16">
        <v>1</v>
      </c>
    </row>
    <row r="4339" spans="1:33" ht="15" customHeight="1" x14ac:dyDescent="0.2">
      <c r="A4339" s="11" t="str">
        <f>HYPERLINK("https://assets.vans.eu/images/VN000D6FY49-HERO/1","VN000D6FY491")</f>
        <v>VN000D6FY491</v>
      </c>
      <c r="B4339" s="12" t="s">
        <v>15311</v>
      </c>
      <c r="C4339" s="12" t="s">
        <v>1614</v>
      </c>
      <c r="D4339" s="12" t="s">
        <v>5737</v>
      </c>
      <c r="E4339" s="12" t="s">
        <v>15312</v>
      </c>
      <c r="F4339" s="13">
        <v>110</v>
      </c>
      <c r="G4339" s="12" t="s">
        <v>7286</v>
      </c>
      <c r="H4339" s="12" t="s">
        <v>38</v>
      </c>
      <c r="I4339" s="12" t="s">
        <v>159</v>
      </c>
      <c r="J4339" s="12" t="s">
        <v>255</v>
      </c>
      <c r="K4339" s="12" t="s">
        <v>82</v>
      </c>
      <c r="L4339" s="14"/>
      <c r="M4339" s="12" t="s">
        <v>43</v>
      </c>
      <c r="N4339" s="12" t="s">
        <v>84</v>
      </c>
      <c r="O4339" s="12" t="s">
        <v>15313</v>
      </c>
      <c r="P4339" s="12" t="s">
        <v>46</v>
      </c>
      <c r="Q4339" s="12" t="s">
        <v>47</v>
      </c>
      <c r="R4339" s="12" t="s">
        <v>163</v>
      </c>
      <c r="S4339" s="13">
        <v>197804538355</v>
      </c>
      <c r="T4339" s="12" t="s">
        <v>49</v>
      </c>
      <c r="U4339" s="13">
        <v>44.5</v>
      </c>
      <c r="V4339" s="12" t="s">
        <v>50</v>
      </c>
      <c r="W4339" s="12" t="s">
        <v>186</v>
      </c>
      <c r="X4339" s="14"/>
      <c r="Y4339" s="14"/>
      <c r="Z4339" s="14"/>
      <c r="AA4339" s="14"/>
      <c r="AB4339" s="14"/>
      <c r="AC4339" s="15">
        <v>50</v>
      </c>
      <c r="AD4339" s="15">
        <f>AC4339*AG4339</f>
        <v>50</v>
      </c>
      <c r="AE4339" s="15">
        <v>110</v>
      </c>
      <c r="AF4339" s="15">
        <f>AE4339*AG4339</f>
        <v>110</v>
      </c>
      <c r="AG4339" s="16">
        <v>1</v>
      </c>
    </row>
    <row r="4340" spans="1:33" ht="15" customHeight="1" x14ac:dyDescent="0.2">
      <c r="A4340" s="11" t="str">
        <f t="shared" si="1071"/>
        <v>VN000D6FY7U1</v>
      </c>
      <c r="B4340" s="12" t="s">
        <v>15314</v>
      </c>
      <c r="C4340" s="12" t="s">
        <v>1614</v>
      </c>
      <c r="D4340" s="12" t="s">
        <v>740</v>
      </c>
      <c r="E4340" s="12" t="s">
        <v>15315</v>
      </c>
      <c r="F4340" s="13">
        <v>40</v>
      </c>
      <c r="G4340" s="12" t="s">
        <v>9789</v>
      </c>
      <c r="H4340" s="12" t="s">
        <v>38</v>
      </c>
      <c r="I4340" s="12" t="s">
        <v>159</v>
      </c>
      <c r="J4340" s="12" t="s">
        <v>255</v>
      </c>
      <c r="K4340" s="12" t="s">
        <v>82</v>
      </c>
      <c r="L4340" s="14"/>
      <c r="M4340" s="12" t="s">
        <v>43</v>
      </c>
      <c r="N4340" s="12" t="s">
        <v>84</v>
      </c>
      <c r="O4340" s="12" t="s">
        <v>15316</v>
      </c>
      <c r="P4340" s="12" t="s">
        <v>46</v>
      </c>
      <c r="Q4340" s="12" t="s">
        <v>47</v>
      </c>
      <c r="R4340" s="12" t="s">
        <v>163</v>
      </c>
      <c r="S4340" s="13">
        <v>197804536344</v>
      </c>
      <c r="T4340" s="12" t="s">
        <v>49</v>
      </c>
      <c r="U4340" s="13">
        <v>35</v>
      </c>
      <c r="V4340" s="12" t="s">
        <v>50</v>
      </c>
      <c r="W4340" s="12" t="s">
        <v>455</v>
      </c>
      <c r="X4340" s="14"/>
      <c r="Y4340" s="14"/>
      <c r="Z4340" s="14"/>
      <c r="AA4340" s="14"/>
      <c r="AB4340" s="14"/>
      <c r="AC4340" s="15">
        <v>52.3</v>
      </c>
      <c r="AD4340" s="15">
        <f>AC4340*AG4340</f>
        <v>52.3</v>
      </c>
      <c r="AE4340" s="15">
        <v>115</v>
      </c>
      <c r="AF4340" s="15">
        <f>AE4340*AG4340</f>
        <v>115</v>
      </c>
      <c r="AG4340" s="16">
        <v>1</v>
      </c>
    </row>
    <row r="4341" spans="1:33" ht="15" customHeight="1" x14ac:dyDescent="0.2">
      <c r="A4341" s="11" t="str">
        <f t="shared" ref="A4341:A4342" si="1380">HYPERLINK("https://assets.vans.eu/images/VN000D6FY7U-HERO/1","VN000D6FY7U1")</f>
        <v>VN000D6FY7U1</v>
      </c>
      <c r="B4341" s="12" t="s">
        <v>15317</v>
      </c>
      <c r="C4341" s="12" t="s">
        <v>1614</v>
      </c>
      <c r="D4341" s="12" t="s">
        <v>740</v>
      </c>
      <c r="E4341" s="12" t="s">
        <v>15318</v>
      </c>
      <c r="F4341" s="13">
        <v>50</v>
      </c>
      <c r="G4341" s="12" t="s">
        <v>9789</v>
      </c>
      <c r="H4341" s="12" t="s">
        <v>38</v>
      </c>
      <c r="I4341" s="12" t="s">
        <v>159</v>
      </c>
      <c r="J4341" s="12" t="s">
        <v>255</v>
      </c>
      <c r="K4341" s="12" t="s">
        <v>82</v>
      </c>
      <c r="L4341" s="14"/>
      <c r="M4341" s="12" t="s">
        <v>43</v>
      </c>
      <c r="N4341" s="12" t="s">
        <v>84</v>
      </c>
      <c r="O4341" s="12" t="s">
        <v>15319</v>
      </c>
      <c r="P4341" s="12" t="s">
        <v>46</v>
      </c>
      <c r="Q4341" s="12" t="s">
        <v>47</v>
      </c>
      <c r="R4341" s="12" t="s">
        <v>163</v>
      </c>
      <c r="S4341" s="13">
        <v>197804536542</v>
      </c>
      <c r="T4341" s="12" t="s">
        <v>49</v>
      </c>
      <c r="U4341" s="13">
        <v>36.5</v>
      </c>
      <c r="V4341" s="12" t="s">
        <v>50</v>
      </c>
      <c r="W4341" s="12" t="s">
        <v>455</v>
      </c>
      <c r="X4341" s="14"/>
      <c r="Y4341" s="14"/>
      <c r="Z4341" s="14"/>
      <c r="AA4341" s="14"/>
      <c r="AB4341" s="14"/>
      <c r="AC4341" s="15">
        <v>52.3</v>
      </c>
      <c r="AD4341" s="15">
        <f>AC4341*AG4341</f>
        <v>52.3</v>
      </c>
      <c r="AE4341" s="15">
        <v>115</v>
      </c>
      <c r="AF4341" s="15">
        <f>AE4341*AG4341</f>
        <v>115</v>
      </c>
      <c r="AG4341" s="16">
        <v>1</v>
      </c>
    </row>
    <row r="4342" spans="1:33" ht="15" customHeight="1" x14ac:dyDescent="0.2">
      <c r="A4342" s="11" t="str">
        <f t="shared" si="1380"/>
        <v>VN000D6FY7U1</v>
      </c>
      <c r="B4342" s="12" t="s">
        <v>15320</v>
      </c>
      <c r="C4342" s="12" t="s">
        <v>1614</v>
      </c>
      <c r="D4342" s="12" t="s">
        <v>740</v>
      </c>
      <c r="E4342" s="12" t="s">
        <v>15321</v>
      </c>
      <c r="F4342" s="13">
        <v>95</v>
      </c>
      <c r="G4342" s="12" t="s">
        <v>9789</v>
      </c>
      <c r="H4342" s="12" t="s">
        <v>38</v>
      </c>
      <c r="I4342" s="12" t="s">
        <v>159</v>
      </c>
      <c r="J4342" s="12" t="s">
        <v>255</v>
      </c>
      <c r="K4342" s="12" t="s">
        <v>82</v>
      </c>
      <c r="L4342" s="14"/>
      <c r="M4342" s="12" t="s">
        <v>43</v>
      </c>
      <c r="N4342" s="12" t="s">
        <v>84</v>
      </c>
      <c r="O4342" s="12" t="s">
        <v>15322</v>
      </c>
      <c r="P4342" s="12" t="s">
        <v>46</v>
      </c>
      <c r="Q4342" s="12" t="s">
        <v>47</v>
      </c>
      <c r="R4342" s="12" t="s">
        <v>163</v>
      </c>
      <c r="S4342" s="13">
        <v>197804537679</v>
      </c>
      <c r="T4342" s="12" t="s">
        <v>49</v>
      </c>
      <c r="U4342" s="13">
        <v>42.5</v>
      </c>
      <c r="V4342" s="12" t="s">
        <v>50</v>
      </c>
      <c r="W4342" s="12" t="s">
        <v>455</v>
      </c>
      <c r="X4342" s="14"/>
      <c r="Y4342" s="14"/>
      <c r="Z4342" s="14"/>
      <c r="AA4342" s="14"/>
      <c r="AB4342" s="14"/>
      <c r="AC4342" s="15">
        <v>52.3</v>
      </c>
      <c r="AD4342" s="15">
        <f>AC4342*AG4342</f>
        <v>52.3</v>
      </c>
      <c r="AE4342" s="15">
        <v>115</v>
      </c>
      <c r="AF4342" s="15">
        <f>AE4342*AG4342</f>
        <v>115</v>
      </c>
      <c r="AG4342" s="16">
        <v>1</v>
      </c>
    </row>
    <row r="4343" spans="1:33" ht="15" customHeight="1" x14ac:dyDescent="0.2">
      <c r="A4343" s="11" t="str">
        <f t="shared" si="1072"/>
        <v>VN000D6N24O1</v>
      </c>
      <c r="B4343" s="12" t="s">
        <v>15323</v>
      </c>
      <c r="C4343" s="12" t="s">
        <v>1458</v>
      </c>
      <c r="D4343" s="12" t="s">
        <v>9801</v>
      </c>
      <c r="E4343" s="12" t="s">
        <v>15324</v>
      </c>
      <c r="F4343" s="13">
        <v>75</v>
      </c>
      <c r="G4343" s="12" t="s">
        <v>9803</v>
      </c>
      <c r="H4343" s="12" t="s">
        <v>38</v>
      </c>
      <c r="I4343" s="12" t="s">
        <v>159</v>
      </c>
      <c r="J4343" s="12" t="s">
        <v>255</v>
      </c>
      <c r="K4343" s="12" t="s">
        <v>82</v>
      </c>
      <c r="L4343" s="14"/>
      <c r="M4343" s="12" t="s">
        <v>43</v>
      </c>
      <c r="N4343" s="12" t="s">
        <v>84</v>
      </c>
      <c r="O4343" s="12" t="s">
        <v>15325</v>
      </c>
      <c r="P4343" s="12" t="s">
        <v>46</v>
      </c>
      <c r="Q4343" s="12" t="s">
        <v>47</v>
      </c>
      <c r="R4343" s="12" t="s">
        <v>163</v>
      </c>
      <c r="S4343" s="13">
        <v>197804537327</v>
      </c>
      <c r="T4343" s="12" t="s">
        <v>105</v>
      </c>
      <c r="U4343" s="13">
        <v>40</v>
      </c>
      <c r="V4343" s="12" t="s">
        <v>50</v>
      </c>
      <c r="W4343" s="12" t="s">
        <v>118</v>
      </c>
      <c r="X4343" s="14"/>
      <c r="Y4343" s="14"/>
      <c r="Z4343" s="14"/>
      <c r="AA4343" s="14"/>
      <c r="AB4343" s="14"/>
      <c r="AC4343" s="15">
        <v>43.2</v>
      </c>
      <c r="AD4343" s="15">
        <f>AC4343*AG4343</f>
        <v>43.2</v>
      </c>
      <c r="AE4343" s="15">
        <v>95</v>
      </c>
      <c r="AF4343" s="15">
        <f>AE4343*AG4343</f>
        <v>95</v>
      </c>
      <c r="AG4343" s="16">
        <v>1</v>
      </c>
    </row>
    <row r="4344" spans="1:33" ht="15" customHeight="1" x14ac:dyDescent="0.2">
      <c r="A4344" s="11" t="str">
        <f t="shared" ref="A4344:A4348" si="1381">HYPERLINK("https://assets.vans.eu/images/VN000D6N24O-HERO/1","VN000D6N24O1")</f>
        <v>VN000D6N24O1</v>
      </c>
      <c r="B4344" s="12" t="s">
        <v>15326</v>
      </c>
      <c r="C4344" s="12" t="s">
        <v>1458</v>
      </c>
      <c r="D4344" s="12" t="s">
        <v>9801</v>
      </c>
      <c r="E4344" s="12" t="s">
        <v>15327</v>
      </c>
      <c r="F4344" s="13">
        <v>80</v>
      </c>
      <c r="G4344" s="12" t="s">
        <v>9803</v>
      </c>
      <c r="H4344" s="12" t="s">
        <v>38</v>
      </c>
      <c r="I4344" s="12" t="s">
        <v>159</v>
      </c>
      <c r="J4344" s="12" t="s">
        <v>255</v>
      </c>
      <c r="K4344" s="12" t="s">
        <v>82</v>
      </c>
      <c r="L4344" s="14"/>
      <c r="M4344" s="12" t="s">
        <v>43</v>
      </c>
      <c r="N4344" s="12" t="s">
        <v>84</v>
      </c>
      <c r="O4344" s="12" t="s">
        <v>15328</v>
      </c>
      <c r="P4344" s="12" t="s">
        <v>46</v>
      </c>
      <c r="Q4344" s="12" t="s">
        <v>47</v>
      </c>
      <c r="R4344" s="12" t="s">
        <v>163</v>
      </c>
      <c r="S4344" s="13">
        <v>197804537501</v>
      </c>
      <c r="T4344" s="12" t="s">
        <v>105</v>
      </c>
      <c r="U4344" s="13">
        <v>40.5</v>
      </c>
      <c r="V4344" s="12" t="s">
        <v>50</v>
      </c>
      <c r="W4344" s="12" t="s">
        <v>118</v>
      </c>
      <c r="X4344" s="14"/>
      <c r="Y4344" s="14"/>
      <c r="Z4344" s="14"/>
      <c r="AA4344" s="14"/>
      <c r="AB4344" s="14"/>
      <c r="AC4344" s="15">
        <v>43.2</v>
      </c>
      <c r="AD4344" s="15">
        <f>AC4344*AG4344</f>
        <v>43.2</v>
      </c>
      <c r="AE4344" s="15">
        <v>95</v>
      </c>
      <c r="AF4344" s="15">
        <f>AE4344*AG4344</f>
        <v>95</v>
      </c>
      <c r="AG4344" s="16">
        <v>1</v>
      </c>
    </row>
    <row r="4345" spans="1:33" ht="15" customHeight="1" x14ac:dyDescent="0.2">
      <c r="A4345" s="11" t="str">
        <f t="shared" si="1381"/>
        <v>VN000D6N24O1</v>
      </c>
      <c r="B4345" s="12" t="s">
        <v>15329</v>
      </c>
      <c r="C4345" s="12" t="s">
        <v>1458</v>
      </c>
      <c r="D4345" s="12" t="s">
        <v>9801</v>
      </c>
      <c r="E4345" s="12" t="s">
        <v>15330</v>
      </c>
      <c r="F4345" s="13">
        <v>85</v>
      </c>
      <c r="G4345" s="12" t="s">
        <v>9803</v>
      </c>
      <c r="H4345" s="12" t="s">
        <v>38</v>
      </c>
      <c r="I4345" s="12" t="s">
        <v>159</v>
      </c>
      <c r="J4345" s="12" t="s">
        <v>255</v>
      </c>
      <c r="K4345" s="12" t="s">
        <v>82</v>
      </c>
      <c r="L4345" s="14"/>
      <c r="M4345" s="12" t="s">
        <v>43</v>
      </c>
      <c r="N4345" s="12" t="s">
        <v>84</v>
      </c>
      <c r="O4345" s="12" t="s">
        <v>15331</v>
      </c>
      <c r="P4345" s="12" t="s">
        <v>46</v>
      </c>
      <c r="Q4345" s="12" t="s">
        <v>47</v>
      </c>
      <c r="R4345" s="12" t="s">
        <v>163</v>
      </c>
      <c r="S4345" s="13">
        <v>197804537594</v>
      </c>
      <c r="T4345" s="12" t="s">
        <v>105</v>
      </c>
      <c r="U4345" s="13">
        <v>41</v>
      </c>
      <c r="V4345" s="12" t="s">
        <v>50</v>
      </c>
      <c r="W4345" s="12" t="s">
        <v>118</v>
      </c>
      <c r="X4345" s="14"/>
      <c r="Y4345" s="14"/>
      <c r="Z4345" s="14"/>
      <c r="AA4345" s="14"/>
      <c r="AB4345" s="14"/>
      <c r="AC4345" s="15">
        <v>43.2</v>
      </c>
      <c r="AD4345" s="15">
        <f>AC4345*AG4345</f>
        <v>43.2</v>
      </c>
      <c r="AE4345" s="15">
        <v>95</v>
      </c>
      <c r="AF4345" s="15">
        <f>AE4345*AG4345</f>
        <v>95</v>
      </c>
      <c r="AG4345" s="16">
        <v>1</v>
      </c>
    </row>
    <row r="4346" spans="1:33" ht="15" customHeight="1" x14ac:dyDescent="0.2">
      <c r="A4346" s="11" t="str">
        <f t="shared" si="1381"/>
        <v>VN000D6N24O1</v>
      </c>
      <c r="B4346" s="12" t="s">
        <v>15332</v>
      </c>
      <c r="C4346" s="12" t="s">
        <v>1458</v>
      </c>
      <c r="D4346" s="12" t="s">
        <v>9801</v>
      </c>
      <c r="E4346" s="12" t="s">
        <v>15333</v>
      </c>
      <c r="F4346" s="13">
        <v>90</v>
      </c>
      <c r="G4346" s="12" t="s">
        <v>9803</v>
      </c>
      <c r="H4346" s="12" t="s">
        <v>38</v>
      </c>
      <c r="I4346" s="12" t="s">
        <v>159</v>
      </c>
      <c r="J4346" s="12" t="s">
        <v>255</v>
      </c>
      <c r="K4346" s="12" t="s">
        <v>82</v>
      </c>
      <c r="L4346" s="14"/>
      <c r="M4346" s="12" t="s">
        <v>43</v>
      </c>
      <c r="N4346" s="12" t="s">
        <v>84</v>
      </c>
      <c r="O4346" s="12" t="s">
        <v>15334</v>
      </c>
      <c r="P4346" s="12" t="s">
        <v>46</v>
      </c>
      <c r="Q4346" s="12" t="s">
        <v>47</v>
      </c>
      <c r="R4346" s="12" t="s">
        <v>163</v>
      </c>
      <c r="S4346" s="13">
        <v>197804537778</v>
      </c>
      <c r="T4346" s="12" t="s">
        <v>105</v>
      </c>
      <c r="U4346" s="13">
        <v>42</v>
      </c>
      <c r="V4346" s="12" t="s">
        <v>50</v>
      </c>
      <c r="W4346" s="12" t="s">
        <v>118</v>
      </c>
      <c r="X4346" s="14"/>
      <c r="Y4346" s="14"/>
      <c r="Z4346" s="14"/>
      <c r="AA4346" s="14"/>
      <c r="AB4346" s="14"/>
      <c r="AC4346" s="15">
        <v>43.2</v>
      </c>
      <c r="AD4346" s="15">
        <f>AC4346*AG4346</f>
        <v>43.2</v>
      </c>
      <c r="AE4346" s="15">
        <v>95</v>
      </c>
      <c r="AF4346" s="15">
        <f>AE4346*AG4346</f>
        <v>95</v>
      </c>
      <c r="AG4346" s="16">
        <v>1</v>
      </c>
    </row>
    <row r="4347" spans="1:33" ht="15" customHeight="1" x14ac:dyDescent="0.2">
      <c r="A4347" s="11" t="str">
        <f t="shared" si="1381"/>
        <v>VN000D6N24O1</v>
      </c>
      <c r="B4347" s="12" t="s">
        <v>15335</v>
      </c>
      <c r="C4347" s="12" t="s">
        <v>1458</v>
      </c>
      <c r="D4347" s="12" t="s">
        <v>9801</v>
      </c>
      <c r="E4347" s="12" t="s">
        <v>15336</v>
      </c>
      <c r="F4347" s="13">
        <v>95</v>
      </c>
      <c r="G4347" s="12" t="s">
        <v>9803</v>
      </c>
      <c r="H4347" s="12" t="s">
        <v>38</v>
      </c>
      <c r="I4347" s="12" t="s">
        <v>159</v>
      </c>
      <c r="J4347" s="12" t="s">
        <v>255</v>
      </c>
      <c r="K4347" s="12" t="s">
        <v>82</v>
      </c>
      <c r="L4347" s="14"/>
      <c r="M4347" s="12" t="s">
        <v>43</v>
      </c>
      <c r="N4347" s="12" t="s">
        <v>84</v>
      </c>
      <c r="O4347" s="12" t="s">
        <v>15337</v>
      </c>
      <c r="P4347" s="12" t="s">
        <v>46</v>
      </c>
      <c r="Q4347" s="12" t="s">
        <v>47</v>
      </c>
      <c r="R4347" s="12" t="s">
        <v>163</v>
      </c>
      <c r="S4347" s="13">
        <v>197804537938</v>
      </c>
      <c r="T4347" s="12" t="s">
        <v>105</v>
      </c>
      <c r="U4347" s="13">
        <v>42.5</v>
      </c>
      <c r="V4347" s="12" t="s">
        <v>50</v>
      </c>
      <c r="W4347" s="12" t="s">
        <v>118</v>
      </c>
      <c r="X4347" s="14"/>
      <c r="Y4347" s="14"/>
      <c r="Z4347" s="14"/>
      <c r="AA4347" s="14"/>
      <c r="AB4347" s="14"/>
      <c r="AC4347" s="15">
        <v>43.2</v>
      </c>
      <c r="AD4347" s="15">
        <f>AC4347*AG4347</f>
        <v>43.2</v>
      </c>
      <c r="AE4347" s="15">
        <v>95</v>
      </c>
      <c r="AF4347" s="15">
        <f>AE4347*AG4347</f>
        <v>95</v>
      </c>
      <c r="AG4347" s="16">
        <v>1</v>
      </c>
    </row>
    <row r="4348" spans="1:33" ht="15" customHeight="1" x14ac:dyDescent="0.2">
      <c r="A4348" s="11" t="str">
        <f t="shared" si="1381"/>
        <v>VN000D6N24O1</v>
      </c>
      <c r="B4348" s="12" t="s">
        <v>15338</v>
      </c>
      <c r="C4348" s="12" t="s">
        <v>1458</v>
      </c>
      <c r="D4348" s="12" t="s">
        <v>9801</v>
      </c>
      <c r="E4348" s="12" t="s">
        <v>15339</v>
      </c>
      <c r="F4348" s="13">
        <v>110</v>
      </c>
      <c r="G4348" s="12" t="s">
        <v>9803</v>
      </c>
      <c r="H4348" s="12" t="s">
        <v>38</v>
      </c>
      <c r="I4348" s="12" t="s">
        <v>159</v>
      </c>
      <c r="J4348" s="12" t="s">
        <v>255</v>
      </c>
      <c r="K4348" s="12" t="s">
        <v>82</v>
      </c>
      <c r="L4348" s="14"/>
      <c r="M4348" s="12" t="s">
        <v>43</v>
      </c>
      <c r="N4348" s="12" t="s">
        <v>84</v>
      </c>
      <c r="O4348" s="12" t="s">
        <v>15340</v>
      </c>
      <c r="P4348" s="12" t="s">
        <v>46</v>
      </c>
      <c r="Q4348" s="12" t="s">
        <v>47</v>
      </c>
      <c r="R4348" s="12" t="s">
        <v>163</v>
      </c>
      <c r="S4348" s="13">
        <v>197804538225</v>
      </c>
      <c r="T4348" s="12" t="s">
        <v>105</v>
      </c>
      <c r="U4348" s="13">
        <v>44.5</v>
      </c>
      <c r="V4348" s="12" t="s">
        <v>50</v>
      </c>
      <c r="W4348" s="12" t="s">
        <v>118</v>
      </c>
      <c r="X4348" s="14"/>
      <c r="Y4348" s="14"/>
      <c r="Z4348" s="14"/>
      <c r="AA4348" s="14"/>
      <c r="AB4348" s="14"/>
      <c r="AC4348" s="15">
        <v>43.2</v>
      </c>
      <c r="AD4348" s="15">
        <f>AC4348*AG4348</f>
        <v>43.2</v>
      </c>
      <c r="AE4348" s="15">
        <v>95</v>
      </c>
      <c r="AF4348" s="15">
        <f>AE4348*AG4348</f>
        <v>95</v>
      </c>
      <c r="AG4348" s="16">
        <v>1</v>
      </c>
    </row>
    <row r="4349" spans="1:33" ht="15" customHeight="1" x14ac:dyDescent="0.2">
      <c r="A4349" s="11" t="str">
        <f t="shared" ref="A4349:A4355" si="1382">HYPERLINK("https://assets.vans.eu/images/VN000D6NBGK-HERO/1","VN000D6NBGK1")</f>
        <v>VN000D6NBGK1</v>
      </c>
      <c r="B4349" s="12" t="s">
        <v>15341</v>
      </c>
      <c r="C4349" s="12" t="s">
        <v>1458</v>
      </c>
      <c r="D4349" s="12" t="s">
        <v>4850</v>
      </c>
      <c r="E4349" s="12" t="s">
        <v>15342</v>
      </c>
      <c r="F4349" s="13">
        <v>75</v>
      </c>
      <c r="G4349" s="12" t="s">
        <v>9212</v>
      </c>
      <c r="H4349" s="12" t="s">
        <v>38</v>
      </c>
      <c r="I4349" s="12" t="s">
        <v>159</v>
      </c>
      <c r="J4349" s="12" t="s">
        <v>255</v>
      </c>
      <c r="K4349" s="12" t="s">
        <v>82</v>
      </c>
      <c r="L4349" s="14"/>
      <c r="M4349" s="12" t="s">
        <v>43</v>
      </c>
      <c r="N4349" s="12" t="s">
        <v>84</v>
      </c>
      <c r="O4349" s="12" t="s">
        <v>15343</v>
      </c>
      <c r="P4349" s="12" t="s">
        <v>46</v>
      </c>
      <c r="Q4349" s="12" t="s">
        <v>47</v>
      </c>
      <c r="R4349" s="12" t="s">
        <v>163</v>
      </c>
      <c r="S4349" s="13">
        <v>197804537310</v>
      </c>
      <c r="T4349" s="12" t="s">
        <v>105</v>
      </c>
      <c r="U4349" s="13">
        <v>40</v>
      </c>
      <c r="V4349" s="12" t="s">
        <v>50</v>
      </c>
      <c r="W4349" s="12" t="s">
        <v>118</v>
      </c>
      <c r="X4349" s="14"/>
      <c r="Y4349" s="14"/>
      <c r="Z4349" s="14"/>
      <c r="AA4349" s="14"/>
      <c r="AB4349" s="14"/>
      <c r="AC4349" s="15">
        <v>43.2</v>
      </c>
      <c r="AD4349" s="15">
        <f>AC4349*AG4349</f>
        <v>43.2</v>
      </c>
      <c r="AE4349" s="15">
        <v>95</v>
      </c>
      <c r="AF4349" s="15">
        <f>AE4349*AG4349</f>
        <v>95</v>
      </c>
      <c r="AG4349" s="16">
        <v>1</v>
      </c>
    </row>
    <row r="4350" spans="1:33" ht="15" customHeight="1" x14ac:dyDescent="0.2">
      <c r="A4350" s="11" t="str">
        <f t="shared" si="1382"/>
        <v>VN000D6NBGK1</v>
      </c>
      <c r="B4350" s="12" t="s">
        <v>15344</v>
      </c>
      <c r="C4350" s="12" t="s">
        <v>1458</v>
      </c>
      <c r="D4350" s="12" t="s">
        <v>4850</v>
      </c>
      <c r="E4350" s="12" t="s">
        <v>15345</v>
      </c>
      <c r="F4350" s="13">
        <v>80</v>
      </c>
      <c r="G4350" s="12" t="s">
        <v>9212</v>
      </c>
      <c r="H4350" s="12" t="s">
        <v>38</v>
      </c>
      <c r="I4350" s="12" t="s">
        <v>159</v>
      </c>
      <c r="J4350" s="12" t="s">
        <v>255</v>
      </c>
      <c r="K4350" s="12" t="s">
        <v>82</v>
      </c>
      <c r="L4350" s="14"/>
      <c r="M4350" s="12" t="s">
        <v>43</v>
      </c>
      <c r="N4350" s="12" t="s">
        <v>84</v>
      </c>
      <c r="O4350" s="12" t="s">
        <v>15346</v>
      </c>
      <c r="P4350" s="12" t="s">
        <v>46</v>
      </c>
      <c r="Q4350" s="12" t="s">
        <v>47</v>
      </c>
      <c r="R4350" s="12" t="s">
        <v>163</v>
      </c>
      <c r="S4350" s="13">
        <v>197804537396</v>
      </c>
      <c r="T4350" s="12" t="s">
        <v>105</v>
      </c>
      <c r="U4350" s="13">
        <v>40.5</v>
      </c>
      <c r="V4350" s="12" t="s">
        <v>50</v>
      </c>
      <c r="W4350" s="12" t="s">
        <v>118</v>
      </c>
      <c r="X4350" s="14"/>
      <c r="Y4350" s="14"/>
      <c r="Z4350" s="14"/>
      <c r="AA4350" s="14"/>
      <c r="AB4350" s="14"/>
      <c r="AC4350" s="15">
        <v>43.2</v>
      </c>
      <c r="AD4350" s="15">
        <f>AC4350*AG4350</f>
        <v>43.2</v>
      </c>
      <c r="AE4350" s="15">
        <v>95</v>
      </c>
      <c r="AF4350" s="15">
        <f>AE4350*AG4350</f>
        <v>95</v>
      </c>
      <c r="AG4350" s="16">
        <v>1</v>
      </c>
    </row>
    <row r="4351" spans="1:33" ht="15" customHeight="1" x14ac:dyDescent="0.2">
      <c r="A4351" s="11" t="str">
        <f t="shared" si="1382"/>
        <v>VN000D6NBGK1</v>
      </c>
      <c r="B4351" s="12" t="s">
        <v>15347</v>
      </c>
      <c r="C4351" s="12" t="s">
        <v>1458</v>
      </c>
      <c r="D4351" s="12" t="s">
        <v>4850</v>
      </c>
      <c r="E4351" s="12" t="s">
        <v>15348</v>
      </c>
      <c r="F4351" s="13">
        <v>85</v>
      </c>
      <c r="G4351" s="12" t="s">
        <v>9212</v>
      </c>
      <c r="H4351" s="12" t="s">
        <v>38</v>
      </c>
      <c r="I4351" s="12" t="s">
        <v>159</v>
      </c>
      <c r="J4351" s="12" t="s">
        <v>255</v>
      </c>
      <c r="K4351" s="12" t="s">
        <v>82</v>
      </c>
      <c r="L4351" s="14"/>
      <c r="M4351" s="12" t="s">
        <v>43</v>
      </c>
      <c r="N4351" s="12" t="s">
        <v>84</v>
      </c>
      <c r="O4351" s="12" t="s">
        <v>15349</v>
      </c>
      <c r="P4351" s="12" t="s">
        <v>46</v>
      </c>
      <c r="Q4351" s="12" t="s">
        <v>47</v>
      </c>
      <c r="R4351" s="12" t="s">
        <v>163</v>
      </c>
      <c r="S4351" s="13">
        <v>197804537587</v>
      </c>
      <c r="T4351" s="12" t="s">
        <v>105</v>
      </c>
      <c r="U4351" s="13">
        <v>41</v>
      </c>
      <c r="V4351" s="12" t="s">
        <v>50</v>
      </c>
      <c r="W4351" s="12" t="s">
        <v>118</v>
      </c>
      <c r="X4351" s="14"/>
      <c r="Y4351" s="14"/>
      <c r="Z4351" s="14"/>
      <c r="AA4351" s="14"/>
      <c r="AB4351" s="14"/>
      <c r="AC4351" s="15">
        <v>43.2</v>
      </c>
      <c r="AD4351" s="15">
        <f>AC4351*AG4351</f>
        <v>43.2</v>
      </c>
      <c r="AE4351" s="15">
        <v>95</v>
      </c>
      <c r="AF4351" s="15">
        <f>AE4351*AG4351</f>
        <v>95</v>
      </c>
      <c r="AG4351" s="16">
        <v>1</v>
      </c>
    </row>
    <row r="4352" spans="1:33" ht="15" customHeight="1" x14ac:dyDescent="0.2">
      <c r="A4352" s="11" t="str">
        <f t="shared" si="1382"/>
        <v>VN000D6NBGK1</v>
      </c>
      <c r="B4352" s="12" t="s">
        <v>15350</v>
      </c>
      <c r="C4352" s="12" t="s">
        <v>1458</v>
      </c>
      <c r="D4352" s="12" t="s">
        <v>4850</v>
      </c>
      <c r="E4352" s="12" t="s">
        <v>15351</v>
      </c>
      <c r="F4352" s="13">
        <v>90</v>
      </c>
      <c r="G4352" s="12" t="s">
        <v>9212</v>
      </c>
      <c r="H4352" s="12" t="s">
        <v>38</v>
      </c>
      <c r="I4352" s="12" t="s">
        <v>159</v>
      </c>
      <c r="J4352" s="12" t="s">
        <v>255</v>
      </c>
      <c r="K4352" s="12" t="s">
        <v>82</v>
      </c>
      <c r="L4352" s="14"/>
      <c r="M4352" s="12" t="s">
        <v>43</v>
      </c>
      <c r="N4352" s="12" t="s">
        <v>84</v>
      </c>
      <c r="O4352" s="12" t="s">
        <v>15352</v>
      </c>
      <c r="P4352" s="12" t="s">
        <v>46</v>
      </c>
      <c r="Q4352" s="12" t="s">
        <v>47</v>
      </c>
      <c r="R4352" s="12" t="s">
        <v>163</v>
      </c>
      <c r="S4352" s="13">
        <v>197804537754</v>
      </c>
      <c r="T4352" s="12" t="s">
        <v>105</v>
      </c>
      <c r="U4352" s="13">
        <v>42</v>
      </c>
      <c r="V4352" s="12" t="s">
        <v>50</v>
      </c>
      <c r="W4352" s="12" t="s">
        <v>118</v>
      </c>
      <c r="X4352" s="14"/>
      <c r="Y4352" s="14"/>
      <c r="Z4352" s="14"/>
      <c r="AA4352" s="14"/>
      <c r="AB4352" s="14"/>
      <c r="AC4352" s="15">
        <v>43.2</v>
      </c>
      <c r="AD4352" s="15">
        <f>AC4352*AG4352</f>
        <v>43.2</v>
      </c>
      <c r="AE4352" s="15">
        <v>95</v>
      </c>
      <c r="AF4352" s="15">
        <f>AE4352*AG4352</f>
        <v>95</v>
      </c>
      <c r="AG4352" s="16">
        <v>1</v>
      </c>
    </row>
    <row r="4353" spans="1:33" ht="15" customHeight="1" x14ac:dyDescent="0.2">
      <c r="A4353" s="11" t="str">
        <f t="shared" si="1382"/>
        <v>VN000D6NBGK1</v>
      </c>
      <c r="B4353" s="12" t="s">
        <v>15353</v>
      </c>
      <c r="C4353" s="12" t="s">
        <v>1458</v>
      </c>
      <c r="D4353" s="12" t="s">
        <v>4850</v>
      </c>
      <c r="E4353" s="12" t="s">
        <v>15354</v>
      </c>
      <c r="F4353" s="13">
        <v>95</v>
      </c>
      <c r="G4353" s="12" t="s">
        <v>9212</v>
      </c>
      <c r="H4353" s="12" t="s">
        <v>38</v>
      </c>
      <c r="I4353" s="12" t="s">
        <v>159</v>
      </c>
      <c r="J4353" s="12" t="s">
        <v>255</v>
      </c>
      <c r="K4353" s="12" t="s">
        <v>82</v>
      </c>
      <c r="L4353" s="14"/>
      <c r="M4353" s="12" t="s">
        <v>43</v>
      </c>
      <c r="N4353" s="12" t="s">
        <v>84</v>
      </c>
      <c r="O4353" s="12" t="s">
        <v>15355</v>
      </c>
      <c r="P4353" s="12" t="s">
        <v>46</v>
      </c>
      <c r="Q4353" s="12" t="s">
        <v>47</v>
      </c>
      <c r="R4353" s="12" t="s">
        <v>163</v>
      </c>
      <c r="S4353" s="13">
        <v>197804537945</v>
      </c>
      <c r="T4353" s="12" t="s">
        <v>105</v>
      </c>
      <c r="U4353" s="13">
        <v>42.5</v>
      </c>
      <c r="V4353" s="12" t="s">
        <v>50</v>
      </c>
      <c r="W4353" s="12" t="s">
        <v>118</v>
      </c>
      <c r="X4353" s="14"/>
      <c r="Y4353" s="14"/>
      <c r="Z4353" s="14"/>
      <c r="AA4353" s="14"/>
      <c r="AB4353" s="14"/>
      <c r="AC4353" s="15">
        <v>43.2</v>
      </c>
      <c r="AD4353" s="15">
        <f>AC4353*AG4353</f>
        <v>43.2</v>
      </c>
      <c r="AE4353" s="15">
        <v>95</v>
      </c>
      <c r="AF4353" s="15">
        <f>AE4353*AG4353</f>
        <v>95</v>
      </c>
      <c r="AG4353" s="16">
        <v>1</v>
      </c>
    </row>
    <row r="4354" spans="1:33" ht="15" customHeight="1" x14ac:dyDescent="0.2">
      <c r="A4354" s="11" t="str">
        <f t="shared" si="1382"/>
        <v>VN000D6NBGK1</v>
      </c>
      <c r="B4354" s="12" t="s">
        <v>15356</v>
      </c>
      <c r="C4354" s="12" t="s">
        <v>1458</v>
      </c>
      <c r="D4354" s="12" t="s">
        <v>4850</v>
      </c>
      <c r="E4354" s="12" t="s">
        <v>15357</v>
      </c>
      <c r="F4354" s="13">
        <v>110</v>
      </c>
      <c r="G4354" s="12" t="s">
        <v>9212</v>
      </c>
      <c r="H4354" s="12" t="s">
        <v>38</v>
      </c>
      <c r="I4354" s="12" t="s">
        <v>159</v>
      </c>
      <c r="J4354" s="12" t="s">
        <v>255</v>
      </c>
      <c r="K4354" s="12" t="s">
        <v>82</v>
      </c>
      <c r="L4354" s="14"/>
      <c r="M4354" s="12" t="s">
        <v>43</v>
      </c>
      <c r="N4354" s="12" t="s">
        <v>84</v>
      </c>
      <c r="O4354" s="12" t="s">
        <v>15358</v>
      </c>
      <c r="P4354" s="12" t="s">
        <v>46</v>
      </c>
      <c r="Q4354" s="12" t="s">
        <v>47</v>
      </c>
      <c r="R4354" s="12" t="s">
        <v>163</v>
      </c>
      <c r="S4354" s="13">
        <v>197804538263</v>
      </c>
      <c r="T4354" s="12" t="s">
        <v>105</v>
      </c>
      <c r="U4354" s="13">
        <v>44.5</v>
      </c>
      <c r="V4354" s="12" t="s">
        <v>50</v>
      </c>
      <c r="W4354" s="12" t="s">
        <v>118</v>
      </c>
      <c r="X4354" s="14"/>
      <c r="Y4354" s="14"/>
      <c r="Z4354" s="14"/>
      <c r="AA4354" s="14"/>
      <c r="AB4354" s="14"/>
      <c r="AC4354" s="15">
        <v>43.2</v>
      </c>
      <c r="AD4354" s="15">
        <f>AC4354*AG4354</f>
        <v>43.2</v>
      </c>
      <c r="AE4354" s="15">
        <v>95</v>
      </c>
      <c r="AF4354" s="15">
        <f>AE4354*AG4354</f>
        <v>95</v>
      </c>
      <c r="AG4354" s="16">
        <v>1</v>
      </c>
    </row>
    <row r="4355" spans="1:33" ht="15" customHeight="1" x14ac:dyDescent="0.2">
      <c r="A4355" s="11" t="str">
        <f t="shared" si="1382"/>
        <v>VN000D6NBGK1</v>
      </c>
      <c r="B4355" s="12" t="s">
        <v>15359</v>
      </c>
      <c r="C4355" s="12" t="s">
        <v>1458</v>
      </c>
      <c r="D4355" s="12" t="s">
        <v>4850</v>
      </c>
      <c r="E4355" s="12" t="s">
        <v>15360</v>
      </c>
      <c r="F4355" s="13">
        <v>115</v>
      </c>
      <c r="G4355" s="12" t="s">
        <v>9212</v>
      </c>
      <c r="H4355" s="12" t="s">
        <v>38</v>
      </c>
      <c r="I4355" s="12" t="s">
        <v>159</v>
      </c>
      <c r="J4355" s="12" t="s">
        <v>255</v>
      </c>
      <c r="K4355" s="12" t="s">
        <v>82</v>
      </c>
      <c r="L4355" s="14"/>
      <c r="M4355" s="12" t="s">
        <v>43</v>
      </c>
      <c r="N4355" s="12" t="s">
        <v>84</v>
      </c>
      <c r="O4355" s="12" t="s">
        <v>15361</v>
      </c>
      <c r="P4355" s="12" t="s">
        <v>46</v>
      </c>
      <c r="Q4355" s="12" t="s">
        <v>47</v>
      </c>
      <c r="R4355" s="12" t="s">
        <v>163</v>
      </c>
      <c r="S4355" s="13">
        <v>197804538423</v>
      </c>
      <c r="T4355" s="12" t="s">
        <v>105</v>
      </c>
      <c r="U4355" s="13">
        <v>45</v>
      </c>
      <c r="V4355" s="12" t="s">
        <v>50</v>
      </c>
      <c r="W4355" s="12" t="s">
        <v>118</v>
      </c>
      <c r="X4355" s="14"/>
      <c r="Y4355" s="14"/>
      <c r="Z4355" s="14"/>
      <c r="AA4355" s="14"/>
      <c r="AB4355" s="14"/>
      <c r="AC4355" s="15">
        <v>43.2</v>
      </c>
      <c r="AD4355" s="15">
        <f>AC4355*AG4355</f>
        <v>43.2</v>
      </c>
      <c r="AE4355" s="15">
        <v>95</v>
      </c>
      <c r="AF4355" s="15">
        <f>AE4355*AG4355</f>
        <v>95</v>
      </c>
      <c r="AG4355" s="16">
        <v>1</v>
      </c>
    </row>
    <row r="4356" spans="1:33" ht="15" customHeight="1" x14ac:dyDescent="0.2">
      <c r="A4356" s="11" t="str">
        <f>HYPERLINK("https://assets.vans.eu/images/VN000D6NFTY-HERO/1","VN000D6NFTY1")</f>
        <v>VN000D6NFTY1</v>
      </c>
      <c r="B4356" s="12" t="s">
        <v>15362</v>
      </c>
      <c r="C4356" s="12" t="s">
        <v>1458</v>
      </c>
      <c r="D4356" s="12" t="s">
        <v>15363</v>
      </c>
      <c r="E4356" s="12" t="s">
        <v>15364</v>
      </c>
      <c r="F4356" s="13">
        <v>75</v>
      </c>
      <c r="G4356" s="14"/>
      <c r="H4356" s="12" t="s">
        <v>38</v>
      </c>
      <c r="I4356" s="12" t="s">
        <v>159</v>
      </c>
      <c r="J4356" s="12" t="s">
        <v>255</v>
      </c>
      <c r="K4356" s="12" t="s">
        <v>82</v>
      </c>
      <c r="L4356" s="14"/>
      <c r="M4356" s="12" t="s">
        <v>43</v>
      </c>
      <c r="N4356" s="12" t="s">
        <v>44</v>
      </c>
      <c r="O4356" s="12" t="s">
        <v>15365</v>
      </c>
      <c r="P4356" s="12" t="s">
        <v>46</v>
      </c>
      <c r="Q4356" s="12" t="s">
        <v>47</v>
      </c>
      <c r="R4356" s="12" t="s">
        <v>163</v>
      </c>
      <c r="S4356" s="13">
        <v>197643288701</v>
      </c>
      <c r="T4356" s="12" t="s">
        <v>164</v>
      </c>
      <c r="U4356" s="13">
        <v>40</v>
      </c>
      <c r="V4356" s="12" t="s">
        <v>50</v>
      </c>
      <c r="W4356" s="12" t="s">
        <v>455</v>
      </c>
      <c r="X4356" s="14"/>
      <c r="Y4356" s="12" t="s">
        <v>53</v>
      </c>
      <c r="Z4356" s="12" t="s">
        <v>1462</v>
      </c>
      <c r="AA4356" s="14"/>
      <c r="AB4356" s="14"/>
      <c r="AC4356" s="15">
        <v>45.5</v>
      </c>
      <c r="AD4356" s="15">
        <f>AC4356*AG4356</f>
        <v>45.5</v>
      </c>
      <c r="AE4356" s="15">
        <v>100</v>
      </c>
      <c r="AF4356" s="15">
        <f>AE4356*AG4356</f>
        <v>100</v>
      </c>
      <c r="AG4356" s="16">
        <v>1</v>
      </c>
    </row>
    <row r="4357" spans="1:33" ht="15" customHeight="1" x14ac:dyDescent="0.2">
      <c r="A4357" s="11" t="str">
        <f>HYPERLINK("https://assets.vans.eu/images/VN000D6S5SM-HERO/1","VN000D6S5SM1")</f>
        <v>VN000D6S5SM1</v>
      </c>
      <c r="B4357" s="12" t="s">
        <v>15366</v>
      </c>
      <c r="C4357" s="12" t="s">
        <v>2597</v>
      </c>
      <c r="D4357" s="12" t="s">
        <v>15367</v>
      </c>
      <c r="E4357" s="12" t="s">
        <v>15368</v>
      </c>
      <c r="F4357" s="13">
        <v>55</v>
      </c>
      <c r="G4357" s="14"/>
      <c r="H4357" s="12" t="s">
        <v>38</v>
      </c>
      <c r="I4357" s="12" t="s">
        <v>159</v>
      </c>
      <c r="J4357" s="12" t="s">
        <v>255</v>
      </c>
      <c r="K4357" s="12" t="s">
        <v>82</v>
      </c>
      <c r="L4357" s="14"/>
      <c r="M4357" s="12" t="s">
        <v>43</v>
      </c>
      <c r="N4357" s="12" t="s">
        <v>44</v>
      </c>
      <c r="O4357" s="12" t="s">
        <v>15369</v>
      </c>
      <c r="P4357" s="12" t="s">
        <v>46</v>
      </c>
      <c r="Q4357" s="12" t="s">
        <v>47</v>
      </c>
      <c r="R4357" s="12" t="s">
        <v>163</v>
      </c>
      <c r="S4357" s="13">
        <v>197643209683</v>
      </c>
      <c r="T4357" s="12" t="s">
        <v>49</v>
      </c>
      <c r="U4357" s="13">
        <v>37</v>
      </c>
      <c r="V4357" s="12" t="s">
        <v>50</v>
      </c>
      <c r="W4357" s="12" t="s">
        <v>580</v>
      </c>
      <c r="X4357" s="14"/>
      <c r="Y4357" s="12" t="s">
        <v>91</v>
      </c>
      <c r="Z4357" s="12" t="s">
        <v>2600</v>
      </c>
      <c r="AA4357" s="14"/>
      <c r="AB4357" s="14"/>
      <c r="AC4357" s="15">
        <v>40.950000000000003</v>
      </c>
      <c r="AD4357" s="15">
        <f>AC4357*AG4357</f>
        <v>40.950000000000003</v>
      </c>
      <c r="AE4357" s="15">
        <v>90</v>
      </c>
      <c r="AF4357" s="15">
        <f>AE4357*AG4357</f>
        <v>90</v>
      </c>
      <c r="AG4357" s="16">
        <v>1</v>
      </c>
    </row>
    <row r="4358" spans="1:33" ht="15" customHeight="1" x14ac:dyDescent="0.2">
      <c r="A4358" s="11" t="str">
        <f>HYPERLINK("https://assets.vans.eu/images/VN000D6SBH7-HERO/1","VN000D6SBH71")</f>
        <v>VN000D6SBH71</v>
      </c>
      <c r="B4358" s="12" t="s">
        <v>15370</v>
      </c>
      <c r="C4358" s="12" t="s">
        <v>2597</v>
      </c>
      <c r="D4358" s="12" t="s">
        <v>1030</v>
      </c>
      <c r="E4358" s="12" t="s">
        <v>15371</v>
      </c>
      <c r="F4358" s="13">
        <v>85</v>
      </c>
      <c r="G4358" s="12" t="s">
        <v>15372</v>
      </c>
      <c r="H4358" s="12" t="s">
        <v>38</v>
      </c>
      <c r="I4358" s="12" t="s">
        <v>159</v>
      </c>
      <c r="J4358" s="12" t="s">
        <v>255</v>
      </c>
      <c r="K4358" s="12" t="s">
        <v>82</v>
      </c>
      <c r="L4358" s="14"/>
      <c r="M4358" s="12" t="s">
        <v>43</v>
      </c>
      <c r="N4358" s="12" t="s">
        <v>84</v>
      </c>
      <c r="O4358" s="12" t="s">
        <v>15373</v>
      </c>
      <c r="P4358" s="12" t="s">
        <v>46</v>
      </c>
      <c r="Q4358" s="12" t="s">
        <v>47</v>
      </c>
      <c r="R4358" s="12" t="s">
        <v>163</v>
      </c>
      <c r="S4358" s="13">
        <v>197804453474</v>
      </c>
      <c r="T4358" s="12" t="s">
        <v>49</v>
      </c>
      <c r="U4358" s="13">
        <v>41</v>
      </c>
      <c r="V4358" s="12" t="s">
        <v>50</v>
      </c>
      <c r="W4358" s="12" t="s">
        <v>455</v>
      </c>
      <c r="X4358" s="14"/>
      <c r="Y4358" s="14"/>
      <c r="Z4358" s="14"/>
      <c r="AA4358" s="14"/>
      <c r="AB4358" s="14"/>
      <c r="AC4358" s="15">
        <v>40.950000000000003</v>
      </c>
      <c r="AD4358" s="15">
        <f>AC4358*AG4358</f>
        <v>40.950000000000003</v>
      </c>
      <c r="AE4358" s="15">
        <v>90</v>
      </c>
      <c r="AF4358" s="15">
        <f>AE4358*AG4358</f>
        <v>90</v>
      </c>
      <c r="AG4358" s="16">
        <v>1</v>
      </c>
    </row>
    <row r="4359" spans="1:33" ht="15" customHeight="1" x14ac:dyDescent="0.2">
      <c r="A4359" s="11" t="str">
        <f t="shared" si="803"/>
        <v>VN000D6SBM81</v>
      </c>
      <c r="B4359" s="12" t="s">
        <v>15374</v>
      </c>
      <c r="C4359" s="12" t="s">
        <v>2597</v>
      </c>
      <c r="D4359" s="12" t="s">
        <v>919</v>
      </c>
      <c r="E4359" s="12" t="s">
        <v>15375</v>
      </c>
      <c r="F4359" s="13">
        <v>95</v>
      </c>
      <c r="G4359" s="12" t="s">
        <v>7293</v>
      </c>
      <c r="H4359" s="12" t="s">
        <v>38</v>
      </c>
      <c r="I4359" s="12" t="s">
        <v>159</v>
      </c>
      <c r="J4359" s="12" t="s">
        <v>255</v>
      </c>
      <c r="K4359" s="12" t="s">
        <v>82</v>
      </c>
      <c r="L4359" s="14"/>
      <c r="M4359" s="12" t="s">
        <v>43</v>
      </c>
      <c r="N4359" s="12" t="s">
        <v>84</v>
      </c>
      <c r="O4359" s="12" t="s">
        <v>15376</v>
      </c>
      <c r="P4359" s="12" t="s">
        <v>46</v>
      </c>
      <c r="Q4359" s="12" t="s">
        <v>47</v>
      </c>
      <c r="R4359" s="12" t="s">
        <v>163</v>
      </c>
      <c r="S4359" s="13">
        <v>197804453726</v>
      </c>
      <c r="T4359" s="12" t="s">
        <v>49</v>
      </c>
      <c r="U4359" s="13">
        <v>42.5</v>
      </c>
      <c r="V4359" s="12" t="s">
        <v>50</v>
      </c>
      <c r="W4359" s="12" t="s">
        <v>51</v>
      </c>
      <c r="X4359" s="14"/>
      <c r="Y4359" s="14"/>
      <c r="Z4359" s="14"/>
      <c r="AA4359" s="14"/>
      <c r="AB4359" s="14"/>
      <c r="AC4359" s="15">
        <v>40.950000000000003</v>
      </c>
      <c r="AD4359" s="15">
        <f>AC4359*AG4359</f>
        <v>40.950000000000003</v>
      </c>
      <c r="AE4359" s="15">
        <v>90</v>
      </c>
      <c r="AF4359" s="15">
        <f>AE4359*AG4359</f>
        <v>90</v>
      </c>
      <c r="AG4359" s="16">
        <v>1</v>
      </c>
    </row>
    <row r="4360" spans="1:33" ht="15" customHeight="1" x14ac:dyDescent="0.2">
      <c r="A4360" s="11" t="str">
        <f t="shared" ref="A4360:A4362" si="1383">HYPERLINK("https://assets.vans.eu/images/VN000D6SCJA-HERO/1","VN000D6SCJA1")</f>
        <v>VN000D6SCJA1</v>
      </c>
      <c r="B4360" s="12" t="s">
        <v>15377</v>
      </c>
      <c r="C4360" s="12" t="s">
        <v>2597</v>
      </c>
      <c r="D4360" s="12" t="s">
        <v>2144</v>
      </c>
      <c r="E4360" s="12" t="s">
        <v>15378</v>
      </c>
      <c r="F4360" s="13">
        <v>110</v>
      </c>
      <c r="G4360" s="12" t="s">
        <v>7293</v>
      </c>
      <c r="H4360" s="12" t="s">
        <v>38</v>
      </c>
      <c r="I4360" s="12" t="s">
        <v>159</v>
      </c>
      <c r="J4360" s="12" t="s">
        <v>255</v>
      </c>
      <c r="K4360" s="12" t="s">
        <v>82</v>
      </c>
      <c r="L4360" s="14"/>
      <c r="M4360" s="12" t="s">
        <v>43</v>
      </c>
      <c r="N4360" s="12" t="s">
        <v>84</v>
      </c>
      <c r="O4360" s="12" t="s">
        <v>15379</v>
      </c>
      <c r="P4360" s="12" t="s">
        <v>46</v>
      </c>
      <c r="Q4360" s="12" t="s">
        <v>47</v>
      </c>
      <c r="R4360" s="12" t="s">
        <v>163</v>
      </c>
      <c r="S4360" s="13">
        <v>197804454273</v>
      </c>
      <c r="T4360" s="12" t="s">
        <v>49</v>
      </c>
      <c r="U4360" s="13">
        <v>44.5</v>
      </c>
      <c r="V4360" s="12" t="s">
        <v>50</v>
      </c>
      <c r="W4360" s="12" t="s">
        <v>175</v>
      </c>
      <c r="X4360" s="14"/>
      <c r="Y4360" s="14"/>
      <c r="Z4360" s="14"/>
      <c r="AA4360" s="14"/>
      <c r="AB4360" s="14"/>
      <c r="AC4360" s="15">
        <v>40.950000000000003</v>
      </c>
      <c r="AD4360" s="15">
        <f>AC4360*AG4360</f>
        <v>40.950000000000003</v>
      </c>
      <c r="AE4360" s="15">
        <v>90</v>
      </c>
      <c r="AF4360" s="15">
        <f>AE4360*AG4360</f>
        <v>90</v>
      </c>
      <c r="AG4360" s="16">
        <v>1</v>
      </c>
    </row>
    <row r="4361" spans="1:33" ht="15" customHeight="1" x14ac:dyDescent="0.2">
      <c r="A4361" s="11" t="str">
        <f t="shared" si="1383"/>
        <v>VN000D6SCJA1</v>
      </c>
      <c r="B4361" s="12" t="s">
        <v>15380</v>
      </c>
      <c r="C4361" s="12" t="s">
        <v>2597</v>
      </c>
      <c r="D4361" s="12" t="s">
        <v>2144</v>
      </c>
      <c r="E4361" s="12" t="s">
        <v>15381</v>
      </c>
      <c r="F4361" s="13">
        <v>115</v>
      </c>
      <c r="G4361" s="12" t="s">
        <v>7293</v>
      </c>
      <c r="H4361" s="12" t="s">
        <v>38</v>
      </c>
      <c r="I4361" s="12" t="s">
        <v>159</v>
      </c>
      <c r="J4361" s="12" t="s">
        <v>255</v>
      </c>
      <c r="K4361" s="12" t="s">
        <v>82</v>
      </c>
      <c r="L4361" s="14"/>
      <c r="M4361" s="12" t="s">
        <v>43</v>
      </c>
      <c r="N4361" s="12" t="s">
        <v>84</v>
      </c>
      <c r="O4361" s="12" t="s">
        <v>15382</v>
      </c>
      <c r="P4361" s="12" t="s">
        <v>46</v>
      </c>
      <c r="Q4361" s="12" t="s">
        <v>47</v>
      </c>
      <c r="R4361" s="12" t="s">
        <v>163</v>
      </c>
      <c r="S4361" s="13">
        <v>197804454426</v>
      </c>
      <c r="T4361" s="12" t="s">
        <v>49</v>
      </c>
      <c r="U4361" s="13">
        <v>45</v>
      </c>
      <c r="V4361" s="12" t="s">
        <v>50</v>
      </c>
      <c r="W4361" s="12" t="s">
        <v>175</v>
      </c>
      <c r="X4361" s="14"/>
      <c r="Y4361" s="14"/>
      <c r="Z4361" s="14"/>
      <c r="AA4361" s="14"/>
      <c r="AB4361" s="14"/>
      <c r="AC4361" s="15">
        <v>40.950000000000003</v>
      </c>
      <c r="AD4361" s="15">
        <f>AC4361*AG4361</f>
        <v>40.950000000000003</v>
      </c>
      <c r="AE4361" s="15">
        <v>90</v>
      </c>
      <c r="AF4361" s="15">
        <f>AE4361*AG4361</f>
        <v>90</v>
      </c>
      <c r="AG4361" s="16">
        <v>1</v>
      </c>
    </row>
    <row r="4362" spans="1:33" ht="15" customHeight="1" x14ac:dyDescent="0.2">
      <c r="A4362" s="11" t="str">
        <f t="shared" si="1383"/>
        <v>VN000D6SCJA1</v>
      </c>
      <c r="B4362" s="12" t="s">
        <v>15383</v>
      </c>
      <c r="C4362" s="12" t="s">
        <v>2597</v>
      </c>
      <c r="D4362" s="12" t="s">
        <v>2144</v>
      </c>
      <c r="E4362" s="12" t="s">
        <v>15384</v>
      </c>
      <c r="F4362" s="13">
        <v>120</v>
      </c>
      <c r="G4362" s="12" t="s">
        <v>7293</v>
      </c>
      <c r="H4362" s="12" t="s">
        <v>38</v>
      </c>
      <c r="I4362" s="12" t="s">
        <v>159</v>
      </c>
      <c r="J4362" s="12" t="s">
        <v>255</v>
      </c>
      <c r="K4362" s="12" t="s">
        <v>82</v>
      </c>
      <c r="L4362" s="14"/>
      <c r="M4362" s="12" t="s">
        <v>43</v>
      </c>
      <c r="N4362" s="12" t="s">
        <v>84</v>
      </c>
      <c r="O4362" s="12" t="s">
        <v>15385</v>
      </c>
      <c r="P4362" s="12" t="s">
        <v>46</v>
      </c>
      <c r="Q4362" s="12" t="s">
        <v>47</v>
      </c>
      <c r="R4362" s="12" t="s">
        <v>163</v>
      </c>
      <c r="S4362" s="13">
        <v>197804454464</v>
      </c>
      <c r="T4362" s="12" t="s">
        <v>49</v>
      </c>
      <c r="U4362" s="13">
        <v>46</v>
      </c>
      <c r="V4362" s="12" t="s">
        <v>50</v>
      </c>
      <c r="W4362" s="12" t="s">
        <v>175</v>
      </c>
      <c r="X4362" s="14"/>
      <c r="Y4362" s="14"/>
      <c r="Z4362" s="14"/>
      <c r="AA4362" s="14"/>
      <c r="AB4362" s="14"/>
      <c r="AC4362" s="15">
        <v>40.950000000000003</v>
      </c>
      <c r="AD4362" s="15">
        <f>AC4362*AG4362</f>
        <v>40.950000000000003</v>
      </c>
      <c r="AE4362" s="15">
        <v>90</v>
      </c>
      <c r="AF4362" s="15">
        <f>AE4362*AG4362</f>
        <v>90</v>
      </c>
      <c r="AG4362" s="16">
        <v>1</v>
      </c>
    </row>
    <row r="4363" spans="1:33" ht="15" customHeight="1" x14ac:dyDescent="0.2">
      <c r="A4363" s="11" t="str">
        <f t="shared" si="1074"/>
        <v>VN000D6SYW31</v>
      </c>
      <c r="B4363" s="12" t="s">
        <v>15386</v>
      </c>
      <c r="C4363" s="12" t="s">
        <v>2597</v>
      </c>
      <c r="D4363" s="12" t="s">
        <v>9812</v>
      </c>
      <c r="E4363" s="12" t="s">
        <v>15387</v>
      </c>
      <c r="F4363" s="13">
        <v>95</v>
      </c>
      <c r="G4363" s="14"/>
      <c r="H4363" s="12" t="s">
        <v>38</v>
      </c>
      <c r="I4363" s="12" t="s">
        <v>159</v>
      </c>
      <c r="J4363" s="12" t="s">
        <v>255</v>
      </c>
      <c r="K4363" s="12" t="s">
        <v>82</v>
      </c>
      <c r="L4363" s="12" t="s">
        <v>260</v>
      </c>
      <c r="M4363" s="12" t="s">
        <v>43</v>
      </c>
      <c r="N4363" s="12" t="s">
        <v>84</v>
      </c>
      <c r="O4363" s="12" t="s">
        <v>15388</v>
      </c>
      <c r="P4363" s="12" t="s">
        <v>46</v>
      </c>
      <c r="Q4363" s="12" t="s">
        <v>47</v>
      </c>
      <c r="R4363" s="12" t="s">
        <v>163</v>
      </c>
      <c r="S4363" s="13">
        <v>197803562955</v>
      </c>
      <c r="T4363" s="12" t="s">
        <v>49</v>
      </c>
      <c r="U4363" s="13">
        <v>42.5</v>
      </c>
      <c r="V4363" s="12" t="s">
        <v>50</v>
      </c>
      <c r="W4363" s="12" t="s">
        <v>51</v>
      </c>
      <c r="X4363" s="14"/>
      <c r="Y4363" s="14"/>
      <c r="Z4363" s="14"/>
      <c r="AA4363" s="14"/>
      <c r="AB4363" s="14"/>
      <c r="AC4363" s="15">
        <v>40.950000000000003</v>
      </c>
      <c r="AD4363" s="15">
        <f>AC4363*AG4363</f>
        <v>40.950000000000003</v>
      </c>
      <c r="AE4363" s="15">
        <v>90</v>
      </c>
      <c r="AF4363" s="15">
        <f>AE4363*AG4363</f>
        <v>90</v>
      </c>
      <c r="AG4363" s="16">
        <v>1</v>
      </c>
    </row>
    <row r="4364" spans="1:33" ht="15" customHeight="1" x14ac:dyDescent="0.2">
      <c r="A4364" s="11" t="str">
        <f>HYPERLINK("https://assets.vans.eu/images/VN000D6W11E-HERO/1","VN000D6W11E1")</f>
        <v>VN000D6W11E1</v>
      </c>
      <c r="B4364" s="12" t="s">
        <v>15389</v>
      </c>
      <c r="C4364" s="12" t="s">
        <v>34</v>
      </c>
      <c r="D4364" s="12" t="s">
        <v>1148</v>
      </c>
      <c r="E4364" s="12" t="s">
        <v>15390</v>
      </c>
      <c r="F4364" s="13">
        <v>75</v>
      </c>
      <c r="G4364" s="12" t="s">
        <v>2814</v>
      </c>
      <c r="H4364" s="12" t="s">
        <v>38</v>
      </c>
      <c r="I4364" s="12" t="s">
        <v>113</v>
      </c>
      <c r="J4364" s="12" t="s">
        <v>114</v>
      </c>
      <c r="K4364" s="12" t="s">
        <v>82</v>
      </c>
      <c r="L4364" s="14"/>
      <c r="M4364" s="12" t="s">
        <v>43</v>
      </c>
      <c r="N4364" s="12" t="s">
        <v>84</v>
      </c>
      <c r="O4364" s="12" t="s">
        <v>15391</v>
      </c>
      <c r="P4364" s="12" t="s">
        <v>46</v>
      </c>
      <c r="Q4364" s="12" t="s">
        <v>47</v>
      </c>
      <c r="R4364" s="12" t="s">
        <v>117</v>
      </c>
      <c r="S4364" s="13">
        <v>197804789382</v>
      </c>
      <c r="T4364" s="12" t="s">
        <v>105</v>
      </c>
      <c r="U4364" s="13">
        <v>40</v>
      </c>
      <c r="V4364" s="12" t="s">
        <v>50</v>
      </c>
      <c r="W4364" s="12" t="s">
        <v>107</v>
      </c>
      <c r="X4364" s="14"/>
      <c r="Y4364" s="14"/>
      <c r="Z4364" s="14"/>
      <c r="AA4364" s="14"/>
      <c r="AB4364" s="14"/>
      <c r="AC4364" s="15">
        <v>43.2</v>
      </c>
      <c r="AD4364" s="15">
        <f>AC4364*AG4364</f>
        <v>43.2</v>
      </c>
      <c r="AE4364" s="15">
        <v>95</v>
      </c>
      <c r="AF4364" s="15">
        <f>AE4364*AG4364</f>
        <v>95</v>
      </c>
      <c r="AG4364" s="16">
        <v>1</v>
      </c>
    </row>
    <row r="4365" spans="1:33" ht="15" customHeight="1" x14ac:dyDescent="0.2">
      <c r="A4365" s="11" t="str">
        <f t="shared" ref="A4365:A4372" si="1384">HYPERLINK("https://assets.vans.eu/images/VN000D6W203-HERO/1","VN000D6W2031")</f>
        <v>VN000D6W2031</v>
      </c>
      <c r="B4365" s="12" t="s">
        <v>15392</v>
      </c>
      <c r="C4365" s="12" t="s">
        <v>34</v>
      </c>
      <c r="D4365" s="12" t="s">
        <v>3021</v>
      </c>
      <c r="E4365" s="12" t="s">
        <v>15393</v>
      </c>
      <c r="F4365" s="13">
        <v>35</v>
      </c>
      <c r="G4365" s="12" t="s">
        <v>3023</v>
      </c>
      <c r="H4365" s="12" t="s">
        <v>38</v>
      </c>
      <c r="I4365" s="12" t="s">
        <v>113</v>
      </c>
      <c r="J4365" s="12" t="s">
        <v>114</v>
      </c>
      <c r="K4365" s="12" t="s">
        <v>82</v>
      </c>
      <c r="L4365" s="14"/>
      <c r="M4365" s="12" t="s">
        <v>43</v>
      </c>
      <c r="N4365" s="12" t="s">
        <v>84</v>
      </c>
      <c r="O4365" s="12" t="s">
        <v>15394</v>
      </c>
      <c r="P4365" s="12" t="s">
        <v>46</v>
      </c>
      <c r="Q4365" s="12" t="s">
        <v>47</v>
      </c>
      <c r="R4365" s="12" t="s">
        <v>117</v>
      </c>
      <c r="S4365" s="13">
        <v>197804538539</v>
      </c>
      <c r="T4365" s="12" t="s">
        <v>105</v>
      </c>
      <c r="U4365" s="13">
        <v>34.5</v>
      </c>
      <c r="V4365" s="12" t="s">
        <v>50</v>
      </c>
      <c r="W4365" s="12" t="s">
        <v>118</v>
      </c>
      <c r="X4365" s="14"/>
      <c r="Y4365" s="14"/>
      <c r="Z4365" s="14"/>
      <c r="AA4365" s="14"/>
      <c r="AB4365" s="14"/>
      <c r="AC4365" s="15">
        <v>43.2</v>
      </c>
      <c r="AD4365" s="15">
        <f>AC4365*AG4365</f>
        <v>43.2</v>
      </c>
      <c r="AE4365" s="15">
        <v>95</v>
      </c>
      <c r="AF4365" s="15">
        <f>AE4365*AG4365</f>
        <v>95</v>
      </c>
      <c r="AG4365" s="16">
        <v>1</v>
      </c>
    </row>
    <row r="4366" spans="1:33" ht="15" customHeight="1" x14ac:dyDescent="0.2">
      <c r="A4366" s="11" t="str">
        <f t="shared" si="1384"/>
        <v>VN000D6W2031</v>
      </c>
      <c r="B4366" s="12" t="s">
        <v>15395</v>
      </c>
      <c r="C4366" s="12" t="s">
        <v>34</v>
      </c>
      <c r="D4366" s="12" t="s">
        <v>3021</v>
      </c>
      <c r="E4366" s="12" t="s">
        <v>15396</v>
      </c>
      <c r="F4366" s="13">
        <v>40</v>
      </c>
      <c r="G4366" s="12" t="s">
        <v>3023</v>
      </c>
      <c r="H4366" s="12" t="s">
        <v>38</v>
      </c>
      <c r="I4366" s="12" t="s">
        <v>113</v>
      </c>
      <c r="J4366" s="12" t="s">
        <v>114</v>
      </c>
      <c r="K4366" s="12" t="s">
        <v>82</v>
      </c>
      <c r="L4366" s="14"/>
      <c r="M4366" s="12" t="s">
        <v>43</v>
      </c>
      <c r="N4366" s="12" t="s">
        <v>84</v>
      </c>
      <c r="O4366" s="12" t="s">
        <v>15397</v>
      </c>
      <c r="P4366" s="12" t="s">
        <v>46</v>
      </c>
      <c r="Q4366" s="12" t="s">
        <v>47</v>
      </c>
      <c r="R4366" s="12" t="s">
        <v>117</v>
      </c>
      <c r="S4366" s="13">
        <v>197804538584</v>
      </c>
      <c r="T4366" s="12" t="s">
        <v>105</v>
      </c>
      <c r="U4366" s="13">
        <v>35</v>
      </c>
      <c r="V4366" s="12" t="s">
        <v>50</v>
      </c>
      <c r="W4366" s="12" t="s">
        <v>118</v>
      </c>
      <c r="X4366" s="14"/>
      <c r="Y4366" s="14"/>
      <c r="Z4366" s="14"/>
      <c r="AA4366" s="14"/>
      <c r="AB4366" s="14"/>
      <c r="AC4366" s="15">
        <v>43.2</v>
      </c>
      <c r="AD4366" s="15">
        <f>AC4366*AG4366</f>
        <v>43.2</v>
      </c>
      <c r="AE4366" s="15">
        <v>95</v>
      </c>
      <c r="AF4366" s="15">
        <f>AE4366*AG4366</f>
        <v>95</v>
      </c>
      <c r="AG4366" s="16">
        <v>1</v>
      </c>
    </row>
    <row r="4367" spans="1:33" ht="15" customHeight="1" x14ac:dyDescent="0.2">
      <c r="A4367" s="11" t="str">
        <f t="shared" si="1384"/>
        <v>VN000D6W2031</v>
      </c>
      <c r="B4367" s="12" t="s">
        <v>15398</v>
      </c>
      <c r="C4367" s="12" t="s">
        <v>34</v>
      </c>
      <c r="D4367" s="12" t="s">
        <v>3021</v>
      </c>
      <c r="E4367" s="12" t="s">
        <v>15399</v>
      </c>
      <c r="F4367" s="13">
        <v>55</v>
      </c>
      <c r="G4367" s="12" t="s">
        <v>3023</v>
      </c>
      <c r="H4367" s="12" t="s">
        <v>38</v>
      </c>
      <c r="I4367" s="12" t="s">
        <v>113</v>
      </c>
      <c r="J4367" s="12" t="s">
        <v>114</v>
      </c>
      <c r="K4367" s="12" t="s">
        <v>82</v>
      </c>
      <c r="L4367" s="14"/>
      <c r="M4367" s="12" t="s">
        <v>43</v>
      </c>
      <c r="N4367" s="12" t="s">
        <v>84</v>
      </c>
      <c r="O4367" s="12" t="s">
        <v>15400</v>
      </c>
      <c r="P4367" s="12" t="s">
        <v>46</v>
      </c>
      <c r="Q4367" s="12" t="s">
        <v>47</v>
      </c>
      <c r="R4367" s="12" t="s">
        <v>117</v>
      </c>
      <c r="S4367" s="13">
        <v>197804538751</v>
      </c>
      <c r="T4367" s="12" t="s">
        <v>105</v>
      </c>
      <c r="U4367" s="13">
        <v>37</v>
      </c>
      <c r="V4367" s="12" t="s">
        <v>50</v>
      </c>
      <c r="W4367" s="12" t="s">
        <v>118</v>
      </c>
      <c r="X4367" s="14"/>
      <c r="Y4367" s="14"/>
      <c r="Z4367" s="14"/>
      <c r="AA4367" s="14"/>
      <c r="AB4367" s="14"/>
      <c r="AC4367" s="15">
        <v>43.2</v>
      </c>
      <c r="AD4367" s="15">
        <f>AC4367*AG4367</f>
        <v>43.2</v>
      </c>
      <c r="AE4367" s="15">
        <v>95</v>
      </c>
      <c r="AF4367" s="15">
        <f>AE4367*AG4367</f>
        <v>95</v>
      </c>
      <c r="AG4367" s="16">
        <v>1</v>
      </c>
    </row>
    <row r="4368" spans="1:33" ht="15" customHeight="1" x14ac:dyDescent="0.2">
      <c r="A4368" s="11" t="str">
        <f t="shared" si="1384"/>
        <v>VN000D6W2031</v>
      </c>
      <c r="B4368" s="12" t="s">
        <v>15401</v>
      </c>
      <c r="C4368" s="12" t="s">
        <v>34</v>
      </c>
      <c r="D4368" s="12" t="s">
        <v>3021</v>
      </c>
      <c r="E4368" s="12" t="s">
        <v>15402</v>
      </c>
      <c r="F4368" s="13">
        <v>80</v>
      </c>
      <c r="G4368" s="12" t="s">
        <v>3023</v>
      </c>
      <c r="H4368" s="12" t="s">
        <v>38</v>
      </c>
      <c r="I4368" s="12" t="s">
        <v>113</v>
      </c>
      <c r="J4368" s="12" t="s">
        <v>114</v>
      </c>
      <c r="K4368" s="12" t="s">
        <v>82</v>
      </c>
      <c r="L4368" s="14"/>
      <c r="M4368" s="12" t="s">
        <v>43</v>
      </c>
      <c r="N4368" s="12" t="s">
        <v>84</v>
      </c>
      <c r="O4368" s="12" t="s">
        <v>15403</v>
      </c>
      <c r="P4368" s="12" t="s">
        <v>46</v>
      </c>
      <c r="Q4368" s="12" t="s">
        <v>47</v>
      </c>
      <c r="R4368" s="12" t="s">
        <v>117</v>
      </c>
      <c r="S4368" s="13">
        <v>197804539147</v>
      </c>
      <c r="T4368" s="12" t="s">
        <v>105</v>
      </c>
      <c r="U4368" s="13">
        <v>40.5</v>
      </c>
      <c r="V4368" s="12" t="s">
        <v>50</v>
      </c>
      <c r="W4368" s="12" t="s">
        <v>118</v>
      </c>
      <c r="X4368" s="14"/>
      <c r="Y4368" s="14"/>
      <c r="Z4368" s="14"/>
      <c r="AA4368" s="14"/>
      <c r="AB4368" s="14"/>
      <c r="AC4368" s="15">
        <v>43.2</v>
      </c>
      <c r="AD4368" s="15">
        <f>AC4368*AG4368</f>
        <v>43.2</v>
      </c>
      <c r="AE4368" s="15">
        <v>95</v>
      </c>
      <c r="AF4368" s="15">
        <f>AE4368*AG4368</f>
        <v>95</v>
      </c>
      <c r="AG4368" s="16">
        <v>1</v>
      </c>
    </row>
    <row r="4369" spans="1:33" ht="15" customHeight="1" x14ac:dyDescent="0.2">
      <c r="A4369" s="11" t="str">
        <f t="shared" si="1384"/>
        <v>VN000D6W2031</v>
      </c>
      <c r="B4369" s="12" t="s">
        <v>15404</v>
      </c>
      <c r="C4369" s="12" t="s">
        <v>34</v>
      </c>
      <c r="D4369" s="12" t="s">
        <v>3021</v>
      </c>
      <c r="E4369" s="12" t="s">
        <v>15405</v>
      </c>
      <c r="F4369" s="13">
        <v>85</v>
      </c>
      <c r="G4369" s="12" t="s">
        <v>3023</v>
      </c>
      <c r="H4369" s="12" t="s">
        <v>38</v>
      </c>
      <c r="I4369" s="12" t="s">
        <v>113</v>
      </c>
      <c r="J4369" s="12" t="s">
        <v>114</v>
      </c>
      <c r="K4369" s="12" t="s">
        <v>82</v>
      </c>
      <c r="L4369" s="14"/>
      <c r="M4369" s="12" t="s">
        <v>43</v>
      </c>
      <c r="N4369" s="12" t="s">
        <v>84</v>
      </c>
      <c r="O4369" s="12" t="s">
        <v>15406</v>
      </c>
      <c r="P4369" s="12" t="s">
        <v>46</v>
      </c>
      <c r="Q4369" s="12" t="s">
        <v>47</v>
      </c>
      <c r="R4369" s="12" t="s">
        <v>117</v>
      </c>
      <c r="S4369" s="13">
        <v>197804539154</v>
      </c>
      <c r="T4369" s="12" t="s">
        <v>105</v>
      </c>
      <c r="U4369" s="13">
        <v>41</v>
      </c>
      <c r="V4369" s="12" t="s">
        <v>50</v>
      </c>
      <c r="W4369" s="12" t="s">
        <v>118</v>
      </c>
      <c r="X4369" s="14"/>
      <c r="Y4369" s="14"/>
      <c r="Z4369" s="14"/>
      <c r="AA4369" s="14"/>
      <c r="AB4369" s="14"/>
      <c r="AC4369" s="15">
        <v>43.2</v>
      </c>
      <c r="AD4369" s="15">
        <f>AC4369*AG4369</f>
        <v>43.2</v>
      </c>
      <c r="AE4369" s="15">
        <v>95</v>
      </c>
      <c r="AF4369" s="15">
        <f>AE4369*AG4369</f>
        <v>95</v>
      </c>
      <c r="AG4369" s="16">
        <v>1</v>
      </c>
    </row>
    <row r="4370" spans="1:33" ht="15" customHeight="1" x14ac:dyDescent="0.2">
      <c r="A4370" s="11" t="str">
        <f t="shared" si="1384"/>
        <v>VN000D6W2031</v>
      </c>
      <c r="B4370" s="12" t="s">
        <v>15407</v>
      </c>
      <c r="C4370" s="12" t="s">
        <v>34</v>
      </c>
      <c r="D4370" s="12" t="s">
        <v>3021</v>
      </c>
      <c r="E4370" s="12" t="s">
        <v>15408</v>
      </c>
      <c r="F4370" s="13">
        <v>105</v>
      </c>
      <c r="G4370" s="12" t="s">
        <v>3023</v>
      </c>
      <c r="H4370" s="12" t="s">
        <v>38</v>
      </c>
      <c r="I4370" s="12" t="s">
        <v>113</v>
      </c>
      <c r="J4370" s="12" t="s">
        <v>114</v>
      </c>
      <c r="K4370" s="12" t="s">
        <v>82</v>
      </c>
      <c r="L4370" s="14"/>
      <c r="M4370" s="12" t="s">
        <v>43</v>
      </c>
      <c r="N4370" s="12" t="s">
        <v>84</v>
      </c>
      <c r="O4370" s="12" t="s">
        <v>15409</v>
      </c>
      <c r="P4370" s="12" t="s">
        <v>46</v>
      </c>
      <c r="Q4370" s="12" t="s">
        <v>47</v>
      </c>
      <c r="R4370" s="12" t="s">
        <v>117</v>
      </c>
      <c r="S4370" s="13">
        <v>197804539536</v>
      </c>
      <c r="T4370" s="12" t="s">
        <v>105</v>
      </c>
      <c r="U4370" s="13">
        <v>44</v>
      </c>
      <c r="V4370" s="12" t="s">
        <v>50</v>
      </c>
      <c r="W4370" s="12" t="s">
        <v>118</v>
      </c>
      <c r="X4370" s="14"/>
      <c r="Y4370" s="14"/>
      <c r="Z4370" s="14"/>
      <c r="AA4370" s="14"/>
      <c r="AB4370" s="14"/>
      <c r="AC4370" s="15">
        <v>43.2</v>
      </c>
      <c r="AD4370" s="15">
        <f>AC4370*AG4370</f>
        <v>43.2</v>
      </c>
      <c r="AE4370" s="15">
        <v>95</v>
      </c>
      <c r="AF4370" s="15">
        <f>AE4370*AG4370</f>
        <v>95</v>
      </c>
      <c r="AG4370" s="16">
        <v>1</v>
      </c>
    </row>
    <row r="4371" spans="1:33" ht="15" customHeight="1" x14ac:dyDescent="0.2">
      <c r="A4371" s="11" t="str">
        <f t="shared" si="1384"/>
        <v>VN000D6W2031</v>
      </c>
      <c r="B4371" s="12" t="s">
        <v>15410</v>
      </c>
      <c r="C4371" s="12" t="s">
        <v>34</v>
      </c>
      <c r="D4371" s="12" t="s">
        <v>3021</v>
      </c>
      <c r="E4371" s="12" t="s">
        <v>15411</v>
      </c>
      <c r="F4371" s="13">
        <v>110</v>
      </c>
      <c r="G4371" s="12" t="s">
        <v>3023</v>
      </c>
      <c r="H4371" s="12" t="s">
        <v>38</v>
      </c>
      <c r="I4371" s="12" t="s">
        <v>113</v>
      </c>
      <c r="J4371" s="12" t="s">
        <v>114</v>
      </c>
      <c r="K4371" s="12" t="s">
        <v>82</v>
      </c>
      <c r="L4371" s="14"/>
      <c r="M4371" s="12" t="s">
        <v>43</v>
      </c>
      <c r="N4371" s="12" t="s">
        <v>84</v>
      </c>
      <c r="O4371" s="12" t="s">
        <v>15412</v>
      </c>
      <c r="P4371" s="12" t="s">
        <v>46</v>
      </c>
      <c r="Q4371" s="12" t="s">
        <v>47</v>
      </c>
      <c r="R4371" s="12" t="s">
        <v>117</v>
      </c>
      <c r="S4371" s="13">
        <v>197804539574</v>
      </c>
      <c r="T4371" s="12" t="s">
        <v>105</v>
      </c>
      <c r="U4371" s="13">
        <v>44.5</v>
      </c>
      <c r="V4371" s="12" t="s">
        <v>50</v>
      </c>
      <c r="W4371" s="12" t="s">
        <v>118</v>
      </c>
      <c r="X4371" s="14"/>
      <c r="Y4371" s="14"/>
      <c r="Z4371" s="14"/>
      <c r="AA4371" s="14"/>
      <c r="AB4371" s="14"/>
      <c r="AC4371" s="15">
        <v>43.2</v>
      </c>
      <c r="AD4371" s="15">
        <f>AC4371*AG4371</f>
        <v>43.2</v>
      </c>
      <c r="AE4371" s="15">
        <v>95</v>
      </c>
      <c r="AF4371" s="15">
        <f>AE4371*AG4371</f>
        <v>95</v>
      </c>
      <c r="AG4371" s="16">
        <v>1</v>
      </c>
    </row>
    <row r="4372" spans="1:33" ht="15" customHeight="1" x14ac:dyDescent="0.2">
      <c r="A4372" s="11" t="str">
        <f t="shared" si="1384"/>
        <v>VN000D6W2031</v>
      </c>
      <c r="B4372" s="12" t="s">
        <v>15413</v>
      </c>
      <c r="C4372" s="12" t="s">
        <v>34</v>
      </c>
      <c r="D4372" s="12" t="s">
        <v>3021</v>
      </c>
      <c r="E4372" s="12" t="s">
        <v>15414</v>
      </c>
      <c r="F4372" s="13">
        <v>120</v>
      </c>
      <c r="G4372" s="12" t="s">
        <v>3023</v>
      </c>
      <c r="H4372" s="12" t="s">
        <v>38</v>
      </c>
      <c r="I4372" s="12" t="s">
        <v>113</v>
      </c>
      <c r="J4372" s="12" t="s">
        <v>114</v>
      </c>
      <c r="K4372" s="12" t="s">
        <v>82</v>
      </c>
      <c r="L4372" s="14"/>
      <c r="M4372" s="12" t="s">
        <v>43</v>
      </c>
      <c r="N4372" s="12" t="s">
        <v>84</v>
      </c>
      <c r="O4372" s="12" t="s">
        <v>15415</v>
      </c>
      <c r="P4372" s="12" t="s">
        <v>46</v>
      </c>
      <c r="Q4372" s="12" t="s">
        <v>47</v>
      </c>
      <c r="R4372" s="12" t="s">
        <v>117</v>
      </c>
      <c r="S4372" s="13">
        <v>197804539796</v>
      </c>
      <c r="T4372" s="12" t="s">
        <v>105</v>
      </c>
      <c r="U4372" s="13">
        <v>46</v>
      </c>
      <c r="V4372" s="12" t="s">
        <v>50</v>
      </c>
      <c r="W4372" s="12" t="s">
        <v>118</v>
      </c>
      <c r="X4372" s="14"/>
      <c r="Y4372" s="14"/>
      <c r="Z4372" s="14"/>
      <c r="AA4372" s="14"/>
      <c r="AB4372" s="14"/>
      <c r="AC4372" s="15">
        <v>43.2</v>
      </c>
      <c r="AD4372" s="15">
        <f>AC4372*AG4372</f>
        <v>43.2</v>
      </c>
      <c r="AE4372" s="15">
        <v>95</v>
      </c>
      <c r="AF4372" s="15">
        <f>AE4372*AG4372</f>
        <v>95</v>
      </c>
      <c r="AG4372" s="16">
        <v>1</v>
      </c>
    </row>
    <row r="4373" spans="1:33" ht="15" customHeight="1" x14ac:dyDescent="0.2">
      <c r="A4373" s="11" t="str">
        <f t="shared" si="1075"/>
        <v>VN000D6W7D61</v>
      </c>
      <c r="B4373" s="12" t="s">
        <v>15416</v>
      </c>
      <c r="C4373" s="12" t="s">
        <v>34</v>
      </c>
      <c r="D4373" s="12" t="s">
        <v>1231</v>
      </c>
      <c r="E4373" s="12" t="s">
        <v>15417</v>
      </c>
      <c r="F4373" s="13">
        <v>50</v>
      </c>
      <c r="G4373" s="12" t="s">
        <v>3002</v>
      </c>
      <c r="H4373" s="12" t="s">
        <v>38</v>
      </c>
      <c r="I4373" s="12" t="s">
        <v>113</v>
      </c>
      <c r="J4373" s="12" t="s">
        <v>114</v>
      </c>
      <c r="K4373" s="12" t="s">
        <v>82</v>
      </c>
      <c r="L4373" s="14"/>
      <c r="M4373" s="12" t="s">
        <v>43</v>
      </c>
      <c r="N4373" s="12" t="s">
        <v>84</v>
      </c>
      <c r="O4373" s="12" t="s">
        <v>15418</v>
      </c>
      <c r="P4373" s="12" t="s">
        <v>46</v>
      </c>
      <c r="Q4373" s="12" t="s">
        <v>47</v>
      </c>
      <c r="R4373" s="12" t="s">
        <v>117</v>
      </c>
      <c r="S4373" s="13">
        <v>197804539338</v>
      </c>
      <c r="T4373" s="12" t="s">
        <v>49</v>
      </c>
      <c r="U4373" s="13">
        <v>36.5</v>
      </c>
      <c r="V4373" s="12" t="s">
        <v>50</v>
      </c>
      <c r="W4373" s="12" t="s">
        <v>186</v>
      </c>
      <c r="X4373" s="14"/>
      <c r="Y4373" s="14"/>
      <c r="Z4373" s="14"/>
      <c r="AA4373" s="14"/>
      <c r="AB4373" s="14"/>
      <c r="AC4373" s="15">
        <v>38.65</v>
      </c>
      <c r="AD4373" s="15">
        <f>AC4373*AG4373</f>
        <v>38.65</v>
      </c>
      <c r="AE4373" s="15">
        <v>85</v>
      </c>
      <c r="AF4373" s="15">
        <f>AE4373*AG4373</f>
        <v>85</v>
      </c>
      <c r="AG4373" s="16">
        <v>1</v>
      </c>
    </row>
    <row r="4374" spans="1:33" ht="15" customHeight="1" x14ac:dyDescent="0.2">
      <c r="A4374" s="11" t="str">
        <f>HYPERLINK("https://assets.vans.eu/images/VN000D6W7WM-HERO/1","VN000D6W7WM1")</f>
        <v>VN000D6W7WM1</v>
      </c>
      <c r="B4374" s="12" t="s">
        <v>15419</v>
      </c>
      <c r="C4374" s="12" t="s">
        <v>34</v>
      </c>
      <c r="D4374" s="12" t="s">
        <v>388</v>
      </c>
      <c r="E4374" s="12" t="s">
        <v>15420</v>
      </c>
      <c r="F4374" s="13">
        <v>40</v>
      </c>
      <c r="G4374" s="12" t="s">
        <v>2814</v>
      </c>
      <c r="H4374" s="12" t="s">
        <v>38</v>
      </c>
      <c r="I4374" s="12" t="s">
        <v>113</v>
      </c>
      <c r="J4374" s="12" t="s">
        <v>114</v>
      </c>
      <c r="K4374" s="12" t="s">
        <v>82</v>
      </c>
      <c r="L4374" s="14"/>
      <c r="M4374" s="12" t="s">
        <v>43</v>
      </c>
      <c r="N4374" s="12" t="s">
        <v>84</v>
      </c>
      <c r="O4374" s="12" t="s">
        <v>15421</v>
      </c>
      <c r="P4374" s="12" t="s">
        <v>46</v>
      </c>
      <c r="Q4374" s="12" t="s">
        <v>47</v>
      </c>
      <c r="R4374" s="12" t="s">
        <v>117</v>
      </c>
      <c r="S4374" s="13">
        <v>197804539215</v>
      </c>
      <c r="T4374" s="12" t="s">
        <v>105</v>
      </c>
      <c r="U4374" s="13">
        <v>35</v>
      </c>
      <c r="V4374" s="12" t="s">
        <v>50</v>
      </c>
      <c r="W4374" s="12" t="s">
        <v>284</v>
      </c>
      <c r="X4374" s="14"/>
      <c r="Y4374" s="14"/>
      <c r="Z4374" s="14"/>
      <c r="AA4374" s="14"/>
      <c r="AB4374" s="14"/>
      <c r="AC4374" s="15">
        <v>43.2</v>
      </c>
      <c r="AD4374" s="15">
        <f>AC4374*AG4374</f>
        <v>43.2</v>
      </c>
      <c r="AE4374" s="15">
        <v>95</v>
      </c>
      <c r="AF4374" s="15">
        <f>AE4374*AG4374</f>
        <v>95</v>
      </c>
      <c r="AG4374" s="16">
        <v>1</v>
      </c>
    </row>
    <row r="4375" spans="1:33" ht="15" customHeight="1" x14ac:dyDescent="0.2">
      <c r="A4375" s="11" t="str">
        <f t="shared" ref="A4375:A4376" si="1385">HYPERLINK("https://assets.vans.eu/images/VN000D6WBOM-HERO/1","VN000D6WBOM1")</f>
        <v>VN000D6WBOM1</v>
      </c>
      <c r="B4375" s="12" t="s">
        <v>15422</v>
      </c>
      <c r="C4375" s="12" t="s">
        <v>34</v>
      </c>
      <c r="D4375" s="12" t="s">
        <v>15423</v>
      </c>
      <c r="E4375" s="12" t="s">
        <v>15424</v>
      </c>
      <c r="F4375" s="13">
        <v>50</v>
      </c>
      <c r="G4375" s="14"/>
      <c r="H4375" s="12" t="s">
        <v>38</v>
      </c>
      <c r="I4375" s="12" t="s">
        <v>113</v>
      </c>
      <c r="J4375" s="12" t="s">
        <v>114</v>
      </c>
      <c r="K4375" s="12" t="s">
        <v>82</v>
      </c>
      <c r="L4375" s="14"/>
      <c r="M4375" s="12" t="s">
        <v>43</v>
      </c>
      <c r="N4375" s="12" t="s">
        <v>84</v>
      </c>
      <c r="O4375" s="12" t="s">
        <v>15425</v>
      </c>
      <c r="P4375" s="12" t="s">
        <v>46</v>
      </c>
      <c r="Q4375" s="12" t="s">
        <v>47</v>
      </c>
      <c r="R4375" s="12" t="s">
        <v>117</v>
      </c>
      <c r="S4375" s="13">
        <v>197804539826</v>
      </c>
      <c r="T4375" s="12" t="s">
        <v>105</v>
      </c>
      <c r="U4375" s="13">
        <v>36.5</v>
      </c>
      <c r="V4375" s="12" t="s">
        <v>50</v>
      </c>
      <c r="W4375" s="12" t="s">
        <v>118</v>
      </c>
      <c r="X4375" s="14"/>
      <c r="Y4375" s="14"/>
      <c r="Z4375" s="14"/>
      <c r="AA4375" s="14"/>
      <c r="AB4375" s="14"/>
      <c r="AC4375" s="15">
        <v>40.950000000000003</v>
      </c>
      <c r="AD4375" s="15">
        <f>AC4375*AG4375</f>
        <v>40.950000000000003</v>
      </c>
      <c r="AE4375" s="15">
        <v>90</v>
      </c>
      <c r="AF4375" s="15">
        <f>AE4375*AG4375</f>
        <v>90</v>
      </c>
      <c r="AG4375" s="16">
        <v>1</v>
      </c>
    </row>
    <row r="4376" spans="1:33" ht="15" customHeight="1" x14ac:dyDescent="0.2">
      <c r="A4376" s="11" t="str">
        <f t="shared" si="1385"/>
        <v>VN000D6WBOM1</v>
      </c>
      <c r="B4376" s="12" t="s">
        <v>15426</v>
      </c>
      <c r="C4376" s="12" t="s">
        <v>34</v>
      </c>
      <c r="D4376" s="12" t="s">
        <v>15423</v>
      </c>
      <c r="E4376" s="12" t="s">
        <v>15427</v>
      </c>
      <c r="F4376" s="13">
        <v>60</v>
      </c>
      <c r="G4376" s="14"/>
      <c r="H4376" s="12" t="s">
        <v>38</v>
      </c>
      <c r="I4376" s="12" t="s">
        <v>113</v>
      </c>
      <c r="J4376" s="12" t="s">
        <v>114</v>
      </c>
      <c r="K4376" s="12" t="s">
        <v>82</v>
      </c>
      <c r="L4376" s="14"/>
      <c r="M4376" s="12" t="s">
        <v>43</v>
      </c>
      <c r="N4376" s="12" t="s">
        <v>84</v>
      </c>
      <c r="O4376" s="12" t="s">
        <v>15428</v>
      </c>
      <c r="P4376" s="12" t="s">
        <v>46</v>
      </c>
      <c r="Q4376" s="12" t="s">
        <v>47</v>
      </c>
      <c r="R4376" s="12" t="s">
        <v>117</v>
      </c>
      <c r="S4376" s="13">
        <v>197804539956</v>
      </c>
      <c r="T4376" s="12" t="s">
        <v>105</v>
      </c>
      <c r="U4376" s="13">
        <v>38</v>
      </c>
      <c r="V4376" s="12" t="s">
        <v>50</v>
      </c>
      <c r="W4376" s="12" t="s">
        <v>118</v>
      </c>
      <c r="X4376" s="14"/>
      <c r="Y4376" s="14"/>
      <c r="Z4376" s="14"/>
      <c r="AA4376" s="14"/>
      <c r="AB4376" s="14"/>
      <c r="AC4376" s="15">
        <v>40.950000000000003</v>
      </c>
      <c r="AD4376" s="15">
        <f>AC4376*AG4376</f>
        <v>40.950000000000003</v>
      </c>
      <c r="AE4376" s="15">
        <v>90</v>
      </c>
      <c r="AF4376" s="15">
        <f>AE4376*AG4376</f>
        <v>90</v>
      </c>
      <c r="AG4376" s="16">
        <v>1</v>
      </c>
    </row>
    <row r="4377" spans="1:33" ht="15" customHeight="1" x14ac:dyDescent="0.2">
      <c r="A4377" s="11" t="str">
        <f t="shared" ref="A4377:A4378" si="1386">HYPERLINK("https://assets.vans.eu/images/VN000D6WEMG-HERO/1","VN000D6WEMG1")</f>
        <v>VN000D6WEMG1</v>
      </c>
      <c r="B4377" s="12" t="s">
        <v>15429</v>
      </c>
      <c r="C4377" s="12" t="s">
        <v>34</v>
      </c>
      <c r="D4377" s="12" t="s">
        <v>2807</v>
      </c>
      <c r="E4377" s="12" t="s">
        <v>15430</v>
      </c>
      <c r="F4377" s="13">
        <v>50</v>
      </c>
      <c r="G4377" s="12" t="s">
        <v>2809</v>
      </c>
      <c r="H4377" s="12" t="s">
        <v>38</v>
      </c>
      <c r="I4377" s="12" t="s">
        <v>113</v>
      </c>
      <c r="J4377" s="12" t="s">
        <v>114</v>
      </c>
      <c r="K4377" s="12" t="s">
        <v>82</v>
      </c>
      <c r="L4377" s="14"/>
      <c r="M4377" s="12" t="s">
        <v>43</v>
      </c>
      <c r="N4377" s="12" t="s">
        <v>84</v>
      </c>
      <c r="O4377" s="12" t="s">
        <v>15431</v>
      </c>
      <c r="P4377" s="12" t="s">
        <v>46</v>
      </c>
      <c r="Q4377" s="12" t="s">
        <v>47</v>
      </c>
      <c r="R4377" s="12" t="s">
        <v>117</v>
      </c>
      <c r="S4377" s="13">
        <v>197804539963</v>
      </c>
      <c r="T4377" s="12" t="s">
        <v>164</v>
      </c>
      <c r="U4377" s="13">
        <v>36.5</v>
      </c>
      <c r="V4377" s="12" t="s">
        <v>50</v>
      </c>
      <c r="W4377" s="12" t="s">
        <v>284</v>
      </c>
      <c r="X4377" s="14"/>
      <c r="Y4377" s="14"/>
      <c r="Z4377" s="14"/>
      <c r="AA4377" s="14"/>
      <c r="AB4377" s="14"/>
      <c r="AC4377" s="15">
        <v>38.65</v>
      </c>
      <c r="AD4377" s="15">
        <f>AC4377*AG4377</f>
        <v>38.65</v>
      </c>
      <c r="AE4377" s="15">
        <v>85</v>
      </c>
      <c r="AF4377" s="15">
        <f>AE4377*AG4377</f>
        <v>85</v>
      </c>
      <c r="AG4377" s="16">
        <v>1</v>
      </c>
    </row>
    <row r="4378" spans="1:33" ht="15" customHeight="1" x14ac:dyDescent="0.2">
      <c r="A4378" s="11" t="str">
        <f t="shared" si="1386"/>
        <v>VN000D6WEMG1</v>
      </c>
      <c r="B4378" s="12" t="s">
        <v>15432</v>
      </c>
      <c r="C4378" s="12" t="s">
        <v>34</v>
      </c>
      <c r="D4378" s="12" t="s">
        <v>2807</v>
      </c>
      <c r="E4378" s="12" t="s">
        <v>15433</v>
      </c>
      <c r="F4378" s="13">
        <v>55</v>
      </c>
      <c r="G4378" s="12" t="s">
        <v>2809</v>
      </c>
      <c r="H4378" s="12" t="s">
        <v>38</v>
      </c>
      <c r="I4378" s="12" t="s">
        <v>113</v>
      </c>
      <c r="J4378" s="12" t="s">
        <v>114</v>
      </c>
      <c r="K4378" s="12" t="s">
        <v>82</v>
      </c>
      <c r="L4378" s="14"/>
      <c r="M4378" s="12" t="s">
        <v>43</v>
      </c>
      <c r="N4378" s="12" t="s">
        <v>84</v>
      </c>
      <c r="O4378" s="12" t="s">
        <v>15434</v>
      </c>
      <c r="P4378" s="12" t="s">
        <v>46</v>
      </c>
      <c r="Q4378" s="12" t="s">
        <v>47</v>
      </c>
      <c r="R4378" s="12" t="s">
        <v>117</v>
      </c>
      <c r="S4378" s="13">
        <v>197804540242</v>
      </c>
      <c r="T4378" s="12" t="s">
        <v>164</v>
      </c>
      <c r="U4378" s="13">
        <v>37</v>
      </c>
      <c r="V4378" s="12" t="s">
        <v>50</v>
      </c>
      <c r="W4378" s="12" t="s">
        <v>284</v>
      </c>
      <c r="X4378" s="14"/>
      <c r="Y4378" s="14"/>
      <c r="Z4378" s="14"/>
      <c r="AA4378" s="14"/>
      <c r="AB4378" s="14"/>
      <c r="AC4378" s="15">
        <v>38.65</v>
      </c>
      <c r="AD4378" s="15">
        <f>AC4378*AG4378</f>
        <v>38.65</v>
      </c>
      <c r="AE4378" s="15">
        <v>85</v>
      </c>
      <c r="AF4378" s="15">
        <f>AE4378*AG4378</f>
        <v>85</v>
      </c>
      <c r="AG4378" s="16">
        <v>1</v>
      </c>
    </row>
    <row r="4379" spans="1:33" ht="15" customHeight="1" x14ac:dyDescent="0.2">
      <c r="A4379" s="11" t="str">
        <f>HYPERLINK("https://assets.vans.eu/images/VN000D6WEMG-HERO/1","VN000D6WEMG1")</f>
        <v>VN000D6WEMG1</v>
      </c>
      <c r="B4379" s="12" t="s">
        <v>15435</v>
      </c>
      <c r="C4379" s="12" t="s">
        <v>34</v>
      </c>
      <c r="D4379" s="12" t="s">
        <v>2807</v>
      </c>
      <c r="E4379" s="12" t="s">
        <v>15436</v>
      </c>
      <c r="F4379" s="13">
        <v>95</v>
      </c>
      <c r="G4379" s="12" t="s">
        <v>2809</v>
      </c>
      <c r="H4379" s="12" t="s">
        <v>38</v>
      </c>
      <c r="I4379" s="12" t="s">
        <v>113</v>
      </c>
      <c r="J4379" s="12" t="s">
        <v>114</v>
      </c>
      <c r="K4379" s="12" t="s">
        <v>82</v>
      </c>
      <c r="L4379" s="14"/>
      <c r="M4379" s="12" t="s">
        <v>43</v>
      </c>
      <c r="N4379" s="12" t="s">
        <v>84</v>
      </c>
      <c r="O4379" s="12" t="s">
        <v>15437</v>
      </c>
      <c r="P4379" s="12" t="s">
        <v>46</v>
      </c>
      <c r="Q4379" s="12" t="s">
        <v>47</v>
      </c>
      <c r="R4379" s="12" t="s">
        <v>117</v>
      </c>
      <c r="S4379" s="13">
        <v>197804541478</v>
      </c>
      <c r="T4379" s="12" t="s">
        <v>164</v>
      </c>
      <c r="U4379" s="13">
        <v>42.5</v>
      </c>
      <c r="V4379" s="12" t="s">
        <v>50</v>
      </c>
      <c r="W4379" s="12" t="s">
        <v>284</v>
      </c>
      <c r="X4379" s="14"/>
      <c r="Y4379" s="14"/>
      <c r="Z4379" s="14"/>
      <c r="AA4379" s="14"/>
      <c r="AB4379" s="14"/>
      <c r="AC4379" s="15">
        <v>38.65</v>
      </c>
      <c r="AD4379" s="15">
        <f>AC4379*AG4379</f>
        <v>38.65</v>
      </c>
      <c r="AE4379" s="15">
        <v>85</v>
      </c>
      <c r="AF4379" s="15">
        <f>AE4379*AG4379</f>
        <v>85</v>
      </c>
      <c r="AG4379" s="16">
        <v>1</v>
      </c>
    </row>
    <row r="4380" spans="1:33" ht="15" customHeight="1" x14ac:dyDescent="0.2">
      <c r="A4380" s="11" t="str">
        <f t="shared" ref="A4380:A4387" si="1387">HYPERLINK("https://assets.vans.eu/images/VN000D6WEMW-HERO/1","VN000D6WEMW1")</f>
        <v>VN000D6WEMW1</v>
      </c>
      <c r="B4380" s="12" t="s">
        <v>15438</v>
      </c>
      <c r="C4380" s="12" t="s">
        <v>34</v>
      </c>
      <c r="D4380" s="12" t="s">
        <v>147</v>
      </c>
      <c r="E4380" s="12" t="s">
        <v>15439</v>
      </c>
      <c r="F4380" s="13">
        <v>40</v>
      </c>
      <c r="G4380" s="14"/>
      <c r="H4380" s="12" t="s">
        <v>38</v>
      </c>
      <c r="I4380" s="12" t="s">
        <v>113</v>
      </c>
      <c r="J4380" s="12" t="s">
        <v>114</v>
      </c>
      <c r="K4380" s="12" t="s">
        <v>82</v>
      </c>
      <c r="L4380" s="14"/>
      <c r="M4380" s="12" t="s">
        <v>43</v>
      </c>
      <c r="N4380" s="12" t="s">
        <v>84</v>
      </c>
      <c r="O4380" s="12" t="s">
        <v>15440</v>
      </c>
      <c r="P4380" s="12" t="s">
        <v>46</v>
      </c>
      <c r="Q4380" s="12" t="s">
        <v>47</v>
      </c>
      <c r="R4380" s="12" t="s">
        <v>117</v>
      </c>
      <c r="S4380" s="13">
        <v>197804539918</v>
      </c>
      <c r="T4380" s="12" t="s">
        <v>49</v>
      </c>
      <c r="U4380" s="13">
        <v>35</v>
      </c>
      <c r="V4380" s="12" t="s">
        <v>50</v>
      </c>
      <c r="W4380" s="12" t="s">
        <v>118</v>
      </c>
      <c r="X4380" s="14"/>
      <c r="Y4380" s="14"/>
      <c r="Z4380" s="14"/>
      <c r="AA4380" s="14"/>
      <c r="AB4380" s="14"/>
      <c r="AC4380" s="15">
        <v>38.65</v>
      </c>
      <c r="AD4380" s="15">
        <f>AC4380*AG4380</f>
        <v>38.65</v>
      </c>
      <c r="AE4380" s="15">
        <v>85</v>
      </c>
      <c r="AF4380" s="15">
        <f>AE4380*AG4380</f>
        <v>85</v>
      </c>
      <c r="AG4380" s="16">
        <v>1</v>
      </c>
    </row>
    <row r="4381" spans="1:33" ht="15" customHeight="1" x14ac:dyDescent="0.2">
      <c r="A4381" s="11" t="str">
        <f t="shared" si="1387"/>
        <v>VN000D6WEMW1</v>
      </c>
      <c r="B4381" s="12" t="s">
        <v>15441</v>
      </c>
      <c r="C4381" s="12" t="s">
        <v>34</v>
      </c>
      <c r="D4381" s="12" t="s">
        <v>147</v>
      </c>
      <c r="E4381" s="12" t="s">
        <v>15442</v>
      </c>
      <c r="F4381" s="13">
        <v>55</v>
      </c>
      <c r="G4381" s="14"/>
      <c r="H4381" s="12" t="s">
        <v>38</v>
      </c>
      <c r="I4381" s="12" t="s">
        <v>113</v>
      </c>
      <c r="J4381" s="12" t="s">
        <v>114</v>
      </c>
      <c r="K4381" s="12" t="s">
        <v>82</v>
      </c>
      <c r="L4381" s="14"/>
      <c r="M4381" s="12" t="s">
        <v>43</v>
      </c>
      <c r="N4381" s="12" t="s">
        <v>84</v>
      </c>
      <c r="O4381" s="12" t="s">
        <v>15443</v>
      </c>
      <c r="P4381" s="12" t="s">
        <v>46</v>
      </c>
      <c r="Q4381" s="12" t="s">
        <v>47</v>
      </c>
      <c r="R4381" s="12" t="s">
        <v>117</v>
      </c>
      <c r="S4381" s="13">
        <v>197804540365</v>
      </c>
      <c r="T4381" s="12" t="s">
        <v>49</v>
      </c>
      <c r="U4381" s="13">
        <v>37</v>
      </c>
      <c r="V4381" s="12" t="s">
        <v>50</v>
      </c>
      <c r="W4381" s="12" t="s">
        <v>118</v>
      </c>
      <c r="X4381" s="14"/>
      <c r="Y4381" s="14"/>
      <c r="Z4381" s="14"/>
      <c r="AA4381" s="14"/>
      <c r="AB4381" s="14"/>
      <c r="AC4381" s="15">
        <v>38.65</v>
      </c>
      <c r="AD4381" s="15">
        <f>AC4381*AG4381</f>
        <v>38.65</v>
      </c>
      <c r="AE4381" s="15">
        <v>85</v>
      </c>
      <c r="AF4381" s="15">
        <f>AE4381*AG4381</f>
        <v>85</v>
      </c>
      <c r="AG4381" s="16">
        <v>1</v>
      </c>
    </row>
    <row r="4382" spans="1:33" ht="15" customHeight="1" x14ac:dyDescent="0.2">
      <c r="A4382" s="11" t="str">
        <f t="shared" si="1387"/>
        <v>VN000D6WEMW1</v>
      </c>
      <c r="B4382" s="12" t="s">
        <v>15444</v>
      </c>
      <c r="C4382" s="12" t="s">
        <v>34</v>
      </c>
      <c r="D4382" s="12" t="s">
        <v>147</v>
      </c>
      <c r="E4382" s="12" t="s">
        <v>15445</v>
      </c>
      <c r="F4382" s="13">
        <v>60</v>
      </c>
      <c r="G4382" s="14"/>
      <c r="H4382" s="12" t="s">
        <v>38</v>
      </c>
      <c r="I4382" s="12" t="s">
        <v>113</v>
      </c>
      <c r="J4382" s="12" t="s">
        <v>114</v>
      </c>
      <c r="K4382" s="12" t="s">
        <v>82</v>
      </c>
      <c r="L4382" s="14"/>
      <c r="M4382" s="12" t="s">
        <v>43</v>
      </c>
      <c r="N4382" s="12" t="s">
        <v>84</v>
      </c>
      <c r="O4382" s="12" t="s">
        <v>15446</v>
      </c>
      <c r="P4382" s="12" t="s">
        <v>46</v>
      </c>
      <c r="Q4382" s="12" t="s">
        <v>47</v>
      </c>
      <c r="R4382" s="12" t="s">
        <v>117</v>
      </c>
      <c r="S4382" s="13">
        <v>197804540549</v>
      </c>
      <c r="T4382" s="12" t="s">
        <v>49</v>
      </c>
      <c r="U4382" s="13">
        <v>38</v>
      </c>
      <c r="V4382" s="12" t="s">
        <v>50</v>
      </c>
      <c r="W4382" s="12" t="s">
        <v>118</v>
      </c>
      <c r="X4382" s="14"/>
      <c r="Y4382" s="14"/>
      <c r="Z4382" s="14"/>
      <c r="AA4382" s="14"/>
      <c r="AB4382" s="14"/>
      <c r="AC4382" s="15">
        <v>38.65</v>
      </c>
      <c r="AD4382" s="15">
        <f>AC4382*AG4382</f>
        <v>38.65</v>
      </c>
      <c r="AE4382" s="15">
        <v>85</v>
      </c>
      <c r="AF4382" s="15">
        <f>AE4382*AG4382</f>
        <v>85</v>
      </c>
      <c r="AG4382" s="16">
        <v>1</v>
      </c>
    </row>
    <row r="4383" spans="1:33" ht="15" customHeight="1" x14ac:dyDescent="0.2">
      <c r="A4383" s="11" t="str">
        <f t="shared" si="1387"/>
        <v>VN000D6WEMW1</v>
      </c>
      <c r="B4383" s="12" t="s">
        <v>15447</v>
      </c>
      <c r="C4383" s="12" t="s">
        <v>34</v>
      </c>
      <c r="D4383" s="12" t="s">
        <v>147</v>
      </c>
      <c r="E4383" s="12" t="s">
        <v>15448</v>
      </c>
      <c r="F4383" s="13">
        <v>70</v>
      </c>
      <c r="G4383" s="14"/>
      <c r="H4383" s="12" t="s">
        <v>38</v>
      </c>
      <c r="I4383" s="12" t="s">
        <v>113</v>
      </c>
      <c r="J4383" s="12" t="s">
        <v>114</v>
      </c>
      <c r="K4383" s="12" t="s">
        <v>82</v>
      </c>
      <c r="L4383" s="14"/>
      <c r="M4383" s="12" t="s">
        <v>43</v>
      </c>
      <c r="N4383" s="12" t="s">
        <v>84</v>
      </c>
      <c r="O4383" s="12" t="s">
        <v>15449</v>
      </c>
      <c r="P4383" s="12" t="s">
        <v>46</v>
      </c>
      <c r="Q4383" s="12" t="s">
        <v>47</v>
      </c>
      <c r="R4383" s="12" t="s">
        <v>117</v>
      </c>
      <c r="S4383" s="13">
        <v>197804540846</v>
      </c>
      <c r="T4383" s="12" t="s">
        <v>49</v>
      </c>
      <c r="U4383" s="13">
        <v>39</v>
      </c>
      <c r="V4383" s="12" t="s">
        <v>50</v>
      </c>
      <c r="W4383" s="12" t="s">
        <v>118</v>
      </c>
      <c r="X4383" s="14"/>
      <c r="Y4383" s="14"/>
      <c r="Z4383" s="14"/>
      <c r="AA4383" s="14"/>
      <c r="AB4383" s="14"/>
      <c r="AC4383" s="15">
        <v>38.65</v>
      </c>
      <c r="AD4383" s="15">
        <f>AC4383*AG4383</f>
        <v>38.65</v>
      </c>
      <c r="AE4383" s="15">
        <v>85</v>
      </c>
      <c r="AF4383" s="15">
        <f>AE4383*AG4383</f>
        <v>85</v>
      </c>
      <c r="AG4383" s="16">
        <v>1</v>
      </c>
    </row>
    <row r="4384" spans="1:33" ht="15" customHeight="1" x14ac:dyDescent="0.2">
      <c r="A4384" s="11" t="str">
        <f t="shared" si="1387"/>
        <v>VN000D6WEMW1</v>
      </c>
      <c r="B4384" s="12" t="s">
        <v>15450</v>
      </c>
      <c r="C4384" s="12" t="s">
        <v>34</v>
      </c>
      <c r="D4384" s="12" t="s">
        <v>147</v>
      </c>
      <c r="E4384" s="12" t="s">
        <v>15451</v>
      </c>
      <c r="F4384" s="13">
        <v>80</v>
      </c>
      <c r="G4384" s="14"/>
      <c r="H4384" s="12" t="s">
        <v>38</v>
      </c>
      <c r="I4384" s="12" t="s">
        <v>113</v>
      </c>
      <c r="J4384" s="12" t="s">
        <v>114</v>
      </c>
      <c r="K4384" s="12" t="s">
        <v>82</v>
      </c>
      <c r="L4384" s="14"/>
      <c r="M4384" s="12" t="s">
        <v>43</v>
      </c>
      <c r="N4384" s="12" t="s">
        <v>84</v>
      </c>
      <c r="O4384" s="12" t="s">
        <v>15452</v>
      </c>
      <c r="P4384" s="12" t="s">
        <v>46</v>
      </c>
      <c r="Q4384" s="12" t="s">
        <v>47</v>
      </c>
      <c r="R4384" s="12" t="s">
        <v>117</v>
      </c>
      <c r="S4384" s="13">
        <v>197804541256</v>
      </c>
      <c r="T4384" s="12" t="s">
        <v>49</v>
      </c>
      <c r="U4384" s="13">
        <v>40.5</v>
      </c>
      <c r="V4384" s="12" t="s">
        <v>50</v>
      </c>
      <c r="W4384" s="12" t="s">
        <v>118</v>
      </c>
      <c r="X4384" s="14"/>
      <c r="Y4384" s="14"/>
      <c r="Z4384" s="14"/>
      <c r="AA4384" s="14"/>
      <c r="AB4384" s="14"/>
      <c r="AC4384" s="15">
        <v>38.65</v>
      </c>
      <c r="AD4384" s="15">
        <f>AC4384*AG4384</f>
        <v>38.65</v>
      </c>
      <c r="AE4384" s="15">
        <v>85</v>
      </c>
      <c r="AF4384" s="15">
        <f>AE4384*AG4384</f>
        <v>85</v>
      </c>
      <c r="AG4384" s="16">
        <v>1</v>
      </c>
    </row>
    <row r="4385" spans="1:33" ht="15" customHeight="1" x14ac:dyDescent="0.2">
      <c r="A4385" s="11" t="str">
        <f t="shared" si="1387"/>
        <v>VN000D6WEMW1</v>
      </c>
      <c r="B4385" s="12" t="s">
        <v>15453</v>
      </c>
      <c r="C4385" s="12" t="s">
        <v>34</v>
      </c>
      <c r="D4385" s="12" t="s">
        <v>147</v>
      </c>
      <c r="E4385" s="12" t="s">
        <v>15454</v>
      </c>
      <c r="F4385" s="13">
        <v>85</v>
      </c>
      <c r="G4385" s="14"/>
      <c r="H4385" s="12" t="s">
        <v>38</v>
      </c>
      <c r="I4385" s="12" t="s">
        <v>113</v>
      </c>
      <c r="J4385" s="12" t="s">
        <v>114</v>
      </c>
      <c r="K4385" s="12" t="s">
        <v>82</v>
      </c>
      <c r="L4385" s="14"/>
      <c r="M4385" s="12" t="s">
        <v>43</v>
      </c>
      <c r="N4385" s="12" t="s">
        <v>84</v>
      </c>
      <c r="O4385" s="12" t="s">
        <v>15455</v>
      </c>
      <c r="P4385" s="12" t="s">
        <v>46</v>
      </c>
      <c r="Q4385" s="12" t="s">
        <v>47</v>
      </c>
      <c r="R4385" s="12" t="s">
        <v>117</v>
      </c>
      <c r="S4385" s="13">
        <v>197804541454</v>
      </c>
      <c r="T4385" s="12" t="s">
        <v>49</v>
      </c>
      <c r="U4385" s="13">
        <v>41</v>
      </c>
      <c r="V4385" s="12" t="s">
        <v>50</v>
      </c>
      <c r="W4385" s="12" t="s">
        <v>118</v>
      </c>
      <c r="X4385" s="14"/>
      <c r="Y4385" s="14"/>
      <c r="Z4385" s="14"/>
      <c r="AA4385" s="14"/>
      <c r="AB4385" s="14"/>
      <c r="AC4385" s="15">
        <v>38.65</v>
      </c>
      <c r="AD4385" s="15">
        <f>AC4385*AG4385</f>
        <v>38.65</v>
      </c>
      <c r="AE4385" s="15">
        <v>85</v>
      </c>
      <c r="AF4385" s="15">
        <f>AE4385*AG4385</f>
        <v>85</v>
      </c>
      <c r="AG4385" s="16">
        <v>1</v>
      </c>
    </row>
    <row r="4386" spans="1:33" ht="15" customHeight="1" x14ac:dyDescent="0.2">
      <c r="A4386" s="11" t="str">
        <f t="shared" si="1387"/>
        <v>VN000D6WEMW1</v>
      </c>
      <c r="B4386" s="12" t="s">
        <v>15456</v>
      </c>
      <c r="C4386" s="12" t="s">
        <v>34</v>
      </c>
      <c r="D4386" s="12" t="s">
        <v>147</v>
      </c>
      <c r="E4386" s="12" t="s">
        <v>15457</v>
      </c>
      <c r="F4386" s="13">
        <v>105</v>
      </c>
      <c r="G4386" s="14"/>
      <c r="H4386" s="12" t="s">
        <v>38</v>
      </c>
      <c r="I4386" s="12" t="s">
        <v>113</v>
      </c>
      <c r="J4386" s="12" t="s">
        <v>114</v>
      </c>
      <c r="K4386" s="12" t="s">
        <v>82</v>
      </c>
      <c r="L4386" s="14"/>
      <c r="M4386" s="12" t="s">
        <v>43</v>
      </c>
      <c r="N4386" s="12" t="s">
        <v>84</v>
      </c>
      <c r="O4386" s="12" t="s">
        <v>15458</v>
      </c>
      <c r="P4386" s="12" t="s">
        <v>46</v>
      </c>
      <c r="Q4386" s="12" t="s">
        <v>47</v>
      </c>
      <c r="R4386" s="12" t="s">
        <v>117</v>
      </c>
      <c r="S4386" s="13">
        <v>197804542055</v>
      </c>
      <c r="T4386" s="12" t="s">
        <v>49</v>
      </c>
      <c r="U4386" s="13">
        <v>44</v>
      </c>
      <c r="V4386" s="12" t="s">
        <v>50</v>
      </c>
      <c r="W4386" s="12" t="s">
        <v>118</v>
      </c>
      <c r="X4386" s="14"/>
      <c r="Y4386" s="14"/>
      <c r="Z4386" s="14"/>
      <c r="AA4386" s="14"/>
      <c r="AB4386" s="14"/>
      <c r="AC4386" s="15">
        <v>38.65</v>
      </c>
      <c r="AD4386" s="15">
        <f>AC4386*AG4386</f>
        <v>38.65</v>
      </c>
      <c r="AE4386" s="15">
        <v>85</v>
      </c>
      <c r="AF4386" s="15">
        <f>AE4386*AG4386</f>
        <v>85</v>
      </c>
      <c r="AG4386" s="16">
        <v>1</v>
      </c>
    </row>
    <row r="4387" spans="1:33" ht="15" customHeight="1" x14ac:dyDescent="0.2">
      <c r="A4387" s="11" t="str">
        <f t="shared" si="1387"/>
        <v>VN000D6WEMW1</v>
      </c>
      <c r="B4387" s="12" t="s">
        <v>15459</v>
      </c>
      <c r="C4387" s="12" t="s">
        <v>34</v>
      </c>
      <c r="D4387" s="12" t="s">
        <v>147</v>
      </c>
      <c r="E4387" s="12" t="s">
        <v>15460</v>
      </c>
      <c r="F4387" s="13">
        <v>110</v>
      </c>
      <c r="G4387" s="14"/>
      <c r="H4387" s="12" t="s">
        <v>38</v>
      </c>
      <c r="I4387" s="12" t="s">
        <v>113</v>
      </c>
      <c r="J4387" s="12" t="s">
        <v>114</v>
      </c>
      <c r="K4387" s="12" t="s">
        <v>82</v>
      </c>
      <c r="L4387" s="14"/>
      <c r="M4387" s="12" t="s">
        <v>43</v>
      </c>
      <c r="N4387" s="12" t="s">
        <v>84</v>
      </c>
      <c r="O4387" s="12" t="s">
        <v>15461</v>
      </c>
      <c r="P4387" s="12" t="s">
        <v>46</v>
      </c>
      <c r="Q4387" s="12" t="s">
        <v>47</v>
      </c>
      <c r="R4387" s="12" t="s">
        <v>117</v>
      </c>
      <c r="S4387" s="13">
        <v>197804542239</v>
      </c>
      <c r="T4387" s="12" t="s">
        <v>49</v>
      </c>
      <c r="U4387" s="13">
        <v>44.5</v>
      </c>
      <c r="V4387" s="12" t="s">
        <v>50</v>
      </c>
      <c r="W4387" s="12" t="s">
        <v>118</v>
      </c>
      <c r="X4387" s="14"/>
      <c r="Y4387" s="14"/>
      <c r="Z4387" s="14"/>
      <c r="AA4387" s="14"/>
      <c r="AB4387" s="14"/>
      <c r="AC4387" s="15">
        <v>38.65</v>
      </c>
      <c r="AD4387" s="15">
        <f>AC4387*AG4387</f>
        <v>38.65</v>
      </c>
      <c r="AE4387" s="15">
        <v>85</v>
      </c>
      <c r="AF4387" s="15">
        <f>AE4387*AG4387</f>
        <v>85</v>
      </c>
      <c r="AG4387" s="16">
        <v>1</v>
      </c>
    </row>
    <row r="4388" spans="1:33" ht="15" customHeight="1" x14ac:dyDescent="0.2">
      <c r="A4388" s="11" t="str">
        <f>HYPERLINK("https://assets.vans.eu/images/VN000D6WWHT-HERO/1","VN000D6WWHT1")</f>
        <v>VN000D6WWHT1</v>
      </c>
      <c r="B4388" s="12" t="s">
        <v>15462</v>
      </c>
      <c r="C4388" s="12" t="s">
        <v>34</v>
      </c>
      <c r="D4388" s="12" t="s">
        <v>168</v>
      </c>
      <c r="E4388" s="12" t="s">
        <v>15463</v>
      </c>
      <c r="F4388" s="13">
        <v>35</v>
      </c>
      <c r="G4388" s="14"/>
      <c r="H4388" s="12" t="s">
        <v>38</v>
      </c>
      <c r="I4388" s="12" t="s">
        <v>113</v>
      </c>
      <c r="J4388" s="12" t="s">
        <v>114</v>
      </c>
      <c r="K4388" s="12" t="s">
        <v>82</v>
      </c>
      <c r="L4388" s="14"/>
      <c r="M4388" s="12" t="s">
        <v>43</v>
      </c>
      <c r="N4388" s="12" t="s">
        <v>84</v>
      </c>
      <c r="O4388" s="12" t="s">
        <v>15464</v>
      </c>
      <c r="P4388" s="12" t="s">
        <v>46</v>
      </c>
      <c r="Q4388" s="12" t="s">
        <v>47</v>
      </c>
      <c r="R4388" s="12" t="s">
        <v>117</v>
      </c>
      <c r="S4388" s="13">
        <v>197804540273</v>
      </c>
      <c r="T4388" s="12" t="s">
        <v>105</v>
      </c>
      <c r="U4388" s="13">
        <v>34.5</v>
      </c>
      <c r="V4388" s="12" t="s">
        <v>50</v>
      </c>
      <c r="W4388" s="12" t="s">
        <v>175</v>
      </c>
      <c r="X4388" s="14"/>
      <c r="Y4388" s="14"/>
      <c r="Z4388" s="14"/>
      <c r="AA4388" s="14"/>
      <c r="AB4388" s="14"/>
      <c r="AC4388" s="15">
        <v>43.2</v>
      </c>
      <c r="AD4388" s="15">
        <f>AC4388*AG4388</f>
        <v>43.2</v>
      </c>
      <c r="AE4388" s="15">
        <v>95</v>
      </c>
      <c r="AF4388" s="15">
        <f>AE4388*AG4388</f>
        <v>95</v>
      </c>
      <c r="AG4388" s="16">
        <v>1</v>
      </c>
    </row>
    <row r="4389" spans="1:33" ht="15" customHeight="1" x14ac:dyDescent="0.2">
      <c r="A4389" s="11" t="str">
        <f t="shared" si="539"/>
        <v>VN000D6WY281</v>
      </c>
      <c r="B4389" s="12" t="s">
        <v>15465</v>
      </c>
      <c r="C4389" s="12" t="s">
        <v>34</v>
      </c>
      <c r="D4389" s="12" t="s">
        <v>58</v>
      </c>
      <c r="E4389" s="12" t="s">
        <v>15466</v>
      </c>
      <c r="F4389" s="13">
        <v>40</v>
      </c>
      <c r="G4389" s="14"/>
      <c r="H4389" s="12" t="s">
        <v>38</v>
      </c>
      <c r="I4389" s="12" t="s">
        <v>113</v>
      </c>
      <c r="J4389" s="12" t="s">
        <v>114</v>
      </c>
      <c r="K4389" s="12" t="s">
        <v>82</v>
      </c>
      <c r="L4389" s="14"/>
      <c r="M4389" s="12" t="s">
        <v>43</v>
      </c>
      <c r="N4389" s="12" t="s">
        <v>84</v>
      </c>
      <c r="O4389" s="12" t="s">
        <v>15467</v>
      </c>
      <c r="P4389" s="12" t="s">
        <v>46</v>
      </c>
      <c r="Q4389" s="12" t="s">
        <v>47</v>
      </c>
      <c r="R4389" s="12" t="s">
        <v>117</v>
      </c>
      <c r="S4389" s="13">
        <v>197804540815</v>
      </c>
      <c r="T4389" s="12" t="s">
        <v>105</v>
      </c>
      <c r="U4389" s="13">
        <v>35</v>
      </c>
      <c r="V4389" s="12" t="s">
        <v>50</v>
      </c>
      <c r="W4389" s="12" t="s">
        <v>51</v>
      </c>
      <c r="X4389" s="14"/>
      <c r="Y4389" s="14"/>
      <c r="Z4389" s="14"/>
      <c r="AA4389" s="14"/>
      <c r="AB4389" s="14"/>
      <c r="AC4389" s="15">
        <v>40.950000000000003</v>
      </c>
      <c r="AD4389" s="15">
        <f>AC4389*AG4389</f>
        <v>40.950000000000003</v>
      </c>
      <c r="AE4389" s="15">
        <v>90</v>
      </c>
      <c r="AF4389" s="15">
        <f>AE4389*AG4389</f>
        <v>90</v>
      </c>
      <c r="AG4389" s="16">
        <v>1</v>
      </c>
    </row>
    <row r="4390" spans="1:33" ht="15" customHeight="1" x14ac:dyDescent="0.2">
      <c r="A4390" s="11" t="str">
        <f>HYPERLINK("https://assets.vans.eu/images/VN000D6WYY6-HERO/1","VN000D6WYY61")</f>
        <v>VN000D6WYY61</v>
      </c>
      <c r="B4390" s="12" t="s">
        <v>15468</v>
      </c>
      <c r="C4390" s="12" t="s">
        <v>34</v>
      </c>
      <c r="D4390" s="12" t="s">
        <v>1208</v>
      </c>
      <c r="E4390" s="12" t="s">
        <v>15469</v>
      </c>
      <c r="F4390" s="13">
        <v>50</v>
      </c>
      <c r="G4390" s="14"/>
      <c r="H4390" s="12" t="s">
        <v>38</v>
      </c>
      <c r="I4390" s="12" t="s">
        <v>113</v>
      </c>
      <c r="J4390" s="12" t="s">
        <v>114</v>
      </c>
      <c r="K4390" s="12" t="s">
        <v>82</v>
      </c>
      <c r="L4390" s="12" t="s">
        <v>260</v>
      </c>
      <c r="M4390" s="12" t="s">
        <v>43</v>
      </c>
      <c r="N4390" s="12" t="s">
        <v>84</v>
      </c>
      <c r="O4390" s="12" t="s">
        <v>15470</v>
      </c>
      <c r="P4390" s="12" t="s">
        <v>46</v>
      </c>
      <c r="Q4390" s="12" t="s">
        <v>47</v>
      </c>
      <c r="R4390" s="12" t="s">
        <v>117</v>
      </c>
      <c r="S4390" s="13">
        <v>197803961079</v>
      </c>
      <c r="T4390" s="12" t="s">
        <v>105</v>
      </c>
      <c r="U4390" s="13">
        <v>36.5</v>
      </c>
      <c r="V4390" s="12" t="s">
        <v>50</v>
      </c>
      <c r="W4390" s="12" t="s">
        <v>51</v>
      </c>
      <c r="X4390" s="14"/>
      <c r="Y4390" s="12" t="s">
        <v>53</v>
      </c>
      <c r="Z4390" s="12" t="s">
        <v>2600</v>
      </c>
      <c r="AA4390" s="14"/>
      <c r="AB4390" s="12" t="s">
        <v>264</v>
      </c>
      <c r="AC4390" s="15">
        <v>40.950000000000003</v>
      </c>
      <c r="AD4390" s="15">
        <f>AC4390*AG4390</f>
        <v>40.950000000000003</v>
      </c>
      <c r="AE4390" s="15">
        <v>90</v>
      </c>
      <c r="AF4390" s="15">
        <f>AE4390*AG4390</f>
        <v>90</v>
      </c>
      <c r="AG4390" s="16">
        <v>1</v>
      </c>
    </row>
    <row r="4391" spans="1:33" ht="15" customHeight="1" x14ac:dyDescent="0.2">
      <c r="A4391" s="11" t="str">
        <f>HYPERLINK("https://assets.vans.eu/images/VN000D6WYY6-HERO/1","VN000D6WYY61")</f>
        <v>VN000D6WYY61</v>
      </c>
      <c r="B4391" s="12" t="s">
        <v>15471</v>
      </c>
      <c r="C4391" s="12" t="s">
        <v>34</v>
      </c>
      <c r="D4391" s="12" t="s">
        <v>1208</v>
      </c>
      <c r="E4391" s="12" t="s">
        <v>15472</v>
      </c>
      <c r="F4391" s="13">
        <v>55</v>
      </c>
      <c r="G4391" s="14"/>
      <c r="H4391" s="12" t="s">
        <v>38</v>
      </c>
      <c r="I4391" s="12" t="s">
        <v>113</v>
      </c>
      <c r="J4391" s="12" t="s">
        <v>114</v>
      </c>
      <c r="K4391" s="12" t="s">
        <v>82</v>
      </c>
      <c r="L4391" s="12" t="s">
        <v>260</v>
      </c>
      <c r="M4391" s="12" t="s">
        <v>43</v>
      </c>
      <c r="N4391" s="12" t="s">
        <v>84</v>
      </c>
      <c r="O4391" s="12" t="s">
        <v>15473</v>
      </c>
      <c r="P4391" s="12" t="s">
        <v>46</v>
      </c>
      <c r="Q4391" s="12" t="s">
        <v>47</v>
      </c>
      <c r="R4391" s="12" t="s">
        <v>117</v>
      </c>
      <c r="S4391" s="13">
        <v>197803961338</v>
      </c>
      <c r="T4391" s="12" t="s">
        <v>105</v>
      </c>
      <c r="U4391" s="13">
        <v>37</v>
      </c>
      <c r="V4391" s="12" t="s">
        <v>50</v>
      </c>
      <c r="W4391" s="12" t="s">
        <v>51</v>
      </c>
      <c r="X4391" s="14"/>
      <c r="Y4391" s="12" t="s">
        <v>53</v>
      </c>
      <c r="Z4391" s="12" t="s">
        <v>2600</v>
      </c>
      <c r="AA4391" s="14"/>
      <c r="AB4391" s="12" t="s">
        <v>264</v>
      </c>
      <c r="AC4391" s="15">
        <v>40.950000000000003</v>
      </c>
      <c r="AD4391" s="15">
        <f>AC4391*AG4391</f>
        <v>40.950000000000003</v>
      </c>
      <c r="AE4391" s="15">
        <v>90</v>
      </c>
      <c r="AF4391" s="15">
        <f>AE4391*AG4391</f>
        <v>90</v>
      </c>
      <c r="AG4391" s="16">
        <v>1</v>
      </c>
    </row>
    <row r="4392" spans="1:33" ht="15" customHeight="1" x14ac:dyDescent="0.2">
      <c r="A4392" s="11" t="str">
        <f>HYPERLINK("https://assets.vans.eu/images/VN000D6WYY6-HERO/1","VN000D6WYY61")</f>
        <v>VN000D6WYY61</v>
      </c>
      <c r="B4392" s="12" t="s">
        <v>15474</v>
      </c>
      <c r="C4392" s="12" t="s">
        <v>34</v>
      </c>
      <c r="D4392" s="12" t="s">
        <v>1208</v>
      </c>
      <c r="E4392" s="12" t="s">
        <v>15475</v>
      </c>
      <c r="F4392" s="13">
        <v>95</v>
      </c>
      <c r="G4392" s="14"/>
      <c r="H4392" s="12" t="s">
        <v>38</v>
      </c>
      <c r="I4392" s="12" t="s">
        <v>113</v>
      </c>
      <c r="J4392" s="12" t="s">
        <v>114</v>
      </c>
      <c r="K4392" s="12" t="s">
        <v>82</v>
      </c>
      <c r="L4392" s="12" t="s">
        <v>260</v>
      </c>
      <c r="M4392" s="12" t="s">
        <v>43</v>
      </c>
      <c r="N4392" s="12" t="s">
        <v>84</v>
      </c>
      <c r="O4392" s="12" t="s">
        <v>15476</v>
      </c>
      <c r="P4392" s="12" t="s">
        <v>46</v>
      </c>
      <c r="Q4392" s="12" t="s">
        <v>47</v>
      </c>
      <c r="R4392" s="12" t="s">
        <v>117</v>
      </c>
      <c r="S4392" s="13">
        <v>197803962519</v>
      </c>
      <c r="T4392" s="12" t="s">
        <v>105</v>
      </c>
      <c r="U4392" s="13">
        <v>42.5</v>
      </c>
      <c r="V4392" s="12" t="s">
        <v>50</v>
      </c>
      <c r="W4392" s="12" t="s">
        <v>51</v>
      </c>
      <c r="X4392" s="14"/>
      <c r="Y4392" s="12" t="s">
        <v>53</v>
      </c>
      <c r="Z4392" s="12" t="s">
        <v>2600</v>
      </c>
      <c r="AA4392" s="14"/>
      <c r="AB4392" s="12" t="s">
        <v>264</v>
      </c>
      <c r="AC4392" s="15">
        <v>40.950000000000003</v>
      </c>
      <c r="AD4392" s="15">
        <f>AC4392*AG4392</f>
        <v>40.950000000000003</v>
      </c>
      <c r="AE4392" s="15">
        <v>90</v>
      </c>
      <c r="AF4392" s="15">
        <f>AE4392*AG4392</f>
        <v>90</v>
      </c>
      <c r="AG4392" s="16">
        <v>1</v>
      </c>
    </row>
    <row r="4393" spans="1:33" ht="15" customHeight="1" x14ac:dyDescent="0.2">
      <c r="A4393" s="11" t="str">
        <f>HYPERLINK("https://assets.vans.eu/images/VN000D6YE2T-HERO/1","VN000D6YE2T1")</f>
        <v>VN000D6YE2T1</v>
      </c>
      <c r="B4393" s="12" t="s">
        <v>15477</v>
      </c>
      <c r="C4393" s="12" t="s">
        <v>3586</v>
      </c>
      <c r="D4393" s="12" t="s">
        <v>7091</v>
      </c>
      <c r="E4393" s="12" t="s">
        <v>15478</v>
      </c>
      <c r="F4393" s="13">
        <v>60</v>
      </c>
      <c r="G4393" s="12" t="s">
        <v>2273</v>
      </c>
      <c r="H4393" s="12" t="s">
        <v>38</v>
      </c>
      <c r="I4393" s="12" t="s">
        <v>113</v>
      </c>
      <c r="J4393" s="12" t="s">
        <v>114</v>
      </c>
      <c r="K4393" s="12" t="s">
        <v>82</v>
      </c>
      <c r="L4393" s="14"/>
      <c r="M4393" s="12" t="s">
        <v>43</v>
      </c>
      <c r="N4393" s="12" t="s">
        <v>44</v>
      </c>
      <c r="O4393" s="12" t="s">
        <v>15479</v>
      </c>
      <c r="P4393" s="12" t="s">
        <v>46</v>
      </c>
      <c r="Q4393" s="12" t="s">
        <v>47</v>
      </c>
      <c r="R4393" s="12" t="s">
        <v>117</v>
      </c>
      <c r="S4393" s="13">
        <v>197643212157</v>
      </c>
      <c r="T4393" s="12" t="s">
        <v>105</v>
      </c>
      <c r="U4393" s="13">
        <v>38</v>
      </c>
      <c r="V4393" s="12" t="s">
        <v>375</v>
      </c>
      <c r="W4393" s="12" t="s">
        <v>107</v>
      </c>
      <c r="X4393" s="14"/>
      <c r="Y4393" s="12" t="s">
        <v>91</v>
      </c>
      <c r="Z4393" s="12" t="s">
        <v>165</v>
      </c>
      <c r="AA4393" s="14"/>
      <c r="AB4393" s="14"/>
      <c r="AC4393" s="15">
        <v>36.4</v>
      </c>
      <c r="AD4393" s="15">
        <f>AC4393*AG4393</f>
        <v>36.4</v>
      </c>
      <c r="AE4393" s="15">
        <v>80</v>
      </c>
      <c r="AF4393" s="15">
        <f>AE4393*AG4393</f>
        <v>80</v>
      </c>
      <c r="AG4393" s="16">
        <v>1</v>
      </c>
    </row>
    <row r="4394" spans="1:33" ht="15" customHeight="1" x14ac:dyDescent="0.2">
      <c r="A4394" s="11" t="str">
        <f t="shared" si="1078"/>
        <v>VN000D6YEMH1</v>
      </c>
      <c r="B4394" s="12" t="s">
        <v>15480</v>
      </c>
      <c r="C4394" s="12" t="s">
        <v>3586</v>
      </c>
      <c r="D4394" s="12" t="s">
        <v>5882</v>
      </c>
      <c r="E4394" s="12" t="s">
        <v>15481</v>
      </c>
      <c r="F4394" s="13">
        <v>50</v>
      </c>
      <c r="G4394" s="14"/>
      <c r="H4394" s="12" t="s">
        <v>38</v>
      </c>
      <c r="I4394" s="12" t="s">
        <v>113</v>
      </c>
      <c r="J4394" s="12" t="s">
        <v>114</v>
      </c>
      <c r="K4394" s="12" t="s">
        <v>82</v>
      </c>
      <c r="L4394" s="14"/>
      <c r="M4394" s="12" t="s">
        <v>43</v>
      </c>
      <c r="N4394" s="12" t="s">
        <v>84</v>
      </c>
      <c r="O4394" s="12" t="s">
        <v>15482</v>
      </c>
      <c r="P4394" s="12" t="s">
        <v>46</v>
      </c>
      <c r="Q4394" s="12" t="s">
        <v>47</v>
      </c>
      <c r="R4394" s="12" t="s">
        <v>117</v>
      </c>
      <c r="S4394" s="13">
        <v>197804454150</v>
      </c>
      <c r="T4394" s="12" t="s">
        <v>49</v>
      </c>
      <c r="U4394" s="13">
        <v>36.5</v>
      </c>
      <c r="V4394" s="12" t="s">
        <v>50</v>
      </c>
      <c r="W4394" s="12" t="s">
        <v>186</v>
      </c>
      <c r="X4394" s="14"/>
      <c r="Y4394" s="14"/>
      <c r="Z4394" s="14"/>
      <c r="AA4394" s="14"/>
      <c r="AB4394" s="14"/>
      <c r="AC4394" s="15">
        <v>38.65</v>
      </c>
      <c r="AD4394" s="15">
        <f>AC4394*AG4394</f>
        <v>38.65</v>
      </c>
      <c r="AE4394" s="15">
        <v>85</v>
      </c>
      <c r="AF4394" s="15">
        <f>AE4394*AG4394</f>
        <v>85</v>
      </c>
      <c r="AG4394" s="16">
        <v>1</v>
      </c>
    </row>
    <row r="4395" spans="1:33" ht="15" customHeight="1" x14ac:dyDescent="0.2">
      <c r="A4395" s="11" t="str">
        <f t="shared" ref="A4395:A4396" si="1388">HYPERLINK("https://assets.vans.eu/images/VN000D6YEMH-HERO/1","VN000D6YEMH1")</f>
        <v>VN000D6YEMH1</v>
      </c>
      <c r="B4395" s="12" t="s">
        <v>15483</v>
      </c>
      <c r="C4395" s="12" t="s">
        <v>3586</v>
      </c>
      <c r="D4395" s="12" t="s">
        <v>5882</v>
      </c>
      <c r="E4395" s="12" t="s">
        <v>15484</v>
      </c>
      <c r="F4395" s="13">
        <v>65</v>
      </c>
      <c r="G4395" s="14"/>
      <c r="H4395" s="12" t="s">
        <v>38</v>
      </c>
      <c r="I4395" s="12" t="s">
        <v>113</v>
      </c>
      <c r="J4395" s="12" t="s">
        <v>114</v>
      </c>
      <c r="K4395" s="12" t="s">
        <v>82</v>
      </c>
      <c r="L4395" s="14"/>
      <c r="M4395" s="12" t="s">
        <v>43</v>
      </c>
      <c r="N4395" s="12" t="s">
        <v>84</v>
      </c>
      <c r="O4395" s="12" t="s">
        <v>15485</v>
      </c>
      <c r="P4395" s="12" t="s">
        <v>46</v>
      </c>
      <c r="Q4395" s="12" t="s">
        <v>47</v>
      </c>
      <c r="R4395" s="12" t="s">
        <v>117</v>
      </c>
      <c r="S4395" s="13">
        <v>197804454525</v>
      </c>
      <c r="T4395" s="12" t="s">
        <v>49</v>
      </c>
      <c r="U4395" s="13">
        <v>38.5</v>
      </c>
      <c r="V4395" s="12" t="s">
        <v>50</v>
      </c>
      <c r="W4395" s="12" t="s">
        <v>186</v>
      </c>
      <c r="X4395" s="14"/>
      <c r="Y4395" s="14"/>
      <c r="Z4395" s="14"/>
      <c r="AA4395" s="14"/>
      <c r="AB4395" s="14"/>
      <c r="AC4395" s="15">
        <v>38.65</v>
      </c>
      <c r="AD4395" s="15">
        <f>AC4395*AG4395</f>
        <v>38.65</v>
      </c>
      <c r="AE4395" s="15">
        <v>85</v>
      </c>
      <c r="AF4395" s="15">
        <f>AE4395*AG4395</f>
        <v>85</v>
      </c>
      <c r="AG4395" s="16">
        <v>1</v>
      </c>
    </row>
    <row r="4396" spans="1:33" ht="15" customHeight="1" x14ac:dyDescent="0.2">
      <c r="A4396" s="11" t="str">
        <f t="shared" si="1388"/>
        <v>VN000D6YEMH1</v>
      </c>
      <c r="B4396" s="12" t="s">
        <v>15486</v>
      </c>
      <c r="C4396" s="12" t="s">
        <v>3586</v>
      </c>
      <c r="D4396" s="12" t="s">
        <v>5882</v>
      </c>
      <c r="E4396" s="12" t="s">
        <v>15487</v>
      </c>
      <c r="F4396" s="13">
        <v>75</v>
      </c>
      <c r="G4396" s="14"/>
      <c r="H4396" s="12" t="s">
        <v>38</v>
      </c>
      <c r="I4396" s="12" t="s">
        <v>113</v>
      </c>
      <c r="J4396" s="12" t="s">
        <v>114</v>
      </c>
      <c r="K4396" s="12" t="s">
        <v>82</v>
      </c>
      <c r="L4396" s="14"/>
      <c r="M4396" s="12" t="s">
        <v>43</v>
      </c>
      <c r="N4396" s="12" t="s">
        <v>84</v>
      </c>
      <c r="O4396" s="12" t="s">
        <v>15488</v>
      </c>
      <c r="P4396" s="12" t="s">
        <v>46</v>
      </c>
      <c r="Q4396" s="12" t="s">
        <v>47</v>
      </c>
      <c r="R4396" s="12" t="s">
        <v>117</v>
      </c>
      <c r="S4396" s="13">
        <v>197804454648</v>
      </c>
      <c r="T4396" s="12" t="s">
        <v>49</v>
      </c>
      <c r="U4396" s="13">
        <v>40</v>
      </c>
      <c r="V4396" s="12" t="s">
        <v>50</v>
      </c>
      <c r="W4396" s="12" t="s">
        <v>186</v>
      </c>
      <c r="X4396" s="14"/>
      <c r="Y4396" s="14"/>
      <c r="Z4396" s="14"/>
      <c r="AA4396" s="14"/>
      <c r="AB4396" s="14"/>
      <c r="AC4396" s="15">
        <v>38.65</v>
      </c>
      <c r="AD4396" s="15">
        <f>AC4396*AG4396</f>
        <v>38.65</v>
      </c>
      <c r="AE4396" s="15">
        <v>85</v>
      </c>
      <c r="AF4396" s="15">
        <f>AE4396*AG4396</f>
        <v>85</v>
      </c>
      <c r="AG4396" s="16">
        <v>1</v>
      </c>
    </row>
    <row r="4397" spans="1:33" ht="15" customHeight="1" x14ac:dyDescent="0.2">
      <c r="A4397" s="11" t="str">
        <f t="shared" ref="A4397:A4399" si="1389">HYPERLINK("https://assets.vans.eu/images/VN000D6YEMW-HERO/1","VN000D6YEMW1")</f>
        <v>VN000D6YEMW1</v>
      </c>
      <c r="B4397" s="12" t="s">
        <v>15489</v>
      </c>
      <c r="C4397" s="12" t="s">
        <v>3586</v>
      </c>
      <c r="D4397" s="12" t="s">
        <v>147</v>
      </c>
      <c r="E4397" s="12" t="s">
        <v>15490</v>
      </c>
      <c r="F4397" s="13">
        <v>95</v>
      </c>
      <c r="G4397" s="12" t="s">
        <v>2273</v>
      </c>
      <c r="H4397" s="12" t="s">
        <v>38</v>
      </c>
      <c r="I4397" s="12" t="s">
        <v>113</v>
      </c>
      <c r="J4397" s="12" t="s">
        <v>114</v>
      </c>
      <c r="K4397" s="12" t="s">
        <v>82</v>
      </c>
      <c r="L4397" s="14"/>
      <c r="M4397" s="12" t="s">
        <v>43</v>
      </c>
      <c r="N4397" s="12" t="s">
        <v>84</v>
      </c>
      <c r="O4397" s="12" t="s">
        <v>15491</v>
      </c>
      <c r="P4397" s="12" t="s">
        <v>46</v>
      </c>
      <c r="Q4397" s="12" t="s">
        <v>47</v>
      </c>
      <c r="R4397" s="12" t="s">
        <v>117</v>
      </c>
      <c r="S4397" s="13">
        <v>197804455928</v>
      </c>
      <c r="T4397" s="12" t="s">
        <v>49</v>
      </c>
      <c r="U4397" s="13">
        <v>42.5</v>
      </c>
      <c r="V4397" s="12" t="s">
        <v>375</v>
      </c>
      <c r="W4397" s="12" t="s">
        <v>118</v>
      </c>
      <c r="X4397" s="14"/>
      <c r="Y4397" s="14"/>
      <c r="Z4397" s="14"/>
      <c r="AA4397" s="14"/>
      <c r="AB4397" s="14"/>
      <c r="AC4397" s="15">
        <v>36.4</v>
      </c>
      <c r="AD4397" s="15">
        <f>AC4397*AG4397</f>
        <v>36.4</v>
      </c>
      <c r="AE4397" s="15">
        <v>80</v>
      </c>
      <c r="AF4397" s="15">
        <f>AE4397*AG4397</f>
        <v>80</v>
      </c>
      <c r="AG4397" s="16">
        <v>1</v>
      </c>
    </row>
    <row r="4398" spans="1:33" ht="15" customHeight="1" x14ac:dyDescent="0.2">
      <c r="A4398" s="11" t="str">
        <f t="shared" si="1389"/>
        <v>VN000D6YEMW1</v>
      </c>
      <c r="B4398" s="12" t="s">
        <v>15492</v>
      </c>
      <c r="C4398" s="12" t="s">
        <v>3586</v>
      </c>
      <c r="D4398" s="12" t="s">
        <v>147</v>
      </c>
      <c r="E4398" s="12" t="s">
        <v>15493</v>
      </c>
      <c r="F4398" s="13">
        <v>110</v>
      </c>
      <c r="G4398" s="12" t="s">
        <v>2273</v>
      </c>
      <c r="H4398" s="12" t="s">
        <v>38</v>
      </c>
      <c r="I4398" s="12" t="s">
        <v>113</v>
      </c>
      <c r="J4398" s="12" t="s">
        <v>114</v>
      </c>
      <c r="K4398" s="12" t="s">
        <v>82</v>
      </c>
      <c r="L4398" s="14"/>
      <c r="M4398" s="12" t="s">
        <v>43</v>
      </c>
      <c r="N4398" s="12" t="s">
        <v>84</v>
      </c>
      <c r="O4398" s="12" t="s">
        <v>15494</v>
      </c>
      <c r="P4398" s="12" t="s">
        <v>46</v>
      </c>
      <c r="Q4398" s="12" t="s">
        <v>47</v>
      </c>
      <c r="R4398" s="12" t="s">
        <v>117</v>
      </c>
      <c r="S4398" s="13">
        <v>197804456291</v>
      </c>
      <c r="T4398" s="12" t="s">
        <v>49</v>
      </c>
      <c r="U4398" s="13">
        <v>44.5</v>
      </c>
      <c r="V4398" s="12" t="s">
        <v>375</v>
      </c>
      <c r="W4398" s="12" t="s">
        <v>118</v>
      </c>
      <c r="X4398" s="14"/>
      <c r="Y4398" s="14"/>
      <c r="Z4398" s="14"/>
      <c r="AA4398" s="14"/>
      <c r="AB4398" s="14"/>
      <c r="AC4398" s="15">
        <v>36.4</v>
      </c>
      <c r="AD4398" s="15">
        <f>AC4398*AG4398</f>
        <v>36.4</v>
      </c>
      <c r="AE4398" s="15">
        <v>80</v>
      </c>
      <c r="AF4398" s="15">
        <f>AE4398*AG4398</f>
        <v>80</v>
      </c>
      <c r="AG4398" s="16">
        <v>1</v>
      </c>
    </row>
    <row r="4399" spans="1:33" ht="15" customHeight="1" x14ac:dyDescent="0.2">
      <c r="A4399" s="11" t="str">
        <f t="shared" si="1389"/>
        <v>VN000D6YEMW1</v>
      </c>
      <c r="B4399" s="12" t="s">
        <v>15495</v>
      </c>
      <c r="C4399" s="12" t="s">
        <v>3586</v>
      </c>
      <c r="D4399" s="12" t="s">
        <v>147</v>
      </c>
      <c r="E4399" s="12" t="s">
        <v>15496</v>
      </c>
      <c r="F4399" s="13">
        <v>115</v>
      </c>
      <c r="G4399" s="12" t="s">
        <v>2273</v>
      </c>
      <c r="H4399" s="12" t="s">
        <v>38</v>
      </c>
      <c r="I4399" s="12" t="s">
        <v>113</v>
      </c>
      <c r="J4399" s="12" t="s">
        <v>114</v>
      </c>
      <c r="K4399" s="12" t="s">
        <v>82</v>
      </c>
      <c r="L4399" s="14"/>
      <c r="M4399" s="12" t="s">
        <v>43</v>
      </c>
      <c r="N4399" s="12" t="s">
        <v>84</v>
      </c>
      <c r="O4399" s="12" t="s">
        <v>15497</v>
      </c>
      <c r="P4399" s="12" t="s">
        <v>46</v>
      </c>
      <c r="Q4399" s="12" t="s">
        <v>47</v>
      </c>
      <c r="R4399" s="12" t="s">
        <v>117</v>
      </c>
      <c r="S4399" s="13">
        <v>197804456451</v>
      </c>
      <c r="T4399" s="12" t="s">
        <v>49</v>
      </c>
      <c r="U4399" s="13">
        <v>45</v>
      </c>
      <c r="V4399" s="12" t="s">
        <v>375</v>
      </c>
      <c r="W4399" s="12" t="s">
        <v>118</v>
      </c>
      <c r="X4399" s="14"/>
      <c r="Y4399" s="14"/>
      <c r="Z4399" s="14"/>
      <c r="AA4399" s="14"/>
      <c r="AB4399" s="14"/>
      <c r="AC4399" s="15">
        <v>36.4</v>
      </c>
      <c r="AD4399" s="15">
        <f>AC4399*AG4399</f>
        <v>36.4</v>
      </c>
      <c r="AE4399" s="15">
        <v>80</v>
      </c>
      <c r="AF4399" s="15">
        <f>AE4399*AG4399</f>
        <v>80</v>
      </c>
      <c r="AG4399" s="16">
        <v>1</v>
      </c>
    </row>
    <row r="4400" spans="1:33" ht="15" customHeight="1" x14ac:dyDescent="0.2">
      <c r="A4400" s="11" t="str">
        <f t="shared" ref="A4400:A4401" si="1390">HYPERLINK("https://assets.vans.eu/images/VN000D6YEMY-HERO/1","VN000D6YEMY1")</f>
        <v>VN000D6YEMY1</v>
      </c>
      <c r="B4400" s="12" t="s">
        <v>15498</v>
      </c>
      <c r="C4400" s="12" t="s">
        <v>3586</v>
      </c>
      <c r="D4400" s="12" t="s">
        <v>1155</v>
      </c>
      <c r="E4400" s="12" t="s">
        <v>15499</v>
      </c>
      <c r="F4400" s="13">
        <v>55</v>
      </c>
      <c r="G4400" s="12" t="s">
        <v>2809</v>
      </c>
      <c r="H4400" s="12" t="s">
        <v>38</v>
      </c>
      <c r="I4400" s="12" t="s">
        <v>113</v>
      </c>
      <c r="J4400" s="12" t="s">
        <v>114</v>
      </c>
      <c r="K4400" s="12" t="s">
        <v>82</v>
      </c>
      <c r="L4400" s="14"/>
      <c r="M4400" s="12" t="s">
        <v>43</v>
      </c>
      <c r="N4400" s="12" t="s">
        <v>84</v>
      </c>
      <c r="O4400" s="12" t="s">
        <v>15500</v>
      </c>
      <c r="P4400" s="12" t="s">
        <v>46</v>
      </c>
      <c r="Q4400" s="12" t="s">
        <v>47</v>
      </c>
      <c r="R4400" s="12" t="s">
        <v>117</v>
      </c>
      <c r="S4400" s="13">
        <v>197804454471</v>
      </c>
      <c r="T4400" s="12" t="s">
        <v>164</v>
      </c>
      <c r="U4400" s="13">
        <v>37</v>
      </c>
      <c r="V4400" s="12" t="s">
        <v>375</v>
      </c>
      <c r="W4400" s="12" t="s">
        <v>107</v>
      </c>
      <c r="X4400" s="14"/>
      <c r="Y4400" s="14"/>
      <c r="Z4400" s="14"/>
      <c r="AA4400" s="14"/>
      <c r="AB4400" s="14"/>
      <c r="AC4400" s="15">
        <v>34.1</v>
      </c>
      <c r="AD4400" s="15">
        <f>AC4400*AG4400</f>
        <v>34.1</v>
      </c>
      <c r="AE4400" s="15">
        <v>75</v>
      </c>
      <c r="AF4400" s="15">
        <f>AE4400*AG4400</f>
        <v>75</v>
      </c>
      <c r="AG4400" s="16">
        <v>1</v>
      </c>
    </row>
    <row r="4401" spans="1:33" ht="15" customHeight="1" x14ac:dyDescent="0.2">
      <c r="A4401" s="11" t="str">
        <f t="shared" si="1390"/>
        <v>VN000D6YEMY1</v>
      </c>
      <c r="B4401" s="12" t="s">
        <v>15501</v>
      </c>
      <c r="C4401" s="12" t="s">
        <v>3586</v>
      </c>
      <c r="D4401" s="12" t="s">
        <v>1155</v>
      </c>
      <c r="E4401" s="12" t="s">
        <v>15502</v>
      </c>
      <c r="F4401" s="13">
        <v>75</v>
      </c>
      <c r="G4401" s="12" t="s">
        <v>2809</v>
      </c>
      <c r="H4401" s="12" t="s">
        <v>38</v>
      </c>
      <c r="I4401" s="12" t="s">
        <v>113</v>
      </c>
      <c r="J4401" s="12" t="s">
        <v>114</v>
      </c>
      <c r="K4401" s="12" t="s">
        <v>82</v>
      </c>
      <c r="L4401" s="14"/>
      <c r="M4401" s="12" t="s">
        <v>43</v>
      </c>
      <c r="N4401" s="12" t="s">
        <v>84</v>
      </c>
      <c r="O4401" s="12" t="s">
        <v>15503</v>
      </c>
      <c r="P4401" s="12" t="s">
        <v>46</v>
      </c>
      <c r="Q4401" s="12" t="s">
        <v>47</v>
      </c>
      <c r="R4401" s="12" t="s">
        <v>117</v>
      </c>
      <c r="S4401" s="13">
        <v>197804454792</v>
      </c>
      <c r="T4401" s="12" t="s">
        <v>164</v>
      </c>
      <c r="U4401" s="13">
        <v>40</v>
      </c>
      <c r="V4401" s="12" t="s">
        <v>375</v>
      </c>
      <c r="W4401" s="12" t="s">
        <v>107</v>
      </c>
      <c r="X4401" s="14"/>
      <c r="Y4401" s="14"/>
      <c r="Z4401" s="14"/>
      <c r="AA4401" s="14"/>
      <c r="AB4401" s="14"/>
      <c r="AC4401" s="15">
        <v>34.1</v>
      </c>
      <c r="AD4401" s="15">
        <f>AC4401*AG4401</f>
        <v>34.1</v>
      </c>
      <c r="AE4401" s="15">
        <v>75</v>
      </c>
      <c r="AF4401" s="15">
        <f>AE4401*AG4401</f>
        <v>75</v>
      </c>
      <c r="AG4401" s="16">
        <v>1</v>
      </c>
    </row>
    <row r="4402" spans="1:33" ht="15" customHeight="1" x14ac:dyDescent="0.2">
      <c r="A4402" s="11" t="str">
        <f>HYPERLINK("https://assets.vans.eu/images/VN000D6YEZI-HERO/1","VN000D6YEZI1")</f>
        <v>VN000D6YEZI1</v>
      </c>
      <c r="B4402" s="12" t="s">
        <v>15504</v>
      </c>
      <c r="C4402" s="12" t="s">
        <v>3586</v>
      </c>
      <c r="D4402" s="12" t="s">
        <v>3603</v>
      </c>
      <c r="E4402" s="12" t="s">
        <v>15505</v>
      </c>
      <c r="F4402" s="13">
        <v>85</v>
      </c>
      <c r="G4402" s="12" t="s">
        <v>3605</v>
      </c>
      <c r="H4402" s="12" t="s">
        <v>38</v>
      </c>
      <c r="I4402" s="12" t="s">
        <v>113</v>
      </c>
      <c r="J4402" s="12" t="s">
        <v>114</v>
      </c>
      <c r="K4402" s="12" t="s">
        <v>82</v>
      </c>
      <c r="L4402" s="14"/>
      <c r="M4402" s="12" t="s">
        <v>43</v>
      </c>
      <c r="N4402" s="12" t="s">
        <v>84</v>
      </c>
      <c r="O4402" s="12" t="s">
        <v>15506</v>
      </c>
      <c r="P4402" s="12" t="s">
        <v>46</v>
      </c>
      <c r="Q4402" s="12" t="s">
        <v>47</v>
      </c>
      <c r="R4402" s="12" t="s">
        <v>117</v>
      </c>
      <c r="S4402" s="13">
        <v>197804455386</v>
      </c>
      <c r="T4402" s="12" t="s">
        <v>105</v>
      </c>
      <c r="U4402" s="13">
        <v>41</v>
      </c>
      <c r="V4402" s="12" t="s">
        <v>375</v>
      </c>
      <c r="W4402" s="12" t="s">
        <v>51</v>
      </c>
      <c r="X4402" s="14"/>
      <c r="Y4402" s="14"/>
      <c r="Z4402" s="14"/>
      <c r="AA4402" s="14"/>
      <c r="AB4402" s="14"/>
      <c r="AC4402" s="15">
        <v>36.4</v>
      </c>
      <c r="AD4402" s="15">
        <f>AC4402*AG4402</f>
        <v>36.4</v>
      </c>
      <c r="AE4402" s="15">
        <v>80</v>
      </c>
      <c r="AF4402" s="15">
        <f>AE4402*AG4402</f>
        <v>80</v>
      </c>
      <c r="AG4402" s="16">
        <v>1</v>
      </c>
    </row>
    <row r="4403" spans="1:33" ht="15" customHeight="1" x14ac:dyDescent="0.2">
      <c r="A4403" s="11" t="str">
        <f>HYPERLINK("https://assets.vans.eu/images/VN000D6ZCHW-HERO/1","VN000D6ZCHW1")</f>
        <v>VN000D6ZCHW1</v>
      </c>
      <c r="B4403" s="12" t="s">
        <v>15507</v>
      </c>
      <c r="C4403" s="12" t="s">
        <v>110</v>
      </c>
      <c r="D4403" s="12" t="s">
        <v>15508</v>
      </c>
      <c r="E4403" s="12" t="s">
        <v>15509</v>
      </c>
      <c r="F4403" s="13">
        <v>40</v>
      </c>
      <c r="G4403" s="12" t="s">
        <v>5040</v>
      </c>
      <c r="H4403" s="12" t="s">
        <v>38</v>
      </c>
      <c r="I4403" s="12" t="s">
        <v>113</v>
      </c>
      <c r="J4403" s="12" t="s">
        <v>114</v>
      </c>
      <c r="K4403" s="12" t="s">
        <v>82</v>
      </c>
      <c r="L4403" s="14"/>
      <c r="M4403" s="12" t="s">
        <v>43</v>
      </c>
      <c r="N4403" s="12" t="s">
        <v>84</v>
      </c>
      <c r="O4403" s="12" t="s">
        <v>15510</v>
      </c>
      <c r="P4403" s="12" t="s">
        <v>46</v>
      </c>
      <c r="Q4403" s="12" t="s">
        <v>47</v>
      </c>
      <c r="R4403" s="12" t="s">
        <v>117</v>
      </c>
      <c r="S4403" s="13">
        <v>197804454518</v>
      </c>
      <c r="T4403" s="12" t="s">
        <v>105</v>
      </c>
      <c r="U4403" s="13">
        <v>35</v>
      </c>
      <c r="V4403" s="12" t="s">
        <v>50</v>
      </c>
      <c r="W4403" s="12" t="s">
        <v>580</v>
      </c>
      <c r="X4403" s="14"/>
      <c r="Y4403" s="14"/>
      <c r="Z4403" s="14"/>
      <c r="AA4403" s="14"/>
      <c r="AB4403" s="14"/>
      <c r="AC4403" s="15">
        <v>43.2</v>
      </c>
      <c r="AD4403" s="15">
        <f>AC4403*AG4403</f>
        <v>43.2</v>
      </c>
      <c r="AE4403" s="15">
        <v>95</v>
      </c>
      <c r="AF4403" s="15">
        <f>AE4403*AG4403</f>
        <v>95</v>
      </c>
      <c r="AG4403" s="16">
        <v>1</v>
      </c>
    </row>
    <row r="4404" spans="1:33" ht="15" customHeight="1" x14ac:dyDescent="0.2">
      <c r="A4404" s="11" t="str">
        <f t="shared" ref="A4404:A4407" si="1391">HYPERLINK("https://assets.vans.eu/images/VN000D6ZEMP-HERO/1","VN000D6ZEMP1")</f>
        <v>VN000D6ZEMP1</v>
      </c>
      <c r="B4404" s="12" t="s">
        <v>15511</v>
      </c>
      <c r="C4404" s="12" t="s">
        <v>110</v>
      </c>
      <c r="D4404" s="12" t="s">
        <v>704</v>
      </c>
      <c r="E4404" s="12" t="s">
        <v>15512</v>
      </c>
      <c r="F4404" s="13">
        <v>65</v>
      </c>
      <c r="G4404" s="14"/>
      <c r="H4404" s="12" t="s">
        <v>38</v>
      </c>
      <c r="I4404" s="12" t="s">
        <v>113</v>
      </c>
      <c r="J4404" s="12" t="s">
        <v>114</v>
      </c>
      <c r="K4404" s="12" t="s">
        <v>82</v>
      </c>
      <c r="L4404" s="14"/>
      <c r="M4404" s="12" t="s">
        <v>43</v>
      </c>
      <c r="N4404" s="12" t="s">
        <v>84</v>
      </c>
      <c r="O4404" s="12" t="s">
        <v>15513</v>
      </c>
      <c r="P4404" s="12" t="s">
        <v>46</v>
      </c>
      <c r="Q4404" s="12" t="s">
        <v>47</v>
      </c>
      <c r="R4404" s="12" t="s">
        <v>117</v>
      </c>
      <c r="S4404" s="13">
        <v>197804455508</v>
      </c>
      <c r="T4404" s="12" t="s">
        <v>49</v>
      </c>
      <c r="U4404" s="13">
        <v>38.5</v>
      </c>
      <c r="V4404" s="12" t="s">
        <v>50</v>
      </c>
      <c r="W4404" s="12" t="s">
        <v>186</v>
      </c>
      <c r="X4404" s="14"/>
      <c r="Y4404" s="14"/>
      <c r="Z4404" s="14"/>
      <c r="AA4404" s="14"/>
      <c r="AB4404" s="14"/>
      <c r="AC4404" s="15">
        <v>45.5</v>
      </c>
      <c r="AD4404" s="15">
        <f>AC4404*AG4404</f>
        <v>45.5</v>
      </c>
      <c r="AE4404" s="15">
        <v>100</v>
      </c>
      <c r="AF4404" s="15">
        <f>AE4404*AG4404</f>
        <v>100</v>
      </c>
      <c r="AG4404" s="16">
        <v>1</v>
      </c>
    </row>
    <row r="4405" spans="1:33" ht="15" customHeight="1" x14ac:dyDescent="0.2">
      <c r="A4405" s="11" t="str">
        <f t="shared" si="1391"/>
        <v>VN000D6ZEMP1</v>
      </c>
      <c r="B4405" s="12" t="s">
        <v>15514</v>
      </c>
      <c r="C4405" s="12" t="s">
        <v>110</v>
      </c>
      <c r="D4405" s="12" t="s">
        <v>704</v>
      </c>
      <c r="E4405" s="12" t="s">
        <v>15515</v>
      </c>
      <c r="F4405" s="13">
        <v>80</v>
      </c>
      <c r="G4405" s="14"/>
      <c r="H4405" s="12" t="s">
        <v>38</v>
      </c>
      <c r="I4405" s="12" t="s">
        <v>113</v>
      </c>
      <c r="J4405" s="12" t="s">
        <v>114</v>
      </c>
      <c r="K4405" s="12" t="s">
        <v>82</v>
      </c>
      <c r="L4405" s="14"/>
      <c r="M4405" s="12" t="s">
        <v>43</v>
      </c>
      <c r="N4405" s="12" t="s">
        <v>84</v>
      </c>
      <c r="O4405" s="12" t="s">
        <v>15516</v>
      </c>
      <c r="P4405" s="12" t="s">
        <v>46</v>
      </c>
      <c r="Q4405" s="12" t="s">
        <v>47</v>
      </c>
      <c r="R4405" s="12" t="s">
        <v>117</v>
      </c>
      <c r="S4405" s="13">
        <v>197804455942</v>
      </c>
      <c r="T4405" s="12" t="s">
        <v>49</v>
      </c>
      <c r="U4405" s="13">
        <v>40.5</v>
      </c>
      <c r="V4405" s="12" t="s">
        <v>50</v>
      </c>
      <c r="W4405" s="12" t="s">
        <v>186</v>
      </c>
      <c r="X4405" s="14"/>
      <c r="Y4405" s="14"/>
      <c r="Z4405" s="14"/>
      <c r="AA4405" s="14"/>
      <c r="AB4405" s="14"/>
      <c r="AC4405" s="15">
        <v>45.5</v>
      </c>
      <c r="AD4405" s="15">
        <f>AC4405*AG4405</f>
        <v>45.5</v>
      </c>
      <c r="AE4405" s="15">
        <v>100</v>
      </c>
      <c r="AF4405" s="15">
        <f>AE4405*AG4405</f>
        <v>100</v>
      </c>
      <c r="AG4405" s="16">
        <v>1</v>
      </c>
    </row>
    <row r="4406" spans="1:33" ht="15" customHeight="1" x14ac:dyDescent="0.2">
      <c r="A4406" s="11" t="str">
        <f t="shared" si="1391"/>
        <v>VN000D6ZEMP1</v>
      </c>
      <c r="B4406" s="12" t="s">
        <v>15517</v>
      </c>
      <c r="C4406" s="12" t="s">
        <v>110</v>
      </c>
      <c r="D4406" s="12" t="s">
        <v>704</v>
      </c>
      <c r="E4406" s="12" t="s">
        <v>15518</v>
      </c>
      <c r="F4406" s="13">
        <v>90</v>
      </c>
      <c r="G4406" s="14"/>
      <c r="H4406" s="12" t="s">
        <v>38</v>
      </c>
      <c r="I4406" s="12" t="s">
        <v>113</v>
      </c>
      <c r="J4406" s="12" t="s">
        <v>114</v>
      </c>
      <c r="K4406" s="12" t="s">
        <v>82</v>
      </c>
      <c r="L4406" s="14"/>
      <c r="M4406" s="12" t="s">
        <v>43</v>
      </c>
      <c r="N4406" s="12" t="s">
        <v>84</v>
      </c>
      <c r="O4406" s="12" t="s">
        <v>15519</v>
      </c>
      <c r="P4406" s="12" t="s">
        <v>46</v>
      </c>
      <c r="Q4406" s="12" t="s">
        <v>47</v>
      </c>
      <c r="R4406" s="12" t="s">
        <v>117</v>
      </c>
      <c r="S4406" s="13">
        <v>197804456246</v>
      </c>
      <c r="T4406" s="12" t="s">
        <v>49</v>
      </c>
      <c r="U4406" s="13">
        <v>42</v>
      </c>
      <c r="V4406" s="12" t="s">
        <v>50</v>
      </c>
      <c r="W4406" s="12" t="s">
        <v>186</v>
      </c>
      <c r="X4406" s="14"/>
      <c r="Y4406" s="14"/>
      <c r="Z4406" s="14"/>
      <c r="AA4406" s="14"/>
      <c r="AB4406" s="14"/>
      <c r="AC4406" s="15">
        <v>45.5</v>
      </c>
      <c r="AD4406" s="15">
        <f>AC4406*AG4406</f>
        <v>45.5</v>
      </c>
      <c r="AE4406" s="15">
        <v>100</v>
      </c>
      <c r="AF4406" s="15">
        <f>AE4406*AG4406</f>
        <v>100</v>
      </c>
      <c r="AG4406" s="16">
        <v>1</v>
      </c>
    </row>
    <row r="4407" spans="1:33" ht="15" customHeight="1" x14ac:dyDescent="0.2">
      <c r="A4407" s="11" t="str">
        <f t="shared" si="1391"/>
        <v>VN000D6ZEMP1</v>
      </c>
      <c r="B4407" s="12" t="s">
        <v>15520</v>
      </c>
      <c r="C4407" s="12" t="s">
        <v>110</v>
      </c>
      <c r="D4407" s="12" t="s">
        <v>704</v>
      </c>
      <c r="E4407" s="12" t="s">
        <v>15521</v>
      </c>
      <c r="F4407" s="13">
        <v>95</v>
      </c>
      <c r="G4407" s="14"/>
      <c r="H4407" s="12" t="s">
        <v>38</v>
      </c>
      <c r="I4407" s="12" t="s">
        <v>113</v>
      </c>
      <c r="J4407" s="12" t="s">
        <v>114</v>
      </c>
      <c r="K4407" s="12" t="s">
        <v>82</v>
      </c>
      <c r="L4407" s="14"/>
      <c r="M4407" s="12" t="s">
        <v>43</v>
      </c>
      <c r="N4407" s="12" t="s">
        <v>84</v>
      </c>
      <c r="O4407" s="12" t="s">
        <v>15522</v>
      </c>
      <c r="P4407" s="12" t="s">
        <v>46</v>
      </c>
      <c r="Q4407" s="12" t="s">
        <v>47</v>
      </c>
      <c r="R4407" s="12" t="s">
        <v>117</v>
      </c>
      <c r="S4407" s="13">
        <v>197804456284</v>
      </c>
      <c r="T4407" s="12" t="s">
        <v>49</v>
      </c>
      <c r="U4407" s="13">
        <v>42.5</v>
      </c>
      <c r="V4407" s="12" t="s">
        <v>50</v>
      </c>
      <c r="W4407" s="12" t="s">
        <v>186</v>
      </c>
      <c r="X4407" s="14"/>
      <c r="Y4407" s="14"/>
      <c r="Z4407" s="14"/>
      <c r="AA4407" s="14"/>
      <c r="AB4407" s="14"/>
      <c r="AC4407" s="15">
        <v>45.5</v>
      </c>
      <c r="AD4407" s="15">
        <f>AC4407*AG4407</f>
        <v>45.5</v>
      </c>
      <c r="AE4407" s="15">
        <v>100</v>
      </c>
      <c r="AF4407" s="15">
        <f>AE4407*AG4407</f>
        <v>100</v>
      </c>
      <c r="AG4407" s="16">
        <v>1</v>
      </c>
    </row>
    <row r="4408" spans="1:33" ht="15" customHeight="1" x14ac:dyDescent="0.2">
      <c r="A4408" s="11" t="str">
        <f t="shared" si="1080"/>
        <v>VN000D6ZEMT1</v>
      </c>
      <c r="B4408" s="12" t="s">
        <v>15523</v>
      </c>
      <c r="C4408" s="12" t="s">
        <v>110</v>
      </c>
      <c r="D4408" s="12" t="s">
        <v>5149</v>
      </c>
      <c r="E4408" s="12" t="s">
        <v>15524</v>
      </c>
      <c r="F4408" s="13">
        <v>45</v>
      </c>
      <c r="G4408" s="12" t="s">
        <v>1460</v>
      </c>
      <c r="H4408" s="12" t="s">
        <v>38</v>
      </c>
      <c r="I4408" s="12" t="s">
        <v>113</v>
      </c>
      <c r="J4408" s="12" t="s">
        <v>114</v>
      </c>
      <c r="K4408" s="12" t="s">
        <v>82</v>
      </c>
      <c r="L4408" s="14"/>
      <c r="M4408" s="12" t="s">
        <v>43</v>
      </c>
      <c r="N4408" s="12" t="s">
        <v>84</v>
      </c>
      <c r="O4408" s="12" t="s">
        <v>15525</v>
      </c>
      <c r="P4408" s="12" t="s">
        <v>46</v>
      </c>
      <c r="Q4408" s="12" t="s">
        <v>47</v>
      </c>
      <c r="R4408" s="12" t="s">
        <v>117</v>
      </c>
      <c r="S4408" s="13">
        <v>197804454969</v>
      </c>
      <c r="T4408" s="12" t="s">
        <v>105</v>
      </c>
      <c r="U4408" s="13">
        <v>36</v>
      </c>
      <c r="V4408" s="12" t="s">
        <v>50</v>
      </c>
      <c r="W4408" s="12" t="s">
        <v>284</v>
      </c>
      <c r="X4408" s="14"/>
      <c r="Y4408" s="14"/>
      <c r="Z4408" s="14"/>
      <c r="AA4408" s="14"/>
      <c r="AB4408" s="14"/>
      <c r="AC4408" s="15">
        <v>43.2</v>
      </c>
      <c r="AD4408" s="15">
        <f>AC4408*AG4408</f>
        <v>43.2</v>
      </c>
      <c r="AE4408" s="15">
        <v>95</v>
      </c>
      <c r="AF4408" s="15">
        <f>AE4408*AG4408</f>
        <v>95</v>
      </c>
      <c r="AG4408" s="16">
        <v>1</v>
      </c>
    </row>
    <row r="4409" spans="1:33" ht="15" customHeight="1" x14ac:dyDescent="0.2">
      <c r="A4409" s="11" t="str">
        <f t="shared" ref="A4409:A4413" si="1392">HYPERLINK("https://assets.vans.eu/images/VN000D6ZEMT-HERO/1","VN000D6ZEMT1")</f>
        <v>VN000D6ZEMT1</v>
      </c>
      <c r="B4409" s="12" t="s">
        <v>15526</v>
      </c>
      <c r="C4409" s="12" t="s">
        <v>110</v>
      </c>
      <c r="D4409" s="12" t="s">
        <v>5149</v>
      </c>
      <c r="E4409" s="12" t="s">
        <v>15527</v>
      </c>
      <c r="F4409" s="13">
        <v>50</v>
      </c>
      <c r="G4409" s="12" t="s">
        <v>1460</v>
      </c>
      <c r="H4409" s="12" t="s">
        <v>38</v>
      </c>
      <c r="I4409" s="12" t="s">
        <v>113</v>
      </c>
      <c r="J4409" s="12" t="s">
        <v>114</v>
      </c>
      <c r="K4409" s="12" t="s">
        <v>82</v>
      </c>
      <c r="L4409" s="14"/>
      <c r="M4409" s="12" t="s">
        <v>43</v>
      </c>
      <c r="N4409" s="12" t="s">
        <v>84</v>
      </c>
      <c r="O4409" s="12" t="s">
        <v>15528</v>
      </c>
      <c r="P4409" s="12" t="s">
        <v>46</v>
      </c>
      <c r="Q4409" s="12" t="s">
        <v>47</v>
      </c>
      <c r="R4409" s="12" t="s">
        <v>117</v>
      </c>
      <c r="S4409" s="13">
        <v>197804455065</v>
      </c>
      <c r="T4409" s="12" t="s">
        <v>105</v>
      </c>
      <c r="U4409" s="13">
        <v>36.5</v>
      </c>
      <c r="V4409" s="12" t="s">
        <v>50</v>
      </c>
      <c r="W4409" s="12" t="s">
        <v>284</v>
      </c>
      <c r="X4409" s="14"/>
      <c r="Y4409" s="14"/>
      <c r="Z4409" s="14"/>
      <c r="AA4409" s="14"/>
      <c r="AB4409" s="14"/>
      <c r="AC4409" s="15">
        <v>43.2</v>
      </c>
      <c r="AD4409" s="15">
        <f>AC4409*AG4409</f>
        <v>43.2</v>
      </c>
      <c r="AE4409" s="15">
        <v>95</v>
      </c>
      <c r="AF4409" s="15">
        <f>AE4409*AG4409</f>
        <v>95</v>
      </c>
      <c r="AG4409" s="16">
        <v>1</v>
      </c>
    </row>
    <row r="4410" spans="1:33" ht="15" customHeight="1" x14ac:dyDescent="0.2">
      <c r="A4410" s="11" t="str">
        <f t="shared" si="1392"/>
        <v>VN000D6ZEMT1</v>
      </c>
      <c r="B4410" s="12" t="s">
        <v>15529</v>
      </c>
      <c r="C4410" s="12" t="s">
        <v>110</v>
      </c>
      <c r="D4410" s="12" t="s">
        <v>5149</v>
      </c>
      <c r="E4410" s="12" t="s">
        <v>15530</v>
      </c>
      <c r="F4410" s="13">
        <v>55</v>
      </c>
      <c r="G4410" s="12" t="s">
        <v>1460</v>
      </c>
      <c r="H4410" s="12" t="s">
        <v>38</v>
      </c>
      <c r="I4410" s="12" t="s">
        <v>113</v>
      </c>
      <c r="J4410" s="12" t="s">
        <v>114</v>
      </c>
      <c r="K4410" s="12" t="s">
        <v>82</v>
      </c>
      <c r="L4410" s="14"/>
      <c r="M4410" s="12" t="s">
        <v>43</v>
      </c>
      <c r="N4410" s="12" t="s">
        <v>84</v>
      </c>
      <c r="O4410" s="12" t="s">
        <v>15531</v>
      </c>
      <c r="P4410" s="12" t="s">
        <v>46</v>
      </c>
      <c r="Q4410" s="12" t="s">
        <v>47</v>
      </c>
      <c r="R4410" s="12" t="s">
        <v>117</v>
      </c>
      <c r="S4410" s="13">
        <v>197804455256</v>
      </c>
      <c r="T4410" s="12" t="s">
        <v>105</v>
      </c>
      <c r="U4410" s="13">
        <v>37</v>
      </c>
      <c r="V4410" s="12" t="s">
        <v>50</v>
      </c>
      <c r="W4410" s="12" t="s">
        <v>284</v>
      </c>
      <c r="X4410" s="14"/>
      <c r="Y4410" s="14"/>
      <c r="Z4410" s="14"/>
      <c r="AA4410" s="14"/>
      <c r="AB4410" s="14"/>
      <c r="AC4410" s="15">
        <v>43.2</v>
      </c>
      <c r="AD4410" s="15">
        <f>AC4410*AG4410</f>
        <v>43.2</v>
      </c>
      <c r="AE4410" s="15">
        <v>95</v>
      </c>
      <c r="AF4410" s="15">
        <f>AE4410*AG4410</f>
        <v>95</v>
      </c>
      <c r="AG4410" s="16">
        <v>1</v>
      </c>
    </row>
    <row r="4411" spans="1:33" ht="15" customHeight="1" x14ac:dyDescent="0.2">
      <c r="A4411" s="11" t="str">
        <f t="shared" si="1392"/>
        <v>VN000D6ZEMT1</v>
      </c>
      <c r="B4411" s="12" t="s">
        <v>15532</v>
      </c>
      <c r="C4411" s="12" t="s">
        <v>110</v>
      </c>
      <c r="D4411" s="12" t="s">
        <v>5149</v>
      </c>
      <c r="E4411" s="12" t="s">
        <v>15533</v>
      </c>
      <c r="F4411" s="13">
        <v>65</v>
      </c>
      <c r="G4411" s="12" t="s">
        <v>1460</v>
      </c>
      <c r="H4411" s="12" t="s">
        <v>38</v>
      </c>
      <c r="I4411" s="12" t="s">
        <v>113</v>
      </c>
      <c r="J4411" s="12" t="s">
        <v>114</v>
      </c>
      <c r="K4411" s="12" t="s">
        <v>82</v>
      </c>
      <c r="L4411" s="14"/>
      <c r="M4411" s="12" t="s">
        <v>43</v>
      </c>
      <c r="N4411" s="12" t="s">
        <v>84</v>
      </c>
      <c r="O4411" s="12" t="s">
        <v>15534</v>
      </c>
      <c r="P4411" s="12" t="s">
        <v>46</v>
      </c>
      <c r="Q4411" s="12" t="s">
        <v>47</v>
      </c>
      <c r="R4411" s="12" t="s">
        <v>117</v>
      </c>
      <c r="S4411" s="13">
        <v>197804455430</v>
      </c>
      <c r="T4411" s="12" t="s">
        <v>105</v>
      </c>
      <c r="U4411" s="13">
        <v>38.5</v>
      </c>
      <c r="V4411" s="12" t="s">
        <v>50</v>
      </c>
      <c r="W4411" s="12" t="s">
        <v>284</v>
      </c>
      <c r="X4411" s="14"/>
      <c r="Y4411" s="14"/>
      <c r="Z4411" s="14"/>
      <c r="AA4411" s="14"/>
      <c r="AB4411" s="14"/>
      <c r="AC4411" s="15">
        <v>43.2</v>
      </c>
      <c r="AD4411" s="15">
        <f>AC4411*AG4411</f>
        <v>43.2</v>
      </c>
      <c r="AE4411" s="15">
        <v>95</v>
      </c>
      <c r="AF4411" s="15">
        <f>AE4411*AG4411</f>
        <v>95</v>
      </c>
      <c r="AG4411" s="16">
        <v>1</v>
      </c>
    </row>
    <row r="4412" spans="1:33" ht="15" customHeight="1" x14ac:dyDescent="0.2">
      <c r="A4412" s="11" t="str">
        <f t="shared" si="1392"/>
        <v>VN000D6ZEMT1</v>
      </c>
      <c r="B4412" s="12" t="s">
        <v>15535</v>
      </c>
      <c r="C4412" s="12" t="s">
        <v>110</v>
      </c>
      <c r="D4412" s="12" t="s">
        <v>5149</v>
      </c>
      <c r="E4412" s="12" t="s">
        <v>15536</v>
      </c>
      <c r="F4412" s="13">
        <v>70</v>
      </c>
      <c r="G4412" s="12" t="s">
        <v>1460</v>
      </c>
      <c r="H4412" s="12" t="s">
        <v>38</v>
      </c>
      <c r="I4412" s="12" t="s">
        <v>113</v>
      </c>
      <c r="J4412" s="12" t="s">
        <v>114</v>
      </c>
      <c r="K4412" s="12" t="s">
        <v>82</v>
      </c>
      <c r="L4412" s="14"/>
      <c r="M4412" s="12" t="s">
        <v>43</v>
      </c>
      <c r="N4412" s="12" t="s">
        <v>84</v>
      </c>
      <c r="O4412" s="12" t="s">
        <v>15537</v>
      </c>
      <c r="P4412" s="12" t="s">
        <v>46</v>
      </c>
      <c r="Q4412" s="12" t="s">
        <v>47</v>
      </c>
      <c r="R4412" s="12" t="s">
        <v>117</v>
      </c>
      <c r="S4412" s="13">
        <v>197804455621</v>
      </c>
      <c r="T4412" s="12" t="s">
        <v>105</v>
      </c>
      <c r="U4412" s="13">
        <v>39</v>
      </c>
      <c r="V4412" s="12" t="s">
        <v>50</v>
      </c>
      <c r="W4412" s="12" t="s">
        <v>284</v>
      </c>
      <c r="X4412" s="14"/>
      <c r="Y4412" s="14"/>
      <c r="Z4412" s="14"/>
      <c r="AA4412" s="14"/>
      <c r="AB4412" s="14"/>
      <c r="AC4412" s="15">
        <v>43.2</v>
      </c>
      <c r="AD4412" s="15">
        <f>AC4412*AG4412</f>
        <v>43.2</v>
      </c>
      <c r="AE4412" s="15">
        <v>95</v>
      </c>
      <c r="AF4412" s="15">
        <f>AE4412*AG4412</f>
        <v>95</v>
      </c>
      <c r="AG4412" s="16">
        <v>1</v>
      </c>
    </row>
    <row r="4413" spans="1:33" ht="15" customHeight="1" x14ac:dyDescent="0.2">
      <c r="A4413" s="11" t="str">
        <f t="shared" si="1392"/>
        <v>VN000D6ZEMT1</v>
      </c>
      <c r="B4413" s="12" t="s">
        <v>15538</v>
      </c>
      <c r="C4413" s="12" t="s">
        <v>110</v>
      </c>
      <c r="D4413" s="12" t="s">
        <v>5149</v>
      </c>
      <c r="E4413" s="12" t="s">
        <v>15539</v>
      </c>
      <c r="F4413" s="13">
        <v>75</v>
      </c>
      <c r="G4413" s="12" t="s">
        <v>1460</v>
      </c>
      <c r="H4413" s="12" t="s">
        <v>38</v>
      </c>
      <c r="I4413" s="12" t="s">
        <v>113</v>
      </c>
      <c r="J4413" s="12" t="s">
        <v>114</v>
      </c>
      <c r="K4413" s="12" t="s">
        <v>82</v>
      </c>
      <c r="L4413" s="14"/>
      <c r="M4413" s="12" t="s">
        <v>43</v>
      </c>
      <c r="N4413" s="12" t="s">
        <v>84</v>
      </c>
      <c r="O4413" s="12" t="s">
        <v>15540</v>
      </c>
      <c r="P4413" s="12" t="s">
        <v>46</v>
      </c>
      <c r="Q4413" s="12" t="s">
        <v>47</v>
      </c>
      <c r="R4413" s="12" t="s">
        <v>117</v>
      </c>
      <c r="S4413" s="13">
        <v>197804455720</v>
      </c>
      <c r="T4413" s="12" t="s">
        <v>105</v>
      </c>
      <c r="U4413" s="13">
        <v>40</v>
      </c>
      <c r="V4413" s="12" t="s">
        <v>50</v>
      </c>
      <c r="W4413" s="12" t="s">
        <v>284</v>
      </c>
      <c r="X4413" s="14"/>
      <c r="Y4413" s="14"/>
      <c r="Z4413" s="14"/>
      <c r="AA4413" s="14"/>
      <c r="AB4413" s="14"/>
      <c r="AC4413" s="15">
        <v>43.2</v>
      </c>
      <c r="AD4413" s="15">
        <f>AC4413*AG4413</f>
        <v>43.2</v>
      </c>
      <c r="AE4413" s="15">
        <v>95</v>
      </c>
      <c r="AF4413" s="15">
        <f>AE4413*AG4413</f>
        <v>95</v>
      </c>
      <c r="AG4413" s="16">
        <v>1</v>
      </c>
    </row>
    <row r="4414" spans="1:33" ht="15" customHeight="1" x14ac:dyDescent="0.2">
      <c r="A4414" s="11" t="str">
        <f t="shared" si="459"/>
        <v>VN000D6ZEMW1</v>
      </c>
      <c r="B4414" s="12" t="s">
        <v>15541</v>
      </c>
      <c r="C4414" s="12" t="s">
        <v>110</v>
      </c>
      <c r="D4414" s="12" t="s">
        <v>147</v>
      </c>
      <c r="E4414" s="12" t="s">
        <v>15542</v>
      </c>
      <c r="F4414" s="13">
        <v>50</v>
      </c>
      <c r="G4414" s="14"/>
      <c r="H4414" s="12" t="s">
        <v>38</v>
      </c>
      <c r="I4414" s="12" t="s">
        <v>113</v>
      </c>
      <c r="J4414" s="12" t="s">
        <v>114</v>
      </c>
      <c r="K4414" s="12" t="s">
        <v>82</v>
      </c>
      <c r="L4414" s="14"/>
      <c r="M4414" s="12" t="s">
        <v>43</v>
      </c>
      <c r="N4414" s="12" t="s">
        <v>84</v>
      </c>
      <c r="O4414" s="12" t="s">
        <v>15543</v>
      </c>
      <c r="P4414" s="12" t="s">
        <v>46</v>
      </c>
      <c r="Q4414" s="12" t="s">
        <v>47</v>
      </c>
      <c r="R4414" s="12" t="s">
        <v>117</v>
      </c>
      <c r="S4414" s="13">
        <v>197804455072</v>
      </c>
      <c r="T4414" s="12" t="s">
        <v>49</v>
      </c>
      <c r="U4414" s="13">
        <v>36.5</v>
      </c>
      <c r="V4414" s="12" t="s">
        <v>50</v>
      </c>
      <c r="W4414" s="12" t="s">
        <v>118</v>
      </c>
      <c r="X4414" s="14"/>
      <c r="Y4414" s="14"/>
      <c r="Z4414" s="14"/>
      <c r="AA4414" s="14"/>
      <c r="AB4414" s="14"/>
      <c r="AC4414" s="15">
        <v>43.2</v>
      </c>
      <c r="AD4414" s="15">
        <f>AC4414*AG4414</f>
        <v>43.2</v>
      </c>
      <c r="AE4414" s="15">
        <v>95</v>
      </c>
      <c r="AF4414" s="15">
        <f>AE4414*AG4414</f>
        <v>95</v>
      </c>
      <c r="AG4414" s="16">
        <v>1</v>
      </c>
    </row>
    <row r="4415" spans="1:33" ht="15" customHeight="1" x14ac:dyDescent="0.2">
      <c r="A4415" s="11" t="str">
        <f>HYPERLINK("https://assets.vans.eu/images/VN000D6ZEMY-HERO/1","VN000D6ZEMY1")</f>
        <v>VN000D6ZEMY1</v>
      </c>
      <c r="B4415" s="12" t="s">
        <v>15544</v>
      </c>
      <c r="C4415" s="12" t="s">
        <v>110</v>
      </c>
      <c r="D4415" s="12" t="s">
        <v>1155</v>
      </c>
      <c r="E4415" s="12" t="s">
        <v>15545</v>
      </c>
      <c r="F4415" s="13">
        <v>45</v>
      </c>
      <c r="G4415" s="12" t="s">
        <v>3002</v>
      </c>
      <c r="H4415" s="12" t="s">
        <v>38</v>
      </c>
      <c r="I4415" s="12" t="s">
        <v>113</v>
      </c>
      <c r="J4415" s="12" t="s">
        <v>114</v>
      </c>
      <c r="K4415" s="12" t="s">
        <v>82</v>
      </c>
      <c r="L4415" s="14"/>
      <c r="M4415" s="12" t="s">
        <v>43</v>
      </c>
      <c r="N4415" s="12" t="s">
        <v>84</v>
      </c>
      <c r="O4415" s="12" t="s">
        <v>15546</v>
      </c>
      <c r="P4415" s="12" t="s">
        <v>46</v>
      </c>
      <c r="Q4415" s="12" t="s">
        <v>47</v>
      </c>
      <c r="R4415" s="12" t="s">
        <v>117</v>
      </c>
      <c r="S4415" s="13">
        <v>197804455157</v>
      </c>
      <c r="T4415" s="12" t="s">
        <v>105</v>
      </c>
      <c r="U4415" s="13">
        <v>36</v>
      </c>
      <c r="V4415" s="12" t="s">
        <v>50</v>
      </c>
      <c r="W4415" s="12" t="s">
        <v>107</v>
      </c>
      <c r="X4415" s="14"/>
      <c r="Y4415" s="14"/>
      <c r="Z4415" s="14"/>
      <c r="AA4415" s="14"/>
      <c r="AB4415" s="14"/>
      <c r="AC4415" s="15">
        <v>43.2</v>
      </c>
      <c r="AD4415" s="15">
        <f>AC4415*AG4415</f>
        <v>43.2</v>
      </c>
      <c r="AE4415" s="15">
        <v>95</v>
      </c>
      <c r="AF4415" s="15">
        <f>AE4415*AG4415</f>
        <v>95</v>
      </c>
      <c r="AG4415" s="16">
        <v>1</v>
      </c>
    </row>
    <row r="4416" spans="1:33" ht="15" customHeight="1" x14ac:dyDescent="0.2">
      <c r="A4416" s="11" t="str">
        <f>HYPERLINK("https://assets.vans.eu/images/VN000D6ZEMY-HERO/1","VN000D6ZEMY1")</f>
        <v>VN000D6ZEMY1</v>
      </c>
      <c r="B4416" s="12" t="s">
        <v>15547</v>
      </c>
      <c r="C4416" s="12" t="s">
        <v>110</v>
      </c>
      <c r="D4416" s="12" t="s">
        <v>1155</v>
      </c>
      <c r="E4416" s="12" t="s">
        <v>15548</v>
      </c>
      <c r="F4416" s="13">
        <v>50</v>
      </c>
      <c r="G4416" s="12" t="s">
        <v>3002</v>
      </c>
      <c r="H4416" s="12" t="s">
        <v>38</v>
      </c>
      <c r="I4416" s="12" t="s">
        <v>113</v>
      </c>
      <c r="J4416" s="12" t="s">
        <v>114</v>
      </c>
      <c r="K4416" s="12" t="s">
        <v>82</v>
      </c>
      <c r="L4416" s="14"/>
      <c r="M4416" s="12" t="s">
        <v>43</v>
      </c>
      <c r="N4416" s="12" t="s">
        <v>84</v>
      </c>
      <c r="O4416" s="12" t="s">
        <v>15549</v>
      </c>
      <c r="P4416" s="12" t="s">
        <v>46</v>
      </c>
      <c r="Q4416" s="12" t="s">
        <v>47</v>
      </c>
      <c r="R4416" s="12" t="s">
        <v>117</v>
      </c>
      <c r="S4416" s="13">
        <v>197804455195</v>
      </c>
      <c r="T4416" s="12" t="s">
        <v>105</v>
      </c>
      <c r="U4416" s="13">
        <v>36.5</v>
      </c>
      <c r="V4416" s="12" t="s">
        <v>50</v>
      </c>
      <c r="W4416" s="12" t="s">
        <v>107</v>
      </c>
      <c r="X4416" s="14"/>
      <c r="Y4416" s="14"/>
      <c r="Z4416" s="14"/>
      <c r="AA4416" s="14"/>
      <c r="AB4416" s="14"/>
      <c r="AC4416" s="15">
        <v>43.2</v>
      </c>
      <c r="AD4416" s="15">
        <f>AC4416*AG4416</f>
        <v>43.2</v>
      </c>
      <c r="AE4416" s="15">
        <v>95</v>
      </c>
      <c r="AF4416" s="15">
        <f>AE4416*AG4416</f>
        <v>95</v>
      </c>
      <c r="AG4416" s="16">
        <v>1</v>
      </c>
    </row>
    <row r="4417" spans="1:33" ht="15" customHeight="1" x14ac:dyDescent="0.2">
      <c r="A4417" s="11" t="str">
        <f>HYPERLINK("https://assets.vans.eu/images/VN000D6ZEMY-HERO/1","VN000D6ZEMY1")</f>
        <v>VN000D6ZEMY1</v>
      </c>
      <c r="B4417" s="12" t="s">
        <v>15550</v>
      </c>
      <c r="C4417" s="12" t="s">
        <v>110</v>
      </c>
      <c r="D4417" s="12" t="s">
        <v>1155</v>
      </c>
      <c r="E4417" s="12" t="s">
        <v>15551</v>
      </c>
      <c r="F4417" s="13">
        <v>55</v>
      </c>
      <c r="G4417" s="12" t="s">
        <v>3002</v>
      </c>
      <c r="H4417" s="12" t="s">
        <v>38</v>
      </c>
      <c r="I4417" s="12" t="s">
        <v>113</v>
      </c>
      <c r="J4417" s="12" t="s">
        <v>114</v>
      </c>
      <c r="K4417" s="12" t="s">
        <v>82</v>
      </c>
      <c r="L4417" s="14"/>
      <c r="M4417" s="12" t="s">
        <v>43</v>
      </c>
      <c r="N4417" s="12" t="s">
        <v>84</v>
      </c>
      <c r="O4417" s="12" t="s">
        <v>15552</v>
      </c>
      <c r="P4417" s="12" t="s">
        <v>46</v>
      </c>
      <c r="Q4417" s="12" t="s">
        <v>47</v>
      </c>
      <c r="R4417" s="12" t="s">
        <v>117</v>
      </c>
      <c r="S4417" s="13">
        <v>197804455539</v>
      </c>
      <c r="T4417" s="12" t="s">
        <v>105</v>
      </c>
      <c r="U4417" s="13">
        <v>37</v>
      </c>
      <c r="V4417" s="12" t="s">
        <v>50</v>
      </c>
      <c r="W4417" s="12" t="s">
        <v>107</v>
      </c>
      <c r="X4417" s="14"/>
      <c r="Y4417" s="14"/>
      <c r="Z4417" s="14"/>
      <c r="AA4417" s="14"/>
      <c r="AB4417" s="14"/>
      <c r="AC4417" s="15">
        <v>43.2</v>
      </c>
      <c r="AD4417" s="15">
        <f>AC4417*AG4417</f>
        <v>43.2</v>
      </c>
      <c r="AE4417" s="15">
        <v>95</v>
      </c>
      <c r="AF4417" s="15">
        <f>AE4417*AG4417</f>
        <v>95</v>
      </c>
      <c r="AG4417" s="16">
        <v>1</v>
      </c>
    </row>
    <row r="4418" spans="1:33" ht="15" customHeight="1" x14ac:dyDescent="0.2">
      <c r="A4418" s="11" t="str">
        <f>HYPERLINK("https://assets.vans.eu/images/VN000D6ZEMY-HERO/1","VN000D6ZEMY1")</f>
        <v>VN000D6ZEMY1</v>
      </c>
      <c r="B4418" s="12" t="s">
        <v>15553</v>
      </c>
      <c r="C4418" s="12" t="s">
        <v>110</v>
      </c>
      <c r="D4418" s="12" t="s">
        <v>1155</v>
      </c>
      <c r="E4418" s="12" t="s">
        <v>15554</v>
      </c>
      <c r="F4418" s="13">
        <v>75</v>
      </c>
      <c r="G4418" s="12" t="s">
        <v>3002</v>
      </c>
      <c r="H4418" s="12" t="s">
        <v>38</v>
      </c>
      <c r="I4418" s="12" t="s">
        <v>113</v>
      </c>
      <c r="J4418" s="12" t="s">
        <v>114</v>
      </c>
      <c r="K4418" s="12" t="s">
        <v>82</v>
      </c>
      <c r="L4418" s="14"/>
      <c r="M4418" s="12" t="s">
        <v>43</v>
      </c>
      <c r="N4418" s="12" t="s">
        <v>84</v>
      </c>
      <c r="O4418" s="12" t="s">
        <v>15555</v>
      </c>
      <c r="P4418" s="12" t="s">
        <v>46</v>
      </c>
      <c r="Q4418" s="12" t="s">
        <v>47</v>
      </c>
      <c r="R4418" s="12" t="s">
        <v>117</v>
      </c>
      <c r="S4418" s="13">
        <v>197804456208</v>
      </c>
      <c r="T4418" s="12" t="s">
        <v>105</v>
      </c>
      <c r="U4418" s="13">
        <v>40</v>
      </c>
      <c r="V4418" s="12" t="s">
        <v>50</v>
      </c>
      <c r="W4418" s="12" t="s">
        <v>107</v>
      </c>
      <c r="X4418" s="14"/>
      <c r="Y4418" s="14"/>
      <c r="Z4418" s="14"/>
      <c r="AA4418" s="14"/>
      <c r="AB4418" s="14"/>
      <c r="AC4418" s="15">
        <v>43.2</v>
      </c>
      <c r="AD4418" s="15">
        <f>AC4418*AG4418</f>
        <v>43.2</v>
      </c>
      <c r="AE4418" s="15">
        <v>95</v>
      </c>
      <c r="AF4418" s="15">
        <f>AE4418*AG4418</f>
        <v>95</v>
      </c>
      <c r="AG4418" s="16">
        <v>1</v>
      </c>
    </row>
    <row r="4419" spans="1:33" ht="15" customHeight="1" x14ac:dyDescent="0.2">
      <c r="A4419" s="11" t="str">
        <f t="shared" si="419"/>
        <v>VN000D6ZPNK1</v>
      </c>
      <c r="B4419" s="12" t="s">
        <v>15556</v>
      </c>
      <c r="C4419" s="12" t="s">
        <v>110</v>
      </c>
      <c r="D4419" s="12" t="s">
        <v>3984</v>
      </c>
      <c r="E4419" s="12" t="s">
        <v>15557</v>
      </c>
      <c r="F4419" s="13">
        <v>65</v>
      </c>
      <c r="G4419" s="12" t="s">
        <v>3986</v>
      </c>
      <c r="H4419" s="12" t="s">
        <v>38</v>
      </c>
      <c r="I4419" s="12" t="s">
        <v>113</v>
      </c>
      <c r="J4419" s="12" t="s">
        <v>114</v>
      </c>
      <c r="K4419" s="12" t="s">
        <v>82</v>
      </c>
      <c r="L4419" s="14"/>
      <c r="M4419" s="12" t="s">
        <v>43</v>
      </c>
      <c r="N4419" s="12" t="s">
        <v>84</v>
      </c>
      <c r="O4419" s="12" t="s">
        <v>15558</v>
      </c>
      <c r="P4419" s="12" t="s">
        <v>46</v>
      </c>
      <c r="Q4419" s="12" t="s">
        <v>47</v>
      </c>
      <c r="R4419" s="12" t="s">
        <v>117</v>
      </c>
      <c r="S4419" s="13">
        <v>197804457168</v>
      </c>
      <c r="T4419" s="12" t="s">
        <v>105</v>
      </c>
      <c r="U4419" s="13">
        <v>38.5</v>
      </c>
      <c r="V4419" s="12" t="s">
        <v>50</v>
      </c>
      <c r="W4419" s="12" t="s">
        <v>299</v>
      </c>
      <c r="X4419" s="14"/>
      <c r="Y4419" s="14"/>
      <c r="Z4419" s="14"/>
      <c r="AA4419" s="14"/>
      <c r="AB4419" s="14"/>
      <c r="AC4419" s="15">
        <v>43.2</v>
      </c>
      <c r="AD4419" s="15">
        <f>AC4419*AG4419</f>
        <v>43.2</v>
      </c>
      <c r="AE4419" s="15">
        <v>95</v>
      </c>
      <c r="AF4419" s="15">
        <f>AE4419*AG4419</f>
        <v>95</v>
      </c>
      <c r="AG4419" s="16">
        <v>1</v>
      </c>
    </row>
    <row r="4420" spans="1:33" ht="15" customHeight="1" x14ac:dyDescent="0.2">
      <c r="A4420" s="11" t="str">
        <f t="shared" si="1083"/>
        <v>VN000D6ZTTN1</v>
      </c>
      <c r="B4420" s="12" t="s">
        <v>15559</v>
      </c>
      <c r="C4420" s="12" t="s">
        <v>110</v>
      </c>
      <c r="D4420" s="12" t="s">
        <v>951</v>
      </c>
      <c r="E4420" s="12" t="s">
        <v>15560</v>
      </c>
      <c r="F4420" s="13">
        <v>35</v>
      </c>
      <c r="G4420" s="12" t="s">
        <v>5839</v>
      </c>
      <c r="H4420" s="12" t="s">
        <v>38</v>
      </c>
      <c r="I4420" s="12" t="s">
        <v>113</v>
      </c>
      <c r="J4420" s="12" t="s">
        <v>114</v>
      </c>
      <c r="K4420" s="12" t="s">
        <v>82</v>
      </c>
      <c r="L4420" s="14"/>
      <c r="M4420" s="12" t="s">
        <v>43</v>
      </c>
      <c r="N4420" s="12" t="s">
        <v>44</v>
      </c>
      <c r="O4420" s="12" t="s">
        <v>15561</v>
      </c>
      <c r="P4420" s="12" t="s">
        <v>46</v>
      </c>
      <c r="Q4420" s="12" t="s">
        <v>47</v>
      </c>
      <c r="R4420" s="12" t="s">
        <v>117</v>
      </c>
      <c r="S4420" s="13">
        <v>197643213895</v>
      </c>
      <c r="T4420" s="12" t="s">
        <v>105</v>
      </c>
      <c r="U4420" s="13">
        <v>34.5</v>
      </c>
      <c r="V4420" s="12" t="s">
        <v>50</v>
      </c>
      <c r="W4420" s="12" t="s">
        <v>284</v>
      </c>
      <c r="X4420" s="14"/>
      <c r="Y4420" s="12" t="s">
        <v>53</v>
      </c>
      <c r="Z4420" s="12" t="s">
        <v>165</v>
      </c>
      <c r="AA4420" s="14"/>
      <c r="AB4420" s="14"/>
      <c r="AC4420" s="15">
        <v>45.5</v>
      </c>
      <c r="AD4420" s="15">
        <f>AC4420*AG4420</f>
        <v>45.5</v>
      </c>
      <c r="AE4420" s="15">
        <v>100</v>
      </c>
      <c r="AF4420" s="15">
        <f>AE4420*AG4420</f>
        <v>100</v>
      </c>
      <c r="AG4420" s="16">
        <v>1</v>
      </c>
    </row>
    <row r="4421" spans="1:33" ht="15" customHeight="1" x14ac:dyDescent="0.2">
      <c r="A4421" s="11" t="str">
        <f>HYPERLINK("https://assets.vans.eu/images/VN000D6ZTTN-HERO/1","VN000D6ZTTN1")</f>
        <v>VN000D6ZTTN1</v>
      </c>
      <c r="B4421" s="12" t="s">
        <v>15562</v>
      </c>
      <c r="C4421" s="12" t="s">
        <v>110</v>
      </c>
      <c r="D4421" s="12" t="s">
        <v>951</v>
      </c>
      <c r="E4421" s="12" t="s">
        <v>15563</v>
      </c>
      <c r="F4421" s="13">
        <v>50</v>
      </c>
      <c r="G4421" s="12" t="s">
        <v>5839</v>
      </c>
      <c r="H4421" s="12" t="s">
        <v>38</v>
      </c>
      <c r="I4421" s="12" t="s">
        <v>113</v>
      </c>
      <c r="J4421" s="12" t="s">
        <v>114</v>
      </c>
      <c r="K4421" s="12" t="s">
        <v>82</v>
      </c>
      <c r="L4421" s="14"/>
      <c r="M4421" s="12" t="s">
        <v>43</v>
      </c>
      <c r="N4421" s="12" t="s">
        <v>44</v>
      </c>
      <c r="O4421" s="12" t="s">
        <v>15564</v>
      </c>
      <c r="P4421" s="12" t="s">
        <v>46</v>
      </c>
      <c r="Q4421" s="12" t="s">
        <v>47</v>
      </c>
      <c r="R4421" s="12" t="s">
        <v>117</v>
      </c>
      <c r="S4421" s="13">
        <v>197643214403</v>
      </c>
      <c r="T4421" s="12" t="s">
        <v>105</v>
      </c>
      <c r="U4421" s="13">
        <v>36.5</v>
      </c>
      <c r="V4421" s="12" t="s">
        <v>50</v>
      </c>
      <c r="W4421" s="12" t="s">
        <v>284</v>
      </c>
      <c r="X4421" s="14"/>
      <c r="Y4421" s="12" t="s">
        <v>53</v>
      </c>
      <c r="Z4421" s="12" t="s">
        <v>165</v>
      </c>
      <c r="AA4421" s="14"/>
      <c r="AB4421" s="14"/>
      <c r="AC4421" s="15">
        <v>45.5</v>
      </c>
      <c r="AD4421" s="15">
        <f>AC4421*AG4421</f>
        <v>45.5</v>
      </c>
      <c r="AE4421" s="15">
        <v>100</v>
      </c>
      <c r="AF4421" s="15">
        <f>AE4421*AG4421</f>
        <v>100</v>
      </c>
      <c r="AG4421" s="16">
        <v>1</v>
      </c>
    </row>
    <row r="4422" spans="1:33" ht="15" customHeight="1" x14ac:dyDescent="0.2">
      <c r="A4422" s="11" t="str">
        <f t="shared" ref="A4422:A4423" si="1393">HYPERLINK("https://assets.vans.eu/images/VN000D6ZZ5D-HERO/1","VN000D6ZZ5D1")</f>
        <v>VN000D6ZZ5D1</v>
      </c>
      <c r="B4422" s="12" t="s">
        <v>15565</v>
      </c>
      <c r="C4422" s="12" t="s">
        <v>110</v>
      </c>
      <c r="D4422" s="12" t="s">
        <v>2575</v>
      </c>
      <c r="E4422" s="12" t="s">
        <v>15566</v>
      </c>
      <c r="F4422" s="13">
        <v>75</v>
      </c>
      <c r="G4422" s="12" t="s">
        <v>2779</v>
      </c>
      <c r="H4422" s="12" t="s">
        <v>38</v>
      </c>
      <c r="I4422" s="12" t="s">
        <v>113</v>
      </c>
      <c r="J4422" s="12" t="s">
        <v>114</v>
      </c>
      <c r="K4422" s="12" t="s">
        <v>82</v>
      </c>
      <c r="L4422" s="14"/>
      <c r="M4422" s="12" t="s">
        <v>43</v>
      </c>
      <c r="N4422" s="12" t="s">
        <v>84</v>
      </c>
      <c r="O4422" s="12" t="s">
        <v>15567</v>
      </c>
      <c r="P4422" s="12" t="s">
        <v>46</v>
      </c>
      <c r="Q4422" s="12" t="s">
        <v>47</v>
      </c>
      <c r="R4422" s="12" t="s">
        <v>117</v>
      </c>
      <c r="S4422" s="13">
        <v>197804457465</v>
      </c>
      <c r="T4422" s="12" t="s">
        <v>164</v>
      </c>
      <c r="U4422" s="13">
        <v>40</v>
      </c>
      <c r="V4422" s="12" t="s">
        <v>50</v>
      </c>
      <c r="W4422" s="12" t="s">
        <v>175</v>
      </c>
      <c r="X4422" s="14"/>
      <c r="Y4422" s="14"/>
      <c r="Z4422" s="14"/>
      <c r="AA4422" s="14"/>
      <c r="AB4422" s="14"/>
      <c r="AC4422" s="15">
        <v>43.2</v>
      </c>
      <c r="AD4422" s="15">
        <f>AC4422*AG4422</f>
        <v>43.2</v>
      </c>
      <c r="AE4422" s="15">
        <v>95</v>
      </c>
      <c r="AF4422" s="15">
        <f>AE4422*AG4422</f>
        <v>95</v>
      </c>
      <c r="AG4422" s="16">
        <v>1</v>
      </c>
    </row>
    <row r="4423" spans="1:33" ht="15" customHeight="1" x14ac:dyDescent="0.2">
      <c r="A4423" s="11" t="str">
        <f t="shared" si="1393"/>
        <v>VN000D6ZZ5D1</v>
      </c>
      <c r="B4423" s="12" t="s">
        <v>15568</v>
      </c>
      <c r="C4423" s="12" t="s">
        <v>110</v>
      </c>
      <c r="D4423" s="12" t="s">
        <v>2575</v>
      </c>
      <c r="E4423" s="12" t="s">
        <v>15569</v>
      </c>
      <c r="F4423" s="13">
        <v>85</v>
      </c>
      <c r="G4423" s="12" t="s">
        <v>2779</v>
      </c>
      <c r="H4423" s="12" t="s">
        <v>38</v>
      </c>
      <c r="I4423" s="12" t="s">
        <v>113</v>
      </c>
      <c r="J4423" s="12" t="s">
        <v>114</v>
      </c>
      <c r="K4423" s="12" t="s">
        <v>82</v>
      </c>
      <c r="L4423" s="14"/>
      <c r="M4423" s="12" t="s">
        <v>43</v>
      </c>
      <c r="N4423" s="12" t="s">
        <v>84</v>
      </c>
      <c r="O4423" s="12" t="s">
        <v>15570</v>
      </c>
      <c r="P4423" s="12" t="s">
        <v>46</v>
      </c>
      <c r="Q4423" s="12" t="s">
        <v>47</v>
      </c>
      <c r="R4423" s="12" t="s">
        <v>117</v>
      </c>
      <c r="S4423" s="13">
        <v>197804457656</v>
      </c>
      <c r="T4423" s="12" t="s">
        <v>164</v>
      </c>
      <c r="U4423" s="13">
        <v>41</v>
      </c>
      <c r="V4423" s="12" t="s">
        <v>50</v>
      </c>
      <c r="W4423" s="12" t="s">
        <v>175</v>
      </c>
      <c r="X4423" s="14"/>
      <c r="Y4423" s="14"/>
      <c r="Z4423" s="14"/>
      <c r="AA4423" s="14"/>
      <c r="AB4423" s="14"/>
      <c r="AC4423" s="15">
        <v>43.2</v>
      </c>
      <c r="AD4423" s="15">
        <f>AC4423*AG4423</f>
        <v>43.2</v>
      </c>
      <c r="AE4423" s="15">
        <v>95</v>
      </c>
      <c r="AF4423" s="15">
        <f>AE4423*AG4423</f>
        <v>95</v>
      </c>
      <c r="AG4423" s="16">
        <v>1</v>
      </c>
    </row>
    <row r="4424" spans="1:33" ht="15" customHeight="1" x14ac:dyDescent="0.2">
      <c r="A4424" s="11" t="str">
        <f t="shared" ref="A4424:A4425" si="1394">HYPERLINK("https://assets.vans.eu/images/VN000D7089F-HERO/1","VN000D7089F1")</f>
        <v>VN000D7089F1</v>
      </c>
      <c r="B4424" s="12" t="s">
        <v>15571</v>
      </c>
      <c r="C4424" s="12" t="s">
        <v>1614</v>
      </c>
      <c r="D4424" s="12" t="s">
        <v>9557</v>
      </c>
      <c r="E4424" s="12" t="s">
        <v>15572</v>
      </c>
      <c r="F4424" s="13">
        <v>50</v>
      </c>
      <c r="G4424" s="12" t="s">
        <v>5695</v>
      </c>
      <c r="H4424" s="12" t="s">
        <v>38</v>
      </c>
      <c r="I4424" s="12" t="s">
        <v>113</v>
      </c>
      <c r="J4424" s="12" t="s">
        <v>529</v>
      </c>
      <c r="K4424" s="12" t="s">
        <v>82</v>
      </c>
      <c r="L4424" s="14"/>
      <c r="M4424" s="12" t="s">
        <v>43</v>
      </c>
      <c r="N4424" s="12" t="s">
        <v>84</v>
      </c>
      <c r="O4424" s="12" t="s">
        <v>15573</v>
      </c>
      <c r="P4424" s="12" t="s">
        <v>46</v>
      </c>
      <c r="Q4424" s="12" t="s">
        <v>47</v>
      </c>
      <c r="R4424" s="12" t="s">
        <v>117</v>
      </c>
      <c r="S4424" s="13">
        <v>197804541218</v>
      </c>
      <c r="T4424" s="12" t="s">
        <v>105</v>
      </c>
      <c r="U4424" s="13">
        <v>36.5</v>
      </c>
      <c r="V4424" s="12" t="s">
        <v>50</v>
      </c>
      <c r="W4424" s="12" t="s">
        <v>580</v>
      </c>
      <c r="X4424" s="14"/>
      <c r="Y4424" s="14"/>
      <c r="Z4424" s="14"/>
      <c r="AA4424" s="14"/>
      <c r="AB4424" s="14"/>
      <c r="AC4424" s="15">
        <v>50</v>
      </c>
      <c r="AD4424" s="15">
        <f>AC4424*AG4424</f>
        <v>50</v>
      </c>
      <c r="AE4424" s="15">
        <v>110</v>
      </c>
      <c r="AF4424" s="15">
        <f>AE4424*AG4424</f>
        <v>110</v>
      </c>
      <c r="AG4424" s="16">
        <v>1</v>
      </c>
    </row>
    <row r="4425" spans="1:33" ht="15" customHeight="1" x14ac:dyDescent="0.2">
      <c r="A4425" s="11" t="str">
        <f t="shared" si="1394"/>
        <v>VN000D7089F1</v>
      </c>
      <c r="B4425" s="12" t="s">
        <v>15574</v>
      </c>
      <c r="C4425" s="12" t="s">
        <v>1614</v>
      </c>
      <c r="D4425" s="12" t="s">
        <v>9557</v>
      </c>
      <c r="E4425" s="12" t="s">
        <v>15575</v>
      </c>
      <c r="F4425" s="13">
        <v>105</v>
      </c>
      <c r="G4425" s="12" t="s">
        <v>5695</v>
      </c>
      <c r="H4425" s="12" t="s">
        <v>38</v>
      </c>
      <c r="I4425" s="12" t="s">
        <v>113</v>
      </c>
      <c r="J4425" s="12" t="s">
        <v>529</v>
      </c>
      <c r="K4425" s="12" t="s">
        <v>82</v>
      </c>
      <c r="L4425" s="14"/>
      <c r="M4425" s="12" t="s">
        <v>43</v>
      </c>
      <c r="N4425" s="12" t="s">
        <v>84</v>
      </c>
      <c r="O4425" s="12" t="s">
        <v>15576</v>
      </c>
      <c r="P4425" s="12" t="s">
        <v>46</v>
      </c>
      <c r="Q4425" s="12" t="s">
        <v>47</v>
      </c>
      <c r="R4425" s="12" t="s">
        <v>117</v>
      </c>
      <c r="S4425" s="13">
        <v>197804542642</v>
      </c>
      <c r="T4425" s="12" t="s">
        <v>105</v>
      </c>
      <c r="U4425" s="13">
        <v>44</v>
      </c>
      <c r="V4425" s="12" t="s">
        <v>50</v>
      </c>
      <c r="W4425" s="12" t="s">
        <v>580</v>
      </c>
      <c r="X4425" s="14"/>
      <c r="Y4425" s="14"/>
      <c r="Z4425" s="14"/>
      <c r="AA4425" s="14"/>
      <c r="AB4425" s="14"/>
      <c r="AC4425" s="15">
        <v>50</v>
      </c>
      <c r="AD4425" s="15">
        <f>AC4425*AG4425</f>
        <v>50</v>
      </c>
      <c r="AE4425" s="15">
        <v>110</v>
      </c>
      <c r="AF4425" s="15">
        <f>AE4425*AG4425</f>
        <v>110</v>
      </c>
      <c r="AG4425" s="16">
        <v>1</v>
      </c>
    </row>
    <row r="4426" spans="1:33" ht="15" customHeight="1" x14ac:dyDescent="0.2">
      <c r="A4426" s="11" t="str">
        <f t="shared" si="1084"/>
        <v>VN000D7ABKA1</v>
      </c>
      <c r="B4426" s="12" t="s">
        <v>15577</v>
      </c>
      <c r="C4426" s="12" t="s">
        <v>9912</v>
      </c>
      <c r="D4426" s="12" t="s">
        <v>252</v>
      </c>
      <c r="E4426" s="12" t="s">
        <v>15578</v>
      </c>
      <c r="F4426" s="13">
        <v>80</v>
      </c>
      <c r="G4426" s="14"/>
      <c r="H4426" s="12" t="s">
        <v>38</v>
      </c>
      <c r="I4426" s="12" t="s">
        <v>113</v>
      </c>
      <c r="J4426" s="12" t="s">
        <v>529</v>
      </c>
      <c r="K4426" s="12" t="s">
        <v>82</v>
      </c>
      <c r="L4426" s="14"/>
      <c r="M4426" s="12" t="s">
        <v>43</v>
      </c>
      <c r="N4426" s="12" t="s">
        <v>44</v>
      </c>
      <c r="O4426" s="12" t="s">
        <v>15579</v>
      </c>
      <c r="P4426" s="12" t="s">
        <v>46</v>
      </c>
      <c r="Q4426" s="12" t="s">
        <v>47</v>
      </c>
      <c r="R4426" s="12" t="s">
        <v>117</v>
      </c>
      <c r="S4426" s="13">
        <v>197643315780</v>
      </c>
      <c r="T4426" s="12" t="s">
        <v>49</v>
      </c>
      <c r="U4426" s="13">
        <v>40.5</v>
      </c>
      <c r="V4426" s="12" t="s">
        <v>50</v>
      </c>
      <c r="W4426" s="12" t="s">
        <v>51</v>
      </c>
      <c r="X4426" s="14"/>
      <c r="Y4426" s="12" t="s">
        <v>53</v>
      </c>
      <c r="Z4426" s="12" t="s">
        <v>263</v>
      </c>
      <c r="AA4426" s="14"/>
      <c r="AB4426" s="14"/>
      <c r="AC4426" s="15">
        <v>50</v>
      </c>
      <c r="AD4426" s="15">
        <f>AC4426*AG4426</f>
        <v>50</v>
      </c>
      <c r="AE4426" s="15">
        <v>110</v>
      </c>
      <c r="AF4426" s="15">
        <f>AE4426*AG4426</f>
        <v>110</v>
      </c>
      <c r="AG4426" s="16">
        <v>1</v>
      </c>
    </row>
    <row r="4427" spans="1:33" ht="15" customHeight="1" x14ac:dyDescent="0.2">
      <c r="A4427" s="11" t="str">
        <f t="shared" si="1085"/>
        <v>VN000D7G29B1</v>
      </c>
      <c r="B4427" s="12" t="s">
        <v>15580</v>
      </c>
      <c r="C4427" s="12" t="s">
        <v>9916</v>
      </c>
      <c r="D4427" s="12" t="s">
        <v>5629</v>
      </c>
      <c r="E4427" s="12" t="s">
        <v>15581</v>
      </c>
      <c r="F4427" s="13">
        <v>60</v>
      </c>
      <c r="G4427" s="12" t="s">
        <v>7493</v>
      </c>
      <c r="H4427" s="12" t="s">
        <v>38</v>
      </c>
      <c r="I4427" s="12" t="s">
        <v>159</v>
      </c>
      <c r="J4427" s="12" t="s">
        <v>255</v>
      </c>
      <c r="K4427" s="12" t="s">
        <v>199</v>
      </c>
      <c r="L4427" s="14"/>
      <c r="M4427" s="12" t="s">
        <v>43</v>
      </c>
      <c r="N4427" s="12" t="s">
        <v>44</v>
      </c>
      <c r="O4427" s="12" t="s">
        <v>15582</v>
      </c>
      <c r="P4427" s="12" t="s">
        <v>46</v>
      </c>
      <c r="Q4427" s="12" t="s">
        <v>276</v>
      </c>
      <c r="R4427" s="12" t="s">
        <v>277</v>
      </c>
      <c r="S4427" s="13">
        <v>197803486183</v>
      </c>
      <c r="T4427" s="12" t="s">
        <v>49</v>
      </c>
      <c r="U4427" s="13">
        <v>38</v>
      </c>
      <c r="V4427" s="12" t="s">
        <v>278</v>
      </c>
      <c r="W4427" s="12" t="s">
        <v>51</v>
      </c>
      <c r="X4427" s="14"/>
      <c r="Y4427" s="12" t="s">
        <v>91</v>
      </c>
      <c r="Z4427" s="12" t="s">
        <v>165</v>
      </c>
      <c r="AA4427" s="14"/>
      <c r="AB4427" s="14"/>
      <c r="AC4427" s="15">
        <v>18.2</v>
      </c>
      <c r="AD4427" s="15">
        <f>AC4427*AG4427</f>
        <v>18.2</v>
      </c>
      <c r="AE4427" s="15">
        <v>40</v>
      </c>
      <c r="AF4427" s="15">
        <f>AE4427*AG4427</f>
        <v>40</v>
      </c>
      <c r="AG4427" s="16">
        <v>1</v>
      </c>
    </row>
    <row r="4428" spans="1:33" ht="15" customHeight="1" x14ac:dyDescent="0.2">
      <c r="A4428" s="11" t="str">
        <f t="shared" ref="A4428:A4430" si="1395">HYPERLINK("https://assets.vans.eu/images/VN000D7G29B-HERO/1","VN000D7G29B1")</f>
        <v>VN000D7G29B1</v>
      </c>
      <c r="B4428" s="12" t="s">
        <v>15583</v>
      </c>
      <c r="C4428" s="12" t="s">
        <v>9916</v>
      </c>
      <c r="D4428" s="12" t="s">
        <v>5629</v>
      </c>
      <c r="E4428" s="12" t="s">
        <v>15584</v>
      </c>
      <c r="F4428" s="13">
        <v>70</v>
      </c>
      <c r="G4428" s="12" t="s">
        <v>7493</v>
      </c>
      <c r="H4428" s="12" t="s">
        <v>38</v>
      </c>
      <c r="I4428" s="12" t="s">
        <v>159</v>
      </c>
      <c r="J4428" s="12" t="s">
        <v>255</v>
      </c>
      <c r="K4428" s="12" t="s">
        <v>199</v>
      </c>
      <c r="L4428" s="14"/>
      <c r="M4428" s="12" t="s">
        <v>43</v>
      </c>
      <c r="N4428" s="12" t="s">
        <v>44</v>
      </c>
      <c r="O4428" s="12" t="s">
        <v>15585</v>
      </c>
      <c r="P4428" s="12" t="s">
        <v>46</v>
      </c>
      <c r="Q4428" s="12" t="s">
        <v>276</v>
      </c>
      <c r="R4428" s="12" t="s">
        <v>277</v>
      </c>
      <c r="S4428" s="13">
        <v>197643291626</v>
      </c>
      <c r="T4428" s="12" t="s">
        <v>49</v>
      </c>
      <c r="U4428" s="13">
        <v>39</v>
      </c>
      <c r="V4428" s="12" t="s">
        <v>278</v>
      </c>
      <c r="W4428" s="12" t="s">
        <v>51</v>
      </c>
      <c r="X4428" s="14"/>
      <c r="Y4428" s="12" t="s">
        <v>91</v>
      </c>
      <c r="Z4428" s="12" t="s">
        <v>165</v>
      </c>
      <c r="AA4428" s="14"/>
      <c r="AB4428" s="14"/>
      <c r="AC4428" s="15">
        <v>18.2</v>
      </c>
      <c r="AD4428" s="15">
        <f>AC4428*AG4428</f>
        <v>18.2</v>
      </c>
      <c r="AE4428" s="15">
        <v>40</v>
      </c>
      <c r="AF4428" s="15">
        <f>AE4428*AG4428</f>
        <v>40</v>
      </c>
      <c r="AG4428" s="16">
        <v>1</v>
      </c>
    </row>
    <row r="4429" spans="1:33" ht="15" customHeight="1" x14ac:dyDescent="0.2">
      <c r="A4429" s="11" t="str">
        <f t="shared" si="1395"/>
        <v>VN000D7G29B1</v>
      </c>
      <c r="B4429" s="12" t="s">
        <v>15586</v>
      </c>
      <c r="C4429" s="12" t="s">
        <v>9916</v>
      </c>
      <c r="D4429" s="12" t="s">
        <v>5629</v>
      </c>
      <c r="E4429" s="12" t="s">
        <v>15587</v>
      </c>
      <c r="F4429" s="13">
        <v>80</v>
      </c>
      <c r="G4429" s="12" t="s">
        <v>7493</v>
      </c>
      <c r="H4429" s="12" t="s">
        <v>38</v>
      </c>
      <c r="I4429" s="12" t="s">
        <v>159</v>
      </c>
      <c r="J4429" s="12" t="s">
        <v>255</v>
      </c>
      <c r="K4429" s="12" t="s">
        <v>199</v>
      </c>
      <c r="L4429" s="14"/>
      <c r="M4429" s="12" t="s">
        <v>43</v>
      </c>
      <c r="N4429" s="12" t="s">
        <v>44</v>
      </c>
      <c r="O4429" s="12" t="s">
        <v>15588</v>
      </c>
      <c r="P4429" s="12" t="s">
        <v>46</v>
      </c>
      <c r="Q4429" s="12" t="s">
        <v>276</v>
      </c>
      <c r="R4429" s="12" t="s">
        <v>277</v>
      </c>
      <c r="S4429" s="13">
        <v>197643291671</v>
      </c>
      <c r="T4429" s="12" t="s">
        <v>49</v>
      </c>
      <c r="U4429" s="13">
        <v>40.5</v>
      </c>
      <c r="V4429" s="12" t="s">
        <v>278</v>
      </c>
      <c r="W4429" s="12" t="s">
        <v>51</v>
      </c>
      <c r="X4429" s="14"/>
      <c r="Y4429" s="12" t="s">
        <v>91</v>
      </c>
      <c r="Z4429" s="12" t="s">
        <v>165</v>
      </c>
      <c r="AA4429" s="14"/>
      <c r="AB4429" s="14"/>
      <c r="AC4429" s="15">
        <v>18.2</v>
      </c>
      <c r="AD4429" s="15">
        <f>AC4429*AG4429</f>
        <v>18.2</v>
      </c>
      <c r="AE4429" s="15">
        <v>40</v>
      </c>
      <c r="AF4429" s="15">
        <f>AE4429*AG4429</f>
        <v>40</v>
      </c>
      <c r="AG4429" s="16">
        <v>1</v>
      </c>
    </row>
    <row r="4430" spans="1:33" ht="15" customHeight="1" x14ac:dyDescent="0.2">
      <c r="A4430" s="11" t="str">
        <f t="shared" si="1395"/>
        <v>VN000D7G29B1</v>
      </c>
      <c r="B4430" s="12" t="s">
        <v>15589</v>
      </c>
      <c r="C4430" s="12" t="s">
        <v>9916</v>
      </c>
      <c r="D4430" s="12" t="s">
        <v>5629</v>
      </c>
      <c r="E4430" s="12" t="s">
        <v>15590</v>
      </c>
      <c r="F4430" s="13">
        <v>120</v>
      </c>
      <c r="G4430" s="12" t="s">
        <v>7493</v>
      </c>
      <c r="H4430" s="12" t="s">
        <v>38</v>
      </c>
      <c r="I4430" s="12" t="s">
        <v>159</v>
      </c>
      <c r="J4430" s="12" t="s">
        <v>255</v>
      </c>
      <c r="K4430" s="12" t="s">
        <v>199</v>
      </c>
      <c r="L4430" s="14"/>
      <c r="M4430" s="12" t="s">
        <v>43</v>
      </c>
      <c r="N4430" s="12" t="s">
        <v>44</v>
      </c>
      <c r="O4430" s="12" t="s">
        <v>15591</v>
      </c>
      <c r="P4430" s="12" t="s">
        <v>46</v>
      </c>
      <c r="Q4430" s="12" t="s">
        <v>276</v>
      </c>
      <c r="R4430" s="12" t="s">
        <v>277</v>
      </c>
      <c r="S4430" s="13">
        <v>197643292067</v>
      </c>
      <c r="T4430" s="12" t="s">
        <v>49</v>
      </c>
      <c r="U4430" s="13">
        <v>46</v>
      </c>
      <c r="V4430" s="12" t="s">
        <v>278</v>
      </c>
      <c r="W4430" s="12" t="s">
        <v>51</v>
      </c>
      <c r="X4430" s="14"/>
      <c r="Y4430" s="12" t="s">
        <v>91</v>
      </c>
      <c r="Z4430" s="12" t="s">
        <v>165</v>
      </c>
      <c r="AA4430" s="14"/>
      <c r="AB4430" s="14"/>
      <c r="AC4430" s="15">
        <v>18.2</v>
      </c>
      <c r="AD4430" s="15">
        <f>AC4430*AG4430</f>
        <v>18.2</v>
      </c>
      <c r="AE4430" s="15">
        <v>40</v>
      </c>
      <c r="AF4430" s="15">
        <f>AE4430*AG4430</f>
        <v>40</v>
      </c>
      <c r="AG4430" s="16">
        <v>1</v>
      </c>
    </row>
    <row r="4431" spans="1:33" ht="15" customHeight="1" x14ac:dyDescent="0.2">
      <c r="A4431" s="11" t="str">
        <f t="shared" si="1086"/>
        <v>VN000D7Z1NU1</v>
      </c>
      <c r="B4431" s="12" t="s">
        <v>15592</v>
      </c>
      <c r="C4431" s="12" t="s">
        <v>34</v>
      </c>
      <c r="D4431" s="12" t="s">
        <v>783</v>
      </c>
      <c r="E4431" s="12" t="s">
        <v>15593</v>
      </c>
      <c r="F4431" s="13">
        <v>50</v>
      </c>
      <c r="G4431" s="14"/>
      <c r="H4431" s="12" t="s">
        <v>38</v>
      </c>
      <c r="I4431" s="12" t="s">
        <v>159</v>
      </c>
      <c r="J4431" s="12" t="s">
        <v>160</v>
      </c>
      <c r="K4431" s="12" t="s">
        <v>82</v>
      </c>
      <c r="L4431" s="14"/>
      <c r="M4431" s="12" t="s">
        <v>43</v>
      </c>
      <c r="N4431" s="12" t="s">
        <v>84</v>
      </c>
      <c r="O4431" s="12" t="s">
        <v>15594</v>
      </c>
      <c r="P4431" s="12" t="s">
        <v>46</v>
      </c>
      <c r="Q4431" s="12" t="s">
        <v>47</v>
      </c>
      <c r="R4431" s="12" t="s">
        <v>163</v>
      </c>
      <c r="S4431" s="13">
        <v>197804543625</v>
      </c>
      <c r="T4431" s="12" t="s">
        <v>105</v>
      </c>
      <c r="U4431" s="13">
        <v>36.5</v>
      </c>
      <c r="V4431" s="12" t="s">
        <v>50</v>
      </c>
      <c r="W4431" s="12" t="s">
        <v>186</v>
      </c>
      <c r="X4431" s="14"/>
      <c r="Y4431" s="14"/>
      <c r="Z4431" s="14"/>
      <c r="AA4431" s="14"/>
      <c r="AB4431" s="14"/>
      <c r="AC4431" s="15">
        <v>38.65</v>
      </c>
      <c r="AD4431" s="15">
        <f>AC4431*AG4431</f>
        <v>38.65</v>
      </c>
      <c r="AE4431" s="15">
        <v>85</v>
      </c>
      <c r="AF4431" s="15">
        <f>AE4431*AG4431</f>
        <v>85</v>
      </c>
      <c r="AG4431" s="16">
        <v>1</v>
      </c>
    </row>
    <row r="4432" spans="1:33" ht="15" customHeight="1" x14ac:dyDescent="0.2">
      <c r="A4432" s="11" t="str">
        <f t="shared" si="1087"/>
        <v>VN000D7Z6N01</v>
      </c>
      <c r="B4432" s="12" t="s">
        <v>15595</v>
      </c>
      <c r="C4432" s="12" t="s">
        <v>34</v>
      </c>
      <c r="D4432" s="12" t="s">
        <v>7361</v>
      </c>
      <c r="E4432" s="12" t="s">
        <v>15596</v>
      </c>
      <c r="F4432" s="13">
        <v>80</v>
      </c>
      <c r="G4432" s="14"/>
      <c r="H4432" s="12" t="s">
        <v>38</v>
      </c>
      <c r="I4432" s="12" t="s">
        <v>113</v>
      </c>
      <c r="J4432" s="12" t="s">
        <v>114</v>
      </c>
      <c r="K4432" s="12" t="s">
        <v>82</v>
      </c>
      <c r="L4432" s="12" t="s">
        <v>260</v>
      </c>
      <c r="M4432" s="12" t="s">
        <v>43</v>
      </c>
      <c r="N4432" s="12" t="s">
        <v>84</v>
      </c>
      <c r="O4432" s="12" t="s">
        <v>15597</v>
      </c>
      <c r="P4432" s="12" t="s">
        <v>46</v>
      </c>
      <c r="Q4432" s="12" t="s">
        <v>47</v>
      </c>
      <c r="R4432" s="12" t="s">
        <v>117</v>
      </c>
      <c r="S4432" s="13">
        <v>197804612970</v>
      </c>
      <c r="T4432" s="12" t="s">
        <v>49</v>
      </c>
      <c r="U4432" s="13">
        <v>40.5</v>
      </c>
      <c r="V4432" s="12" t="s">
        <v>50</v>
      </c>
      <c r="W4432" s="12" t="s">
        <v>107</v>
      </c>
      <c r="X4432" s="14"/>
      <c r="Y4432" s="14"/>
      <c r="Z4432" s="14"/>
      <c r="AA4432" s="14"/>
      <c r="AB4432" s="14"/>
      <c r="AC4432" s="15">
        <v>40.950000000000003</v>
      </c>
      <c r="AD4432" s="15">
        <f>AC4432*AG4432</f>
        <v>40.950000000000003</v>
      </c>
      <c r="AE4432" s="15">
        <v>90</v>
      </c>
      <c r="AF4432" s="15">
        <f>AE4432*AG4432</f>
        <v>90</v>
      </c>
      <c r="AG4432" s="16">
        <v>1</v>
      </c>
    </row>
    <row r="4433" spans="1:33" ht="15" customHeight="1" x14ac:dyDescent="0.2">
      <c r="A4433" s="11" t="str">
        <f t="shared" ref="A4433:A4434" si="1396">HYPERLINK("https://assets.vans.eu/images/VN000D7ZBTO-HERO/1","VN000D7ZBTO1")</f>
        <v>VN000D7ZBTO1</v>
      </c>
      <c r="B4433" s="12" t="s">
        <v>15598</v>
      </c>
      <c r="C4433" s="12" t="s">
        <v>34</v>
      </c>
      <c r="D4433" s="12" t="s">
        <v>2658</v>
      </c>
      <c r="E4433" s="12" t="s">
        <v>15599</v>
      </c>
      <c r="F4433" s="13">
        <v>80</v>
      </c>
      <c r="G4433" s="14"/>
      <c r="H4433" s="12" t="s">
        <v>38</v>
      </c>
      <c r="I4433" s="12" t="s">
        <v>159</v>
      </c>
      <c r="J4433" s="12" t="s">
        <v>160</v>
      </c>
      <c r="K4433" s="12" t="s">
        <v>82</v>
      </c>
      <c r="L4433" s="14"/>
      <c r="M4433" s="12" t="s">
        <v>43</v>
      </c>
      <c r="N4433" s="12" t="s">
        <v>84</v>
      </c>
      <c r="O4433" s="12" t="s">
        <v>15600</v>
      </c>
      <c r="P4433" s="12" t="s">
        <v>46</v>
      </c>
      <c r="Q4433" s="12" t="s">
        <v>47</v>
      </c>
      <c r="R4433" s="12" t="s">
        <v>163</v>
      </c>
      <c r="S4433" s="13">
        <v>197804544967</v>
      </c>
      <c r="T4433" s="12" t="s">
        <v>105</v>
      </c>
      <c r="U4433" s="13">
        <v>40.5</v>
      </c>
      <c r="V4433" s="12" t="s">
        <v>50</v>
      </c>
      <c r="W4433" s="12" t="s">
        <v>933</v>
      </c>
      <c r="X4433" s="14"/>
      <c r="Y4433" s="14"/>
      <c r="Z4433" s="14"/>
      <c r="AA4433" s="14"/>
      <c r="AB4433" s="14"/>
      <c r="AC4433" s="15">
        <v>45.5</v>
      </c>
      <c r="AD4433" s="15">
        <f>AC4433*AG4433</f>
        <v>45.5</v>
      </c>
      <c r="AE4433" s="15">
        <v>100</v>
      </c>
      <c r="AF4433" s="15">
        <f>AE4433*AG4433</f>
        <v>100</v>
      </c>
      <c r="AG4433" s="16">
        <v>1</v>
      </c>
    </row>
    <row r="4434" spans="1:33" ht="15" customHeight="1" x14ac:dyDescent="0.2">
      <c r="A4434" s="11" t="str">
        <f t="shared" si="1396"/>
        <v>VN000D7ZBTO1</v>
      </c>
      <c r="B4434" s="12" t="s">
        <v>15601</v>
      </c>
      <c r="C4434" s="12" t="s">
        <v>34</v>
      </c>
      <c r="D4434" s="12" t="s">
        <v>2658</v>
      </c>
      <c r="E4434" s="12" t="s">
        <v>15602</v>
      </c>
      <c r="F4434" s="13">
        <v>90</v>
      </c>
      <c r="G4434" s="14"/>
      <c r="H4434" s="12" t="s">
        <v>38</v>
      </c>
      <c r="I4434" s="12" t="s">
        <v>159</v>
      </c>
      <c r="J4434" s="12" t="s">
        <v>160</v>
      </c>
      <c r="K4434" s="12" t="s">
        <v>82</v>
      </c>
      <c r="L4434" s="14"/>
      <c r="M4434" s="12" t="s">
        <v>43</v>
      </c>
      <c r="N4434" s="12" t="s">
        <v>84</v>
      </c>
      <c r="O4434" s="12" t="s">
        <v>15603</v>
      </c>
      <c r="P4434" s="12" t="s">
        <v>46</v>
      </c>
      <c r="Q4434" s="12" t="s">
        <v>47</v>
      </c>
      <c r="R4434" s="12" t="s">
        <v>163</v>
      </c>
      <c r="S4434" s="13">
        <v>197804545346</v>
      </c>
      <c r="T4434" s="12" t="s">
        <v>105</v>
      </c>
      <c r="U4434" s="13">
        <v>42</v>
      </c>
      <c r="V4434" s="12" t="s">
        <v>50</v>
      </c>
      <c r="W4434" s="12" t="s">
        <v>933</v>
      </c>
      <c r="X4434" s="14"/>
      <c r="Y4434" s="14"/>
      <c r="Z4434" s="14"/>
      <c r="AA4434" s="14"/>
      <c r="AB4434" s="14"/>
      <c r="AC4434" s="15">
        <v>45.5</v>
      </c>
      <c r="AD4434" s="15">
        <f>AC4434*AG4434</f>
        <v>45.5</v>
      </c>
      <c r="AE4434" s="15">
        <v>100</v>
      </c>
      <c r="AF4434" s="15">
        <f>AE4434*AG4434</f>
        <v>100</v>
      </c>
      <c r="AG4434" s="16">
        <v>1</v>
      </c>
    </row>
    <row r="4435" spans="1:33" ht="15" customHeight="1" x14ac:dyDescent="0.2">
      <c r="A4435" s="11" t="str">
        <f>HYPERLINK("https://assets.vans.eu/images/VN000D7ZCHS-HERO/1","VN000D7ZCHS1")</f>
        <v>VN000D7ZCHS1</v>
      </c>
      <c r="B4435" s="12" t="s">
        <v>15604</v>
      </c>
      <c r="C4435" s="12" t="s">
        <v>34</v>
      </c>
      <c r="D4435" s="12" t="s">
        <v>15605</v>
      </c>
      <c r="E4435" s="12" t="s">
        <v>15606</v>
      </c>
      <c r="F4435" s="13">
        <v>115</v>
      </c>
      <c r="G4435" s="14"/>
      <c r="H4435" s="12" t="s">
        <v>38</v>
      </c>
      <c r="I4435" s="12" t="s">
        <v>159</v>
      </c>
      <c r="J4435" s="12" t="s">
        <v>160</v>
      </c>
      <c r="K4435" s="12" t="s">
        <v>82</v>
      </c>
      <c r="L4435" s="12" t="s">
        <v>260</v>
      </c>
      <c r="M4435" s="12" t="s">
        <v>43</v>
      </c>
      <c r="N4435" s="12" t="s">
        <v>84</v>
      </c>
      <c r="O4435" s="12" t="s">
        <v>15607</v>
      </c>
      <c r="P4435" s="12" t="s">
        <v>46</v>
      </c>
      <c r="Q4435" s="12" t="s">
        <v>47</v>
      </c>
      <c r="R4435" s="12" t="s">
        <v>163</v>
      </c>
      <c r="S4435" s="13">
        <v>197804837854</v>
      </c>
      <c r="T4435" s="12" t="s">
        <v>105</v>
      </c>
      <c r="U4435" s="13">
        <v>45</v>
      </c>
      <c r="V4435" s="12" t="s">
        <v>50</v>
      </c>
      <c r="W4435" s="12" t="s">
        <v>186</v>
      </c>
      <c r="X4435" s="14"/>
      <c r="Y4435" s="14"/>
      <c r="Z4435" s="14"/>
      <c r="AA4435" s="14"/>
      <c r="AB4435" s="14"/>
      <c r="AC4435" s="15">
        <v>43.2</v>
      </c>
      <c r="AD4435" s="15">
        <f>AC4435*AG4435</f>
        <v>43.2</v>
      </c>
      <c r="AE4435" s="15">
        <v>95</v>
      </c>
      <c r="AF4435" s="15">
        <f>AE4435*AG4435</f>
        <v>95</v>
      </c>
      <c r="AG4435" s="16">
        <v>1</v>
      </c>
    </row>
    <row r="4436" spans="1:33" ht="15" customHeight="1" x14ac:dyDescent="0.2">
      <c r="A4436" s="11" t="str">
        <f t="shared" si="811"/>
        <v>VN000D7ZJDU1</v>
      </c>
      <c r="B4436" s="12" t="s">
        <v>15608</v>
      </c>
      <c r="C4436" s="12" t="s">
        <v>34</v>
      </c>
      <c r="D4436" s="12" t="s">
        <v>814</v>
      </c>
      <c r="E4436" s="12" t="s">
        <v>15609</v>
      </c>
      <c r="F4436" s="13">
        <v>40</v>
      </c>
      <c r="G4436" s="14"/>
      <c r="H4436" s="12" t="s">
        <v>38</v>
      </c>
      <c r="I4436" s="12" t="s">
        <v>113</v>
      </c>
      <c r="J4436" s="12" t="s">
        <v>114</v>
      </c>
      <c r="K4436" s="12" t="s">
        <v>82</v>
      </c>
      <c r="L4436" s="12" t="s">
        <v>260</v>
      </c>
      <c r="M4436" s="12" t="s">
        <v>43</v>
      </c>
      <c r="N4436" s="12" t="s">
        <v>84</v>
      </c>
      <c r="O4436" s="12" t="s">
        <v>15610</v>
      </c>
      <c r="P4436" s="12" t="s">
        <v>46</v>
      </c>
      <c r="Q4436" s="12" t="s">
        <v>47</v>
      </c>
      <c r="R4436" s="12" t="s">
        <v>117</v>
      </c>
      <c r="S4436" s="13">
        <v>197804835201</v>
      </c>
      <c r="T4436" s="12" t="s">
        <v>105</v>
      </c>
      <c r="U4436" s="13">
        <v>35</v>
      </c>
      <c r="V4436" s="12" t="s">
        <v>50</v>
      </c>
      <c r="W4436" s="12" t="s">
        <v>284</v>
      </c>
      <c r="X4436" s="14"/>
      <c r="Y4436" s="14"/>
      <c r="Z4436" s="14"/>
      <c r="AA4436" s="14"/>
      <c r="AB4436" s="14"/>
      <c r="AC4436" s="15">
        <v>43.2</v>
      </c>
      <c r="AD4436" s="15">
        <f>AC4436*AG4436</f>
        <v>43.2</v>
      </c>
      <c r="AE4436" s="15">
        <v>95</v>
      </c>
      <c r="AF4436" s="15">
        <f>AE4436*AG4436</f>
        <v>95</v>
      </c>
      <c r="AG4436" s="16">
        <v>1</v>
      </c>
    </row>
    <row r="4437" spans="1:33" ht="15" customHeight="1" x14ac:dyDescent="0.2">
      <c r="A4437" s="11" t="str">
        <f t="shared" ref="A4437:A4441" si="1397">HYPERLINK("https://assets.vans.eu/images/VN000D7ZM8I-HERO/1","VN000D7ZM8I1")</f>
        <v>VN000D7ZM8I1</v>
      </c>
      <c r="B4437" s="12" t="s">
        <v>15611</v>
      </c>
      <c r="C4437" s="12" t="s">
        <v>34</v>
      </c>
      <c r="D4437" s="12" t="s">
        <v>1487</v>
      </c>
      <c r="E4437" s="12" t="s">
        <v>15612</v>
      </c>
      <c r="F4437" s="13">
        <v>80</v>
      </c>
      <c r="G4437" s="12" t="s">
        <v>1920</v>
      </c>
      <c r="H4437" s="12" t="s">
        <v>38</v>
      </c>
      <c r="I4437" s="12" t="s">
        <v>159</v>
      </c>
      <c r="J4437" s="12" t="s">
        <v>160</v>
      </c>
      <c r="K4437" s="12" t="s">
        <v>82</v>
      </c>
      <c r="L4437" s="14"/>
      <c r="M4437" s="12" t="s">
        <v>43</v>
      </c>
      <c r="N4437" s="12" t="s">
        <v>84</v>
      </c>
      <c r="O4437" s="12" t="s">
        <v>15613</v>
      </c>
      <c r="P4437" s="12" t="s">
        <v>46</v>
      </c>
      <c r="Q4437" s="12" t="s">
        <v>47</v>
      </c>
      <c r="R4437" s="12" t="s">
        <v>163</v>
      </c>
      <c r="S4437" s="13">
        <v>197804545506</v>
      </c>
      <c r="T4437" s="12" t="s">
        <v>105</v>
      </c>
      <c r="U4437" s="13">
        <v>40.5</v>
      </c>
      <c r="V4437" s="12" t="s">
        <v>50</v>
      </c>
      <c r="W4437" s="12" t="s">
        <v>118</v>
      </c>
      <c r="X4437" s="14"/>
      <c r="Y4437" s="14"/>
      <c r="Z4437" s="14"/>
      <c r="AA4437" s="14"/>
      <c r="AB4437" s="14"/>
      <c r="AC4437" s="15">
        <v>38.65</v>
      </c>
      <c r="AD4437" s="15">
        <f>AC4437*AG4437</f>
        <v>38.65</v>
      </c>
      <c r="AE4437" s="15">
        <v>85</v>
      </c>
      <c r="AF4437" s="15">
        <f>AE4437*AG4437</f>
        <v>85</v>
      </c>
      <c r="AG4437" s="16">
        <v>1</v>
      </c>
    </row>
    <row r="4438" spans="1:33" ht="15" customHeight="1" x14ac:dyDescent="0.2">
      <c r="A4438" s="11" t="str">
        <f t="shared" si="1397"/>
        <v>VN000D7ZM8I1</v>
      </c>
      <c r="B4438" s="12" t="s">
        <v>15614</v>
      </c>
      <c r="C4438" s="12" t="s">
        <v>34</v>
      </c>
      <c r="D4438" s="12" t="s">
        <v>1487</v>
      </c>
      <c r="E4438" s="12" t="s">
        <v>15615</v>
      </c>
      <c r="F4438" s="13">
        <v>100</v>
      </c>
      <c r="G4438" s="12" t="s">
        <v>1920</v>
      </c>
      <c r="H4438" s="12" t="s">
        <v>38</v>
      </c>
      <c r="I4438" s="12" t="s">
        <v>159</v>
      </c>
      <c r="J4438" s="12" t="s">
        <v>160</v>
      </c>
      <c r="K4438" s="12" t="s">
        <v>82</v>
      </c>
      <c r="L4438" s="14"/>
      <c r="M4438" s="12" t="s">
        <v>43</v>
      </c>
      <c r="N4438" s="12" t="s">
        <v>84</v>
      </c>
      <c r="O4438" s="12" t="s">
        <v>15616</v>
      </c>
      <c r="P4438" s="12" t="s">
        <v>46</v>
      </c>
      <c r="Q4438" s="12" t="s">
        <v>47</v>
      </c>
      <c r="R4438" s="12" t="s">
        <v>163</v>
      </c>
      <c r="S4438" s="13">
        <v>197804545971</v>
      </c>
      <c r="T4438" s="12" t="s">
        <v>105</v>
      </c>
      <c r="U4438" s="13">
        <v>43</v>
      </c>
      <c r="V4438" s="12" t="s">
        <v>50</v>
      </c>
      <c r="W4438" s="12" t="s">
        <v>118</v>
      </c>
      <c r="X4438" s="14"/>
      <c r="Y4438" s="14"/>
      <c r="Z4438" s="14"/>
      <c r="AA4438" s="14"/>
      <c r="AB4438" s="14"/>
      <c r="AC4438" s="15">
        <v>38.65</v>
      </c>
      <c r="AD4438" s="15">
        <f>AC4438*AG4438</f>
        <v>38.65</v>
      </c>
      <c r="AE4438" s="15">
        <v>85</v>
      </c>
      <c r="AF4438" s="15">
        <f>AE4438*AG4438</f>
        <v>85</v>
      </c>
      <c r="AG4438" s="16">
        <v>1</v>
      </c>
    </row>
    <row r="4439" spans="1:33" ht="15" customHeight="1" x14ac:dyDescent="0.2">
      <c r="A4439" s="11" t="str">
        <f t="shared" si="1397"/>
        <v>VN000D7ZM8I1</v>
      </c>
      <c r="B4439" s="12" t="s">
        <v>15617</v>
      </c>
      <c r="C4439" s="12" t="s">
        <v>34</v>
      </c>
      <c r="D4439" s="12" t="s">
        <v>1487</v>
      </c>
      <c r="E4439" s="12" t="s">
        <v>15618</v>
      </c>
      <c r="F4439" s="13">
        <v>105</v>
      </c>
      <c r="G4439" s="12" t="s">
        <v>1920</v>
      </c>
      <c r="H4439" s="12" t="s">
        <v>38</v>
      </c>
      <c r="I4439" s="12" t="s">
        <v>159</v>
      </c>
      <c r="J4439" s="12" t="s">
        <v>160</v>
      </c>
      <c r="K4439" s="12" t="s">
        <v>82</v>
      </c>
      <c r="L4439" s="14"/>
      <c r="M4439" s="12" t="s">
        <v>43</v>
      </c>
      <c r="N4439" s="12" t="s">
        <v>84</v>
      </c>
      <c r="O4439" s="12" t="s">
        <v>15619</v>
      </c>
      <c r="P4439" s="12" t="s">
        <v>46</v>
      </c>
      <c r="Q4439" s="12" t="s">
        <v>47</v>
      </c>
      <c r="R4439" s="12" t="s">
        <v>163</v>
      </c>
      <c r="S4439" s="13">
        <v>197804545995</v>
      </c>
      <c r="T4439" s="12" t="s">
        <v>105</v>
      </c>
      <c r="U4439" s="13">
        <v>44</v>
      </c>
      <c r="V4439" s="12" t="s">
        <v>50</v>
      </c>
      <c r="W4439" s="12" t="s">
        <v>118</v>
      </c>
      <c r="X4439" s="14"/>
      <c r="Y4439" s="14"/>
      <c r="Z4439" s="14"/>
      <c r="AA4439" s="14"/>
      <c r="AB4439" s="14"/>
      <c r="AC4439" s="15">
        <v>38.65</v>
      </c>
      <c r="AD4439" s="15">
        <f>AC4439*AG4439</f>
        <v>38.65</v>
      </c>
      <c r="AE4439" s="15">
        <v>85</v>
      </c>
      <c r="AF4439" s="15">
        <f>AE4439*AG4439</f>
        <v>85</v>
      </c>
      <c r="AG4439" s="16">
        <v>1</v>
      </c>
    </row>
    <row r="4440" spans="1:33" ht="15" customHeight="1" x14ac:dyDescent="0.2">
      <c r="A4440" s="11" t="str">
        <f t="shared" si="1397"/>
        <v>VN000D7ZM8I1</v>
      </c>
      <c r="B4440" s="12" t="s">
        <v>15620</v>
      </c>
      <c r="C4440" s="12" t="s">
        <v>34</v>
      </c>
      <c r="D4440" s="12" t="s">
        <v>1487</v>
      </c>
      <c r="E4440" s="12" t="s">
        <v>15621</v>
      </c>
      <c r="F4440" s="13">
        <v>120</v>
      </c>
      <c r="G4440" s="12" t="s">
        <v>1920</v>
      </c>
      <c r="H4440" s="12" t="s">
        <v>38</v>
      </c>
      <c r="I4440" s="12" t="s">
        <v>159</v>
      </c>
      <c r="J4440" s="12" t="s">
        <v>160</v>
      </c>
      <c r="K4440" s="12" t="s">
        <v>82</v>
      </c>
      <c r="L4440" s="14"/>
      <c r="M4440" s="12" t="s">
        <v>43</v>
      </c>
      <c r="N4440" s="12" t="s">
        <v>84</v>
      </c>
      <c r="O4440" s="12" t="s">
        <v>15622</v>
      </c>
      <c r="P4440" s="12" t="s">
        <v>46</v>
      </c>
      <c r="Q4440" s="12" t="s">
        <v>47</v>
      </c>
      <c r="R4440" s="12" t="s">
        <v>163</v>
      </c>
      <c r="S4440" s="13">
        <v>197804546411</v>
      </c>
      <c r="T4440" s="12" t="s">
        <v>105</v>
      </c>
      <c r="U4440" s="13">
        <v>46</v>
      </c>
      <c r="V4440" s="12" t="s">
        <v>50</v>
      </c>
      <c r="W4440" s="12" t="s">
        <v>118</v>
      </c>
      <c r="X4440" s="14"/>
      <c r="Y4440" s="14"/>
      <c r="Z4440" s="14"/>
      <c r="AA4440" s="14"/>
      <c r="AB4440" s="14"/>
      <c r="AC4440" s="15">
        <v>38.65</v>
      </c>
      <c r="AD4440" s="15">
        <f>AC4440*AG4440</f>
        <v>38.65</v>
      </c>
      <c r="AE4440" s="15">
        <v>85</v>
      </c>
      <c r="AF4440" s="15">
        <f>AE4440*AG4440</f>
        <v>85</v>
      </c>
      <c r="AG4440" s="16">
        <v>1</v>
      </c>
    </row>
    <row r="4441" spans="1:33" ht="15" customHeight="1" x14ac:dyDescent="0.2">
      <c r="A4441" s="11" t="str">
        <f t="shared" si="1397"/>
        <v>VN000D7ZM8I1</v>
      </c>
      <c r="B4441" s="12" t="s">
        <v>15623</v>
      </c>
      <c r="C4441" s="12" t="s">
        <v>34</v>
      </c>
      <c r="D4441" s="12" t="s">
        <v>1487</v>
      </c>
      <c r="E4441" s="12" t="s">
        <v>15624</v>
      </c>
      <c r="F4441" s="13">
        <v>130</v>
      </c>
      <c r="G4441" s="12" t="s">
        <v>1920</v>
      </c>
      <c r="H4441" s="12" t="s">
        <v>38</v>
      </c>
      <c r="I4441" s="12" t="s">
        <v>159</v>
      </c>
      <c r="J4441" s="12" t="s">
        <v>160</v>
      </c>
      <c r="K4441" s="12" t="s">
        <v>82</v>
      </c>
      <c r="L4441" s="14"/>
      <c r="M4441" s="12" t="s">
        <v>43</v>
      </c>
      <c r="N4441" s="12" t="s">
        <v>84</v>
      </c>
      <c r="O4441" s="12" t="s">
        <v>15625</v>
      </c>
      <c r="P4441" s="12" t="s">
        <v>46</v>
      </c>
      <c r="Q4441" s="12" t="s">
        <v>47</v>
      </c>
      <c r="R4441" s="12" t="s">
        <v>163</v>
      </c>
      <c r="S4441" s="13">
        <v>197804546459</v>
      </c>
      <c r="T4441" s="12" t="s">
        <v>105</v>
      </c>
      <c r="U4441" s="13">
        <v>47</v>
      </c>
      <c r="V4441" s="12" t="s">
        <v>50</v>
      </c>
      <c r="W4441" s="12" t="s">
        <v>118</v>
      </c>
      <c r="X4441" s="14"/>
      <c r="Y4441" s="14"/>
      <c r="Z4441" s="14"/>
      <c r="AA4441" s="14"/>
      <c r="AB4441" s="14"/>
      <c r="AC4441" s="15">
        <v>38.65</v>
      </c>
      <c r="AD4441" s="15">
        <f>AC4441*AG4441</f>
        <v>38.65</v>
      </c>
      <c r="AE4441" s="15">
        <v>85</v>
      </c>
      <c r="AF4441" s="15">
        <f>AE4441*AG4441</f>
        <v>85</v>
      </c>
      <c r="AG4441" s="16">
        <v>1</v>
      </c>
    </row>
    <row r="4442" spans="1:33" ht="15" customHeight="1" x14ac:dyDescent="0.2">
      <c r="A4442" s="11" t="str">
        <f>HYPERLINK("https://assets.vans.eu/images/VN000D7ZNUT-HERO/1","VN000D7ZNUT1")</f>
        <v>VN000D7ZNUT1</v>
      </c>
      <c r="B4442" s="12" t="s">
        <v>15626</v>
      </c>
      <c r="C4442" s="12" t="s">
        <v>34</v>
      </c>
      <c r="D4442" s="12" t="s">
        <v>6066</v>
      </c>
      <c r="E4442" s="12" t="s">
        <v>15627</v>
      </c>
      <c r="F4442" s="13">
        <v>40</v>
      </c>
      <c r="G4442" s="12" t="s">
        <v>2273</v>
      </c>
      <c r="H4442" s="12" t="s">
        <v>38</v>
      </c>
      <c r="I4442" s="12" t="s">
        <v>159</v>
      </c>
      <c r="J4442" s="12" t="s">
        <v>160</v>
      </c>
      <c r="K4442" s="12" t="s">
        <v>82</v>
      </c>
      <c r="L4442" s="14"/>
      <c r="M4442" s="12" t="s">
        <v>43</v>
      </c>
      <c r="N4442" s="12" t="s">
        <v>84</v>
      </c>
      <c r="O4442" s="12" t="s">
        <v>15628</v>
      </c>
      <c r="P4442" s="12" t="s">
        <v>46</v>
      </c>
      <c r="Q4442" s="12" t="s">
        <v>47</v>
      </c>
      <c r="R4442" s="12" t="s">
        <v>163</v>
      </c>
      <c r="S4442" s="13">
        <v>197804544660</v>
      </c>
      <c r="T4442" s="12" t="s">
        <v>105</v>
      </c>
      <c r="U4442" s="13">
        <v>35</v>
      </c>
      <c r="V4442" s="12" t="s">
        <v>50</v>
      </c>
      <c r="W4442" s="12" t="s">
        <v>284</v>
      </c>
      <c r="X4442" s="14"/>
      <c r="Y4442" s="14"/>
      <c r="Z4442" s="14"/>
      <c r="AA4442" s="14"/>
      <c r="AB4442" s="14"/>
      <c r="AC4442" s="15">
        <v>40.950000000000003</v>
      </c>
      <c r="AD4442" s="15">
        <f>AC4442*AG4442</f>
        <v>40.950000000000003</v>
      </c>
      <c r="AE4442" s="15">
        <v>90</v>
      </c>
      <c r="AF4442" s="15">
        <f>AE4442*AG4442</f>
        <v>90</v>
      </c>
      <c r="AG4442" s="16">
        <v>1</v>
      </c>
    </row>
    <row r="4443" spans="1:33" ht="15" customHeight="1" x14ac:dyDescent="0.2">
      <c r="A4443" s="11" t="str">
        <f t="shared" si="461"/>
        <v>VN000D7ZY7U1</v>
      </c>
      <c r="B4443" s="12" t="s">
        <v>15629</v>
      </c>
      <c r="C4443" s="12" t="s">
        <v>34</v>
      </c>
      <c r="D4443" s="12" t="s">
        <v>740</v>
      </c>
      <c r="E4443" s="12" t="s">
        <v>15630</v>
      </c>
      <c r="F4443" s="13">
        <v>65</v>
      </c>
      <c r="G4443" s="14"/>
      <c r="H4443" s="12" t="s">
        <v>38</v>
      </c>
      <c r="I4443" s="12" t="s">
        <v>159</v>
      </c>
      <c r="J4443" s="12" t="s">
        <v>160</v>
      </c>
      <c r="K4443" s="12" t="s">
        <v>82</v>
      </c>
      <c r="L4443" s="14"/>
      <c r="M4443" s="12" t="s">
        <v>43</v>
      </c>
      <c r="N4443" s="12" t="s">
        <v>84</v>
      </c>
      <c r="O4443" s="12" t="s">
        <v>15631</v>
      </c>
      <c r="P4443" s="12" t="s">
        <v>46</v>
      </c>
      <c r="Q4443" s="12" t="s">
        <v>47</v>
      </c>
      <c r="R4443" s="12" t="s">
        <v>163</v>
      </c>
      <c r="S4443" s="13">
        <v>197804545858</v>
      </c>
      <c r="T4443" s="12" t="s">
        <v>105</v>
      </c>
      <c r="U4443" s="13">
        <v>38.5</v>
      </c>
      <c r="V4443" s="12" t="s">
        <v>50</v>
      </c>
      <c r="W4443" s="12" t="s">
        <v>455</v>
      </c>
      <c r="X4443" s="14"/>
      <c r="Y4443" s="14"/>
      <c r="Z4443" s="14"/>
      <c r="AA4443" s="14"/>
      <c r="AB4443" s="14"/>
      <c r="AC4443" s="15">
        <v>45.5</v>
      </c>
      <c r="AD4443" s="15">
        <f>AC4443*AG4443</f>
        <v>45.5</v>
      </c>
      <c r="AE4443" s="15">
        <v>100</v>
      </c>
      <c r="AF4443" s="15">
        <f>AE4443*AG4443</f>
        <v>100</v>
      </c>
      <c r="AG4443" s="16">
        <v>1</v>
      </c>
    </row>
    <row r="4444" spans="1:33" ht="15" customHeight="1" x14ac:dyDescent="0.2">
      <c r="A4444" s="11" t="str">
        <f t="shared" ref="A4444:A4445" si="1398">HYPERLINK("https://assets.vans.eu/images/VN000D7ZY7U-HERO/1","VN000D7ZY7U1")</f>
        <v>VN000D7ZY7U1</v>
      </c>
      <c r="B4444" s="12" t="s">
        <v>15632</v>
      </c>
      <c r="C4444" s="12" t="s">
        <v>34</v>
      </c>
      <c r="D4444" s="12" t="s">
        <v>740</v>
      </c>
      <c r="E4444" s="12" t="s">
        <v>15633</v>
      </c>
      <c r="F4444" s="13">
        <v>80</v>
      </c>
      <c r="G4444" s="14"/>
      <c r="H4444" s="12" t="s">
        <v>38</v>
      </c>
      <c r="I4444" s="12" t="s">
        <v>159</v>
      </c>
      <c r="J4444" s="12" t="s">
        <v>160</v>
      </c>
      <c r="K4444" s="12" t="s">
        <v>82</v>
      </c>
      <c r="L4444" s="14"/>
      <c r="M4444" s="12" t="s">
        <v>43</v>
      </c>
      <c r="N4444" s="12" t="s">
        <v>84</v>
      </c>
      <c r="O4444" s="12" t="s">
        <v>15634</v>
      </c>
      <c r="P4444" s="12" t="s">
        <v>46</v>
      </c>
      <c r="Q4444" s="12" t="s">
        <v>47</v>
      </c>
      <c r="R4444" s="12" t="s">
        <v>163</v>
      </c>
      <c r="S4444" s="13">
        <v>197804546213</v>
      </c>
      <c r="T4444" s="12" t="s">
        <v>105</v>
      </c>
      <c r="U4444" s="13">
        <v>40.5</v>
      </c>
      <c r="V4444" s="12" t="s">
        <v>50</v>
      </c>
      <c r="W4444" s="12" t="s">
        <v>455</v>
      </c>
      <c r="X4444" s="14"/>
      <c r="Y4444" s="14"/>
      <c r="Z4444" s="14"/>
      <c r="AA4444" s="14"/>
      <c r="AB4444" s="14"/>
      <c r="AC4444" s="15">
        <v>45.5</v>
      </c>
      <c r="AD4444" s="15">
        <f>AC4444*AG4444</f>
        <v>45.5</v>
      </c>
      <c r="AE4444" s="15">
        <v>100</v>
      </c>
      <c r="AF4444" s="15">
        <f>AE4444*AG4444</f>
        <v>100</v>
      </c>
      <c r="AG4444" s="16">
        <v>1</v>
      </c>
    </row>
    <row r="4445" spans="1:33" ht="15" customHeight="1" x14ac:dyDescent="0.2">
      <c r="A4445" s="11" t="str">
        <f t="shared" si="1398"/>
        <v>VN000D7ZY7U1</v>
      </c>
      <c r="B4445" s="12" t="s">
        <v>15635</v>
      </c>
      <c r="C4445" s="12" t="s">
        <v>34</v>
      </c>
      <c r="D4445" s="12" t="s">
        <v>740</v>
      </c>
      <c r="E4445" s="12" t="s">
        <v>15636</v>
      </c>
      <c r="F4445" s="13">
        <v>120</v>
      </c>
      <c r="G4445" s="14"/>
      <c r="H4445" s="12" t="s">
        <v>38</v>
      </c>
      <c r="I4445" s="12" t="s">
        <v>159</v>
      </c>
      <c r="J4445" s="12" t="s">
        <v>160</v>
      </c>
      <c r="K4445" s="12" t="s">
        <v>82</v>
      </c>
      <c r="L4445" s="14"/>
      <c r="M4445" s="12" t="s">
        <v>43</v>
      </c>
      <c r="N4445" s="12" t="s">
        <v>84</v>
      </c>
      <c r="O4445" s="12" t="s">
        <v>15637</v>
      </c>
      <c r="P4445" s="12" t="s">
        <v>46</v>
      </c>
      <c r="Q4445" s="12" t="s">
        <v>47</v>
      </c>
      <c r="R4445" s="12" t="s">
        <v>163</v>
      </c>
      <c r="S4445" s="13">
        <v>197804546800</v>
      </c>
      <c r="T4445" s="12" t="s">
        <v>105</v>
      </c>
      <c r="U4445" s="13">
        <v>46</v>
      </c>
      <c r="V4445" s="12" t="s">
        <v>50</v>
      </c>
      <c r="W4445" s="12" t="s">
        <v>455</v>
      </c>
      <c r="X4445" s="14"/>
      <c r="Y4445" s="14"/>
      <c r="Z4445" s="14"/>
      <c r="AA4445" s="14"/>
      <c r="AB4445" s="14"/>
      <c r="AC4445" s="15">
        <v>45.5</v>
      </c>
      <c r="AD4445" s="15">
        <f>AC4445*AG4445</f>
        <v>45.5</v>
      </c>
      <c r="AE4445" s="15">
        <v>100</v>
      </c>
      <c r="AF4445" s="15">
        <f>AE4445*AG4445</f>
        <v>100</v>
      </c>
      <c r="AG4445" s="16">
        <v>1</v>
      </c>
    </row>
    <row r="4446" spans="1:33" ht="15" customHeight="1" x14ac:dyDescent="0.2">
      <c r="A4446" s="11" t="str">
        <f t="shared" ref="A4446:A4447" si="1399">HYPERLINK("https://assets.vans.eu/images/VN000D7ZYJ7-HERO/1","VN000D7ZYJ71")</f>
        <v>VN000D7ZYJ71</v>
      </c>
      <c r="B4446" s="12" t="s">
        <v>15638</v>
      </c>
      <c r="C4446" s="12" t="s">
        <v>34</v>
      </c>
      <c r="D4446" s="12" t="s">
        <v>1300</v>
      </c>
      <c r="E4446" s="12" t="s">
        <v>15639</v>
      </c>
      <c r="F4446" s="13">
        <v>40</v>
      </c>
      <c r="G4446" s="12" t="s">
        <v>528</v>
      </c>
      <c r="H4446" s="12" t="s">
        <v>38</v>
      </c>
      <c r="I4446" s="12" t="s">
        <v>159</v>
      </c>
      <c r="J4446" s="12" t="s">
        <v>160</v>
      </c>
      <c r="K4446" s="12" t="s">
        <v>82</v>
      </c>
      <c r="L4446" s="14"/>
      <c r="M4446" s="12" t="s">
        <v>43</v>
      </c>
      <c r="N4446" s="12" t="s">
        <v>84</v>
      </c>
      <c r="O4446" s="12" t="s">
        <v>15640</v>
      </c>
      <c r="P4446" s="12" t="s">
        <v>46</v>
      </c>
      <c r="Q4446" s="12" t="s">
        <v>47</v>
      </c>
      <c r="R4446" s="12" t="s">
        <v>163</v>
      </c>
      <c r="S4446" s="13">
        <v>197804546091</v>
      </c>
      <c r="T4446" s="12" t="s">
        <v>164</v>
      </c>
      <c r="U4446" s="13">
        <v>35</v>
      </c>
      <c r="V4446" s="12" t="s">
        <v>50</v>
      </c>
      <c r="W4446" s="12" t="s">
        <v>51</v>
      </c>
      <c r="X4446" s="14"/>
      <c r="Y4446" s="14"/>
      <c r="Z4446" s="14"/>
      <c r="AA4446" s="14"/>
      <c r="AB4446" s="14"/>
      <c r="AC4446" s="15">
        <v>38.65</v>
      </c>
      <c r="AD4446" s="15">
        <f>AC4446*AG4446</f>
        <v>38.65</v>
      </c>
      <c r="AE4446" s="15">
        <v>85</v>
      </c>
      <c r="AF4446" s="15">
        <f>AE4446*AG4446</f>
        <v>85</v>
      </c>
      <c r="AG4446" s="16">
        <v>1</v>
      </c>
    </row>
    <row r="4447" spans="1:33" ht="15" customHeight="1" x14ac:dyDescent="0.2">
      <c r="A4447" s="11" t="str">
        <f t="shared" si="1399"/>
        <v>VN000D7ZYJ71</v>
      </c>
      <c r="B4447" s="12" t="s">
        <v>15641</v>
      </c>
      <c r="C4447" s="12" t="s">
        <v>34</v>
      </c>
      <c r="D4447" s="12" t="s">
        <v>1300</v>
      </c>
      <c r="E4447" s="12" t="s">
        <v>15642</v>
      </c>
      <c r="F4447" s="13">
        <v>80</v>
      </c>
      <c r="G4447" s="12" t="s">
        <v>528</v>
      </c>
      <c r="H4447" s="12" t="s">
        <v>38</v>
      </c>
      <c r="I4447" s="12" t="s">
        <v>159</v>
      </c>
      <c r="J4447" s="12" t="s">
        <v>160</v>
      </c>
      <c r="K4447" s="12" t="s">
        <v>82</v>
      </c>
      <c r="L4447" s="14"/>
      <c r="M4447" s="12" t="s">
        <v>43</v>
      </c>
      <c r="N4447" s="12" t="s">
        <v>84</v>
      </c>
      <c r="O4447" s="12" t="s">
        <v>15643</v>
      </c>
      <c r="P4447" s="12" t="s">
        <v>46</v>
      </c>
      <c r="Q4447" s="12" t="s">
        <v>47</v>
      </c>
      <c r="R4447" s="12" t="s">
        <v>163</v>
      </c>
      <c r="S4447" s="13">
        <v>197804546855</v>
      </c>
      <c r="T4447" s="12" t="s">
        <v>164</v>
      </c>
      <c r="U4447" s="13">
        <v>40.5</v>
      </c>
      <c r="V4447" s="12" t="s">
        <v>50</v>
      </c>
      <c r="W4447" s="12" t="s">
        <v>51</v>
      </c>
      <c r="X4447" s="14"/>
      <c r="Y4447" s="14"/>
      <c r="Z4447" s="14"/>
      <c r="AA4447" s="14"/>
      <c r="AB4447" s="14"/>
      <c r="AC4447" s="15">
        <v>38.65</v>
      </c>
      <c r="AD4447" s="15">
        <f>AC4447*AG4447</f>
        <v>38.65</v>
      </c>
      <c r="AE4447" s="15">
        <v>85</v>
      </c>
      <c r="AF4447" s="15">
        <f>AE4447*AG4447</f>
        <v>85</v>
      </c>
      <c r="AG4447" s="16">
        <v>1</v>
      </c>
    </row>
    <row r="4448" spans="1:33" ht="15" customHeight="1" x14ac:dyDescent="0.2">
      <c r="A4448" s="11" t="str">
        <f t="shared" si="1089"/>
        <v>VN000D80BF01</v>
      </c>
      <c r="B4448" s="12" t="s">
        <v>15644</v>
      </c>
      <c r="C4448" s="12" t="s">
        <v>309</v>
      </c>
      <c r="D4448" s="12" t="s">
        <v>5907</v>
      </c>
      <c r="E4448" s="12" t="s">
        <v>15645</v>
      </c>
      <c r="F4448" s="13">
        <v>35</v>
      </c>
      <c r="G4448" s="12" t="s">
        <v>5909</v>
      </c>
      <c r="H4448" s="12" t="s">
        <v>38</v>
      </c>
      <c r="I4448" s="12" t="s">
        <v>159</v>
      </c>
      <c r="J4448" s="12" t="s">
        <v>160</v>
      </c>
      <c r="K4448" s="12" t="s">
        <v>82</v>
      </c>
      <c r="L4448" s="14"/>
      <c r="M4448" s="12" t="s">
        <v>43</v>
      </c>
      <c r="N4448" s="12" t="s">
        <v>84</v>
      </c>
      <c r="O4448" s="12" t="s">
        <v>15646</v>
      </c>
      <c r="P4448" s="12" t="s">
        <v>46</v>
      </c>
      <c r="Q4448" s="12" t="s">
        <v>47</v>
      </c>
      <c r="R4448" s="12" t="s">
        <v>1660</v>
      </c>
      <c r="S4448" s="13">
        <v>197804545889</v>
      </c>
      <c r="T4448" s="12" t="s">
        <v>49</v>
      </c>
      <c r="U4448" s="13">
        <v>34.5</v>
      </c>
      <c r="V4448" s="12" t="s">
        <v>50</v>
      </c>
      <c r="W4448" s="12" t="s">
        <v>186</v>
      </c>
      <c r="X4448" s="14"/>
      <c r="Y4448" s="14"/>
      <c r="Z4448" s="14"/>
      <c r="AA4448" s="14"/>
      <c r="AB4448" s="14"/>
      <c r="AC4448" s="15">
        <v>43.2</v>
      </c>
      <c r="AD4448" s="15">
        <f>AC4448*AG4448</f>
        <v>43.2</v>
      </c>
      <c r="AE4448" s="15">
        <v>95</v>
      </c>
      <c r="AF4448" s="15">
        <f>AE4448*AG4448</f>
        <v>95</v>
      </c>
      <c r="AG4448" s="16">
        <v>1</v>
      </c>
    </row>
    <row r="4449" spans="1:33" ht="15" customHeight="1" x14ac:dyDescent="0.2">
      <c r="A4449" s="11" t="str">
        <f t="shared" ref="A4449:A4450" si="1400">HYPERLINK("https://assets.vans.eu/images/VN000D80BF0-HERO/1","VN000D80BF01")</f>
        <v>VN000D80BF01</v>
      </c>
      <c r="B4449" s="12" t="s">
        <v>15647</v>
      </c>
      <c r="C4449" s="12" t="s">
        <v>309</v>
      </c>
      <c r="D4449" s="12" t="s">
        <v>5907</v>
      </c>
      <c r="E4449" s="12" t="s">
        <v>15648</v>
      </c>
      <c r="F4449" s="13">
        <v>50</v>
      </c>
      <c r="G4449" s="12" t="s">
        <v>5909</v>
      </c>
      <c r="H4449" s="12" t="s">
        <v>38</v>
      </c>
      <c r="I4449" s="12" t="s">
        <v>159</v>
      </c>
      <c r="J4449" s="12" t="s">
        <v>160</v>
      </c>
      <c r="K4449" s="12" t="s">
        <v>82</v>
      </c>
      <c r="L4449" s="14"/>
      <c r="M4449" s="12" t="s">
        <v>43</v>
      </c>
      <c r="N4449" s="12" t="s">
        <v>84</v>
      </c>
      <c r="O4449" s="12" t="s">
        <v>15649</v>
      </c>
      <c r="P4449" s="12" t="s">
        <v>46</v>
      </c>
      <c r="Q4449" s="12" t="s">
        <v>47</v>
      </c>
      <c r="R4449" s="12" t="s">
        <v>1660</v>
      </c>
      <c r="S4449" s="13">
        <v>197804546275</v>
      </c>
      <c r="T4449" s="12" t="s">
        <v>49</v>
      </c>
      <c r="U4449" s="13">
        <v>36.5</v>
      </c>
      <c r="V4449" s="12" t="s">
        <v>50</v>
      </c>
      <c r="W4449" s="12" t="s">
        <v>186</v>
      </c>
      <c r="X4449" s="14"/>
      <c r="Y4449" s="14"/>
      <c r="Z4449" s="14"/>
      <c r="AA4449" s="14"/>
      <c r="AB4449" s="14"/>
      <c r="AC4449" s="15">
        <v>43.2</v>
      </c>
      <c r="AD4449" s="15">
        <f>AC4449*AG4449</f>
        <v>43.2</v>
      </c>
      <c r="AE4449" s="15">
        <v>95</v>
      </c>
      <c r="AF4449" s="15">
        <f>AE4449*AG4449</f>
        <v>95</v>
      </c>
      <c r="AG4449" s="16">
        <v>1</v>
      </c>
    </row>
    <row r="4450" spans="1:33" ht="15" customHeight="1" x14ac:dyDescent="0.2">
      <c r="A4450" s="11" t="str">
        <f t="shared" si="1400"/>
        <v>VN000D80BF01</v>
      </c>
      <c r="B4450" s="12" t="s">
        <v>15650</v>
      </c>
      <c r="C4450" s="12" t="s">
        <v>309</v>
      </c>
      <c r="D4450" s="12" t="s">
        <v>5907</v>
      </c>
      <c r="E4450" s="12" t="s">
        <v>15651</v>
      </c>
      <c r="F4450" s="13">
        <v>55</v>
      </c>
      <c r="G4450" s="12" t="s">
        <v>5909</v>
      </c>
      <c r="H4450" s="12" t="s">
        <v>38</v>
      </c>
      <c r="I4450" s="12" t="s">
        <v>159</v>
      </c>
      <c r="J4450" s="12" t="s">
        <v>160</v>
      </c>
      <c r="K4450" s="12" t="s">
        <v>82</v>
      </c>
      <c r="L4450" s="14"/>
      <c r="M4450" s="12" t="s">
        <v>43</v>
      </c>
      <c r="N4450" s="12" t="s">
        <v>84</v>
      </c>
      <c r="O4450" s="12" t="s">
        <v>15652</v>
      </c>
      <c r="P4450" s="12" t="s">
        <v>46</v>
      </c>
      <c r="Q4450" s="12" t="s">
        <v>47</v>
      </c>
      <c r="R4450" s="12" t="s">
        <v>1660</v>
      </c>
      <c r="S4450" s="13">
        <v>197804546329</v>
      </c>
      <c r="T4450" s="12" t="s">
        <v>49</v>
      </c>
      <c r="U4450" s="13">
        <v>37</v>
      </c>
      <c r="V4450" s="12" t="s">
        <v>50</v>
      </c>
      <c r="W4450" s="12" t="s">
        <v>186</v>
      </c>
      <c r="X4450" s="14"/>
      <c r="Y4450" s="14"/>
      <c r="Z4450" s="14"/>
      <c r="AA4450" s="14"/>
      <c r="AB4450" s="14"/>
      <c r="AC4450" s="15">
        <v>43.2</v>
      </c>
      <c r="AD4450" s="15">
        <f>AC4450*AG4450</f>
        <v>43.2</v>
      </c>
      <c r="AE4450" s="15">
        <v>95</v>
      </c>
      <c r="AF4450" s="15">
        <f>AE4450*AG4450</f>
        <v>95</v>
      </c>
      <c r="AG4450" s="16">
        <v>1</v>
      </c>
    </row>
    <row r="4451" spans="1:33" ht="15" customHeight="1" x14ac:dyDescent="0.2">
      <c r="A4451" s="11" t="str">
        <f t="shared" ref="A4451:A4454" si="1401">HYPERLINK("https://assets.vans.eu/images/VN000D831NU-HERO/1","VN000D831NU1")</f>
        <v>VN000D831NU1</v>
      </c>
      <c r="B4451" s="12" t="s">
        <v>15653</v>
      </c>
      <c r="C4451" s="12" t="s">
        <v>3611</v>
      </c>
      <c r="D4451" s="12" t="s">
        <v>783</v>
      </c>
      <c r="E4451" s="12" t="s">
        <v>15654</v>
      </c>
      <c r="F4451" s="13">
        <v>85</v>
      </c>
      <c r="G4451" s="14"/>
      <c r="H4451" s="12" t="s">
        <v>38</v>
      </c>
      <c r="I4451" s="12" t="s">
        <v>113</v>
      </c>
      <c r="J4451" s="12" t="s">
        <v>529</v>
      </c>
      <c r="K4451" s="12" t="s">
        <v>82</v>
      </c>
      <c r="L4451" s="14"/>
      <c r="M4451" s="12" t="s">
        <v>43</v>
      </c>
      <c r="N4451" s="12" t="s">
        <v>44</v>
      </c>
      <c r="O4451" s="12" t="s">
        <v>15655</v>
      </c>
      <c r="P4451" s="12" t="s">
        <v>46</v>
      </c>
      <c r="Q4451" s="12" t="s">
        <v>47</v>
      </c>
      <c r="R4451" s="12" t="s">
        <v>117</v>
      </c>
      <c r="S4451" s="13">
        <v>197643296874</v>
      </c>
      <c r="T4451" s="12" t="s">
        <v>49</v>
      </c>
      <c r="U4451" s="13">
        <v>41</v>
      </c>
      <c r="V4451" s="12" t="s">
        <v>50</v>
      </c>
      <c r="W4451" s="12" t="s">
        <v>186</v>
      </c>
      <c r="X4451" s="14"/>
      <c r="Y4451" s="12" t="s">
        <v>53</v>
      </c>
      <c r="Z4451" s="12" t="s">
        <v>263</v>
      </c>
      <c r="AA4451" s="14"/>
      <c r="AB4451" s="14"/>
      <c r="AC4451" s="15">
        <v>45.5</v>
      </c>
      <c r="AD4451" s="15">
        <f>AC4451*AG4451</f>
        <v>45.5</v>
      </c>
      <c r="AE4451" s="15">
        <v>100</v>
      </c>
      <c r="AF4451" s="15">
        <f>AE4451*AG4451</f>
        <v>100</v>
      </c>
      <c r="AG4451" s="16">
        <v>1</v>
      </c>
    </row>
    <row r="4452" spans="1:33" ht="15" customHeight="1" x14ac:dyDescent="0.2">
      <c r="A4452" s="11" t="str">
        <f t="shared" si="1401"/>
        <v>VN000D831NU1</v>
      </c>
      <c r="B4452" s="12" t="s">
        <v>15656</v>
      </c>
      <c r="C4452" s="12" t="s">
        <v>3611</v>
      </c>
      <c r="D4452" s="12" t="s">
        <v>783</v>
      </c>
      <c r="E4452" s="12" t="s">
        <v>15657</v>
      </c>
      <c r="F4452" s="13">
        <v>90</v>
      </c>
      <c r="G4452" s="14"/>
      <c r="H4452" s="12" t="s">
        <v>38</v>
      </c>
      <c r="I4452" s="12" t="s">
        <v>113</v>
      </c>
      <c r="J4452" s="12" t="s">
        <v>529</v>
      </c>
      <c r="K4452" s="12" t="s">
        <v>82</v>
      </c>
      <c r="L4452" s="14"/>
      <c r="M4452" s="12" t="s">
        <v>43</v>
      </c>
      <c r="N4452" s="12" t="s">
        <v>44</v>
      </c>
      <c r="O4452" s="12" t="s">
        <v>15658</v>
      </c>
      <c r="P4452" s="12" t="s">
        <v>46</v>
      </c>
      <c r="Q4452" s="12" t="s">
        <v>47</v>
      </c>
      <c r="R4452" s="12" t="s">
        <v>117</v>
      </c>
      <c r="S4452" s="13">
        <v>197643297024</v>
      </c>
      <c r="T4452" s="12" t="s">
        <v>49</v>
      </c>
      <c r="U4452" s="13">
        <v>42</v>
      </c>
      <c r="V4452" s="12" t="s">
        <v>50</v>
      </c>
      <c r="W4452" s="12" t="s">
        <v>186</v>
      </c>
      <c r="X4452" s="14"/>
      <c r="Y4452" s="12" t="s">
        <v>53</v>
      </c>
      <c r="Z4452" s="12" t="s">
        <v>263</v>
      </c>
      <c r="AA4452" s="14"/>
      <c r="AB4452" s="14"/>
      <c r="AC4452" s="15">
        <v>45.5</v>
      </c>
      <c r="AD4452" s="15">
        <f>AC4452*AG4452</f>
        <v>45.5</v>
      </c>
      <c r="AE4452" s="15">
        <v>100</v>
      </c>
      <c r="AF4452" s="15">
        <f>AE4452*AG4452</f>
        <v>100</v>
      </c>
      <c r="AG4452" s="16">
        <v>1</v>
      </c>
    </row>
    <row r="4453" spans="1:33" ht="15" customHeight="1" x14ac:dyDescent="0.2">
      <c r="A4453" s="11" t="str">
        <f t="shared" si="1401"/>
        <v>VN000D831NU1</v>
      </c>
      <c r="B4453" s="12" t="s">
        <v>15659</v>
      </c>
      <c r="C4453" s="12" t="s">
        <v>3611</v>
      </c>
      <c r="D4453" s="12" t="s">
        <v>783</v>
      </c>
      <c r="E4453" s="12" t="s">
        <v>15660</v>
      </c>
      <c r="F4453" s="13">
        <v>95</v>
      </c>
      <c r="G4453" s="14"/>
      <c r="H4453" s="12" t="s">
        <v>38</v>
      </c>
      <c r="I4453" s="12" t="s">
        <v>113</v>
      </c>
      <c r="J4453" s="12" t="s">
        <v>529</v>
      </c>
      <c r="K4453" s="12" t="s">
        <v>82</v>
      </c>
      <c r="L4453" s="14"/>
      <c r="M4453" s="12" t="s">
        <v>43</v>
      </c>
      <c r="N4453" s="12" t="s">
        <v>44</v>
      </c>
      <c r="O4453" s="12" t="s">
        <v>15661</v>
      </c>
      <c r="P4453" s="12" t="s">
        <v>46</v>
      </c>
      <c r="Q4453" s="12" t="s">
        <v>47</v>
      </c>
      <c r="R4453" s="12" t="s">
        <v>117</v>
      </c>
      <c r="S4453" s="13">
        <v>197643297079</v>
      </c>
      <c r="T4453" s="12" t="s">
        <v>49</v>
      </c>
      <c r="U4453" s="13">
        <v>42.5</v>
      </c>
      <c r="V4453" s="12" t="s">
        <v>50</v>
      </c>
      <c r="W4453" s="12" t="s">
        <v>186</v>
      </c>
      <c r="X4453" s="14"/>
      <c r="Y4453" s="12" t="s">
        <v>53</v>
      </c>
      <c r="Z4453" s="12" t="s">
        <v>263</v>
      </c>
      <c r="AA4453" s="14"/>
      <c r="AB4453" s="14"/>
      <c r="AC4453" s="15">
        <v>45.5</v>
      </c>
      <c r="AD4453" s="15">
        <f>AC4453*AG4453</f>
        <v>45.5</v>
      </c>
      <c r="AE4453" s="15">
        <v>100</v>
      </c>
      <c r="AF4453" s="15">
        <f>AE4453*AG4453</f>
        <v>100</v>
      </c>
      <c r="AG4453" s="16">
        <v>1</v>
      </c>
    </row>
    <row r="4454" spans="1:33" ht="15" customHeight="1" x14ac:dyDescent="0.2">
      <c r="A4454" s="11" t="str">
        <f t="shared" si="1401"/>
        <v>VN000D831NU1</v>
      </c>
      <c r="B4454" s="12" t="s">
        <v>15662</v>
      </c>
      <c r="C4454" s="12" t="s">
        <v>3611</v>
      </c>
      <c r="D4454" s="12" t="s">
        <v>783</v>
      </c>
      <c r="E4454" s="12" t="s">
        <v>15663</v>
      </c>
      <c r="F4454" s="13">
        <v>105</v>
      </c>
      <c r="G4454" s="14"/>
      <c r="H4454" s="12" t="s">
        <v>38</v>
      </c>
      <c r="I4454" s="12" t="s">
        <v>113</v>
      </c>
      <c r="J4454" s="12" t="s">
        <v>529</v>
      </c>
      <c r="K4454" s="12" t="s">
        <v>82</v>
      </c>
      <c r="L4454" s="14"/>
      <c r="M4454" s="12" t="s">
        <v>43</v>
      </c>
      <c r="N4454" s="12" t="s">
        <v>44</v>
      </c>
      <c r="O4454" s="12" t="s">
        <v>15664</v>
      </c>
      <c r="P4454" s="12" t="s">
        <v>46</v>
      </c>
      <c r="Q4454" s="12" t="s">
        <v>47</v>
      </c>
      <c r="R4454" s="12" t="s">
        <v>117</v>
      </c>
      <c r="S4454" s="13">
        <v>197643297277</v>
      </c>
      <c r="T4454" s="12" t="s">
        <v>49</v>
      </c>
      <c r="U4454" s="13">
        <v>44</v>
      </c>
      <c r="V4454" s="12" t="s">
        <v>50</v>
      </c>
      <c r="W4454" s="12" t="s">
        <v>186</v>
      </c>
      <c r="X4454" s="14"/>
      <c r="Y4454" s="12" t="s">
        <v>53</v>
      </c>
      <c r="Z4454" s="12" t="s">
        <v>263</v>
      </c>
      <c r="AA4454" s="14"/>
      <c r="AB4454" s="14"/>
      <c r="AC4454" s="15">
        <v>45.5</v>
      </c>
      <c r="AD4454" s="15">
        <f>AC4454*AG4454</f>
        <v>45.5</v>
      </c>
      <c r="AE4454" s="15">
        <v>100</v>
      </c>
      <c r="AF4454" s="15">
        <f>AE4454*AG4454</f>
        <v>100</v>
      </c>
      <c r="AG4454" s="16">
        <v>1</v>
      </c>
    </row>
    <row r="4455" spans="1:33" ht="15" customHeight="1" x14ac:dyDescent="0.2">
      <c r="A4455" s="11" t="str">
        <f>HYPERLINK("https://assets.vans.eu/images/VN000D83SQ7-HERO/1","VN000D83SQ71")</f>
        <v>VN000D83SQ71</v>
      </c>
      <c r="B4455" s="12" t="s">
        <v>15665</v>
      </c>
      <c r="C4455" s="12" t="s">
        <v>3611</v>
      </c>
      <c r="D4455" s="12" t="s">
        <v>5915</v>
      </c>
      <c r="E4455" s="12" t="s">
        <v>15666</v>
      </c>
      <c r="F4455" s="13">
        <v>35</v>
      </c>
      <c r="G4455" s="14"/>
      <c r="H4455" s="12" t="s">
        <v>38</v>
      </c>
      <c r="I4455" s="12" t="s">
        <v>113</v>
      </c>
      <c r="J4455" s="12" t="s">
        <v>529</v>
      </c>
      <c r="K4455" s="12" t="s">
        <v>82</v>
      </c>
      <c r="L4455" s="14"/>
      <c r="M4455" s="12" t="s">
        <v>43</v>
      </c>
      <c r="N4455" s="12" t="s">
        <v>44</v>
      </c>
      <c r="O4455" s="12" t="s">
        <v>15667</v>
      </c>
      <c r="P4455" s="12" t="s">
        <v>46</v>
      </c>
      <c r="Q4455" s="12" t="s">
        <v>47</v>
      </c>
      <c r="R4455" s="12" t="s">
        <v>117</v>
      </c>
      <c r="S4455" s="13">
        <v>197643297420</v>
      </c>
      <c r="T4455" s="12" t="s">
        <v>49</v>
      </c>
      <c r="U4455" s="13">
        <v>34.5</v>
      </c>
      <c r="V4455" s="12" t="s">
        <v>50</v>
      </c>
      <c r="W4455" s="12" t="s">
        <v>580</v>
      </c>
      <c r="X4455" s="14"/>
      <c r="Y4455" s="12" t="s">
        <v>53</v>
      </c>
      <c r="Z4455" s="12" t="s">
        <v>263</v>
      </c>
      <c r="AA4455" s="14"/>
      <c r="AB4455" s="14"/>
      <c r="AC4455" s="15">
        <v>45.5</v>
      </c>
      <c r="AD4455" s="15">
        <f>AC4455*AG4455</f>
        <v>45.5</v>
      </c>
      <c r="AE4455" s="15">
        <v>100</v>
      </c>
      <c r="AF4455" s="15">
        <f>AE4455*AG4455</f>
        <v>100</v>
      </c>
      <c r="AG4455" s="16">
        <v>1</v>
      </c>
    </row>
    <row r="4456" spans="1:33" ht="15" customHeight="1" x14ac:dyDescent="0.2">
      <c r="A4456" s="11" t="str">
        <f t="shared" si="1090"/>
        <v>VN000D85EME1</v>
      </c>
      <c r="B4456" s="12" t="s">
        <v>15668</v>
      </c>
      <c r="C4456" s="12" t="s">
        <v>5919</v>
      </c>
      <c r="D4456" s="12" t="s">
        <v>5920</v>
      </c>
      <c r="E4456" s="12" t="s">
        <v>15669</v>
      </c>
      <c r="F4456" s="13">
        <v>90</v>
      </c>
      <c r="G4456" s="14"/>
      <c r="H4456" s="12" t="s">
        <v>38</v>
      </c>
      <c r="I4456" s="12" t="s">
        <v>159</v>
      </c>
      <c r="J4456" s="12" t="s">
        <v>341</v>
      </c>
      <c r="K4456" s="12" t="s">
        <v>199</v>
      </c>
      <c r="L4456" s="14"/>
      <c r="M4456" s="12" t="s">
        <v>43</v>
      </c>
      <c r="N4456" s="12" t="s">
        <v>84</v>
      </c>
      <c r="O4456" s="12" t="s">
        <v>15670</v>
      </c>
      <c r="P4456" s="12" t="s">
        <v>46</v>
      </c>
      <c r="Q4456" s="12" t="s">
        <v>47</v>
      </c>
      <c r="R4456" s="12" t="s">
        <v>163</v>
      </c>
      <c r="S4456" s="13">
        <v>197804549825</v>
      </c>
      <c r="T4456" s="12" t="s">
        <v>49</v>
      </c>
      <c r="U4456" s="13">
        <v>42</v>
      </c>
      <c r="V4456" s="12" t="s">
        <v>50</v>
      </c>
      <c r="W4456" s="12" t="s">
        <v>118</v>
      </c>
      <c r="X4456" s="14"/>
      <c r="Y4456" s="14"/>
      <c r="Z4456" s="14"/>
      <c r="AA4456" s="14"/>
      <c r="AB4456" s="14"/>
      <c r="AC4456" s="15">
        <v>40.950000000000003</v>
      </c>
      <c r="AD4456" s="15">
        <f>AC4456*AG4456</f>
        <v>40.950000000000003</v>
      </c>
      <c r="AE4456" s="15">
        <v>90</v>
      </c>
      <c r="AF4456" s="15">
        <f>AE4456*AG4456</f>
        <v>90</v>
      </c>
      <c r="AG4456" s="16">
        <v>1</v>
      </c>
    </row>
    <row r="4457" spans="1:33" ht="15" customHeight="1" x14ac:dyDescent="0.2">
      <c r="A4457" s="11" t="str">
        <f>HYPERLINK("https://assets.vans.eu/images/VN000D85EME-HERO/1","VN000D85EME1")</f>
        <v>VN000D85EME1</v>
      </c>
      <c r="B4457" s="12" t="s">
        <v>15671</v>
      </c>
      <c r="C4457" s="12" t="s">
        <v>5919</v>
      </c>
      <c r="D4457" s="12" t="s">
        <v>5920</v>
      </c>
      <c r="E4457" s="12" t="s">
        <v>15672</v>
      </c>
      <c r="F4457" s="13">
        <v>105</v>
      </c>
      <c r="G4457" s="14"/>
      <c r="H4457" s="12" t="s">
        <v>38</v>
      </c>
      <c r="I4457" s="12" t="s">
        <v>159</v>
      </c>
      <c r="J4457" s="12" t="s">
        <v>341</v>
      </c>
      <c r="K4457" s="12" t="s">
        <v>199</v>
      </c>
      <c r="L4457" s="14"/>
      <c r="M4457" s="12" t="s">
        <v>43</v>
      </c>
      <c r="N4457" s="12" t="s">
        <v>84</v>
      </c>
      <c r="O4457" s="12" t="s">
        <v>15673</v>
      </c>
      <c r="P4457" s="12" t="s">
        <v>46</v>
      </c>
      <c r="Q4457" s="12" t="s">
        <v>47</v>
      </c>
      <c r="R4457" s="12" t="s">
        <v>163</v>
      </c>
      <c r="S4457" s="13">
        <v>197804550074</v>
      </c>
      <c r="T4457" s="12" t="s">
        <v>49</v>
      </c>
      <c r="U4457" s="13">
        <v>44</v>
      </c>
      <c r="V4457" s="12" t="s">
        <v>50</v>
      </c>
      <c r="W4457" s="12" t="s">
        <v>118</v>
      </c>
      <c r="X4457" s="14"/>
      <c r="Y4457" s="14"/>
      <c r="Z4457" s="14"/>
      <c r="AA4457" s="14"/>
      <c r="AB4457" s="14"/>
      <c r="AC4457" s="15">
        <v>40.950000000000003</v>
      </c>
      <c r="AD4457" s="15">
        <f>AC4457*AG4457</f>
        <v>40.950000000000003</v>
      </c>
      <c r="AE4457" s="15">
        <v>90</v>
      </c>
      <c r="AF4457" s="15">
        <f>AE4457*AG4457</f>
        <v>90</v>
      </c>
      <c r="AG4457" s="16">
        <v>1</v>
      </c>
    </row>
    <row r="4458" spans="1:33" ht="15" customHeight="1" x14ac:dyDescent="0.2">
      <c r="A4458" s="11" t="str">
        <f>HYPERLINK("https://assets.vans.eu/images/VN000D85JVY-HERO/1","VN000D85JVY1")</f>
        <v>VN000D85JVY1</v>
      </c>
      <c r="B4458" s="12" t="s">
        <v>15674</v>
      </c>
      <c r="C4458" s="12" t="s">
        <v>5919</v>
      </c>
      <c r="D4458" s="12" t="s">
        <v>15675</v>
      </c>
      <c r="E4458" s="12" t="s">
        <v>15676</v>
      </c>
      <c r="F4458" s="13">
        <v>35</v>
      </c>
      <c r="G4458" s="14"/>
      <c r="H4458" s="12" t="s">
        <v>38</v>
      </c>
      <c r="I4458" s="12" t="s">
        <v>159</v>
      </c>
      <c r="J4458" s="12" t="s">
        <v>341</v>
      </c>
      <c r="K4458" s="12" t="s">
        <v>199</v>
      </c>
      <c r="L4458" s="14"/>
      <c r="M4458" s="12" t="s">
        <v>43</v>
      </c>
      <c r="N4458" s="12" t="s">
        <v>84</v>
      </c>
      <c r="O4458" s="12" t="s">
        <v>15677</v>
      </c>
      <c r="P4458" s="12" t="s">
        <v>46</v>
      </c>
      <c r="Q4458" s="12" t="s">
        <v>47</v>
      </c>
      <c r="R4458" s="12" t="s">
        <v>163</v>
      </c>
      <c r="S4458" s="13">
        <v>197643297628</v>
      </c>
      <c r="T4458" s="12" t="s">
        <v>49</v>
      </c>
      <c r="U4458" s="13">
        <v>34.5</v>
      </c>
      <c r="V4458" s="12" t="s">
        <v>50</v>
      </c>
      <c r="W4458" s="12" t="s">
        <v>175</v>
      </c>
      <c r="X4458" s="14"/>
      <c r="Y4458" s="14"/>
      <c r="Z4458" s="14"/>
      <c r="AA4458" s="14"/>
      <c r="AB4458" s="14"/>
      <c r="AC4458" s="15">
        <v>40.950000000000003</v>
      </c>
      <c r="AD4458" s="15">
        <f>AC4458*AG4458</f>
        <v>40.950000000000003</v>
      </c>
      <c r="AE4458" s="15">
        <v>90</v>
      </c>
      <c r="AF4458" s="15">
        <f>AE4458*AG4458</f>
        <v>90</v>
      </c>
      <c r="AG4458" s="16">
        <v>1</v>
      </c>
    </row>
    <row r="4459" spans="1:33" ht="15" customHeight="1" x14ac:dyDescent="0.2">
      <c r="A4459" s="11" t="str">
        <f t="shared" ref="A4459:A4461" si="1402">HYPERLINK("https://assets.vans.eu/images/VN000D88BF0-HERO/1","VN000D88BF01")</f>
        <v>VN000D88BF01</v>
      </c>
      <c r="B4459" s="12" t="s">
        <v>15678</v>
      </c>
      <c r="C4459" s="12" t="s">
        <v>4029</v>
      </c>
      <c r="D4459" s="12" t="s">
        <v>5907</v>
      </c>
      <c r="E4459" s="12" t="s">
        <v>15679</v>
      </c>
      <c r="F4459" s="13">
        <v>65</v>
      </c>
      <c r="G4459" s="12" t="s">
        <v>15680</v>
      </c>
      <c r="H4459" s="12" t="s">
        <v>38</v>
      </c>
      <c r="I4459" s="12" t="s">
        <v>159</v>
      </c>
      <c r="J4459" s="12" t="s">
        <v>255</v>
      </c>
      <c r="K4459" s="12" t="s">
        <v>82</v>
      </c>
      <c r="L4459" s="14"/>
      <c r="M4459" s="12" t="s">
        <v>43</v>
      </c>
      <c r="N4459" s="12" t="s">
        <v>44</v>
      </c>
      <c r="O4459" s="12" t="s">
        <v>15681</v>
      </c>
      <c r="P4459" s="12" t="s">
        <v>46</v>
      </c>
      <c r="Q4459" s="12" t="s">
        <v>47</v>
      </c>
      <c r="R4459" s="12" t="s">
        <v>163</v>
      </c>
      <c r="S4459" s="13">
        <v>197643300076</v>
      </c>
      <c r="T4459" s="12" t="s">
        <v>105</v>
      </c>
      <c r="U4459" s="13">
        <v>38.5</v>
      </c>
      <c r="V4459" s="12" t="s">
        <v>50</v>
      </c>
      <c r="W4459" s="12" t="s">
        <v>186</v>
      </c>
      <c r="X4459" s="14"/>
      <c r="Y4459" s="12" t="s">
        <v>53</v>
      </c>
      <c r="Z4459" s="12" t="s">
        <v>2600</v>
      </c>
      <c r="AA4459" s="14"/>
      <c r="AB4459" s="14"/>
      <c r="AC4459" s="15">
        <v>45.5</v>
      </c>
      <c r="AD4459" s="15">
        <f>AC4459*AG4459</f>
        <v>45.5</v>
      </c>
      <c r="AE4459" s="15">
        <v>100</v>
      </c>
      <c r="AF4459" s="15">
        <f>AE4459*AG4459</f>
        <v>100</v>
      </c>
      <c r="AG4459" s="16">
        <v>1</v>
      </c>
    </row>
    <row r="4460" spans="1:33" ht="15" customHeight="1" x14ac:dyDescent="0.2">
      <c r="A4460" s="11" t="str">
        <f t="shared" si="1402"/>
        <v>VN000D88BF01</v>
      </c>
      <c r="B4460" s="12" t="s">
        <v>15682</v>
      </c>
      <c r="C4460" s="12" t="s">
        <v>4029</v>
      </c>
      <c r="D4460" s="12" t="s">
        <v>5907</v>
      </c>
      <c r="E4460" s="12" t="s">
        <v>15683</v>
      </c>
      <c r="F4460" s="13">
        <v>70</v>
      </c>
      <c r="G4460" s="12" t="s">
        <v>15680</v>
      </c>
      <c r="H4460" s="12" t="s">
        <v>38</v>
      </c>
      <c r="I4460" s="12" t="s">
        <v>159</v>
      </c>
      <c r="J4460" s="12" t="s">
        <v>255</v>
      </c>
      <c r="K4460" s="12" t="s">
        <v>82</v>
      </c>
      <c r="L4460" s="14"/>
      <c r="M4460" s="12" t="s">
        <v>43</v>
      </c>
      <c r="N4460" s="12" t="s">
        <v>44</v>
      </c>
      <c r="O4460" s="12" t="s">
        <v>15684</v>
      </c>
      <c r="P4460" s="12" t="s">
        <v>46</v>
      </c>
      <c r="Q4460" s="12" t="s">
        <v>47</v>
      </c>
      <c r="R4460" s="12" t="s">
        <v>163</v>
      </c>
      <c r="S4460" s="13">
        <v>197643300212</v>
      </c>
      <c r="T4460" s="12" t="s">
        <v>105</v>
      </c>
      <c r="U4460" s="13">
        <v>39</v>
      </c>
      <c r="V4460" s="12" t="s">
        <v>50</v>
      </c>
      <c r="W4460" s="12" t="s">
        <v>186</v>
      </c>
      <c r="X4460" s="14"/>
      <c r="Y4460" s="12" t="s">
        <v>53</v>
      </c>
      <c r="Z4460" s="12" t="s">
        <v>2600</v>
      </c>
      <c r="AA4460" s="14"/>
      <c r="AB4460" s="14"/>
      <c r="AC4460" s="15">
        <v>45.5</v>
      </c>
      <c r="AD4460" s="15">
        <f>AC4460*AG4460</f>
        <v>45.5</v>
      </c>
      <c r="AE4460" s="15">
        <v>100</v>
      </c>
      <c r="AF4460" s="15">
        <f>AE4460*AG4460</f>
        <v>100</v>
      </c>
      <c r="AG4460" s="16">
        <v>1</v>
      </c>
    </row>
    <row r="4461" spans="1:33" ht="15" customHeight="1" x14ac:dyDescent="0.2">
      <c r="A4461" s="11" t="str">
        <f t="shared" si="1402"/>
        <v>VN000D88BF01</v>
      </c>
      <c r="B4461" s="12" t="s">
        <v>15685</v>
      </c>
      <c r="C4461" s="12" t="s">
        <v>4029</v>
      </c>
      <c r="D4461" s="12" t="s">
        <v>5907</v>
      </c>
      <c r="E4461" s="12" t="s">
        <v>15686</v>
      </c>
      <c r="F4461" s="13">
        <v>105</v>
      </c>
      <c r="G4461" s="12" t="s">
        <v>15680</v>
      </c>
      <c r="H4461" s="12" t="s">
        <v>38</v>
      </c>
      <c r="I4461" s="12" t="s">
        <v>159</v>
      </c>
      <c r="J4461" s="12" t="s">
        <v>255</v>
      </c>
      <c r="K4461" s="12" t="s">
        <v>82</v>
      </c>
      <c r="L4461" s="14"/>
      <c r="M4461" s="12" t="s">
        <v>43</v>
      </c>
      <c r="N4461" s="12" t="s">
        <v>44</v>
      </c>
      <c r="O4461" s="12" t="s">
        <v>15687</v>
      </c>
      <c r="P4461" s="12" t="s">
        <v>46</v>
      </c>
      <c r="Q4461" s="12" t="s">
        <v>47</v>
      </c>
      <c r="R4461" s="12" t="s">
        <v>163</v>
      </c>
      <c r="S4461" s="13">
        <v>197643300977</v>
      </c>
      <c r="T4461" s="12" t="s">
        <v>105</v>
      </c>
      <c r="U4461" s="13">
        <v>44</v>
      </c>
      <c r="V4461" s="12" t="s">
        <v>50</v>
      </c>
      <c r="W4461" s="12" t="s">
        <v>186</v>
      </c>
      <c r="X4461" s="14"/>
      <c r="Y4461" s="12" t="s">
        <v>53</v>
      </c>
      <c r="Z4461" s="12" t="s">
        <v>2600</v>
      </c>
      <c r="AA4461" s="14"/>
      <c r="AB4461" s="14"/>
      <c r="AC4461" s="15">
        <v>45.5</v>
      </c>
      <c r="AD4461" s="15">
        <f>AC4461*AG4461</f>
        <v>45.5</v>
      </c>
      <c r="AE4461" s="15">
        <v>100</v>
      </c>
      <c r="AF4461" s="15">
        <f>AE4461*AG4461</f>
        <v>100</v>
      </c>
      <c r="AG4461" s="16">
        <v>1</v>
      </c>
    </row>
    <row r="4462" spans="1:33" ht="15" customHeight="1" x14ac:dyDescent="0.2">
      <c r="A4462" s="11" t="str">
        <f>HYPERLINK("https://assets.vans.eu/images/VN000D88MCG-HERO/1","VN000D88MCG1")</f>
        <v>VN000D88MCG1</v>
      </c>
      <c r="B4462" s="12" t="s">
        <v>15688</v>
      </c>
      <c r="C4462" s="12" t="s">
        <v>4029</v>
      </c>
      <c r="D4462" s="12" t="s">
        <v>58</v>
      </c>
      <c r="E4462" s="12" t="s">
        <v>15689</v>
      </c>
      <c r="F4462" s="13">
        <v>60</v>
      </c>
      <c r="G4462" s="12" t="s">
        <v>2814</v>
      </c>
      <c r="H4462" s="12" t="s">
        <v>38</v>
      </c>
      <c r="I4462" s="12" t="s">
        <v>159</v>
      </c>
      <c r="J4462" s="12" t="s">
        <v>255</v>
      </c>
      <c r="K4462" s="12" t="s">
        <v>82</v>
      </c>
      <c r="L4462" s="12" t="s">
        <v>260</v>
      </c>
      <c r="M4462" s="12" t="s">
        <v>43</v>
      </c>
      <c r="N4462" s="12" t="s">
        <v>44</v>
      </c>
      <c r="O4462" s="12" t="s">
        <v>15690</v>
      </c>
      <c r="P4462" s="12" t="s">
        <v>46</v>
      </c>
      <c r="Q4462" s="12" t="s">
        <v>47</v>
      </c>
      <c r="R4462" s="12" t="s">
        <v>163</v>
      </c>
      <c r="S4462" s="13">
        <v>197803550297</v>
      </c>
      <c r="T4462" s="12" t="s">
        <v>49</v>
      </c>
      <c r="U4462" s="13">
        <v>38</v>
      </c>
      <c r="V4462" s="12" t="s">
        <v>50</v>
      </c>
      <c r="W4462" s="12" t="s">
        <v>51</v>
      </c>
      <c r="X4462" s="14"/>
      <c r="Y4462" s="12" t="s">
        <v>53</v>
      </c>
      <c r="Z4462" s="12" t="s">
        <v>2600</v>
      </c>
      <c r="AA4462" s="14"/>
      <c r="AB4462" s="12" t="s">
        <v>264</v>
      </c>
      <c r="AC4462" s="15">
        <v>45.5</v>
      </c>
      <c r="AD4462" s="15">
        <f>AC4462*AG4462</f>
        <v>45.5</v>
      </c>
      <c r="AE4462" s="15">
        <v>100</v>
      </c>
      <c r="AF4462" s="15">
        <f>AE4462*AG4462</f>
        <v>100</v>
      </c>
      <c r="AG4462" s="16">
        <v>1</v>
      </c>
    </row>
    <row r="4463" spans="1:33" ht="15" customHeight="1" x14ac:dyDescent="0.2">
      <c r="A4463" s="11" t="str">
        <f t="shared" ref="A4463:A4464" si="1403">HYPERLINK("https://assets.vans.eu/images/VN000D88WTM-HERO/1","VN000D88WTM1")</f>
        <v>VN000D88WTM1</v>
      </c>
      <c r="B4463" s="12" t="s">
        <v>15691</v>
      </c>
      <c r="C4463" s="12" t="s">
        <v>4029</v>
      </c>
      <c r="D4463" s="12" t="s">
        <v>7196</v>
      </c>
      <c r="E4463" s="12" t="s">
        <v>15692</v>
      </c>
      <c r="F4463" s="13">
        <v>85</v>
      </c>
      <c r="G4463" s="12" t="s">
        <v>15680</v>
      </c>
      <c r="H4463" s="12" t="s">
        <v>38</v>
      </c>
      <c r="I4463" s="12" t="s">
        <v>159</v>
      </c>
      <c r="J4463" s="12" t="s">
        <v>255</v>
      </c>
      <c r="K4463" s="12" t="s">
        <v>82</v>
      </c>
      <c r="L4463" s="14"/>
      <c r="M4463" s="12" t="s">
        <v>43</v>
      </c>
      <c r="N4463" s="12" t="s">
        <v>44</v>
      </c>
      <c r="O4463" s="12" t="s">
        <v>15693</v>
      </c>
      <c r="P4463" s="12" t="s">
        <v>46</v>
      </c>
      <c r="Q4463" s="12" t="s">
        <v>47</v>
      </c>
      <c r="R4463" s="12" t="s">
        <v>163</v>
      </c>
      <c r="S4463" s="13">
        <v>197643300649</v>
      </c>
      <c r="T4463" s="12" t="s">
        <v>105</v>
      </c>
      <c r="U4463" s="13">
        <v>41</v>
      </c>
      <c r="V4463" s="12" t="s">
        <v>50</v>
      </c>
      <c r="W4463" s="12" t="s">
        <v>175</v>
      </c>
      <c r="X4463" s="14"/>
      <c r="Y4463" s="12" t="s">
        <v>53</v>
      </c>
      <c r="Z4463" s="12" t="s">
        <v>2600</v>
      </c>
      <c r="AA4463" s="14"/>
      <c r="AB4463" s="14"/>
      <c r="AC4463" s="15">
        <v>45.5</v>
      </c>
      <c r="AD4463" s="15">
        <f>AC4463*AG4463</f>
        <v>45.5</v>
      </c>
      <c r="AE4463" s="15">
        <v>100</v>
      </c>
      <c r="AF4463" s="15">
        <f>AE4463*AG4463</f>
        <v>100</v>
      </c>
      <c r="AG4463" s="16">
        <v>1</v>
      </c>
    </row>
    <row r="4464" spans="1:33" ht="15" customHeight="1" x14ac:dyDescent="0.2">
      <c r="A4464" s="11" t="str">
        <f t="shared" si="1403"/>
        <v>VN000D88WTM1</v>
      </c>
      <c r="B4464" s="12" t="s">
        <v>15694</v>
      </c>
      <c r="C4464" s="12" t="s">
        <v>4029</v>
      </c>
      <c r="D4464" s="12" t="s">
        <v>7196</v>
      </c>
      <c r="E4464" s="12" t="s">
        <v>15695</v>
      </c>
      <c r="F4464" s="13">
        <v>100</v>
      </c>
      <c r="G4464" s="12" t="s">
        <v>15680</v>
      </c>
      <c r="H4464" s="12" t="s">
        <v>38</v>
      </c>
      <c r="I4464" s="12" t="s">
        <v>159</v>
      </c>
      <c r="J4464" s="12" t="s">
        <v>255</v>
      </c>
      <c r="K4464" s="12" t="s">
        <v>82</v>
      </c>
      <c r="L4464" s="14"/>
      <c r="M4464" s="12" t="s">
        <v>43</v>
      </c>
      <c r="N4464" s="12" t="s">
        <v>44</v>
      </c>
      <c r="O4464" s="12" t="s">
        <v>15696</v>
      </c>
      <c r="P4464" s="12" t="s">
        <v>46</v>
      </c>
      <c r="Q4464" s="12" t="s">
        <v>47</v>
      </c>
      <c r="R4464" s="12" t="s">
        <v>163</v>
      </c>
      <c r="S4464" s="13">
        <v>197643301097</v>
      </c>
      <c r="T4464" s="12" t="s">
        <v>105</v>
      </c>
      <c r="U4464" s="13">
        <v>43</v>
      </c>
      <c r="V4464" s="12" t="s">
        <v>50</v>
      </c>
      <c r="W4464" s="12" t="s">
        <v>175</v>
      </c>
      <c r="X4464" s="14"/>
      <c r="Y4464" s="12" t="s">
        <v>53</v>
      </c>
      <c r="Z4464" s="12" t="s">
        <v>2600</v>
      </c>
      <c r="AA4464" s="14"/>
      <c r="AB4464" s="14"/>
      <c r="AC4464" s="15">
        <v>45.5</v>
      </c>
      <c r="AD4464" s="15">
        <f>AC4464*AG4464</f>
        <v>45.5</v>
      </c>
      <c r="AE4464" s="15">
        <v>100</v>
      </c>
      <c r="AF4464" s="15">
        <f>AE4464*AG4464</f>
        <v>100</v>
      </c>
      <c r="AG4464" s="16">
        <v>1</v>
      </c>
    </row>
    <row r="4465" spans="1:33" ht="15" customHeight="1" x14ac:dyDescent="0.2">
      <c r="A4465" s="11" t="str">
        <f t="shared" ref="A4465:A4468" si="1404">HYPERLINK("https://assets.vans.eu/images/VN000D8NBKA-HERO/1","VN000D8NBKA1")</f>
        <v>VN000D8NBKA1</v>
      </c>
      <c r="B4465" s="12" t="s">
        <v>15697</v>
      </c>
      <c r="C4465" s="12" t="s">
        <v>251</v>
      </c>
      <c r="D4465" s="12" t="s">
        <v>252</v>
      </c>
      <c r="E4465" s="12" t="s">
        <v>15698</v>
      </c>
      <c r="F4465" s="13">
        <v>75</v>
      </c>
      <c r="G4465" s="12" t="s">
        <v>254</v>
      </c>
      <c r="H4465" s="12" t="s">
        <v>38</v>
      </c>
      <c r="I4465" s="12" t="s">
        <v>159</v>
      </c>
      <c r="J4465" s="12" t="s">
        <v>255</v>
      </c>
      <c r="K4465" s="12" t="s">
        <v>82</v>
      </c>
      <c r="L4465" s="14"/>
      <c r="M4465" s="12" t="s">
        <v>43</v>
      </c>
      <c r="N4465" s="12" t="s">
        <v>84</v>
      </c>
      <c r="O4465" s="12" t="s">
        <v>15699</v>
      </c>
      <c r="P4465" s="12" t="s">
        <v>46</v>
      </c>
      <c r="Q4465" s="12" t="s">
        <v>47</v>
      </c>
      <c r="R4465" s="12" t="s">
        <v>163</v>
      </c>
      <c r="S4465" s="13">
        <v>197804463565</v>
      </c>
      <c r="T4465" s="12" t="s">
        <v>49</v>
      </c>
      <c r="U4465" s="13">
        <v>40</v>
      </c>
      <c r="V4465" s="12" t="s">
        <v>50</v>
      </c>
      <c r="W4465" s="12" t="s">
        <v>51</v>
      </c>
      <c r="X4465" s="14"/>
      <c r="Y4465" s="14"/>
      <c r="Z4465" s="14"/>
      <c r="AA4465" s="14"/>
      <c r="AB4465" s="14"/>
      <c r="AC4465" s="15">
        <v>45.5</v>
      </c>
      <c r="AD4465" s="15">
        <f>AC4465*AG4465</f>
        <v>45.5</v>
      </c>
      <c r="AE4465" s="15">
        <v>100</v>
      </c>
      <c r="AF4465" s="15">
        <f>AE4465*AG4465</f>
        <v>100</v>
      </c>
      <c r="AG4465" s="16">
        <v>1</v>
      </c>
    </row>
    <row r="4466" spans="1:33" ht="15" customHeight="1" x14ac:dyDescent="0.2">
      <c r="A4466" s="11" t="str">
        <f t="shared" si="1404"/>
        <v>VN000D8NBKA1</v>
      </c>
      <c r="B4466" s="12" t="s">
        <v>15700</v>
      </c>
      <c r="C4466" s="12" t="s">
        <v>251</v>
      </c>
      <c r="D4466" s="12" t="s">
        <v>252</v>
      </c>
      <c r="E4466" s="12" t="s">
        <v>15701</v>
      </c>
      <c r="F4466" s="13">
        <v>85</v>
      </c>
      <c r="G4466" s="12" t="s">
        <v>254</v>
      </c>
      <c r="H4466" s="12" t="s">
        <v>38</v>
      </c>
      <c r="I4466" s="12" t="s">
        <v>159</v>
      </c>
      <c r="J4466" s="12" t="s">
        <v>255</v>
      </c>
      <c r="K4466" s="12" t="s">
        <v>82</v>
      </c>
      <c r="L4466" s="14"/>
      <c r="M4466" s="12" t="s">
        <v>43</v>
      </c>
      <c r="N4466" s="12" t="s">
        <v>84</v>
      </c>
      <c r="O4466" s="12" t="s">
        <v>15702</v>
      </c>
      <c r="P4466" s="12" t="s">
        <v>46</v>
      </c>
      <c r="Q4466" s="12" t="s">
        <v>47</v>
      </c>
      <c r="R4466" s="12" t="s">
        <v>163</v>
      </c>
      <c r="S4466" s="13">
        <v>197804463664</v>
      </c>
      <c r="T4466" s="12" t="s">
        <v>49</v>
      </c>
      <c r="U4466" s="13">
        <v>41</v>
      </c>
      <c r="V4466" s="12" t="s">
        <v>50</v>
      </c>
      <c r="W4466" s="12" t="s">
        <v>51</v>
      </c>
      <c r="X4466" s="14"/>
      <c r="Y4466" s="14"/>
      <c r="Z4466" s="14"/>
      <c r="AA4466" s="14"/>
      <c r="AB4466" s="14"/>
      <c r="AC4466" s="15">
        <v>45.5</v>
      </c>
      <c r="AD4466" s="15">
        <f>AC4466*AG4466</f>
        <v>45.5</v>
      </c>
      <c r="AE4466" s="15">
        <v>100</v>
      </c>
      <c r="AF4466" s="15">
        <f>AE4466*AG4466</f>
        <v>100</v>
      </c>
      <c r="AG4466" s="16">
        <v>1</v>
      </c>
    </row>
    <row r="4467" spans="1:33" ht="15" customHeight="1" x14ac:dyDescent="0.2">
      <c r="A4467" s="11" t="str">
        <f t="shared" si="1404"/>
        <v>VN000D8NBKA1</v>
      </c>
      <c r="B4467" s="12" t="s">
        <v>15703</v>
      </c>
      <c r="C4467" s="12" t="s">
        <v>251</v>
      </c>
      <c r="D4467" s="12" t="s">
        <v>252</v>
      </c>
      <c r="E4467" s="12" t="s">
        <v>15704</v>
      </c>
      <c r="F4467" s="13">
        <v>115</v>
      </c>
      <c r="G4467" s="12" t="s">
        <v>254</v>
      </c>
      <c r="H4467" s="12" t="s">
        <v>38</v>
      </c>
      <c r="I4467" s="12" t="s">
        <v>159</v>
      </c>
      <c r="J4467" s="12" t="s">
        <v>255</v>
      </c>
      <c r="K4467" s="12" t="s">
        <v>82</v>
      </c>
      <c r="L4467" s="14"/>
      <c r="M4467" s="12" t="s">
        <v>43</v>
      </c>
      <c r="N4467" s="12" t="s">
        <v>84</v>
      </c>
      <c r="O4467" s="12" t="s">
        <v>15705</v>
      </c>
      <c r="P4467" s="12" t="s">
        <v>46</v>
      </c>
      <c r="Q4467" s="12" t="s">
        <v>47</v>
      </c>
      <c r="R4467" s="12" t="s">
        <v>163</v>
      </c>
      <c r="S4467" s="13">
        <v>197804464265</v>
      </c>
      <c r="T4467" s="12" t="s">
        <v>49</v>
      </c>
      <c r="U4467" s="13">
        <v>45</v>
      </c>
      <c r="V4467" s="12" t="s">
        <v>50</v>
      </c>
      <c r="W4467" s="12" t="s">
        <v>51</v>
      </c>
      <c r="X4467" s="14"/>
      <c r="Y4467" s="14"/>
      <c r="Z4467" s="14"/>
      <c r="AA4467" s="14"/>
      <c r="AB4467" s="14"/>
      <c r="AC4467" s="15">
        <v>45.5</v>
      </c>
      <c r="AD4467" s="15">
        <f>AC4467*AG4467</f>
        <v>45.5</v>
      </c>
      <c r="AE4467" s="15">
        <v>100</v>
      </c>
      <c r="AF4467" s="15">
        <f>AE4467*AG4467</f>
        <v>100</v>
      </c>
      <c r="AG4467" s="16">
        <v>1</v>
      </c>
    </row>
    <row r="4468" spans="1:33" ht="15" customHeight="1" x14ac:dyDescent="0.2">
      <c r="A4468" s="11" t="str">
        <f t="shared" si="1404"/>
        <v>VN000D8NBKA1</v>
      </c>
      <c r="B4468" s="12" t="s">
        <v>15706</v>
      </c>
      <c r="C4468" s="12" t="s">
        <v>251</v>
      </c>
      <c r="D4468" s="12" t="s">
        <v>252</v>
      </c>
      <c r="E4468" s="12" t="s">
        <v>15707</v>
      </c>
      <c r="F4468" s="13">
        <v>130</v>
      </c>
      <c r="G4468" s="12" t="s">
        <v>254</v>
      </c>
      <c r="H4468" s="12" t="s">
        <v>38</v>
      </c>
      <c r="I4468" s="12" t="s">
        <v>159</v>
      </c>
      <c r="J4468" s="12" t="s">
        <v>255</v>
      </c>
      <c r="K4468" s="12" t="s">
        <v>82</v>
      </c>
      <c r="L4468" s="14"/>
      <c r="M4468" s="12" t="s">
        <v>43</v>
      </c>
      <c r="N4468" s="12" t="s">
        <v>84</v>
      </c>
      <c r="O4468" s="12" t="s">
        <v>15708</v>
      </c>
      <c r="P4468" s="12" t="s">
        <v>46</v>
      </c>
      <c r="Q4468" s="12" t="s">
        <v>47</v>
      </c>
      <c r="R4468" s="12" t="s">
        <v>163</v>
      </c>
      <c r="S4468" s="13">
        <v>197804464494</v>
      </c>
      <c r="T4468" s="12" t="s">
        <v>49</v>
      </c>
      <c r="U4468" s="13">
        <v>47</v>
      </c>
      <c r="V4468" s="12" t="s">
        <v>50</v>
      </c>
      <c r="W4468" s="12" t="s">
        <v>51</v>
      </c>
      <c r="X4468" s="14"/>
      <c r="Y4468" s="14"/>
      <c r="Z4468" s="14"/>
      <c r="AA4468" s="14"/>
      <c r="AB4468" s="14"/>
      <c r="AC4468" s="15">
        <v>45.5</v>
      </c>
      <c r="AD4468" s="15">
        <f>AC4468*AG4468</f>
        <v>45.5</v>
      </c>
      <c r="AE4468" s="15">
        <v>100</v>
      </c>
      <c r="AF4468" s="15">
        <f>AE4468*AG4468</f>
        <v>100</v>
      </c>
      <c r="AG4468" s="16">
        <v>1</v>
      </c>
    </row>
    <row r="4469" spans="1:33" ht="15" customHeight="1" x14ac:dyDescent="0.2">
      <c r="A4469" s="11" t="str">
        <f t="shared" ref="A4469:A4472" si="1405">HYPERLINK("https://assets.vans.eu/images/VN000D8NWWW-HERO/1","VN000D8NWWW1")</f>
        <v>VN000D8NWWW1</v>
      </c>
      <c r="B4469" s="12" t="s">
        <v>15709</v>
      </c>
      <c r="C4469" s="12" t="s">
        <v>251</v>
      </c>
      <c r="D4469" s="12" t="s">
        <v>2588</v>
      </c>
      <c r="E4469" s="12" t="s">
        <v>15710</v>
      </c>
      <c r="F4469" s="13">
        <v>45</v>
      </c>
      <c r="G4469" s="12" t="s">
        <v>254</v>
      </c>
      <c r="H4469" s="12" t="s">
        <v>38</v>
      </c>
      <c r="I4469" s="12" t="s">
        <v>159</v>
      </c>
      <c r="J4469" s="12" t="s">
        <v>255</v>
      </c>
      <c r="K4469" s="12" t="s">
        <v>82</v>
      </c>
      <c r="L4469" s="14"/>
      <c r="M4469" s="12" t="s">
        <v>43</v>
      </c>
      <c r="N4469" s="12" t="s">
        <v>84</v>
      </c>
      <c r="O4469" s="12" t="s">
        <v>15711</v>
      </c>
      <c r="P4469" s="12" t="s">
        <v>46</v>
      </c>
      <c r="Q4469" s="12" t="s">
        <v>47</v>
      </c>
      <c r="R4469" s="12" t="s">
        <v>163</v>
      </c>
      <c r="S4469" s="13">
        <v>197804463503</v>
      </c>
      <c r="T4469" s="12" t="s">
        <v>49</v>
      </c>
      <c r="U4469" s="13">
        <v>36</v>
      </c>
      <c r="V4469" s="12" t="s">
        <v>50</v>
      </c>
      <c r="W4469" s="12" t="s">
        <v>175</v>
      </c>
      <c r="X4469" s="14"/>
      <c r="Y4469" s="14"/>
      <c r="Z4469" s="14"/>
      <c r="AA4469" s="14"/>
      <c r="AB4469" s="14"/>
      <c r="AC4469" s="15">
        <v>45.5</v>
      </c>
      <c r="AD4469" s="15">
        <f>AC4469*AG4469</f>
        <v>45.5</v>
      </c>
      <c r="AE4469" s="15">
        <v>100</v>
      </c>
      <c r="AF4469" s="15">
        <f>AE4469*AG4469</f>
        <v>100</v>
      </c>
      <c r="AG4469" s="16">
        <v>1</v>
      </c>
    </row>
    <row r="4470" spans="1:33" ht="15" customHeight="1" x14ac:dyDescent="0.2">
      <c r="A4470" s="11" t="str">
        <f t="shared" si="1405"/>
        <v>VN000D8NWWW1</v>
      </c>
      <c r="B4470" s="12" t="s">
        <v>15712</v>
      </c>
      <c r="C4470" s="12" t="s">
        <v>251</v>
      </c>
      <c r="D4470" s="12" t="s">
        <v>2588</v>
      </c>
      <c r="E4470" s="12" t="s">
        <v>15713</v>
      </c>
      <c r="F4470" s="13">
        <v>50</v>
      </c>
      <c r="G4470" s="12" t="s">
        <v>254</v>
      </c>
      <c r="H4470" s="12" t="s">
        <v>38</v>
      </c>
      <c r="I4470" s="12" t="s">
        <v>159</v>
      </c>
      <c r="J4470" s="12" t="s">
        <v>255</v>
      </c>
      <c r="K4470" s="12" t="s">
        <v>82</v>
      </c>
      <c r="L4470" s="14"/>
      <c r="M4470" s="12" t="s">
        <v>43</v>
      </c>
      <c r="N4470" s="12" t="s">
        <v>84</v>
      </c>
      <c r="O4470" s="12" t="s">
        <v>15714</v>
      </c>
      <c r="P4470" s="12" t="s">
        <v>46</v>
      </c>
      <c r="Q4470" s="12" t="s">
        <v>47</v>
      </c>
      <c r="R4470" s="12" t="s">
        <v>163</v>
      </c>
      <c r="S4470" s="13">
        <v>197804463558</v>
      </c>
      <c r="T4470" s="12" t="s">
        <v>49</v>
      </c>
      <c r="U4470" s="13">
        <v>36.5</v>
      </c>
      <c r="V4470" s="12" t="s">
        <v>50</v>
      </c>
      <c r="W4470" s="12" t="s">
        <v>175</v>
      </c>
      <c r="X4470" s="14"/>
      <c r="Y4470" s="14"/>
      <c r="Z4470" s="14"/>
      <c r="AA4470" s="14"/>
      <c r="AB4470" s="14"/>
      <c r="AC4470" s="15">
        <v>45.5</v>
      </c>
      <c r="AD4470" s="15">
        <f>AC4470*AG4470</f>
        <v>45.5</v>
      </c>
      <c r="AE4470" s="15">
        <v>100</v>
      </c>
      <c r="AF4470" s="15">
        <f>AE4470*AG4470</f>
        <v>100</v>
      </c>
      <c r="AG4470" s="16">
        <v>1</v>
      </c>
    </row>
    <row r="4471" spans="1:33" ht="15" customHeight="1" x14ac:dyDescent="0.2">
      <c r="A4471" s="11" t="str">
        <f t="shared" si="1405"/>
        <v>VN000D8NWWW1</v>
      </c>
      <c r="B4471" s="12" t="s">
        <v>15715</v>
      </c>
      <c r="C4471" s="12" t="s">
        <v>251</v>
      </c>
      <c r="D4471" s="12" t="s">
        <v>2588</v>
      </c>
      <c r="E4471" s="12" t="s">
        <v>15716</v>
      </c>
      <c r="F4471" s="13">
        <v>70</v>
      </c>
      <c r="G4471" s="12" t="s">
        <v>254</v>
      </c>
      <c r="H4471" s="12" t="s">
        <v>38</v>
      </c>
      <c r="I4471" s="12" t="s">
        <v>159</v>
      </c>
      <c r="J4471" s="12" t="s">
        <v>255</v>
      </c>
      <c r="K4471" s="12" t="s">
        <v>82</v>
      </c>
      <c r="L4471" s="14"/>
      <c r="M4471" s="12" t="s">
        <v>43</v>
      </c>
      <c r="N4471" s="12" t="s">
        <v>84</v>
      </c>
      <c r="O4471" s="12" t="s">
        <v>15717</v>
      </c>
      <c r="P4471" s="12" t="s">
        <v>46</v>
      </c>
      <c r="Q4471" s="12" t="s">
        <v>47</v>
      </c>
      <c r="R4471" s="12" t="s">
        <v>163</v>
      </c>
      <c r="S4471" s="13">
        <v>197804463848</v>
      </c>
      <c r="T4471" s="12" t="s">
        <v>49</v>
      </c>
      <c r="U4471" s="13">
        <v>39</v>
      </c>
      <c r="V4471" s="12" t="s">
        <v>50</v>
      </c>
      <c r="W4471" s="12" t="s">
        <v>175</v>
      </c>
      <c r="X4471" s="14"/>
      <c r="Y4471" s="14"/>
      <c r="Z4471" s="14"/>
      <c r="AA4471" s="14"/>
      <c r="AB4471" s="14"/>
      <c r="AC4471" s="15">
        <v>45.5</v>
      </c>
      <c r="AD4471" s="15">
        <f>AC4471*AG4471</f>
        <v>45.5</v>
      </c>
      <c r="AE4471" s="15">
        <v>100</v>
      </c>
      <c r="AF4471" s="15">
        <f>AE4471*AG4471</f>
        <v>100</v>
      </c>
      <c r="AG4471" s="16">
        <v>1</v>
      </c>
    </row>
    <row r="4472" spans="1:33" ht="15" customHeight="1" x14ac:dyDescent="0.2">
      <c r="A4472" s="11" t="str">
        <f t="shared" si="1405"/>
        <v>VN000D8NWWW1</v>
      </c>
      <c r="B4472" s="12" t="s">
        <v>15718</v>
      </c>
      <c r="C4472" s="12" t="s">
        <v>251</v>
      </c>
      <c r="D4472" s="12" t="s">
        <v>2588</v>
      </c>
      <c r="E4472" s="12" t="s">
        <v>15719</v>
      </c>
      <c r="F4472" s="13">
        <v>75</v>
      </c>
      <c r="G4472" s="12" t="s">
        <v>254</v>
      </c>
      <c r="H4472" s="12" t="s">
        <v>38</v>
      </c>
      <c r="I4472" s="12" t="s">
        <v>159</v>
      </c>
      <c r="J4472" s="12" t="s">
        <v>255</v>
      </c>
      <c r="K4472" s="12" t="s">
        <v>82</v>
      </c>
      <c r="L4472" s="14"/>
      <c r="M4472" s="12" t="s">
        <v>43</v>
      </c>
      <c r="N4472" s="12" t="s">
        <v>84</v>
      </c>
      <c r="O4472" s="12" t="s">
        <v>15720</v>
      </c>
      <c r="P4472" s="12" t="s">
        <v>46</v>
      </c>
      <c r="Q4472" s="12" t="s">
        <v>47</v>
      </c>
      <c r="R4472" s="12" t="s">
        <v>163</v>
      </c>
      <c r="S4472" s="13">
        <v>197804463893</v>
      </c>
      <c r="T4472" s="12" t="s">
        <v>49</v>
      </c>
      <c r="U4472" s="13">
        <v>40</v>
      </c>
      <c r="V4472" s="12" t="s">
        <v>50</v>
      </c>
      <c r="W4472" s="12" t="s">
        <v>175</v>
      </c>
      <c r="X4472" s="14"/>
      <c r="Y4472" s="14"/>
      <c r="Z4472" s="14"/>
      <c r="AA4472" s="14"/>
      <c r="AB4472" s="14"/>
      <c r="AC4472" s="15">
        <v>45.5</v>
      </c>
      <c r="AD4472" s="15">
        <f>AC4472*AG4472</f>
        <v>45.5</v>
      </c>
      <c r="AE4472" s="15">
        <v>100</v>
      </c>
      <c r="AF4472" s="15">
        <f>AE4472*AG4472</f>
        <v>100</v>
      </c>
      <c r="AG4472" s="16">
        <v>1</v>
      </c>
    </row>
    <row r="4473" spans="1:33" ht="15" customHeight="1" x14ac:dyDescent="0.2">
      <c r="A4473" s="11" t="str">
        <f t="shared" si="812"/>
        <v>VN000D8NZ5D1</v>
      </c>
      <c r="B4473" s="12" t="s">
        <v>15721</v>
      </c>
      <c r="C4473" s="12" t="s">
        <v>251</v>
      </c>
      <c r="D4473" s="12" t="s">
        <v>2575</v>
      </c>
      <c r="E4473" s="12" t="s">
        <v>15722</v>
      </c>
      <c r="F4473" s="13">
        <v>80</v>
      </c>
      <c r="G4473" s="14"/>
      <c r="H4473" s="12" t="s">
        <v>38</v>
      </c>
      <c r="I4473" s="12" t="s">
        <v>159</v>
      </c>
      <c r="J4473" s="12" t="s">
        <v>255</v>
      </c>
      <c r="K4473" s="12" t="s">
        <v>82</v>
      </c>
      <c r="L4473" s="14"/>
      <c r="M4473" s="12" t="s">
        <v>43</v>
      </c>
      <c r="N4473" s="12" t="s">
        <v>44</v>
      </c>
      <c r="O4473" s="12" t="s">
        <v>15723</v>
      </c>
      <c r="P4473" s="12" t="s">
        <v>46</v>
      </c>
      <c r="Q4473" s="12" t="s">
        <v>47</v>
      </c>
      <c r="R4473" s="12" t="s">
        <v>163</v>
      </c>
      <c r="S4473" s="13">
        <v>197643226529</v>
      </c>
      <c r="T4473" s="12" t="s">
        <v>49</v>
      </c>
      <c r="U4473" s="13">
        <v>40.5</v>
      </c>
      <c r="V4473" s="12" t="s">
        <v>50</v>
      </c>
      <c r="W4473" s="12" t="s">
        <v>175</v>
      </c>
      <c r="X4473" s="14"/>
      <c r="Y4473" s="12" t="s">
        <v>53</v>
      </c>
      <c r="Z4473" s="12" t="s">
        <v>165</v>
      </c>
      <c r="AA4473" s="14"/>
      <c r="AB4473" s="14"/>
      <c r="AC4473" s="15">
        <v>45.5</v>
      </c>
      <c r="AD4473" s="15">
        <f>AC4473*AG4473</f>
        <v>45.5</v>
      </c>
      <c r="AE4473" s="15">
        <v>100</v>
      </c>
      <c r="AF4473" s="15">
        <f>AE4473*AG4473</f>
        <v>100</v>
      </c>
      <c r="AG4473" s="16">
        <v>1</v>
      </c>
    </row>
    <row r="4474" spans="1:33" ht="15" customHeight="1" x14ac:dyDescent="0.2">
      <c r="A4474" s="11" t="str">
        <f>HYPERLINK("https://assets.vans.eu/images/VN000D8WE2V-HERO/1","VN000D8WE2V1")</f>
        <v>VN000D8WE2V1</v>
      </c>
      <c r="B4474" s="12" t="s">
        <v>15724</v>
      </c>
      <c r="C4474" s="12" t="s">
        <v>309</v>
      </c>
      <c r="D4474" s="12" t="s">
        <v>9276</v>
      </c>
      <c r="E4474" s="12" t="s">
        <v>15725</v>
      </c>
      <c r="F4474" s="13">
        <v>130</v>
      </c>
      <c r="G4474" s="14"/>
      <c r="H4474" s="12" t="s">
        <v>38</v>
      </c>
      <c r="I4474" s="12" t="s">
        <v>113</v>
      </c>
      <c r="J4474" s="12" t="s">
        <v>114</v>
      </c>
      <c r="K4474" s="12" t="s">
        <v>82</v>
      </c>
      <c r="L4474" s="14"/>
      <c r="M4474" s="12" t="s">
        <v>43</v>
      </c>
      <c r="N4474" s="12" t="s">
        <v>44</v>
      </c>
      <c r="O4474" s="12" t="s">
        <v>15726</v>
      </c>
      <c r="P4474" s="12" t="s">
        <v>46</v>
      </c>
      <c r="Q4474" s="12" t="s">
        <v>47</v>
      </c>
      <c r="R4474" s="12" t="s">
        <v>948</v>
      </c>
      <c r="S4474" s="13">
        <v>197643360445</v>
      </c>
      <c r="T4474" s="12" t="s">
        <v>105</v>
      </c>
      <c r="U4474" s="13">
        <v>47</v>
      </c>
      <c r="V4474" s="12" t="s">
        <v>50</v>
      </c>
      <c r="W4474" s="12" t="s">
        <v>580</v>
      </c>
      <c r="X4474" s="14"/>
      <c r="Y4474" s="12" t="s">
        <v>53</v>
      </c>
      <c r="Z4474" s="12" t="s">
        <v>165</v>
      </c>
      <c r="AA4474" s="14"/>
      <c r="AB4474" s="14"/>
      <c r="AC4474" s="15">
        <v>50</v>
      </c>
      <c r="AD4474" s="15">
        <f>AC4474*AG4474</f>
        <v>50</v>
      </c>
      <c r="AE4474" s="15">
        <v>110</v>
      </c>
      <c r="AF4474" s="15">
        <f>AE4474*AG4474</f>
        <v>110</v>
      </c>
      <c r="AG4474" s="16">
        <v>1</v>
      </c>
    </row>
    <row r="4475" spans="1:33" ht="15" customHeight="1" x14ac:dyDescent="0.2">
      <c r="A4475" s="11" t="str">
        <f t="shared" si="1091"/>
        <v>VN000D9ACJ71</v>
      </c>
      <c r="B4475" s="12" t="s">
        <v>15727</v>
      </c>
      <c r="C4475" s="12" t="s">
        <v>2143</v>
      </c>
      <c r="D4475" s="12" t="s">
        <v>2144</v>
      </c>
      <c r="E4475" s="12" t="s">
        <v>15728</v>
      </c>
      <c r="F4475" s="13">
        <v>40</v>
      </c>
      <c r="G4475" s="12" t="s">
        <v>2146</v>
      </c>
      <c r="H4475" s="12" t="s">
        <v>38</v>
      </c>
      <c r="I4475" s="12" t="s">
        <v>113</v>
      </c>
      <c r="J4475" s="12" t="s">
        <v>529</v>
      </c>
      <c r="K4475" s="12" t="s">
        <v>82</v>
      </c>
      <c r="L4475" s="14"/>
      <c r="M4475" s="12" t="s">
        <v>43</v>
      </c>
      <c r="N4475" s="12" t="s">
        <v>84</v>
      </c>
      <c r="O4475" s="12" t="s">
        <v>15729</v>
      </c>
      <c r="P4475" s="12" t="s">
        <v>46</v>
      </c>
      <c r="Q4475" s="12" t="s">
        <v>47</v>
      </c>
      <c r="R4475" s="12" t="s">
        <v>117</v>
      </c>
      <c r="S4475" s="13">
        <v>197804548415</v>
      </c>
      <c r="T4475" s="12" t="s">
        <v>49</v>
      </c>
      <c r="U4475" s="13">
        <v>35</v>
      </c>
      <c r="V4475" s="12" t="s">
        <v>50</v>
      </c>
      <c r="W4475" s="12" t="s">
        <v>175</v>
      </c>
      <c r="X4475" s="14"/>
      <c r="Y4475" s="14"/>
      <c r="Z4475" s="14"/>
      <c r="AA4475" s="14"/>
      <c r="AB4475" s="14"/>
      <c r="AC4475" s="15">
        <v>40.950000000000003</v>
      </c>
      <c r="AD4475" s="15">
        <f>AC4475*AG4475</f>
        <v>40.950000000000003</v>
      </c>
      <c r="AE4475" s="15">
        <v>90</v>
      </c>
      <c r="AF4475" s="15">
        <f>AE4475*AG4475</f>
        <v>90</v>
      </c>
      <c r="AG4475" s="16">
        <v>1</v>
      </c>
    </row>
    <row r="4476" spans="1:33" ht="15" customHeight="1" x14ac:dyDescent="0.2">
      <c r="A4476" s="11" t="str">
        <f>HYPERLINK("https://assets.vans.eu/images/VN000D9ACJ7-HERO/1","VN000D9ACJ71")</f>
        <v>VN000D9ACJ71</v>
      </c>
      <c r="B4476" s="12" t="s">
        <v>15730</v>
      </c>
      <c r="C4476" s="12" t="s">
        <v>2143</v>
      </c>
      <c r="D4476" s="12" t="s">
        <v>2144</v>
      </c>
      <c r="E4476" s="12" t="s">
        <v>15731</v>
      </c>
      <c r="F4476" s="13">
        <v>60</v>
      </c>
      <c r="G4476" s="12" t="s">
        <v>2146</v>
      </c>
      <c r="H4476" s="12" t="s">
        <v>38</v>
      </c>
      <c r="I4476" s="12" t="s">
        <v>113</v>
      </c>
      <c r="J4476" s="12" t="s">
        <v>529</v>
      </c>
      <c r="K4476" s="12" t="s">
        <v>82</v>
      </c>
      <c r="L4476" s="14"/>
      <c r="M4476" s="12" t="s">
        <v>43</v>
      </c>
      <c r="N4476" s="12" t="s">
        <v>84</v>
      </c>
      <c r="O4476" s="12" t="s">
        <v>15732</v>
      </c>
      <c r="P4476" s="12" t="s">
        <v>46</v>
      </c>
      <c r="Q4476" s="12" t="s">
        <v>47</v>
      </c>
      <c r="R4476" s="12" t="s">
        <v>117</v>
      </c>
      <c r="S4476" s="13">
        <v>197804549030</v>
      </c>
      <c r="T4476" s="12" t="s">
        <v>49</v>
      </c>
      <c r="U4476" s="13">
        <v>38</v>
      </c>
      <c r="V4476" s="12" t="s">
        <v>50</v>
      </c>
      <c r="W4476" s="12" t="s">
        <v>175</v>
      </c>
      <c r="X4476" s="14"/>
      <c r="Y4476" s="14"/>
      <c r="Z4476" s="14"/>
      <c r="AA4476" s="14"/>
      <c r="AB4476" s="14"/>
      <c r="AC4476" s="15">
        <v>40.950000000000003</v>
      </c>
      <c r="AD4476" s="15">
        <f>AC4476*AG4476</f>
        <v>40.950000000000003</v>
      </c>
      <c r="AE4476" s="15">
        <v>90</v>
      </c>
      <c r="AF4476" s="15">
        <f>AE4476*AG4476</f>
        <v>90</v>
      </c>
      <c r="AG4476" s="16">
        <v>1</v>
      </c>
    </row>
    <row r="4477" spans="1:33" ht="15" customHeight="1" x14ac:dyDescent="0.2">
      <c r="A4477" s="11" t="str">
        <f>HYPERLINK("https://assets.vans.eu/images/VN000D9Y0CS-HERO/1","VN000D9Y0CS1")</f>
        <v>VN000D9Y0CS1</v>
      </c>
      <c r="B4477" s="12" t="s">
        <v>15733</v>
      </c>
      <c r="C4477" s="12" t="s">
        <v>34</v>
      </c>
      <c r="D4477" s="12" t="s">
        <v>5056</v>
      </c>
      <c r="E4477" s="12" t="s">
        <v>15734</v>
      </c>
      <c r="F4477" s="13">
        <v>50</v>
      </c>
      <c r="G4477" s="14"/>
      <c r="H4477" s="12" t="s">
        <v>38</v>
      </c>
      <c r="I4477" s="12" t="s">
        <v>113</v>
      </c>
      <c r="J4477" s="12" t="s">
        <v>114</v>
      </c>
      <c r="K4477" s="12" t="s">
        <v>82</v>
      </c>
      <c r="L4477" s="12" t="s">
        <v>260</v>
      </c>
      <c r="M4477" s="12" t="s">
        <v>43</v>
      </c>
      <c r="N4477" s="12" t="s">
        <v>84</v>
      </c>
      <c r="O4477" s="12" t="s">
        <v>15735</v>
      </c>
      <c r="P4477" s="12" t="s">
        <v>46</v>
      </c>
      <c r="Q4477" s="12" t="s">
        <v>47</v>
      </c>
      <c r="R4477" s="12" t="s">
        <v>117</v>
      </c>
      <c r="S4477" s="13">
        <v>197804612437</v>
      </c>
      <c r="T4477" s="12" t="s">
        <v>164</v>
      </c>
      <c r="U4477" s="13">
        <v>36.5</v>
      </c>
      <c r="V4477" s="12" t="s">
        <v>50</v>
      </c>
      <c r="W4477" s="12" t="s">
        <v>455</v>
      </c>
      <c r="X4477" s="14"/>
      <c r="Y4477" s="14"/>
      <c r="Z4477" s="14"/>
      <c r="AA4477" s="14"/>
      <c r="AB4477" s="14"/>
      <c r="AC4477" s="15">
        <v>38.65</v>
      </c>
      <c r="AD4477" s="15">
        <f>AC4477*AG4477</f>
        <v>38.65</v>
      </c>
      <c r="AE4477" s="15">
        <v>85</v>
      </c>
      <c r="AF4477" s="15">
        <f>AE4477*AG4477</f>
        <v>85</v>
      </c>
      <c r="AG4477" s="16">
        <v>1</v>
      </c>
    </row>
    <row r="4478" spans="1:33" ht="15" customHeight="1" x14ac:dyDescent="0.2">
      <c r="A4478" s="11" t="str">
        <f t="shared" si="1092"/>
        <v>VN000D9YBGK1</v>
      </c>
      <c r="B4478" s="12" t="s">
        <v>15736</v>
      </c>
      <c r="C4478" s="12" t="s">
        <v>34</v>
      </c>
      <c r="D4478" s="12" t="s">
        <v>4850</v>
      </c>
      <c r="E4478" s="12" t="s">
        <v>15737</v>
      </c>
      <c r="F4478" s="13">
        <v>40</v>
      </c>
      <c r="G4478" s="14"/>
      <c r="H4478" s="12" t="s">
        <v>38</v>
      </c>
      <c r="I4478" s="12" t="s">
        <v>159</v>
      </c>
      <c r="J4478" s="12" t="s">
        <v>160</v>
      </c>
      <c r="K4478" s="12" t="s">
        <v>82</v>
      </c>
      <c r="L4478" s="14"/>
      <c r="M4478" s="12" t="s">
        <v>43</v>
      </c>
      <c r="N4478" s="12" t="s">
        <v>84</v>
      </c>
      <c r="O4478" s="12" t="s">
        <v>15738</v>
      </c>
      <c r="P4478" s="12" t="s">
        <v>46</v>
      </c>
      <c r="Q4478" s="12" t="s">
        <v>47</v>
      </c>
      <c r="R4478" s="12" t="s">
        <v>163</v>
      </c>
      <c r="S4478" s="13">
        <v>197804550357</v>
      </c>
      <c r="T4478" s="12" t="s">
        <v>49</v>
      </c>
      <c r="U4478" s="13">
        <v>35</v>
      </c>
      <c r="V4478" s="12" t="s">
        <v>50</v>
      </c>
      <c r="W4478" s="12" t="s">
        <v>118</v>
      </c>
      <c r="X4478" s="14"/>
      <c r="Y4478" s="14"/>
      <c r="Z4478" s="14"/>
      <c r="AA4478" s="14"/>
      <c r="AB4478" s="14"/>
      <c r="AC4478" s="15">
        <v>45.5</v>
      </c>
      <c r="AD4478" s="15">
        <f>AC4478*AG4478</f>
        <v>45.5</v>
      </c>
      <c r="AE4478" s="15">
        <v>100</v>
      </c>
      <c r="AF4478" s="15">
        <f>AE4478*AG4478</f>
        <v>100</v>
      </c>
      <c r="AG4478" s="16">
        <v>1</v>
      </c>
    </row>
    <row r="4479" spans="1:33" ht="15" customHeight="1" x14ac:dyDescent="0.2">
      <c r="A4479" s="11" t="str">
        <f t="shared" ref="A4479:A4481" si="1406">HYPERLINK("https://assets.vans.eu/images/VN000D9YBGK-HERO/1","VN000D9YBGK1")</f>
        <v>VN000D9YBGK1</v>
      </c>
      <c r="B4479" s="12" t="s">
        <v>15739</v>
      </c>
      <c r="C4479" s="12" t="s">
        <v>34</v>
      </c>
      <c r="D4479" s="12" t="s">
        <v>4850</v>
      </c>
      <c r="E4479" s="12" t="s">
        <v>15740</v>
      </c>
      <c r="F4479" s="13">
        <v>50</v>
      </c>
      <c r="G4479" s="14"/>
      <c r="H4479" s="12" t="s">
        <v>38</v>
      </c>
      <c r="I4479" s="12" t="s">
        <v>159</v>
      </c>
      <c r="J4479" s="12" t="s">
        <v>160</v>
      </c>
      <c r="K4479" s="12" t="s">
        <v>82</v>
      </c>
      <c r="L4479" s="14"/>
      <c r="M4479" s="12" t="s">
        <v>43</v>
      </c>
      <c r="N4479" s="12" t="s">
        <v>84</v>
      </c>
      <c r="O4479" s="12" t="s">
        <v>15741</v>
      </c>
      <c r="P4479" s="12" t="s">
        <v>46</v>
      </c>
      <c r="Q4479" s="12" t="s">
        <v>47</v>
      </c>
      <c r="R4479" s="12" t="s">
        <v>163</v>
      </c>
      <c r="S4479" s="13">
        <v>197804550524</v>
      </c>
      <c r="T4479" s="12" t="s">
        <v>49</v>
      </c>
      <c r="U4479" s="13">
        <v>36.5</v>
      </c>
      <c r="V4479" s="12" t="s">
        <v>50</v>
      </c>
      <c r="W4479" s="12" t="s">
        <v>118</v>
      </c>
      <c r="X4479" s="14"/>
      <c r="Y4479" s="14"/>
      <c r="Z4479" s="14"/>
      <c r="AA4479" s="14"/>
      <c r="AB4479" s="14"/>
      <c r="AC4479" s="15">
        <v>45.5</v>
      </c>
      <c r="AD4479" s="15">
        <f>AC4479*AG4479</f>
        <v>45.5</v>
      </c>
      <c r="AE4479" s="15">
        <v>100</v>
      </c>
      <c r="AF4479" s="15">
        <f>AE4479*AG4479</f>
        <v>100</v>
      </c>
      <c r="AG4479" s="16">
        <v>1</v>
      </c>
    </row>
    <row r="4480" spans="1:33" ht="15" customHeight="1" x14ac:dyDescent="0.2">
      <c r="A4480" s="11" t="str">
        <f t="shared" si="1406"/>
        <v>VN000D9YBGK1</v>
      </c>
      <c r="B4480" s="12" t="s">
        <v>15742</v>
      </c>
      <c r="C4480" s="12" t="s">
        <v>34</v>
      </c>
      <c r="D4480" s="12" t="s">
        <v>4850</v>
      </c>
      <c r="E4480" s="12" t="s">
        <v>15743</v>
      </c>
      <c r="F4480" s="13">
        <v>80</v>
      </c>
      <c r="G4480" s="14"/>
      <c r="H4480" s="12" t="s">
        <v>38</v>
      </c>
      <c r="I4480" s="12" t="s">
        <v>159</v>
      </c>
      <c r="J4480" s="12" t="s">
        <v>160</v>
      </c>
      <c r="K4480" s="12" t="s">
        <v>82</v>
      </c>
      <c r="L4480" s="14"/>
      <c r="M4480" s="12" t="s">
        <v>43</v>
      </c>
      <c r="N4480" s="12" t="s">
        <v>84</v>
      </c>
      <c r="O4480" s="12" t="s">
        <v>15744</v>
      </c>
      <c r="P4480" s="12" t="s">
        <v>46</v>
      </c>
      <c r="Q4480" s="12" t="s">
        <v>47</v>
      </c>
      <c r="R4480" s="12" t="s">
        <v>163</v>
      </c>
      <c r="S4480" s="13">
        <v>197804550937</v>
      </c>
      <c r="T4480" s="12" t="s">
        <v>49</v>
      </c>
      <c r="U4480" s="13">
        <v>40.5</v>
      </c>
      <c r="V4480" s="12" t="s">
        <v>50</v>
      </c>
      <c r="W4480" s="12" t="s">
        <v>118</v>
      </c>
      <c r="X4480" s="14"/>
      <c r="Y4480" s="14"/>
      <c r="Z4480" s="14"/>
      <c r="AA4480" s="14"/>
      <c r="AB4480" s="14"/>
      <c r="AC4480" s="15">
        <v>45.5</v>
      </c>
      <c r="AD4480" s="15">
        <f>AC4480*AG4480</f>
        <v>45.5</v>
      </c>
      <c r="AE4480" s="15">
        <v>100</v>
      </c>
      <c r="AF4480" s="15">
        <f>AE4480*AG4480</f>
        <v>100</v>
      </c>
      <c r="AG4480" s="16">
        <v>1</v>
      </c>
    </row>
    <row r="4481" spans="1:33" ht="15" customHeight="1" x14ac:dyDescent="0.2">
      <c r="A4481" s="11" t="str">
        <f t="shared" si="1406"/>
        <v>VN000D9YBGK1</v>
      </c>
      <c r="B4481" s="12" t="s">
        <v>15745</v>
      </c>
      <c r="C4481" s="12" t="s">
        <v>34</v>
      </c>
      <c r="D4481" s="12" t="s">
        <v>4850</v>
      </c>
      <c r="E4481" s="12" t="s">
        <v>15746</v>
      </c>
      <c r="F4481" s="13">
        <v>130</v>
      </c>
      <c r="G4481" s="14"/>
      <c r="H4481" s="12" t="s">
        <v>38</v>
      </c>
      <c r="I4481" s="12" t="s">
        <v>159</v>
      </c>
      <c r="J4481" s="12" t="s">
        <v>160</v>
      </c>
      <c r="K4481" s="12" t="s">
        <v>82</v>
      </c>
      <c r="L4481" s="14"/>
      <c r="M4481" s="12" t="s">
        <v>43</v>
      </c>
      <c r="N4481" s="12" t="s">
        <v>84</v>
      </c>
      <c r="O4481" s="12" t="s">
        <v>15747</v>
      </c>
      <c r="P4481" s="12" t="s">
        <v>46</v>
      </c>
      <c r="Q4481" s="12" t="s">
        <v>47</v>
      </c>
      <c r="R4481" s="12" t="s">
        <v>163</v>
      </c>
      <c r="S4481" s="13">
        <v>197804552214</v>
      </c>
      <c r="T4481" s="12" t="s">
        <v>49</v>
      </c>
      <c r="U4481" s="13">
        <v>47</v>
      </c>
      <c r="V4481" s="12" t="s">
        <v>50</v>
      </c>
      <c r="W4481" s="12" t="s">
        <v>118</v>
      </c>
      <c r="X4481" s="14"/>
      <c r="Y4481" s="14"/>
      <c r="Z4481" s="14"/>
      <c r="AA4481" s="14"/>
      <c r="AB4481" s="14"/>
      <c r="AC4481" s="15">
        <v>45.5</v>
      </c>
      <c r="AD4481" s="15">
        <f>AC4481*AG4481</f>
        <v>45.5</v>
      </c>
      <c r="AE4481" s="15">
        <v>100</v>
      </c>
      <c r="AF4481" s="15">
        <f>AE4481*AG4481</f>
        <v>100</v>
      </c>
      <c r="AG4481" s="16">
        <v>1</v>
      </c>
    </row>
    <row r="4482" spans="1:33" ht="15" customHeight="1" x14ac:dyDescent="0.2">
      <c r="A4482" s="11" t="str">
        <f t="shared" ref="A4482:A4483" si="1407">HYPERLINK("https://assets.vans.eu/images/VN000D9YBGP-HERO/1","VN000D9YBGP1")</f>
        <v>VN000D9YBGP1</v>
      </c>
      <c r="B4482" s="12" t="s">
        <v>15748</v>
      </c>
      <c r="C4482" s="12" t="s">
        <v>34</v>
      </c>
      <c r="D4482" s="12" t="s">
        <v>1119</v>
      </c>
      <c r="E4482" s="12" t="s">
        <v>15749</v>
      </c>
      <c r="F4482" s="13">
        <v>40</v>
      </c>
      <c r="G4482" s="14"/>
      <c r="H4482" s="12" t="s">
        <v>38</v>
      </c>
      <c r="I4482" s="12" t="s">
        <v>159</v>
      </c>
      <c r="J4482" s="12" t="s">
        <v>160</v>
      </c>
      <c r="K4482" s="12" t="s">
        <v>82</v>
      </c>
      <c r="L4482" s="12" t="s">
        <v>260</v>
      </c>
      <c r="M4482" s="12" t="s">
        <v>43</v>
      </c>
      <c r="N4482" s="12" t="s">
        <v>84</v>
      </c>
      <c r="O4482" s="12" t="s">
        <v>15750</v>
      </c>
      <c r="P4482" s="12" t="s">
        <v>46</v>
      </c>
      <c r="Q4482" s="12" t="s">
        <v>47</v>
      </c>
      <c r="R4482" s="12" t="s">
        <v>163</v>
      </c>
      <c r="S4482" s="13">
        <v>197804612116</v>
      </c>
      <c r="T4482" s="12" t="s">
        <v>164</v>
      </c>
      <c r="U4482" s="13">
        <v>35</v>
      </c>
      <c r="V4482" s="12" t="s">
        <v>50</v>
      </c>
      <c r="W4482" s="12" t="s">
        <v>284</v>
      </c>
      <c r="X4482" s="14"/>
      <c r="Y4482" s="14"/>
      <c r="Z4482" s="14"/>
      <c r="AA4482" s="14"/>
      <c r="AB4482" s="14"/>
      <c r="AC4482" s="15">
        <v>38.65</v>
      </c>
      <c r="AD4482" s="15">
        <f>AC4482*AG4482</f>
        <v>38.65</v>
      </c>
      <c r="AE4482" s="15">
        <v>85</v>
      </c>
      <c r="AF4482" s="15">
        <f>AE4482*AG4482</f>
        <v>85</v>
      </c>
      <c r="AG4482" s="16">
        <v>1</v>
      </c>
    </row>
    <row r="4483" spans="1:33" ht="15" customHeight="1" x14ac:dyDescent="0.2">
      <c r="A4483" s="11" t="str">
        <f t="shared" si="1407"/>
        <v>VN000D9YBGP1</v>
      </c>
      <c r="B4483" s="12" t="s">
        <v>15751</v>
      </c>
      <c r="C4483" s="12" t="s">
        <v>34</v>
      </c>
      <c r="D4483" s="12" t="s">
        <v>1119</v>
      </c>
      <c r="E4483" s="12" t="s">
        <v>15752</v>
      </c>
      <c r="F4483" s="13">
        <v>80</v>
      </c>
      <c r="G4483" s="14"/>
      <c r="H4483" s="12" t="s">
        <v>38</v>
      </c>
      <c r="I4483" s="12" t="s">
        <v>159</v>
      </c>
      <c r="J4483" s="12" t="s">
        <v>160</v>
      </c>
      <c r="K4483" s="12" t="s">
        <v>82</v>
      </c>
      <c r="L4483" s="12" t="s">
        <v>260</v>
      </c>
      <c r="M4483" s="12" t="s">
        <v>43</v>
      </c>
      <c r="N4483" s="12" t="s">
        <v>84</v>
      </c>
      <c r="O4483" s="12" t="s">
        <v>15753</v>
      </c>
      <c r="P4483" s="12" t="s">
        <v>46</v>
      </c>
      <c r="Q4483" s="12" t="s">
        <v>47</v>
      </c>
      <c r="R4483" s="12" t="s">
        <v>163</v>
      </c>
      <c r="S4483" s="13">
        <v>197804612888</v>
      </c>
      <c r="T4483" s="12" t="s">
        <v>164</v>
      </c>
      <c r="U4483" s="13">
        <v>40.5</v>
      </c>
      <c r="V4483" s="12" t="s">
        <v>50</v>
      </c>
      <c r="W4483" s="12" t="s">
        <v>284</v>
      </c>
      <c r="X4483" s="14"/>
      <c r="Y4483" s="14"/>
      <c r="Z4483" s="14"/>
      <c r="AA4483" s="14"/>
      <c r="AB4483" s="14"/>
      <c r="AC4483" s="15">
        <v>38.65</v>
      </c>
      <c r="AD4483" s="15">
        <f>AC4483*AG4483</f>
        <v>38.65</v>
      </c>
      <c r="AE4483" s="15">
        <v>85</v>
      </c>
      <c r="AF4483" s="15">
        <f>AE4483*AG4483</f>
        <v>85</v>
      </c>
      <c r="AG4483" s="16">
        <v>1</v>
      </c>
    </row>
    <row r="4484" spans="1:33" ht="15" customHeight="1" x14ac:dyDescent="0.2">
      <c r="A4484" s="11" t="str">
        <f>HYPERLINK("https://assets.vans.eu/images/VN000D9YBKA-HERO/1","VN000D9YBKA1")</f>
        <v>VN000D9YBKA1</v>
      </c>
      <c r="B4484" s="12" t="s">
        <v>15754</v>
      </c>
      <c r="C4484" s="12" t="s">
        <v>34</v>
      </c>
      <c r="D4484" s="12" t="s">
        <v>252</v>
      </c>
      <c r="E4484" s="12" t="s">
        <v>15755</v>
      </c>
      <c r="F4484" s="13">
        <v>65</v>
      </c>
      <c r="G4484" s="12" t="s">
        <v>15756</v>
      </c>
      <c r="H4484" s="12" t="s">
        <v>38</v>
      </c>
      <c r="I4484" s="12" t="s">
        <v>159</v>
      </c>
      <c r="J4484" s="12" t="s">
        <v>160</v>
      </c>
      <c r="K4484" s="12" t="s">
        <v>82</v>
      </c>
      <c r="L4484" s="14"/>
      <c r="M4484" s="12" t="s">
        <v>43</v>
      </c>
      <c r="N4484" s="12" t="s">
        <v>84</v>
      </c>
      <c r="O4484" s="12" t="s">
        <v>15757</v>
      </c>
      <c r="P4484" s="12" t="s">
        <v>46</v>
      </c>
      <c r="Q4484" s="12" t="s">
        <v>47</v>
      </c>
      <c r="R4484" s="12" t="s">
        <v>163</v>
      </c>
      <c r="S4484" s="13">
        <v>197804550821</v>
      </c>
      <c r="T4484" s="12" t="s">
        <v>49</v>
      </c>
      <c r="U4484" s="13">
        <v>38.5</v>
      </c>
      <c r="V4484" s="12" t="s">
        <v>50</v>
      </c>
      <c r="W4484" s="12" t="s">
        <v>51</v>
      </c>
      <c r="X4484" s="14"/>
      <c r="Y4484" s="14"/>
      <c r="Z4484" s="14"/>
      <c r="AA4484" s="14"/>
      <c r="AB4484" s="14"/>
      <c r="AC4484" s="15">
        <v>40.950000000000003</v>
      </c>
      <c r="AD4484" s="15">
        <f>AC4484*AG4484</f>
        <v>40.950000000000003</v>
      </c>
      <c r="AE4484" s="15">
        <v>90</v>
      </c>
      <c r="AF4484" s="15">
        <f>AE4484*AG4484</f>
        <v>90</v>
      </c>
      <c r="AG4484" s="16">
        <v>1</v>
      </c>
    </row>
    <row r="4485" spans="1:33" ht="15" customHeight="1" x14ac:dyDescent="0.2">
      <c r="A4485" s="11" t="str">
        <f>HYPERLINK("https://assets.vans.eu/images/VN000D9YBW2-HERO/1","VN000D9YBW21")</f>
        <v>VN000D9YBW21</v>
      </c>
      <c r="B4485" s="12" t="s">
        <v>15758</v>
      </c>
      <c r="C4485" s="12" t="s">
        <v>34</v>
      </c>
      <c r="D4485" s="12" t="s">
        <v>14747</v>
      </c>
      <c r="E4485" s="12" t="s">
        <v>15759</v>
      </c>
      <c r="F4485" s="13">
        <v>50</v>
      </c>
      <c r="G4485" s="12" t="s">
        <v>3002</v>
      </c>
      <c r="H4485" s="12" t="s">
        <v>38</v>
      </c>
      <c r="I4485" s="12" t="s">
        <v>159</v>
      </c>
      <c r="J4485" s="12" t="s">
        <v>160</v>
      </c>
      <c r="K4485" s="12" t="s">
        <v>82</v>
      </c>
      <c r="L4485" s="14"/>
      <c r="M4485" s="12" t="s">
        <v>43</v>
      </c>
      <c r="N4485" s="12" t="s">
        <v>84</v>
      </c>
      <c r="O4485" s="12" t="s">
        <v>15760</v>
      </c>
      <c r="P4485" s="12" t="s">
        <v>46</v>
      </c>
      <c r="Q4485" s="12" t="s">
        <v>47</v>
      </c>
      <c r="R4485" s="12" t="s">
        <v>163</v>
      </c>
      <c r="S4485" s="13">
        <v>197804550692</v>
      </c>
      <c r="T4485" s="12" t="s">
        <v>105</v>
      </c>
      <c r="U4485" s="13">
        <v>36.5</v>
      </c>
      <c r="V4485" s="12" t="s">
        <v>50</v>
      </c>
      <c r="W4485" s="12" t="s">
        <v>186</v>
      </c>
      <c r="X4485" s="14"/>
      <c r="Y4485" s="14"/>
      <c r="Z4485" s="14"/>
      <c r="AA4485" s="14"/>
      <c r="AB4485" s="14"/>
      <c r="AC4485" s="15">
        <v>38.65</v>
      </c>
      <c r="AD4485" s="15">
        <f>AC4485*AG4485</f>
        <v>38.65</v>
      </c>
      <c r="AE4485" s="15">
        <v>85</v>
      </c>
      <c r="AF4485" s="15">
        <f>AE4485*AG4485</f>
        <v>85</v>
      </c>
      <c r="AG4485" s="16">
        <v>1</v>
      </c>
    </row>
    <row r="4486" spans="1:33" ht="15" customHeight="1" x14ac:dyDescent="0.2">
      <c r="A4486" s="11" t="str">
        <f t="shared" si="1093"/>
        <v>VN000D9YBX91</v>
      </c>
      <c r="B4486" s="12" t="s">
        <v>15761</v>
      </c>
      <c r="C4486" s="12" t="s">
        <v>34</v>
      </c>
      <c r="D4486" s="12" t="s">
        <v>9959</v>
      </c>
      <c r="E4486" s="12" t="s">
        <v>15762</v>
      </c>
      <c r="F4486" s="13">
        <v>85</v>
      </c>
      <c r="G4486" s="12" t="s">
        <v>4948</v>
      </c>
      <c r="H4486" s="12" t="s">
        <v>38</v>
      </c>
      <c r="I4486" s="12" t="s">
        <v>159</v>
      </c>
      <c r="J4486" s="12" t="s">
        <v>160</v>
      </c>
      <c r="K4486" s="12" t="s">
        <v>82</v>
      </c>
      <c r="L4486" s="14"/>
      <c r="M4486" s="12" t="s">
        <v>43</v>
      </c>
      <c r="N4486" s="12" t="s">
        <v>84</v>
      </c>
      <c r="O4486" s="12" t="s">
        <v>15763</v>
      </c>
      <c r="P4486" s="12" t="s">
        <v>46</v>
      </c>
      <c r="Q4486" s="12" t="s">
        <v>47</v>
      </c>
      <c r="R4486" s="12" t="s">
        <v>163</v>
      </c>
      <c r="S4486" s="13">
        <v>197804551378</v>
      </c>
      <c r="T4486" s="12" t="s">
        <v>105</v>
      </c>
      <c r="U4486" s="13">
        <v>41</v>
      </c>
      <c r="V4486" s="12" t="s">
        <v>50</v>
      </c>
      <c r="W4486" s="12" t="s">
        <v>284</v>
      </c>
      <c r="X4486" s="14"/>
      <c r="Y4486" s="14"/>
      <c r="Z4486" s="14"/>
      <c r="AA4486" s="14"/>
      <c r="AB4486" s="14"/>
      <c r="AC4486" s="15">
        <v>43.2</v>
      </c>
      <c r="AD4486" s="15">
        <f>AC4486*AG4486</f>
        <v>43.2</v>
      </c>
      <c r="AE4486" s="15">
        <v>95</v>
      </c>
      <c r="AF4486" s="15">
        <f>AE4486*AG4486</f>
        <v>95</v>
      </c>
      <c r="AG4486" s="16">
        <v>1</v>
      </c>
    </row>
    <row r="4487" spans="1:33" ht="15" customHeight="1" x14ac:dyDescent="0.2">
      <c r="A4487" s="11" t="str">
        <f t="shared" si="1094"/>
        <v>VN000D9YRV21</v>
      </c>
      <c r="B4487" s="12" t="s">
        <v>15764</v>
      </c>
      <c r="C4487" s="12" t="s">
        <v>34</v>
      </c>
      <c r="D4487" s="12" t="s">
        <v>1428</v>
      </c>
      <c r="E4487" s="12" t="s">
        <v>15765</v>
      </c>
      <c r="F4487" s="13">
        <v>40</v>
      </c>
      <c r="G4487" s="14"/>
      <c r="H4487" s="12" t="s">
        <v>38</v>
      </c>
      <c r="I4487" s="12" t="s">
        <v>159</v>
      </c>
      <c r="J4487" s="12" t="s">
        <v>160</v>
      </c>
      <c r="K4487" s="12" t="s">
        <v>82</v>
      </c>
      <c r="L4487" s="14"/>
      <c r="M4487" s="12" t="s">
        <v>43</v>
      </c>
      <c r="N4487" s="12" t="s">
        <v>84</v>
      </c>
      <c r="O4487" s="12" t="s">
        <v>15766</v>
      </c>
      <c r="P4487" s="12" t="s">
        <v>46</v>
      </c>
      <c r="Q4487" s="12" t="s">
        <v>47</v>
      </c>
      <c r="R4487" s="12" t="s">
        <v>163</v>
      </c>
      <c r="S4487" s="13">
        <v>197804550777</v>
      </c>
      <c r="T4487" s="12" t="s">
        <v>164</v>
      </c>
      <c r="U4487" s="13">
        <v>35</v>
      </c>
      <c r="V4487" s="12" t="s">
        <v>50</v>
      </c>
      <c r="W4487" s="12" t="s">
        <v>51</v>
      </c>
      <c r="X4487" s="14"/>
      <c r="Y4487" s="14"/>
      <c r="Z4487" s="14"/>
      <c r="AA4487" s="14"/>
      <c r="AB4487" s="14"/>
      <c r="AC4487" s="15">
        <v>38.65</v>
      </c>
      <c r="AD4487" s="15">
        <f>AC4487*AG4487</f>
        <v>38.65</v>
      </c>
      <c r="AE4487" s="15">
        <v>85</v>
      </c>
      <c r="AF4487" s="15">
        <f>AE4487*AG4487</f>
        <v>85</v>
      </c>
      <c r="AG4487" s="16">
        <v>1</v>
      </c>
    </row>
    <row r="4488" spans="1:33" ht="15" customHeight="1" x14ac:dyDescent="0.2">
      <c r="A4488" s="11" t="str">
        <f t="shared" ref="A4488:A4491" si="1408">HYPERLINK("https://assets.vans.eu/images/VN000D9YRV2-HERO/1","VN000D9YRV21")</f>
        <v>VN000D9YRV21</v>
      </c>
      <c r="B4488" s="12" t="s">
        <v>15767</v>
      </c>
      <c r="C4488" s="12" t="s">
        <v>34</v>
      </c>
      <c r="D4488" s="12" t="s">
        <v>1428</v>
      </c>
      <c r="E4488" s="12" t="s">
        <v>15768</v>
      </c>
      <c r="F4488" s="13">
        <v>45</v>
      </c>
      <c r="G4488" s="14"/>
      <c r="H4488" s="12" t="s">
        <v>38</v>
      </c>
      <c r="I4488" s="12" t="s">
        <v>159</v>
      </c>
      <c r="J4488" s="12" t="s">
        <v>160</v>
      </c>
      <c r="K4488" s="12" t="s">
        <v>82</v>
      </c>
      <c r="L4488" s="14"/>
      <c r="M4488" s="12" t="s">
        <v>43</v>
      </c>
      <c r="N4488" s="12" t="s">
        <v>84</v>
      </c>
      <c r="O4488" s="12" t="s">
        <v>15769</v>
      </c>
      <c r="P4488" s="12" t="s">
        <v>46</v>
      </c>
      <c r="Q4488" s="12" t="s">
        <v>47</v>
      </c>
      <c r="R4488" s="12" t="s">
        <v>163</v>
      </c>
      <c r="S4488" s="13">
        <v>197804550913</v>
      </c>
      <c r="T4488" s="12" t="s">
        <v>164</v>
      </c>
      <c r="U4488" s="13">
        <v>36</v>
      </c>
      <c r="V4488" s="12" t="s">
        <v>50</v>
      </c>
      <c r="W4488" s="12" t="s">
        <v>51</v>
      </c>
      <c r="X4488" s="14"/>
      <c r="Y4488" s="14"/>
      <c r="Z4488" s="14"/>
      <c r="AA4488" s="14"/>
      <c r="AB4488" s="14"/>
      <c r="AC4488" s="15">
        <v>38.65</v>
      </c>
      <c r="AD4488" s="15">
        <f>AC4488*AG4488</f>
        <v>38.65</v>
      </c>
      <c r="AE4488" s="15">
        <v>85</v>
      </c>
      <c r="AF4488" s="15">
        <f>AE4488*AG4488</f>
        <v>85</v>
      </c>
      <c r="AG4488" s="16">
        <v>1</v>
      </c>
    </row>
    <row r="4489" spans="1:33" ht="15" customHeight="1" x14ac:dyDescent="0.2">
      <c r="A4489" s="11" t="str">
        <f t="shared" si="1408"/>
        <v>VN000D9YRV21</v>
      </c>
      <c r="B4489" s="12" t="s">
        <v>15770</v>
      </c>
      <c r="C4489" s="12" t="s">
        <v>34</v>
      </c>
      <c r="D4489" s="12" t="s">
        <v>1428</v>
      </c>
      <c r="E4489" s="12" t="s">
        <v>15771</v>
      </c>
      <c r="F4489" s="13">
        <v>50</v>
      </c>
      <c r="G4489" s="14"/>
      <c r="H4489" s="12" t="s">
        <v>38</v>
      </c>
      <c r="I4489" s="12" t="s">
        <v>159</v>
      </c>
      <c r="J4489" s="12" t="s">
        <v>160</v>
      </c>
      <c r="K4489" s="12" t="s">
        <v>82</v>
      </c>
      <c r="L4489" s="14"/>
      <c r="M4489" s="12" t="s">
        <v>43</v>
      </c>
      <c r="N4489" s="12" t="s">
        <v>84</v>
      </c>
      <c r="O4489" s="12" t="s">
        <v>15772</v>
      </c>
      <c r="P4489" s="12" t="s">
        <v>46</v>
      </c>
      <c r="Q4489" s="12" t="s">
        <v>47</v>
      </c>
      <c r="R4489" s="12" t="s">
        <v>163</v>
      </c>
      <c r="S4489" s="13">
        <v>197804550951</v>
      </c>
      <c r="T4489" s="12" t="s">
        <v>164</v>
      </c>
      <c r="U4489" s="13">
        <v>36.5</v>
      </c>
      <c r="V4489" s="12" t="s">
        <v>50</v>
      </c>
      <c r="W4489" s="12" t="s">
        <v>51</v>
      </c>
      <c r="X4489" s="14"/>
      <c r="Y4489" s="14"/>
      <c r="Z4489" s="14"/>
      <c r="AA4489" s="14"/>
      <c r="AB4489" s="14"/>
      <c r="AC4489" s="15">
        <v>38.65</v>
      </c>
      <c r="AD4489" s="15">
        <f>AC4489*AG4489</f>
        <v>38.65</v>
      </c>
      <c r="AE4489" s="15">
        <v>85</v>
      </c>
      <c r="AF4489" s="15">
        <f>AE4489*AG4489</f>
        <v>85</v>
      </c>
      <c r="AG4489" s="16">
        <v>1</v>
      </c>
    </row>
    <row r="4490" spans="1:33" ht="15" customHeight="1" x14ac:dyDescent="0.2">
      <c r="A4490" s="11" t="str">
        <f t="shared" si="1408"/>
        <v>VN000D9YRV21</v>
      </c>
      <c r="B4490" s="12" t="s">
        <v>15773</v>
      </c>
      <c r="C4490" s="12" t="s">
        <v>34</v>
      </c>
      <c r="D4490" s="12" t="s">
        <v>1428</v>
      </c>
      <c r="E4490" s="12" t="s">
        <v>15774</v>
      </c>
      <c r="F4490" s="13">
        <v>55</v>
      </c>
      <c r="G4490" s="14"/>
      <c r="H4490" s="12" t="s">
        <v>38</v>
      </c>
      <c r="I4490" s="12" t="s">
        <v>159</v>
      </c>
      <c r="J4490" s="12" t="s">
        <v>160</v>
      </c>
      <c r="K4490" s="12" t="s">
        <v>82</v>
      </c>
      <c r="L4490" s="14"/>
      <c r="M4490" s="12" t="s">
        <v>43</v>
      </c>
      <c r="N4490" s="12" t="s">
        <v>84</v>
      </c>
      <c r="O4490" s="12" t="s">
        <v>15775</v>
      </c>
      <c r="P4490" s="12" t="s">
        <v>46</v>
      </c>
      <c r="Q4490" s="12" t="s">
        <v>47</v>
      </c>
      <c r="R4490" s="12" t="s">
        <v>163</v>
      </c>
      <c r="S4490" s="13">
        <v>197804550982</v>
      </c>
      <c r="T4490" s="12" t="s">
        <v>164</v>
      </c>
      <c r="U4490" s="13">
        <v>37</v>
      </c>
      <c r="V4490" s="12" t="s">
        <v>50</v>
      </c>
      <c r="W4490" s="12" t="s">
        <v>51</v>
      </c>
      <c r="X4490" s="14"/>
      <c r="Y4490" s="14"/>
      <c r="Z4490" s="14"/>
      <c r="AA4490" s="14"/>
      <c r="AB4490" s="14"/>
      <c r="AC4490" s="15">
        <v>38.65</v>
      </c>
      <c r="AD4490" s="15">
        <f>AC4490*AG4490</f>
        <v>38.65</v>
      </c>
      <c r="AE4490" s="15">
        <v>85</v>
      </c>
      <c r="AF4490" s="15">
        <f>AE4490*AG4490</f>
        <v>85</v>
      </c>
      <c r="AG4490" s="16">
        <v>1</v>
      </c>
    </row>
    <row r="4491" spans="1:33" ht="15" customHeight="1" x14ac:dyDescent="0.2">
      <c r="A4491" s="11" t="str">
        <f t="shared" si="1408"/>
        <v>VN000D9YRV21</v>
      </c>
      <c r="B4491" s="12" t="s">
        <v>15776</v>
      </c>
      <c r="C4491" s="12" t="s">
        <v>34</v>
      </c>
      <c r="D4491" s="12" t="s">
        <v>1428</v>
      </c>
      <c r="E4491" s="12" t="s">
        <v>15777</v>
      </c>
      <c r="F4491" s="13">
        <v>65</v>
      </c>
      <c r="G4491" s="14"/>
      <c r="H4491" s="12" t="s">
        <v>38</v>
      </c>
      <c r="I4491" s="12" t="s">
        <v>159</v>
      </c>
      <c r="J4491" s="12" t="s">
        <v>160</v>
      </c>
      <c r="K4491" s="12" t="s">
        <v>82</v>
      </c>
      <c r="L4491" s="14"/>
      <c r="M4491" s="12" t="s">
        <v>43</v>
      </c>
      <c r="N4491" s="12" t="s">
        <v>84</v>
      </c>
      <c r="O4491" s="12" t="s">
        <v>15778</v>
      </c>
      <c r="P4491" s="12" t="s">
        <v>46</v>
      </c>
      <c r="Q4491" s="12" t="s">
        <v>47</v>
      </c>
      <c r="R4491" s="12" t="s">
        <v>163</v>
      </c>
      <c r="S4491" s="13">
        <v>197804551279</v>
      </c>
      <c r="T4491" s="12" t="s">
        <v>164</v>
      </c>
      <c r="U4491" s="13">
        <v>38.5</v>
      </c>
      <c r="V4491" s="12" t="s">
        <v>50</v>
      </c>
      <c r="W4491" s="12" t="s">
        <v>51</v>
      </c>
      <c r="X4491" s="14"/>
      <c r="Y4491" s="14"/>
      <c r="Z4491" s="14"/>
      <c r="AA4491" s="14"/>
      <c r="AB4491" s="14"/>
      <c r="AC4491" s="15">
        <v>38.65</v>
      </c>
      <c r="AD4491" s="15">
        <f>AC4491*AG4491</f>
        <v>38.65</v>
      </c>
      <c r="AE4491" s="15">
        <v>85</v>
      </c>
      <c r="AF4491" s="15">
        <f>AE4491*AG4491</f>
        <v>85</v>
      </c>
      <c r="AG4491" s="16">
        <v>1</v>
      </c>
    </row>
    <row r="4492" spans="1:33" ht="15" customHeight="1" x14ac:dyDescent="0.2">
      <c r="A4492" s="11" t="str">
        <f t="shared" ref="A4492:A4493" si="1409">HYPERLINK("https://assets.vans.eu/images/VN000D9YTUP-HERO/1","VN000D9YTUP1")</f>
        <v>VN000D9YTUP1</v>
      </c>
      <c r="B4492" s="12" t="s">
        <v>15779</v>
      </c>
      <c r="C4492" s="12" t="s">
        <v>34</v>
      </c>
      <c r="D4492" s="12" t="s">
        <v>576</v>
      </c>
      <c r="E4492" s="12" t="s">
        <v>15780</v>
      </c>
      <c r="F4492" s="13">
        <v>60</v>
      </c>
      <c r="G4492" s="12" t="s">
        <v>4912</v>
      </c>
      <c r="H4492" s="12" t="s">
        <v>38</v>
      </c>
      <c r="I4492" s="12" t="s">
        <v>159</v>
      </c>
      <c r="J4492" s="12" t="s">
        <v>160</v>
      </c>
      <c r="K4492" s="12" t="s">
        <v>82</v>
      </c>
      <c r="L4492" s="14"/>
      <c r="M4492" s="12" t="s">
        <v>43</v>
      </c>
      <c r="N4492" s="12" t="s">
        <v>84</v>
      </c>
      <c r="O4492" s="12" t="s">
        <v>15781</v>
      </c>
      <c r="P4492" s="12" t="s">
        <v>46</v>
      </c>
      <c r="Q4492" s="12" t="s">
        <v>47</v>
      </c>
      <c r="R4492" s="12" t="s">
        <v>163</v>
      </c>
      <c r="S4492" s="13">
        <v>197804551392</v>
      </c>
      <c r="T4492" s="12" t="s">
        <v>49</v>
      </c>
      <c r="U4492" s="13">
        <v>38</v>
      </c>
      <c r="V4492" s="12" t="s">
        <v>50</v>
      </c>
      <c r="W4492" s="12" t="s">
        <v>580</v>
      </c>
      <c r="X4492" s="14"/>
      <c r="Y4492" s="14"/>
      <c r="Z4492" s="14"/>
      <c r="AA4492" s="14"/>
      <c r="AB4492" s="14"/>
      <c r="AC4492" s="15">
        <v>43.2</v>
      </c>
      <c r="AD4492" s="15">
        <f>AC4492*AG4492</f>
        <v>43.2</v>
      </c>
      <c r="AE4492" s="15">
        <v>95</v>
      </c>
      <c r="AF4492" s="15">
        <f>AE4492*AG4492</f>
        <v>95</v>
      </c>
      <c r="AG4492" s="16">
        <v>1</v>
      </c>
    </row>
    <row r="4493" spans="1:33" ht="15" customHeight="1" x14ac:dyDescent="0.2">
      <c r="A4493" s="11" t="str">
        <f t="shared" si="1409"/>
        <v>VN000D9YTUP1</v>
      </c>
      <c r="B4493" s="12" t="s">
        <v>15782</v>
      </c>
      <c r="C4493" s="12" t="s">
        <v>34</v>
      </c>
      <c r="D4493" s="12" t="s">
        <v>576</v>
      </c>
      <c r="E4493" s="12" t="s">
        <v>15783</v>
      </c>
      <c r="F4493" s="13">
        <v>70</v>
      </c>
      <c r="G4493" s="12" t="s">
        <v>4912</v>
      </c>
      <c r="H4493" s="12" t="s">
        <v>38</v>
      </c>
      <c r="I4493" s="12" t="s">
        <v>159</v>
      </c>
      <c r="J4493" s="12" t="s">
        <v>160</v>
      </c>
      <c r="K4493" s="12" t="s">
        <v>82</v>
      </c>
      <c r="L4493" s="14"/>
      <c r="M4493" s="12" t="s">
        <v>43</v>
      </c>
      <c r="N4493" s="12" t="s">
        <v>84</v>
      </c>
      <c r="O4493" s="12" t="s">
        <v>15784</v>
      </c>
      <c r="P4493" s="12" t="s">
        <v>46</v>
      </c>
      <c r="Q4493" s="12" t="s">
        <v>47</v>
      </c>
      <c r="R4493" s="12" t="s">
        <v>163</v>
      </c>
      <c r="S4493" s="13">
        <v>197804551743</v>
      </c>
      <c r="T4493" s="12" t="s">
        <v>49</v>
      </c>
      <c r="U4493" s="13">
        <v>39</v>
      </c>
      <c r="V4493" s="12" t="s">
        <v>50</v>
      </c>
      <c r="W4493" s="12" t="s">
        <v>580</v>
      </c>
      <c r="X4493" s="14"/>
      <c r="Y4493" s="14"/>
      <c r="Z4493" s="14"/>
      <c r="AA4493" s="14"/>
      <c r="AB4493" s="14"/>
      <c r="AC4493" s="15">
        <v>43.2</v>
      </c>
      <c r="AD4493" s="15">
        <f>AC4493*AG4493</f>
        <v>43.2</v>
      </c>
      <c r="AE4493" s="15">
        <v>95</v>
      </c>
      <c r="AF4493" s="15">
        <f>AE4493*AG4493</f>
        <v>95</v>
      </c>
      <c r="AG4493" s="16">
        <v>1</v>
      </c>
    </row>
    <row r="4494" spans="1:33" ht="15" customHeight="1" x14ac:dyDescent="0.2">
      <c r="A4494" s="11" t="str">
        <f>HYPERLINK("https://assets.vans.eu/images/VN000D9YY9T-HERO/1","VN000D9YY9T1")</f>
        <v>VN000D9YY9T1</v>
      </c>
      <c r="B4494" s="12" t="s">
        <v>15785</v>
      </c>
      <c r="C4494" s="12" t="s">
        <v>34</v>
      </c>
      <c r="D4494" s="12" t="s">
        <v>15786</v>
      </c>
      <c r="E4494" s="12" t="s">
        <v>15787</v>
      </c>
      <c r="F4494" s="13">
        <v>65</v>
      </c>
      <c r="G4494" s="12" t="s">
        <v>3002</v>
      </c>
      <c r="H4494" s="12" t="s">
        <v>38</v>
      </c>
      <c r="I4494" s="12" t="s">
        <v>159</v>
      </c>
      <c r="J4494" s="12" t="s">
        <v>160</v>
      </c>
      <c r="K4494" s="12" t="s">
        <v>82</v>
      </c>
      <c r="L4494" s="14"/>
      <c r="M4494" s="12" t="s">
        <v>43</v>
      </c>
      <c r="N4494" s="12" t="s">
        <v>84</v>
      </c>
      <c r="O4494" s="12" t="s">
        <v>15788</v>
      </c>
      <c r="P4494" s="12" t="s">
        <v>46</v>
      </c>
      <c r="Q4494" s="12" t="s">
        <v>47</v>
      </c>
      <c r="R4494" s="12" t="s">
        <v>163</v>
      </c>
      <c r="S4494" s="13">
        <v>197804551750</v>
      </c>
      <c r="T4494" s="12" t="s">
        <v>105</v>
      </c>
      <c r="U4494" s="13">
        <v>38.5</v>
      </c>
      <c r="V4494" s="12" t="s">
        <v>50</v>
      </c>
      <c r="W4494" s="12" t="s">
        <v>284</v>
      </c>
      <c r="X4494" s="14"/>
      <c r="Y4494" s="14"/>
      <c r="Z4494" s="14"/>
      <c r="AA4494" s="14"/>
      <c r="AB4494" s="14"/>
      <c r="AC4494" s="15">
        <v>38.65</v>
      </c>
      <c r="AD4494" s="15">
        <f>AC4494*AG4494</f>
        <v>38.65</v>
      </c>
      <c r="AE4494" s="15">
        <v>85</v>
      </c>
      <c r="AF4494" s="15">
        <f>AE4494*AG4494</f>
        <v>85</v>
      </c>
      <c r="AG4494" s="16">
        <v>1</v>
      </c>
    </row>
    <row r="4495" spans="1:33" ht="15" customHeight="1" x14ac:dyDescent="0.2">
      <c r="A4495" s="11" t="str">
        <f t="shared" ref="A4495:A4496" si="1410">HYPERLINK("https://assets.vans.eu/images/VN000D9YYY0-HERO/1","VN000D9YYY01")</f>
        <v>VN000D9YYY01</v>
      </c>
      <c r="B4495" s="12" t="s">
        <v>15789</v>
      </c>
      <c r="C4495" s="12" t="s">
        <v>34</v>
      </c>
      <c r="D4495" s="12" t="s">
        <v>3033</v>
      </c>
      <c r="E4495" s="12" t="s">
        <v>15790</v>
      </c>
      <c r="F4495" s="13">
        <v>35</v>
      </c>
      <c r="G4495" s="12" t="s">
        <v>3002</v>
      </c>
      <c r="H4495" s="12" t="s">
        <v>38</v>
      </c>
      <c r="I4495" s="12" t="s">
        <v>159</v>
      </c>
      <c r="J4495" s="12" t="s">
        <v>160</v>
      </c>
      <c r="K4495" s="12" t="s">
        <v>82</v>
      </c>
      <c r="L4495" s="14"/>
      <c r="M4495" s="12" t="s">
        <v>43</v>
      </c>
      <c r="N4495" s="12" t="s">
        <v>84</v>
      </c>
      <c r="O4495" s="12" t="s">
        <v>15791</v>
      </c>
      <c r="P4495" s="12" t="s">
        <v>46</v>
      </c>
      <c r="Q4495" s="12" t="s">
        <v>47</v>
      </c>
      <c r="R4495" s="12" t="s">
        <v>163</v>
      </c>
      <c r="S4495" s="13">
        <v>197804551019</v>
      </c>
      <c r="T4495" s="12" t="s">
        <v>105</v>
      </c>
      <c r="U4495" s="13">
        <v>34.5</v>
      </c>
      <c r="V4495" s="12" t="s">
        <v>50</v>
      </c>
      <c r="W4495" s="12" t="s">
        <v>284</v>
      </c>
      <c r="X4495" s="14"/>
      <c r="Y4495" s="14"/>
      <c r="Z4495" s="14"/>
      <c r="AA4495" s="14"/>
      <c r="AB4495" s="14"/>
      <c r="AC4495" s="15">
        <v>38.65</v>
      </c>
      <c r="AD4495" s="15">
        <f>AC4495*AG4495</f>
        <v>38.65</v>
      </c>
      <c r="AE4495" s="15">
        <v>85</v>
      </c>
      <c r="AF4495" s="15">
        <f>AE4495*AG4495</f>
        <v>85</v>
      </c>
      <c r="AG4495" s="16">
        <v>1</v>
      </c>
    </row>
    <row r="4496" spans="1:33" ht="15" customHeight="1" x14ac:dyDescent="0.2">
      <c r="A4496" s="11" t="str">
        <f t="shared" si="1410"/>
        <v>VN000D9YYY01</v>
      </c>
      <c r="B4496" s="12" t="s">
        <v>15792</v>
      </c>
      <c r="C4496" s="12" t="s">
        <v>34</v>
      </c>
      <c r="D4496" s="12" t="s">
        <v>3033</v>
      </c>
      <c r="E4496" s="12" t="s">
        <v>15793</v>
      </c>
      <c r="F4496" s="13">
        <v>60</v>
      </c>
      <c r="G4496" s="12" t="s">
        <v>3002</v>
      </c>
      <c r="H4496" s="12" t="s">
        <v>38</v>
      </c>
      <c r="I4496" s="12" t="s">
        <v>159</v>
      </c>
      <c r="J4496" s="12" t="s">
        <v>160</v>
      </c>
      <c r="K4496" s="12" t="s">
        <v>82</v>
      </c>
      <c r="L4496" s="14"/>
      <c r="M4496" s="12" t="s">
        <v>43</v>
      </c>
      <c r="N4496" s="12" t="s">
        <v>84</v>
      </c>
      <c r="O4496" s="12" t="s">
        <v>15794</v>
      </c>
      <c r="P4496" s="12" t="s">
        <v>46</v>
      </c>
      <c r="Q4496" s="12" t="s">
        <v>47</v>
      </c>
      <c r="R4496" s="12" t="s">
        <v>163</v>
      </c>
      <c r="S4496" s="13">
        <v>197804551699</v>
      </c>
      <c r="T4496" s="12" t="s">
        <v>105</v>
      </c>
      <c r="U4496" s="13">
        <v>38</v>
      </c>
      <c r="V4496" s="12" t="s">
        <v>50</v>
      </c>
      <c r="W4496" s="12" t="s">
        <v>284</v>
      </c>
      <c r="X4496" s="14"/>
      <c r="Y4496" s="14"/>
      <c r="Z4496" s="14"/>
      <c r="AA4496" s="14"/>
      <c r="AB4496" s="14"/>
      <c r="AC4496" s="15">
        <v>38.65</v>
      </c>
      <c r="AD4496" s="15">
        <f>AC4496*AG4496</f>
        <v>38.65</v>
      </c>
      <c r="AE4496" s="15">
        <v>85</v>
      </c>
      <c r="AF4496" s="15">
        <f>AE4496*AG4496</f>
        <v>85</v>
      </c>
      <c r="AG4496" s="16">
        <v>1</v>
      </c>
    </row>
    <row r="4497" spans="1:33" ht="15" customHeight="1" x14ac:dyDescent="0.2">
      <c r="A4497" s="11" t="str">
        <f t="shared" ref="A4497:A4500" si="1411">HYPERLINK("https://assets.vans.eu/images/VN000D9ZKOU-HERO/1","VN000D9ZKOU1")</f>
        <v>VN000D9ZKOU1</v>
      </c>
      <c r="B4497" s="12" t="s">
        <v>15795</v>
      </c>
      <c r="C4497" s="12" t="s">
        <v>9975</v>
      </c>
      <c r="D4497" s="12" t="s">
        <v>4469</v>
      </c>
      <c r="E4497" s="12" t="s">
        <v>15796</v>
      </c>
      <c r="F4497" s="13">
        <v>70</v>
      </c>
      <c r="G4497" s="14"/>
      <c r="H4497" s="12" t="s">
        <v>38</v>
      </c>
      <c r="I4497" s="12" t="s">
        <v>159</v>
      </c>
      <c r="J4497" s="12" t="s">
        <v>341</v>
      </c>
      <c r="K4497" s="12" t="s">
        <v>199</v>
      </c>
      <c r="L4497" s="14"/>
      <c r="M4497" s="12" t="s">
        <v>43</v>
      </c>
      <c r="N4497" s="12" t="s">
        <v>84</v>
      </c>
      <c r="O4497" s="12" t="s">
        <v>15797</v>
      </c>
      <c r="P4497" s="12" t="s">
        <v>46</v>
      </c>
      <c r="Q4497" s="12" t="s">
        <v>47</v>
      </c>
      <c r="R4497" s="12" t="s">
        <v>343</v>
      </c>
      <c r="S4497" s="13">
        <v>197804552351</v>
      </c>
      <c r="T4497" s="12" t="s">
        <v>49</v>
      </c>
      <c r="U4497" s="13">
        <v>39</v>
      </c>
      <c r="V4497" s="12" t="s">
        <v>50</v>
      </c>
      <c r="W4497" s="12" t="s">
        <v>51</v>
      </c>
      <c r="X4497" s="14"/>
      <c r="Y4497" s="14"/>
      <c r="Z4497" s="14"/>
      <c r="AA4497" s="14"/>
      <c r="AB4497" s="14"/>
      <c r="AC4497" s="15">
        <v>45.5</v>
      </c>
      <c r="AD4497" s="15">
        <f>AC4497*AG4497</f>
        <v>45.5</v>
      </c>
      <c r="AE4497" s="15">
        <v>100</v>
      </c>
      <c r="AF4497" s="15">
        <f>AE4497*AG4497</f>
        <v>100</v>
      </c>
      <c r="AG4497" s="16">
        <v>1</v>
      </c>
    </row>
    <row r="4498" spans="1:33" ht="15" customHeight="1" x14ac:dyDescent="0.2">
      <c r="A4498" s="11" t="str">
        <f t="shared" si="1411"/>
        <v>VN000D9ZKOU1</v>
      </c>
      <c r="B4498" s="12" t="s">
        <v>15798</v>
      </c>
      <c r="C4498" s="12" t="s">
        <v>9975</v>
      </c>
      <c r="D4498" s="12" t="s">
        <v>4469</v>
      </c>
      <c r="E4498" s="12" t="s">
        <v>15799</v>
      </c>
      <c r="F4498" s="13">
        <v>75</v>
      </c>
      <c r="G4498" s="14"/>
      <c r="H4498" s="12" t="s">
        <v>38</v>
      </c>
      <c r="I4498" s="12" t="s">
        <v>159</v>
      </c>
      <c r="J4498" s="12" t="s">
        <v>341</v>
      </c>
      <c r="K4498" s="12" t="s">
        <v>199</v>
      </c>
      <c r="L4498" s="14"/>
      <c r="M4498" s="12" t="s">
        <v>43</v>
      </c>
      <c r="N4498" s="12" t="s">
        <v>84</v>
      </c>
      <c r="O4498" s="12" t="s">
        <v>15800</v>
      </c>
      <c r="P4498" s="12" t="s">
        <v>46</v>
      </c>
      <c r="Q4498" s="12" t="s">
        <v>47</v>
      </c>
      <c r="R4498" s="12" t="s">
        <v>343</v>
      </c>
      <c r="S4498" s="13">
        <v>197804552467</v>
      </c>
      <c r="T4498" s="12" t="s">
        <v>49</v>
      </c>
      <c r="U4498" s="13">
        <v>40</v>
      </c>
      <c r="V4498" s="12" t="s">
        <v>50</v>
      </c>
      <c r="W4498" s="12" t="s">
        <v>51</v>
      </c>
      <c r="X4498" s="14"/>
      <c r="Y4498" s="14"/>
      <c r="Z4498" s="14"/>
      <c r="AA4498" s="14"/>
      <c r="AB4498" s="14"/>
      <c r="AC4498" s="15">
        <v>45.5</v>
      </c>
      <c r="AD4498" s="15">
        <f>AC4498*AG4498</f>
        <v>45.5</v>
      </c>
      <c r="AE4498" s="15">
        <v>100</v>
      </c>
      <c r="AF4498" s="15">
        <f>AE4498*AG4498</f>
        <v>100</v>
      </c>
      <c r="AG4498" s="16">
        <v>1</v>
      </c>
    </row>
    <row r="4499" spans="1:33" ht="15" customHeight="1" x14ac:dyDescent="0.2">
      <c r="A4499" s="11" t="str">
        <f t="shared" si="1411"/>
        <v>VN000D9ZKOU1</v>
      </c>
      <c r="B4499" s="12" t="s">
        <v>15801</v>
      </c>
      <c r="C4499" s="12" t="s">
        <v>9975</v>
      </c>
      <c r="D4499" s="12" t="s">
        <v>4469</v>
      </c>
      <c r="E4499" s="12" t="s">
        <v>15802</v>
      </c>
      <c r="F4499" s="13">
        <v>85</v>
      </c>
      <c r="G4499" s="14"/>
      <c r="H4499" s="12" t="s">
        <v>38</v>
      </c>
      <c r="I4499" s="12" t="s">
        <v>159</v>
      </c>
      <c r="J4499" s="12" t="s">
        <v>341</v>
      </c>
      <c r="K4499" s="12" t="s">
        <v>199</v>
      </c>
      <c r="L4499" s="14"/>
      <c r="M4499" s="12" t="s">
        <v>43</v>
      </c>
      <c r="N4499" s="12" t="s">
        <v>84</v>
      </c>
      <c r="O4499" s="12" t="s">
        <v>15803</v>
      </c>
      <c r="P4499" s="12" t="s">
        <v>46</v>
      </c>
      <c r="Q4499" s="12" t="s">
        <v>47</v>
      </c>
      <c r="R4499" s="12" t="s">
        <v>343</v>
      </c>
      <c r="S4499" s="13">
        <v>197804552771</v>
      </c>
      <c r="T4499" s="12" t="s">
        <v>49</v>
      </c>
      <c r="U4499" s="13">
        <v>41</v>
      </c>
      <c r="V4499" s="12" t="s">
        <v>50</v>
      </c>
      <c r="W4499" s="12" t="s">
        <v>51</v>
      </c>
      <c r="X4499" s="14"/>
      <c r="Y4499" s="14"/>
      <c r="Z4499" s="14"/>
      <c r="AA4499" s="14"/>
      <c r="AB4499" s="14"/>
      <c r="AC4499" s="15">
        <v>45.5</v>
      </c>
      <c r="AD4499" s="15">
        <f>AC4499*AG4499</f>
        <v>45.5</v>
      </c>
      <c r="AE4499" s="15">
        <v>100</v>
      </c>
      <c r="AF4499" s="15">
        <f>AE4499*AG4499</f>
        <v>100</v>
      </c>
      <c r="AG4499" s="16">
        <v>1</v>
      </c>
    </row>
    <row r="4500" spans="1:33" ht="15" customHeight="1" x14ac:dyDescent="0.2">
      <c r="A4500" s="11" t="str">
        <f t="shared" si="1411"/>
        <v>VN000D9ZKOU1</v>
      </c>
      <c r="B4500" s="12" t="s">
        <v>15804</v>
      </c>
      <c r="C4500" s="12" t="s">
        <v>9975</v>
      </c>
      <c r="D4500" s="12" t="s">
        <v>4469</v>
      </c>
      <c r="E4500" s="12" t="s">
        <v>15805</v>
      </c>
      <c r="F4500" s="13">
        <v>95</v>
      </c>
      <c r="G4500" s="14"/>
      <c r="H4500" s="12" t="s">
        <v>38</v>
      </c>
      <c r="I4500" s="12" t="s">
        <v>159</v>
      </c>
      <c r="J4500" s="12" t="s">
        <v>341</v>
      </c>
      <c r="K4500" s="12" t="s">
        <v>199</v>
      </c>
      <c r="L4500" s="14"/>
      <c r="M4500" s="12" t="s">
        <v>43</v>
      </c>
      <c r="N4500" s="12" t="s">
        <v>84</v>
      </c>
      <c r="O4500" s="12" t="s">
        <v>15806</v>
      </c>
      <c r="P4500" s="12" t="s">
        <v>46</v>
      </c>
      <c r="Q4500" s="12" t="s">
        <v>47</v>
      </c>
      <c r="R4500" s="12" t="s">
        <v>343</v>
      </c>
      <c r="S4500" s="13">
        <v>197804553082</v>
      </c>
      <c r="T4500" s="12" t="s">
        <v>49</v>
      </c>
      <c r="U4500" s="13">
        <v>42.5</v>
      </c>
      <c r="V4500" s="12" t="s">
        <v>50</v>
      </c>
      <c r="W4500" s="12" t="s">
        <v>51</v>
      </c>
      <c r="X4500" s="14"/>
      <c r="Y4500" s="14"/>
      <c r="Z4500" s="14"/>
      <c r="AA4500" s="14"/>
      <c r="AB4500" s="14"/>
      <c r="AC4500" s="15">
        <v>45.5</v>
      </c>
      <c r="AD4500" s="15">
        <f>AC4500*AG4500</f>
        <v>45.5</v>
      </c>
      <c r="AE4500" s="15">
        <v>100</v>
      </c>
      <c r="AF4500" s="15">
        <f>AE4500*AG4500</f>
        <v>100</v>
      </c>
      <c r="AG4500" s="16">
        <v>1</v>
      </c>
    </row>
    <row r="4501" spans="1:33" ht="15" customHeight="1" x14ac:dyDescent="0.2">
      <c r="A4501" s="11" t="str">
        <f t="shared" ref="A4501:A4503" si="1412">HYPERLINK("https://assets.vans.eu/images/VN000D9ZY27-HERO/1","VN000D9ZY271")</f>
        <v>VN000D9ZY271</v>
      </c>
      <c r="B4501" s="12" t="s">
        <v>15807</v>
      </c>
      <c r="C4501" s="12" t="s">
        <v>9975</v>
      </c>
      <c r="D4501" s="12" t="s">
        <v>15808</v>
      </c>
      <c r="E4501" s="12" t="s">
        <v>15809</v>
      </c>
      <c r="F4501" s="13">
        <v>55</v>
      </c>
      <c r="G4501" s="14"/>
      <c r="H4501" s="12" t="s">
        <v>38</v>
      </c>
      <c r="I4501" s="12" t="s">
        <v>159</v>
      </c>
      <c r="J4501" s="12" t="s">
        <v>341</v>
      </c>
      <c r="K4501" s="12" t="s">
        <v>199</v>
      </c>
      <c r="L4501" s="14"/>
      <c r="M4501" s="12" t="s">
        <v>43</v>
      </c>
      <c r="N4501" s="12" t="s">
        <v>84</v>
      </c>
      <c r="O4501" s="12" t="s">
        <v>15810</v>
      </c>
      <c r="P4501" s="12" t="s">
        <v>46</v>
      </c>
      <c r="Q4501" s="12" t="s">
        <v>47</v>
      </c>
      <c r="R4501" s="12" t="s">
        <v>343</v>
      </c>
      <c r="S4501" s="13">
        <v>197804552412</v>
      </c>
      <c r="T4501" s="12" t="s">
        <v>49</v>
      </c>
      <c r="U4501" s="13">
        <v>37</v>
      </c>
      <c r="V4501" s="12" t="s">
        <v>50</v>
      </c>
      <c r="W4501" s="12" t="s">
        <v>284</v>
      </c>
      <c r="X4501" s="14"/>
      <c r="Y4501" s="14"/>
      <c r="Z4501" s="14"/>
      <c r="AA4501" s="14"/>
      <c r="AB4501" s="14"/>
      <c r="AC4501" s="15">
        <v>45.5</v>
      </c>
      <c r="AD4501" s="15">
        <f>AC4501*AG4501</f>
        <v>45.5</v>
      </c>
      <c r="AE4501" s="15">
        <v>100</v>
      </c>
      <c r="AF4501" s="15">
        <f>AE4501*AG4501</f>
        <v>100</v>
      </c>
      <c r="AG4501" s="16">
        <v>1</v>
      </c>
    </row>
    <row r="4502" spans="1:33" ht="15" customHeight="1" x14ac:dyDescent="0.2">
      <c r="A4502" s="11" t="str">
        <f t="shared" si="1412"/>
        <v>VN000D9ZY271</v>
      </c>
      <c r="B4502" s="12" t="s">
        <v>15811</v>
      </c>
      <c r="C4502" s="12" t="s">
        <v>9975</v>
      </c>
      <c r="D4502" s="12" t="s">
        <v>15808</v>
      </c>
      <c r="E4502" s="12" t="s">
        <v>15812</v>
      </c>
      <c r="F4502" s="13">
        <v>65</v>
      </c>
      <c r="G4502" s="14"/>
      <c r="H4502" s="12" t="s">
        <v>38</v>
      </c>
      <c r="I4502" s="12" t="s">
        <v>159</v>
      </c>
      <c r="J4502" s="12" t="s">
        <v>341</v>
      </c>
      <c r="K4502" s="12" t="s">
        <v>199</v>
      </c>
      <c r="L4502" s="14"/>
      <c r="M4502" s="12" t="s">
        <v>43</v>
      </c>
      <c r="N4502" s="12" t="s">
        <v>84</v>
      </c>
      <c r="O4502" s="12" t="s">
        <v>15813</v>
      </c>
      <c r="P4502" s="12" t="s">
        <v>46</v>
      </c>
      <c r="Q4502" s="12" t="s">
        <v>47</v>
      </c>
      <c r="R4502" s="12" t="s">
        <v>343</v>
      </c>
      <c r="S4502" s="13">
        <v>197804552702</v>
      </c>
      <c r="T4502" s="12" t="s">
        <v>49</v>
      </c>
      <c r="U4502" s="13">
        <v>38.5</v>
      </c>
      <c r="V4502" s="12" t="s">
        <v>50</v>
      </c>
      <c r="W4502" s="12" t="s">
        <v>284</v>
      </c>
      <c r="X4502" s="14"/>
      <c r="Y4502" s="14"/>
      <c r="Z4502" s="14"/>
      <c r="AA4502" s="14"/>
      <c r="AB4502" s="14"/>
      <c r="AC4502" s="15">
        <v>45.5</v>
      </c>
      <c r="AD4502" s="15">
        <f>AC4502*AG4502</f>
        <v>45.5</v>
      </c>
      <c r="AE4502" s="15">
        <v>100</v>
      </c>
      <c r="AF4502" s="15">
        <f>AE4502*AG4502</f>
        <v>100</v>
      </c>
      <c r="AG4502" s="16">
        <v>1</v>
      </c>
    </row>
    <row r="4503" spans="1:33" ht="15" customHeight="1" x14ac:dyDescent="0.2">
      <c r="A4503" s="11" t="str">
        <f t="shared" si="1412"/>
        <v>VN000D9ZY271</v>
      </c>
      <c r="B4503" s="12" t="s">
        <v>15814</v>
      </c>
      <c r="C4503" s="12" t="s">
        <v>9975</v>
      </c>
      <c r="D4503" s="12" t="s">
        <v>15808</v>
      </c>
      <c r="E4503" s="12" t="s">
        <v>15815</v>
      </c>
      <c r="F4503" s="13">
        <v>90</v>
      </c>
      <c r="G4503" s="14"/>
      <c r="H4503" s="12" t="s">
        <v>38</v>
      </c>
      <c r="I4503" s="12" t="s">
        <v>159</v>
      </c>
      <c r="J4503" s="12" t="s">
        <v>341</v>
      </c>
      <c r="K4503" s="12" t="s">
        <v>199</v>
      </c>
      <c r="L4503" s="14"/>
      <c r="M4503" s="12" t="s">
        <v>43</v>
      </c>
      <c r="N4503" s="12" t="s">
        <v>84</v>
      </c>
      <c r="O4503" s="12" t="s">
        <v>15816</v>
      </c>
      <c r="P4503" s="12" t="s">
        <v>46</v>
      </c>
      <c r="Q4503" s="12" t="s">
        <v>47</v>
      </c>
      <c r="R4503" s="12" t="s">
        <v>343</v>
      </c>
      <c r="S4503" s="13">
        <v>197804553402</v>
      </c>
      <c r="T4503" s="12" t="s">
        <v>49</v>
      </c>
      <c r="U4503" s="13">
        <v>42</v>
      </c>
      <c r="V4503" s="12" t="s">
        <v>50</v>
      </c>
      <c r="W4503" s="12" t="s">
        <v>284</v>
      </c>
      <c r="X4503" s="14"/>
      <c r="Y4503" s="14"/>
      <c r="Z4503" s="14"/>
      <c r="AA4503" s="14"/>
      <c r="AB4503" s="14"/>
      <c r="AC4503" s="15">
        <v>45.5</v>
      </c>
      <c r="AD4503" s="15">
        <f>AC4503*AG4503</f>
        <v>45.5</v>
      </c>
      <c r="AE4503" s="15">
        <v>100</v>
      </c>
      <c r="AF4503" s="15">
        <f>AE4503*AG4503</f>
        <v>100</v>
      </c>
      <c r="AG4503" s="16">
        <v>1</v>
      </c>
    </row>
    <row r="4504" spans="1:33" ht="15" customHeight="1" x14ac:dyDescent="0.2">
      <c r="A4504" s="11" t="str">
        <f t="shared" ref="A4504:A4506" si="1413">HYPERLINK("https://assets.vans.eu/images/VN000D9ZYB2-HERO/1","VN000D9ZYB21")</f>
        <v>VN000D9ZYB21</v>
      </c>
      <c r="B4504" s="12" t="s">
        <v>15817</v>
      </c>
      <c r="C4504" s="12" t="s">
        <v>9975</v>
      </c>
      <c r="D4504" s="12" t="s">
        <v>1138</v>
      </c>
      <c r="E4504" s="12" t="s">
        <v>15818</v>
      </c>
      <c r="F4504" s="13">
        <v>40</v>
      </c>
      <c r="G4504" s="14"/>
      <c r="H4504" s="12" t="s">
        <v>38</v>
      </c>
      <c r="I4504" s="12" t="s">
        <v>159</v>
      </c>
      <c r="J4504" s="12" t="s">
        <v>341</v>
      </c>
      <c r="K4504" s="12" t="s">
        <v>199</v>
      </c>
      <c r="L4504" s="14"/>
      <c r="M4504" s="12" t="s">
        <v>43</v>
      </c>
      <c r="N4504" s="12" t="s">
        <v>84</v>
      </c>
      <c r="O4504" s="12" t="s">
        <v>15819</v>
      </c>
      <c r="P4504" s="12" t="s">
        <v>46</v>
      </c>
      <c r="Q4504" s="12" t="s">
        <v>47</v>
      </c>
      <c r="R4504" s="12" t="s">
        <v>343</v>
      </c>
      <c r="S4504" s="13">
        <v>197804551972</v>
      </c>
      <c r="T4504" s="12" t="s">
        <v>49</v>
      </c>
      <c r="U4504" s="13">
        <v>35</v>
      </c>
      <c r="V4504" s="12" t="s">
        <v>50</v>
      </c>
      <c r="W4504" s="12" t="s">
        <v>175</v>
      </c>
      <c r="X4504" s="14"/>
      <c r="Y4504" s="14"/>
      <c r="Z4504" s="14"/>
      <c r="AA4504" s="14"/>
      <c r="AB4504" s="14"/>
      <c r="AC4504" s="15">
        <v>45.5</v>
      </c>
      <c r="AD4504" s="15">
        <f>AC4504*AG4504</f>
        <v>45.5</v>
      </c>
      <c r="AE4504" s="15">
        <v>100</v>
      </c>
      <c r="AF4504" s="15">
        <f>AE4504*AG4504</f>
        <v>100</v>
      </c>
      <c r="AG4504" s="16">
        <v>1</v>
      </c>
    </row>
    <row r="4505" spans="1:33" ht="15" customHeight="1" x14ac:dyDescent="0.2">
      <c r="A4505" s="11" t="str">
        <f t="shared" si="1413"/>
        <v>VN000D9ZYB21</v>
      </c>
      <c r="B4505" s="12" t="s">
        <v>15820</v>
      </c>
      <c r="C4505" s="12" t="s">
        <v>9975</v>
      </c>
      <c r="D4505" s="12" t="s">
        <v>1138</v>
      </c>
      <c r="E4505" s="12" t="s">
        <v>15821</v>
      </c>
      <c r="F4505" s="13">
        <v>65</v>
      </c>
      <c r="G4505" s="14"/>
      <c r="H4505" s="12" t="s">
        <v>38</v>
      </c>
      <c r="I4505" s="12" t="s">
        <v>159</v>
      </c>
      <c r="J4505" s="12" t="s">
        <v>341</v>
      </c>
      <c r="K4505" s="12" t="s">
        <v>199</v>
      </c>
      <c r="L4505" s="14"/>
      <c r="M4505" s="12" t="s">
        <v>43</v>
      </c>
      <c r="N4505" s="12" t="s">
        <v>84</v>
      </c>
      <c r="O4505" s="12" t="s">
        <v>15822</v>
      </c>
      <c r="P4505" s="12" t="s">
        <v>46</v>
      </c>
      <c r="Q4505" s="12" t="s">
        <v>47</v>
      </c>
      <c r="R4505" s="12" t="s">
        <v>343</v>
      </c>
      <c r="S4505" s="13">
        <v>197804552573</v>
      </c>
      <c r="T4505" s="12" t="s">
        <v>49</v>
      </c>
      <c r="U4505" s="13">
        <v>38.5</v>
      </c>
      <c r="V4505" s="12" t="s">
        <v>50</v>
      </c>
      <c r="W4505" s="12" t="s">
        <v>175</v>
      </c>
      <c r="X4505" s="14"/>
      <c r="Y4505" s="14"/>
      <c r="Z4505" s="14"/>
      <c r="AA4505" s="14"/>
      <c r="AB4505" s="14"/>
      <c r="AC4505" s="15">
        <v>45.5</v>
      </c>
      <c r="AD4505" s="15">
        <f>AC4505*AG4505</f>
        <v>45.5</v>
      </c>
      <c r="AE4505" s="15">
        <v>100</v>
      </c>
      <c r="AF4505" s="15">
        <f>AE4505*AG4505</f>
        <v>100</v>
      </c>
      <c r="AG4505" s="16">
        <v>1</v>
      </c>
    </row>
    <row r="4506" spans="1:33" ht="15" customHeight="1" x14ac:dyDescent="0.2">
      <c r="A4506" s="11" t="str">
        <f t="shared" si="1413"/>
        <v>VN000D9ZYB21</v>
      </c>
      <c r="B4506" s="12" t="s">
        <v>15823</v>
      </c>
      <c r="C4506" s="12" t="s">
        <v>9975</v>
      </c>
      <c r="D4506" s="12" t="s">
        <v>1138</v>
      </c>
      <c r="E4506" s="12" t="s">
        <v>15824</v>
      </c>
      <c r="F4506" s="13">
        <v>75</v>
      </c>
      <c r="G4506" s="14"/>
      <c r="H4506" s="12" t="s">
        <v>38</v>
      </c>
      <c r="I4506" s="12" t="s">
        <v>159</v>
      </c>
      <c r="J4506" s="12" t="s">
        <v>341</v>
      </c>
      <c r="K4506" s="12" t="s">
        <v>199</v>
      </c>
      <c r="L4506" s="14"/>
      <c r="M4506" s="12" t="s">
        <v>43</v>
      </c>
      <c r="N4506" s="12" t="s">
        <v>84</v>
      </c>
      <c r="O4506" s="12" t="s">
        <v>15825</v>
      </c>
      <c r="P4506" s="12" t="s">
        <v>46</v>
      </c>
      <c r="Q4506" s="12" t="s">
        <v>47</v>
      </c>
      <c r="R4506" s="12" t="s">
        <v>343</v>
      </c>
      <c r="S4506" s="13">
        <v>197804552870</v>
      </c>
      <c r="T4506" s="12" t="s">
        <v>49</v>
      </c>
      <c r="U4506" s="13">
        <v>40</v>
      </c>
      <c r="V4506" s="12" t="s">
        <v>50</v>
      </c>
      <c r="W4506" s="12" t="s">
        <v>175</v>
      </c>
      <c r="X4506" s="14"/>
      <c r="Y4506" s="14"/>
      <c r="Z4506" s="14"/>
      <c r="AA4506" s="14"/>
      <c r="AB4506" s="14"/>
      <c r="AC4506" s="15">
        <v>45.5</v>
      </c>
      <c r="AD4506" s="15">
        <f>AC4506*AG4506</f>
        <v>45.5</v>
      </c>
      <c r="AE4506" s="15">
        <v>100</v>
      </c>
      <c r="AF4506" s="15">
        <f>AE4506*AG4506</f>
        <v>100</v>
      </c>
      <c r="AG4506" s="16">
        <v>1</v>
      </c>
    </row>
    <row r="4507" spans="1:33" ht="15" customHeight="1" x14ac:dyDescent="0.2">
      <c r="A4507" s="11" t="str">
        <f t="shared" ref="A4507:A4512" si="1414">HYPERLINK("https://assets.vans.eu/images/VN000DA18DX-HERO/1","VN000DA18DX1")</f>
        <v>VN000DA18DX1</v>
      </c>
      <c r="B4507" s="12" t="s">
        <v>15826</v>
      </c>
      <c r="C4507" s="12" t="s">
        <v>5946</v>
      </c>
      <c r="D4507" s="12" t="s">
        <v>9988</v>
      </c>
      <c r="E4507" s="12" t="s">
        <v>15827</v>
      </c>
      <c r="F4507" s="13">
        <v>35</v>
      </c>
      <c r="G4507" s="12" t="s">
        <v>5949</v>
      </c>
      <c r="H4507" s="12" t="s">
        <v>38</v>
      </c>
      <c r="I4507" s="12" t="s">
        <v>159</v>
      </c>
      <c r="J4507" s="12" t="s">
        <v>341</v>
      </c>
      <c r="K4507" s="12" t="s">
        <v>199</v>
      </c>
      <c r="L4507" s="14"/>
      <c r="M4507" s="12" t="s">
        <v>43</v>
      </c>
      <c r="N4507" s="12" t="s">
        <v>84</v>
      </c>
      <c r="O4507" s="12" t="s">
        <v>15828</v>
      </c>
      <c r="P4507" s="12" t="s">
        <v>46</v>
      </c>
      <c r="Q4507" s="12" t="s">
        <v>47</v>
      </c>
      <c r="R4507" s="12" t="s">
        <v>163</v>
      </c>
      <c r="S4507" s="13">
        <v>197804552061</v>
      </c>
      <c r="T4507" s="12" t="s">
        <v>49</v>
      </c>
      <c r="U4507" s="13">
        <v>34.5</v>
      </c>
      <c r="V4507" s="12" t="s">
        <v>50</v>
      </c>
      <c r="W4507" s="12" t="s">
        <v>284</v>
      </c>
      <c r="X4507" s="14"/>
      <c r="Y4507" s="14"/>
      <c r="Z4507" s="14"/>
      <c r="AA4507" s="14"/>
      <c r="AB4507" s="14"/>
      <c r="AC4507" s="15">
        <v>54.55</v>
      </c>
      <c r="AD4507" s="15">
        <f>AC4507*AG4507</f>
        <v>54.55</v>
      </c>
      <c r="AE4507" s="15">
        <v>120</v>
      </c>
      <c r="AF4507" s="15">
        <f>AE4507*AG4507</f>
        <v>120</v>
      </c>
      <c r="AG4507" s="16">
        <v>1</v>
      </c>
    </row>
    <row r="4508" spans="1:33" ht="15" customHeight="1" x14ac:dyDescent="0.2">
      <c r="A4508" s="11" t="str">
        <f t="shared" si="1414"/>
        <v>VN000DA18DX1</v>
      </c>
      <c r="B4508" s="12" t="s">
        <v>15829</v>
      </c>
      <c r="C4508" s="12" t="s">
        <v>5946</v>
      </c>
      <c r="D4508" s="12" t="s">
        <v>9988</v>
      </c>
      <c r="E4508" s="12" t="s">
        <v>15830</v>
      </c>
      <c r="F4508" s="13">
        <v>45</v>
      </c>
      <c r="G4508" s="12" t="s">
        <v>5949</v>
      </c>
      <c r="H4508" s="12" t="s">
        <v>38</v>
      </c>
      <c r="I4508" s="12" t="s">
        <v>159</v>
      </c>
      <c r="J4508" s="12" t="s">
        <v>341</v>
      </c>
      <c r="K4508" s="12" t="s">
        <v>199</v>
      </c>
      <c r="L4508" s="14"/>
      <c r="M4508" s="12" t="s">
        <v>43</v>
      </c>
      <c r="N4508" s="12" t="s">
        <v>84</v>
      </c>
      <c r="O4508" s="12" t="s">
        <v>15831</v>
      </c>
      <c r="P4508" s="12" t="s">
        <v>46</v>
      </c>
      <c r="Q4508" s="12" t="s">
        <v>47</v>
      </c>
      <c r="R4508" s="12" t="s">
        <v>163</v>
      </c>
      <c r="S4508" s="13">
        <v>197804552382</v>
      </c>
      <c r="T4508" s="12" t="s">
        <v>49</v>
      </c>
      <c r="U4508" s="13">
        <v>36</v>
      </c>
      <c r="V4508" s="12" t="s">
        <v>50</v>
      </c>
      <c r="W4508" s="12" t="s">
        <v>284</v>
      </c>
      <c r="X4508" s="14"/>
      <c r="Y4508" s="14"/>
      <c r="Z4508" s="14"/>
      <c r="AA4508" s="14"/>
      <c r="AB4508" s="14"/>
      <c r="AC4508" s="15">
        <v>54.55</v>
      </c>
      <c r="AD4508" s="15">
        <f>AC4508*AG4508</f>
        <v>54.55</v>
      </c>
      <c r="AE4508" s="15">
        <v>120</v>
      </c>
      <c r="AF4508" s="15">
        <f>AE4508*AG4508</f>
        <v>120</v>
      </c>
      <c r="AG4508" s="16">
        <v>1</v>
      </c>
    </row>
    <row r="4509" spans="1:33" ht="15" customHeight="1" x14ac:dyDescent="0.2">
      <c r="A4509" s="11" t="str">
        <f t="shared" si="1414"/>
        <v>VN000DA18DX1</v>
      </c>
      <c r="B4509" s="12" t="s">
        <v>15832</v>
      </c>
      <c r="C4509" s="12" t="s">
        <v>5946</v>
      </c>
      <c r="D4509" s="12" t="s">
        <v>9988</v>
      </c>
      <c r="E4509" s="12" t="s">
        <v>15833</v>
      </c>
      <c r="F4509" s="13">
        <v>50</v>
      </c>
      <c r="G4509" s="12" t="s">
        <v>5949</v>
      </c>
      <c r="H4509" s="12" t="s">
        <v>38</v>
      </c>
      <c r="I4509" s="12" t="s">
        <v>159</v>
      </c>
      <c r="J4509" s="12" t="s">
        <v>341</v>
      </c>
      <c r="K4509" s="12" t="s">
        <v>199</v>
      </c>
      <c r="L4509" s="14"/>
      <c r="M4509" s="12" t="s">
        <v>43</v>
      </c>
      <c r="N4509" s="12" t="s">
        <v>84</v>
      </c>
      <c r="O4509" s="12" t="s">
        <v>15834</v>
      </c>
      <c r="P4509" s="12" t="s">
        <v>46</v>
      </c>
      <c r="Q4509" s="12" t="s">
        <v>47</v>
      </c>
      <c r="R4509" s="12" t="s">
        <v>163</v>
      </c>
      <c r="S4509" s="13">
        <v>197804552498</v>
      </c>
      <c r="T4509" s="12" t="s">
        <v>49</v>
      </c>
      <c r="U4509" s="13">
        <v>36.5</v>
      </c>
      <c r="V4509" s="12" t="s">
        <v>50</v>
      </c>
      <c r="W4509" s="12" t="s">
        <v>284</v>
      </c>
      <c r="X4509" s="14"/>
      <c r="Y4509" s="14"/>
      <c r="Z4509" s="14"/>
      <c r="AA4509" s="14"/>
      <c r="AB4509" s="14"/>
      <c r="AC4509" s="15">
        <v>54.55</v>
      </c>
      <c r="AD4509" s="15">
        <f>AC4509*AG4509</f>
        <v>54.55</v>
      </c>
      <c r="AE4509" s="15">
        <v>120</v>
      </c>
      <c r="AF4509" s="15">
        <f>AE4509*AG4509</f>
        <v>120</v>
      </c>
      <c r="AG4509" s="16">
        <v>1</v>
      </c>
    </row>
    <row r="4510" spans="1:33" ht="15" customHeight="1" x14ac:dyDescent="0.2">
      <c r="A4510" s="11" t="str">
        <f t="shared" si="1414"/>
        <v>VN000DA18DX1</v>
      </c>
      <c r="B4510" s="12" t="s">
        <v>15835</v>
      </c>
      <c r="C4510" s="12" t="s">
        <v>5946</v>
      </c>
      <c r="D4510" s="12" t="s">
        <v>9988</v>
      </c>
      <c r="E4510" s="12" t="s">
        <v>15836</v>
      </c>
      <c r="F4510" s="13">
        <v>60</v>
      </c>
      <c r="G4510" s="12" t="s">
        <v>5949</v>
      </c>
      <c r="H4510" s="12" t="s">
        <v>38</v>
      </c>
      <c r="I4510" s="12" t="s">
        <v>159</v>
      </c>
      <c r="J4510" s="12" t="s">
        <v>341</v>
      </c>
      <c r="K4510" s="12" t="s">
        <v>199</v>
      </c>
      <c r="L4510" s="14"/>
      <c r="M4510" s="12" t="s">
        <v>43</v>
      </c>
      <c r="N4510" s="12" t="s">
        <v>84</v>
      </c>
      <c r="O4510" s="12" t="s">
        <v>15837</v>
      </c>
      <c r="P4510" s="12" t="s">
        <v>46</v>
      </c>
      <c r="Q4510" s="12" t="s">
        <v>47</v>
      </c>
      <c r="R4510" s="12" t="s">
        <v>163</v>
      </c>
      <c r="S4510" s="13">
        <v>197804552788</v>
      </c>
      <c r="T4510" s="12" t="s">
        <v>49</v>
      </c>
      <c r="U4510" s="13">
        <v>38</v>
      </c>
      <c r="V4510" s="12" t="s">
        <v>50</v>
      </c>
      <c r="W4510" s="12" t="s">
        <v>284</v>
      </c>
      <c r="X4510" s="14"/>
      <c r="Y4510" s="14"/>
      <c r="Z4510" s="14"/>
      <c r="AA4510" s="14"/>
      <c r="AB4510" s="14"/>
      <c r="AC4510" s="15">
        <v>54.55</v>
      </c>
      <c r="AD4510" s="15">
        <f>AC4510*AG4510</f>
        <v>54.55</v>
      </c>
      <c r="AE4510" s="15">
        <v>120</v>
      </c>
      <c r="AF4510" s="15">
        <f>AE4510*AG4510</f>
        <v>120</v>
      </c>
      <c r="AG4510" s="16">
        <v>1</v>
      </c>
    </row>
    <row r="4511" spans="1:33" ht="15" customHeight="1" x14ac:dyDescent="0.2">
      <c r="A4511" s="11" t="str">
        <f t="shared" si="1414"/>
        <v>VN000DA18DX1</v>
      </c>
      <c r="B4511" s="12" t="s">
        <v>15838</v>
      </c>
      <c r="C4511" s="12" t="s">
        <v>5946</v>
      </c>
      <c r="D4511" s="12" t="s">
        <v>9988</v>
      </c>
      <c r="E4511" s="12" t="s">
        <v>15839</v>
      </c>
      <c r="F4511" s="13">
        <v>70</v>
      </c>
      <c r="G4511" s="12" t="s">
        <v>5949</v>
      </c>
      <c r="H4511" s="12" t="s">
        <v>38</v>
      </c>
      <c r="I4511" s="12" t="s">
        <v>159</v>
      </c>
      <c r="J4511" s="12" t="s">
        <v>341</v>
      </c>
      <c r="K4511" s="12" t="s">
        <v>199</v>
      </c>
      <c r="L4511" s="14"/>
      <c r="M4511" s="12" t="s">
        <v>43</v>
      </c>
      <c r="N4511" s="12" t="s">
        <v>84</v>
      </c>
      <c r="O4511" s="12" t="s">
        <v>15840</v>
      </c>
      <c r="P4511" s="12" t="s">
        <v>46</v>
      </c>
      <c r="Q4511" s="12" t="s">
        <v>47</v>
      </c>
      <c r="R4511" s="12" t="s">
        <v>163</v>
      </c>
      <c r="S4511" s="13">
        <v>197804553068</v>
      </c>
      <c r="T4511" s="12" t="s">
        <v>49</v>
      </c>
      <c r="U4511" s="13">
        <v>39</v>
      </c>
      <c r="V4511" s="12" t="s">
        <v>50</v>
      </c>
      <c r="W4511" s="12" t="s">
        <v>284</v>
      </c>
      <c r="X4511" s="14"/>
      <c r="Y4511" s="14"/>
      <c r="Z4511" s="14"/>
      <c r="AA4511" s="14"/>
      <c r="AB4511" s="14"/>
      <c r="AC4511" s="15">
        <v>54.55</v>
      </c>
      <c r="AD4511" s="15">
        <f>AC4511*AG4511</f>
        <v>54.55</v>
      </c>
      <c r="AE4511" s="15">
        <v>120</v>
      </c>
      <c r="AF4511" s="15">
        <f>AE4511*AG4511</f>
        <v>120</v>
      </c>
      <c r="AG4511" s="16">
        <v>1</v>
      </c>
    </row>
    <row r="4512" spans="1:33" ht="15" customHeight="1" x14ac:dyDescent="0.2">
      <c r="A4512" s="11" t="str">
        <f t="shared" si="1414"/>
        <v>VN000DA18DX1</v>
      </c>
      <c r="B4512" s="12" t="s">
        <v>15841</v>
      </c>
      <c r="C4512" s="12" t="s">
        <v>5946</v>
      </c>
      <c r="D4512" s="12" t="s">
        <v>9988</v>
      </c>
      <c r="E4512" s="12" t="s">
        <v>15842</v>
      </c>
      <c r="F4512" s="13">
        <v>120</v>
      </c>
      <c r="G4512" s="12" t="s">
        <v>5949</v>
      </c>
      <c r="H4512" s="12" t="s">
        <v>38</v>
      </c>
      <c r="I4512" s="12" t="s">
        <v>159</v>
      </c>
      <c r="J4512" s="12" t="s">
        <v>341</v>
      </c>
      <c r="K4512" s="12" t="s">
        <v>199</v>
      </c>
      <c r="L4512" s="14"/>
      <c r="M4512" s="12" t="s">
        <v>43</v>
      </c>
      <c r="N4512" s="12" t="s">
        <v>84</v>
      </c>
      <c r="O4512" s="12" t="s">
        <v>15843</v>
      </c>
      <c r="P4512" s="12" t="s">
        <v>46</v>
      </c>
      <c r="Q4512" s="12" t="s">
        <v>47</v>
      </c>
      <c r="R4512" s="12" t="s">
        <v>163</v>
      </c>
      <c r="S4512" s="13">
        <v>197804554096</v>
      </c>
      <c r="T4512" s="12" t="s">
        <v>49</v>
      </c>
      <c r="U4512" s="13">
        <v>46</v>
      </c>
      <c r="V4512" s="12" t="s">
        <v>50</v>
      </c>
      <c r="W4512" s="12" t="s">
        <v>284</v>
      </c>
      <c r="X4512" s="14"/>
      <c r="Y4512" s="14"/>
      <c r="Z4512" s="14"/>
      <c r="AA4512" s="14"/>
      <c r="AB4512" s="14"/>
      <c r="AC4512" s="15">
        <v>54.55</v>
      </c>
      <c r="AD4512" s="15">
        <f>AC4512*AG4512</f>
        <v>54.55</v>
      </c>
      <c r="AE4512" s="15">
        <v>120</v>
      </c>
      <c r="AF4512" s="15">
        <f>AE4512*AG4512</f>
        <v>120</v>
      </c>
      <c r="AG4512" s="16">
        <v>1</v>
      </c>
    </row>
    <row r="4513" spans="1:33" ht="15" customHeight="1" x14ac:dyDescent="0.2">
      <c r="A4513" s="11" t="str">
        <f t="shared" ref="A4513:A4516" si="1415">HYPERLINK("https://assets.vans.eu/images/VN000DA1B5T-HERO/1","VN000DA1B5T1")</f>
        <v>VN000DA1B5T1</v>
      </c>
      <c r="B4513" s="12" t="s">
        <v>15844</v>
      </c>
      <c r="C4513" s="12" t="s">
        <v>5946</v>
      </c>
      <c r="D4513" s="12" t="s">
        <v>4019</v>
      </c>
      <c r="E4513" s="12" t="s">
        <v>15845</v>
      </c>
      <c r="F4513" s="13">
        <v>50</v>
      </c>
      <c r="G4513" s="14"/>
      <c r="H4513" s="12" t="s">
        <v>38</v>
      </c>
      <c r="I4513" s="12" t="s">
        <v>159</v>
      </c>
      <c r="J4513" s="12" t="s">
        <v>341</v>
      </c>
      <c r="K4513" s="12" t="s">
        <v>199</v>
      </c>
      <c r="L4513" s="14"/>
      <c r="M4513" s="12" t="s">
        <v>43</v>
      </c>
      <c r="N4513" s="12" t="s">
        <v>84</v>
      </c>
      <c r="O4513" s="12" t="s">
        <v>15846</v>
      </c>
      <c r="P4513" s="12" t="s">
        <v>46</v>
      </c>
      <c r="Q4513" s="12" t="s">
        <v>47</v>
      </c>
      <c r="R4513" s="12" t="s">
        <v>163</v>
      </c>
      <c r="S4513" s="13">
        <v>197804552887</v>
      </c>
      <c r="T4513" s="12" t="s">
        <v>49</v>
      </c>
      <c r="U4513" s="13">
        <v>36.5</v>
      </c>
      <c r="V4513" s="12" t="s">
        <v>50</v>
      </c>
      <c r="W4513" s="12" t="s">
        <v>51</v>
      </c>
      <c r="X4513" s="14"/>
      <c r="Y4513" s="14"/>
      <c r="Z4513" s="14"/>
      <c r="AA4513" s="14"/>
      <c r="AB4513" s="14"/>
      <c r="AC4513" s="15">
        <v>54.55</v>
      </c>
      <c r="AD4513" s="15">
        <f>AC4513*AG4513</f>
        <v>54.55</v>
      </c>
      <c r="AE4513" s="15">
        <v>120</v>
      </c>
      <c r="AF4513" s="15">
        <f>AE4513*AG4513</f>
        <v>120</v>
      </c>
      <c r="AG4513" s="16">
        <v>1</v>
      </c>
    </row>
    <row r="4514" spans="1:33" ht="15" customHeight="1" x14ac:dyDescent="0.2">
      <c r="A4514" s="11" t="str">
        <f t="shared" si="1415"/>
        <v>VN000DA1B5T1</v>
      </c>
      <c r="B4514" s="12" t="s">
        <v>15847</v>
      </c>
      <c r="C4514" s="12" t="s">
        <v>5946</v>
      </c>
      <c r="D4514" s="12" t="s">
        <v>4019</v>
      </c>
      <c r="E4514" s="12" t="s">
        <v>15848</v>
      </c>
      <c r="F4514" s="13">
        <v>65</v>
      </c>
      <c r="G4514" s="14"/>
      <c r="H4514" s="12" t="s">
        <v>38</v>
      </c>
      <c r="I4514" s="12" t="s">
        <v>159</v>
      </c>
      <c r="J4514" s="12" t="s">
        <v>341</v>
      </c>
      <c r="K4514" s="12" t="s">
        <v>199</v>
      </c>
      <c r="L4514" s="14"/>
      <c r="M4514" s="12" t="s">
        <v>43</v>
      </c>
      <c r="N4514" s="12" t="s">
        <v>84</v>
      </c>
      <c r="O4514" s="12" t="s">
        <v>15849</v>
      </c>
      <c r="P4514" s="12" t="s">
        <v>46</v>
      </c>
      <c r="Q4514" s="12" t="s">
        <v>47</v>
      </c>
      <c r="R4514" s="12" t="s">
        <v>163</v>
      </c>
      <c r="S4514" s="13">
        <v>197804553518</v>
      </c>
      <c r="T4514" s="12" t="s">
        <v>49</v>
      </c>
      <c r="U4514" s="13">
        <v>38.5</v>
      </c>
      <c r="V4514" s="12" t="s">
        <v>50</v>
      </c>
      <c r="W4514" s="12" t="s">
        <v>51</v>
      </c>
      <c r="X4514" s="14"/>
      <c r="Y4514" s="14"/>
      <c r="Z4514" s="14"/>
      <c r="AA4514" s="14"/>
      <c r="AB4514" s="14"/>
      <c r="AC4514" s="15">
        <v>54.55</v>
      </c>
      <c r="AD4514" s="15">
        <f>AC4514*AG4514</f>
        <v>54.55</v>
      </c>
      <c r="AE4514" s="15">
        <v>120</v>
      </c>
      <c r="AF4514" s="15">
        <f>AE4514*AG4514</f>
        <v>120</v>
      </c>
      <c r="AG4514" s="16">
        <v>1</v>
      </c>
    </row>
    <row r="4515" spans="1:33" ht="15" customHeight="1" x14ac:dyDescent="0.2">
      <c r="A4515" s="11" t="str">
        <f t="shared" si="1415"/>
        <v>VN000DA1B5T1</v>
      </c>
      <c r="B4515" s="12" t="s">
        <v>15850</v>
      </c>
      <c r="C4515" s="12" t="s">
        <v>5946</v>
      </c>
      <c r="D4515" s="12" t="s">
        <v>4019</v>
      </c>
      <c r="E4515" s="12" t="s">
        <v>15851</v>
      </c>
      <c r="F4515" s="13">
        <v>70</v>
      </c>
      <c r="G4515" s="14"/>
      <c r="H4515" s="12" t="s">
        <v>38</v>
      </c>
      <c r="I4515" s="12" t="s">
        <v>159</v>
      </c>
      <c r="J4515" s="12" t="s">
        <v>341</v>
      </c>
      <c r="K4515" s="12" t="s">
        <v>199</v>
      </c>
      <c r="L4515" s="14"/>
      <c r="M4515" s="12" t="s">
        <v>43</v>
      </c>
      <c r="N4515" s="12" t="s">
        <v>84</v>
      </c>
      <c r="O4515" s="12" t="s">
        <v>15852</v>
      </c>
      <c r="P4515" s="12" t="s">
        <v>46</v>
      </c>
      <c r="Q4515" s="12" t="s">
        <v>47</v>
      </c>
      <c r="R4515" s="12" t="s">
        <v>163</v>
      </c>
      <c r="S4515" s="13">
        <v>197804553563</v>
      </c>
      <c r="T4515" s="12" t="s">
        <v>49</v>
      </c>
      <c r="U4515" s="13">
        <v>39</v>
      </c>
      <c r="V4515" s="12" t="s">
        <v>50</v>
      </c>
      <c r="W4515" s="12" t="s">
        <v>51</v>
      </c>
      <c r="X4515" s="14"/>
      <c r="Y4515" s="14"/>
      <c r="Z4515" s="14"/>
      <c r="AA4515" s="14"/>
      <c r="AB4515" s="14"/>
      <c r="AC4515" s="15">
        <v>54.55</v>
      </c>
      <c r="AD4515" s="15">
        <f>AC4515*AG4515</f>
        <v>54.55</v>
      </c>
      <c r="AE4515" s="15">
        <v>120</v>
      </c>
      <c r="AF4515" s="15">
        <f>AE4515*AG4515</f>
        <v>120</v>
      </c>
      <c r="AG4515" s="16">
        <v>1</v>
      </c>
    </row>
    <row r="4516" spans="1:33" ht="15" customHeight="1" x14ac:dyDescent="0.2">
      <c r="A4516" s="11" t="str">
        <f t="shared" si="1415"/>
        <v>VN000DA1B5T1</v>
      </c>
      <c r="B4516" s="12" t="s">
        <v>15853</v>
      </c>
      <c r="C4516" s="12" t="s">
        <v>5946</v>
      </c>
      <c r="D4516" s="12" t="s">
        <v>4019</v>
      </c>
      <c r="E4516" s="12" t="s">
        <v>15854</v>
      </c>
      <c r="F4516" s="13">
        <v>80</v>
      </c>
      <c r="G4516" s="14"/>
      <c r="H4516" s="12" t="s">
        <v>38</v>
      </c>
      <c r="I4516" s="12" t="s">
        <v>159</v>
      </c>
      <c r="J4516" s="12" t="s">
        <v>341</v>
      </c>
      <c r="K4516" s="12" t="s">
        <v>199</v>
      </c>
      <c r="L4516" s="14"/>
      <c r="M4516" s="12" t="s">
        <v>43</v>
      </c>
      <c r="N4516" s="12" t="s">
        <v>84</v>
      </c>
      <c r="O4516" s="12" t="s">
        <v>15855</v>
      </c>
      <c r="P4516" s="12" t="s">
        <v>46</v>
      </c>
      <c r="Q4516" s="12" t="s">
        <v>47</v>
      </c>
      <c r="R4516" s="12" t="s">
        <v>163</v>
      </c>
      <c r="S4516" s="13">
        <v>197804553907</v>
      </c>
      <c r="T4516" s="12" t="s">
        <v>49</v>
      </c>
      <c r="U4516" s="13">
        <v>40.5</v>
      </c>
      <c r="V4516" s="12" t="s">
        <v>50</v>
      </c>
      <c r="W4516" s="12" t="s">
        <v>51</v>
      </c>
      <c r="X4516" s="14"/>
      <c r="Y4516" s="14"/>
      <c r="Z4516" s="14"/>
      <c r="AA4516" s="14"/>
      <c r="AB4516" s="14"/>
      <c r="AC4516" s="15">
        <v>54.55</v>
      </c>
      <c r="AD4516" s="15">
        <f>AC4516*AG4516</f>
        <v>54.55</v>
      </c>
      <c r="AE4516" s="15">
        <v>120</v>
      </c>
      <c r="AF4516" s="15">
        <f>AE4516*AG4516</f>
        <v>120</v>
      </c>
      <c r="AG4516" s="16">
        <v>1</v>
      </c>
    </row>
    <row r="4517" spans="1:33" ht="15" customHeight="1" x14ac:dyDescent="0.2">
      <c r="A4517" s="11" t="str">
        <f t="shared" ref="A4517:A4519" si="1416">HYPERLINK("https://assets.vans.eu/images/VN000DA1Z34-HERO/1","VN000DA1Z341")</f>
        <v>VN000DA1Z341</v>
      </c>
      <c r="B4517" s="12" t="s">
        <v>15856</v>
      </c>
      <c r="C4517" s="12" t="s">
        <v>5946</v>
      </c>
      <c r="D4517" s="12" t="s">
        <v>5947</v>
      </c>
      <c r="E4517" s="12" t="s">
        <v>15857</v>
      </c>
      <c r="F4517" s="13">
        <v>40</v>
      </c>
      <c r="G4517" s="12" t="s">
        <v>5949</v>
      </c>
      <c r="H4517" s="12" t="s">
        <v>38</v>
      </c>
      <c r="I4517" s="12" t="s">
        <v>159</v>
      </c>
      <c r="J4517" s="12" t="s">
        <v>341</v>
      </c>
      <c r="K4517" s="12" t="s">
        <v>199</v>
      </c>
      <c r="L4517" s="14"/>
      <c r="M4517" s="12" t="s">
        <v>43</v>
      </c>
      <c r="N4517" s="12" t="s">
        <v>84</v>
      </c>
      <c r="O4517" s="12" t="s">
        <v>15858</v>
      </c>
      <c r="P4517" s="12" t="s">
        <v>46</v>
      </c>
      <c r="Q4517" s="12" t="s">
        <v>47</v>
      </c>
      <c r="R4517" s="12" t="s">
        <v>163</v>
      </c>
      <c r="S4517" s="13">
        <v>197804553389</v>
      </c>
      <c r="T4517" s="12" t="s">
        <v>49</v>
      </c>
      <c r="U4517" s="13">
        <v>35</v>
      </c>
      <c r="V4517" s="12" t="s">
        <v>50</v>
      </c>
      <c r="W4517" s="12" t="s">
        <v>175</v>
      </c>
      <c r="X4517" s="14"/>
      <c r="Y4517" s="14"/>
      <c r="Z4517" s="14"/>
      <c r="AA4517" s="14"/>
      <c r="AB4517" s="14"/>
      <c r="AC4517" s="15">
        <v>54.55</v>
      </c>
      <c r="AD4517" s="15">
        <f>AC4517*AG4517</f>
        <v>54.55</v>
      </c>
      <c r="AE4517" s="15">
        <v>120</v>
      </c>
      <c r="AF4517" s="15">
        <f>AE4517*AG4517</f>
        <v>120</v>
      </c>
      <c r="AG4517" s="16">
        <v>1</v>
      </c>
    </row>
    <row r="4518" spans="1:33" ht="15" customHeight="1" x14ac:dyDescent="0.2">
      <c r="A4518" s="11" t="str">
        <f t="shared" si="1416"/>
        <v>VN000DA1Z341</v>
      </c>
      <c r="B4518" s="12" t="s">
        <v>15859</v>
      </c>
      <c r="C4518" s="12" t="s">
        <v>5946</v>
      </c>
      <c r="D4518" s="12" t="s">
        <v>5947</v>
      </c>
      <c r="E4518" s="12" t="s">
        <v>15860</v>
      </c>
      <c r="F4518" s="13">
        <v>50</v>
      </c>
      <c r="G4518" s="12" t="s">
        <v>5949</v>
      </c>
      <c r="H4518" s="12" t="s">
        <v>38</v>
      </c>
      <c r="I4518" s="12" t="s">
        <v>159</v>
      </c>
      <c r="J4518" s="12" t="s">
        <v>341</v>
      </c>
      <c r="K4518" s="12" t="s">
        <v>199</v>
      </c>
      <c r="L4518" s="14"/>
      <c r="M4518" s="12" t="s">
        <v>43</v>
      </c>
      <c r="N4518" s="12" t="s">
        <v>84</v>
      </c>
      <c r="O4518" s="12" t="s">
        <v>15861</v>
      </c>
      <c r="P4518" s="12" t="s">
        <v>46</v>
      </c>
      <c r="Q4518" s="12" t="s">
        <v>47</v>
      </c>
      <c r="R4518" s="12" t="s">
        <v>163</v>
      </c>
      <c r="S4518" s="13">
        <v>197804553624</v>
      </c>
      <c r="T4518" s="12" t="s">
        <v>49</v>
      </c>
      <c r="U4518" s="13">
        <v>36.5</v>
      </c>
      <c r="V4518" s="12" t="s">
        <v>50</v>
      </c>
      <c r="W4518" s="12" t="s">
        <v>175</v>
      </c>
      <c r="X4518" s="14"/>
      <c r="Y4518" s="14"/>
      <c r="Z4518" s="14"/>
      <c r="AA4518" s="14"/>
      <c r="AB4518" s="14"/>
      <c r="AC4518" s="15">
        <v>54.55</v>
      </c>
      <c r="AD4518" s="15">
        <f>AC4518*AG4518</f>
        <v>54.55</v>
      </c>
      <c r="AE4518" s="15">
        <v>120</v>
      </c>
      <c r="AF4518" s="15">
        <f>AE4518*AG4518</f>
        <v>120</v>
      </c>
      <c r="AG4518" s="16">
        <v>1</v>
      </c>
    </row>
    <row r="4519" spans="1:33" ht="15" customHeight="1" x14ac:dyDescent="0.2">
      <c r="A4519" s="11" t="str">
        <f t="shared" si="1416"/>
        <v>VN000DA1Z341</v>
      </c>
      <c r="B4519" s="12" t="s">
        <v>15862</v>
      </c>
      <c r="C4519" s="12" t="s">
        <v>5946</v>
      </c>
      <c r="D4519" s="12" t="s">
        <v>5947</v>
      </c>
      <c r="E4519" s="12" t="s">
        <v>15863</v>
      </c>
      <c r="F4519" s="13">
        <v>65</v>
      </c>
      <c r="G4519" s="12" t="s">
        <v>5949</v>
      </c>
      <c r="H4519" s="12" t="s">
        <v>38</v>
      </c>
      <c r="I4519" s="12" t="s">
        <v>159</v>
      </c>
      <c r="J4519" s="12" t="s">
        <v>341</v>
      </c>
      <c r="K4519" s="12" t="s">
        <v>199</v>
      </c>
      <c r="L4519" s="14"/>
      <c r="M4519" s="12" t="s">
        <v>43</v>
      </c>
      <c r="N4519" s="12" t="s">
        <v>84</v>
      </c>
      <c r="O4519" s="12" t="s">
        <v>15864</v>
      </c>
      <c r="P4519" s="12" t="s">
        <v>46</v>
      </c>
      <c r="Q4519" s="12" t="s">
        <v>47</v>
      </c>
      <c r="R4519" s="12" t="s">
        <v>163</v>
      </c>
      <c r="S4519" s="13">
        <v>197804553860</v>
      </c>
      <c r="T4519" s="12" t="s">
        <v>49</v>
      </c>
      <c r="U4519" s="13">
        <v>38.5</v>
      </c>
      <c r="V4519" s="12" t="s">
        <v>50</v>
      </c>
      <c r="W4519" s="12" t="s">
        <v>175</v>
      </c>
      <c r="X4519" s="14"/>
      <c r="Y4519" s="14"/>
      <c r="Z4519" s="14"/>
      <c r="AA4519" s="14"/>
      <c r="AB4519" s="14"/>
      <c r="AC4519" s="15">
        <v>54.55</v>
      </c>
      <c r="AD4519" s="15">
        <f>AC4519*AG4519</f>
        <v>54.55</v>
      </c>
      <c r="AE4519" s="15">
        <v>120</v>
      </c>
      <c r="AF4519" s="15">
        <f>AE4519*AG4519</f>
        <v>120</v>
      </c>
      <c r="AG4519" s="16">
        <v>1</v>
      </c>
    </row>
    <row r="4520" spans="1:33" ht="15" customHeight="1" x14ac:dyDescent="0.2">
      <c r="A4520" s="11" t="str">
        <f>HYPERLINK("https://assets.vans.eu/images/VN000DA24GO-HERO/1","VN000DA24GO1")</f>
        <v>VN000DA24GO1</v>
      </c>
      <c r="B4520" s="12" t="s">
        <v>15865</v>
      </c>
      <c r="C4520" s="12" t="s">
        <v>3032</v>
      </c>
      <c r="D4520" s="12" t="s">
        <v>15866</v>
      </c>
      <c r="E4520" s="12" t="s">
        <v>15867</v>
      </c>
      <c r="F4520" s="13">
        <v>65</v>
      </c>
      <c r="G4520" s="12" t="s">
        <v>3986</v>
      </c>
      <c r="H4520" s="12" t="s">
        <v>38</v>
      </c>
      <c r="I4520" s="12" t="s">
        <v>159</v>
      </c>
      <c r="J4520" s="12" t="s">
        <v>341</v>
      </c>
      <c r="K4520" s="12" t="s">
        <v>199</v>
      </c>
      <c r="L4520" s="14"/>
      <c r="M4520" s="12" t="s">
        <v>43</v>
      </c>
      <c r="N4520" s="12" t="s">
        <v>84</v>
      </c>
      <c r="O4520" s="12" t="s">
        <v>15868</v>
      </c>
      <c r="P4520" s="12" t="s">
        <v>46</v>
      </c>
      <c r="Q4520" s="12" t="s">
        <v>47</v>
      </c>
      <c r="R4520" s="12" t="s">
        <v>163</v>
      </c>
      <c r="S4520" s="13">
        <v>197804554515</v>
      </c>
      <c r="T4520" s="12" t="s">
        <v>105</v>
      </c>
      <c r="U4520" s="13">
        <v>38.5</v>
      </c>
      <c r="V4520" s="12" t="s">
        <v>50</v>
      </c>
      <c r="W4520" s="12" t="s">
        <v>299</v>
      </c>
      <c r="X4520" s="14"/>
      <c r="Y4520" s="14"/>
      <c r="Z4520" s="14"/>
      <c r="AA4520" s="14"/>
      <c r="AB4520" s="14"/>
      <c r="AC4520" s="15">
        <v>40.950000000000003</v>
      </c>
      <c r="AD4520" s="15">
        <f>AC4520*AG4520</f>
        <v>40.950000000000003</v>
      </c>
      <c r="AE4520" s="15">
        <v>90</v>
      </c>
      <c r="AF4520" s="15">
        <f>AE4520*AG4520</f>
        <v>90</v>
      </c>
      <c r="AG4520" s="16">
        <v>1</v>
      </c>
    </row>
    <row r="4521" spans="1:33" ht="15" customHeight="1" x14ac:dyDescent="0.2">
      <c r="A4521" s="11" t="str">
        <f t="shared" ref="A4521:A4523" si="1417">HYPERLINK("https://assets.vans.eu/images/VN000DA2B9M-HERO/1","VN000DA2B9M1")</f>
        <v>VN000DA2B9M1</v>
      </c>
      <c r="B4521" s="12" t="s">
        <v>15869</v>
      </c>
      <c r="C4521" s="12" t="s">
        <v>3032</v>
      </c>
      <c r="D4521" s="12" t="s">
        <v>339</v>
      </c>
      <c r="E4521" s="12" t="s">
        <v>15870</v>
      </c>
      <c r="F4521" s="13">
        <v>70</v>
      </c>
      <c r="G4521" s="12" t="s">
        <v>5949</v>
      </c>
      <c r="H4521" s="12" t="s">
        <v>38</v>
      </c>
      <c r="I4521" s="12" t="s">
        <v>159</v>
      </c>
      <c r="J4521" s="12" t="s">
        <v>341</v>
      </c>
      <c r="K4521" s="12" t="s">
        <v>199</v>
      </c>
      <c r="L4521" s="14"/>
      <c r="M4521" s="12" t="s">
        <v>43</v>
      </c>
      <c r="N4521" s="12" t="s">
        <v>84</v>
      </c>
      <c r="O4521" s="12" t="s">
        <v>15871</v>
      </c>
      <c r="P4521" s="12" t="s">
        <v>46</v>
      </c>
      <c r="Q4521" s="12" t="s">
        <v>47</v>
      </c>
      <c r="R4521" s="12" t="s">
        <v>163</v>
      </c>
      <c r="S4521" s="13">
        <v>197804554485</v>
      </c>
      <c r="T4521" s="12" t="s">
        <v>105</v>
      </c>
      <c r="U4521" s="13">
        <v>39</v>
      </c>
      <c r="V4521" s="12" t="s">
        <v>50</v>
      </c>
      <c r="W4521" s="12" t="s">
        <v>51</v>
      </c>
      <c r="X4521" s="14"/>
      <c r="Y4521" s="14"/>
      <c r="Z4521" s="14"/>
      <c r="AA4521" s="14"/>
      <c r="AB4521" s="14"/>
      <c r="AC4521" s="15">
        <v>40.950000000000003</v>
      </c>
      <c r="AD4521" s="15">
        <f>AC4521*AG4521</f>
        <v>40.950000000000003</v>
      </c>
      <c r="AE4521" s="15">
        <v>90</v>
      </c>
      <c r="AF4521" s="15">
        <f>AE4521*AG4521</f>
        <v>90</v>
      </c>
      <c r="AG4521" s="16">
        <v>1</v>
      </c>
    </row>
    <row r="4522" spans="1:33" ht="15" customHeight="1" x14ac:dyDescent="0.2">
      <c r="A4522" s="11" t="str">
        <f t="shared" si="1417"/>
        <v>VN000DA2B9M1</v>
      </c>
      <c r="B4522" s="12" t="s">
        <v>15872</v>
      </c>
      <c r="C4522" s="12" t="s">
        <v>3032</v>
      </c>
      <c r="D4522" s="12" t="s">
        <v>339</v>
      </c>
      <c r="E4522" s="12" t="s">
        <v>15873</v>
      </c>
      <c r="F4522" s="13">
        <v>85</v>
      </c>
      <c r="G4522" s="12" t="s">
        <v>5949</v>
      </c>
      <c r="H4522" s="12" t="s">
        <v>38</v>
      </c>
      <c r="I4522" s="12" t="s">
        <v>159</v>
      </c>
      <c r="J4522" s="12" t="s">
        <v>341</v>
      </c>
      <c r="K4522" s="12" t="s">
        <v>199</v>
      </c>
      <c r="L4522" s="14"/>
      <c r="M4522" s="12" t="s">
        <v>43</v>
      </c>
      <c r="N4522" s="12" t="s">
        <v>84</v>
      </c>
      <c r="O4522" s="12" t="s">
        <v>15874</v>
      </c>
      <c r="P4522" s="12" t="s">
        <v>46</v>
      </c>
      <c r="Q4522" s="12" t="s">
        <v>47</v>
      </c>
      <c r="R4522" s="12" t="s">
        <v>163</v>
      </c>
      <c r="S4522" s="13">
        <v>197804554683</v>
      </c>
      <c r="T4522" s="12" t="s">
        <v>105</v>
      </c>
      <c r="U4522" s="13">
        <v>41</v>
      </c>
      <c r="V4522" s="12" t="s">
        <v>50</v>
      </c>
      <c r="W4522" s="12" t="s">
        <v>51</v>
      </c>
      <c r="X4522" s="14"/>
      <c r="Y4522" s="14"/>
      <c r="Z4522" s="14"/>
      <c r="AA4522" s="14"/>
      <c r="AB4522" s="14"/>
      <c r="AC4522" s="15">
        <v>40.950000000000003</v>
      </c>
      <c r="AD4522" s="15">
        <f>AC4522*AG4522</f>
        <v>40.950000000000003</v>
      </c>
      <c r="AE4522" s="15">
        <v>90</v>
      </c>
      <c r="AF4522" s="15">
        <f>AE4522*AG4522</f>
        <v>90</v>
      </c>
      <c r="AG4522" s="16">
        <v>1</v>
      </c>
    </row>
    <row r="4523" spans="1:33" ht="15" customHeight="1" x14ac:dyDescent="0.2">
      <c r="A4523" s="11" t="str">
        <f t="shared" si="1417"/>
        <v>VN000DA2B9M1</v>
      </c>
      <c r="B4523" s="12" t="s">
        <v>15875</v>
      </c>
      <c r="C4523" s="12" t="s">
        <v>3032</v>
      </c>
      <c r="D4523" s="12" t="s">
        <v>339</v>
      </c>
      <c r="E4523" s="12" t="s">
        <v>15876</v>
      </c>
      <c r="F4523" s="13">
        <v>130</v>
      </c>
      <c r="G4523" s="12" t="s">
        <v>5949</v>
      </c>
      <c r="H4523" s="12" t="s">
        <v>38</v>
      </c>
      <c r="I4523" s="12" t="s">
        <v>159</v>
      </c>
      <c r="J4523" s="12" t="s">
        <v>341</v>
      </c>
      <c r="K4523" s="12" t="s">
        <v>199</v>
      </c>
      <c r="L4523" s="14"/>
      <c r="M4523" s="12" t="s">
        <v>43</v>
      </c>
      <c r="N4523" s="12" t="s">
        <v>84</v>
      </c>
      <c r="O4523" s="12" t="s">
        <v>15877</v>
      </c>
      <c r="P4523" s="12" t="s">
        <v>46</v>
      </c>
      <c r="Q4523" s="12" t="s">
        <v>47</v>
      </c>
      <c r="R4523" s="12" t="s">
        <v>163</v>
      </c>
      <c r="S4523" s="13">
        <v>197804555727</v>
      </c>
      <c r="T4523" s="12" t="s">
        <v>105</v>
      </c>
      <c r="U4523" s="13">
        <v>47</v>
      </c>
      <c r="V4523" s="12" t="s">
        <v>50</v>
      </c>
      <c r="W4523" s="12" t="s">
        <v>51</v>
      </c>
      <c r="X4523" s="14"/>
      <c r="Y4523" s="14"/>
      <c r="Z4523" s="14"/>
      <c r="AA4523" s="14"/>
      <c r="AB4523" s="14"/>
      <c r="AC4523" s="15">
        <v>40.950000000000003</v>
      </c>
      <c r="AD4523" s="15">
        <f>AC4523*AG4523</f>
        <v>40.950000000000003</v>
      </c>
      <c r="AE4523" s="15">
        <v>90</v>
      </c>
      <c r="AF4523" s="15">
        <f>AE4523*AG4523</f>
        <v>90</v>
      </c>
      <c r="AG4523" s="16">
        <v>1</v>
      </c>
    </row>
    <row r="4524" spans="1:33" ht="15" customHeight="1" x14ac:dyDescent="0.2">
      <c r="A4524" s="11" t="str">
        <f t="shared" si="815"/>
        <v>VN000DA4D7U1</v>
      </c>
      <c r="B4524" s="12" t="s">
        <v>15878</v>
      </c>
      <c r="C4524" s="12" t="s">
        <v>7401</v>
      </c>
      <c r="D4524" s="12" t="s">
        <v>7402</v>
      </c>
      <c r="E4524" s="12" t="s">
        <v>15879</v>
      </c>
      <c r="F4524" s="13">
        <v>40</v>
      </c>
      <c r="G4524" s="14"/>
      <c r="H4524" s="12" t="s">
        <v>38</v>
      </c>
      <c r="I4524" s="12" t="s">
        <v>159</v>
      </c>
      <c r="J4524" s="12" t="s">
        <v>341</v>
      </c>
      <c r="K4524" s="12" t="s">
        <v>199</v>
      </c>
      <c r="L4524" s="14"/>
      <c r="M4524" s="12" t="s">
        <v>43</v>
      </c>
      <c r="N4524" s="12" t="s">
        <v>84</v>
      </c>
      <c r="O4524" s="12" t="s">
        <v>15880</v>
      </c>
      <c r="P4524" s="12" t="s">
        <v>46</v>
      </c>
      <c r="Q4524" s="12" t="s">
        <v>47</v>
      </c>
      <c r="R4524" s="12" t="s">
        <v>163</v>
      </c>
      <c r="S4524" s="13">
        <v>197804555208</v>
      </c>
      <c r="T4524" s="12" t="s">
        <v>49</v>
      </c>
      <c r="U4524" s="13">
        <v>35</v>
      </c>
      <c r="V4524" s="12" t="s">
        <v>50</v>
      </c>
      <c r="W4524" s="12" t="s">
        <v>175</v>
      </c>
      <c r="X4524" s="14"/>
      <c r="Y4524" s="14"/>
      <c r="Z4524" s="14"/>
      <c r="AA4524" s="14"/>
      <c r="AB4524" s="14"/>
      <c r="AC4524" s="15">
        <v>43.2</v>
      </c>
      <c r="AD4524" s="15">
        <f>AC4524*AG4524</f>
        <v>43.2</v>
      </c>
      <c r="AE4524" s="15">
        <v>95</v>
      </c>
      <c r="AF4524" s="15">
        <f>AE4524*AG4524</f>
        <v>95</v>
      </c>
      <c r="AG4524" s="16">
        <v>1</v>
      </c>
    </row>
    <row r="4525" spans="1:33" ht="15" customHeight="1" x14ac:dyDescent="0.2">
      <c r="A4525" s="11" t="str">
        <f>HYPERLINK("https://assets.vans.eu/images/VN000DAH14A-HERO/1","VN000DAH14A1")</f>
        <v>VN000DAH14A1</v>
      </c>
      <c r="B4525" s="12" t="s">
        <v>15881</v>
      </c>
      <c r="C4525" s="12" t="s">
        <v>3586</v>
      </c>
      <c r="D4525" s="12" t="s">
        <v>1932</v>
      </c>
      <c r="E4525" s="12" t="s">
        <v>15882</v>
      </c>
      <c r="F4525" s="13">
        <v>130</v>
      </c>
      <c r="G4525" s="12" t="s">
        <v>2273</v>
      </c>
      <c r="H4525" s="12" t="s">
        <v>38</v>
      </c>
      <c r="I4525" s="12" t="s">
        <v>159</v>
      </c>
      <c r="J4525" s="12" t="s">
        <v>160</v>
      </c>
      <c r="K4525" s="12" t="s">
        <v>82</v>
      </c>
      <c r="L4525" s="14"/>
      <c r="M4525" s="12" t="s">
        <v>43</v>
      </c>
      <c r="N4525" s="12" t="s">
        <v>84</v>
      </c>
      <c r="O4525" s="12" t="s">
        <v>15883</v>
      </c>
      <c r="P4525" s="12" t="s">
        <v>46</v>
      </c>
      <c r="Q4525" s="12" t="s">
        <v>47</v>
      </c>
      <c r="R4525" s="12" t="s">
        <v>163</v>
      </c>
      <c r="S4525" s="13">
        <v>197804483693</v>
      </c>
      <c r="T4525" s="12" t="s">
        <v>49</v>
      </c>
      <c r="U4525" s="13">
        <v>47</v>
      </c>
      <c r="V4525" s="12" t="s">
        <v>375</v>
      </c>
      <c r="W4525" s="12" t="s">
        <v>262</v>
      </c>
      <c r="X4525" s="14"/>
      <c r="Y4525" s="14"/>
      <c r="Z4525" s="14"/>
      <c r="AA4525" s="14"/>
      <c r="AB4525" s="14"/>
      <c r="AC4525" s="15">
        <v>36.4</v>
      </c>
      <c r="AD4525" s="15">
        <f>AC4525*AG4525</f>
        <v>36.4</v>
      </c>
      <c r="AE4525" s="15">
        <v>80</v>
      </c>
      <c r="AF4525" s="15">
        <f>AE4525*AG4525</f>
        <v>80</v>
      </c>
      <c r="AG4525" s="16">
        <v>1</v>
      </c>
    </row>
    <row r="4526" spans="1:33" ht="15" customHeight="1" x14ac:dyDescent="0.2">
      <c r="A4526" s="11" t="str">
        <f t="shared" ref="A4526:A4531" si="1418">HYPERLINK("https://assets.vans.eu/images/VN000DAH7UG-HERO/1","VN000DAH7UG1")</f>
        <v>VN000DAH7UG1</v>
      </c>
      <c r="B4526" s="12" t="s">
        <v>15884</v>
      </c>
      <c r="C4526" s="12" t="s">
        <v>3586</v>
      </c>
      <c r="D4526" s="12" t="s">
        <v>333</v>
      </c>
      <c r="E4526" s="12" t="s">
        <v>15885</v>
      </c>
      <c r="F4526" s="13">
        <v>85</v>
      </c>
      <c r="G4526" s="12" t="s">
        <v>7407</v>
      </c>
      <c r="H4526" s="12" t="s">
        <v>38</v>
      </c>
      <c r="I4526" s="12" t="s">
        <v>159</v>
      </c>
      <c r="J4526" s="12" t="s">
        <v>160</v>
      </c>
      <c r="K4526" s="12" t="s">
        <v>82</v>
      </c>
      <c r="L4526" s="14"/>
      <c r="M4526" s="12" t="s">
        <v>43</v>
      </c>
      <c r="N4526" s="12" t="s">
        <v>84</v>
      </c>
      <c r="O4526" s="12" t="s">
        <v>15886</v>
      </c>
      <c r="P4526" s="12" t="s">
        <v>46</v>
      </c>
      <c r="Q4526" s="12" t="s">
        <v>47</v>
      </c>
      <c r="R4526" s="12" t="s">
        <v>163</v>
      </c>
      <c r="S4526" s="13">
        <v>197804482733</v>
      </c>
      <c r="T4526" s="12" t="s">
        <v>164</v>
      </c>
      <c r="U4526" s="13">
        <v>41</v>
      </c>
      <c r="V4526" s="12" t="s">
        <v>375</v>
      </c>
      <c r="W4526" s="12" t="s">
        <v>186</v>
      </c>
      <c r="X4526" s="14"/>
      <c r="Y4526" s="14"/>
      <c r="Z4526" s="14"/>
      <c r="AA4526" s="14"/>
      <c r="AB4526" s="14"/>
      <c r="AC4526" s="15">
        <v>36.4</v>
      </c>
      <c r="AD4526" s="15">
        <f>AC4526*AG4526</f>
        <v>36.4</v>
      </c>
      <c r="AE4526" s="15">
        <v>80</v>
      </c>
      <c r="AF4526" s="15">
        <f>AE4526*AG4526</f>
        <v>80</v>
      </c>
      <c r="AG4526" s="16">
        <v>1</v>
      </c>
    </row>
    <row r="4527" spans="1:33" ht="15" customHeight="1" x14ac:dyDescent="0.2">
      <c r="A4527" s="11" t="str">
        <f t="shared" si="1418"/>
        <v>VN000DAH7UG1</v>
      </c>
      <c r="B4527" s="12" t="s">
        <v>15887</v>
      </c>
      <c r="C4527" s="12" t="s">
        <v>3586</v>
      </c>
      <c r="D4527" s="12" t="s">
        <v>333</v>
      </c>
      <c r="E4527" s="12" t="s">
        <v>15888</v>
      </c>
      <c r="F4527" s="13">
        <v>90</v>
      </c>
      <c r="G4527" s="12" t="s">
        <v>7407</v>
      </c>
      <c r="H4527" s="12" t="s">
        <v>38</v>
      </c>
      <c r="I4527" s="12" t="s">
        <v>159</v>
      </c>
      <c r="J4527" s="12" t="s">
        <v>160</v>
      </c>
      <c r="K4527" s="12" t="s">
        <v>82</v>
      </c>
      <c r="L4527" s="14"/>
      <c r="M4527" s="12" t="s">
        <v>43</v>
      </c>
      <c r="N4527" s="12" t="s">
        <v>84</v>
      </c>
      <c r="O4527" s="12" t="s">
        <v>15889</v>
      </c>
      <c r="P4527" s="12" t="s">
        <v>46</v>
      </c>
      <c r="Q4527" s="12" t="s">
        <v>47</v>
      </c>
      <c r="R4527" s="12" t="s">
        <v>163</v>
      </c>
      <c r="S4527" s="13">
        <v>197804482771</v>
      </c>
      <c r="T4527" s="12" t="s">
        <v>164</v>
      </c>
      <c r="U4527" s="13">
        <v>42</v>
      </c>
      <c r="V4527" s="12" t="s">
        <v>375</v>
      </c>
      <c r="W4527" s="12" t="s">
        <v>186</v>
      </c>
      <c r="X4527" s="14"/>
      <c r="Y4527" s="14"/>
      <c r="Z4527" s="14"/>
      <c r="AA4527" s="14"/>
      <c r="AB4527" s="14"/>
      <c r="AC4527" s="15">
        <v>36.4</v>
      </c>
      <c r="AD4527" s="15">
        <f>AC4527*AG4527</f>
        <v>36.4</v>
      </c>
      <c r="AE4527" s="15">
        <v>80</v>
      </c>
      <c r="AF4527" s="15">
        <f>AE4527*AG4527</f>
        <v>80</v>
      </c>
      <c r="AG4527" s="16">
        <v>1</v>
      </c>
    </row>
    <row r="4528" spans="1:33" ht="15" customHeight="1" x14ac:dyDescent="0.2">
      <c r="A4528" s="11" t="str">
        <f t="shared" si="1418"/>
        <v>VN000DAH7UG1</v>
      </c>
      <c r="B4528" s="12" t="s">
        <v>15890</v>
      </c>
      <c r="C4528" s="12" t="s">
        <v>3586</v>
      </c>
      <c r="D4528" s="12" t="s">
        <v>333</v>
      </c>
      <c r="E4528" s="12" t="s">
        <v>15891</v>
      </c>
      <c r="F4528" s="13">
        <v>95</v>
      </c>
      <c r="G4528" s="12" t="s">
        <v>7407</v>
      </c>
      <c r="H4528" s="12" t="s">
        <v>38</v>
      </c>
      <c r="I4528" s="12" t="s">
        <v>159</v>
      </c>
      <c r="J4528" s="12" t="s">
        <v>160</v>
      </c>
      <c r="K4528" s="12" t="s">
        <v>82</v>
      </c>
      <c r="L4528" s="14"/>
      <c r="M4528" s="12" t="s">
        <v>43</v>
      </c>
      <c r="N4528" s="12" t="s">
        <v>84</v>
      </c>
      <c r="O4528" s="12" t="s">
        <v>15892</v>
      </c>
      <c r="P4528" s="12" t="s">
        <v>46</v>
      </c>
      <c r="Q4528" s="12" t="s">
        <v>47</v>
      </c>
      <c r="R4528" s="12" t="s">
        <v>163</v>
      </c>
      <c r="S4528" s="13">
        <v>197804483006</v>
      </c>
      <c r="T4528" s="12" t="s">
        <v>164</v>
      </c>
      <c r="U4528" s="13">
        <v>42.5</v>
      </c>
      <c r="V4528" s="12" t="s">
        <v>375</v>
      </c>
      <c r="W4528" s="12" t="s">
        <v>186</v>
      </c>
      <c r="X4528" s="14"/>
      <c r="Y4528" s="14"/>
      <c r="Z4528" s="14"/>
      <c r="AA4528" s="14"/>
      <c r="AB4528" s="14"/>
      <c r="AC4528" s="15">
        <v>36.4</v>
      </c>
      <c r="AD4528" s="15">
        <f>AC4528*AG4528</f>
        <v>36.4</v>
      </c>
      <c r="AE4528" s="15">
        <v>80</v>
      </c>
      <c r="AF4528" s="15">
        <f>AE4528*AG4528</f>
        <v>80</v>
      </c>
      <c r="AG4528" s="16">
        <v>1</v>
      </c>
    </row>
    <row r="4529" spans="1:33" ht="15" customHeight="1" x14ac:dyDescent="0.2">
      <c r="A4529" s="11" t="str">
        <f t="shared" si="1418"/>
        <v>VN000DAH7UG1</v>
      </c>
      <c r="B4529" s="12" t="s">
        <v>15893</v>
      </c>
      <c r="C4529" s="12" t="s">
        <v>3586</v>
      </c>
      <c r="D4529" s="12" t="s">
        <v>333</v>
      </c>
      <c r="E4529" s="12" t="s">
        <v>15894</v>
      </c>
      <c r="F4529" s="13">
        <v>105</v>
      </c>
      <c r="G4529" s="12" t="s">
        <v>7407</v>
      </c>
      <c r="H4529" s="12" t="s">
        <v>38</v>
      </c>
      <c r="I4529" s="12" t="s">
        <v>159</v>
      </c>
      <c r="J4529" s="12" t="s">
        <v>160</v>
      </c>
      <c r="K4529" s="12" t="s">
        <v>82</v>
      </c>
      <c r="L4529" s="14"/>
      <c r="M4529" s="12" t="s">
        <v>43</v>
      </c>
      <c r="N4529" s="12" t="s">
        <v>84</v>
      </c>
      <c r="O4529" s="12" t="s">
        <v>15895</v>
      </c>
      <c r="P4529" s="12" t="s">
        <v>46</v>
      </c>
      <c r="Q4529" s="12" t="s">
        <v>47</v>
      </c>
      <c r="R4529" s="12" t="s">
        <v>163</v>
      </c>
      <c r="S4529" s="13">
        <v>197804483099</v>
      </c>
      <c r="T4529" s="12" t="s">
        <v>164</v>
      </c>
      <c r="U4529" s="13">
        <v>44</v>
      </c>
      <c r="V4529" s="12" t="s">
        <v>375</v>
      </c>
      <c r="W4529" s="12" t="s">
        <v>186</v>
      </c>
      <c r="X4529" s="14"/>
      <c r="Y4529" s="14"/>
      <c r="Z4529" s="14"/>
      <c r="AA4529" s="14"/>
      <c r="AB4529" s="14"/>
      <c r="AC4529" s="15">
        <v>36.4</v>
      </c>
      <c r="AD4529" s="15">
        <f>AC4529*AG4529</f>
        <v>36.4</v>
      </c>
      <c r="AE4529" s="15">
        <v>80</v>
      </c>
      <c r="AF4529" s="15">
        <f>AE4529*AG4529</f>
        <v>80</v>
      </c>
      <c r="AG4529" s="16">
        <v>1</v>
      </c>
    </row>
    <row r="4530" spans="1:33" ht="15" customHeight="1" x14ac:dyDescent="0.2">
      <c r="A4530" s="11" t="str">
        <f t="shared" si="1418"/>
        <v>VN000DAH7UG1</v>
      </c>
      <c r="B4530" s="12" t="s">
        <v>15896</v>
      </c>
      <c r="C4530" s="12" t="s">
        <v>3586</v>
      </c>
      <c r="D4530" s="12" t="s">
        <v>333</v>
      </c>
      <c r="E4530" s="12" t="s">
        <v>15897</v>
      </c>
      <c r="F4530" s="13">
        <v>115</v>
      </c>
      <c r="G4530" s="12" t="s">
        <v>7407</v>
      </c>
      <c r="H4530" s="12" t="s">
        <v>38</v>
      </c>
      <c r="I4530" s="12" t="s">
        <v>159</v>
      </c>
      <c r="J4530" s="12" t="s">
        <v>160</v>
      </c>
      <c r="K4530" s="12" t="s">
        <v>82</v>
      </c>
      <c r="L4530" s="14"/>
      <c r="M4530" s="12" t="s">
        <v>43</v>
      </c>
      <c r="N4530" s="12" t="s">
        <v>84</v>
      </c>
      <c r="O4530" s="12" t="s">
        <v>15898</v>
      </c>
      <c r="P4530" s="12" t="s">
        <v>46</v>
      </c>
      <c r="Q4530" s="12" t="s">
        <v>47</v>
      </c>
      <c r="R4530" s="12" t="s">
        <v>163</v>
      </c>
      <c r="S4530" s="13">
        <v>197804483396</v>
      </c>
      <c r="T4530" s="12" t="s">
        <v>164</v>
      </c>
      <c r="U4530" s="13">
        <v>45</v>
      </c>
      <c r="V4530" s="12" t="s">
        <v>375</v>
      </c>
      <c r="W4530" s="12" t="s">
        <v>186</v>
      </c>
      <c r="X4530" s="14"/>
      <c r="Y4530" s="14"/>
      <c r="Z4530" s="14"/>
      <c r="AA4530" s="14"/>
      <c r="AB4530" s="14"/>
      <c r="AC4530" s="15">
        <v>36.4</v>
      </c>
      <c r="AD4530" s="15">
        <f>AC4530*AG4530</f>
        <v>36.4</v>
      </c>
      <c r="AE4530" s="15">
        <v>80</v>
      </c>
      <c r="AF4530" s="15">
        <f>AE4530*AG4530</f>
        <v>80</v>
      </c>
      <c r="AG4530" s="16">
        <v>1</v>
      </c>
    </row>
    <row r="4531" spans="1:33" ht="15" customHeight="1" x14ac:dyDescent="0.2">
      <c r="A4531" s="11" t="str">
        <f t="shared" si="1418"/>
        <v>VN000DAH7UG1</v>
      </c>
      <c r="B4531" s="12" t="s">
        <v>15899</v>
      </c>
      <c r="C4531" s="12" t="s">
        <v>3586</v>
      </c>
      <c r="D4531" s="12" t="s">
        <v>333</v>
      </c>
      <c r="E4531" s="12" t="s">
        <v>15900</v>
      </c>
      <c r="F4531" s="13">
        <v>120</v>
      </c>
      <c r="G4531" s="12" t="s">
        <v>7407</v>
      </c>
      <c r="H4531" s="12" t="s">
        <v>38</v>
      </c>
      <c r="I4531" s="12" t="s">
        <v>159</v>
      </c>
      <c r="J4531" s="12" t="s">
        <v>160</v>
      </c>
      <c r="K4531" s="12" t="s">
        <v>82</v>
      </c>
      <c r="L4531" s="14"/>
      <c r="M4531" s="12" t="s">
        <v>43</v>
      </c>
      <c r="N4531" s="12" t="s">
        <v>84</v>
      </c>
      <c r="O4531" s="12" t="s">
        <v>15901</v>
      </c>
      <c r="P4531" s="12" t="s">
        <v>46</v>
      </c>
      <c r="Q4531" s="12" t="s">
        <v>47</v>
      </c>
      <c r="R4531" s="12" t="s">
        <v>163</v>
      </c>
      <c r="S4531" s="13">
        <v>197804483525</v>
      </c>
      <c r="T4531" s="12" t="s">
        <v>164</v>
      </c>
      <c r="U4531" s="13">
        <v>46</v>
      </c>
      <c r="V4531" s="12" t="s">
        <v>375</v>
      </c>
      <c r="W4531" s="12" t="s">
        <v>186</v>
      </c>
      <c r="X4531" s="14"/>
      <c r="Y4531" s="14"/>
      <c r="Z4531" s="14"/>
      <c r="AA4531" s="14"/>
      <c r="AB4531" s="14"/>
      <c r="AC4531" s="15">
        <v>36.4</v>
      </c>
      <c r="AD4531" s="15">
        <f>AC4531*AG4531</f>
        <v>36.4</v>
      </c>
      <c r="AE4531" s="15">
        <v>80</v>
      </c>
      <c r="AF4531" s="15">
        <f>AE4531*AG4531</f>
        <v>80</v>
      </c>
      <c r="AG4531" s="16">
        <v>1</v>
      </c>
    </row>
    <row r="4532" spans="1:33" ht="15" customHeight="1" x14ac:dyDescent="0.2">
      <c r="A4532" s="11" t="str">
        <f>HYPERLINK("https://assets.vans.eu/images/VN000DAH7WM-HERO/1","VN000DAH7WM1")</f>
        <v>VN000DAH7WM1</v>
      </c>
      <c r="B4532" s="12" t="s">
        <v>15902</v>
      </c>
      <c r="C4532" s="12" t="s">
        <v>3586</v>
      </c>
      <c r="D4532" s="12" t="s">
        <v>388</v>
      </c>
      <c r="E4532" s="12" t="s">
        <v>15903</v>
      </c>
      <c r="F4532" s="13">
        <v>35</v>
      </c>
      <c r="G4532" s="12" t="s">
        <v>2273</v>
      </c>
      <c r="H4532" s="12" t="s">
        <v>38</v>
      </c>
      <c r="I4532" s="12" t="s">
        <v>159</v>
      </c>
      <c r="J4532" s="12" t="s">
        <v>160</v>
      </c>
      <c r="K4532" s="12" t="s">
        <v>82</v>
      </c>
      <c r="L4532" s="14"/>
      <c r="M4532" s="12" t="s">
        <v>43</v>
      </c>
      <c r="N4532" s="12" t="s">
        <v>84</v>
      </c>
      <c r="O4532" s="12" t="s">
        <v>15904</v>
      </c>
      <c r="P4532" s="12" t="s">
        <v>46</v>
      </c>
      <c r="Q4532" s="12" t="s">
        <v>47</v>
      </c>
      <c r="R4532" s="12" t="s">
        <v>163</v>
      </c>
      <c r="S4532" s="13">
        <v>197804481576</v>
      </c>
      <c r="T4532" s="12" t="s">
        <v>105</v>
      </c>
      <c r="U4532" s="13">
        <v>34.5</v>
      </c>
      <c r="V4532" s="12" t="s">
        <v>375</v>
      </c>
      <c r="W4532" s="12" t="s">
        <v>284</v>
      </c>
      <c r="X4532" s="14"/>
      <c r="Y4532" s="14"/>
      <c r="Z4532" s="14"/>
      <c r="AA4532" s="14"/>
      <c r="AB4532" s="14"/>
      <c r="AC4532" s="15">
        <v>36.4</v>
      </c>
      <c r="AD4532" s="15">
        <f>AC4532*AG4532</f>
        <v>36.4</v>
      </c>
      <c r="AE4532" s="15">
        <v>80</v>
      </c>
      <c r="AF4532" s="15">
        <f>AE4532*AG4532</f>
        <v>80</v>
      </c>
      <c r="AG4532" s="16">
        <v>1</v>
      </c>
    </row>
    <row r="4533" spans="1:33" ht="15" customHeight="1" x14ac:dyDescent="0.2">
      <c r="A4533" s="11" t="str">
        <f>HYPERLINK("https://assets.vans.eu/images/VN000DAHRV2-HERO/1","VN000DAHRV21")</f>
        <v>VN000DAHRV21</v>
      </c>
      <c r="B4533" s="12" t="s">
        <v>15905</v>
      </c>
      <c r="C4533" s="12" t="s">
        <v>3586</v>
      </c>
      <c r="D4533" s="12" t="s">
        <v>1428</v>
      </c>
      <c r="E4533" s="12" t="s">
        <v>15906</v>
      </c>
      <c r="F4533" s="13">
        <v>95</v>
      </c>
      <c r="G4533" s="12" t="s">
        <v>2273</v>
      </c>
      <c r="H4533" s="12" t="s">
        <v>38</v>
      </c>
      <c r="I4533" s="12" t="s">
        <v>159</v>
      </c>
      <c r="J4533" s="12" t="s">
        <v>160</v>
      </c>
      <c r="K4533" s="12" t="s">
        <v>82</v>
      </c>
      <c r="L4533" s="14"/>
      <c r="M4533" s="12" t="s">
        <v>43</v>
      </c>
      <c r="N4533" s="12" t="s">
        <v>84</v>
      </c>
      <c r="O4533" s="12" t="s">
        <v>15907</v>
      </c>
      <c r="P4533" s="12" t="s">
        <v>46</v>
      </c>
      <c r="Q4533" s="12" t="s">
        <v>47</v>
      </c>
      <c r="R4533" s="12" t="s">
        <v>163</v>
      </c>
      <c r="S4533" s="13">
        <v>197804484041</v>
      </c>
      <c r="T4533" s="12" t="s">
        <v>164</v>
      </c>
      <c r="U4533" s="13">
        <v>42.5</v>
      </c>
      <c r="V4533" s="12" t="s">
        <v>375</v>
      </c>
      <c r="W4533" s="12" t="s">
        <v>51</v>
      </c>
      <c r="X4533" s="14"/>
      <c r="Y4533" s="14"/>
      <c r="Z4533" s="14"/>
      <c r="AA4533" s="14"/>
      <c r="AB4533" s="14"/>
      <c r="AC4533" s="15">
        <v>36.4</v>
      </c>
      <c r="AD4533" s="15">
        <f>AC4533*AG4533</f>
        <v>36.4</v>
      </c>
      <c r="AE4533" s="15">
        <v>80</v>
      </c>
      <c r="AF4533" s="15">
        <f>AE4533*AG4533</f>
        <v>80</v>
      </c>
      <c r="AG4533" s="16">
        <v>1</v>
      </c>
    </row>
    <row r="4534" spans="1:33" ht="15" customHeight="1" x14ac:dyDescent="0.2">
      <c r="A4534" s="11" t="str">
        <f>HYPERLINK("https://assets.vans.eu/images/VN000DAHY40-HERO/1","VN000DAHY401")</f>
        <v>VN000DAHY401</v>
      </c>
      <c r="B4534" s="12" t="s">
        <v>15908</v>
      </c>
      <c r="C4534" s="12" t="s">
        <v>3586</v>
      </c>
      <c r="D4534" s="12" t="s">
        <v>5955</v>
      </c>
      <c r="E4534" s="12" t="s">
        <v>15909</v>
      </c>
      <c r="F4534" s="13">
        <v>115</v>
      </c>
      <c r="G4534" s="12" t="s">
        <v>5909</v>
      </c>
      <c r="H4534" s="12" t="s">
        <v>38</v>
      </c>
      <c r="I4534" s="12" t="s">
        <v>159</v>
      </c>
      <c r="J4534" s="12" t="s">
        <v>160</v>
      </c>
      <c r="K4534" s="12" t="s">
        <v>82</v>
      </c>
      <c r="L4534" s="14"/>
      <c r="M4534" s="12" t="s">
        <v>43</v>
      </c>
      <c r="N4534" s="12" t="s">
        <v>84</v>
      </c>
      <c r="O4534" s="12" t="s">
        <v>15910</v>
      </c>
      <c r="P4534" s="12" t="s">
        <v>46</v>
      </c>
      <c r="Q4534" s="12" t="s">
        <v>47</v>
      </c>
      <c r="R4534" s="12" t="s">
        <v>163</v>
      </c>
      <c r="S4534" s="13">
        <v>197804484560</v>
      </c>
      <c r="T4534" s="12" t="s">
        <v>49</v>
      </c>
      <c r="U4534" s="13">
        <v>45</v>
      </c>
      <c r="V4534" s="12" t="s">
        <v>209</v>
      </c>
      <c r="W4534" s="12" t="s">
        <v>284</v>
      </c>
      <c r="X4534" s="14"/>
      <c r="Y4534" s="14"/>
      <c r="Z4534" s="14"/>
      <c r="AA4534" s="14"/>
      <c r="AB4534" s="14"/>
      <c r="AC4534" s="15">
        <v>36.4</v>
      </c>
      <c r="AD4534" s="15">
        <f>AC4534*AG4534</f>
        <v>36.4</v>
      </c>
      <c r="AE4534" s="15">
        <v>80</v>
      </c>
      <c r="AF4534" s="15">
        <f>AE4534*AG4534</f>
        <v>80</v>
      </c>
      <c r="AG4534" s="16">
        <v>1</v>
      </c>
    </row>
    <row r="4535" spans="1:33" ht="15" customHeight="1" x14ac:dyDescent="0.2">
      <c r="A4535" s="11" t="str">
        <f>HYPERLINK("https://assets.vans.eu/images/VN000DAJBGK-HERO/1","VN000DAJBGK1")</f>
        <v>VN000DAJBGK1</v>
      </c>
      <c r="B4535" s="12" t="s">
        <v>15911</v>
      </c>
      <c r="C4535" s="12" t="s">
        <v>110</v>
      </c>
      <c r="D4535" s="12" t="s">
        <v>4850</v>
      </c>
      <c r="E4535" s="12" t="s">
        <v>15912</v>
      </c>
      <c r="F4535" s="13">
        <v>65</v>
      </c>
      <c r="G4535" s="14"/>
      <c r="H4535" s="12" t="s">
        <v>38</v>
      </c>
      <c r="I4535" s="12" t="s">
        <v>113</v>
      </c>
      <c r="J4535" s="12" t="s">
        <v>114</v>
      </c>
      <c r="K4535" s="12" t="s">
        <v>82</v>
      </c>
      <c r="L4535" s="12" t="s">
        <v>260</v>
      </c>
      <c r="M4535" s="12" t="s">
        <v>43</v>
      </c>
      <c r="N4535" s="12" t="s">
        <v>84</v>
      </c>
      <c r="O4535" s="12" t="s">
        <v>15913</v>
      </c>
      <c r="P4535" s="12" t="s">
        <v>46</v>
      </c>
      <c r="Q4535" s="12" t="s">
        <v>47</v>
      </c>
      <c r="R4535" s="12" t="s">
        <v>117</v>
      </c>
      <c r="S4535" s="13">
        <v>197804590537</v>
      </c>
      <c r="T4535" s="12" t="s">
        <v>164</v>
      </c>
      <c r="U4535" s="13">
        <v>38.5</v>
      </c>
      <c r="V4535" s="12" t="s">
        <v>50</v>
      </c>
      <c r="W4535" s="12" t="s">
        <v>118</v>
      </c>
      <c r="X4535" s="14"/>
      <c r="Y4535" s="14"/>
      <c r="Z4535" s="14"/>
      <c r="AA4535" s="14"/>
      <c r="AB4535" s="14"/>
      <c r="AC4535" s="15">
        <v>43.2</v>
      </c>
      <c r="AD4535" s="15">
        <f>AC4535*AG4535</f>
        <v>43.2</v>
      </c>
      <c r="AE4535" s="15">
        <v>95</v>
      </c>
      <c r="AF4535" s="15">
        <f>AE4535*AG4535</f>
        <v>95</v>
      </c>
      <c r="AG4535" s="16">
        <v>1</v>
      </c>
    </row>
    <row r="4536" spans="1:33" ht="15" customHeight="1" x14ac:dyDescent="0.2">
      <c r="A4536" s="11" t="str">
        <f t="shared" si="545"/>
        <v>VN000DAJKL41</v>
      </c>
      <c r="B4536" s="12" t="s">
        <v>15914</v>
      </c>
      <c r="C4536" s="12" t="s">
        <v>110</v>
      </c>
      <c r="D4536" s="12" t="s">
        <v>5069</v>
      </c>
      <c r="E4536" s="12" t="s">
        <v>15915</v>
      </c>
      <c r="F4536" s="13">
        <v>130</v>
      </c>
      <c r="G4536" s="12" t="s">
        <v>269</v>
      </c>
      <c r="H4536" s="12" t="s">
        <v>38</v>
      </c>
      <c r="I4536" s="12" t="s">
        <v>113</v>
      </c>
      <c r="J4536" s="12" t="s">
        <v>114</v>
      </c>
      <c r="K4536" s="12" t="s">
        <v>82</v>
      </c>
      <c r="L4536" s="12" t="s">
        <v>260</v>
      </c>
      <c r="M4536" s="12" t="s">
        <v>43</v>
      </c>
      <c r="N4536" s="12" t="s">
        <v>84</v>
      </c>
      <c r="O4536" s="12" t="s">
        <v>15916</v>
      </c>
      <c r="P4536" s="12" t="s">
        <v>46</v>
      </c>
      <c r="Q4536" s="12" t="s">
        <v>47</v>
      </c>
      <c r="R4536" s="12" t="s">
        <v>117</v>
      </c>
      <c r="S4536" s="13">
        <v>197803563495</v>
      </c>
      <c r="T4536" s="12" t="s">
        <v>164</v>
      </c>
      <c r="U4536" s="13">
        <v>47</v>
      </c>
      <c r="V4536" s="12" t="s">
        <v>50</v>
      </c>
      <c r="W4536" s="12" t="s">
        <v>51</v>
      </c>
      <c r="X4536" s="14"/>
      <c r="Y4536" s="14"/>
      <c r="Z4536" s="14"/>
      <c r="AA4536" s="14"/>
      <c r="AB4536" s="14"/>
      <c r="AC4536" s="15">
        <v>50</v>
      </c>
      <c r="AD4536" s="15">
        <f>AC4536*AG4536</f>
        <v>50</v>
      </c>
      <c r="AE4536" s="15">
        <v>110</v>
      </c>
      <c r="AF4536" s="15">
        <f>AE4536*AG4536</f>
        <v>110</v>
      </c>
      <c r="AG4536" s="16">
        <v>1</v>
      </c>
    </row>
    <row r="4537" spans="1:33" ht="15" customHeight="1" x14ac:dyDescent="0.2">
      <c r="A4537" s="11" t="str">
        <f t="shared" ref="A4537:A4538" si="1419">HYPERLINK("https://assets.vans.eu/images/VN000DAJPWT-HERO/1","VN000DAJPWT1")</f>
        <v>VN000DAJPWT1</v>
      </c>
      <c r="B4537" s="12" t="s">
        <v>15917</v>
      </c>
      <c r="C4537" s="12" t="s">
        <v>110</v>
      </c>
      <c r="D4537" s="12" t="s">
        <v>2289</v>
      </c>
      <c r="E4537" s="12" t="s">
        <v>15918</v>
      </c>
      <c r="F4537" s="13">
        <v>60</v>
      </c>
      <c r="G4537" s="12" t="s">
        <v>2814</v>
      </c>
      <c r="H4537" s="12" t="s">
        <v>38</v>
      </c>
      <c r="I4537" s="12" t="s">
        <v>159</v>
      </c>
      <c r="J4537" s="12" t="s">
        <v>160</v>
      </c>
      <c r="K4537" s="12" t="s">
        <v>82</v>
      </c>
      <c r="L4537" s="14"/>
      <c r="M4537" s="12" t="s">
        <v>43</v>
      </c>
      <c r="N4537" s="12" t="s">
        <v>84</v>
      </c>
      <c r="O4537" s="12" t="s">
        <v>15919</v>
      </c>
      <c r="P4537" s="12" t="s">
        <v>46</v>
      </c>
      <c r="Q4537" s="12" t="s">
        <v>47</v>
      </c>
      <c r="R4537" s="12" t="s">
        <v>163</v>
      </c>
      <c r="S4537" s="13">
        <v>197804484072</v>
      </c>
      <c r="T4537" s="12" t="s">
        <v>164</v>
      </c>
      <c r="U4537" s="13">
        <v>38</v>
      </c>
      <c r="V4537" s="12" t="s">
        <v>50</v>
      </c>
      <c r="W4537" s="12" t="s">
        <v>455</v>
      </c>
      <c r="X4537" s="14"/>
      <c r="Y4537" s="14"/>
      <c r="Z4537" s="14"/>
      <c r="AA4537" s="14"/>
      <c r="AB4537" s="14"/>
      <c r="AC4537" s="15">
        <v>43.2</v>
      </c>
      <c r="AD4537" s="15">
        <f>AC4537*AG4537</f>
        <v>43.2</v>
      </c>
      <c r="AE4537" s="15">
        <v>95</v>
      </c>
      <c r="AF4537" s="15">
        <f>AE4537*AG4537</f>
        <v>95</v>
      </c>
      <c r="AG4537" s="16">
        <v>1</v>
      </c>
    </row>
    <row r="4538" spans="1:33" ht="15" customHeight="1" x14ac:dyDescent="0.2">
      <c r="A4538" s="11" t="str">
        <f t="shared" si="1419"/>
        <v>VN000DAJPWT1</v>
      </c>
      <c r="B4538" s="12" t="s">
        <v>15920</v>
      </c>
      <c r="C4538" s="12" t="s">
        <v>110</v>
      </c>
      <c r="D4538" s="12" t="s">
        <v>2289</v>
      </c>
      <c r="E4538" s="12" t="s">
        <v>15921</v>
      </c>
      <c r="F4538" s="13">
        <v>105</v>
      </c>
      <c r="G4538" s="12" t="s">
        <v>2814</v>
      </c>
      <c r="H4538" s="12" t="s">
        <v>38</v>
      </c>
      <c r="I4538" s="12" t="s">
        <v>159</v>
      </c>
      <c r="J4538" s="12" t="s">
        <v>160</v>
      </c>
      <c r="K4538" s="12" t="s">
        <v>82</v>
      </c>
      <c r="L4538" s="14"/>
      <c r="M4538" s="12" t="s">
        <v>43</v>
      </c>
      <c r="N4538" s="12" t="s">
        <v>84</v>
      </c>
      <c r="O4538" s="12" t="s">
        <v>15922</v>
      </c>
      <c r="P4538" s="12" t="s">
        <v>46</v>
      </c>
      <c r="Q4538" s="12" t="s">
        <v>47</v>
      </c>
      <c r="R4538" s="12" t="s">
        <v>163</v>
      </c>
      <c r="S4538" s="13">
        <v>197804484935</v>
      </c>
      <c r="T4538" s="12" t="s">
        <v>164</v>
      </c>
      <c r="U4538" s="13">
        <v>44</v>
      </c>
      <c r="V4538" s="12" t="s">
        <v>50</v>
      </c>
      <c r="W4538" s="12" t="s">
        <v>455</v>
      </c>
      <c r="X4538" s="14"/>
      <c r="Y4538" s="14"/>
      <c r="Z4538" s="14"/>
      <c r="AA4538" s="14"/>
      <c r="AB4538" s="14"/>
      <c r="AC4538" s="15">
        <v>43.2</v>
      </c>
      <c r="AD4538" s="15">
        <f>AC4538*AG4538</f>
        <v>43.2</v>
      </c>
      <c r="AE4538" s="15">
        <v>95</v>
      </c>
      <c r="AF4538" s="15">
        <f>AE4538*AG4538</f>
        <v>95</v>
      </c>
      <c r="AG4538" s="16">
        <v>1</v>
      </c>
    </row>
    <row r="4539" spans="1:33" ht="15" customHeight="1" x14ac:dyDescent="0.2">
      <c r="A4539" s="11" t="str">
        <f t="shared" si="817"/>
        <v>VN000DAJYJ71</v>
      </c>
      <c r="B4539" s="12" t="s">
        <v>15923</v>
      </c>
      <c r="C4539" s="12" t="s">
        <v>110</v>
      </c>
      <c r="D4539" s="12" t="s">
        <v>1300</v>
      </c>
      <c r="E4539" s="12" t="s">
        <v>15924</v>
      </c>
      <c r="F4539" s="13">
        <v>85</v>
      </c>
      <c r="G4539" s="12" t="s">
        <v>528</v>
      </c>
      <c r="H4539" s="12" t="s">
        <v>38</v>
      </c>
      <c r="I4539" s="12" t="s">
        <v>159</v>
      </c>
      <c r="J4539" s="12" t="s">
        <v>160</v>
      </c>
      <c r="K4539" s="12" t="s">
        <v>82</v>
      </c>
      <c r="L4539" s="14"/>
      <c r="M4539" s="12" t="s">
        <v>43</v>
      </c>
      <c r="N4539" s="12" t="s">
        <v>84</v>
      </c>
      <c r="O4539" s="12" t="s">
        <v>15925</v>
      </c>
      <c r="P4539" s="12" t="s">
        <v>46</v>
      </c>
      <c r="Q4539" s="12" t="s">
        <v>47</v>
      </c>
      <c r="R4539" s="12" t="s">
        <v>163</v>
      </c>
      <c r="S4539" s="13">
        <v>197804484515</v>
      </c>
      <c r="T4539" s="12" t="s">
        <v>164</v>
      </c>
      <c r="U4539" s="13">
        <v>41</v>
      </c>
      <c r="V4539" s="12" t="s">
        <v>50</v>
      </c>
      <c r="W4539" s="12" t="s">
        <v>51</v>
      </c>
      <c r="X4539" s="14"/>
      <c r="Y4539" s="14"/>
      <c r="Z4539" s="14"/>
      <c r="AA4539" s="14"/>
      <c r="AB4539" s="14"/>
      <c r="AC4539" s="15">
        <v>43.2</v>
      </c>
      <c r="AD4539" s="15">
        <f>AC4539*AG4539</f>
        <v>43.2</v>
      </c>
      <c r="AE4539" s="15">
        <v>95</v>
      </c>
      <c r="AF4539" s="15">
        <f>AE4539*AG4539</f>
        <v>95</v>
      </c>
      <c r="AG4539" s="16">
        <v>1</v>
      </c>
    </row>
    <row r="4540" spans="1:33" ht="15" customHeight="1" x14ac:dyDescent="0.2">
      <c r="A4540" s="11" t="str">
        <f t="shared" ref="A4540:A4541" si="1420">HYPERLINK("https://assets.vans.eu/images/VN000DAJYJ7-HERO/1","VN000DAJYJ71")</f>
        <v>VN000DAJYJ71</v>
      </c>
      <c r="B4540" s="12" t="s">
        <v>15926</v>
      </c>
      <c r="C4540" s="12" t="s">
        <v>110</v>
      </c>
      <c r="D4540" s="12" t="s">
        <v>1300</v>
      </c>
      <c r="E4540" s="12" t="s">
        <v>15927</v>
      </c>
      <c r="F4540" s="13">
        <v>90</v>
      </c>
      <c r="G4540" s="12" t="s">
        <v>528</v>
      </c>
      <c r="H4540" s="12" t="s">
        <v>38</v>
      </c>
      <c r="I4540" s="12" t="s">
        <v>159</v>
      </c>
      <c r="J4540" s="12" t="s">
        <v>160</v>
      </c>
      <c r="K4540" s="12" t="s">
        <v>82</v>
      </c>
      <c r="L4540" s="14"/>
      <c r="M4540" s="12" t="s">
        <v>43</v>
      </c>
      <c r="N4540" s="12" t="s">
        <v>84</v>
      </c>
      <c r="O4540" s="12" t="s">
        <v>15928</v>
      </c>
      <c r="P4540" s="12" t="s">
        <v>46</v>
      </c>
      <c r="Q4540" s="12" t="s">
        <v>47</v>
      </c>
      <c r="R4540" s="12" t="s">
        <v>163</v>
      </c>
      <c r="S4540" s="13">
        <v>197804484577</v>
      </c>
      <c r="T4540" s="12" t="s">
        <v>164</v>
      </c>
      <c r="U4540" s="13">
        <v>42</v>
      </c>
      <c r="V4540" s="12" t="s">
        <v>50</v>
      </c>
      <c r="W4540" s="12" t="s">
        <v>51</v>
      </c>
      <c r="X4540" s="14"/>
      <c r="Y4540" s="14"/>
      <c r="Z4540" s="14"/>
      <c r="AA4540" s="14"/>
      <c r="AB4540" s="14"/>
      <c r="AC4540" s="15">
        <v>43.2</v>
      </c>
      <c r="AD4540" s="15">
        <f>AC4540*AG4540</f>
        <v>43.2</v>
      </c>
      <c r="AE4540" s="15">
        <v>95</v>
      </c>
      <c r="AF4540" s="15">
        <f>AE4540*AG4540</f>
        <v>95</v>
      </c>
      <c r="AG4540" s="16">
        <v>1</v>
      </c>
    </row>
    <row r="4541" spans="1:33" ht="15" customHeight="1" x14ac:dyDescent="0.2">
      <c r="A4541" s="11" t="str">
        <f t="shared" si="1420"/>
        <v>VN000DAJYJ71</v>
      </c>
      <c r="B4541" s="12" t="s">
        <v>15929</v>
      </c>
      <c r="C4541" s="12" t="s">
        <v>110</v>
      </c>
      <c r="D4541" s="12" t="s">
        <v>1300</v>
      </c>
      <c r="E4541" s="12" t="s">
        <v>15930</v>
      </c>
      <c r="F4541" s="13">
        <v>110</v>
      </c>
      <c r="G4541" s="12" t="s">
        <v>528</v>
      </c>
      <c r="H4541" s="12" t="s">
        <v>38</v>
      </c>
      <c r="I4541" s="12" t="s">
        <v>159</v>
      </c>
      <c r="J4541" s="12" t="s">
        <v>160</v>
      </c>
      <c r="K4541" s="12" t="s">
        <v>82</v>
      </c>
      <c r="L4541" s="14"/>
      <c r="M4541" s="12" t="s">
        <v>43</v>
      </c>
      <c r="N4541" s="12" t="s">
        <v>84</v>
      </c>
      <c r="O4541" s="12" t="s">
        <v>15931</v>
      </c>
      <c r="P4541" s="12" t="s">
        <v>46</v>
      </c>
      <c r="Q4541" s="12" t="s">
        <v>47</v>
      </c>
      <c r="R4541" s="12" t="s">
        <v>163</v>
      </c>
      <c r="S4541" s="13">
        <v>197804485130</v>
      </c>
      <c r="T4541" s="12" t="s">
        <v>164</v>
      </c>
      <c r="U4541" s="13">
        <v>44.5</v>
      </c>
      <c r="V4541" s="12" t="s">
        <v>50</v>
      </c>
      <c r="W4541" s="12" t="s">
        <v>51</v>
      </c>
      <c r="X4541" s="14"/>
      <c r="Y4541" s="14"/>
      <c r="Z4541" s="14"/>
      <c r="AA4541" s="14"/>
      <c r="AB4541" s="14"/>
      <c r="AC4541" s="15">
        <v>43.2</v>
      </c>
      <c r="AD4541" s="15">
        <f>AC4541*AG4541</f>
        <v>43.2</v>
      </c>
      <c r="AE4541" s="15">
        <v>95</v>
      </c>
      <c r="AF4541" s="15">
        <f>AE4541*AG4541</f>
        <v>95</v>
      </c>
      <c r="AG4541" s="16">
        <v>1</v>
      </c>
    </row>
    <row r="4542" spans="1:33" ht="15" customHeight="1" x14ac:dyDescent="0.2">
      <c r="A4542" s="11" t="str">
        <f t="shared" si="1102"/>
        <v>VN000DAMLM31</v>
      </c>
      <c r="B4542" s="12" t="s">
        <v>15932</v>
      </c>
      <c r="C4542" s="12" t="s">
        <v>5959</v>
      </c>
      <c r="D4542" s="12" t="s">
        <v>5960</v>
      </c>
      <c r="E4542" s="12" t="s">
        <v>15933</v>
      </c>
      <c r="F4542" s="13">
        <v>55</v>
      </c>
      <c r="G4542" s="14"/>
      <c r="H4542" s="12" t="s">
        <v>38</v>
      </c>
      <c r="I4542" s="12" t="s">
        <v>113</v>
      </c>
      <c r="J4542" s="12" t="s">
        <v>529</v>
      </c>
      <c r="K4542" s="12" t="s">
        <v>82</v>
      </c>
      <c r="L4542" s="14"/>
      <c r="M4542" s="12" t="s">
        <v>43</v>
      </c>
      <c r="N4542" s="12" t="s">
        <v>84</v>
      </c>
      <c r="O4542" s="12" t="s">
        <v>15934</v>
      </c>
      <c r="P4542" s="12" t="s">
        <v>46</v>
      </c>
      <c r="Q4542" s="12" t="s">
        <v>47</v>
      </c>
      <c r="R4542" s="12" t="s">
        <v>117</v>
      </c>
      <c r="S4542" s="13">
        <v>197804484720</v>
      </c>
      <c r="T4542" s="12" t="s">
        <v>49</v>
      </c>
      <c r="U4542" s="13">
        <v>37</v>
      </c>
      <c r="V4542" s="12" t="s">
        <v>50</v>
      </c>
      <c r="W4542" s="12" t="s">
        <v>299</v>
      </c>
      <c r="X4542" s="14"/>
      <c r="Y4542" s="14"/>
      <c r="Z4542" s="14"/>
      <c r="AA4542" s="14"/>
      <c r="AB4542" s="14"/>
      <c r="AC4542" s="15">
        <v>88.65</v>
      </c>
      <c r="AD4542" s="15">
        <f>AC4542*AG4542</f>
        <v>88.65</v>
      </c>
      <c r="AE4542" s="15">
        <v>195</v>
      </c>
      <c r="AF4542" s="15">
        <f>AE4542*AG4542</f>
        <v>195</v>
      </c>
      <c r="AG4542" s="16">
        <v>1</v>
      </c>
    </row>
    <row r="4543" spans="1:33" ht="15" customHeight="1" x14ac:dyDescent="0.2">
      <c r="A4543" s="11" t="str">
        <f>HYPERLINK("https://assets.vans.eu/images/VN000DAMLM3-HERO/1","VN000DAMLM31")</f>
        <v>VN000DAMLM31</v>
      </c>
      <c r="B4543" s="12" t="s">
        <v>15935</v>
      </c>
      <c r="C4543" s="12" t="s">
        <v>5959</v>
      </c>
      <c r="D4543" s="12" t="s">
        <v>5960</v>
      </c>
      <c r="E4543" s="12" t="s">
        <v>15936</v>
      </c>
      <c r="F4543" s="13">
        <v>130</v>
      </c>
      <c r="G4543" s="14"/>
      <c r="H4543" s="12" t="s">
        <v>38</v>
      </c>
      <c r="I4543" s="12" t="s">
        <v>113</v>
      </c>
      <c r="J4543" s="12" t="s">
        <v>529</v>
      </c>
      <c r="K4543" s="12" t="s">
        <v>82</v>
      </c>
      <c r="L4543" s="14"/>
      <c r="M4543" s="12" t="s">
        <v>43</v>
      </c>
      <c r="N4543" s="12" t="s">
        <v>84</v>
      </c>
      <c r="O4543" s="12" t="s">
        <v>15937</v>
      </c>
      <c r="P4543" s="12" t="s">
        <v>46</v>
      </c>
      <c r="Q4543" s="12" t="s">
        <v>47</v>
      </c>
      <c r="R4543" s="12" t="s">
        <v>117</v>
      </c>
      <c r="S4543" s="13">
        <v>197804486779</v>
      </c>
      <c r="T4543" s="12" t="s">
        <v>49</v>
      </c>
      <c r="U4543" s="13">
        <v>47</v>
      </c>
      <c r="V4543" s="12" t="s">
        <v>50</v>
      </c>
      <c r="W4543" s="12" t="s">
        <v>299</v>
      </c>
      <c r="X4543" s="14"/>
      <c r="Y4543" s="14"/>
      <c r="Z4543" s="14"/>
      <c r="AA4543" s="14"/>
      <c r="AB4543" s="14"/>
      <c r="AC4543" s="15">
        <v>88.65</v>
      </c>
      <c r="AD4543" s="15">
        <f>AC4543*AG4543</f>
        <v>88.65</v>
      </c>
      <c r="AE4543" s="15">
        <v>195</v>
      </c>
      <c r="AF4543" s="15">
        <f>AE4543*AG4543</f>
        <v>195</v>
      </c>
      <c r="AG4543" s="16">
        <v>1</v>
      </c>
    </row>
    <row r="4544" spans="1:33" ht="15" customHeight="1" x14ac:dyDescent="0.2">
      <c r="A4544" s="11" t="str">
        <f t="shared" si="1103"/>
        <v>VN000DAMRMO1</v>
      </c>
      <c r="B4544" s="12" t="s">
        <v>15938</v>
      </c>
      <c r="C4544" s="12" t="s">
        <v>5959</v>
      </c>
      <c r="D4544" s="12" t="s">
        <v>10034</v>
      </c>
      <c r="E4544" s="12" t="s">
        <v>15939</v>
      </c>
      <c r="F4544" s="13">
        <v>55</v>
      </c>
      <c r="G4544" s="14"/>
      <c r="H4544" s="12" t="s">
        <v>38</v>
      </c>
      <c r="I4544" s="12" t="s">
        <v>159</v>
      </c>
      <c r="J4544" s="12" t="s">
        <v>255</v>
      </c>
      <c r="K4544" s="12" t="s">
        <v>82</v>
      </c>
      <c r="L4544" s="14"/>
      <c r="M4544" s="12" t="s">
        <v>43</v>
      </c>
      <c r="N4544" s="12" t="s">
        <v>84</v>
      </c>
      <c r="O4544" s="12" t="s">
        <v>15940</v>
      </c>
      <c r="P4544" s="12" t="s">
        <v>46</v>
      </c>
      <c r="Q4544" s="12" t="s">
        <v>47</v>
      </c>
      <c r="R4544" s="12" t="s">
        <v>163</v>
      </c>
      <c r="S4544" s="13">
        <v>197804484706</v>
      </c>
      <c r="T4544" s="12" t="s">
        <v>49</v>
      </c>
      <c r="U4544" s="13">
        <v>37</v>
      </c>
      <c r="V4544" s="12" t="s">
        <v>50</v>
      </c>
      <c r="W4544" s="12" t="s">
        <v>51</v>
      </c>
      <c r="X4544" s="14"/>
      <c r="Y4544" s="14"/>
      <c r="Z4544" s="14"/>
      <c r="AA4544" s="14"/>
      <c r="AB4544" s="14"/>
      <c r="AC4544" s="15">
        <v>88.65</v>
      </c>
      <c r="AD4544" s="15">
        <f>AC4544*AG4544</f>
        <v>88.65</v>
      </c>
      <c r="AE4544" s="15">
        <v>195</v>
      </c>
      <c r="AF4544" s="15">
        <f>AE4544*AG4544</f>
        <v>195</v>
      </c>
      <c r="AG4544" s="16">
        <v>1</v>
      </c>
    </row>
    <row r="4545" spans="1:33" ht="15" customHeight="1" x14ac:dyDescent="0.2">
      <c r="A4545" s="11" t="str">
        <f t="shared" ref="A4545:A4546" si="1421">HYPERLINK("https://assets.vans.eu/images/VN000DAMRMO-HERO/1","VN000DAMRMO1")</f>
        <v>VN000DAMRMO1</v>
      </c>
      <c r="B4545" s="12" t="s">
        <v>15941</v>
      </c>
      <c r="C4545" s="12" t="s">
        <v>5959</v>
      </c>
      <c r="D4545" s="12" t="s">
        <v>10034</v>
      </c>
      <c r="E4545" s="12" t="s">
        <v>15942</v>
      </c>
      <c r="F4545" s="13">
        <v>90</v>
      </c>
      <c r="G4545" s="14"/>
      <c r="H4545" s="12" t="s">
        <v>38</v>
      </c>
      <c r="I4545" s="12" t="s">
        <v>159</v>
      </c>
      <c r="J4545" s="12" t="s">
        <v>255</v>
      </c>
      <c r="K4545" s="12" t="s">
        <v>82</v>
      </c>
      <c r="L4545" s="14"/>
      <c r="M4545" s="12" t="s">
        <v>43</v>
      </c>
      <c r="N4545" s="12" t="s">
        <v>84</v>
      </c>
      <c r="O4545" s="12" t="s">
        <v>15943</v>
      </c>
      <c r="P4545" s="12" t="s">
        <v>46</v>
      </c>
      <c r="Q4545" s="12" t="s">
        <v>47</v>
      </c>
      <c r="R4545" s="12" t="s">
        <v>163</v>
      </c>
      <c r="S4545" s="13">
        <v>197804485802</v>
      </c>
      <c r="T4545" s="12" t="s">
        <v>49</v>
      </c>
      <c r="U4545" s="13">
        <v>42</v>
      </c>
      <c r="V4545" s="12" t="s">
        <v>50</v>
      </c>
      <c r="W4545" s="12" t="s">
        <v>51</v>
      </c>
      <c r="X4545" s="14"/>
      <c r="Y4545" s="14"/>
      <c r="Z4545" s="14"/>
      <c r="AA4545" s="14"/>
      <c r="AB4545" s="14"/>
      <c r="AC4545" s="15">
        <v>88.65</v>
      </c>
      <c r="AD4545" s="15">
        <f>AC4545*AG4545</f>
        <v>88.65</v>
      </c>
      <c r="AE4545" s="15">
        <v>195</v>
      </c>
      <c r="AF4545" s="15">
        <f>AE4545*AG4545</f>
        <v>195</v>
      </c>
      <c r="AG4545" s="16">
        <v>1</v>
      </c>
    </row>
    <row r="4546" spans="1:33" ht="15" customHeight="1" x14ac:dyDescent="0.2">
      <c r="A4546" s="11" t="str">
        <f t="shared" si="1421"/>
        <v>VN000DAMRMO1</v>
      </c>
      <c r="B4546" s="12" t="s">
        <v>15944</v>
      </c>
      <c r="C4546" s="12" t="s">
        <v>5959</v>
      </c>
      <c r="D4546" s="12" t="s">
        <v>10034</v>
      </c>
      <c r="E4546" s="12" t="s">
        <v>15945</v>
      </c>
      <c r="F4546" s="13">
        <v>120</v>
      </c>
      <c r="G4546" s="14"/>
      <c r="H4546" s="12" t="s">
        <v>38</v>
      </c>
      <c r="I4546" s="12" t="s">
        <v>159</v>
      </c>
      <c r="J4546" s="12" t="s">
        <v>255</v>
      </c>
      <c r="K4546" s="12" t="s">
        <v>82</v>
      </c>
      <c r="L4546" s="14"/>
      <c r="M4546" s="12" t="s">
        <v>43</v>
      </c>
      <c r="N4546" s="12" t="s">
        <v>84</v>
      </c>
      <c r="O4546" s="12" t="s">
        <v>15946</v>
      </c>
      <c r="P4546" s="12" t="s">
        <v>46</v>
      </c>
      <c r="Q4546" s="12" t="s">
        <v>47</v>
      </c>
      <c r="R4546" s="12" t="s">
        <v>163</v>
      </c>
      <c r="S4546" s="13">
        <v>197804486755</v>
      </c>
      <c r="T4546" s="12" t="s">
        <v>49</v>
      </c>
      <c r="U4546" s="13">
        <v>46</v>
      </c>
      <c r="V4546" s="12" t="s">
        <v>50</v>
      </c>
      <c r="W4546" s="12" t="s">
        <v>51</v>
      </c>
      <c r="X4546" s="14"/>
      <c r="Y4546" s="14"/>
      <c r="Z4546" s="14"/>
      <c r="AA4546" s="14"/>
      <c r="AB4546" s="14"/>
      <c r="AC4546" s="15">
        <v>88.65</v>
      </c>
      <c r="AD4546" s="15">
        <f>AC4546*AG4546</f>
        <v>88.65</v>
      </c>
      <c r="AE4546" s="15">
        <v>195</v>
      </c>
      <c r="AF4546" s="15">
        <f>AE4546*AG4546</f>
        <v>195</v>
      </c>
      <c r="AG4546" s="16">
        <v>1</v>
      </c>
    </row>
    <row r="4547" spans="1:33" ht="15" customHeight="1" x14ac:dyDescent="0.2">
      <c r="A4547" s="11" t="str">
        <f>HYPERLINK("https://assets.vans.eu/images/VN000DAQ02Y-HERO/1","VN000DAQ02Y1")</f>
        <v>VN000DAQ02Y1</v>
      </c>
      <c r="B4547" s="12" t="s">
        <v>15947</v>
      </c>
      <c r="C4547" s="12" t="s">
        <v>2817</v>
      </c>
      <c r="D4547" s="12" t="s">
        <v>7416</v>
      </c>
      <c r="E4547" s="12" t="s">
        <v>15948</v>
      </c>
      <c r="F4547" s="13">
        <v>75</v>
      </c>
      <c r="G4547" s="14"/>
      <c r="H4547" s="12" t="s">
        <v>38</v>
      </c>
      <c r="I4547" s="12" t="s">
        <v>113</v>
      </c>
      <c r="J4547" s="12" t="s">
        <v>114</v>
      </c>
      <c r="K4547" s="12" t="s">
        <v>82</v>
      </c>
      <c r="L4547" s="14"/>
      <c r="M4547" s="12" t="s">
        <v>43</v>
      </c>
      <c r="N4547" s="12" t="s">
        <v>84</v>
      </c>
      <c r="O4547" s="12" t="s">
        <v>15949</v>
      </c>
      <c r="P4547" s="12" t="s">
        <v>46</v>
      </c>
      <c r="Q4547" s="12" t="s">
        <v>47</v>
      </c>
      <c r="R4547" s="12" t="s">
        <v>948</v>
      </c>
      <c r="S4547" s="13">
        <v>197804556434</v>
      </c>
      <c r="T4547" s="12" t="s">
        <v>49</v>
      </c>
      <c r="U4547" s="13">
        <v>40</v>
      </c>
      <c r="V4547" s="12" t="s">
        <v>50</v>
      </c>
      <c r="W4547" s="12" t="s">
        <v>262</v>
      </c>
      <c r="X4547" s="14"/>
      <c r="Y4547" s="14"/>
      <c r="Z4547" s="14"/>
      <c r="AA4547" s="14"/>
      <c r="AB4547" s="14"/>
      <c r="AC4547" s="15">
        <v>65.95</v>
      </c>
      <c r="AD4547" s="15">
        <f>AC4547*AG4547</f>
        <v>65.95</v>
      </c>
      <c r="AE4547" s="15">
        <v>145</v>
      </c>
      <c r="AF4547" s="15">
        <f>AE4547*AG4547</f>
        <v>145</v>
      </c>
      <c r="AG4547" s="16">
        <v>1</v>
      </c>
    </row>
    <row r="4548" spans="1:33" ht="15" customHeight="1" x14ac:dyDescent="0.2">
      <c r="A4548" s="11" t="str">
        <f>HYPERLINK("https://assets.vans.eu/images/VN000DAQ1MG-HERO/1","VN000DAQ1MG1")</f>
        <v>VN000DAQ1MG1</v>
      </c>
      <c r="B4548" s="12" t="s">
        <v>15950</v>
      </c>
      <c r="C4548" s="12" t="s">
        <v>2817</v>
      </c>
      <c r="D4548" s="12" t="s">
        <v>2818</v>
      </c>
      <c r="E4548" s="12" t="s">
        <v>15951</v>
      </c>
      <c r="F4548" s="13">
        <v>45</v>
      </c>
      <c r="G4548" s="14"/>
      <c r="H4548" s="12" t="s">
        <v>38</v>
      </c>
      <c r="I4548" s="12" t="s">
        <v>113</v>
      </c>
      <c r="J4548" s="12" t="s">
        <v>114</v>
      </c>
      <c r="K4548" s="12" t="s">
        <v>82</v>
      </c>
      <c r="L4548" s="14"/>
      <c r="M4548" s="12" t="s">
        <v>43</v>
      </c>
      <c r="N4548" s="12" t="s">
        <v>84</v>
      </c>
      <c r="O4548" s="12" t="s">
        <v>15952</v>
      </c>
      <c r="P4548" s="12" t="s">
        <v>46</v>
      </c>
      <c r="Q4548" s="12" t="s">
        <v>47</v>
      </c>
      <c r="R4548" s="12" t="s">
        <v>948</v>
      </c>
      <c r="S4548" s="13">
        <v>197804555710</v>
      </c>
      <c r="T4548" s="12" t="s">
        <v>49</v>
      </c>
      <c r="U4548" s="13">
        <v>36</v>
      </c>
      <c r="V4548" s="12" t="s">
        <v>50</v>
      </c>
      <c r="W4548" s="12" t="s">
        <v>455</v>
      </c>
      <c r="X4548" s="14"/>
      <c r="Y4548" s="14"/>
      <c r="Z4548" s="14"/>
      <c r="AA4548" s="14"/>
      <c r="AB4548" s="14"/>
      <c r="AC4548" s="15">
        <v>65.95</v>
      </c>
      <c r="AD4548" s="15">
        <f>AC4548*AG4548</f>
        <v>65.95</v>
      </c>
      <c r="AE4548" s="15">
        <v>145</v>
      </c>
      <c r="AF4548" s="15">
        <f>AE4548*AG4548</f>
        <v>145</v>
      </c>
      <c r="AG4548" s="16">
        <v>1</v>
      </c>
    </row>
    <row r="4549" spans="1:33" ht="15" customHeight="1" x14ac:dyDescent="0.2">
      <c r="A4549" s="11" t="str">
        <f t="shared" ref="A4549:A4551" si="1422">HYPERLINK("https://assets.vans.eu/images/VN000DAQ239-HERO/1","VN000DAQ2391")</f>
        <v>VN000DAQ2391</v>
      </c>
      <c r="B4549" s="12" t="s">
        <v>15953</v>
      </c>
      <c r="C4549" s="12" t="s">
        <v>2817</v>
      </c>
      <c r="D4549" s="12" t="s">
        <v>1609</v>
      </c>
      <c r="E4549" s="12" t="s">
        <v>15954</v>
      </c>
      <c r="F4549" s="13">
        <v>60</v>
      </c>
      <c r="G4549" s="14"/>
      <c r="H4549" s="12" t="s">
        <v>38</v>
      </c>
      <c r="I4549" s="12" t="s">
        <v>159</v>
      </c>
      <c r="J4549" s="12" t="s">
        <v>160</v>
      </c>
      <c r="K4549" s="12" t="s">
        <v>82</v>
      </c>
      <c r="L4549" s="14"/>
      <c r="M4549" s="12" t="s">
        <v>43</v>
      </c>
      <c r="N4549" s="12" t="s">
        <v>84</v>
      </c>
      <c r="O4549" s="12" t="s">
        <v>15955</v>
      </c>
      <c r="P4549" s="12" t="s">
        <v>46</v>
      </c>
      <c r="Q4549" s="12" t="s">
        <v>47</v>
      </c>
      <c r="R4549" s="12" t="s">
        <v>1660</v>
      </c>
      <c r="S4549" s="13">
        <v>197804556359</v>
      </c>
      <c r="T4549" s="12" t="s">
        <v>49</v>
      </c>
      <c r="U4549" s="13">
        <v>38</v>
      </c>
      <c r="V4549" s="12" t="s">
        <v>50</v>
      </c>
      <c r="W4549" s="12" t="s">
        <v>455</v>
      </c>
      <c r="X4549" s="14"/>
      <c r="Y4549" s="14"/>
      <c r="Z4549" s="14"/>
      <c r="AA4549" s="14"/>
      <c r="AB4549" s="14"/>
      <c r="AC4549" s="15">
        <v>65.95</v>
      </c>
      <c r="AD4549" s="15">
        <f>AC4549*AG4549</f>
        <v>65.95</v>
      </c>
      <c r="AE4549" s="15">
        <v>145</v>
      </c>
      <c r="AF4549" s="15">
        <f>AE4549*AG4549</f>
        <v>145</v>
      </c>
      <c r="AG4549" s="16">
        <v>1</v>
      </c>
    </row>
    <row r="4550" spans="1:33" ht="15" customHeight="1" x14ac:dyDescent="0.2">
      <c r="A4550" s="11" t="str">
        <f t="shared" si="1422"/>
        <v>VN000DAQ2391</v>
      </c>
      <c r="B4550" s="12" t="s">
        <v>15956</v>
      </c>
      <c r="C4550" s="12" t="s">
        <v>2817</v>
      </c>
      <c r="D4550" s="12" t="s">
        <v>1609</v>
      </c>
      <c r="E4550" s="12" t="s">
        <v>15957</v>
      </c>
      <c r="F4550" s="13">
        <v>65</v>
      </c>
      <c r="G4550" s="14"/>
      <c r="H4550" s="12" t="s">
        <v>38</v>
      </c>
      <c r="I4550" s="12" t="s">
        <v>159</v>
      </c>
      <c r="J4550" s="12" t="s">
        <v>160</v>
      </c>
      <c r="K4550" s="12" t="s">
        <v>82</v>
      </c>
      <c r="L4550" s="14"/>
      <c r="M4550" s="12" t="s">
        <v>43</v>
      </c>
      <c r="N4550" s="12" t="s">
        <v>84</v>
      </c>
      <c r="O4550" s="12" t="s">
        <v>15958</v>
      </c>
      <c r="P4550" s="12" t="s">
        <v>46</v>
      </c>
      <c r="Q4550" s="12" t="s">
        <v>47</v>
      </c>
      <c r="R4550" s="12" t="s">
        <v>1660</v>
      </c>
      <c r="S4550" s="13">
        <v>197804556618</v>
      </c>
      <c r="T4550" s="12" t="s">
        <v>49</v>
      </c>
      <c r="U4550" s="13">
        <v>38.5</v>
      </c>
      <c r="V4550" s="12" t="s">
        <v>50</v>
      </c>
      <c r="W4550" s="12" t="s">
        <v>455</v>
      </c>
      <c r="X4550" s="14"/>
      <c r="Y4550" s="14"/>
      <c r="Z4550" s="14"/>
      <c r="AA4550" s="14"/>
      <c r="AB4550" s="14"/>
      <c r="AC4550" s="15">
        <v>65.95</v>
      </c>
      <c r="AD4550" s="15">
        <f>AC4550*AG4550</f>
        <v>65.95</v>
      </c>
      <c r="AE4550" s="15">
        <v>145</v>
      </c>
      <c r="AF4550" s="15">
        <f>AE4550*AG4550</f>
        <v>145</v>
      </c>
      <c r="AG4550" s="16">
        <v>1</v>
      </c>
    </row>
    <row r="4551" spans="1:33" ht="15" customHeight="1" x14ac:dyDescent="0.2">
      <c r="A4551" s="11" t="str">
        <f t="shared" si="1422"/>
        <v>VN000DAQ2391</v>
      </c>
      <c r="B4551" s="12" t="s">
        <v>15959</v>
      </c>
      <c r="C4551" s="12" t="s">
        <v>2817</v>
      </c>
      <c r="D4551" s="12" t="s">
        <v>1609</v>
      </c>
      <c r="E4551" s="12" t="s">
        <v>15960</v>
      </c>
      <c r="F4551" s="13">
        <v>85</v>
      </c>
      <c r="G4551" s="14"/>
      <c r="H4551" s="12" t="s">
        <v>38</v>
      </c>
      <c r="I4551" s="12" t="s">
        <v>159</v>
      </c>
      <c r="J4551" s="12" t="s">
        <v>160</v>
      </c>
      <c r="K4551" s="12" t="s">
        <v>82</v>
      </c>
      <c r="L4551" s="14"/>
      <c r="M4551" s="12" t="s">
        <v>43</v>
      </c>
      <c r="N4551" s="12" t="s">
        <v>84</v>
      </c>
      <c r="O4551" s="12" t="s">
        <v>15961</v>
      </c>
      <c r="P4551" s="12" t="s">
        <v>46</v>
      </c>
      <c r="Q4551" s="12" t="s">
        <v>47</v>
      </c>
      <c r="R4551" s="12" t="s">
        <v>1660</v>
      </c>
      <c r="S4551" s="13">
        <v>197804557127</v>
      </c>
      <c r="T4551" s="12" t="s">
        <v>49</v>
      </c>
      <c r="U4551" s="13">
        <v>41</v>
      </c>
      <c r="V4551" s="12" t="s">
        <v>50</v>
      </c>
      <c r="W4551" s="12" t="s">
        <v>455</v>
      </c>
      <c r="X4551" s="14"/>
      <c r="Y4551" s="14"/>
      <c r="Z4551" s="14"/>
      <c r="AA4551" s="14"/>
      <c r="AB4551" s="14"/>
      <c r="AC4551" s="15">
        <v>65.95</v>
      </c>
      <c r="AD4551" s="15">
        <f>AC4551*AG4551</f>
        <v>65.95</v>
      </c>
      <c r="AE4551" s="15">
        <v>145</v>
      </c>
      <c r="AF4551" s="15">
        <f>AE4551*AG4551</f>
        <v>145</v>
      </c>
      <c r="AG4551" s="16">
        <v>1</v>
      </c>
    </row>
    <row r="4552" spans="1:33" ht="15" customHeight="1" x14ac:dyDescent="0.2">
      <c r="A4552" s="11" t="str">
        <f t="shared" si="1106"/>
        <v>VN000DAQ9DH1</v>
      </c>
      <c r="B4552" s="12" t="s">
        <v>15962</v>
      </c>
      <c r="C4552" s="12" t="s">
        <v>2817</v>
      </c>
      <c r="D4552" s="12" t="s">
        <v>9684</v>
      </c>
      <c r="E4552" s="12" t="s">
        <v>15963</v>
      </c>
      <c r="F4552" s="13">
        <v>105</v>
      </c>
      <c r="G4552" s="14"/>
      <c r="H4552" s="12" t="s">
        <v>38</v>
      </c>
      <c r="I4552" s="12" t="s">
        <v>113</v>
      </c>
      <c r="J4552" s="12" t="s">
        <v>114</v>
      </c>
      <c r="K4552" s="12" t="s">
        <v>82</v>
      </c>
      <c r="L4552" s="14"/>
      <c r="M4552" s="12" t="s">
        <v>43</v>
      </c>
      <c r="N4552" s="12" t="s">
        <v>84</v>
      </c>
      <c r="O4552" s="12" t="s">
        <v>15964</v>
      </c>
      <c r="P4552" s="12" t="s">
        <v>46</v>
      </c>
      <c r="Q4552" s="12" t="s">
        <v>47</v>
      </c>
      <c r="R4552" s="12" t="s">
        <v>948</v>
      </c>
      <c r="S4552" s="13">
        <v>197804558636</v>
      </c>
      <c r="T4552" s="12" t="s">
        <v>49</v>
      </c>
      <c r="U4552" s="13">
        <v>44</v>
      </c>
      <c r="V4552" s="12" t="s">
        <v>50</v>
      </c>
      <c r="W4552" s="12" t="s">
        <v>175</v>
      </c>
      <c r="X4552" s="14"/>
      <c r="Y4552" s="14"/>
      <c r="Z4552" s="14"/>
      <c r="AA4552" s="14"/>
      <c r="AB4552" s="14"/>
      <c r="AC4552" s="15">
        <v>65.95</v>
      </c>
      <c r="AD4552" s="15">
        <f>AC4552*AG4552</f>
        <v>65.95</v>
      </c>
      <c r="AE4552" s="15">
        <v>145</v>
      </c>
      <c r="AF4552" s="15">
        <f>AE4552*AG4552</f>
        <v>145</v>
      </c>
      <c r="AG4552" s="16">
        <v>1</v>
      </c>
    </row>
    <row r="4553" spans="1:33" ht="15" customHeight="1" x14ac:dyDescent="0.2">
      <c r="A4553" s="11" t="str">
        <f t="shared" ref="A4553:A4554" si="1423">HYPERLINK("https://assets.vans.eu/images/VN000DAQ9DH-HERO/1","VN000DAQ9DH1")</f>
        <v>VN000DAQ9DH1</v>
      </c>
      <c r="B4553" s="12" t="s">
        <v>15965</v>
      </c>
      <c r="C4553" s="12" t="s">
        <v>2817</v>
      </c>
      <c r="D4553" s="12" t="s">
        <v>9684</v>
      </c>
      <c r="E4553" s="12" t="s">
        <v>15966</v>
      </c>
      <c r="F4553" s="13">
        <v>115</v>
      </c>
      <c r="G4553" s="14"/>
      <c r="H4553" s="12" t="s">
        <v>38</v>
      </c>
      <c r="I4553" s="12" t="s">
        <v>113</v>
      </c>
      <c r="J4553" s="12" t="s">
        <v>114</v>
      </c>
      <c r="K4553" s="12" t="s">
        <v>82</v>
      </c>
      <c r="L4553" s="14"/>
      <c r="M4553" s="12" t="s">
        <v>43</v>
      </c>
      <c r="N4553" s="12" t="s">
        <v>84</v>
      </c>
      <c r="O4553" s="12" t="s">
        <v>15967</v>
      </c>
      <c r="P4553" s="12" t="s">
        <v>46</v>
      </c>
      <c r="Q4553" s="12" t="s">
        <v>47</v>
      </c>
      <c r="R4553" s="12" t="s">
        <v>948</v>
      </c>
      <c r="S4553" s="13">
        <v>197804558841</v>
      </c>
      <c r="T4553" s="12" t="s">
        <v>49</v>
      </c>
      <c r="U4553" s="13">
        <v>45</v>
      </c>
      <c r="V4553" s="12" t="s">
        <v>50</v>
      </c>
      <c r="W4553" s="12" t="s">
        <v>175</v>
      </c>
      <c r="X4553" s="14"/>
      <c r="Y4553" s="14"/>
      <c r="Z4553" s="14"/>
      <c r="AA4553" s="14"/>
      <c r="AB4553" s="14"/>
      <c r="AC4553" s="15">
        <v>65.95</v>
      </c>
      <c r="AD4553" s="15">
        <f>AC4553*AG4553</f>
        <v>65.95</v>
      </c>
      <c r="AE4553" s="15">
        <v>145</v>
      </c>
      <c r="AF4553" s="15">
        <f>AE4553*AG4553</f>
        <v>145</v>
      </c>
      <c r="AG4553" s="16">
        <v>1</v>
      </c>
    </row>
    <row r="4554" spans="1:33" ht="15" customHeight="1" x14ac:dyDescent="0.2">
      <c r="A4554" s="11" t="str">
        <f t="shared" si="1423"/>
        <v>VN000DAQ9DH1</v>
      </c>
      <c r="B4554" s="12" t="s">
        <v>15968</v>
      </c>
      <c r="C4554" s="12" t="s">
        <v>2817</v>
      </c>
      <c r="D4554" s="12" t="s">
        <v>9684</v>
      </c>
      <c r="E4554" s="12" t="s">
        <v>15969</v>
      </c>
      <c r="F4554" s="13">
        <v>130</v>
      </c>
      <c r="G4554" s="14"/>
      <c r="H4554" s="12" t="s">
        <v>38</v>
      </c>
      <c r="I4554" s="12" t="s">
        <v>113</v>
      </c>
      <c r="J4554" s="12" t="s">
        <v>114</v>
      </c>
      <c r="K4554" s="12" t="s">
        <v>82</v>
      </c>
      <c r="L4554" s="14"/>
      <c r="M4554" s="12" t="s">
        <v>43</v>
      </c>
      <c r="N4554" s="12" t="s">
        <v>84</v>
      </c>
      <c r="O4554" s="12" t="s">
        <v>15970</v>
      </c>
      <c r="P4554" s="12" t="s">
        <v>46</v>
      </c>
      <c r="Q4554" s="12" t="s">
        <v>47</v>
      </c>
      <c r="R4554" s="12" t="s">
        <v>948</v>
      </c>
      <c r="S4554" s="13">
        <v>197804559060</v>
      </c>
      <c r="T4554" s="12" t="s">
        <v>49</v>
      </c>
      <c r="U4554" s="13">
        <v>47</v>
      </c>
      <c r="V4554" s="12" t="s">
        <v>50</v>
      </c>
      <c r="W4554" s="12" t="s">
        <v>175</v>
      </c>
      <c r="X4554" s="14"/>
      <c r="Y4554" s="14"/>
      <c r="Z4554" s="14"/>
      <c r="AA4554" s="14"/>
      <c r="AB4554" s="14"/>
      <c r="AC4554" s="15">
        <v>65.95</v>
      </c>
      <c r="AD4554" s="15">
        <f>AC4554*AG4554</f>
        <v>65.95</v>
      </c>
      <c r="AE4554" s="15">
        <v>145</v>
      </c>
      <c r="AF4554" s="15">
        <f>AE4554*AG4554</f>
        <v>145</v>
      </c>
      <c r="AG4554" s="16">
        <v>1</v>
      </c>
    </row>
    <row r="4555" spans="1:33" ht="15" customHeight="1" x14ac:dyDescent="0.2">
      <c r="A4555" s="11" t="str">
        <f t="shared" ref="A4555:A4557" si="1424">HYPERLINK("https://assets.vans.eu/images/VN000DAQRPK-HERO/1","VN000DAQRPK1")</f>
        <v>VN000DAQRPK1</v>
      </c>
      <c r="B4555" s="12" t="s">
        <v>15971</v>
      </c>
      <c r="C4555" s="12" t="s">
        <v>2817</v>
      </c>
      <c r="D4555" s="12" t="s">
        <v>5878</v>
      </c>
      <c r="E4555" s="12" t="s">
        <v>15972</v>
      </c>
      <c r="F4555" s="13">
        <v>40</v>
      </c>
      <c r="G4555" s="14"/>
      <c r="H4555" s="12" t="s">
        <v>38</v>
      </c>
      <c r="I4555" s="12" t="s">
        <v>113</v>
      </c>
      <c r="J4555" s="12" t="s">
        <v>114</v>
      </c>
      <c r="K4555" s="12" t="s">
        <v>82</v>
      </c>
      <c r="L4555" s="14"/>
      <c r="M4555" s="12" t="s">
        <v>43</v>
      </c>
      <c r="N4555" s="12" t="s">
        <v>84</v>
      </c>
      <c r="O4555" s="12" t="s">
        <v>15973</v>
      </c>
      <c r="P4555" s="12" t="s">
        <v>46</v>
      </c>
      <c r="Q4555" s="12" t="s">
        <v>47</v>
      </c>
      <c r="R4555" s="12" t="s">
        <v>948</v>
      </c>
      <c r="S4555" s="13">
        <v>197804557967</v>
      </c>
      <c r="T4555" s="12" t="s">
        <v>49</v>
      </c>
      <c r="U4555" s="13">
        <v>35</v>
      </c>
      <c r="V4555" s="12" t="s">
        <v>50</v>
      </c>
      <c r="W4555" s="12" t="s">
        <v>186</v>
      </c>
      <c r="X4555" s="14"/>
      <c r="Y4555" s="14"/>
      <c r="Z4555" s="14"/>
      <c r="AA4555" s="14"/>
      <c r="AB4555" s="14"/>
      <c r="AC4555" s="15">
        <v>65.95</v>
      </c>
      <c r="AD4555" s="15">
        <f>AC4555*AG4555</f>
        <v>65.95</v>
      </c>
      <c r="AE4555" s="15">
        <v>145</v>
      </c>
      <c r="AF4555" s="15">
        <f>AE4555*AG4555</f>
        <v>145</v>
      </c>
      <c r="AG4555" s="16">
        <v>1</v>
      </c>
    </row>
    <row r="4556" spans="1:33" ht="15" customHeight="1" x14ac:dyDescent="0.2">
      <c r="A4556" s="11" t="str">
        <f t="shared" si="1424"/>
        <v>VN000DAQRPK1</v>
      </c>
      <c r="B4556" s="12" t="s">
        <v>15974</v>
      </c>
      <c r="C4556" s="12" t="s">
        <v>2817</v>
      </c>
      <c r="D4556" s="12" t="s">
        <v>5878</v>
      </c>
      <c r="E4556" s="12" t="s">
        <v>15975</v>
      </c>
      <c r="F4556" s="13">
        <v>75</v>
      </c>
      <c r="G4556" s="14"/>
      <c r="H4556" s="12" t="s">
        <v>38</v>
      </c>
      <c r="I4556" s="12" t="s">
        <v>113</v>
      </c>
      <c r="J4556" s="12" t="s">
        <v>114</v>
      </c>
      <c r="K4556" s="12" t="s">
        <v>82</v>
      </c>
      <c r="L4556" s="14"/>
      <c r="M4556" s="12" t="s">
        <v>43</v>
      </c>
      <c r="N4556" s="12" t="s">
        <v>84</v>
      </c>
      <c r="O4556" s="12" t="s">
        <v>15976</v>
      </c>
      <c r="P4556" s="12" t="s">
        <v>46</v>
      </c>
      <c r="Q4556" s="12" t="s">
        <v>47</v>
      </c>
      <c r="R4556" s="12" t="s">
        <v>948</v>
      </c>
      <c r="S4556" s="13">
        <v>197804558681</v>
      </c>
      <c r="T4556" s="12" t="s">
        <v>49</v>
      </c>
      <c r="U4556" s="13">
        <v>40</v>
      </c>
      <c r="V4556" s="12" t="s">
        <v>50</v>
      </c>
      <c r="W4556" s="12" t="s">
        <v>186</v>
      </c>
      <c r="X4556" s="14"/>
      <c r="Y4556" s="14"/>
      <c r="Z4556" s="14"/>
      <c r="AA4556" s="14"/>
      <c r="AB4556" s="14"/>
      <c r="AC4556" s="15">
        <v>65.95</v>
      </c>
      <c r="AD4556" s="15">
        <f>AC4556*AG4556</f>
        <v>65.95</v>
      </c>
      <c r="AE4556" s="15">
        <v>145</v>
      </c>
      <c r="AF4556" s="15">
        <f>AE4556*AG4556</f>
        <v>145</v>
      </c>
      <c r="AG4556" s="16">
        <v>1</v>
      </c>
    </row>
    <row r="4557" spans="1:33" ht="15" customHeight="1" x14ac:dyDescent="0.2">
      <c r="A4557" s="11" t="str">
        <f t="shared" si="1424"/>
        <v>VN000DAQRPK1</v>
      </c>
      <c r="B4557" s="12" t="s">
        <v>15977</v>
      </c>
      <c r="C4557" s="12" t="s">
        <v>2817</v>
      </c>
      <c r="D4557" s="12" t="s">
        <v>5878</v>
      </c>
      <c r="E4557" s="12" t="s">
        <v>15978</v>
      </c>
      <c r="F4557" s="13">
        <v>120</v>
      </c>
      <c r="G4557" s="14"/>
      <c r="H4557" s="12" t="s">
        <v>38</v>
      </c>
      <c r="I4557" s="12" t="s">
        <v>113</v>
      </c>
      <c r="J4557" s="12" t="s">
        <v>114</v>
      </c>
      <c r="K4557" s="12" t="s">
        <v>82</v>
      </c>
      <c r="L4557" s="14"/>
      <c r="M4557" s="12" t="s">
        <v>43</v>
      </c>
      <c r="N4557" s="12" t="s">
        <v>84</v>
      </c>
      <c r="O4557" s="12" t="s">
        <v>15979</v>
      </c>
      <c r="P4557" s="12" t="s">
        <v>46</v>
      </c>
      <c r="Q4557" s="12" t="s">
        <v>47</v>
      </c>
      <c r="R4557" s="12" t="s">
        <v>948</v>
      </c>
      <c r="S4557" s="13">
        <v>197804559947</v>
      </c>
      <c r="T4557" s="12" t="s">
        <v>49</v>
      </c>
      <c r="U4557" s="13">
        <v>46</v>
      </c>
      <c r="V4557" s="12" t="s">
        <v>50</v>
      </c>
      <c r="W4557" s="12" t="s">
        <v>186</v>
      </c>
      <c r="X4557" s="14"/>
      <c r="Y4557" s="14"/>
      <c r="Z4557" s="14"/>
      <c r="AA4557" s="14"/>
      <c r="AB4557" s="14"/>
      <c r="AC4557" s="15">
        <v>65.95</v>
      </c>
      <c r="AD4557" s="15">
        <f>AC4557*AG4557</f>
        <v>65.95</v>
      </c>
      <c r="AE4557" s="15">
        <v>145</v>
      </c>
      <c r="AF4557" s="15">
        <f>AE4557*AG4557</f>
        <v>145</v>
      </c>
      <c r="AG4557" s="16">
        <v>1</v>
      </c>
    </row>
    <row r="4558" spans="1:33" ht="15" customHeight="1" x14ac:dyDescent="0.2">
      <c r="A4558" s="11" t="str">
        <f t="shared" ref="A4558:A4561" si="1425">HYPERLINK("https://assets.vans.eu/images/VN000DAQTWH-HERO/1","VN000DAQTWH1")</f>
        <v>VN000DAQTWH1</v>
      </c>
      <c r="B4558" s="12" t="s">
        <v>15980</v>
      </c>
      <c r="C4558" s="12" t="s">
        <v>2817</v>
      </c>
      <c r="D4558" s="12" t="s">
        <v>4401</v>
      </c>
      <c r="E4558" s="12" t="s">
        <v>15981</v>
      </c>
      <c r="F4558" s="13">
        <v>65</v>
      </c>
      <c r="G4558" s="14"/>
      <c r="H4558" s="12" t="s">
        <v>38</v>
      </c>
      <c r="I4558" s="12" t="s">
        <v>113</v>
      </c>
      <c r="J4558" s="12" t="s">
        <v>114</v>
      </c>
      <c r="K4558" s="12" t="s">
        <v>82</v>
      </c>
      <c r="L4558" s="14"/>
      <c r="M4558" s="12" t="s">
        <v>43</v>
      </c>
      <c r="N4558" s="12" t="s">
        <v>84</v>
      </c>
      <c r="O4558" s="12" t="s">
        <v>15982</v>
      </c>
      <c r="P4558" s="12" t="s">
        <v>46</v>
      </c>
      <c r="Q4558" s="12" t="s">
        <v>47</v>
      </c>
      <c r="R4558" s="12" t="s">
        <v>948</v>
      </c>
      <c r="S4558" s="13">
        <v>197804558766</v>
      </c>
      <c r="T4558" s="12" t="s">
        <v>49</v>
      </c>
      <c r="U4558" s="13">
        <v>38.5</v>
      </c>
      <c r="V4558" s="12" t="s">
        <v>50</v>
      </c>
      <c r="W4558" s="12" t="s">
        <v>186</v>
      </c>
      <c r="X4558" s="14"/>
      <c r="Y4558" s="14"/>
      <c r="Z4558" s="14"/>
      <c r="AA4558" s="14"/>
      <c r="AB4558" s="14"/>
      <c r="AC4558" s="15">
        <v>65.95</v>
      </c>
      <c r="AD4558" s="15">
        <f>AC4558*AG4558</f>
        <v>65.95</v>
      </c>
      <c r="AE4558" s="15">
        <v>145</v>
      </c>
      <c r="AF4558" s="15">
        <f>AE4558*AG4558</f>
        <v>145</v>
      </c>
      <c r="AG4558" s="16">
        <v>1</v>
      </c>
    </row>
    <row r="4559" spans="1:33" ht="15" customHeight="1" x14ac:dyDescent="0.2">
      <c r="A4559" s="11" t="str">
        <f t="shared" si="1425"/>
        <v>VN000DAQTWH1</v>
      </c>
      <c r="B4559" s="12" t="s">
        <v>15983</v>
      </c>
      <c r="C4559" s="12" t="s">
        <v>2817</v>
      </c>
      <c r="D4559" s="12" t="s">
        <v>4401</v>
      </c>
      <c r="E4559" s="12" t="s">
        <v>15984</v>
      </c>
      <c r="F4559" s="13">
        <v>70</v>
      </c>
      <c r="G4559" s="14"/>
      <c r="H4559" s="12" t="s">
        <v>38</v>
      </c>
      <c r="I4559" s="12" t="s">
        <v>113</v>
      </c>
      <c r="J4559" s="12" t="s">
        <v>114</v>
      </c>
      <c r="K4559" s="12" t="s">
        <v>82</v>
      </c>
      <c r="L4559" s="14"/>
      <c r="M4559" s="12" t="s">
        <v>43</v>
      </c>
      <c r="N4559" s="12" t="s">
        <v>84</v>
      </c>
      <c r="O4559" s="12" t="s">
        <v>15985</v>
      </c>
      <c r="P4559" s="12" t="s">
        <v>46</v>
      </c>
      <c r="Q4559" s="12" t="s">
        <v>47</v>
      </c>
      <c r="R4559" s="12" t="s">
        <v>948</v>
      </c>
      <c r="S4559" s="13">
        <v>197804558926</v>
      </c>
      <c r="T4559" s="12" t="s">
        <v>49</v>
      </c>
      <c r="U4559" s="13">
        <v>39</v>
      </c>
      <c r="V4559" s="12" t="s">
        <v>50</v>
      </c>
      <c r="W4559" s="12" t="s">
        <v>186</v>
      </c>
      <c r="X4559" s="14"/>
      <c r="Y4559" s="14"/>
      <c r="Z4559" s="14"/>
      <c r="AA4559" s="14"/>
      <c r="AB4559" s="14"/>
      <c r="AC4559" s="15">
        <v>65.95</v>
      </c>
      <c r="AD4559" s="15">
        <f>AC4559*AG4559</f>
        <v>65.95</v>
      </c>
      <c r="AE4559" s="15">
        <v>145</v>
      </c>
      <c r="AF4559" s="15">
        <f>AE4559*AG4559</f>
        <v>145</v>
      </c>
      <c r="AG4559" s="16">
        <v>1</v>
      </c>
    </row>
    <row r="4560" spans="1:33" ht="15" customHeight="1" x14ac:dyDescent="0.2">
      <c r="A4560" s="11" t="str">
        <f t="shared" si="1425"/>
        <v>VN000DAQTWH1</v>
      </c>
      <c r="B4560" s="12" t="s">
        <v>15986</v>
      </c>
      <c r="C4560" s="12" t="s">
        <v>2817</v>
      </c>
      <c r="D4560" s="12" t="s">
        <v>4401</v>
      </c>
      <c r="E4560" s="12" t="s">
        <v>15987</v>
      </c>
      <c r="F4560" s="13">
        <v>110</v>
      </c>
      <c r="G4560" s="14"/>
      <c r="H4560" s="12" t="s">
        <v>38</v>
      </c>
      <c r="I4560" s="12" t="s">
        <v>113</v>
      </c>
      <c r="J4560" s="12" t="s">
        <v>114</v>
      </c>
      <c r="K4560" s="12" t="s">
        <v>82</v>
      </c>
      <c r="L4560" s="14"/>
      <c r="M4560" s="12" t="s">
        <v>43</v>
      </c>
      <c r="N4560" s="12" t="s">
        <v>84</v>
      </c>
      <c r="O4560" s="12" t="s">
        <v>15988</v>
      </c>
      <c r="P4560" s="12" t="s">
        <v>46</v>
      </c>
      <c r="Q4560" s="12" t="s">
        <v>47</v>
      </c>
      <c r="R4560" s="12" t="s">
        <v>948</v>
      </c>
      <c r="S4560" s="13">
        <v>197804560080</v>
      </c>
      <c r="T4560" s="12" t="s">
        <v>49</v>
      </c>
      <c r="U4560" s="13">
        <v>44.5</v>
      </c>
      <c r="V4560" s="12" t="s">
        <v>50</v>
      </c>
      <c r="W4560" s="12" t="s">
        <v>186</v>
      </c>
      <c r="X4560" s="14"/>
      <c r="Y4560" s="14"/>
      <c r="Z4560" s="14"/>
      <c r="AA4560" s="14"/>
      <c r="AB4560" s="14"/>
      <c r="AC4560" s="15">
        <v>65.95</v>
      </c>
      <c r="AD4560" s="15">
        <f>AC4560*AG4560</f>
        <v>65.95</v>
      </c>
      <c r="AE4560" s="15">
        <v>145</v>
      </c>
      <c r="AF4560" s="15">
        <f>AE4560*AG4560</f>
        <v>145</v>
      </c>
      <c r="AG4560" s="16">
        <v>1</v>
      </c>
    </row>
    <row r="4561" spans="1:33" ht="15" customHeight="1" x14ac:dyDescent="0.2">
      <c r="A4561" s="11" t="str">
        <f t="shared" si="1425"/>
        <v>VN000DAQTWH1</v>
      </c>
      <c r="B4561" s="12" t="s">
        <v>15989</v>
      </c>
      <c r="C4561" s="12" t="s">
        <v>2817</v>
      </c>
      <c r="D4561" s="12" t="s">
        <v>4401</v>
      </c>
      <c r="E4561" s="12" t="s">
        <v>15990</v>
      </c>
      <c r="F4561" s="13">
        <v>115</v>
      </c>
      <c r="G4561" s="14"/>
      <c r="H4561" s="12" t="s">
        <v>38</v>
      </c>
      <c r="I4561" s="12" t="s">
        <v>113</v>
      </c>
      <c r="J4561" s="12" t="s">
        <v>114</v>
      </c>
      <c r="K4561" s="12" t="s">
        <v>82</v>
      </c>
      <c r="L4561" s="14"/>
      <c r="M4561" s="12" t="s">
        <v>43</v>
      </c>
      <c r="N4561" s="12" t="s">
        <v>84</v>
      </c>
      <c r="O4561" s="12" t="s">
        <v>15991</v>
      </c>
      <c r="P4561" s="12" t="s">
        <v>46</v>
      </c>
      <c r="Q4561" s="12" t="s">
        <v>47</v>
      </c>
      <c r="R4561" s="12" t="s">
        <v>948</v>
      </c>
      <c r="S4561" s="13">
        <v>197804560264</v>
      </c>
      <c r="T4561" s="12" t="s">
        <v>49</v>
      </c>
      <c r="U4561" s="13">
        <v>45</v>
      </c>
      <c r="V4561" s="12" t="s">
        <v>50</v>
      </c>
      <c r="W4561" s="12" t="s">
        <v>186</v>
      </c>
      <c r="X4561" s="14"/>
      <c r="Y4561" s="14"/>
      <c r="Z4561" s="14"/>
      <c r="AA4561" s="14"/>
      <c r="AB4561" s="14"/>
      <c r="AC4561" s="15">
        <v>65.95</v>
      </c>
      <c r="AD4561" s="15">
        <f>AC4561*AG4561</f>
        <v>65.95</v>
      </c>
      <c r="AE4561" s="15">
        <v>145</v>
      </c>
      <c r="AF4561" s="15">
        <f>AE4561*AG4561</f>
        <v>145</v>
      </c>
      <c r="AG4561" s="16">
        <v>1</v>
      </c>
    </row>
    <row r="4562" spans="1:33" ht="15" customHeight="1" x14ac:dyDescent="0.2">
      <c r="A4562" s="11" t="str">
        <f t="shared" si="1108"/>
        <v>VN000DAQY491</v>
      </c>
      <c r="B4562" s="12" t="s">
        <v>15992</v>
      </c>
      <c r="C4562" s="12" t="s">
        <v>2817</v>
      </c>
      <c r="D4562" s="12" t="s">
        <v>5737</v>
      </c>
      <c r="E4562" s="12" t="s">
        <v>15993</v>
      </c>
      <c r="F4562" s="13">
        <v>60</v>
      </c>
      <c r="G4562" s="14"/>
      <c r="H4562" s="12" t="s">
        <v>38</v>
      </c>
      <c r="I4562" s="12" t="s">
        <v>159</v>
      </c>
      <c r="J4562" s="12" t="s">
        <v>160</v>
      </c>
      <c r="K4562" s="12" t="s">
        <v>82</v>
      </c>
      <c r="L4562" s="14"/>
      <c r="M4562" s="12" t="s">
        <v>43</v>
      </c>
      <c r="N4562" s="12" t="s">
        <v>84</v>
      </c>
      <c r="O4562" s="12" t="s">
        <v>15994</v>
      </c>
      <c r="P4562" s="12" t="s">
        <v>46</v>
      </c>
      <c r="Q4562" s="12" t="s">
        <v>47</v>
      </c>
      <c r="R4562" s="12" t="s">
        <v>1660</v>
      </c>
      <c r="S4562" s="13">
        <v>197804558803</v>
      </c>
      <c r="T4562" s="12" t="s">
        <v>49</v>
      </c>
      <c r="U4562" s="13">
        <v>38</v>
      </c>
      <c r="V4562" s="12" t="s">
        <v>50</v>
      </c>
      <c r="W4562" s="12" t="s">
        <v>186</v>
      </c>
      <c r="X4562" s="14"/>
      <c r="Y4562" s="14"/>
      <c r="Z4562" s="14"/>
      <c r="AA4562" s="14"/>
      <c r="AB4562" s="14"/>
      <c r="AC4562" s="15">
        <v>65.95</v>
      </c>
      <c r="AD4562" s="15">
        <f>AC4562*AG4562</f>
        <v>65.95</v>
      </c>
      <c r="AE4562" s="15">
        <v>145</v>
      </c>
      <c r="AF4562" s="15">
        <f>AE4562*AG4562</f>
        <v>145</v>
      </c>
      <c r="AG4562" s="16">
        <v>1</v>
      </c>
    </row>
    <row r="4563" spans="1:33" ht="15" customHeight="1" x14ac:dyDescent="0.2">
      <c r="A4563" s="11" t="str">
        <f>HYPERLINK("https://assets.vans.eu/images/VN000DAQY49-HERO/1","VN000DAQY491")</f>
        <v>VN000DAQY491</v>
      </c>
      <c r="B4563" s="12" t="s">
        <v>15995</v>
      </c>
      <c r="C4563" s="12" t="s">
        <v>2817</v>
      </c>
      <c r="D4563" s="12" t="s">
        <v>5737</v>
      </c>
      <c r="E4563" s="12" t="s">
        <v>15996</v>
      </c>
      <c r="F4563" s="13">
        <v>75</v>
      </c>
      <c r="G4563" s="14"/>
      <c r="H4563" s="12" t="s">
        <v>38</v>
      </c>
      <c r="I4563" s="12" t="s">
        <v>159</v>
      </c>
      <c r="J4563" s="12" t="s">
        <v>160</v>
      </c>
      <c r="K4563" s="12" t="s">
        <v>82</v>
      </c>
      <c r="L4563" s="14"/>
      <c r="M4563" s="12" t="s">
        <v>43</v>
      </c>
      <c r="N4563" s="12" t="s">
        <v>84</v>
      </c>
      <c r="O4563" s="12" t="s">
        <v>15997</v>
      </c>
      <c r="P4563" s="12" t="s">
        <v>46</v>
      </c>
      <c r="Q4563" s="12" t="s">
        <v>47</v>
      </c>
      <c r="R4563" s="12" t="s">
        <v>1660</v>
      </c>
      <c r="S4563" s="13">
        <v>197804559046</v>
      </c>
      <c r="T4563" s="12" t="s">
        <v>49</v>
      </c>
      <c r="U4563" s="13">
        <v>40</v>
      </c>
      <c r="V4563" s="12" t="s">
        <v>50</v>
      </c>
      <c r="W4563" s="12" t="s">
        <v>186</v>
      </c>
      <c r="X4563" s="14"/>
      <c r="Y4563" s="14"/>
      <c r="Z4563" s="14"/>
      <c r="AA4563" s="14"/>
      <c r="AB4563" s="14"/>
      <c r="AC4563" s="15">
        <v>65.95</v>
      </c>
      <c r="AD4563" s="15">
        <f>AC4563*AG4563</f>
        <v>65.95</v>
      </c>
      <c r="AE4563" s="15">
        <v>145</v>
      </c>
      <c r="AF4563" s="15">
        <f>AE4563*AG4563</f>
        <v>145</v>
      </c>
      <c r="AG4563" s="16">
        <v>1</v>
      </c>
    </row>
    <row r="4564" spans="1:33" ht="15" customHeight="1" x14ac:dyDescent="0.2">
      <c r="A4564" s="11" t="str">
        <f>HYPERLINK("https://assets.vans.eu/images/VN000DAQZO2-HERO/1","VN000DAQZO21")</f>
        <v>VN000DAQZO21</v>
      </c>
      <c r="B4564" s="12" t="s">
        <v>15998</v>
      </c>
      <c r="C4564" s="12" t="s">
        <v>2817</v>
      </c>
      <c r="D4564" s="12" t="s">
        <v>10080</v>
      </c>
      <c r="E4564" s="12" t="s">
        <v>15999</v>
      </c>
      <c r="F4564" s="13">
        <v>40</v>
      </c>
      <c r="G4564" s="14"/>
      <c r="H4564" s="12" t="s">
        <v>38</v>
      </c>
      <c r="I4564" s="12" t="s">
        <v>159</v>
      </c>
      <c r="J4564" s="12" t="s">
        <v>160</v>
      </c>
      <c r="K4564" s="12" t="s">
        <v>82</v>
      </c>
      <c r="L4564" s="14"/>
      <c r="M4564" s="12" t="s">
        <v>43</v>
      </c>
      <c r="N4564" s="12" t="s">
        <v>84</v>
      </c>
      <c r="O4564" s="12" t="s">
        <v>16000</v>
      </c>
      <c r="P4564" s="12" t="s">
        <v>46</v>
      </c>
      <c r="Q4564" s="12" t="s">
        <v>47</v>
      </c>
      <c r="R4564" s="12" t="s">
        <v>1660</v>
      </c>
      <c r="S4564" s="13">
        <v>197804558902</v>
      </c>
      <c r="T4564" s="12" t="s">
        <v>49</v>
      </c>
      <c r="U4564" s="13">
        <v>35</v>
      </c>
      <c r="V4564" s="12" t="s">
        <v>50</v>
      </c>
      <c r="W4564" s="12" t="s">
        <v>580</v>
      </c>
      <c r="X4564" s="14"/>
      <c r="Y4564" s="14"/>
      <c r="Z4564" s="14"/>
      <c r="AA4564" s="14"/>
      <c r="AB4564" s="14"/>
      <c r="AC4564" s="15">
        <v>65.95</v>
      </c>
      <c r="AD4564" s="15">
        <f>AC4564*AG4564</f>
        <v>65.95</v>
      </c>
      <c r="AE4564" s="15">
        <v>145</v>
      </c>
      <c r="AF4564" s="15">
        <f>AE4564*AG4564</f>
        <v>145</v>
      </c>
      <c r="AG4564" s="16">
        <v>1</v>
      </c>
    </row>
    <row r="4565" spans="1:33" ht="15" customHeight="1" x14ac:dyDescent="0.2">
      <c r="A4565" s="11" t="str">
        <f t="shared" ref="A4565:A4569" si="1426">HYPERLINK("https://assets.vans.eu/images/VN000DARBKL-HERO/1","VN000DARBKL1")</f>
        <v>VN000DARBKL1</v>
      </c>
      <c r="B4565" s="12" t="s">
        <v>16001</v>
      </c>
      <c r="C4565" s="12" t="s">
        <v>4405</v>
      </c>
      <c r="D4565" s="12" t="s">
        <v>5967</v>
      </c>
      <c r="E4565" s="12" t="s">
        <v>16002</v>
      </c>
      <c r="F4565" s="13">
        <v>35</v>
      </c>
      <c r="G4565" s="14"/>
      <c r="H4565" s="12" t="s">
        <v>38</v>
      </c>
      <c r="I4565" s="12" t="s">
        <v>159</v>
      </c>
      <c r="J4565" s="12" t="s">
        <v>160</v>
      </c>
      <c r="K4565" s="12" t="s">
        <v>82</v>
      </c>
      <c r="L4565" s="14"/>
      <c r="M4565" s="12" t="s">
        <v>43</v>
      </c>
      <c r="N4565" s="12" t="s">
        <v>84</v>
      </c>
      <c r="O4565" s="12" t="s">
        <v>16003</v>
      </c>
      <c r="P4565" s="12" t="s">
        <v>46</v>
      </c>
      <c r="Q4565" s="12" t="s">
        <v>47</v>
      </c>
      <c r="R4565" s="12" t="s">
        <v>1660</v>
      </c>
      <c r="S4565" s="13">
        <v>197804558995</v>
      </c>
      <c r="T4565" s="12" t="s">
        <v>49</v>
      </c>
      <c r="U4565" s="13">
        <v>34.5</v>
      </c>
      <c r="V4565" s="12" t="s">
        <v>50</v>
      </c>
      <c r="W4565" s="12" t="s">
        <v>186</v>
      </c>
      <c r="X4565" s="14"/>
      <c r="Y4565" s="14"/>
      <c r="Z4565" s="14"/>
      <c r="AA4565" s="14"/>
      <c r="AB4565" s="14"/>
      <c r="AC4565" s="15">
        <v>84.1</v>
      </c>
      <c r="AD4565" s="15">
        <f>AC4565*AG4565</f>
        <v>84.1</v>
      </c>
      <c r="AE4565" s="15">
        <v>185</v>
      </c>
      <c r="AF4565" s="15">
        <f>AE4565*AG4565</f>
        <v>185</v>
      </c>
      <c r="AG4565" s="16">
        <v>1</v>
      </c>
    </row>
    <row r="4566" spans="1:33" ht="15" customHeight="1" x14ac:dyDescent="0.2">
      <c r="A4566" s="11" t="str">
        <f t="shared" si="1426"/>
        <v>VN000DARBKL1</v>
      </c>
      <c r="B4566" s="12" t="s">
        <v>16004</v>
      </c>
      <c r="C4566" s="12" t="s">
        <v>4405</v>
      </c>
      <c r="D4566" s="12" t="s">
        <v>5967</v>
      </c>
      <c r="E4566" s="12" t="s">
        <v>16005</v>
      </c>
      <c r="F4566" s="13">
        <v>55</v>
      </c>
      <c r="G4566" s="14"/>
      <c r="H4566" s="12" t="s">
        <v>38</v>
      </c>
      <c r="I4566" s="12" t="s">
        <v>159</v>
      </c>
      <c r="J4566" s="12" t="s">
        <v>160</v>
      </c>
      <c r="K4566" s="12" t="s">
        <v>82</v>
      </c>
      <c r="L4566" s="14"/>
      <c r="M4566" s="12" t="s">
        <v>43</v>
      </c>
      <c r="N4566" s="12" t="s">
        <v>84</v>
      </c>
      <c r="O4566" s="12" t="s">
        <v>16006</v>
      </c>
      <c r="P4566" s="12" t="s">
        <v>46</v>
      </c>
      <c r="Q4566" s="12" t="s">
        <v>47</v>
      </c>
      <c r="R4566" s="12" t="s">
        <v>1660</v>
      </c>
      <c r="S4566" s="13">
        <v>197804559725</v>
      </c>
      <c r="T4566" s="12" t="s">
        <v>49</v>
      </c>
      <c r="U4566" s="13">
        <v>37</v>
      </c>
      <c r="V4566" s="12" t="s">
        <v>50</v>
      </c>
      <c r="W4566" s="12" t="s">
        <v>186</v>
      </c>
      <c r="X4566" s="14"/>
      <c r="Y4566" s="14"/>
      <c r="Z4566" s="14"/>
      <c r="AA4566" s="14"/>
      <c r="AB4566" s="14"/>
      <c r="AC4566" s="15">
        <v>84.1</v>
      </c>
      <c r="AD4566" s="15">
        <f>AC4566*AG4566</f>
        <v>84.1</v>
      </c>
      <c r="AE4566" s="15">
        <v>185</v>
      </c>
      <c r="AF4566" s="15">
        <f>AE4566*AG4566</f>
        <v>185</v>
      </c>
      <c r="AG4566" s="16">
        <v>1</v>
      </c>
    </row>
    <row r="4567" spans="1:33" ht="15" customHeight="1" x14ac:dyDescent="0.2">
      <c r="A4567" s="11" t="str">
        <f t="shared" si="1426"/>
        <v>VN000DARBKL1</v>
      </c>
      <c r="B4567" s="12" t="s">
        <v>16007</v>
      </c>
      <c r="C4567" s="12" t="s">
        <v>4405</v>
      </c>
      <c r="D4567" s="12" t="s">
        <v>5967</v>
      </c>
      <c r="E4567" s="12" t="s">
        <v>16008</v>
      </c>
      <c r="F4567" s="13">
        <v>70</v>
      </c>
      <c r="G4567" s="14"/>
      <c r="H4567" s="12" t="s">
        <v>38</v>
      </c>
      <c r="I4567" s="12" t="s">
        <v>159</v>
      </c>
      <c r="J4567" s="12" t="s">
        <v>160</v>
      </c>
      <c r="K4567" s="12" t="s">
        <v>82</v>
      </c>
      <c r="L4567" s="14"/>
      <c r="M4567" s="12" t="s">
        <v>43</v>
      </c>
      <c r="N4567" s="12" t="s">
        <v>84</v>
      </c>
      <c r="O4567" s="12" t="s">
        <v>16009</v>
      </c>
      <c r="P4567" s="12" t="s">
        <v>46</v>
      </c>
      <c r="Q4567" s="12" t="s">
        <v>47</v>
      </c>
      <c r="R4567" s="12" t="s">
        <v>1660</v>
      </c>
      <c r="S4567" s="13">
        <v>197804560073</v>
      </c>
      <c r="T4567" s="12" t="s">
        <v>49</v>
      </c>
      <c r="U4567" s="13">
        <v>39</v>
      </c>
      <c r="V4567" s="12" t="s">
        <v>50</v>
      </c>
      <c r="W4567" s="12" t="s">
        <v>186</v>
      </c>
      <c r="X4567" s="14"/>
      <c r="Y4567" s="14"/>
      <c r="Z4567" s="14"/>
      <c r="AA4567" s="14"/>
      <c r="AB4567" s="14"/>
      <c r="AC4567" s="15">
        <v>84.1</v>
      </c>
      <c r="AD4567" s="15">
        <f>AC4567*AG4567</f>
        <v>84.1</v>
      </c>
      <c r="AE4567" s="15">
        <v>185</v>
      </c>
      <c r="AF4567" s="15">
        <f>AE4567*AG4567</f>
        <v>185</v>
      </c>
      <c r="AG4567" s="16">
        <v>1</v>
      </c>
    </row>
    <row r="4568" spans="1:33" ht="15" customHeight="1" x14ac:dyDescent="0.2">
      <c r="A4568" s="11" t="str">
        <f t="shared" si="1426"/>
        <v>VN000DARBKL1</v>
      </c>
      <c r="B4568" s="12" t="s">
        <v>16010</v>
      </c>
      <c r="C4568" s="12" t="s">
        <v>4405</v>
      </c>
      <c r="D4568" s="12" t="s">
        <v>5967</v>
      </c>
      <c r="E4568" s="12" t="s">
        <v>16011</v>
      </c>
      <c r="F4568" s="13">
        <v>75</v>
      </c>
      <c r="G4568" s="14"/>
      <c r="H4568" s="12" t="s">
        <v>38</v>
      </c>
      <c r="I4568" s="12" t="s">
        <v>159</v>
      </c>
      <c r="J4568" s="12" t="s">
        <v>160</v>
      </c>
      <c r="K4568" s="12" t="s">
        <v>82</v>
      </c>
      <c r="L4568" s="14"/>
      <c r="M4568" s="12" t="s">
        <v>43</v>
      </c>
      <c r="N4568" s="12" t="s">
        <v>84</v>
      </c>
      <c r="O4568" s="12" t="s">
        <v>16012</v>
      </c>
      <c r="P4568" s="12" t="s">
        <v>46</v>
      </c>
      <c r="Q4568" s="12" t="s">
        <v>47</v>
      </c>
      <c r="R4568" s="12" t="s">
        <v>1660</v>
      </c>
      <c r="S4568" s="13">
        <v>197804560240</v>
      </c>
      <c r="T4568" s="12" t="s">
        <v>49</v>
      </c>
      <c r="U4568" s="13">
        <v>40</v>
      </c>
      <c r="V4568" s="12" t="s">
        <v>50</v>
      </c>
      <c r="W4568" s="12" t="s">
        <v>186</v>
      </c>
      <c r="X4568" s="14"/>
      <c r="Y4568" s="14"/>
      <c r="Z4568" s="14"/>
      <c r="AA4568" s="14"/>
      <c r="AB4568" s="14"/>
      <c r="AC4568" s="15">
        <v>84.1</v>
      </c>
      <c r="AD4568" s="15">
        <f>AC4568*AG4568</f>
        <v>84.1</v>
      </c>
      <c r="AE4568" s="15">
        <v>185</v>
      </c>
      <c r="AF4568" s="15">
        <f>AE4568*AG4568</f>
        <v>185</v>
      </c>
      <c r="AG4568" s="16">
        <v>1</v>
      </c>
    </row>
    <row r="4569" spans="1:33" ht="15" customHeight="1" x14ac:dyDescent="0.2">
      <c r="A4569" s="11" t="str">
        <f t="shared" si="1426"/>
        <v>VN000DARBKL1</v>
      </c>
      <c r="B4569" s="12" t="s">
        <v>16013</v>
      </c>
      <c r="C4569" s="12" t="s">
        <v>4405</v>
      </c>
      <c r="D4569" s="12" t="s">
        <v>5967</v>
      </c>
      <c r="E4569" s="12" t="s">
        <v>16014</v>
      </c>
      <c r="F4569" s="13">
        <v>80</v>
      </c>
      <c r="G4569" s="14"/>
      <c r="H4569" s="12" t="s">
        <v>38</v>
      </c>
      <c r="I4569" s="12" t="s">
        <v>159</v>
      </c>
      <c r="J4569" s="12" t="s">
        <v>160</v>
      </c>
      <c r="K4569" s="12" t="s">
        <v>82</v>
      </c>
      <c r="L4569" s="14"/>
      <c r="M4569" s="12" t="s">
        <v>43</v>
      </c>
      <c r="N4569" s="12" t="s">
        <v>84</v>
      </c>
      <c r="O4569" s="12" t="s">
        <v>16015</v>
      </c>
      <c r="P4569" s="12" t="s">
        <v>46</v>
      </c>
      <c r="Q4569" s="12" t="s">
        <v>47</v>
      </c>
      <c r="R4569" s="12" t="s">
        <v>1660</v>
      </c>
      <c r="S4569" s="13">
        <v>197804560318</v>
      </c>
      <c r="T4569" s="12" t="s">
        <v>49</v>
      </c>
      <c r="U4569" s="13">
        <v>40.5</v>
      </c>
      <c r="V4569" s="12" t="s">
        <v>50</v>
      </c>
      <c r="W4569" s="12" t="s">
        <v>186</v>
      </c>
      <c r="X4569" s="14"/>
      <c r="Y4569" s="14"/>
      <c r="Z4569" s="14"/>
      <c r="AA4569" s="14"/>
      <c r="AB4569" s="14"/>
      <c r="AC4569" s="15">
        <v>84.1</v>
      </c>
      <c r="AD4569" s="15">
        <f>AC4569*AG4569</f>
        <v>84.1</v>
      </c>
      <c r="AE4569" s="15">
        <v>185</v>
      </c>
      <c r="AF4569" s="15">
        <f>AE4569*AG4569</f>
        <v>185</v>
      </c>
      <c r="AG4569" s="16">
        <v>1</v>
      </c>
    </row>
    <row r="4570" spans="1:33" ht="15" customHeight="1" x14ac:dyDescent="0.2">
      <c r="A4570" s="11" t="str">
        <f t="shared" ref="A4570:A4571" si="1427">HYPERLINK("https://assets.vans.eu/images/VN000DARC9F-HERO/1","VN000DARC9F1")</f>
        <v>VN000DARC9F1</v>
      </c>
      <c r="B4570" s="12" t="s">
        <v>16016</v>
      </c>
      <c r="C4570" s="12" t="s">
        <v>4405</v>
      </c>
      <c r="D4570" s="12" t="s">
        <v>2056</v>
      </c>
      <c r="E4570" s="12" t="s">
        <v>16017</v>
      </c>
      <c r="F4570" s="13">
        <v>55</v>
      </c>
      <c r="G4570" s="14"/>
      <c r="H4570" s="12" t="s">
        <v>38</v>
      </c>
      <c r="I4570" s="12" t="s">
        <v>113</v>
      </c>
      <c r="J4570" s="12" t="s">
        <v>114</v>
      </c>
      <c r="K4570" s="12" t="s">
        <v>82</v>
      </c>
      <c r="L4570" s="14"/>
      <c r="M4570" s="12" t="s">
        <v>43</v>
      </c>
      <c r="N4570" s="12" t="s">
        <v>84</v>
      </c>
      <c r="O4570" s="12" t="s">
        <v>16018</v>
      </c>
      <c r="P4570" s="12" t="s">
        <v>46</v>
      </c>
      <c r="Q4570" s="12" t="s">
        <v>47</v>
      </c>
      <c r="R4570" s="12" t="s">
        <v>948</v>
      </c>
      <c r="S4570" s="13">
        <v>197804559602</v>
      </c>
      <c r="T4570" s="12" t="s">
        <v>49</v>
      </c>
      <c r="U4570" s="13">
        <v>37</v>
      </c>
      <c r="V4570" s="12" t="s">
        <v>50</v>
      </c>
      <c r="W4570" s="12" t="s">
        <v>175</v>
      </c>
      <c r="X4570" s="14"/>
      <c r="Y4570" s="14"/>
      <c r="Z4570" s="14"/>
      <c r="AA4570" s="14"/>
      <c r="AB4570" s="14"/>
      <c r="AC4570" s="15">
        <v>84.1</v>
      </c>
      <c r="AD4570" s="15">
        <f>AC4570*AG4570</f>
        <v>84.1</v>
      </c>
      <c r="AE4570" s="15">
        <v>185</v>
      </c>
      <c r="AF4570" s="15">
        <f>AE4570*AG4570</f>
        <v>185</v>
      </c>
      <c r="AG4570" s="16">
        <v>1</v>
      </c>
    </row>
    <row r="4571" spans="1:33" ht="15" customHeight="1" x14ac:dyDescent="0.2">
      <c r="A4571" s="11" t="str">
        <f t="shared" si="1427"/>
        <v>VN000DARC9F1</v>
      </c>
      <c r="B4571" s="12" t="s">
        <v>16019</v>
      </c>
      <c r="C4571" s="12" t="s">
        <v>4405</v>
      </c>
      <c r="D4571" s="12" t="s">
        <v>2056</v>
      </c>
      <c r="E4571" s="12" t="s">
        <v>16020</v>
      </c>
      <c r="F4571" s="13">
        <v>95</v>
      </c>
      <c r="G4571" s="14"/>
      <c r="H4571" s="12" t="s">
        <v>38</v>
      </c>
      <c r="I4571" s="12" t="s">
        <v>113</v>
      </c>
      <c r="J4571" s="12" t="s">
        <v>114</v>
      </c>
      <c r="K4571" s="12" t="s">
        <v>82</v>
      </c>
      <c r="L4571" s="14"/>
      <c r="M4571" s="12" t="s">
        <v>43</v>
      </c>
      <c r="N4571" s="12" t="s">
        <v>84</v>
      </c>
      <c r="O4571" s="12" t="s">
        <v>16021</v>
      </c>
      <c r="P4571" s="12" t="s">
        <v>46</v>
      </c>
      <c r="Q4571" s="12" t="s">
        <v>47</v>
      </c>
      <c r="R4571" s="12" t="s">
        <v>948</v>
      </c>
      <c r="S4571" s="13">
        <v>197804560622</v>
      </c>
      <c r="T4571" s="12" t="s">
        <v>49</v>
      </c>
      <c r="U4571" s="13">
        <v>42.5</v>
      </c>
      <c r="V4571" s="12" t="s">
        <v>50</v>
      </c>
      <c r="W4571" s="12" t="s">
        <v>175</v>
      </c>
      <c r="X4571" s="14"/>
      <c r="Y4571" s="14"/>
      <c r="Z4571" s="14"/>
      <c r="AA4571" s="14"/>
      <c r="AB4571" s="14"/>
      <c r="AC4571" s="15">
        <v>84.1</v>
      </c>
      <c r="AD4571" s="15">
        <f>AC4571*AG4571</f>
        <v>84.1</v>
      </c>
      <c r="AE4571" s="15">
        <v>185</v>
      </c>
      <c r="AF4571" s="15">
        <f>AE4571*AG4571</f>
        <v>185</v>
      </c>
      <c r="AG4571" s="16">
        <v>1</v>
      </c>
    </row>
    <row r="4572" spans="1:33" ht="15" customHeight="1" x14ac:dyDescent="0.2">
      <c r="A4572" s="11" t="str">
        <f t="shared" si="1112"/>
        <v>VN000DARF871</v>
      </c>
      <c r="B4572" s="12" t="s">
        <v>16022</v>
      </c>
      <c r="C4572" s="12" t="s">
        <v>4405</v>
      </c>
      <c r="D4572" s="12" t="s">
        <v>10102</v>
      </c>
      <c r="E4572" s="12" t="s">
        <v>16023</v>
      </c>
      <c r="F4572" s="13">
        <v>35</v>
      </c>
      <c r="G4572" s="14"/>
      <c r="H4572" s="12" t="s">
        <v>38</v>
      </c>
      <c r="I4572" s="12" t="s">
        <v>159</v>
      </c>
      <c r="J4572" s="12" t="s">
        <v>160</v>
      </c>
      <c r="K4572" s="12" t="s">
        <v>82</v>
      </c>
      <c r="L4572" s="14"/>
      <c r="M4572" s="12" t="s">
        <v>43</v>
      </c>
      <c r="N4572" s="12" t="s">
        <v>84</v>
      </c>
      <c r="O4572" s="12" t="s">
        <v>16024</v>
      </c>
      <c r="P4572" s="12" t="s">
        <v>46</v>
      </c>
      <c r="Q4572" s="12" t="s">
        <v>47</v>
      </c>
      <c r="R4572" s="12" t="s">
        <v>1660</v>
      </c>
      <c r="S4572" s="13">
        <v>197804559183</v>
      </c>
      <c r="T4572" s="12" t="s">
        <v>49</v>
      </c>
      <c r="U4572" s="13">
        <v>34.5</v>
      </c>
      <c r="V4572" s="12" t="s">
        <v>50</v>
      </c>
      <c r="W4572" s="12" t="s">
        <v>598</v>
      </c>
      <c r="X4572" s="14"/>
      <c r="Y4572" s="14"/>
      <c r="Z4572" s="14"/>
      <c r="AA4572" s="14"/>
      <c r="AB4572" s="14"/>
      <c r="AC4572" s="15">
        <v>84.1</v>
      </c>
      <c r="AD4572" s="15">
        <f>AC4572*AG4572</f>
        <v>84.1</v>
      </c>
      <c r="AE4572" s="15">
        <v>185</v>
      </c>
      <c r="AF4572" s="15">
        <f>AE4572*AG4572</f>
        <v>185</v>
      </c>
      <c r="AG4572" s="16">
        <v>1</v>
      </c>
    </row>
    <row r="4573" spans="1:33" ht="15" customHeight="1" x14ac:dyDescent="0.2">
      <c r="A4573" s="11" t="str">
        <f t="shared" ref="A4573:A4574" si="1428">HYPERLINK("https://assets.vans.eu/images/VN000DARF87-HERO/1","VN000DARF871")</f>
        <v>VN000DARF871</v>
      </c>
      <c r="B4573" s="12" t="s">
        <v>16025</v>
      </c>
      <c r="C4573" s="12" t="s">
        <v>4405</v>
      </c>
      <c r="D4573" s="12" t="s">
        <v>10102</v>
      </c>
      <c r="E4573" s="12" t="s">
        <v>16026</v>
      </c>
      <c r="F4573" s="13">
        <v>40</v>
      </c>
      <c r="G4573" s="14"/>
      <c r="H4573" s="12" t="s">
        <v>38</v>
      </c>
      <c r="I4573" s="12" t="s">
        <v>159</v>
      </c>
      <c r="J4573" s="12" t="s">
        <v>160</v>
      </c>
      <c r="K4573" s="12" t="s">
        <v>82</v>
      </c>
      <c r="L4573" s="14"/>
      <c r="M4573" s="12" t="s">
        <v>43</v>
      </c>
      <c r="N4573" s="12" t="s">
        <v>84</v>
      </c>
      <c r="O4573" s="12" t="s">
        <v>16027</v>
      </c>
      <c r="P4573" s="12" t="s">
        <v>46</v>
      </c>
      <c r="Q4573" s="12" t="s">
        <v>47</v>
      </c>
      <c r="R4573" s="12" t="s">
        <v>1660</v>
      </c>
      <c r="S4573" s="13">
        <v>197804559282</v>
      </c>
      <c r="T4573" s="12" t="s">
        <v>49</v>
      </c>
      <c r="U4573" s="13">
        <v>35</v>
      </c>
      <c r="V4573" s="12" t="s">
        <v>50</v>
      </c>
      <c r="W4573" s="12" t="s">
        <v>598</v>
      </c>
      <c r="X4573" s="14"/>
      <c r="Y4573" s="14"/>
      <c r="Z4573" s="14"/>
      <c r="AA4573" s="14"/>
      <c r="AB4573" s="14"/>
      <c r="AC4573" s="15">
        <v>84.1</v>
      </c>
      <c r="AD4573" s="15">
        <f>AC4573*AG4573</f>
        <v>84.1</v>
      </c>
      <c r="AE4573" s="15">
        <v>185</v>
      </c>
      <c r="AF4573" s="15">
        <f>AE4573*AG4573</f>
        <v>185</v>
      </c>
      <c r="AG4573" s="16">
        <v>1</v>
      </c>
    </row>
    <row r="4574" spans="1:33" ht="15" customHeight="1" x14ac:dyDescent="0.2">
      <c r="A4574" s="11" t="str">
        <f t="shared" si="1428"/>
        <v>VN000DARF871</v>
      </c>
      <c r="B4574" s="12" t="s">
        <v>16028</v>
      </c>
      <c r="C4574" s="12" t="s">
        <v>4405</v>
      </c>
      <c r="D4574" s="12" t="s">
        <v>10102</v>
      </c>
      <c r="E4574" s="12" t="s">
        <v>16029</v>
      </c>
      <c r="F4574" s="13">
        <v>90</v>
      </c>
      <c r="G4574" s="14"/>
      <c r="H4574" s="12" t="s">
        <v>38</v>
      </c>
      <c r="I4574" s="12" t="s">
        <v>159</v>
      </c>
      <c r="J4574" s="12" t="s">
        <v>160</v>
      </c>
      <c r="K4574" s="12" t="s">
        <v>82</v>
      </c>
      <c r="L4574" s="14"/>
      <c r="M4574" s="12" t="s">
        <v>43</v>
      </c>
      <c r="N4574" s="12" t="s">
        <v>84</v>
      </c>
      <c r="O4574" s="12" t="s">
        <v>16030</v>
      </c>
      <c r="P4574" s="12" t="s">
        <v>46</v>
      </c>
      <c r="Q4574" s="12" t="s">
        <v>47</v>
      </c>
      <c r="R4574" s="12" t="s">
        <v>1660</v>
      </c>
      <c r="S4574" s="13">
        <v>197804560776</v>
      </c>
      <c r="T4574" s="12" t="s">
        <v>49</v>
      </c>
      <c r="U4574" s="13">
        <v>42</v>
      </c>
      <c r="V4574" s="12" t="s">
        <v>50</v>
      </c>
      <c r="W4574" s="12" t="s">
        <v>598</v>
      </c>
      <c r="X4574" s="14"/>
      <c r="Y4574" s="14"/>
      <c r="Z4574" s="14"/>
      <c r="AA4574" s="14"/>
      <c r="AB4574" s="14"/>
      <c r="AC4574" s="15">
        <v>84.1</v>
      </c>
      <c r="AD4574" s="15">
        <f>AC4574*AG4574</f>
        <v>84.1</v>
      </c>
      <c r="AE4574" s="15">
        <v>185</v>
      </c>
      <c r="AF4574" s="15">
        <f>AE4574*AG4574</f>
        <v>185</v>
      </c>
      <c r="AG4574" s="16">
        <v>1</v>
      </c>
    </row>
    <row r="4575" spans="1:33" ht="15" customHeight="1" x14ac:dyDescent="0.2">
      <c r="A4575" s="11" t="str">
        <f>HYPERLINK("https://assets.vans.eu/images/VN000DAYBKA-HERO/1","VN000DAYBKA1")</f>
        <v>VN000DAYBKA1</v>
      </c>
      <c r="B4575" s="12" t="s">
        <v>16031</v>
      </c>
      <c r="C4575" s="12" t="s">
        <v>10106</v>
      </c>
      <c r="D4575" s="12" t="s">
        <v>252</v>
      </c>
      <c r="E4575" s="12" t="s">
        <v>16032</v>
      </c>
      <c r="F4575" s="13">
        <v>120</v>
      </c>
      <c r="G4575" s="14"/>
      <c r="H4575" s="12" t="s">
        <v>38</v>
      </c>
      <c r="I4575" s="12" t="s">
        <v>159</v>
      </c>
      <c r="J4575" s="12" t="s">
        <v>255</v>
      </c>
      <c r="K4575" s="12" t="s">
        <v>82</v>
      </c>
      <c r="L4575" s="14"/>
      <c r="M4575" s="12" t="s">
        <v>43</v>
      </c>
      <c r="N4575" s="12" t="s">
        <v>84</v>
      </c>
      <c r="O4575" s="12" t="s">
        <v>16033</v>
      </c>
      <c r="P4575" s="12" t="s">
        <v>46</v>
      </c>
      <c r="Q4575" s="12" t="s">
        <v>2432</v>
      </c>
      <c r="R4575" s="12" t="s">
        <v>10109</v>
      </c>
      <c r="S4575" s="13">
        <v>197804488926</v>
      </c>
      <c r="T4575" s="12" t="s">
        <v>49</v>
      </c>
      <c r="U4575" s="13">
        <v>46</v>
      </c>
      <c r="V4575" s="12" t="s">
        <v>50</v>
      </c>
      <c r="W4575" s="12" t="s">
        <v>51</v>
      </c>
      <c r="X4575" s="14"/>
      <c r="Y4575" s="14"/>
      <c r="Z4575" s="14"/>
      <c r="AA4575" s="14"/>
      <c r="AB4575" s="14"/>
      <c r="AC4575" s="15">
        <v>100</v>
      </c>
      <c r="AD4575" s="15">
        <f>AC4575*AG4575</f>
        <v>100</v>
      </c>
      <c r="AE4575" s="15">
        <v>220</v>
      </c>
      <c r="AF4575" s="15">
        <f>AE4575*AG4575</f>
        <v>220</v>
      </c>
      <c r="AG4575" s="16">
        <v>1</v>
      </c>
    </row>
    <row r="4576" spans="1:33" ht="15" customHeight="1" x14ac:dyDescent="0.2">
      <c r="A4576" s="11" t="str">
        <f t="shared" si="1113"/>
        <v>VN000DAYF871</v>
      </c>
      <c r="B4576" s="12" t="s">
        <v>16034</v>
      </c>
      <c r="C4576" s="12" t="s">
        <v>10106</v>
      </c>
      <c r="D4576" s="12" t="s">
        <v>10102</v>
      </c>
      <c r="E4576" s="12" t="s">
        <v>16035</v>
      </c>
      <c r="F4576" s="13">
        <v>95</v>
      </c>
      <c r="G4576" s="14"/>
      <c r="H4576" s="12" t="s">
        <v>38</v>
      </c>
      <c r="I4576" s="12" t="s">
        <v>159</v>
      </c>
      <c r="J4576" s="12" t="s">
        <v>255</v>
      </c>
      <c r="K4576" s="12" t="s">
        <v>82</v>
      </c>
      <c r="L4576" s="14"/>
      <c r="M4576" s="12" t="s">
        <v>43</v>
      </c>
      <c r="N4576" s="12" t="s">
        <v>84</v>
      </c>
      <c r="O4576" s="12" t="s">
        <v>16036</v>
      </c>
      <c r="P4576" s="12" t="s">
        <v>46</v>
      </c>
      <c r="Q4576" s="12" t="s">
        <v>2432</v>
      </c>
      <c r="R4576" s="12" t="s">
        <v>10109</v>
      </c>
      <c r="S4576" s="13">
        <v>197804489664</v>
      </c>
      <c r="T4576" s="12" t="s">
        <v>49</v>
      </c>
      <c r="U4576" s="13">
        <v>42.5</v>
      </c>
      <c r="V4576" s="12" t="s">
        <v>50</v>
      </c>
      <c r="W4576" s="12" t="s">
        <v>598</v>
      </c>
      <c r="X4576" s="14"/>
      <c r="Y4576" s="14"/>
      <c r="Z4576" s="14"/>
      <c r="AA4576" s="14"/>
      <c r="AB4576" s="14"/>
      <c r="AC4576" s="15">
        <v>100</v>
      </c>
      <c r="AD4576" s="15">
        <f>AC4576*AG4576</f>
        <v>100</v>
      </c>
      <c r="AE4576" s="15">
        <v>220</v>
      </c>
      <c r="AF4576" s="15">
        <f>AE4576*AG4576</f>
        <v>220</v>
      </c>
      <c r="AG4576" s="16">
        <v>1</v>
      </c>
    </row>
    <row r="4577" spans="1:33" ht="15" customHeight="1" x14ac:dyDescent="0.2">
      <c r="A4577" s="11" t="str">
        <f>HYPERLINK("https://assets.vans.eu/images/VN000DAZB7G-HERO/1","VN000DAZB7G1")</f>
        <v>VN000DAZB7G1</v>
      </c>
      <c r="B4577" s="12" t="s">
        <v>16037</v>
      </c>
      <c r="C4577" s="12" t="s">
        <v>4001</v>
      </c>
      <c r="D4577" s="12" t="s">
        <v>9054</v>
      </c>
      <c r="E4577" s="12" t="s">
        <v>16038</v>
      </c>
      <c r="F4577" s="13">
        <v>50</v>
      </c>
      <c r="G4577" s="14"/>
      <c r="H4577" s="12" t="s">
        <v>38</v>
      </c>
      <c r="I4577" s="12" t="s">
        <v>159</v>
      </c>
      <c r="J4577" s="12" t="s">
        <v>160</v>
      </c>
      <c r="K4577" s="12" t="s">
        <v>82</v>
      </c>
      <c r="L4577" s="14"/>
      <c r="M4577" s="12" t="s">
        <v>43</v>
      </c>
      <c r="N4577" s="12" t="s">
        <v>84</v>
      </c>
      <c r="O4577" s="12" t="s">
        <v>16039</v>
      </c>
      <c r="P4577" s="12" t="s">
        <v>46</v>
      </c>
      <c r="Q4577" s="12" t="s">
        <v>47</v>
      </c>
      <c r="R4577" s="12" t="s">
        <v>163</v>
      </c>
      <c r="S4577" s="13">
        <v>197804488490</v>
      </c>
      <c r="T4577" s="12" t="s">
        <v>49</v>
      </c>
      <c r="U4577" s="13">
        <v>36.5</v>
      </c>
      <c r="V4577" s="12" t="s">
        <v>50</v>
      </c>
      <c r="W4577" s="12" t="s">
        <v>186</v>
      </c>
      <c r="X4577" s="14"/>
      <c r="Y4577" s="14"/>
      <c r="Z4577" s="14"/>
      <c r="AA4577" s="14"/>
      <c r="AB4577" s="14"/>
      <c r="AC4577" s="15">
        <v>61.4</v>
      </c>
      <c r="AD4577" s="15">
        <f>AC4577*AG4577</f>
        <v>61.4</v>
      </c>
      <c r="AE4577" s="15">
        <v>135</v>
      </c>
      <c r="AF4577" s="15">
        <f>AE4577*AG4577</f>
        <v>135</v>
      </c>
      <c r="AG4577" s="16">
        <v>1</v>
      </c>
    </row>
    <row r="4578" spans="1:33" ht="15" customHeight="1" x14ac:dyDescent="0.2">
      <c r="A4578" s="11" t="str">
        <f t="shared" ref="A4578:A4579" si="1429">HYPERLINK("https://assets.vans.eu/images/VN000DAZF88-HERO/1","VN000DAZF881")</f>
        <v>VN000DAZF881</v>
      </c>
      <c r="B4578" s="12" t="s">
        <v>16040</v>
      </c>
      <c r="C4578" s="12" t="s">
        <v>4001</v>
      </c>
      <c r="D4578" s="12" t="s">
        <v>4002</v>
      </c>
      <c r="E4578" s="12" t="s">
        <v>16041</v>
      </c>
      <c r="F4578" s="13">
        <v>75</v>
      </c>
      <c r="G4578" s="14"/>
      <c r="H4578" s="12" t="s">
        <v>38</v>
      </c>
      <c r="I4578" s="12" t="s">
        <v>159</v>
      </c>
      <c r="J4578" s="12" t="s">
        <v>160</v>
      </c>
      <c r="K4578" s="12" t="s">
        <v>82</v>
      </c>
      <c r="L4578" s="14"/>
      <c r="M4578" s="12" t="s">
        <v>43</v>
      </c>
      <c r="N4578" s="12" t="s">
        <v>84</v>
      </c>
      <c r="O4578" s="12" t="s">
        <v>16042</v>
      </c>
      <c r="P4578" s="12" t="s">
        <v>46</v>
      </c>
      <c r="Q4578" s="12" t="s">
        <v>47</v>
      </c>
      <c r="R4578" s="12" t="s">
        <v>163</v>
      </c>
      <c r="S4578" s="13">
        <v>197804489343</v>
      </c>
      <c r="T4578" s="12" t="s">
        <v>49</v>
      </c>
      <c r="U4578" s="13">
        <v>40</v>
      </c>
      <c r="V4578" s="12" t="s">
        <v>50</v>
      </c>
      <c r="W4578" s="12" t="s">
        <v>598</v>
      </c>
      <c r="X4578" s="14"/>
      <c r="Y4578" s="14"/>
      <c r="Z4578" s="14"/>
      <c r="AA4578" s="14"/>
      <c r="AB4578" s="14"/>
      <c r="AC4578" s="15">
        <v>61.4</v>
      </c>
      <c r="AD4578" s="15">
        <f>AC4578*AG4578</f>
        <v>61.4</v>
      </c>
      <c r="AE4578" s="15">
        <v>135</v>
      </c>
      <c r="AF4578" s="15">
        <f>AE4578*AG4578</f>
        <v>135</v>
      </c>
      <c r="AG4578" s="16">
        <v>1</v>
      </c>
    </row>
    <row r="4579" spans="1:33" ht="15" customHeight="1" x14ac:dyDescent="0.2">
      <c r="A4579" s="11" t="str">
        <f t="shared" si="1429"/>
        <v>VN000DAZF881</v>
      </c>
      <c r="B4579" s="12" t="s">
        <v>16043</v>
      </c>
      <c r="C4579" s="12" t="s">
        <v>4001</v>
      </c>
      <c r="D4579" s="12" t="s">
        <v>4002</v>
      </c>
      <c r="E4579" s="12" t="s">
        <v>16044</v>
      </c>
      <c r="F4579" s="13">
        <v>85</v>
      </c>
      <c r="G4579" s="14"/>
      <c r="H4579" s="12" t="s">
        <v>38</v>
      </c>
      <c r="I4579" s="12" t="s">
        <v>159</v>
      </c>
      <c r="J4579" s="12" t="s">
        <v>160</v>
      </c>
      <c r="K4579" s="12" t="s">
        <v>82</v>
      </c>
      <c r="L4579" s="14"/>
      <c r="M4579" s="12" t="s">
        <v>43</v>
      </c>
      <c r="N4579" s="12" t="s">
        <v>84</v>
      </c>
      <c r="O4579" s="12" t="s">
        <v>16045</v>
      </c>
      <c r="P4579" s="12" t="s">
        <v>46</v>
      </c>
      <c r="Q4579" s="12" t="s">
        <v>47</v>
      </c>
      <c r="R4579" s="12" t="s">
        <v>163</v>
      </c>
      <c r="S4579" s="13">
        <v>197804489572</v>
      </c>
      <c r="T4579" s="12" t="s">
        <v>49</v>
      </c>
      <c r="U4579" s="13">
        <v>41</v>
      </c>
      <c r="V4579" s="12" t="s">
        <v>50</v>
      </c>
      <c r="W4579" s="12" t="s">
        <v>598</v>
      </c>
      <c r="X4579" s="14"/>
      <c r="Y4579" s="14"/>
      <c r="Z4579" s="14"/>
      <c r="AA4579" s="14"/>
      <c r="AB4579" s="14"/>
      <c r="AC4579" s="15">
        <v>61.4</v>
      </c>
      <c r="AD4579" s="15">
        <f>AC4579*AG4579</f>
        <v>61.4</v>
      </c>
      <c r="AE4579" s="15">
        <v>135</v>
      </c>
      <c r="AF4579" s="15">
        <f>AE4579*AG4579</f>
        <v>135</v>
      </c>
      <c r="AG4579" s="16">
        <v>1</v>
      </c>
    </row>
    <row r="4580" spans="1:33" ht="15" customHeight="1" x14ac:dyDescent="0.2">
      <c r="A4580" s="11" t="str">
        <f t="shared" ref="A4580:A4582" si="1430">HYPERLINK("https://assets.vans.eu/images/VN000DAZSTN-HERO/1","VN000DAZSTN1")</f>
        <v>VN000DAZSTN1</v>
      </c>
      <c r="B4580" s="12" t="s">
        <v>16046</v>
      </c>
      <c r="C4580" s="12" t="s">
        <v>4001</v>
      </c>
      <c r="D4580" s="12" t="s">
        <v>5974</v>
      </c>
      <c r="E4580" s="12" t="s">
        <v>16047</v>
      </c>
      <c r="F4580" s="13">
        <v>45</v>
      </c>
      <c r="G4580" s="14"/>
      <c r="H4580" s="12" t="s">
        <v>38</v>
      </c>
      <c r="I4580" s="12" t="s">
        <v>113</v>
      </c>
      <c r="J4580" s="12" t="s">
        <v>114</v>
      </c>
      <c r="K4580" s="12" t="s">
        <v>82</v>
      </c>
      <c r="L4580" s="14"/>
      <c r="M4580" s="12" t="s">
        <v>43</v>
      </c>
      <c r="N4580" s="12" t="s">
        <v>84</v>
      </c>
      <c r="O4580" s="12" t="s">
        <v>16048</v>
      </c>
      <c r="P4580" s="12" t="s">
        <v>46</v>
      </c>
      <c r="Q4580" s="12" t="s">
        <v>47</v>
      </c>
      <c r="R4580" s="12" t="s">
        <v>117</v>
      </c>
      <c r="S4580" s="13">
        <v>197804488629</v>
      </c>
      <c r="T4580" s="12" t="s">
        <v>49</v>
      </c>
      <c r="U4580" s="13">
        <v>36</v>
      </c>
      <c r="V4580" s="12" t="s">
        <v>50</v>
      </c>
      <c r="W4580" s="12" t="s">
        <v>299</v>
      </c>
      <c r="X4580" s="14"/>
      <c r="Y4580" s="14"/>
      <c r="Z4580" s="14"/>
      <c r="AA4580" s="14"/>
      <c r="AB4580" s="14"/>
      <c r="AC4580" s="15">
        <v>61.4</v>
      </c>
      <c r="AD4580" s="15">
        <f>AC4580*AG4580</f>
        <v>61.4</v>
      </c>
      <c r="AE4580" s="15">
        <v>135</v>
      </c>
      <c r="AF4580" s="15">
        <f>AE4580*AG4580</f>
        <v>135</v>
      </c>
      <c r="AG4580" s="16">
        <v>1</v>
      </c>
    </row>
    <row r="4581" spans="1:33" ht="15" customHeight="1" x14ac:dyDescent="0.2">
      <c r="A4581" s="11" t="str">
        <f t="shared" si="1430"/>
        <v>VN000DAZSTN1</v>
      </c>
      <c r="B4581" s="12" t="s">
        <v>16049</v>
      </c>
      <c r="C4581" s="12" t="s">
        <v>4001</v>
      </c>
      <c r="D4581" s="12" t="s">
        <v>5974</v>
      </c>
      <c r="E4581" s="12" t="s">
        <v>16050</v>
      </c>
      <c r="F4581" s="13">
        <v>85</v>
      </c>
      <c r="G4581" s="14"/>
      <c r="H4581" s="12" t="s">
        <v>38</v>
      </c>
      <c r="I4581" s="12" t="s">
        <v>113</v>
      </c>
      <c r="J4581" s="12" t="s">
        <v>114</v>
      </c>
      <c r="K4581" s="12" t="s">
        <v>82</v>
      </c>
      <c r="L4581" s="14"/>
      <c r="M4581" s="12" t="s">
        <v>43</v>
      </c>
      <c r="N4581" s="12" t="s">
        <v>84</v>
      </c>
      <c r="O4581" s="12" t="s">
        <v>16051</v>
      </c>
      <c r="P4581" s="12" t="s">
        <v>46</v>
      </c>
      <c r="Q4581" s="12" t="s">
        <v>47</v>
      </c>
      <c r="R4581" s="12" t="s">
        <v>117</v>
      </c>
      <c r="S4581" s="13">
        <v>197804489930</v>
      </c>
      <c r="T4581" s="12" t="s">
        <v>49</v>
      </c>
      <c r="U4581" s="13">
        <v>41</v>
      </c>
      <c r="V4581" s="12" t="s">
        <v>50</v>
      </c>
      <c r="W4581" s="12" t="s">
        <v>299</v>
      </c>
      <c r="X4581" s="14"/>
      <c r="Y4581" s="14"/>
      <c r="Z4581" s="14"/>
      <c r="AA4581" s="14"/>
      <c r="AB4581" s="14"/>
      <c r="AC4581" s="15">
        <v>61.4</v>
      </c>
      <c r="AD4581" s="15">
        <f>AC4581*AG4581</f>
        <v>61.4</v>
      </c>
      <c r="AE4581" s="15">
        <v>135</v>
      </c>
      <c r="AF4581" s="15">
        <f>AE4581*AG4581</f>
        <v>135</v>
      </c>
      <c r="AG4581" s="16">
        <v>1</v>
      </c>
    </row>
    <row r="4582" spans="1:33" ht="15" customHeight="1" x14ac:dyDescent="0.2">
      <c r="A4582" s="11" t="str">
        <f t="shared" si="1430"/>
        <v>VN000DAZSTN1</v>
      </c>
      <c r="B4582" s="12" t="s">
        <v>16052</v>
      </c>
      <c r="C4582" s="12" t="s">
        <v>4001</v>
      </c>
      <c r="D4582" s="12" t="s">
        <v>5974</v>
      </c>
      <c r="E4582" s="12" t="s">
        <v>16053</v>
      </c>
      <c r="F4582" s="13">
        <v>105</v>
      </c>
      <c r="G4582" s="14"/>
      <c r="H4582" s="12" t="s">
        <v>38</v>
      </c>
      <c r="I4582" s="12" t="s">
        <v>113</v>
      </c>
      <c r="J4582" s="12" t="s">
        <v>114</v>
      </c>
      <c r="K4582" s="12" t="s">
        <v>82</v>
      </c>
      <c r="L4582" s="14"/>
      <c r="M4582" s="12" t="s">
        <v>43</v>
      </c>
      <c r="N4582" s="12" t="s">
        <v>84</v>
      </c>
      <c r="O4582" s="12" t="s">
        <v>16054</v>
      </c>
      <c r="P4582" s="12" t="s">
        <v>46</v>
      </c>
      <c r="Q4582" s="12" t="s">
        <v>47</v>
      </c>
      <c r="R4582" s="12" t="s">
        <v>117</v>
      </c>
      <c r="S4582" s="13">
        <v>197804490592</v>
      </c>
      <c r="T4582" s="12" t="s">
        <v>49</v>
      </c>
      <c r="U4582" s="13">
        <v>44</v>
      </c>
      <c r="V4582" s="12" t="s">
        <v>50</v>
      </c>
      <c r="W4582" s="12" t="s">
        <v>299</v>
      </c>
      <c r="X4582" s="14"/>
      <c r="Y4582" s="14"/>
      <c r="Z4582" s="14"/>
      <c r="AA4582" s="14"/>
      <c r="AB4582" s="14"/>
      <c r="AC4582" s="15">
        <v>61.4</v>
      </c>
      <c r="AD4582" s="15">
        <f>AC4582*AG4582</f>
        <v>61.4</v>
      </c>
      <c r="AE4582" s="15">
        <v>135</v>
      </c>
      <c r="AF4582" s="15">
        <f>AE4582*AG4582</f>
        <v>135</v>
      </c>
      <c r="AG4582" s="16">
        <v>1</v>
      </c>
    </row>
    <row r="4583" spans="1:33" ht="15" customHeight="1" x14ac:dyDescent="0.2">
      <c r="A4583" s="11" t="str">
        <f t="shared" ref="A4583:A4585" si="1431">HYPERLINK("https://assets.vans.eu/images/VN000DB1EMG-HERO/1","VN000DB1EMG1")</f>
        <v>VN000DB1EMG1</v>
      </c>
      <c r="B4583" s="12" t="s">
        <v>16055</v>
      </c>
      <c r="C4583" s="12" t="s">
        <v>251</v>
      </c>
      <c r="D4583" s="12" t="s">
        <v>2807</v>
      </c>
      <c r="E4583" s="12" t="s">
        <v>16056</v>
      </c>
      <c r="F4583" s="13">
        <v>45</v>
      </c>
      <c r="G4583" s="12" t="s">
        <v>2814</v>
      </c>
      <c r="H4583" s="12" t="s">
        <v>38</v>
      </c>
      <c r="I4583" s="12" t="s">
        <v>113</v>
      </c>
      <c r="J4583" s="12" t="s">
        <v>529</v>
      </c>
      <c r="K4583" s="12" t="s">
        <v>82</v>
      </c>
      <c r="L4583" s="14"/>
      <c r="M4583" s="12" t="s">
        <v>43</v>
      </c>
      <c r="N4583" s="12" t="s">
        <v>84</v>
      </c>
      <c r="O4583" s="12" t="s">
        <v>16057</v>
      </c>
      <c r="P4583" s="12" t="s">
        <v>46</v>
      </c>
      <c r="Q4583" s="12" t="s">
        <v>47</v>
      </c>
      <c r="R4583" s="12" t="s">
        <v>117</v>
      </c>
      <c r="S4583" s="13">
        <v>197804489176</v>
      </c>
      <c r="T4583" s="12" t="s">
        <v>49</v>
      </c>
      <c r="U4583" s="13">
        <v>36</v>
      </c>
      <c r="V4583" s="12" t="s">
        <v>50</v>
      </c>
      <c r="W4583" s="12" t="s">
        <v>284</v>
      </c>
      <c r="X4583" s="14"/>
      <c r="Y4583" s="14"/>
      <c r="Z4583" s="14"/>
      <c r="AA4583" s="14"/>
      <c r="AB4583" s="14"/>
      <c r="AC4583" s="15">
        <v>45.5</v>
      </c>
      <c r="AD4583" s="15">
        <f>AC4583*AG4583</f>
        <v>45.5</v>
      </c>
      <c r="AE4583" s="15">
        <v>100</v>
      </c>
      <c r="AF4583" s="15">
        <f>AE4583*AG4583</f>
        <v>100</v>
      </c>
      <c r="AG4583" s="16">
        <v>1</v>
      </c>
    </row>
    <row r="4584" spans="1:33" ht="15" customHeight="1" x14ac:dyDescent="0.2">
      <c r="A4584" s="11" t="str">
        <f t="shared" si="1431"/>
        <v>VN000DB1EMG1</v>
      </c>
      <c r="B4584" s="12" t="s">
        <v>16058</v>
      </c>
      <c r="C4584" s="12" t="s">
        <v>251</v>
      </c>
      <c r="D4584" s="12" t="s">
        <v>2807</v>
      </c>
      <c r="E4584" s="12" t="s">
        <v>16059</v>
      </c>
      <c r="F4584" s="13">
        <v>75</v>
      </c>
      <c r="G4584" s="12" t="s">
        <v>2814</v>
      </c>
      <c r="H4584" s="12" t="s">
        <v>38</v>
      </c>
      <c r="I4584" s="12" t="s">
        <v>113</v>
      </c>
      <c r="J4584" s="12" t="s">
        <v>529</v>
      </c>
      <c r="K4584" s="12" t="s">
        <v>82</v>
      </c>
      <c r="L4584" s="14"/>
      <c r="M4584" s="12" t="s">
        <v>43</v>
      </c>
      <c r="N4584" s="12" t="s">
        <v>84</v>
      </c>
      <c r="O4584" s="12" t="s">
        <v>16060</v>
      </c>
      <c r="P4584" s="12" t="s">
        <v>46</v>
      </c>
      <c r="Q4584" s="12" t="s">
        <v>47</v>
      </c>
      <c r="R4584" s="12" t="s">
        <v>117</v>
      </c>
      <c r="S4584" s="13">
        <v>197804490042</v>
      </c>
      <c r="T4584" s="12" t="s">
        <v>49</v>
      </c>
      <c r="U4584" s="13">
        <v>40</v>
      </c>
      <c r="V4584" s="12" t="s">
        <v>50</v>
      </c>
      <c r="W4584" s="12" t="s">
        <v>284</v>
      </c>
      <c r="X4584" s="14"/>
      <c r="Y4584" s="14"/>
      <c r="Z4584" s="14"/>
      <c r="AA4584" s="14"/>
      <c r="AB4584" s="14"/>
      <c r="AC4584" s="15">
        <v>45.5</v>
      </c>
      <c r="AD4584" s="15">
        <f>AC4584*AG4584</f>
        <v>45.5</v>
      </c>
      <c r="AE4584" s="15">
        <v>100</v>
      </c>
      <c r="AF4584" s="15">
        <f>AE4584*AG4584</f>
        <v>100</v>
      </c>
      <c r="AG4584" s="16">
        <v>1</v>
      </c>
    </row>
    <row r="4585" spans="1:33" ht="15" customHeight="1" x14ac:dyDescent="0.2">
      <c r="A4585" s="11" t="str">
        <f t="shared" si="1431"/>
        <v>VN000DB1EMG1</v>
      </c>
      <c r="B4585" s="12" t="s">
        <v>16061</v>
      </c>
      <c r="C4585" s="12" t="s">
        <v>251</v>
      </c>
      <c r="D4585" s="12" t="s">
        <v>2807</v>
      </c>
      <c r="E4585" s="12" t="s">
        <v>16062</v>
      </c>
      <c r="F4585" s="13">
        <v>85</v>
      </c>
      <c r="G4585" s="12" t="s">
        <v>2814</v>
      </c>
      <c r="H4585" s="12" t="s">
        <v>38</v>
      </c>
      <c r="I4585" s="12" t="s">
        <v>113</v>
      </c>
      <c r="J4585" s="12" t="s">
        <v>529</v>
      </c>
      <c r="K4585" s="12" t="s">
        <v>82</v>
      </c>
      <c r="L4585" s="14"/>
      <c r="M4585" s="12" t="s">
        <v>43</v>
      </c>
      <c r="N4585" s="12" t="s">
        <v>84</v>
      </c>
      <c r="O4585" s="12" t="s">
        <v>16063</v>
      </c>
      <c r="P4585" s="12" t="s">
        <v>46</v>
      </c>
      <c r="Q4585" s="12" t="s">
        <v>47</v>
      </c>
      <c r="R4585" s="12" t="s">
        <v>117</v>
      </c>
      <c r="S4585" s="13">
        <v>197804490431</v>
      </c>
      <c r="T4585" s="12" t="s">
        <v>49</v>
      </c>
      <c r="U4585" s="13">
        <v>41</v>
      </c>
      <c r="V4585" s="12" t="s">
        <v>50</v>
      </c>
      <c r="W4585" s="12" t="s">
        <v>284</v>
      </c>
      <c r="X4585" s="14"/>
      <c r="Y4585" s="14"/>
      <c r="Z4585" s="14"/>
      <c r="AA4585" s="14"/>
      <c r="AB4585" s="14"/>
      <c r="AC4585" s="15">
        <v>45.5</v>
      </c>
      <c r="AD4585" s="15">
        <f>AC4585*AG4585</f>
        <v>45.5</v>
      </c>
      <c r="AE4585" s="15">
        <v>100</v>
      </c>
      <c r="AF4585" s="15">
        <f>AE4585*AG4585</f>
        <v>100</v>
      </c>
      <c r="AG4585" s="16">
        <v>1</v>
      </c>
    </row>
    <row r="4586" spans="1:33" ht="15" customHeight="1" x14ac:dyDescent="0.2">
      <c r="A4586" s="11" t="str">
        <f>HYPERLINK("https://assets.vans.eu/images/VN000DB34VT-HERO/1","VN000DB34VT1")</f>
        <v>VN000DB34VT1</v>
      </c>
      <c r="B4586" s="12" t="s">
        <v>16064</v>
      </c>
      <c r="C4586" s="12" t="s">
        <v>34</v>
      </c>
      <c r="D4586" s="12" t="s">
        <v>5807</v>
      </c>
      <c r="E4586" s="12" t="s">
        <v>16065</v>
      </c>
      <c r="F4586" s="13">
        <v>70</v>
      </c>
      <c r="G4586" s="14"/>
      <c r="H4586" s="12" t="s">
        <v>38</v>
      </c>
      <c r="I4586" s="12" t="s">
        <v>159</v>
      </c>
      <c r="J4586" s="12" t="s">
        <v>160</v>
      </c>
      <c r="K4586" s="12" t="s">
        <v>82</v>
      </c>
      <c r="L4586" s="12" t="s">
        <v>260</v>
      </c>
      <c r="M4586" s="12" t="s">
        <v>43</v>
      </c>
      <c r="N4586" s="12" t="s">
        <v>84</v>
      </c>
      <c r="O4586" s="12" t="s">
        <v>16066</v>
      </c>
      <c r="P4586" s="12" t="s">
        <v>46</v>
      </c>
      <c r="Q4586" s="12" t="s">
        <v>47</v>
      </c>
      <c r="R4586" s="12" t="s">
        <v>163</v>
      </c>
      <c r="S4586" s="13">
        <v>197804838561</v>
      </c>
      <c r="T4586" s="12" t="s">
        <v>164</v>
      </c>
      <c r="U4586" s="13">
        <v>39</v>
      </c>
      <c r="V4586" s="12" t="s">
        <v>50</v>
      </c>
      <c r="W4586" s="12" t="s">
        <v>51</v>
      </c>
      <c r="X4586" s="14"/>
      <c r="Y4586" s="14"/>
      <c r="Z4586" s="14"/>
      <c r="AA4586" s="14"/>
      <c r="AB4586" s="14"/>
      <c r="AC4586" s="15">
        <v>43.2</v>
      </c>
      <c r="AD4586" s="15">
        <f>AC4586*AG4586</f>
        <v>43.2</v>
      </c>
      <c r="AE4586" s="15">
        <v>95</v>
      </c>
      <c r="AF4586" s="15">
        <f>AE4586*AG4586</f>
        <v>95</v>
      </c>
      <c r="AG4586" s="16">
        <v>1</v>
      </c>
    </row>
    <row r="4587" spans="1:33" ht="15" customHeight="1" x14ac:dyDescent="0.2">
      <c r="A4587" s="11" t="str">
        <f t="shared" si="821"/>
        <v>VN000DB3D3X1</v>
      </c>
      <c r="B4587" s="12" t="s">
        <v>16067</v>
      </c>
      <c r="C4587" s="12" t="s">
        <v>34</v>
      </c>
      <c r="D4587" s="12" t="s">
        <v>668</v>
      </c>
      <c r="E4587" s="12" t="s">
        <v>16068</v>
      </c>
      <c r="F4587" s="13">
        <v>130</v>
      </c>
      <c r="G4587" s="14"/>
      <c r="H4587" s="12" t="s">
        <v>38</v>
      </c>
      <c r="I4587" s="12" t="s">
        <v>113</v>
      </c>
      <c r="J4587" s="12" t="s">
        <v>114</v>
      </c>
      <c r="K4587" s="12" t="s">
        <v>82</v>
      </c>
      <c r="L4587" s="14"/>
      <c r="M4587" s="12" t="s">
        <v>43</v>
      </c>
      <c r="N4587" s="12" t="s">
        <v>84</v>
      </c>
      <c r="O4587" s="12" t="s">
        <v>16069</v>
      </c>
      <c r="P4587" s="12" t="s">
        <v>46</v>
      </c>
      <c r="Q4587" s="12" t="s">
        <v>47</v>
      </c>
      <c r="R4587" s="12" t="s">
        <v>117</v>
      </c>
      <c r="S4587" s="13">
        <v>197804562794</v>
      </c>
      <c r="T4587" s="12" t="s">
        <v>49</v>
      </c>
      <c r="U4587" s="13">
        <v>47</v>
      </c>
      <c r="V4587" s="12" t="s">
        <v>50</v>
      </c>
      <c r="W4587" s="12" t="s">
        <v>299</v>
      </c>
      <c r="X4587" s="14"/>
      <c r="Y4587" s="14"/>
      <c r="Z4587" s="14"/>
      <c r="AA4587" s="14"/>
      <c r="AB4587" s="14"/>
      <c r="AC4587" s="15">
        <v>40.950000000000003</v>
      </c>
      <c r="AD4587" s="15">
        <f>AC4587*AG4587</f>
        <v>40.950000000000003</v>
      </c>
      <c r="AE4587" s="15">
        <v>90</v>
      </c>
      <c r="AF4587" s="15">
        <f>AE4587*AG4587</f>
        <v>90</v>
      </c>
      <c r="AG4587" s="16">
        <v>1</v>
      </c>
    </row>
    <row r="4588" spans="1:33" ht="15" customHeight="1" x14ac:dyDescent="0.2">
      <c r="A4588" s="11" t="str">
        <f t="shared" si="643"/>
        <v>VN000DB3Y231</v>
      </c>
      <c r="B4588" s="12" t="s">
        <v>16070</v>
      </c>
      <c r="C4588" s="12" t="s">
        <v>34</v>
      </c>
      <c r="D4588" s="12" t="s">
        <v>1312</v>
      </c>
      <c r="E4588" s="12" t="s">
        <v>16071</v>
      </c>
      <c r="F4588" s="13">
        <v>50</v>
      </c>
      <c r="G4588" s="14"/>
      <c r="H4588" s="12" t="s">
        <v>38</v>
      </c>
      <c r="I4588" s="12" t="s">
        <v>159</v>
      </c>
      <c r="J4588" s="12" t="s">
        <v>160</v>
      </c>
      <c r="K4588" s="12" t="s">
        <v>82</v>
      </c>
      <c r="L4588" s="12" t="s">
        <v>260</v>
      </c>
      <c r="M4588" s="12" t="s">
        <v>43</v>
      </c>
      <c r="N4588" s="12" t="s">
        <v>84</v>
      </c>
      <c r="O4588" s="12" t="s">
        <v>16072</v>
      </c>
      <c r="P4588" s="12" t="s">
        <v>46</v>
      </c>
      <c r="Q4588" s="12" t="s">
        <v>47</v>
      </c>
      <c r="R4588" s="12" t="s">
        <v>163</v>
      </c>
      <c r="S4588" s="13">
        <v>197804590285</v>
      </c>
      <c r="T4588" s="12" t="s">
        <v>49</v>
      </c>
      <c r="U4588" s="13">
        <v>36.5</v>
      </c>
      <c r="V4588" s="12" t="s">
        <v>50</v>
      </c>
      <c r="W4588" s="12" t="s">
        <v>51</v>
      </c>
      <c r="X4588" s="14"/>
      <c r="Y4588" s="14"/>
      <c r="Z4588" s="14"/>
      <c r="AA4588" s="14"/>
      <c r="AB4588" s="14"/>
      <c r="AC4588" s="15">
        <v>40.950000000000003</v>
      </c>
      <c r="AD4588" s="15">
        <f>AC4588*AG4588</f>
        <v>40.950000000000003</v>
      </c>
      <c r="AE4588" s="15">
        <v>90</v>
      </c>
      <c r="AF4588" s="15">
        <f>AE4588*AG4588</f>
        <v>90</v>
      </c>
      <c r="AG4588" s="16">
        <v>1</v>
      </c>
    </row>
    <row r="4589" spans="1:33" ht="15" customHeight="1" x14ac:dyDescent="0.2">
      <c r="A4589" s="11" t="str">
        <f>HYPERLINK("https://assets.vans.eu/images/VN000DB3Y23-HERO/1","VN000DB3Y231")</f>
        <v>VN000DB3Y231</v>
      </c>
      <c r="B4589" s="12" t="s">
        <v>16073</v>
      </c>
      <c r="C4589" s="12" t="s">
        <v>34</v>
      </c>
      <c r="D4589" s="12" t="s">
        <v>1312</v>
      </c>
      <c r="E4589" s="12" t="s">
        <v>16074</v>
      </c>
      <c r="F4589" s="13">
        <v>65</v>
      </c>
      <c r="G4589" s="14"/>
      <c r="H4589" s="12" t="s">
        <v>38</v>
      </c>
      <c r="I4589" s="12" t="s">
        <v>159</v>
      </c>
      <c r="J4589" s="12" t="s">
        <v>160</v>
      </c>
      <c r="K4589" s="12" t="s">
        <v>82</v>
      </c>
      <c r="L4589" s="12" t="s">
        <v>260</v>
      </c>
      <c r="M4589" s="12" t="s">
        <v>43</v>
      </c>
      <c r="N4589" s="12" t="s">
        <v>84</v>
      </c>
      <c r="O4589" s="12" t="s">
        <v>16075</v>
      </c>
      <c r="P4589" s="12" t="s">
        <v>46</v>
      </c>
      <c r="Q4589" s="12" t="s">
        <v>47</v>
      </c>
      <c r="R4589" s="12" t="s">
        <v>163</v>
      </c>
      <c r="S4589" s="13">
        <v>197804590476</v>
      </c>
      <c r="T4589" s="12" t="s">
        <v>49</v>
      </c>
      <c r="U4589" s="13">
        <v>38.5</v>
      </c>
      <c r="V4589" s="12" t="s">
        <v>50</v>
      </c>
      <c r="W4589" s="12" t="s">
        <v>51</v>
      </c>
      <c r="X4589" s="14"/>
      <c r="Y4589" s="14"/>
      <c r="Z4589" s="14"/>
      <c r="AA4589" s="14"/>
      <c r="AB4589" s="14"/>
      <c r="AC4589" s="15">
        <v>40.950000000000003</v>
      </c>
      <c r="AD4589" s="15">
        <f>AC4589*AG4589</f>
        <v>40.950000000000003</v>
      </c>
      <c r="AE4589" s="15">
        <v>90</v>
      </c>
      <c r="AF4589" s="15">
        <f>AE4589*AG4589</f>
        <v>90</v>
      </c>
      <c r="AG4589" s="16">
        <v>1</v>
      </c>
    </row>
    <row r="4590" spans="1:33" ht="15" customHeight="1" x14ac:dyDescent="0.2">
      <c r="A4590" s="11" t="str">
        <f>HYPERLINK("https://assets.vans.eu/images/VN000DB3ZX7-HERO/1","VN000DB3ZX71")</f>
        <v>VN000DB3ZX71</v>
      </c>
      <c r="B4590" s="12" t="s">
        <v>16076</v>
      </c>
      <c r="C4590" s="12" t="s">
        <v>34</v>
      </c>
      <c r="D4590" s="12" t="s">
        <v>3458</v>
      </c>
      <c r="E4590" s="12" t="s">
        <v>16077</v>
      </c>
      <c r="F4590" s="13">
        <v>55</v>
      </c>
      <c r="G4590" s="12" t="s">
        <v>2273</v>
      </c>
      <c r="H4590" s="12" t="s">
        <v>38</v>
      </c>
      <c r="I4590" s="12" t="s">
        <v>113</v>
      </c>
      <c r="J4590" s="12" t="s">
        <v>114</v>
      </c>
      <c r="K4590" s="12" t="s">
        <v>82</v>
      </c>
      <c r="L4590" s="14"/>
      <c r="M4590" s="12" t="s">
        <v>43</v>
      </c>
      <c r="N4590" s="12" t="s">
        <v>84</v>
      </c>
      <c r="O4590" s="12" t="s">
        <v>16078</v>
      </c>
      <c r="P4590" s="12" t="s">
        <v>46</v>
      </c>
      <c r="Q4590" s="12" t="s">
        <v>47</v>
      </c>
      <c r="R4590" s="12" t="s">
        <v>117</v>
      </c>
      <c r="S4590" s="13">
        <v>197804561698</v>
      </c>
      <c r="T4590" s="12" t="s">
        <v>105</v>
      </c>
      <c r="U4590" s="13">
        <v>37</v>
      </c>
      <c r="V4590" s="12" t="s">
        <v>50</v>
      </c>
      <c r="W4590" s="12" t="s">
        <v>625</v>
      </c>
      <c r="X4590" s="14"/>
      <c r="Y4590" s="14"/>
      <c r="Z4590" s="14"/>
      <c r="AA4590" s="14"/>
      <c r="AB4590" s="14"/>
      <c r="AC4590" s="15">
        <v>40.950000000000003</v>
      </c>
      <c r="AD4590" s="15">
        <f>AC4590*AG4590</f>
        <v>40.950000000000003</v>
      </c>
      <c r="AE4590" s="15">
        <v>90</v>
      </c>
      <c r="AF4590" s="15">
        <f>AE4590*AG4590</f>
        <v>90</v>
      </c>
      <c r="AG4590" s="16">
        <v>1</v>
      </c>
    </row>
    <row r="4591" spans="1:33" ht="15" customHeight="1" x14ac:dyDescent="0.2">
      <c r="A4591" s="11" t="str">
        <f>HYPERLINK("https://assets.vans.eu/images/VN000DC6BRO-HERO/1","VN000DC6BRO1")</f>
        <v>VN000DC6BRO1</v>
      </c>
      <c r="B4591" s="12" t="s">
        <v>16079</v>
      </c>
      <c r="C4591" s="12" t="s">
        <v>16080</v>
      </c>
      <c r="D4591" s="12" t="s">
        <v>1471</v>
      </c>
      <c r="E4591" s="12" t="s">
        <v>16081</v>
      </c>
      <c r="F4591" s="13">
        <v>90</v>
      </c>
      <c r="G4591" s="14"/>
      <c r="H4591" s="12" t="s">
        <v>38</v>
      </c>
      <c r="I4591" s="12" t="s">
        <v>159</v>
      </c>
      <c r="J4591" s="12" t="s">
        <v>160</v>
      </c>
      <c r="K4591" s="12" t="s">
        <v>82</v>
      </c>
      <c r="L4591" s="14"/>
      <c r="M4591" s="12" t="s">
        <v>43</v>
      </c>
      <c r="N4591" s="12" t="s">
        <v>84</v>
      </c>
      <c r="O4591" s="12" t="s">
        <v>16082</v>
      </c>
      <c r="P4591" s="12" t="s">
        <v>46</v>
      </c>
      <c r="Q4591" s="12" t="s">
        <v>47</v>
      </c>
      <c r="R4591" s="12" t="s">
        <v>163</v>
      </c>
      <c r="S4591" s="13">
        <v>197804498055</v>
      </c>
      <c r="T4591" s="12" t="s">
        <v>49</v>
      </c>
      <c r="U4591" s="13">
        <v>42</v>
      </c>
      <c r="V4591" s="12" t="s">
        <v>50</v>
      </c>
      <c r="W4591" s="12" t="s">
        <v>186</v>
      </c>
      <c r="X4591" s="14"/>
      <c r="Y4591" s="14"/>
      <c r="Z4591" s="14"/>
      <c r="AA4591" s="14"/>
      <c r="AB4591" s="14"/>
      <c r="AC4591" s="15">
        <v>50</v>
      </c>
      <c r="AD4591" s="15">
        <f>AC4591*AG4591</f>
        <v>50</v>
      </c>
      <c r="AE4591" s="15">
        <v>110</v>
      </c>
      <c r="AF4591" s="15">
        <f>AE4591*AG4591</f>
        <v>110</v>
      </c>
      <c r="AG4591" s="16">
        <v>1</v>
      </c>
    </row>
    <row r="4592" spans="1:33" ht="15" customHeight="1" x14ac:dyDescent="0.2">
      <c r="A4592" s="11" t="str">
        <f t="shared" si="1115"/>
        <v>VN000DCBYJ71</v>
      </c>
      <c r="B4592" s="12" t="s">
        <v>16083</v>
      </c>
      <c r="C4592" s="12" t="s">
        <v>5984</v>
      </c>
      <c r="D4592" s="12" t="s">
        <v>1300</v>
      </c>
      <c r="E4592" s="12" t="s">
        <v>16084</v>
      </c>
      <c r="F4592" s="13">
        <v>105</v>
      </c>
      <c r="G4592" s="12" t="s">
        <v>953</v>
      </c>
      <c r="H4592" s="12" t="s">
        <v>38</v>
      </c>
      <c r="I4592" s="12" t="s">
        <v>159</v>
      </c>
      <c r="J4592" s="12" t="s">
        <v>160</v>
      </c>
      <c r="K4592" s="12" t="s">
        <v>82</v>
      </c>
      <c r="L4592" s="14"/>
      <c r="M4592" s="12" t="s">
        <v>43</v>
      </c>
      <c r="N4592" s="12" t="s">
        <v>84</v>
      </c>
      <c r="O4592" s="12" t="s">
        <v>16085</v>
      </c>
      <c r="P4592" s="12" t="s">
        <v>46</v>
      </c>
      <c r="Q4592" s="12" t="s">
        <v>47</v>
      </c>
      <c r="R4592" s="12" t="s">
        <v>1660</v>
      </c>
      <c r="S4592" s="13">
        <v>197804564620</v>
      </c>
      <c r="T4592" s="12" t="s">
        <v>49</v>
      </c>
      <c r="U4592" s="13">
        <v>44</v>
      </c>
      <c r="V4592" s="12" t="s">
        <v>50</v>
      </c>
      <c r="W4592" s="12" t="s">
        <v>51</v>
      </c>
      <c r="X4592" s="14"/>
      <c r="Y4592" s="14"/>
      <c r="Z4592" s="14"/>
      <c r="AA4592" s="14"/>
      <c r="AB4592" s="14"/>
      <c r="AC4592" s="15">
        <v>63.65</v>
      </c>
      <c r="AD4592" s="15">
        <f>AC4592*AG4592</f>
        <v>63.65</v>
      </c>
      <c r="AE4592" s="15">
        <v>140</v>
      </c>
      <c r="AF4592" s="15">
        <f>AE4592*AG4592</f>
        <v>140</v>
      </c>
      <c r="AG4592" s="16">
        <v>1</v>
      </c>
    </row>
    <row r="4593" spans="1:33" ht="15" customHeight="1" x14ac:dyDescent="0.2">
      <c r="A4593" s="11" t="str">
        <f t="shared" ref="A4593:A4594" si="1432">HYPERLINK("https://assets.vans.eu/images/VN000DCBYJ7-HERO/1","VN000DCBYJ71")</f>
        <v>VN000DCBYJ71</v>
      </c>
      <c r="B4593" s="12" t="s">
        <v>16086</v>
      </c>
      <c r="C4593" s="12" t="s">
        <v>5984</v>
      </c>
      <c r="D4593" s="12" t="s">
        <v>1300</v>
      </c>
      <c r="E4593" s="12" t="s">
        <v>16087</v>
      </c>
      <c r="F4593" s="13">
        <v>110</v>
      </c>
      <c r="G4593" s="12" t="s">
        <v>953</v>
      </c>
      <c r="H4593" s="12" t="s">
        <v>38</v>
      </c>
      <c r="I4593" s="12" t="s">
        <v>159</v>
      </c>
      <c r="J4593" s="12" t="s">
        <v>160</v>
      </c>
      <c r="K4593" s="12" t="s">
        <v>82</v>
      </c>
      <c r="L4593" s="14"/>
      <c r="M4593" s="12" t="s">
        <v>43</v>
      </c>
      <c r="N4593" s="12" t="s">
        <v>84</v>
      </c>
      <c r="O4593" s="12" t="s">
        <v>16088</v>
      </c>
      <c r="P4593" s="12" t="s">
        <v>46</v>
      </c>
      <c r="Q4593" s="12" t="s">
        <v>47</v>
      </c>
      <c r="R4593" s="12" t="s">
        <v>1660</v>
      </c>
      <c r="S4593" s="13">
        <v>197804564736</v>
      </c>
      <c r="T4593" s="12" t="s">
        <v>49</v>
      </c>
      <c r="U4593" s="13">
        <v>44.5</v>
      </c>
      <c r="V4593" s="12" t="s">
        <v>50</v>
      </c>
      <c r="W4593" s="12" t="s">
        <v>51</v>
      </c>
      <c r="X4593" s="14"/>
      <c r="Y4593" s="14"/>
      <c r="Z4593" s="14"/>
      <c r="AA4593" s="14"/>
      <c r="AB4593" s="14"/>
      <c r="AC4593" s="15">
        <v>63.65</v>
      </c>
      <c r="AD4593" s="15">
        <f>AC4593*AG4593</f>
        <v>63.65</v>
      </c>
      <c r="AE4593" s="15">
        <v>140</v>
      </c>
      <c r="AF4593" s="15">
        <f>AE4593*AG4593</f>
        <v>140</v>
      </c>
      <c r="AG4593" s="16">
        <v>1</v>
      </c>
    </row>
    <row r="4594" spans="1:33" ht="15" customHeight="1" x14ac:dyDescent="0.2">
      <c r="A4594" s="11" t="str">
        <f t="shared" si="1432"/>
        <v>VN000DCBYJ71</v>
      </c>
      <c r="B4594" s="12" t="s">
        <v>16089</v>
      </c>
      <c r="C4594" s="12" t="s">
        <v>5984</v>
      </c>
      <c r="D4594" s="12" t="s">
        <v>1300</v>
      </c>
      <c r="E4594" s="12" t="s">
        <v>16090</v>
      </c>
      <c r="F4594" s="13">
        <v>115</v>
      </c>
      <c r="G4594" s="12" t="s">
        <v>953</v>
      </c>
      <c r="H4594" s="12" t="s">
        <v>38</v>
      </c>
      <c r="I4594" s="12" t="s">
        <v>159</v>
      </c>
      <c r="J4594" s="12" t="s">
        <v>160</v>
      </c>
      <c r="K4594" s="12" t="s">
        <v>82</v>
      </c>
      <c r="L4594" s="14"/>
      <c r="M4594" s="12" t="s">
        <v>43</v>
      </c>
      <c r="N4594" s="12" t="s">
        <v>84</v>
      </c>
      <c r="O4594" s="12" t="s">
        <v>16091</v>
      </c>
      <c r="P4594" s="12" t="s">
        <v>46</v>
      </c>
      <c r="Q4594" s="12" t="s">
        <v>47</v>
      </c>
      <c r="R4594" s="12" t="s">
        <v>1660</v>
      </c>
      <c r="S4594" s="13">
        <v>197804564934</v>
      </c>
      <c r="T4594" s="12" t="s">
        <v>49</v>
      </c>
      <c r="U4594" s="13">
        <v>45</v>
      </c>
      <c r="V4594" s="12" t="s">
        <v>50</v>
      </c>
      <c r="W4594" s="12" t="s">
        <v>51</v>
      </c>
      <c r="X4594" s="14"/>
      <c r="Y4594" s="14"/>
      <c r="Z4594" s="14"/>
      <c r="AA4594" s="14"/>
      <c r="AB4594" s="14"/>
      <c r="AC4594" s="15">
        <v>63.65</v>
      </c>
      <c r="AD4594" s="15">
        <f>AC4594*AG4594</f>
        <v>63.65</v>
      </c>
      <c r="AE4594" s="15">
        <v>140</v>
      </c>
      <c r="AF4594" s="15">
        <f>AE4594*AG4594</f>
        <v>140</v>
      </c>
      <c r="AG4594" s="16">
        <v>1</v>
      </c>
    </row>
    <row r="4595" spans="1:33" ht="15" customHeight="1" x14ac:dyDescent="0.2">
      <c r="A4595" s="11" t="str">
        <f t="shared" ref="A4595:A4596" si="1433">HYPERLINK("https://assets.vans.eu/images/VN000DCE2VZ-HERO/1","VN000DCE2VZ1")</f>
        <v>VN000DCE2VZ1</v>
      </c>
      <c r="B4595" s="12" t="s">
        <v>16092</v>
      </c>
      <c r="C4595" s="12" t="s">
        <v>266</v>
      </c>
      <c r="D4595" s="12" t="s">
        <v>5988</v>
      </c>
      <c r="E4595" s="12" t="s">
        <v>16093</v>
      </c>
      <c r="F4595" s="13">
        <v>70</v>
      </c>
      <c r="G4595" s="12" t="s">
        <v>5990</v>
      </c>
      <c r="H4595" s="12" t="s">
        <v>38</v>
      </c>
      <c r="I4595" s="12" t="s">
        <v>113</v>
      </c>
      <c r="J4595" s="12" t="s">
        <v>114</v>
      </c>
      <c r="K4595" s="12" t="s">
        <v>82</v>
      </c>
      <c r="L4595" s="14"/>
      <c r="M4595" s="12" t="s">
        <v>43</v>
      </c>
      <c r="N4595" s="12" t="s">
        <v>84</v>
      </c>
      <c r="O4595" s="12" t="s">
        <v>16094</v>
      </c>
      <c r="P4595" s="12" t="s">
        <v>46</v>
      </c>
      <c r="Q4595" s="12" t="s">
        <v>47</v>
      </c>
      <c r="R4595" s="12" t="s">
        <v>117</v>
      </c>
      <c r="S4595" s="13">
        <v>197804563777</v>
      </c>
      <c r="T4595" s="12" t="s">
        <v>49</v>
      </c>
      <c r="U4595" s="13">
        <v>39</v>
      </c>
      <c r="V4595" s="12" t="s">
        <v>50</v>
      </c>
      <c r="W4595" s="12" t="s">
        <v>175</v>
      </c>
      <c r="X4595" s="14"/>
      <c r="Y4595" s="14"/>
      <c r="Z4595" s="14"/>
      <c r="AA4595" s="14"/>
      <c r="AB4595" s="14"/>
      <c r="AC4595" s="15">
        <v>40.950000000000003</v>
      </c>
      <c r="AD4595" s="15">
        <f>AC4595*AG4595</f>
        <v>40.950000000000003</v>
      </c>
      <c r="AE4595" s="15">
        <v>90</v>
      </c>
      <c r="AF4595" s="15">
        <f>AE4595*AG4595</f>
        <v>90</v>
      </c>
      <c r="AG4595" s="16">
        <v>1</v>
      </c>
    </row>
    <row r="4596" spans="1:33" ht="15" customHeight="1" x14ac:dyDescent="0.2">
      <c r="A4596" s="11" t="str">
        <f t="shared" si="1433"/>
        <v>VN000DCE2VZ1</v>
      </c>
      <c r="B4596" s="12" t="s">
        <v>16095</v>
      </c>
      <c r="C4596" s="12" t="s">
        <v>266</v>
      </c>
      <c r="D4596" s="12" t="s">
        <v>5988</v>
      </c>
      <c r="E4596" s="12" t="s">
        <v>16096</v>
      </c>
      <c r="F4596" s="13">
        <v>80</v>
      </c>
      <c r="G4596" s="12" t="s">
        <v>5990</v>
      </c>
      <c r="H4596" s="12" t="s">
        <v>38</v>
      </c>
      <c r="I4596" s="12" t="s">
        <v>113</v>
      </c>
      <c r="J4596" s="12" t="s">
        <v>114</v>
      </c>
      <c r="K4596" s="12" t="s">
        <v>82</v>
      </c>
      <c r="L4596" s="14"/>
      <c r="M4596" s="12" t="s">
        <v>43</v>
      </c>
      <c r="N4596" s="12" t="s">
        <v>84</v>
      </c>
      <c r="O4596" s="12" t="s">
        <v>16097</v>
      </c>
      <c r="P4596" s="12" t="s">
        <v>46</v>
      </c>
      <c r="Q4596" s="12" t="s">
        <v>47</v>
      </c>
      <c r="R4596" s="12" t="s">
        <v>117</v>
      </c>
      <c r="S4596" s="13">
        <v>197804563968</v>
      </c>
      <c r="T4596" s="12" t="s">
        <v>49</v>
      </c>
      <c r="U4596" s="13">
        <v>40.5</v>
      </c>
      <c r="V4596" s="12" t="s">
        <v>50</v>
      </c>
      <c r="W4596" s="12" t="s">
        <v>175</v>
      </c>
      <c r="X4596" s="14"/>
      <c r="Y4596" s="14"/>
      <c r="Z4596" s="14"/>
      <c r="AA4596" s="14"/>
      <c r="AB4596" s="14"/>
      <c r="AC4596" s="15">
        <v>40.950000000000003</v>
      </c>
      <c r="AD4596" s="15">
        <f>AC4596*AG4596</f>
        <v>40.950000000000003</v>
      </c>
      <c r="AE4596" s="15">
        <v>90</v>
      </c>
      <c r="AF4596" s="15">
        <f>AE4596*AG4596</f>
        <v>90</v>
      </c>
      <c r="AG4596" s="16">
        <v>1</v>
      </c>
    </row>
    <row r="4597" spans="1:33" ht="15" customHeight="1" x14ac:dyDescent="0.2">
      <c r="A4597" s="11" t="str">
        <f t="shared" si="1116"/>
        <v>VN000DCEBRD1</v>
      </c>
      <c r="B4597" s="12" t="s">
        <v>16098</v>
      </c>
      <c r="C4597" s="12" t="s">
        <v>266</v>
      </c>
      <c r="D4597" s="12" t="s">
        <v>590</v>
      </c>
      <c r="E4597" s="12" t="s">
        <v>16099</v>
      </c>
      <c r="F4597" s="13">
        <v>45</v>
      </c>
      <c r="G4597" s="12" t="s">
        <v>5990</v>
      </c>
      <c r="H4597" s="12" t="s">
        <v>38</v>
      </c>
      <c r="I4597" s="12" t="s">
        <v>113</v>
      </c>
      <c r="J4597" s="12" t="s">
        <v>114</v>
      </c>
      <c r="K4597" s="12" t="s">
        <v>82</v>
      </c>
      <c r="L4597" s="14"/>
      <c r="M4597" s="12" t="s">
        <v>43</v>
      </c>
      <c r="N4597" s="12" t="s">
        <v>84</v>
      </c>
      <c r="O4597" s="12" t="s">
        <v>16100</v>
      </c>
      <c r="P4597" s="12" t="s">
        <v>46</v>
      </c>
      <c r="Q4597" s="12" t="s">
        <v>47</v>
      </c>
      <c r="R4597" s="12" t="s">
        <v>117</v>
      </c>
      <c r="S4597" s="13">
        <v>197804563371</v>
      </c>
      <c r="T4597" s="12" t="s">
        <v>49</v>
      </c>
      <c r="U4597" s="13">
        <v>36</v>
      </c>
      <c r="V4597" s="12" t="s">
        <v>50</v>
      </c>
      <c r="W4597" s="12" t="s">
        <v>262</v>
      </c>
      <c r="X4597" s="14"/>
      <c r="Y4597" s="14"/>
      <c r="Z4597" s="14"/>
      <c r="AA4597" s="14"/>
      <c r="AB4597" s="14"/>
      <c r="AC4597" s="15">
        <v>40.950000000000003</v>
      </c>
      <c r="AD4597" s="15">
        <f>AC4597*AG4597</f>
        <v>40.950000000000003</v>
      </c>
      <c r="AE4597" s="15">
        <v>90</v>
      </c>
      <c r="AF4597" s="15">
        <f>AE4597*AG4597</f>
        <v>90</v>
      </c>
      <c r="AG4597" s="16">
        <v>1</v>
      </c>
    </row>
    <row r="4598" spans="1:33" ht="15" customHeight="1" x14ac:dyDescent="0.2">
      <c r="A4598" s="11" t="str">
        <f>HYPERLINK("https://assets.vans.eu/images/VN000DCH0QR-HERO/1","VN000DCH0QR1")</f>
        <v>VN000DCH0QR1</v>
      </c>
      <c r="B4598" s="12" t="s">
        <v>16101</v>
      </c>
      <c r="C4598" s="12" t="s">
        <v>5073</v>
      </c>
      <c r="D4598" s="12" t="s">
        <v>16102</v>
      </c>
      <c r="E4598" s="12" t="s">
        <v>16103</v>
      </c>
      <c r="F4598" s="13">
        <v>35</v>
      </c>
      <c r="G4598" s="12" t="s">
        <v>16104</v>
      </c>
      <c r="H4598" s="12" t="s">
        <v>38</v>
      </c>
      <c r="I4598" s="12" t="s">
        <v>159</v>
      </c>
      <c r="J4598" s="12" t="s">
        <v>160</v>
      </c>
      <c r="K4598" s="12" t="s">
        <v>82</v>
      </c>
      <c r="L4598" s="14"/>
      <c r="M4598" s="12" t="s">
        <v>43</v>
      </c>
      <c r="N4598" s="12" t="s">
        <v>84</v>
      </c>
      <c r="O4598" s="12" t="s">
        <v>16105</v>
      </c>
      <c r="P4598" s="12" t="s">
        <v>46</v>
      </c>
      <c r="Q4598" s="12" t="s">
        <v>47</v>
      </c>
      <c r="R4598" s="12" t="s">
        <v>1660</v>
      </c>
      <c r="S4598" s="13">
        <v>197804563906</v>
      </c>
      <c r="T4598" s="12" t="s">
        <v>105</v>
      </c>
      <c r="U4598" s="13">
        <v>34.5</v>
      </c>
      <c r="V4598" s="12" t="s">
        <v>50</v>
      </c>
      <c r="W4598" s="12" t="s">
        <v>118</v>
      </c>
      <c r="X4598" s="14"/>
      <c r="Y4598" s="14"/>
      <c r="Z4598" s="14"/>
      <c r="AA4598" s="14"/>
      <c r="AB4598" s="14"/>
      <c r="AC4598" s="15">
        <v>47.75</v>
      </c>
      <c r="AD4598" s="15">
        <f>AC4598*AG4598</f>
        <v>47.75</v>
      </c>
      <c r="AE4598" s="15">
        <v>105</v>
      </c>
      <c r="AF4598" s="15">
        <f>AE4598*AG4598</f>
        <v>105</v>
      </c>
      <c r="AG4598" s="16">
        <v>1</v>
      </c>
    </row>
    <row r="4599" spans="1:33" ht="15" customHeight="1" x14ac:dyDescent="0.2">
      <c r="A4599" s="11" t="str">
        <f t="shared" ref="A4599:A4600" si="1434">HYPERLINK("https://assets.vans.eu/images/VN000DCHB9M-HERO/1","VN000DCHB9M1")</f>
        <v>VN000DCHB9M1</v>
      </c>
      <c r="B4599" s="12" t="s">
        <v>16106</v>
      </c>
      <c r="C4599" s="12" t="s">
        <v>5073</v>
      </c>
      <c r="D4599" s="12" t="s">
        <v>339</v>
      </c>
      <c r="E4599" s="12" t="s">
        <v>16107</v>
      </c>
      <c r="F4599" s="13">
        <v>35</v>
      </c>
      <c r="G4599" s="12" t="s">
        <v>16104</v>
      </c>
      <c r="H4599" s="12" t="s">
        <v>38</v>
      </c>
      <c r="I4599" s="12" t="s">
        <v>159</v>
      </c>
      <c r="J4599" s="12" t="s">
        <v>160</v>
      </c>
      <c r="K4599" s="12" t="s">
        <v>82</v>
      </c>
      <c r="L4599" s="14"/>
      <c r="M4599" s="12" t="s">
        <v>43</v>
      </c>
      <c r="N4599" s="12" t="s">
        <v>84</v>
      </c>
      <c r="O4599" s="12" t="s">
        <v>16108</v>
      </c>
      <c r="P4599" s="12" t="s">
        <v>46</v>
      </c>
      <c r="Q4599" s="12" t="s">
        <v>47</v>
      </c>
      <c r="R4599" s="12" t="s">
        <v>1660</v>
      </c>
      <c r="S4599" s="13">
        <v>197804564002</v>
      </c>
      <c r="T4599" s="12" t="s">
        <v>105</v>
      </c>
      <c r="U4599" s="13">
        <v>34.5</v>
      </c>
      <c r="V4599" s="12" t="s">
        <v>50</v>
      </c>
      <c r="W4599" s="12" t="s">
        <v>51</v>
      </c>
      <c r="X4599" s="14"/>
      <c r="Y4599" s="14"/>
      <c r="Z4599" s="14"/>
      <c r="AA4599" s="14"/>
      <c r="AB4599" s="14"/>
      <c r="AC4599" s="15">
        <v>47.75</v>
      </c>
      <c r="AD4599" s="15">
        <f>AC4599*AG4599</f>
        <v>47.75</v>
      </c>
      <c r="AE4599" s="15">
        <v>105</v>
      </c>
      <c r="AF4599" s="15">
        <f>AE4599*AG4599</f>
        <v>105</v>
      </c>
      <c r="AG4599" s="16">
        <v>1</v>
      </c>
    </row>
    <row r="4600" spans="1:33" ht="15" customHeight="1" x14ac:dyDescent="0.2">
      <c r="A4600" s="11" t="str">
        <f t="shared" si="1434"/>
        <v>VN000DCHB9M1</v>
      </c>
      <c r="B4600" s="12" t="s">
        <v>16109</v>
      </c>
      <c r="C4600" s="12" t="s">
        <v>5073</v>
      </c>
      <c r="D4600" s="12" t="s">
        <v>339</v>
      </c>
      <c r="E4600" s="12" t="s">
        <v>16110</v>
      </c>
      <c r="F4600" s="13">
        <v>50</v>
      </c>
      <c r="G4600" s="12" t="s">
        <v>16104</v>
      </c>
      <c r="H4600" s="12" t="s">
        <v>38</v>
      </c>
      <c r="I4600" s="12" t="s">
        <v>159</v>
      </c>
      <c r="J4600" s="12" t="s">
        <v>160</v>
      </c>
      <c r="K4600" s="12" t="s">
        <v>82</v>
      </c>
      <c r="L4600" s="14"/>
      <c r="M4600" s="12" t="s">
        <v>43</v>
      </c>
      <c r="N4600" s="12" t="s">
        <v>84</v>
      </c>
      <c r="O4600" s="12" t="s">
        <v>16111</v>
      </c>
      <c r="P4600" s="12" t="s">
        <v>46</v>
      </c>
      <c r="Q4600" s="12" t="s">
        <v>47</v>
      </c>
      <c r="R4600" s="12" t="s">
        <v>1660</v>
      </c>
      <c r="S4600" s="13">
        <v>197804564248</v>
      </c>
      <c r="T4600" s="12" t="s">
        <v>105</v>
      </c>
      <c r="U4600" s="13">
        <v>36.5</v>
      </c>
      <c r="V4600" s="12" t="s">
        <v>50</v>
      </c>
      <c r="W4600" s="12" t="s">
        <v>51</v>
      </c>
      <c r="X4600" s="14"/>
      <c r="Y4600" s="14"/>
      <c r="Z4600" s="14"/>
      <c r="AA4600" s="14"/>
      <c r="AB4600" s="14"/>
      <c r="AC4600" s="15">
        <v>47.75</v>
      </c>
      <c r="AD4600" s="15">
        <f>AC4600*AG4600</f>
        <v>47.75</v>
      </c>
      <c r="AE4600" s="15">
        <v>105</v>
      </c>
      <c r="AF4600" s="15">
        <f>AE4600*AG4600</f>
        <v>105</v>
      </c>
      <c r="AG4600" s="16">
        <v>1</v>
      </c>
    </row>
    <row r="4601" spans="1:33" ht="15" customHeight="1" x14ac:dyDescent="0.2">
      <c r="A4601" s="11" t="str">
        <f>HYPERLINK("https://assets.vans.eu/images/VN000DCJGRN-HERO/1","VN000DCJGRN1")</f>
        <v>VN000DCJGRN1</v>
      </c>
      <c r="B4601" s="12" t="s">
        <v>16112</v>
      </c>
      <c r="C4601" s="12" t="s">
        <v>2427</v>
      </c>
      <c r="D4601" s="12" t="s">
        <v>2428</v>
      </c>
      <c r="E4601" s="12" t="s">
        <v>16113</v>
      </c>
      <c r="F4601" s="13">
        <v>20</v>
      </c>
      <c r="G4601" s="14"/>
      <c r="H4601" s="12" t="s">
        <v>38</v>
      </c>
      <c r="I4601" s="12" t="s">
        <v>39</v>
      </c>
      <c r="J4601" s="12" t="s">
        <v>2430</v>
      </c>
      <c r="K4601" s="12" t="s">
        <v>373</v>
      </c>
      <c r="L4601" s="14"/>
      <c r="M4601" s="12" t="s">
        <v>43</v>
      </c>
      <c r="N4601" s="12" t="s">
        <v>84</v>
      </c>
      <c r="O4601" s="12" t="s">
        <v>16114</v>
      </c>
      <c r="P4601" s="12" t="s">
        <v>46</v>
      </c>
      <c r="Q4601" s="12" t="s">
        <v>2432</v>
      </c>
      <c r="R4601" s="12" t="s">
        <v>2433</v>
      </c>
      <c r="S4601" s="13">
        <v>197804564170</v>
      </c>
      <c r="T4601" s="12" t="s">
        <v>49</v>
      </c>
      <c r="U4601" s="13">
        <v>32.5</v>
      </c>
      <c r="V4601" s="12" t="s">
        <v>50</v>
      </c>
      <c r="W4601" s="12" t="s">
        <v>118</v>
      </c>
      <c r="X4601" s="14"/>
      <c r="Y4601" s="14"/>
      <c r="Z4601" s="14"/>
      <c r="AA4601" s="14"/>
      <c r="AB4601" s="14"/>
      <c r="AC4601" s="15">
        <v>31.85</v>
      </c>
      <c r="AD4601" s="15">
        <f>AC4601*AG4601</f>
        <v>31.85</v>
      </c>
      <c r="AE4601" s="15">
        <v>70</v>
      </c>
      <c r="AF4601" s="15">
        <f>AE4601*AG4601</f>
        <v>70</v>
      </c>
      <c r="AG4601" s="16">
        <v>1</v>
      </c>
    </row>
    <row r="4602" spans="1:33" ht="15" customHeight="1" x14ac:dyDescent="0.2">
      <c r="A4602" s="11" t="str">
        <f>HYPERLINK("https://assets.vans.eu/images/VN000E7UTC4-HERO/1","VN000E7UTC41")</f>
        <v>VN000E7UTC41</v>
      </c>
      <c r="B4602" s="12" t="s">
        <v>16115</v>
      </c>
      <c r="C4602" s="12" t="s">
        <v>1614</v>
      </c>
      <c r="D4602" s="12" t="s">
        <v>3291</v>
      </c>
      <c r="E4602" s="12" t="s">
        <v>16116</v>
      </c>
      <c r="F4602" s="13">
        <v>110</v>
      </c>
      <c r="G4602" s="14"/>
      <c r="H4602" s="12" t="s">
        <v>38</v>
      </c>
      <c r="I4602" s="12" t="s">
        <v>159</v>
      </c>
      <c r="J4602" s="12" t="s">
        <v>255</v>
      </c>
      <c r="K4602" s="12" t="s">
        <v>82</v>
      </c>
      <c r="L4602" s="12" t="s">
        <v>115</v>
      </c>
      <c r="M4602" s="12" t="s">
        <v>43</v>
      </c>
      <c r="N4602" s="12" t="s">
        <v>84</v>
      </c>
      <c r="O4602" s="12" t="s">
        <v>16117</v>
      </c>
      <c r="P4602" s="12" t="s">
        <v>46</v>
      </c>
      <c r="Q4602" s="12" t="s">
        <v>47</v>
      </c>
      <c r="R4602" s="12" t="s">
        <v>163</v>
      </c>
      <c r="S4602" s="13">
        <v>197805905415</v>
      </c>
      <c r="T4602" s="12" t="s">
        <v>49</v>
      </c>
      <c r="U4602" s="13">
        <v>44.5</v>
      </c>
      <c r="V4602" s="12" t="s">
        <v>50</v>
      </c>
      <c r="W4602" s="12" t="s">
        <v>455</v>
      </c>
      <c r="X4602" s="14"/>
      <c r="Y4602" s="14"/>
      <c r="Z4602" s="14"/>
      <c r="AA4602" s="14"/>
      <c r="AB4602" s="14"/>
      <c r="AC4602" s="15">
        <v>52.3</v>
      </c>
      <c r="AD4602" s="15">
        <f>AC4602*AG4602</f>
        <v>52.3</v>
      </c>
      <c r="AE4602" s="15">
        <v>115</v>
      </c>
      <c r="AF4602" s="15">
        <f>AE4602*AG4602</f>
        <v>115</v>
      </c>
      <c r="AG4602" s="16">
        <v>1</v>
      </c>
    </row>
    <row r="4603" spans="1:33" ht="15" customHeight="1" x14ac:dyDescent="0.2">
      <c r="A4603" s="11" t="str">
        <f t="shared" si="280"/>
        <v>VN000E86BA21</v>
      </c>
      <c r="B4603" s="12" t="s">
        <v>16118</v>
      </c>
      <c r="C4603" s="12" t="s">
        <v>2822</v>
      </c>
      <c r="D4603" s="12" t="s">
        <v>1844</v>
      </c>
      <c r="E4603" s="12" t="s">
        <v>16119</v>
      </c>
      <c r="F4603" s="13">
        <v>100</v>
      </c>
      <c r="G4603" s="12" t="s">
        <v>2437</v>
      </c>
      <c r="H4603" s="12" t="s">
        <v>38</v>
      </c>
      <c r="I4603" s="12" t="s">
        <v>113</v>
      </c>
      <c r="J4603" s="12" t="s">
        <v>114</v>
      </c>
      <c r="K4603" s="12" t="s">
        <v>82</v>
      </c>
      <c r="L4603" s="12" t="s">
        <v>115</v>
      </c>
      <c r="M4603" s="12" t="s">
        <v>43</v>
      </c>
      <c r="N4603" s="12" t="s">
        <v>84</v>
      </c>
      <c r="O4603" s="12" t="s">
        <v>16120</v>
      </c>
      <c r="P4603" s="12" t="s">
        <v>46</v>
      </c>
      <c r="Q4603" s="12" t="s">
        <v>47</v>
      </c>
      <c r="R4603" s="12" t="s">
        <v>117</v>
      </c>
      <c r="S4603" s="13">
        <v>197805860974</v>
      </c>
      <c r="T4603" s="12" t="s">
        <v>49</v>
      </c>
      <c r="U4603" s="13">
        <v>43</v>
      </c>
      <c r="V4603" s="12" t="s">
        <v>209</v>
      </c>
      <c r="W4603" s="12" t="s">
        <v>51</v>
      </c>
      <c r="X4603" s="14"/>
      <c r="Y4603" s="14"/>
      <c r="Z4603" s="14"/>
      <c r="AA4603" s="14"/>
      <c r="AB4603" s="14"/>
      <c r="AC4603" s="15">
        <v>40.950000000000003</v>
      </c>
      <c r="AD4603" s="15">
        <f>AC4603*AG4603</f>
        <v>40.950000000000003</v>
      </c>
      <c r="AE4603" s="15">
        <v>90</v>
      </c>
      <c r="AF4603" s="15">
        <f>AE4603*AG4603</f>
        <v>90</v>
      </c>
      <c r="AG4603" s="16">
        <v>1</v>
      </c>
    </row>
    <row r="4604" spans="1:33" ht="15" customHeight="1" x14ac:dyDescent="0.2">
      <c r="A4604" s="11" t="str">
        <f t="shared" si="233"/>
        <v>VN000E87BA21</v>
      </c>
      <c r="B4604" s="12" t="s">
        <v>16121</v>
      </c>
      <c r="C4604" s="12" t="s">
        <v>2435</v>
      </c>
      <c r="D4604" s="12" t="s">
        <v>1844</v>
      </c>
      <c r="E4604" s="12" t="s">
        <v>16122</v>
      </c>
      <c r="F4604" s="13">
        <v>35</v>
      </c>
      <c r="G4604" s="12" t="s">
        <v>2437</v>
      </c>
      <c r="H4604" s="12" t="s">
        <v>38</v>
      </c>
      <c r="I4604" s="12" t="s">
        <v>113</v>
      </c>
      <c r="J4604" s="12" t="s">
        <v>114</v>
      </c>
      <c r="K4604" s="12" t="s">
        <v>82</v>
      </c>
      <c r="L4604" s="12" t="s">
        <v>115</v>
      </c>
      <c r="M4604" s="12" t="s">
        <v>43</v>
      </c>
      <c r="N4604" s="12" t="s">
        <v>84</v>
      </c>
      <c r="O4604" s="12" t="s">
        <v>16123</v>
      </c>
      <c r="P4604" s="12" t="s">
        <v>46</v>
      </c>
      <c r="Q4604" s="12" t="s">
        <v>47</v>
      </c>
      <c r="R4604" s="12" t="s">
        <v>117</v>
      </c>
      <c r="S4604" s="13">
        <v>197805858476</v>
      </c>
      <c r="T4604" s="12" t="s">
        <v>49</v>
      </c>
      <c r="U4604" s="13">
        <v>34.5</v>
      </c>
      <c r="V4604" s="12" t="s">
        <v>209</v>
      </c>
      <c r="W4604" s="12" t="s">
        <v>51</v>
      </c>
      <c r="X4604" s="14"/>
      <c r="Y4604" s="14"/>
      <c r="Z4604" s="14"/>
      <c r="AA4604" s="14"/>
      <c r="AB4604" s="14"/>
      <c r="AC4604" s="15">
        <v>45.5</v>
      </c>
      <c r="AD4604" s="15">
        <f>AC4604*AG4604</f>
        <v>45.5</v>
      </c>
      <c r="AE4604" s="15">
        <v>100</v>
      </c>
      <c r="AF4604" s="15">
        <f>AE4604*AG4604</f>
        <v>100</v>
      </c>
      <c r="AG4604" s="16">
        <v>1</v>
      </c>
    </row>
    <row r="4605" spans="1:33" ht="15" customHeight="1" x14ac:dyDescent="0.2">
      <c r="A4605" s="11" t="str">
        <f t="shared" si="822"/>
        <v>VN000E897WM1</v>
      </c>
      <c r="B4605" s="12" t="s">
        <v>16124</v>
      </c>
      <c r="C4605" s="12" t="s">
        <v>3611</v>
      </c>
      <c r="D4605" s="12" t="s">
        <v>388</v>
      </c>
      <c r="E4605" s="12" t="s">
        <v>16125</v>
      </c>
      <c r="F4605" s="13">
        <v>50</v>
      </c>
      <c r="G4605" s="12" t="s">
        <v>2814</v>
      </c>
      <c r="H4605" s="12" t="s">
        <v>38</v>
      </c>
      <c r="I4605" s="12" t="s">
        <v>113</v>
      </c>
      <c r="J4605" s="12" t="s">
        <v>529</v>
      </c>
      <c r="K4605" s="12" t="s">
        <v>82</v>
      </c>
      <c r="L4605" s="12" t="s">
        <v>42</v>
      </c>
      <c r="M4605" s="12" t="s">
        <v>43</v>
      </c>
      <c r="N4605" s="12" t="s">
        <v>84</v>
      </c>
      <c r="O4605" s="12" t="s">
        <v>16126</v>
      </c>
      <c r="P4605" s="12" t="s">
        <v>46</v>
      </c>
      <c r="Q4605" s="12" t="s">
        <v>47</v>
      </c>
      <c r="R4605" s="12" t="s">
        <v>117</v>
      </c>
      <c r="S4605" s="13">
        <v>197805859060</v>
      </c>
      <c r="T4605" s="12" t="s">
        <v>49</v>
      </c>
      <c r="U4605" s="13">
        <v>36.5</v>
      </c>
      <c r="V4605" s="12" t="s">
        <v>50</v>
      </c>
      <c r="W4605" s="12" t="s">
        <v>284</v>
      </c>
      <c r="X4605" s="14"/>
      <c r="Y4605" s="14"/>
      <c r="Z4605" s="14"/>
      <c r="AA4605" s="14"/>
      <c r="AB4605" s="14"/>
      <c r="AC4605" s="15">
        <v>45.5</v>
      </c>
      <c r="AD4605" s="15">
        <f>AC4605*AG4605</f>
        <v>45.5</v>
      </c>
      <c r="AE4605" s="15">
        <v>100</v>
      </c>
      <c r="AF4605" s="15">
        <f>AE4605*AG4605</f>
        <v>100</v>
      </c>
      <c r="AG4605" s="16">
        <v>1</v>
      </c>
    </row>
    <row r="4606" spans="1:33" ht="15" customHeight="1" x14ac:dyDescent="0.2">
      <c r="A4606" s="11" t="str">
        <f t="shared" ref="A4606:A4608" si="1435">HYPERLINK("https://assets.vans.eu/images/VN000E89YG4-HERO/1","VN000E89YG41")</f>
        <v>VN000E89YG41</v>
      </c>
      <c r="B4606" s="12" t="s">
        <v>16127</v>
      </c>
      <c r="C4606" s="12" t="s">
        <v>3611</v>
      </c>
      <c r="D4606" s="12" t="s">
        <v>6002</v>
      </c>
      <c r="E4606" s="12" t="s">
        <v>16128</v>
      </c>
      <c r="F4606" s="13">
        <v>35</v>
      </c>
      <c r="G4606" s="12" t="s">
        <v>2814</v>
      </c>
      <c r="H4606" s="12" t="s">
        <v>38</v>
      </c>
      <c r="I4606" s="12" t="s">
        <v>113</v>
      </c>
      <c r="J4606" s="12" t="s">
        <v>529</v>
      </c>
      <c r="K4606" s="12" t="s">
        <v>82</v>
      </c>
      <c r="L4606" s="12" t="s">
        <v>42</v>
      </c>
      <c r="M4606" s="12" t="s">
        <v>43</v>
      </c>
      <c r="N4606" s="12" t="s">
        <v>84</v>
      </c>
      <c r="O4606" s="12" t="s">
        <v>16129</v>
      </c>
      <c r="P4606" s="12" t="s">
        <v>46</v>
      </c>
      <c r="Q4606" s="12" t="s">
        <v>47</v>
      </c>
      <c r="R4606" s="12" t="s">
        <v>117</v>
      </c>
      <c r="S4606" s="13">
        <v>198266542195</v>
      </c>
      <c r="T4606" s="12" t="s">
        <v>49</v>
      </c>
      <c r="U4606" s="13">
        <v>34.5</v>
      </c>
      <c r="V4606" s="12" t="s">
        <v>50</v>
      </c>
      <c r="W4606" s="12" t="s">
        <v>51</v>
      </c>
      <c r="X4606" s="14"/>
      <c r="Y4606" s="14"/>
      <c r="Z4606" s="14"/>
      <c r="AA4606" s="14"/>
      <c r="AB4606" s="14"/>
      <c r="AC4606" s="15">
        <v>45.5</v>
      </c>
      <c r="AD4606" s="15">
        <f>AC4606*AG4606</f>
        <v>45.5</v>
      </c>
      <c r="AE4606" s="15">
        <v>100</v>
      </c>
      <c r="AF4606" s="15">
        <f>AE4606*AG4606</f>
        <v>100</v>
      </c>
      <c r="AG4606" s="16">
        <v>1</v>
      </c>
    </row>
    <row r="4607" spans="1:33" ht="15" customHeight="1" x14ac:dyDescent="0.2">
      <c r="A4607" s="11" t="str">
        <f t="shared" si="1435"/>
        <v>VN000E89YG41</v>
      </c>
      <c r="B4607" s="12" t="s">
        <v>16130</v>
      </c>
      <c r="C4607" s="12" t="s">
        <v>3611</v>
      </c>
      <c r="D4607" s="12" t="s">
        <v>6002</v>
      </c>
      <c r="E4607" s="12" t="s">
        <v>16131</v>
      </c>
      <c r="F4607" s="13">
        <v>60</v>
      </c>
      <c r="G4607" s="12" t="s">
        <v>2814</v>
      </c>
      <c r="H4607" s="12" t="s">
        <v>38</v>
      </c>
      <c r="I4607" s="12" t="s">
        <v>113</v>
      </c>
      <c r="J4607" s="12" t="s">
        <v>529</v>
      </c>
      <c r="K4607" s="12" t="s">
        <v>82</v>
      </c>
      <c r="L4607" s="12" t="s">
        <v>42</v>
      </c>
      <c r="M4607" s="12" t="s">
        <v>43</v>
      </c>
      <c r="N4607" s="12" t="s">
        <v>84</v>
      </c>
      <c r="O4607" s="12" t="s">
        <v>16132</v>
      </c>
      <c r="P4607" s="12" t="s">
        <v>46</v>
      </c>
      <c r="Q4607" s="12" t="s">
        <v>47</v>
      </c>
      <c r="R4607" s="12" t="s">
        <v>117</v>
      </c>
      <c r="S4607" s="13">
        <v>198266543291</v>
      </c>
      <c r="T4607" s="12" t="s">
        <v>49</v>
      </c>
      <c r="U4607" s="13">
        <v>38</v>
      </c>
      <c r="V4607" s="12" t="s">
        <v>50</v>
      </c>
      <c r="W4607" s="12" t="s">
        <v>51</v>
      </c>
      <c r="X4607" s="14"/>
      <c r="Y4607" s="14"/>
      <c r="Z4607" s="14"/>
      <c r="AA4607" s="14"/>
      <c r="AB4607" s="14"/>
      <c r="AC4607" s="15">
        <v>45.5</v>
      </c>
      <c r="AD4607" s="15">
        <f>AC4607*AG4607</f>
        <v>45.5</v>
      </c>
      <c r="AE4607" s="15">
        <v>100</v>
      </c>
      <c r="AF4607" s="15">
        <f>AE4607*AG4607</f>
        <v>100</v>
      </c>
      <c r="AG4607" s="16">
        <v>1</v>
      </c>
    </row>
    <row r="4608" spans="1:33" ht="15" customHeight="1" x14ac:dyDescent="0.2">
      <c r="A4608" s="11" t="str">
        <f t="shared" si="1435"/>
        <v>VN000E89YG41</v>
      </c>
      <c r="B4608" s="12" t="s">
        <v>16133</v>
      </c>
      <c r="C4608" s="12" t="s">
        <v>3611</v>
      </c>
      <c r="D4608" s="12" t="s">
        <v>6002</v>
      </c>
      <c r="E4608" s="12" t="s">
        <v>16134</v>
      </c>
      <c r="F4608" s="13">
        <v>65</v>
      </c>
      <c r="G4608" s="12" t="s">
        <v>2814</v>
      </c>
      <c r="H4608" s="12" t="s">
        <v>38</v>
      </c>
      <c r="I4608" s="12" t="s">
        <v>113</v>
      </c>
      <c r="J4608" s="12" t="s">
        <v>529</v>
      </c>
      <c r="K4608" s="12" t="s">
        <v>82</v>
      </c>
      <c r="L4608" s="12" t="s">
        <v>42</v>
      </c>
      <c r="M4608" s="12" t="s">
        <v>43</v>
      </c>
      <c r="N4608" s="12" t="s">
        <v>84</v>
      </c>
      <c r="O4608" s="12" t="s">
        <v>16135</v>
      </c>
      <c r="P4608" s="12" t="s">
        <v>46</v>
      </c>
      <c r="Q4608" s="12" t="s">
        <v>47</v>
      </c>
      <c r="R4608" s="12" t="s">
        <v>117</v>
      </c>
      <c r="S4608" s="13">
        <v>198266543499</v>
      </c>
      <c r="T4608" s="12" t="s">
        <v>49</v>
      </c>
      <c r="U4608" s="13">
        <v>38.5</v>
      </c>
      <c r="V4608" s="12" t="s">
        <v>50</v>
      </c>
      <c r="W4608" s="12" t="s">
        <v>51</v>
      </c>
      <c r="X4608" s="14"/>
      <c r="Y4608" s="14"/>
      <c r="Z4608" s="14"/>
      <c r="AA4608" s="14"/>
      <c r="AB4608" s="14"/>
      <c r="AC4608" s="15">
        <v>45.5</v>
      </c>
      <c r="AD4608" s="15">
        <f>AC4608*AG4608</f>
        <v>45.5</v>
      </c>
      <c r="AE4608" s="15">
        <v>100</v>
      </c>
      <c r="AF4608" s="15">
        <f>AE4608*AG4608</f>
        <v>100</v>
      </c>
      <c r="AG4608" s="16">
        <v>1</v>
      </c>
    </row>
    <row r="4609" spans="1:33" ht="15" customHeight="1" x14ac:dyDescent="0.2">
      <c r="A4609" s="11" t="str">
        <f t="shared" si="1119"/>
        <v>VN000E8WBGF1</v>
      </c>
      <c r="B4609" s="12" t="s">
        <v>16136</v>
      </c>
      <c r="C4609" s="12" t="s">
        <v>34</v>
      </c>
      <c r="D4609" s="12" t="s">
        <v>4900</v>
      </c>
      <c r="E4609" s="12" t="s">
        <v>16137</v>
      </c>
      <c r="F4609" s="13">
        <v>45</v>
      </c>
      <c r="G4609" s="12" t="s">
        <v>10160</v>
      </c>
      <c r="H4609" s="12" t="s">
        <v>38</v>
      </c>
      <c r="I4609" s="12" t="s">
        <v>113</v>
      </c>
      <c r="J4609" s="12" t="s">
        <v>114</v>
      </c>
      <c r="K4609" s="12" t="s">
        <v>82</v>
      </c>
      <c r="L4609" s="14"/>
      <c r="M4609" s="12" t="s">
        <v>43</v>
      </c>
      <c r="N4609" s="12" t="s">
        <v>84</v>
      </c>
      <c r="O4609" s="12" t="s">
        <v>16138</v>
      </c>
      <c r="P4609" s="12" t="s">
        <v>46</v>
      </c>
      <c r="Q4609" s="12" t="s">
        <v>47</v>
      </c>
      <c r="R4609" s="12" t="s">
        <v>117</v>
      </c>
      <c r="S4609" s="13">
        <v>198266564982</v>
      </c>
      <c r="T4609" s="12" t="s">
        <v>49</v>
      </c>
      <c r="U4609" s="13">
        <v>36</v>
      </c>
      <c r="V4609" s="12" t="s">
        <v>50</v>
      </c>
      <c r="W4609" s="12" t="s">
        <v>455</v>
      </c>
      <c r="X4609" s="14"/>
      <c r="Y4609" s="14"/>
      <c r="Z4609" s="14"/>
      <c r="AA4609" s="14"/>
      <c r="AB4609" s="14"/>
      <c r="AC4609" s="15">
        <v>40.950000000000003</v>
      </c>
      <c r="AD4609" s="15">
        <f>AC4609*AG4609</f>
        <v>40.950000000000003</v>
      </c>
      <c r="AE4609" s="15">
        <v>90</v>
      </c>
      <c r="AF4609" s="15">
        <f>AE4609*AG4609</f>
        <v>90</v>
      </c>
      <c r="AG4609" s="16">
        <v>1</v>
      </c>
    </row>
    <row r="4610" spans="1:33" ht="15" customHeight="1" x14ac:dyDescent="0.2">
      <c r="A4610" s="11" t="str">
        <f t="shared" ref="A4610:A4613" si="1436">HYPERLINK("https://assets.vans.eu/images/VN000E8WBGF-HERO/1","VN000E8WBGF1")</f>
        <v>VN000E8WBGF1</v>
      </c>
      <c r="B4610" s="12" t="s">
        <v>16139</v>
      </c>
      <c r="C4610" s="12" t="s">
        <v>34</v>
      </c>
      <c r="D4610" s="12" t="s">
        <v>4900</v>
      </c>
      <c r="E4610" s="12" t="s">
        <v>16140</v>
      </c>
      <c r="F4610" s="13">
        <v>50</v>
      </c>
      <c r="G4610" s="12" t="s">
        <v>10160</v>
      </c>
      <c r="H4610" s="12" t="s">
        <v>38</v>
      </c>
      <c r="I4610" s="12" t="s">
        <v>113</v>
      </c>
      <c r="J4610" s="12" t="s">
        <v>114</v>
      </c>
      <c r="K4610" s="12" t="s">
        <v>82</v>
      </c>
      <c r="L4610" s="14"/>
      <c r="M4610" s="12" t="s">
        <v>43</v>
      </c>
      <c r="N4610" s="12" t="s">
        <v>84</v>
      </c>
      <c r="O4610" s="12" t="s">
        <v>16141</v>
      </c>
      <c r="P4610" s="12" t="s">
        <v>46</v>
      </c>
      <c r="Q4610" s="12" t="s">
        <v>47</v>
      </c>
      <c r="R4610" s="12" t="s">
        <v>117</v>
      </c>
      <c r="S4610" s="13">
        <v>198266565231</v>
      </c>
      <c r="T4610" s="12" t="s">
        <v>49</v>
      </c>
      <c r="U4610" s="13">
        <v>36.5</v>
      </c>
      <c r="V4610" s="12" t="s">
        <v>50</v>
      </c>
      <c r="W4610" s="12" t="s">
        <v>455</v>
      </c>
      <c r="X4610" s="14"/>
      <c r="Y4610" s="14"/>
      <c r="Z4610" s="14"/>
      <c r="AA4610" s="14"/>
      <c r="AB4610" s="14"/>
      <c r="AC4610" s="15">
        <v>40.950000000000003</v>
      </c>
      <c r="AD4610" s="15">
        <f>AC4610*AG4610</f>
        <v>40.950000000000003</v>
      </c>
      <c r="AE4610" s="15">
        <v>90</v>
      </c>
      <c r="AF4610" s="15">
        <f>AE4610*AG4610</f>
        <v>90</v>
      </c>
      <c r="AG4610" s="16">
        <v>1</v>
      </c>
    </row>
    <row r="4611" spans="1:33" ht="15" customHeight="1" x14ac:dyDescent="0.2">
      <c r="A4611" s="11" t="str">
        <f t="shared" si="1436"/>
        <v>VN000E8WBGF1</v>
      </c>
      <c r="B4611" s="12" t="s">
        <v>16142</v>
      </c>
      <c r="C4611" s="12" t="s">
        <v>34</v>
      </c>
      <c r="D4611" s="12" t="s">
        <v>4900</v>
      </c>
      <c r="E4611" s="12" t="s">
        <v>16143</v>
      </c>
      <c r="F4611" s="13">
        <v>70</v>
      </c>
      <c r="G4611" s="12" t="s">
        <v>10160</v>
      </c>
      <c r="H4611" s="12" t="s">
        <v>38</v>
      </c>
      <c r="I4611" s="12" t="s">
        <v>113</v>
      </c>
      <c r="J4611" s="12" t="s">
        <v>114</v>
      </c>
      <c r="K4611" s="12" t="s">
        <v>82</v>
      </c>
      <c r="L4611" s="14"/>
      <c r="M4611" s="12" t="s">
        <v>43</v>
      </c>
      <c r="N4611" s="12" t="s">
        <v>84</v>
      </c>
      <c r="O4611" s="12" t="s">
        <v>16144</v>
      </c>
      <c r="P4611" s="12" t="s">
        <v>46</v>
      </c>
      <c r="Q4611" s="12" t="s">
        <v>47</v>
      </c>
      <c r="R4611" s="12" t="s">
        <v>117</v>
      </c>
      <c r="S4611" s="13">
        <v>198266566009</v>
      </c>
      <c r="T4611" s="12" t="s">
        <v>49</v>
      </c>
      <c r="U4611" s="13">
        <v>39</v>
      </c>
      <c r="V4611" s="12" t="s">
        <v>50</v>
      </c>
      <c r="W4611" s="12" t="s">
        <v>455</v>
      </c>
      <c r="X4611" s="14"/>
      <c r="Y4611" s="14"/>
      <c r="Z4611" s="14"/>
      <c r="AA4611" s="14"/>
      <c r="AB4611" s="14"/>
      <c r="AC4611" s="15">
        <v>40.950000000000003</v>
      </c>
      <c r="AD4611" s="15">
        <f>AC4611*AG4611</f>
        <v>40.950000000000003</v>
      </c>
      <c r="AE4611" s="15">
        <v>90</v>
      </c>
      <c r="AF4611" s="15">
        <f>AE4611*AG4611</f>
        <v>90</v>
      </c>
      <c r="AG4611" s="16">
        <v>1</v>
      </c>
    </row>
    <row r="4612" spans="1:33" ht="15" customHeight="1" x14ac:dyDescent="0.2">
      <c r="A4612" s="11" t="str">
        <f t="shared" si="1436"/>
        <v>VN000E8WBGF1</v>
      </c>
      <c r="B4612" s="12" t="s">
        <v>16145</v>
      </c>
      <c r="C4612" s="12" t="s">
        <v>34</v>
      </c>
      <c r="D4612" s="12" t="s">
        <v>4900</v>
      </c>
      <c r="E4612" s="12" t="s">
        <v>16146</v>
      </c>
      <c r="F4612" s="13">
        <v>75</v>
      </c>
      <c r="G4612" s="12" t="s">
        <v>10160</v>
      </c>
      <c r="H4612" s="12" t="s">
        <v>38</v>
      </c>
      <c r="I4612" s="12" t="s">
        <v>113</v>
      </c>
      <c r="J4612" s="12" t="s">
        <v>114</v>
      </c>
      <c r="K4612" s="12" t="s">
        <v>82</v>
      </c>
      <c r="L4612" s="14"/>
      <c r="M4612" s="12" t="s">
        <v>43</v>
      </c>
      <c r="N4612" s="12" t="s">
        <v>84</v>
      </c>
      <c r="O4612" s="12" t="s">
        <v>16147</v>
      </c>
      <c r="P4612" s="12" t="s">
        <v>46</v>
      </c>
      <c r="Q4612" s="12" t="s">
        <v>47</v>
      </c>
      <c r="R4612" s="12" t="s">
        <v>117</v>
      </c>
      <c r="S4612" s="13">
        <v>198266566214</v>
      </c>
      <c r="T4612" s="12" t="s">
        <v>49</v>
      </c>
      <c r="U4612" s="13">
        <v>40</v>
      </c>
      <c r="V4612" s="12" t="s">
        <v>50</v>
      </c>
      <c r="W4612" s="12" t="s">
        <v>455</v>
      </c>
      <c r="X4612" s="14"/>
      <c r="Y4612" s="14"/>
      <c r="Z4612" s="14"/>
      <c r="AA4612" s="14"/>
      <c r="AB4612" s="14"/>
      <c r="AC4612" s="15">
        <v>40.950000000000003</v>
      </c>
      <c r="AD4612" s="15">
        <f>AC4612*AG4612</f>
        <v>40.950000000000003</v>
      </c>
      <c r="AE4612" s="15">
        <v>90</v>
      </c>
      <c r="AF4612" s="15">
        <f>AE4612*AG4612</f>
        <v>90</v>
      </c>
      <c r="AG4612" s="16">
        <v>1</v>
      </c>
    </row>
    <row r="4613" spans="1:33" ht="15" customHeight="1" x14ac:dyDescent="0.2">
      <c r="A4613" s="11" t="str">
        <f t="shared" si="1436"/>
        <v>VN000E8WBGF1</v>
      </c>
      <c r="B4613" s="12" t="s">
        <v>16148</v>
      </c>
      <c r="C4613" s="12" t="s">
        <v>34</v>
      </c>
      <c r="D4613" s="12" t="s">
        <v>4900</v>
      </c>
      <c r="E4613" s="12" t="s">
        <v>16149</v>
      </c>
      <c r="F4613" s="13">
        <v>80</v>
      </c>
      <c r="G4613" s="12" t="s">
        <v>10160</v>
      </c>
      <c r="H4613" s="12" t="s">
        <v>38</v>
      </c>
      <c r="I4613" s="12" t="s">
        <v>113</v>
      </c>
      <c r="J4613" s="12" t="s">
        <v>114</v>
      </c>
      <c r="K4613" s="12" t="s">
        <v>82</v>
      </c>
      <c r="L4613" s="14"/>
      <c r="M4613" s="12" t="s">
        <v>43</v>
      </c>
      <c r="N4613" s="12" t="s">
        <v>84</v>
      </c>
      <c r="O4613" s="12" t="s">
        <v>16150</v>
      </c>
      <c r="P4613" s="12" t="s">
        <v>46</v>
      </c>
      <c r="Q4613" s="12" t="s">
        <v>47</v>
      </c>
      <c r="R4613" s="12" t="s">
        <v>117</v>
      </c>
      <c r="S4613" s="13">
        <v>198266566313</v>
      </c>
      <c r="T4613" s="12" t="s">
        <v>49</v>
      </c>
      <c r="U4613" s="13">
        <v>40.5</v>
      </c>
      <c r="V4613" s="12" t="s">
        <v>50</v>
      </c>
      <c r="W4613" s="12" t="s">
        <v>455</v>
      </c>
      <c r="X4613" s="14"/>
      <c r="Y4613" s="14"/>
      <c r="Z4613" s="14"/>
      <c r="AA4613" s="14"/>
      <c r="AB4613" s="14"/>
      <c r="AC4613" s="15">
        <v>40.950000000000003</v>
      </c>
      <c r="AD4613" s="15">
        <f>AC4613*AG4613</f>
        <v>40.950000000000003</v>
      </c>
      <c r="AE4613" s="15">
        <v>90</v>
      </c>
      <c r="AF4613" s="15">
        <f>AE4613*AG4613</f>
        <v>90</v>
      </c>
      <c r="AG4613" s="16">
        <v>1</v>
      </c>
    </row>
    <row r="4614" spans="1:33" ht="15" customHeight="1" x14ac:dyDescent="0.2">
      <c r="A4614" s="11" t="str">
        <f t="shared" ref="A4614:A4618" si="1437">HYPERLINK("https://assets.vans.eu/images/VN000E8WBRD-HERO/1","VN000E8WBRD1")</f>
        <v>VN000E8WBRD1</v>
      </c>
      <c r="B4614" s="12" t="s">
        <v>16151</v>
      </c>
      <c r="C4614" s="12" t="s">
        <v>34</v>
      </c>
      <c r="D4614" s="12" t="s">
        <v>590</v>
      </c>
      <c r="E4614" s="12" t="s">
        <v>16152</v>
      </c>
      <c r="F4614" s="13">
        <v>45</v>
      </c>
      <c r="G4614" s="12" t="s">
        <v>10160</v>
      </c>
      <c r="H4614" s="12" t="s">
        <v>38</v>
      </c>
      <c r="I4614" s="12" t="s">
        <v>113</v>
      </c>
      <c r="J4614" s="12" t="s">
        <v>114</v>
      </c>
      <c r="K4614" s="12" t="s">
        <v>82</v>
      </c>
      <c r="L4614" s="14"/>
      <c r="M4614" s="12" t="s">
        <v>43</v>
      </c>
      <c r="N4614" s="12" t="s">
        <v>84</v>
      </c>
      <c r="O4614" s="12" t="s">
        <v>16153</v>
      </c>
      <c r="P4614" s="12" t="s">
        <v>46</v>
      </c>
      <c r="Q4614" s="12" t="s">
        <v>47</v>
      </c>
      <c r="R4614" s="12" t="s">
        <v>117</v>
      </c>
      <c r="S4614" s="13">
        <v>198266565163</v>
      </c>
      <c r="T4614" s="12" t="s">
        <v>49</v>
      </c>
      <c r="U4614" s="13">
        <v>36</v>
      </c>
      <c r="V4614" s="12" t="s">
        <v>50</v>
      </c>
      <c r="W4614" s="12" t="s">
        <v>262</v>
      </c>
      <c r="X4614" s="14"/>
      <c r="Y4614" s="14"/>
      <c r="Z4614" s="14"/>
      <c r="AA4614" s="14"/>
      <c r="AB4614" s="14"/>
      <c r="AC4614" s="15">
        <v>40.950000000000003</v>
      </c>
      <c r="AD4614" s="15">
        <f>AC4614*AG4614</f>
        <v>40.950000000000003</v>
      </c>
      <c r="AE4614" s="15">
        <v>90</v>
      </c>
      <c r="AF4614" s="15">
        <f>AE4614*AG4614</f>
        <v>90</v>
      </c>
      <c r="AG4614" s="16">
        <v>1</v>
      </c>
    </row>
    <row r="4615" spans="1:33" ht="15" customHeight="1" x14ac:dyDescent="0.2">
      <c r="A4615" s="11" t="str">
        <f t="shared" si="1437"/>
        <v>VN000E8WBRD1</v>
      </c>
      <c r="B4615" s="12" t="s">
        <v>16154</v>
      </c>
      <c r="C4615" s="12" t="s">
        <v>34</v>
      </c>
      <c r="D4615" s="12" t="s">
        <v>590</v>
      </c>
      <c r="E4615" s="12" t="s">
        <v>16155</v>
      </c>
      <c r="F4615" s="13">
        <v>60</v>
      </c>
      <c r="G4615" s="12" t="s">
        <v>10160</v>
      </c>
      <c r="H4615" s="12" t="s">
        <v>38</v>
      </c>
      <c r="I4615" s="12" t="s">
        <v>113</v>
      </c>
      <c r="J4615" s="12" t="s">
        <v>114</v>
      </c>
      <c r="K4615" s="12" t="s">
        <v>82</v>
      </c>
      <c r="L4615" s="14"/>
      <c r="M4615" s="12" t="s">
        <v>43</v>
      </c>
      <c r="N4615" s="12" t="s">
        <v>84</v>
      </c>
      <c r="O4615" s="12" t="s">
        <v>16156</v>
      </c>
      <c r="P4615" s="12" t="s">
        <v>46</v>
      </c>
      <c r="Q4615" s="12" t="s">
        <v>47</v>
      </c>
      <c r="R4615" s="12" t="s">
        <v>117</v>
      </c>
      <c r="S4615" s="13">
        <v>198266565712</v>
      </c>
      <c r="T4615" s="12" t="s">
        <v>49</v>
      </c>
      <c r="U4615" s="13">
        <v>38</v>
      </c>
      <c r="V4615" s="12" t="s">
        <v>50</v>
      </c>
      <c r="W4615" s="12" t="s">
        <v>262</v>
      </c>
      <c r="X4615" s="14"/>
      <c r="Y4615" s="14"/>
      <c r="Z4615" s="14"/>
      <c r="AA4615" s="14"/>
      <c r="AB4615" s="14"/>
      <c r="AC4615" s="15">
        <v>40.950000000000003</v>
      </c>
      <c r="AD4615" s="15">
        <f>AC4615*AG4615</f>
        <v>40.950000000000003</v>
      </c>
      <c r="AE4615" s="15">
        <v>90</v>
      </c>
      <c r="AF4615" s="15">
        <f>AE4615*AG4615</f>
        <v>90</v>
      </c>
      <c r="AG4615" s="16">
        <v>1</v>
      </c>
    </row>
    <row r="4616" spans="1:33" ht="15" customHeight="1" x14ac:dyDescent="0.2">
      <c r="A4616" s="11" t="str">
        <f t="shared" si="1437"/>
        <v>VN000E8WBRD1</v>
      </c>
      <c r="B4616" s="12" t="s">
        <v>16157</v>
      </c>
      <c r="C4616" s="12" t="s">
        <v>34</v>
      </c>
      <c r="D4616" s="12" t="s">
        <v>590</v>
      </c>
      <c r="E4616" s="12" t="s">
        <v>16158</v>
      </c>
      <c r="F4616" s="13">
        <v>70</v>
      </c>
      <c r="G4616" s="12" t="s">
        <v>10160</v>
      </c>
      <c r="H4616" s="12" t="s">
        <v>38</v>
      </c>
      <c r="I4616" s="12" t="s">
        <v>113</v>
      </c>
      <c r="J4616" s="12" t="s">
        <v>114</v>
      </c>
      <c r="K4616" s="12" t="s">
        <v>82</v>
      </c>
      <c r="L4616" s="14"/>
      <c r="M4616" s="12" t="s">
        <v>43</v>
      </c>
      <c r="N4616" s="12" t="s">
        <v>84</v>
      </c>
      <c r="O4616" s="12" t="s">
        <v>16159</v>
      </c>
      <c r="P4616" s="12" t="s">
        <v>46</v>
      </c>
      <c r="Q4616" s="12" t="s">
        <v>47</v>
      </c>
      <c r="R4616" s="12" t="s">
        <v>117</v>
      </c>
      <c r="S4616" s="13">
        <v>198266566085</v>
      </c>
      <c r="T4616" s="12" t="s">
        <v>49</v>
      </c>
      <c r="U4616" s="13">
        <v>39</v>
      </c>
      <c r="V4616" s="12" t="s">
        <v>50</v>
      </c>
      <c r="W4616" s="12" t="s">
        <v>262</v>
      </c>
      <c r="X4616" s="14"/>
      <c r="Y4616" s="14"/>
      <c r="Z4616" s="14"/>
      <c r="AA4616" s="14"/>
      <c r="AB4616" s="14"/>
      <c r="AC4616" s="15">
        <v>40.950000000000003</v>
      </c>
      <c r="AD4616" s="15">
        <f>AC4616*AG4616</f>
        <v>40.950000000000003</v>
      </c>
      <c r="AE4616" s="15">
        <v>90</v>
      </c>
      <c r="AF4616" s="15">
        <f>AE4616*AG4616</f>
        <v>90</v>
      </c>
      <c r="AG4616" s="16">
        <v>1</v>
      </c>
    </row>
    <row r="4617" spans="1:33" ht="15" customHeight="1" x14ac:dyDescent="0.2">
      <c r="A4617" s="11" t="str">
        <f t="shared" si="1437"/>
        <v>VN000E8WBRD1</v>
      </c>
      <c r="B4617" s="12" t="s">
        <v>16160</v>
      </c>
      <c r="C4617" s="12" t="s">
        <v>34</v>
      </c>
      <c r="D4617" s="12" t="s">
        <v>590</v>
      </c>
      <c r="E4617" s="12" t="s">
        <v>16161</v>
      </c>
      <c r="F4617" s="13">
        <v>75</v>
      </c>
      <c r="G4617" s="12" t="s">
        <v>10160</v>
      </c>
      <c r="H4617" s="12" t="s">
        <v>38</v>
      </c>
      <c r="I4617" s="12" t="s">
        <v>113</v>
      </c>
      <c r="J4617" s="12" t="s">
        <v>114</v>
      </c>
      <c r="K4617" s="12" t="s">
        <v>82</v>
      </c>
      <c r="L4617" s="14"/>
      <c r="M4617" s="12" t="s">
        <v>43</v>
      </c>
      <c r="N4617" s="12" t="s">
        <v>84</v>
      </c>
      <c r="O4617" s="12" t="s">
        <v>16162</v>
      </c>
      <c r="P4617" s="12" t="s">
        <v>46</v>
      </c>
      <c r="Q4617" s="12" t="s">
        <v>47</v>
      </c>
      <c r="R4617" s="12" t="s">
        <v>117</v>
      </c>
      <c r="S4617" s="13">
        <v>198266566306</v>
      </c>
      <c r="T4617" s="12" t="s">
        <v>49</v>
      </c>
      <c r="U4617" s="13">
        <v>40</v>
      </c>
      <c r="V4617" s="12" t="s">
        <v>50</v>
      </c>
      <c r="W4617" s="12" t="s">
        <v>262</v>
      </c>
      <c r="X4617" s="14"/>
      <c r="Y4617" s="14"/>
      <c r="Z4617" s="14"/>
      <c r="AA4617" s="14"/>
      <c r="AB4617" s="14"/>
      <c r="AC4617" s="15">
        <v>40.950000000000003</v>
      </c>
      <c r="AD4617" s="15">
        <f>AC4617*AG4617</f>
        <v>40.950000000000003</v>
      </c>
      <c r="AE4617" s="15">
        <v>90</v>
      </c>
      <c r="AF4617" s="15">
        <f>AE4617*AG4617</f>
        <v>90</v>
      </c>
      <c r="AG4617" s="16">
        <v>1</v>
      </c>
    </row>
    <row r="4618" spans="1:33" ht="15" customHeight="1" x14ac:dyDescent="0.2">
      <c r="A4618" s="11" t="str">
        <f t="shared" si="1437"/>
        <v>VN000E8WBRD1</v>
      </c>
      <c r="B4618" s="12" t="s">
        <v>16163</v>
      </c>
      <c r="C4618" s="12" t="s">
        <v>34</v>
      </c>
      <c r="D4618" s="12" t="s">
        <v>590</v>
      </c>
      <c r="E4618" s="12" t="s">
        <v>16164</v>
      </c>
      <c r="F4618" s="13">
        <v>80</v>
      </c>
      <c r="G4618" s="12" t="s">
        <v>10160</v>
      </c>
      <c r="H4618" s="12" t="s">
        <v>38</v>
      </c>
      <c r="I4618" s="12" t="s">
        <v>113</v>
      </c>
      <c r="J4618" s="12" t="s">
        <v>114</v>
      </c>
      <c r="K4618" s="12" t="s">
        <v>82</v>
      </c>
      <c r="L4618" s="14"/>
      <c r="M4618" s="12" t="s">
        <v>43</v>
      </c>
      <c r="N4618" s="12" t="s">
        <v>84</v>
      </c>
      <c r="O4618" s="12" t="s">
        <v>16165</v>
      </c>
      <c r="P4618" s="12" t="s">
        <v>46</v>
      </c>
      <c r="Q4618" s="12" t="s">
        <v>47</v>
      </c>
      <c r="R4618" s="12" t="s">
        <v>117</v>
      </c>
      <c r="S4618" s="13">
        <v>198266566511</v>
      </c>
      <c r="T4618" s="12" t="s">
        <v>49</v>
      </c>
      <c r="U4618" s="13">
        <v>40.5</v>
      </c>
      <c r="V4618" s="12" t="s">
        <v>50</v>
      </c>
      <c r="W4618" s="12" t="s">
        <v>262</v>
      </c>
      <c r="X4618" s="14"/>
      <c r="Y4618" s="14"/>
      <c r="Z4618" s="14"/>
      <c r="AA4618" s="14"/>
      <c r="AB4618" s="14"/>
      <c r="AC4618" s="15">
        <v>40.950000000000003</v>
      </c>
      <c r="AD4618" s="15">
        <f>AC4618*AG4618</f>
        <v>40.950000000000003</v>
      </c>
      <c r="AE4618" s="15">
        <v>90</v>
      </c>
      <c r="AF4618" s="15">
        <f>AE4618*AG4618</f>
        <v>90</v>
      </c>
      <c r="AG4618" s="16">
        <v>1</v>
      </c>
    </row>
    <row r="4619" spans="1:33" ht="15" customHeight="1" x14ac:dyDescent="0.2">
      <c r="A4619" s="11" t="str">
        <f>HYPERLINK("https://assets.vans.eu/images/VN000E8WCJK-HERO/1","VN000E8WCJK1")</f>
        <v>VN000E8WCJK1</v>
      </c>
      <c r="B4619" s="12" t="s">
        <v>16166</v>
      </c>
      <c r="C4619" s="12" t="s">
        <v>34</v>
      </c>
      <c r="D4619" s="12" t="s">
        <v>919</v>
      </c>
      <c r="E4619" s="12" t="s">
        <v>16167</v>
      </c>
      <c r="F4619" s="13">
        <v>50</v>
      </c>
      <c r="G4619" s="12" t="s">
        <v>7460</v>
      </c>
      <c r="H4619" s="12" t="s">
        <v>38</v>
      </c>
      <c r="I4619" s="12" t="s">
        <v>113</v>
      </c>
      <c r="J4619" s="12" t="s">
        <v>114</v>
      </c>
      <c r="K4619" s="12" t="s">
        <v>82</v>
      </c>
      <c r="L4619" s="12" t="s">
        <v>42</v>
      </c>
      <c r="M4619" s="12" t="s">
        <v>43</v>
      </c>
      <c r="N4619" s="12" t="s">
        <v>84</v>
      </c>
      <c r="O4619" s="12" t="s">
        <v>16168</v>
      </c>
      <c r="P4619" s="12" t="s">
        <v>46</v>
      </c>
      <c r="Q4619" s="12" t="s">
        <v>47</v>
      </c>
      <c r="R4619" s="12" t="s">
        <v>117</v>
      </c>
      <c r="S4619" s="13">
        <v>198266565095</v>
      </c>
      <c r="T4619" s="12" t="s">
        <v>164</v>
      </c>
      <c r="U4619" s="13">
        <v>36.5</v>
      </c>
      <c r="V4619" s="12" t="s">
        <v>50</v>
      </c>
      <c r="W4619" s="12" t="s">
        <v>51</v>
      </c>
      <c r="X4619" s="14"/>
      <c r="Y4619" s="14"/>
      <c r="Z4619" s="14"/>
      <c r="AA4619" s="14"/>
      <c r="AB4619" s="14"/>
      <c r="AC4619" s="15">
        <v>40.950000000000003</v>
      </c>
      <c r="AD4619" s="15">
        <f>AC4619*AG4619</f>
        <v>40.950000000000003</v>
      </c>
      <c r="AE4619" s="15">
        <v>90</v>
      </c>
      <c r="AF4619" s="15">
        <f>AE4619*AG4619</f>
        <v>90</v>
      </c>
      <c r="AG4619" s="16">
        <v>1</v>
      </c>
    </row>
    <row r="4620" spans="1:33" ht="15" customHeight="1" x14ac:dyDescent="0.2">
      <c r="A4620" s="11" t="str">
        <f>HYPERLINK("https://assets.vans.eu/images/VN000E8WZX1-HERO/1","VN000E8WZX11")</f>
        <v>VN000E8WZX11</v>
      </c>
      <c r="B4620" s="12" t="s">
        <v>16169</v>
      </c>
      <c r="C4620" s="12" t="s">
        <v>34</v>
      </c>
      <c r="D4620" s="12" t="s">
        <v>2668</v>
      </c>
      <c r="E4620" s="12" t="s">
        <v>16170</v>
      </c>
      <c r="F4620" s="13">
        <v>80</v>
      </c>
      <c r="G4620" s="12" t="s">
        <v>10160</v>
      </c>
      <c r="H4620" s="12" t="s">
        <v>38</v>
      </c>
      <c r="I4620" s="12" t="s">
        <v>113</v>
      </c>
      <c r="J4620" s="12" t="s">
        <v>114</v>
      </c>
      <c r="K4620" s="12" t="s">
        <v>82</v>
      </c>
      <c r="L4620" s="14"/>
      <c r="M4620" s="12" t="s">
        <v>43</v>
      </c>
      <c r="N4620" s="12" t="s">
        <v>84</v>
      </c>
      <c r="O4620" s="12" t="s">
        <v>16171</v>
      </c>
      <c r="P4620" s="12" t="s">
        <v>46</v>
      </c>
      <c r="Q4620" s="12" t="s">
        <v>47</v>
      </c>
      <c r="R4620" s="12" t="s">
        <v>117</v>
      </c>
      <c r="S4620" s="13">
        <v>198266566627</v>
      </c>
      <c r="T4620" s="12" t="s">
        <v>49</v>
      </c>
      <c r="U4620" s="13">
        <v>40.5</v>
      </c>
      <c r="V4620" s="12" t="s">
        <v>50</v>
      </c>
      <c r="W4620" s="12" t="s">
        <v>51</v>
      </c>
      <c r="X4620" s="14"/>
      <c r="Y4620" s="14"/>
      <c r="Z4620" s="14"/>
      <c r="AA4620" s="14"/>
      <c r="AB4620" s="14"/>
      <c r="AC4620" s="15">
        <v>40.950000000000003</v>
      </c>
      <c r="AD4620" s="15">
        <f>AC4620*AG4620</f>
        <v>40.950000000000003</v>
      </c>
      <c r="AE4620" s="15">
        <v>90</v>
      </c>
      <c r="AF4620" s="15">
        <f>AE4620*AG4620</f>
        <v>90</v>
      </c>
      <c r="AG4620" s="16">
        <v>1</v>
      </c>
    </row>
    <row r="4621" spans="1:33" ht="15" customHeight="1" x14ac:dyDescent="0.2">
      <c r="A4621" s="11" t="str">
        <f>HYPERLINK("https://assets.vans.eu/images/VN000E9RG58-HERO/1","VN000E9RG581")</f>
        <v>VN000E9RG581</v>
      </c>
      <c r="B4621" s="12" t="s">
        <v>16172</v>
      </c>
      <c r="C4621" s="12" t="s">
        <v>34</v>
      </c>
      <c r="D4621" s="12" t="s">
        <v>2149</v>
      </c>
      <c r="E4621" s="12" t="s">
        <v>16173</v>
      </c>
      <c r="F4621" s="13">
        <v>10</v>
      </c>
      <c r="G4621" s="14"/>
      <c r="H4621" s="12" t="s">
        <v>38</v>
      </c>
      <c r="I4621" s="12" t="s">
        <v>39</v>
      </c>
      <c r="J4621" s="12" t="s">
        <v>40</v>
      </c>
      <c r="K4621" s="12" t="s">
        <v>373</v>
      </c>
      <c r="L4621" s="12" t="s">
        <v>260</v>
      </c>
      <c r="M4621" s="12" t="s">
        <v>43</v>
      </c>
      <c r="N4621" s="12" t="s">
        <v>84</v>
      </c>
      <c r="O4621" s="12" t="s">
        <v>16174</v>
      </c>
      <c r="P4621" s="12" t="s">
        <v>46</v>
      </c>
      <c r="Q4621" s="12" t="s">
        <v>47</v>
      </c>
      <c r="R4621" s="12" t="s">
        <v>48</v>
      </c>
      <c r="S4621" s="13">
        <v>198266175058</v>
      </c>
      <c r="T4621" s="12" t="s">
        <v>164</v>
      </c>
      <c r="U4621" s="13">
        <v>31.5</v>
      </c>
      <c r="V4621" s="12" t="s">
        <v>50</v>
      </c>
      <c r="W4621" s="12" t="s">
        <v>51</v>
      </c>
      <c r="X4621" s="14"/>
      <c r="Y4621" s="14"/>
      <c r="Z4621" s="14"/>
      <c r="AA4621" s="14"/>
      <c r="AB4621" s="14"/>
      <c r="AC4621" s="15">
        <v>27.3</v>
      </c>
      <c r="AD4621" s="15">
        <f>AC4621*AG4621</f>
        <v>27.3</v>
      </c>
      <c r="AE4621" s="15">
        <v>60</v>
      </c>
      <c r="AF4621" s="15">
        <f>AE4621*AG4621</f>
        <v>60</v>
      </c>
      <c r="AG4621" s="16">
        <v>1</v>
      </c>
    </row>
    <row r="4622" spans="1:33" ht="15" customHeight="1" x14ac:dyDescent="0.2">
      <c r="A4622" s="11" t="str">
        <f t="shared" ref="A4622:A4625" si="1438">HYPERLINK("https://assets.vans.eu/images/VN000E9RZ3R-HERO/1","VN000E9RZ3R1")</f>
        <v>VN000E9RZ3R1</v>
      </c>
      <c r="B4622" s="12" t="s">
        <v>16175</v>
      </c>
      <c r="C4622" s="12" t="s">
        <v>34</v>
      </c>
      <c r="D4622" s="12" t="s">
        <v>2423</v>
      </c>
      <c r="E4622" s="12" t="s">
        <v>16176</v>
      </c>
      <c r="F4622" s="13">
        <v>110</v>
      </c>
      <c r="G4622" s="12" t="s">
        <v>7467</v>
      </c>
      <c r="H4622" s="12" t="s">
        <v>38</v>
      </c>
      <c r="I4622" s="12" t="s">
        <v>39</v>
      </c>
      <c r="J4622" s="12" t="s">
        <v>40</v>
      </c>
      <c r="K4622" s="12" t="s">
        <v>373</v>
      </c>
      <c r="L4622" s="12" t="s">
        <v>260</v>
      </c>
      <c r="M4622" s="12" t="s">
        <v>43</v>
      </c>
      <c r="N4622" s="12" t="s">
        <v>84</v>
      </c>
      <c r="O4622" s="12" t="s">
        <v>16177</v>
      </c>
      <c r="P4622" s="12" t="s">
        <v>46</v>
      </c>
      <c r="Q4622" s="12" t="s">
        <v>47</v>
      </c>
      <c r="R4622" s="12" t="s">
        <v>48</v>
      </c>
      <c r="S4622" s="13">
        <v>197804865482</v>
      </c>
      <c r="T4622" s="12" t="s">
        <v>105</v>
      </c>
      <c r="U4622" s="13">
        <v>27.5</v>
      </c>
      <c r="V4622" s="12" t="s">
        <v>50</v>
      </c>
      <c r="W4622" s="12" t="s">
        <v>118</v>
      </c>
      <c r="X4622" s="14"/>
      <c r="Y4622" s="14"/>
      <c r="Z4622" s="14"/>
      <c r="AA4622" s="14"/>
      <c r="AB4622" s="14"/>
      <c r="AC4622" s="15">
        <v>27.3</v>
      </c>
      <c r="AD4622" s="15">
        <f>AC4622*AG4622</f>
        <v>27.3</v>
      </c>
      <c r="AE4622" s="15">
        <v>60</v>
      </c>
      <c r="AF4622" s="15">
        <f>AE4622*AG4622</f>
        <v>60</v>
      </c>
      <c r="AG4622" s="16">
        <v>1</v>
      </c>
    </row>
    <row r="4623" spans="1:33" ht="15" customHeight="1" x14ac:dyDescent="0.2">
      <c r="A4623" s="11" t="str">
        <f t="shared" si="1438"/>
        <v>VN000E9RZ3R1</v>
      </c>
      <c r="B4623" s="12" t="s">
        <v>16178</v>
      </c>
      <c r="C4623" s="12" t="s">
        <v>34</v>
      </c>
      <c r="D4623" s="12" t="s">
        <v>2423</v>
      </c>
      <c r="E4623" s="12" t="s">
        <v>16179</v>
      </c>
      <c r="F4623" s="13">
        <v>115</v>
      </c>
      <c r="G4623" s="12" t="s">
        <v>7467</v>
      </c>
      <c r="H4623" s="12" t="s">
        <v>38</v>
      </c>
      <c r="I4623" s="12" t="s">
        <v>39</v>
      </c>
      <c r="J4623" s="12" t="s">
        <v>40</v>
      </c>
      <c r="K4623" s="12" t="s">
        <v>373</v>
      </c>
      <c r="L4623" s="12" t="s">
        <v>260</v>
      </c>
      <c r="M4623" s="12" t="s">
        <v>43</v>
      </c>
      <c r="N4623" s="12" t="s">
        <v>84</v>
      </c>
      <c r="O4623" s="12" t="s">
        <v>16180</v>
      </c>
      <c r="P4623" s="12" t="s">
        <v>46</v>
      </c>
      <c r="Q4623" s="12" t="s">
        <v>47</v>
      </c>
      <c r="R4623" s="12" t="s">
        <v>48</v>
      </c>
      <c r="S4623" s="13">
        <v>197804865765</v>
      </c>
      <c r="T4623" s="12" t="s">
        <v>105</v>
      </c>
      <c r="U4623" s="13">
        <v>28</v>
      </c>
      <c r="V4623" s="12" t="s">
        <v>50</v>
      </c>
      <c r="W4623" s="12" t="s">
        <v>118</v>
      </c>
      <c r="X4623" s="14"/>
      <c r="Y4623" s="14"/>
      <c r="Z4623" s="14"/>
      <c r="AA4623" s="14"/>
      <c r="AB4623" s="14"/>
      <c r="AC4623" s="15">
        <v>27.3</v>
      </c>
      <c r="AD4623" s="15">
        <f>AC4623*AG4623</f>
        <v>27.3</v>
      </c>
      <c r="AE4623" s="15">
        <v>60</v>
      </c>
      <c r="AF4623" s="15">
        <f>AE4623*AG4623</f>
        <v>60</v>
      </c>
      <c r="AG4623" s="16">
        <v>1</v>
      </c>
    </row>
    <row r="4624" spans="1:33" ht="15" customHeight="1" x14ac:dyDescent="0.2">
      <c r="A4624" s="11" t="str">
        <f t="shared" si="1438"/>
        <v>VN000E9RZ3R1</v>
      </c>
      <c r="B4624" s="12" t="s">
        <v>16181</v>
      </c>
      <c r="C4624" s="12" t="s">
        <v>34</v>
      </c>
      <c r="D4624" s="12" t="s">
        <v>2423</v>
      </c>
      <c r="E4624" s="12" t="s">
        <v>16182</v>
      </c>
      <c r="F4624" s="13">
        <v>120</v>
      </c>
      <c r="G4624" s="12" t="s">
        <v>7467</v>
      </c>
      <c r="H4624" s="12" t="s">
        <v>38</v>
      </c>
      <c r="I4624" s="12" t="s">
        <v>39</v>
      </c>
      <c r="J4624" s="12" t="s">
        <v>40</v>
      </c>
      <c r="K4624" s="12" t="s">
        <v>373</v>
      </c>
      <c r="L4624" s="12" t="s">
        <v>260</v>
      </c>
      <c r="M4624" s="12" t="s">
        <v>43</v>
      </c>
      <c r="N4624" s="12" t="s">
        <v>84</v>
      </c>
      <c r="O4624" s="12" t="s">
        <v>16183</v>
      </c>
      <c r="P4624" s="12" t="s">
        <v>46</v>
      </c>
      <c r="Q4624" s="12" t="s">
        <v>47</v>
      </c>
      <c r="R4624" s="12" t="s">
        <v>48</v>
      </c>
      <c r="S4624" s="13">
        <v>197804865949</v>
      </c>
      <c r="T4624" s="12" t="s">
        <v>105</v>
      </c>
      <c r="U4624" s="13">
        <v>29</v>
      </c>
      <c r="V4624" s="12" t="s">
        <v>50</v>
      </c>
      <c r="W4624" s="12" t="s">
        <v>118</v>
      </c>
      <c r="X4624" s="14"/>
      <c r="Y4624" s="14"/>
      <c r="Z4624" s="14"/>
      <c r="AA4624" s="14"/>
      <c r="AB4624" s="14"/>
      <c r="AC4624" s="15">
        <v>27.3</v>
      </c>
      <c r="AD4624" s="15">
        <f>AC4624*AG4624</f>
        <v>27.3</v>
      </c>
      <c r="AE4624" s="15">
        <v>60</v>
      </c>
      <c r="AF4624" s="15">
        <f>AE4624*AG4624</f>
        <v>60</v>
      </c>
      <c r="AG4624" s="16">
        <v>1</v>
      </c>
    </row>
    <row r="4625" spans="1:33" ht="15" customHeight="1" x14ac:dyDescent="0.2">
      <c r="A4625" s="11" t="str">
        <f t="shared" si="1438"/>
        <v>VN000E9RZ3R1</v>
      </c>
      <c r="B4625" s="12" t="s">
        <v>16184</v>
      </c>
      <c r="C4625" s="12" t="s">
        <v>34</v>
      </c>
      <c r="D4625" s="12" t="s">
        <v>2423</v>
      </c>
      <c r="E4625" s="12" t="s">
        <v>16185</v>
      </c>
      <c r="F4625" s="13">
        <v>130</v>
      </c>
      <c r="G4625" s="12" t="s">
        <v>7467</v>
      </c>
      <c r="H4625" s="12" t="s">
        <v>38</v>
      </c>
      <c r="I4625" s="12" t="s">
        <v>39</v>
      </c>
      <c r="J4625" s="12" t="s">
        <v>40</v>
      </c>
      <c r="K4625" s="12" t="s">
        <v>373</v>
      </c>
      <c r="L4625" s="12" t="s">
        <v>260</v>
      </c>
      <c r="M4625" s="12" t="s">
        <v>43</v>
      </c>
      <c r="N4625" s="12" t="s">
        <v>84</v>
      </c>
      <c r="O4625" s="12" t="s">
        <v>16186</v>
      </c>
      <c r="P4625" s="12" t="s">
        <v>46</v>
      </c>
      <c r="Q4625" s="12" t="s">
        <v>47</v>
      </c>
      <c r="R4625" s="12" t="s">
        <v>48</v>
      </c>
      <c r="S4625" s="13">
        <v>197804866182</v>
      </c>
      <c r="T4625" s="12" t="s">
        <v>105</v>
      </c>
      <c r="U4625" s="13">
        <v>30.5</v>
      </c>
      <c r="V4625" s="12" t="s">
        <v>50</v>
      </c>
      <c r="W4625" s="12" t="s">
        <v>118</v>
      </c>
      <c r="X4625" s="14"/>
      <c r="Y4625" s="14"/>
      <c r="Z4625" s="14"/>
      <c r="AA4625" s="14"/>
      <c r="AB4625" s="14"/>
      <c r="AC4625" s="15">
        <v>27.3</v>
      </c>
      <c r="AD4625" s="15">
        <f>AC4625*AG4625</f>
        <v>27.3</v>
      </c>
      <c r="AE4625" s="15">
        <v>60</v>
      </c>
      <c r="AF4625" s="15">
        <f>AE4625*AG4625</f>
        <v>60</v>
      </c>
      <c r="AG4625" s="16">
        <v>1</v>
      </c>
    </row>
    <row r="4626" spans="1:33" ht="15" customHeight="1" x14ac:dyDescent="0.2">
      <c r="A4626" s="11" t="str">
        <f t="shared" ref="A4626:A4628" si="1439">HYPERLINK("https://assets.vans.eu/images/VN000E9XF2B-HERO/1","VN000E9XF2B1")</f>
        <v>VN000E9XF2B1</v>
      </c>
      <c r="B4626" s="12" t="s">
        <v>16187</v>
      </c>
      <c r="C4626" s="12" t="s">
        <v>110</v>
      </c>
      <c r="D4626" s="12" t="s">
        <v>16188</v>
      </c>
      <c r="E4626" s="12" t="s">
        <v>16189</v>
      </c>
      <c r="F4626" s="13">
        <v>60</v>
      </c>
      <c r="G4626" s="14"/>
      <c r="H4626" s="12" t="s">
        <v>38</v>
      </c>
      <c r="I4626" s="12" t="s">
        <v>113</v>
      </c>
      <c r="J4626" s="12" t="s">
        <v>114</v>
      </c>
      <c r="K4626" s="12" t="s">
        <v>82</v>
      </c>
      <c r="L4626" s="12" t="s">
        <v>115</v>
      </c>
      <c r="M4626" s="12" t="s">
        <v>43</v>
      </c>
      <c r="N4626" s="12" t="s">
        <v>84</v>
      </c>
      <c r="O4626" s="12" t="s">
        <v>16190</v>
      </c>
      <c r="P4626" s="12" t="s">
        <v>46</v>
      </c>
      <c r="Q4626" s="12" t="s">
        <v>47</v>
      </c>
      <c r="R4626" s="12" t="s">
        <v>117</v>
      </c>
      <c r="S4626" s="13">
        <v>197805859183</v>
      </c>
      <c r="T4626" s="12" t="s">
        <v>49</v>
      </c>
      <c r="U4626" s="13">
        <v>38</v>
      </c>
      <c r="V4626" s="12" t="s">
        <v>50</v>
      </c>
      <c r="W4626" s="12" t="s">
        <v>51</v>
      </c>
      <c r="X4626" s="14"/>
      <c r="Y4626" s="14"/>
      <c r="Z4626" s="14"/>
      <c r="AA4626" s="14"/>
      <c r="AB4626" s="14"/>
      <c r="AC4626" s="15">
        <v>47.75</v>
      </c>
      <c r="AD4626" s="15">
        <f>AC4626*AG4626</f>
        <v>47.75</v>
      </c>
      <c r="AE4626" s="15">
        <v>105</v>
      </c>
      <c r="AF4626" s="15">
        <f>AE4626*AG4626</f>
        <v>105</v>
      </c>
      <c r="AG4626" s="16">
        <v>1</v>
      </c>
    </row>
    <row r="4627" spans="1:33" ht="15" customHeight="1" x14ac:dyDescent="0.2">
      <c r="A4627" s="11" t="str">
        <f t="shared" si="1439"/>
        <v>VN000E9XF2B1</v>
      </c>
      <c r="B4627" s="12" t="s">
        <v>16191</v>
      </c>
      <c r="C4627" s="12" t="s">
        <v>110</v>
      </c>
      <c r="D4627" s="12" t="s">
        <v>16188</v>
      </c>
      <c r="E4627" s="12" t="s">
        <v>16192</v>
      </c>
      <c r="F4627" s="13">
        <v>80</v>
      </c>
      <c r="G4627" s="14"/>
      <c r="H4627" s="12" t="s">
        <v>38</v>
      </c>
      <c r="I4627" s="12" t="s">
        <v>113</v>
      </c>
      <c r="J4627" s="12" t="s">
        <v>114</v>
      </c>
      <c r="K4627" s="12" t="s">
        <v>82</v>
      </c>
      <c r="L4627" s="12" t="s">
        <v>115</v>
      </c>
      <c r="M4627" s="12" t="s">
        <v>43</v>
      </c>
      <c r="N4627" s="12" t="s">
        <v>84</v>
      </c>
      <c r="O4627" s="12" t="s">
        <v>16193</v>
      </c>
      <c r="P4627" s="12" t="s">
        <v>46</v>
      </c>
      <c r="Q4627" s="12" t="s">
        <v>47</v>
      </c>
      <c r="R4627" s="12" t="s">
        <v>117</v>
      </c>
      <c r="S4627" s="13">
        <v>197805860042</v>
      </c>
      <c r="T4627" s="12" t="s">
        <v>49</v>
      </c>
      <c r="U4627" s="13">
        <v>40.5</v>
      </c>
      <c r="V4627" s="12" t="s">
        <v>50</v>
      </c>
      <c r="W4627" s="12" t="s">
        <v>51</v>
      </c>
      <c r="X4627" s="14"/>
      <c r="Y4627" s="14"/>
      <c r="Z4627" s="14"/>
      <c r="AA4627" s="14"/>
      <c r="AB4627" s="14"/>
      <c r="AC4627" s="15">
        <v>47.75</v>
      </c>
      <c r="AD4627" s="15">
        <f>AC4627*AG4627</f>
        <v>47.75</v>
      </c>
      <c r="AE4627" s="15">
        <v>105</v>
      </c>
      <c r="AF4627" s="15">
        <f>AE4627*AG4627</f>
        <v>105</v>
      </c>
      <c r="AG4627" s="16">
        <v>1</v>
      </c>
    </row>
    <row r="4628" spans="1:33" ht="15" customHeight="1" x14ac:dyDescent="0.2">
      <c r="A4628" s="11" t="str">
        <f t="shared" si="1439"/>
        <v>VN000E9XF2B1</v>
      </c>
      <c r="B4628" s="12" t="s">
        <v>16194</v>
      </c>
      <c r="C4628" s="12" t="s">
        <v>110</v>
      </c>
      <c r="D4628" s="12" t="s">
        <v>16188</v>
      </c>
      <c r="E4628" s="12" t="s">
        <v>16195</v>
      </c>
      <c r="F4628" s="13">
        <v>100</v>
      </c>
      <c r="G4628" s="14"/>
      <c r="H4628" s="12" t="s">
        <v>38</v>
      </c>
      <c r="I4628" s="12" t="s">
        <v>113</v>
      </c>
      <c r="J4628" s="12" t="s">
        <v>114</v>
      </c>
      <c r="K4628" s="12" t="s">
        <v>82</v>
      </c>
      <c r="L4628" s="12" t="s">
        <v>115</v>
      </c>
      <c r="M4628" s="12" t="s">
        <v>43</v>
      </c>
      <c r="N4628" s="12" t="s">
        <v>84</v>
      </c>
      <c r="O4628" s="12" t="s">
        <v>16196</v>
      </c>
      <c r="P4628" s="12" t="s">
        <v>46</v>
      </c>
      <c r="Q4628" s="12" t="s">
        <v>47</v>
      </c>
      <c r="R4628" s="12" t="s">
        <v>117</v>
      </c>
      <c r="S4628" s="13">
        <v>197805860646</v>
      </c>
      <c r="T4628" s="12" t="s">
        <v>49</v>
      </c>
      <c r="U4628" s="13">
        <v>43</v>
      </c>
      <c r="V4628" s="12" t="s">
        <v>50</v>
      </c>
      <c r="W4628" s="12" t="s">
        <v>51</v>
      </c>
      <c r="X4628" s="14"/>
      <c r="Y4628" s="14"/>
      <c r="Z4628" s="14"/>
      <c r="AA4628" s="14"/>
      <c r="AB4628" s="14"/>
      <c r="AC4628" s="15">
        <v>47.75</v>
      </c>
      <c r="AD4628" s="15">
        <f>AC4628*AG4628</f>
        <v>47.75</v>
      </c>
      <c r="AE4628" s="15">
        <v>105</v>
      </c>
      <c r="AF4628" s="15">
        <f>AE4628*AG4628</f>
        <v>105</v>
      </c>
      <c r="AG4628" s="16">
        <v>1</v>
      </c>
    </row>
    <row r="4629" spans="1:33" ht="15" customHeight="1" x14ac:dyDescent="0.2">
      <c r="A4629" s="11" t="str">
        <f t="shared" ref="A4629:A4630" si="1440">HYPERLINK("https://assets.vans.eu/images/VN000E9XSLV-HERO/1","VN000E9XSLV1")</f>
        <v>VN000E9XSLV1</v>
      </c>
      <c r="B4629" s="12" t="s">
        <v>16197</v>
      </c>
      <c r="C4629" s="12" t="s">
        <v>110</v>
      </c>
      <c r="D4629" s="12" t="s">
        <v>4063</v>
      </c>
      <c r="E4629" s="12" t="s">
        <v>16198</v>
      </c>
      <c r="F4629" s="13">
        <v>70</v>
      </c>
      <c r="G4629" s="12" t="s">
        <v>3296</v>
      </c>
      <c r="H4629" s="12" t="s">
        <v>38</v>
      </c>
      <c r="I4629" s="12" t="s">
        <v>113</v>
      </c>
      <c r="J4629" s="12" t="s">
        <v>114</v>
      </c>
      <c r="K4629" s="12" t="s">
        <v>82</v>
      </c>
      <c r="L4629" s="14"/>
      <c r="M4629" s="12" t="s">
        <v>43</v>
      </c>
      <c r="N4629" s="12" t="s">
        <v>84</v>
      </c>
      <c r="O4629" s="12" t="s">
        <v>16199</v>
      </c>
      <c r="P4629" s="12" t="s">
        <v>46</v>
      </c>
      <c r="Q4629" s="12" t="s">
        <v>47</v>
      </c>
      <c r="R4629" s="12" t="s">
        <v>117</v>
      </c>
      <c r="S4629" s="13">
        <v>197805951832</v>
      </c>
      <c r="T4629" s="12" t="s">
        <v>49</v>
      </c>
      <c r="U4629" s="13">
        <v>39</v>
      </c>
      <c r="V4629" s="12" t="s">
        <v>50</v>
      </c>
      <c r="W4629" s="12" t="s">
        <v>455</v>
      </c>
      <c r="X4629" s="14"/>
      <c r="Y4629" s="14"/>
      <c r="Z4629" s="14"/>
      <c r="AA4629" s="14"/>
      <c r="AB4629" s="14"/>
      <c r="AC4629" s="15">
        <v>47.75</v>
      </c>
      <c r="AD4629" s="15">
        <f>AC4629*AG4629</f>
        <v>47.75</v>
      </c>
      <c r="AE4629" s="15">
        <v>105</v>
      </c>
      <c r="AF4629" s="15">
        <f>AE4629*AG4629</f>
        <v>105</v>
      </c>
      <c r="AG4629" s="16">
        <v>1</v>
      </c>
    </row>
    <row r="4630" spans="1:33" ht="15" customHeight="1" x14ac:dyDescent="0.2">
      <c r="A4630" s="11" t="str">
        <f t="shared" si="1440"/>
        <v>VN000E9XSLV1</v>
      </c>
      <c r="B4630" s="12" t="s">
        <v>16200</v>
      </c>
      <c r="C4630" s="12" t="s">
        <v>110</v>
      </c>
      <c r="D4630" s="12" t="s">
        <v>4063</v>
      </c>
      <c r="E4630" s="12" t="s">
        <v>16201</v>
      </c>
      <c r="F4630" s="13">
        <v>130</v>
      </c>
      <c r="G4630" s="12" t="s">
        <v>3296</v>
      </c>
      <c r="H4630" s="12" t="s">
        <v>38</v>
      </c>
      <c r="I4630" s="12" t="s">
        <v>113</v>
      </c>
      <c r="J4630" s="12" t="s">
        <v>114</v>
      </c>
      <c r="K4630" s="12" t="s">
        <v>82</v>
      </c>
      <c r="L4630" s="14"/>
      <c r="M4630" s="12" t="s">
        <v>43</v>
      </c>
      <c r="N4630" s="12" t="s">
        <v>84</v>
      </c>
      <c r="O4630" s="12" t="s">
        <v>16202</v>
      </c>
      <c r="P4630" s="12" t="s">
        <v>46</v>
      </c>
      <c r="Q4630" s="12" t="s">
        <v>47</v>
      </c>
      <c r="R4630" s="12" t="s">
        <v>117</v>
      </c>
      <c r="S4630" s="13">
        <v>197805954024</v>
      </c>
      <c r="T4630" s="12" t="s">
        <v>49</v>
      </c>
      <c r="U4630" s="13">
        <v>47</v>
      </c>
      <c r="V4630" s="12" t="s">
        <v>50</v>
      </c>
      <c r="W4630" s="12" t="s">
        <v>455</v>
      </c>
      <c r="X4630" s="14"/>
      <c r="Y4630" s="14"/>
      <c r="Z4630" s="14"/>
      <c r="AA4630" s="14"/>
      <c r="AB4630" s="14"/>
      <c r="AC4630" s="15">
        <v>47.75</v>
      </c>
      <c r="AD4630" s="15">
        <f>AC4630*AG4630</f>
        <v>47.75</v>
      </c>
      <c r="AE4630" s="15">
        <v>105</v>
      </c>
      <c r="AF4630" s="15">
        <f>AE4630*AG4630</f>
        <v>105</v>
      </c>
      <c r="AG4630" s="16">
        <v>1</v>
      </c>
    </row>
    <row r="4631" spans="1:33" ht="15" customHeight="1" x14ac:dyDescent="0.2">
      <c r="A4631" s="11" t="str">
        <f>HYPERLINK("https://assets.vans.eu/images/VN000E9Y1NU-HERO/1","VN000E9Y1NU1")</f>
        <v>VN000E9Y1NU1</v>
      </c>
      <c r="B4631" s="12" t="s">
        <v>16203</v>
      </c>
      <c r="C4631" s="12" t="s">
        <v>34</v>
      </c>
      <c r="D4631" s="12" t="s">
        <v>783</v>
      </c>
      <c r="E4631" s="12" t="s">
        <v>16204</v>
      </c>
      <c r="F4631" s="13">
        <v>40</v>
      </c>
      <c r="G4631" s="14"/>
      <c r="H4631" s="12" t="s">
        <v>38</v>
      </c>
      <c r="I4631" s="12" t="s">
        <v>205</v>
      </c>
      <c r="J4631" s="12" t="s">
        <v>206</v>
      </c>
      <c r="K4631" s="12" t="s">
        <v>207</v>
      </c>
      <c r="L4631" s="12" t="s">
        <v>260</v>
      </c>
      <c r="M4631" s="12" t="s">
        <v>43</v>
      </c>
      <c r="N4631" s="12" t="s">
        <v>84</v>
      </c>
      <c r="O4631" s="12" t="s">
        <v>16205</v>
      </c>
      <c r="P4631" s="12" t="s">
        <v>46</v>
      </c>
      <c r="Q4631" s="12" t="s">
        <v>47</v>
      </c>
      <c r="R4631" s="12" t="s">
        <v>48</v>
      </c>
      <c r="S4631" s="13">
        <v>197804872237</v>
      </c>
      <c r="T4631" s="12" t="s">
        <v>105</v>
      </c>
      <c r="U4631" s="13">
        <v>35</v>
      </c>
      <c r="V4631" s="12" t="s">
        <v>209</v>
      </c>
      <c r="W4631" s="12" t="s">
        <v>186</v>
      </c>
      <c r="X4631" s="14"/>
      <c r="Y4631" s="14"/>
      <c r="Z4631" s="14"/>
      <c r="AA4631" s="14"/>
      <c r="AB4631" s="14"/>
      <c r="AC4631" s="15">
        <v>29.55</v>
      </c>
      <c r="AD4631" s="15">
        <f>AC4631*AG4631</f>
        <v>29.55</v>
      </c>
      <c r="AE4631" s="15">
        <v>65</v>
      </c>
      <c r="AF4631" s="15">
        <f>AE4631*AG4631</f>
        <v>65</v>
      </c>
      <c r="AG4631" s="16">
        <v>1</v>
      </c>
    </row>
    <row r="4632" spans="1:33" ht="15" customHeight="1" x14ac:dyDescent="0.2">
      <c r="A4632" s="11" t="str">
        <f>HYPERLINK("https://assets.vans.eu/images/VN000EB4KAQ-HERO/1","VN000EB4KAQ1")</f>
        <v>VN000EB4KAQ1</v>
      </c>
      <c r="B4632" s="12" t="s">
        <v>16206</v>
      </c>
      <c r="C4632" s="12" t="s">
        <v>6009</v>
      </c>
      <c r="D4632" s="12" t="s">
        <v>2408</v>
      </c>
      <c r="E4632" s="12" t="s">
        <v>16207</v>
      </c>
      <c r="F4632" s="13">
        <v>90</v>
      </c>
      <c r="G4632" s="14"/>
      <c r="H4632" s="12" t="s">
        <v>38</v>
      </c>
      <c r="I4632" s="12" t="s">
        <v>113</v>
      </c>
      <c r="J4632" s="12" t="s">
        <v>114</v>
      </c>
      <c r="K4632" s="12" t="s">
        <v>82</v>
      </c>
      <c r="L4632" s="14"/>
      <c r="M4632" s="12" t="s">
        <v>43</v>
      </c>
      <c r="N4632" s="12" t="s">
        <v>84</v>
      </c>
      <c r="O4632" s="12" t="s">
        <v>16208</v>
      </c>
      <c r="P4632" s="12" t="s">
        <v>46</v>
      </c>
      <c r="Q4632" s="12" t="s">
        <v>47</v>
      </c>
      <c r="R4632" s="12" t="s">
        <v>948</v>
      </c>
      <c r="S4632" s="13">
        <v>197804566228</v>
      </c>
      <c r="T4632" s="12" t="s">
        <v>49</v>
      </c>
      <c r="U4632" s="13">
        <v>42</v>
      </c>
      <c r="V4632" s="12" t="s">
        <v>50</v>
      </c>
      <c r="W4632" s="12" t="s">
        <v>455</v>
      </c>
      <c r="X4632" s="14"/>
      <c r="Y4632" s="14"/>
      <c r="Z4632" s="14"/>
      <c r="AA4632" s="14"/>
      <c r="AB4632" s="14"/>
      <c r="AC4632" s="15">
        <v>54.55</v>
      </c>
      <c r="AD4632" s="15">
        <f>AC4632*AG4632</f>
        <v>54.55</v>
      </c>
      <c r="AE4632" s="15">
        <v>120</v>
      </c>
      <c r="AF4632" s="15">
        <f>AE4632*AG4632</f>
        <v>120</v>
      </c>
      <c r="AG4632" s="16">
        <v>1</v>
      </c>
    </row>
    <row r="4633" spans="1:33" ht="15" customHeight="1" x14ac:dyDescent="0.2">
      <c r="A4633" s="11" t="str">
        <f t="shared" si="1122"/>
        <v>VN000EB4TAN1</v>
      </c>
      <c r="B4633" s="12" t="s">
        <v>16209</v>
      </c>
      <c r="C4633" s="12" t="s">
        <v>6009</v>
      </c>
      <c r="D4633" s="12" t="s">
        <v>7476</v>
      </c>
      <c r="E4633" s="12" t="s">
        <v>16210</v>
      </c>
      <c r="F4633" s="13">
        <v>45</v>
      </c>
      <c r="G4633" s="14"/>
      <c r="H4633" s="12" t="s">
        <v>38</v>
      </c>
      <c r="I4633" s="12" t="s">
        <v>159</v>
      </c>
      <c r="J4633" s="12" t="s">
        <v>160</v>
      </c>
      <c r="K4633" s="12" t="s">
        <v>82</v>
      </c>
      <c r="L4633" s="14"/>
      <c r="M4633" s="12" t="s">
        <v>43</v>
      </c>
      <c r="N4633" s="12" t="s">
        <v>84</v>
      </c>
      <c r="O4633" s="12" t="s">
        <v>16211</v>
      </c>
      <c r="P4633" s="12" t="s">
        <v>46</v>
      </c>
      <c r="Q4633" s="12" t="s">
        <v>47</v>
      </c>
      <c r="R4633" s="12" t="s">
        <v>1660</v>
      </c>
      <c r="S4633" s="13">
        <v>197804565092</v>
      </c>
      <c r="T4633" s="12" t="s">
        <v>49</v>
      </c>
      <c r="U4633" s="13">
        <v>36</v>
      </c>
      <c r="V4633" s="12" t="s">
        <v>50</v>
      </c>
      <c r="W4633" s="12" t="s">
        <v>118</v>
      </c>
      <c r="X4633" s="14"/>
      <c r="Y4633" s="14"/>
      <c r="Z4633" s="14"/>
      <c r="AA4633" s="14"/>
      <c r="AB4633" s="14"/>
      <c r="AC4633" s="15">
        <v>54.55</v>
      </c>
      <c r="AD4633" s="15">
        <f>AC4633*AG4633</f>
        <v>54.55</v>
      </c>
      <c r="AE4633" s="15">
        <v>120</v>
      </c>
      <c r="AF4633" s="15">
        <f>AE4633*AG4633</f>
        <v>120</v>
      </c>
      <c r="AG4633" s="16">
        <v>1</v>
      </c>
    </row>
    <row r="4634" spans="1:33" ht="15" customHeight="1" x14ac:dyDescent="0.2">
      <c r="A4634" s="11" t="str">
        <f t="shared" ref="A4634:A4638" si="1441">HYPERLINK("https://assets.vans.eu/images/VN000EB4TAN-HERO/1","VN000EB4TAN1")</f>
        <v>VN000EB4TAN1</v>
      </c>
      <c r="B4634" s="12" t="s">
        <v>16212</v>
      </c>
      <c r="C4634" s="12" t="s">
        <v>6009</v>
      </c>
      <c r="D4634" s="12" t="s">
        <v>7476</v>
      </c>
      <c r="E4634" s="12" t="s">
        <v>16213</v>
      </c>
      <c r="F4634" s="13">
        <v>50</v>
      </c>
      <c r="G4634" s="14"/>
      <c r="H4634" s="12" t="s">
        <v>38</v>
      </c>
      <c r="I4634" s="12" t="s">
        <v>159</v>
      </c>
      <c r="J4634" s="12" t="s">
        <v>160</v>
      </c>
      <c r="K4634" s="12" t="s">
        <v>82</v>
      </c>
      <c r="L4634" s="14"/>
      <c r="M4634" s="12" t="s">
        <v>43</v>
      </c>
      <c r="N4634" s="12" t="s">
        <v>84</v>
      </c>
      <c r="O4634" s="12" t="s">
        <v>16214</v>
      </c>
      <c r="P4634" s="12" t="s">
        <v>46</v>
      </c>
      <c r="Q4634" s="12" t="s">
        <v>47</v>
      </c>
      <c r="R4634" s="12" t="s">
        <v>1660</v>
      </c>
      <c r="S4634" s="13">
        <v>197804565269</v>
      </c>
      <c r="T4634" s="12" t="s">
        <v>49</v>
      </c>
      <c r="U4634" s="13">
        <v>36.5</v>
      </c>
      <c r="V4634" s="12" t="s">
        <v>50</v>
      </c>
      <c r="W4634" s="12" t="s">
        <v>118</v>
      </c>
      <c r="X4634" s="14"/>
      <c r="Y4634" s="14"/>
      <c r="Z4634" s="14"/>
      <c r="AA4634" s="14"/>
      <c r="AB4634" s="14"/>
      <c r="AC4634" s="15">
        <v>54.55</v>
      </c>
      <c r="AD4634" s="15">
        <f>AC4634*AG4634</f>
        <v>54.55</v>
      </c>
      <c r="AE4634" s="15">
        <v>120</v>
      </c>
      <c r="AF4634" s="15">
        <f>AE4634*AG4634</f>
        <v>120</v>
      </c>
      <c r="AG4634" s="16">
        <v>1</v>
      </c>
    </row>
    <row r="4635" spans="1:33" ht="15" customHeight="1" x14ac:dyDescent="0.2">
      <c r="A4635" s="11" t="str">
        <f t="shared" si="1441"/>
        <v>VN000EB4TAN1</v>
      </c>
      <c r="B4635" s="12" t="s">
        <v>16215</v>
      </c>
      <c r="C4635" s="12" t="s">
        <v>6009</v>
      </c>
      <c r="D4635" s="12" t="s">
        <v>7476</v>
      </c>
      <c r="E4635" s="12" t="s">
        <v>16216</v>
      </c>
      <c r="F4635" s="13">
        <v>55</v>
      </c>
      <c r="G4635" s="14"/>
      <c r="H4635" s="12" t="s">
        <v>38</v>
      </c>
      <c r="I4635" s="12" t="s">
        <v>159</v>
      </c>
      <c r="J4635" s="12" t="s">
        <v>160</v>
      </c>
      <c r="K4635" s="12" t="s">
        <v>82</v>
      </c>
      <c r="L4635" s="14"/>
      <c r="M4635" s="12" t="s">
        <v>43</v>
      </c>
      <c r="N4635" s="12" t="s">
        <v>84</v>
      </c>
      <c r="O4635" s="12" t="s">
        <v>16217</v>
      </c>
      <c r="P4635" s="12" t="s">
        <v>46</v>
      </c>
      <c r="Q4635" s="12" t="s">
        <v>47</v>
      </c>
      <c r="R4635" s="12" t="s">
        <v>1660</v>
      </c>
      <c r="S4635" s="13">
        <v>197804565405</v>
      </c>
      <c r="T4635" s="12" t="s">
        <v>49</v>
      </c>
      <c r="U4635" s="13">
        <v>37</v>
      </c>
      <c r="V4635" s="12" t="s">
        <v>50</v>
      </c>
      <c r="W4635" s="12" t="s">
        <v>118</v>
      </c>
      <c r="X4635" s="14"/>
      <c r="Y4635" s="14"/>
      <c r="Z4635" s="14"/>
      <c r="AA4635" s="14"/>
      <c r="AB4635" s="14"/>
      <c r="AC4635" s="15">
        <v>54.55</v>
      </c>
      <c r="AD4635" s="15">
        <f>AC4635*AG4635</f>
        <v>54.55</v>
      </c>
      <c r="AE4635" s="15">
        <v>120</v>
      </c>
      <c r="AF4635" s="15">
        <f>AE4635*AG4635</f>
        <v>120</v>
      </c>
      <c r="AG4635" s="16">
        <v>1</v>
      </c>
    </row>
    <row r="4636" spans="1:33" ht="15" customHeight="1" x14ac:dyDescent="0.2">
      <c r="A4636" s="11" t="str">
        <f t="shared" si="1441"/>
        <v>VN000EB4TAN1</v>
      </c>
      <c r="B4636" s="12" t="s">
        <v>16218</v>
      </c>
      <c r="C4636" s="12" t="s">
        <v>6009</v>
      </c>
      <c r="D4636" s="12" t="s">
        <v>7476</v>
      </c>
      <c r="E4636" s="12" t="s">
        <v>16219</v>
      </c>
      <c r="F4636" s="13">
        <v>60</v>
      </c>
      <c r="G4636" s="14"/>
      <c r="H4636" s="12" t="s">
        <v>38</v>
      </c>
      <c r="I4636" s="12" t="s">
        <v>159</v>
      </c>
      <c r="J4636" s="12" t="s">
        <v>160</v>
      </c>
      <c r="K4636" s="12" t="s">
        <v>82</v>
      </c>
      <c r="L4636" s="14"/>
      <c r="M4636" s="12" t="s">
        <v>43</v>
      </c>
      <c r="N4636" s="12" t="s">
        <v>84</v>
      </c>
      <c r="O4636" s="12" t="s">
        <v>16220</v>
      </c>
      <c r="P4636" s="12" t="s">
        <v>46</v>
      </c>
      <c r="Q4636" s="12" t="s">
        <v>47</v>
      </c>
      <c r="R4636" s="12" t="s">
        <v>1660</v>
      </c>
      <c r="S4636" s="13">
        <v>197804565474</v>
      </c>
      <c r="T4636" s="12" t="s">
        <v>49</v>
      </c>
      <c r="U4636" s="13">
        <v>38</v>
      </c>
      <c r="V4636" s="12" t="s">
        <v>50</v>
      </c>
      <c r="W4636" s="12" t="s">
        <v>118</v>
      </c>
      <c r="X4636" s="14"/>
      <c r="Y4636" s="14"/>
      <c r="Z4636" s="14"/>
      <c r="AA4636" s="14"/>
      <c r="AB4636" s="14"/>
      <c r="AC4636" s="15">
        <v>54.55</v>
      </c>
      <c r="AD4636" s="15">
        <f>AC4636*AG4636</f>
        <v>54.55</v>
      </c>
      <c r="AE4636" s="15">
        <v>120</v>
      </c>
      <c r="AF4636" s="15">
        <f>AE4636*AG4636</f>
        <v>120</v>
      </c>
      <c r="AG4636" s="16">
        <v>1</v>
      </c>
    </row>
    <row r="4637" spans="1:33" ht="15" customHeight="1" x14ac:dyDescent="0.2">
      <c r="A4637" s="11" t="str">
        <f t="shared" si="1441"/>
        <v>VN000EB4TAN1</v>
      </c>
      <c r="B4637" s="12" t="s">
        <v>16221</v>
      </c>
      <c r="C4637" s="12" t="s">
        <v>6009</v>
      </c>
      <c r="D4637" s="12" t="s">
        <v>7476</v>
      </c>
      <c r="E4637" s="12" t="s">
        <v>16222</v>
      </c>
      <c r="F4637" s="13">
        <v>70</v>
      </c>
      <c r="G4637" s="14"/>
      <c r="H4637" s="12" t="s">
        <v>38</v>
      </c>
      <c r="I4637" s="12" t="s">
        <v>159</v>
      </c>
      <c r="J4637" s="12" t="s">
        <v>160</v>
      </c>
      <c r="K4637" s="12" t="s">
        <v>82</v>
      </c>
      <c r="L4637" s="14"/>
      <c r="M4637" s="12" t="s">
        <v>43</v>
      </c>
      <c r="N4637" s="12" t="s">
        <v>84</v>
      </c>
      <c r="O4637" s="12" t="s">
        <v>16223</v>
      </c>
      <c r="P4637" s="12" t="s">
        <v>46</v>
      </c>
      <c r="Q4637" s="12" t="s">
        <v>47</v>
      </c>
      <c r="R4637" s="12" t="s">
        <v>1660</v>
      </c>
      <c r="S4637" s="13">
        <v>197804565719</v>
      </c>
      <c r="T4637" s="12" t="s">
        <v>49</v>
      </c>
      <c r="U4637" s="13">
        <v>39</v>
      </c>
      <c r="V4637" s="12" t="s">
        <v>50</v>
      </c>
      <c r="W4637" s="12" t="s">
        <v>118</v>
      </c>
      <c r="X4637" s="14"/>
      <c r="Y4637" s="14"/>
      <c r="Z4637" s="14"/>
      <c r="AA4637" s="14"/>
      <c r="AB4637" s="14"/>
      <c r="AC4637" s="15">
        <v>54.55</v>
      </c>
      <c r="AD4637" s="15">
        <f>AC4637*AG4637</f>
        <v>54.55</v>
      </c>
      <c r="AE4637" s="15">
        <v>120</v>
      </c>
      <c r="AF4637" s="15">
        <f>AE4637*AG4637</f>
        <v>120</v>
      </c>
      <c r="AG4637" s="16">
        <v>1</v>
      </c>
    </row>
    <row r="4638" spans="1:33" ht="15" customHeight="1" x14ac:dyDescent="0.2">
      <c r="A4638" s="11" t="str">
        <f t="shared" si="1441"/>
        <v>VN000EB4TAN1</v>
      </c>
      <c r="B4638" s="12" t="s">
        <v>16224</v>
      </c>
      <c r="C4638" s="12" t="s">
        <v>6009</v>
      </c>
      <c r="D4638" s="12" t="s">
        <v>7476</v>
      </c>
      <c r="E4638" s="12" t="s">
        <v>16225</v>
      </c>
      <c r="F4638" s="13">
        <v>85</v>
      </c>
      <c r="G4638" s="14"/>
      <c r="H4638" s="12" t="s">
        <v>38</v>
      </c>
      <c r="I4638" s="12" t="s">
        <v>159</v>
      </c>
      <c r="J4638" s="12" t="s">
        <v>160</v>
      </c>
      <c r="K4638" s="12" t="s">
        <v>82</v>
      </c>
      <c r="L4638" s="14"/>
      <c r="M4638" s="12" t="s">
        <v>43</v>
      </c>
      <c r="N4638" s="12" t="s">
        <v>84</v>
      </c>
      <c r="O4638" s="12" t="s">
        <v>16226</v>
      </c>
      <c r="P4638" s="12" t="s">
        <v>46</v>
      </c>
      <c r="Q4638" s="12" t="s">
        <v>47</v>
      </c>
      <c r="R4638" s="12" t="s">
        <v>1660</v>
      </c>
      <c r="S4638" s="13">
        <v>197804566112</v>
      </c>
      <c r="T4638" s="12" t="s">
        <v>49</v>
      </c>
      <c r="U4638" s="13">
        <v>41</v>
      </c>
      <c r="V4638" s="12" t="s">
        <v>50</v>
      </c>
      <c r="W4638" s="12" t="s">
        <v>118</v>
      </c>
      <c r="X4638" s="14"/>
      <c r="Y4638" s="14"/>
      <c r="Z4638" s="14"/>
      <c r="AA4638" s="14"/>
      <c r="AB4638" s="14"/>
      <c r="AC4638" s="15">
        <v>54.55</v>
      </c>
      <c r="AD4638" s="15">
        <f>AC4638*AG4638</f>
        <v>54.55</v>
      </c>
      <c r="AE4638" s="15">
        <v>120</v>
      </c>
      <c r="AF4638" s="15">
        <f>AE4638*AG4638</f>
        <v>120</v>
      </c>
      <c r="AG4638" s="16">
        <v>1</v>
      </c>
    </row>
    <row r="4639" spans="1:33" ht="15" customHeight="1" x14ac:dyDescent="0.2">
      <c r="A4639" s="11" t="str">
        <f>HYPERLINK("https://assets.vans.eu/images/VN000EBAQPT-HERO/1","VN000EBAQPT1")</f>
        <v>VN000EBAQPT1</v>
      </c>
      <c r="B4639" s="12" t="s">
        <v>16227</v>
      </c>
      <c r="C4639" s="12" t="s">
        <v>3311</v>
      </c>
      <c r="D4639" s="12" t="s">
        <v>957</v>
      </c>
      <c r="E4639" s="12" t="s">
        <v>16228</v>
      </c>
      <c r="F4639" s="13">
        <v>95</v>
      </c>
      <c r="G4639" s="12" t="s">
        <v>2273</v>
      </c>
      <c r="H4639" s="12" t="s">
        <v>38</v>
      </c>
      <c r="I4639" s="12" t="s">
        <v>159</v>
      </c>
      <c r="J4639" s="12" t="s">
        <v>160</v>
      </c>
      <c r="K4639" s="12" t="s">
        <v>82</v>
      </c>
      <c r="L4639" s="14"/>
      <c r="M4639" s="12" t="s">
        <v>43</v>
      </c>
      <c r="N4639" s="12" t="s">
        <v>84</v>
      </c>
      <c r="O4639" s="12" t="s">
        <v>16229</v>
      </c>
      <c r="P4639" s="12" t="s">
        <v>46</v>
      </c>
      <c r="Q4639" s="12" t="s">
        <v>47</v>
      </c>
      <c r="R4639" s="12" t="s">
        <v>163</v>
      </c>
      <c r="S4639" s="13">
        <v>197804931750</v>
      </c>
      <c r="T4639" s="12" t="s">
        <v>49</v>
      </c>
      <c r="U4639" s="13">
        <v>42.5</v>
      </c>
      <c r="V4639" s="12" t="s">
        <v>209</v>
      </c>
      <c r="W4639" s="12" t="s">
        <v>51</v>
      </c>
      <c r="X4639" s="14"/>
      <c r="Y4639" s="14"/>
      <c r="Z4639" s="14"/>
      <c r="AA4639" s="14"/>
      <c r="AB4639" s="14"/>
      <c r="AC4639" s="15">
        <v>43.2</v>
      </c>
      <c r="AD4639" s="15">
        <f>AC4639*AG4639</f>
        <v>43.2</v>
      </c>
      <c r="AE4639" s="15">
        <v>95</v>
      </c>
      <c r="AF4639" s="15">
        <f>AE4639*AG4639</f>
        <v>95</v>
      </c>
      <c r="AG4639" s="16">
        <v>1</v>
      </c>
    </row>
    <row r="4640" spans="1:33" ht="15" customHeight="1" x14ac:dyDescent="0.2">
      <c r="A4640" s="11" t="str">
        <f t="shared" ref="A4640:A4641" si="1442">HYPERLINK("https://assets.vans.eu/images/VN000EC4RV2-HERO/1","VN000EC4RV21")</f>
        <v>VN000EC4RV21</v>
      </c>
      <c r="B4640" s="12" t="s">
        <v>16230</v>
      </c>
      <c r="C4640" s="12" t="s">
        <v>251</v>
      </c>
      <c r="D4640" s="12" t="s">
        <v>1428</v>
      </c>
      <c r="E4640" s="12" t="s">
        <v>16231</v>
      </c>
      <c r="F4640" s="13">
        <v>35</v>
      </c>
      <c r="G4640" s="12" t="s">
        <v>2437</v>
      </c>
      <c r="H4640" s="12" t="s">
        <v>38</v>
      </c>
      <c r="I4640" s="12" t="s">
        <v>113</v>
      </c>
      <c r="J4640" s="12" t="s">
        <v>529</v>
      </c>
      <c r="K4640" s="12" t="s">
        <v>82</v>
      </c>
      <c r="L4640" s="12" t="s">
        <v>115</v>
      </c>
      <c r="M4640" s="12" t="s">
        <v>43</v>
      </c>
      <c r="N4640" s="12" t="s">
        <v>84</v>
      </c>
      <c r="O4640" s="12" t="s">
        <v>16232</v>
      </c>
      <c r="P4640" s="12" t="s">
        <v>46</v>
      </c>
      <c r="Q4640" s="12" t="s">
        <v>47</v>
      </c>
      <c r="R4640" s="12" t="s">
        <v>117</v>
      </c>
      <c r="S4640" s="13">
        <v>197805862152</v>
      </c>
      <c r="T4640" s="12" t="s">
        <v>49</v>
      </c>
      <c r="U4640" s="13">
        <v>34.5</v>
      </c>
      <c r="V4640" s="12" t="s">
        <v>50</v>
      </c>
      <c r="W4640" s="12" t="s">
        <v>51</v>
      </c>
      <c r="X4640" s="14"/>
      <c r="Y4640" s="14"/>
      <c r="Z4640" s="14"/>
      <c r="AA4640" s="14"/>
      <c r="AB4640" s="14"/>
      <c r="AC4640" s="15">
        <v>50</v>
      </c>
      <c r="AD4640" s="15">
        <f>AC4640*AG4640</f>
        <v>50</v>
      </c>
      <c r="AE4640" s="15">
        <v>110</v>
      </c>
      <c r="AF4640" s="15">
        <f>AE4640*AG4640</f>
        <v>110</v>
      </c>
      <c r="AG4640" s="16">
        <v>1</v>
      </c>
    </row>
    <row r="4641" spans="1:33" ht="15" customHeight="1" x14ac:dyDescent="0.2">
      <c r="A4641" s="11" t="str">
        <f t="shared" si="1442"/>
        <v>VN000EC4RV21</v>
      </c>
      <c r="B4641" s="12" t="s">
        <v>16233</v>
      </c>
      <c r="C4641" s="12" t="s">
        <v>251</v>
      </c>
      <c r="D4641" s="12" t="s">
        <v>1428</v>
      </c>
      <c r="E4641" s="12" t="s">
        <v>16234</v>
      </c>
      <c r="F4641" s="13">
        <v>50</v>
      </c>
      <c r="G4641" s="12" t="s">
        <v>2437</v>
      </c>
      <c r="H4641" s="12" t="s">
        <v>38</v>
      </c>
      <c r="I4641" s="12" t="s">
        <v>113</v>
      </c>
      <c r="J4641" s="12" t="s">
        <v>529</v>
      </c>
      <c r="K4641" s="12" t="s">
        <v>82</v>
      </c>
      <c r="L4641" s="12" t="s">
        <v>115</v>
      </c>
      <c r="M4641" s="12" t="s">
        <v>43</v>
      </c>
      <c r="N4641" s="12" t="s">
        <v>84</v>
      </c>
      <c r="O4641" s="12" t="s">
        <v>16235</v>
      </c>
      <c r="P4641" s="12" t="s">
        <v>46</v>
      </c>
      <c r="Q4641" s="12" t="s">
        <v>47</v>
      </c>
      <c r="R4641" s="12" t="s">
        <v>117</v>
      </c>
      <c r="S4641" s="13">
        <v>197805862527</v>
      </c>
      <c r="T4641" s="12" t="s">
        <v>49</v>
      </c>
      <c r="U4641" s="13">
        <v>36.5</v>
      </c>
      <c r="V4641" s="12" t="s">
        <v>50</v>
      </c>
      <c r="W4641" s="12" t="s">
        <v>51</v>
      </c>
      <c r="X4641" s="14"/>
      <c r="Y4641" s="14"/>
      <c r="Z4641" s="14"/>
      <c r="AA4641" s="14"/>
      <c r="AB4641" s="14"/>
      <c r="AC4641" s="15">
        <v>50</v>
      </c>
      <c r="AD4641" s="15">
        <f>AC4641*AG4641</f>
        <v>50</v>
      </c>
      <c r="AE4641" s="15">
        <v>110</v>
      </c>
      <c r="AF4641" s="15">
        <f>AE4641*AG4641</f>
        <v>110</v>
      </c>
      <c r="AG4641" s="16">
        <v>1</v>
      </c>
    </row>
    <row r="4642" spans="1:33" ht="15" customHeight="1" x14ac:dyDescent="0.2">
      <c r="A4642" s="11" t="str">
        <f t="shared" ref="A4642:A4644" si="1443">HYPERLINK("https://assets.vans.eu/images/VN000ECGBFC-HERO/1","VN000ECGBFC1")</f>
        <v>VN000ECGBFC1</v>
      </c>
      <c r="B4642" s="12" t="s">
        <v>16236</v>
      </c>
      <c r="C4642" s="12" t="s">
        <v>10215</v>
      </c>
      <c r="D4642" s="12" t="s">
        <v>10216</v>
      </c>
      <c r="E4642" s="12" t="s">
        <v>16237</v>
      </c>
      <c r="F4642" s="13">
        <v>85</v>
      </c>
      <c r="G4642" s="14"/>
      <c r="H4642" s="12" t="s">
        <v>38</v>
      </c>
      <c r="I4642" s="12" t="s">
        <v>159</v>
      </c>
      <c r="J4642" s="12" t="s">
        <v>160</v>
      </c>
      <c r="K4642" s="12" t="s">
        <v>82</v>
      </c>
      <c r="L4642" s="12" t="s">
        <v>260</v>
      </c>
      <c r="M4642" s="12" t="s">
        <v>43</v>
      </c>
      <c r="N4642" s="12" t="s">
        <v>84</v>
      </c>
      <c r="O4642" s="12" t="s">
        <v>16238</v>
      </c>
      <c r="P4642" s="12" t="s">
        <v>46</v>
      </c>
      <c r="Q4642" s="12" t="s">
        <v>47</v>
      </c>
      <c r="R4642" s="12" t="s">
        <v>163</v>
      </c>
      <c r="S4642" s="13">
        <v>197804617937</v>
      </c>
      <c r="T4642" s="12" t="s">
        <v>164</v>
      </c>
      <c r="U4642" s="13">
        <v>41</v>
      </c>
      <c r="V4642" s="12" t="s">
        <v>50</v>
      </c>
      <c r="W4642" s="12" t="s">
        <v>455</v>
      </c>
      <c r="X4642" s="14"/>
      <c r="Y4642" s="14"/>
      <c r="Z4642" s="14"/>
      <c r="AA4642" s="14"/>
      <c r="AB4642" s="14"/>
      <c r="AC4642" s="15">
        <v>45.5</v>
      </c>
      <c r="AD4642" s="15">
        <f>AC4642*AG4642</f>
        <v>45.5</v>
      </c>
      <c r="AE4642" s="15">
        <v>100</v>
      </c>
      <c r="AF4642" s="15">
        <f>AE4642*AG4642</f>
        <v>100</v>
      </c>
      <c r="AG4642" s="16">
        <v>1</v>
      </c>
    </row>
    <row r="4643" spans="1:33" ht="15" customHeight="1" x14ac:dyDescent="0.2">
      <c r="A4643" s="11" t="str">
        <f t="shared" si="1443"/>
        <v>VN000ECGBFC1</v>
      </c>
      <c r="B4643" s="12" t="s">
        <v>16239</v>
      </c>
      <c r="C4643" s="12" t="s">
        <v>10215</v>
      </c>
      <c r="D4643" s="12" t="s">
        <v>10216</v>
      </c>
      <c r="E4643" s="12" t="s">
        <v>16240</v>
      </c>
      <c r="F4643" s="13">
        <v>105</v>
      </c>
      <c r="G4643" s="14"/>
      <c r="H4643" s="12" t="s">
        <v>38</v>
      </c>
      <c r="I4643" s="12" t="s">
        <v>159</v>
      </c>
      <c r="J4643" s="12" t="s">
        <v>160</v>
      </c>
      <c r="K4643" s="12" t="s">
        <v>82</v>
      </c>
      <c r="L4643" s="12" t="s">
        <v>260</v>
      </c>
      <c r="M4643" s="12" t="s">
        <v>43</v>
      </c>
      <c r="N4643" s="12" t="s">
        <v>84</v>
      </c>
      <c r="O4643" s="12" t="s">
        <v>16241</v>
      </c>
      <c r="P4643" s="12" t="s">
        <v>46</v>
      </c>
      <c r="Q4643" s="12" t="s">
        <v>47</v>
      </c>
      <c r="R4643" s="12" t="s">
        <v>163</v>
      </c>
      <c r="S4643" s="13">
        <v>197804617975</v>
      </c>
      <c r="T4643" s="12" t="s">
        <v>164</v>
      </c>
      <c r="U4643" s="13">
        <v>44</v>
      </c>
      <c r="V4643" s="12" t="s">
        <v>50</v>
      </c>
      <c r="W4643" s="12" t="s">
        <v>455</v>
      </c>
      <c r="X4643" s="14"/>
      <c r="Y4643" s="14"/>
      <c r="Z4643" s="14"/>
      <c r="AA4643" s="14"/>
      <c r="AB4643" s="14"/>
      <c r="AC4643" s="15">
        <v>45.5</v>
      </c>
      <c r="AD4643" s="15">
        <f>AC4643*AG4643</f>
        <v>45.5</v>
      </c>
      <c r="AE4643" s="15">
        <v>100</v>
      </c>
      <c r="AF4643" s="15">
        <f>AE4643*AG4643</f>
        <v>100</v>
      </c>
      <c r="AG4643" s="16">
        <v>1</v>
      </c>
    </row>
    <row r="4644" spans="1:33" ht="15" customHeight="1" x14ac:dyDescent="0.2">
      <c r="A4644" s="11" t="str">
        <f t="shared" si="1443"/>
        <v>VN000ECGBFC1</v>
      </c>
      <c r="B4644" s="12" t="s">
        <v>16242</v>
      </c>
      <c r="C4644" s="12" t="s">
        <v>10215</v>
      </c>
      <c r="D4644" s="12" t="s">
        <v>10216</v>
      </c>
      <c r="E4644" s="12" t="s">
        <v>16243</v>
      </c>
      <c r="F4644" s="13">
        <v>115</v>
      </c>
      <c r="G4644" s="14"/>
      <c r="H4644" s="12" t="s">
        <v>38</v>
      </c>
      <c r="I4644" s="12" t="s">
        <v>159</v>
      </c>
      <c r="J4644" s="12" t="s">
        <v>160</v>
      </c>
      <c r="K4644" s="12" t="s">
        <v>82</v>
      </c>
      <c r="L4644" s="12" t="s">
        <v>260</v>
      </c>
      <c r="M4644" s="12" t="s">
        <v>43</v>
      </c>
      <c r="N4644" s="12" t="s">
        <v>84</v>
      </c>
      <c r="O4644" s="12" t="s">
        <v>16244</v>
      </c>
      <c r="P4644" s="12" t="s">
        <v>46</v>
      </c>
      <c r="Q4644" s="12" t="s">
        <v>47</v>
      </c>
      <c r="R4644" s="12" t="s">
        <v>163</v>
      </c>
      <c r="S4644" s="13">
        <v>197804617999</v>
      </c>
      <c r="T4644" s="12" t="s">
        <v>164</v>
      </c>
      <c r="U4644" s="13">
        <v>45</v>
      </c>
      <c r="V4644" s="12" t="s">
        <v>50</v>
      </c>
      <c r="W4644" s="12" t="s">
        <v>455</v>
      </c>
      <c r="X4644" s="14"/>
      <c r="Y4644" s="14"/>
      <c r="Z4644" s="14"/>
      <c r="AA4644" s="14"/>
      <c r="AB4644" s="14"/>
      <c r="AC4644" s="15">
        <v>45.5</v>
      </c>
      <c r="AD4644" s="15">
        <f>AC4644*AG4644</f>
        <v>45.5</v>
      </c>
      <c r="AE4644" s="15">
        <v>100</v>
      </c>
      <c r="AF4644" s="15">
        <f>AE4644*AG4644</f>
        <v>100</v>
      </c>
      <c r="AG4644" s="16">
        <v>1</v>
      </c>
    </row>
    <row r="4645" spans="1:33" ht="15" customHeight="1" x14ac:dyDescent="0.2">
      <c r="A4645" s="11" t="str">
        <f t="shared" ref="A4645:A4648" si="1444">HYPERLINK("https://assets.vans.eu/images/VN000EDN7D6-HERO/1","VN000EDN7D61")</f>
        <v>VN000EDN7D61</v>
      </c>
      <c r="B4645" s="12" t="s">
        <v>16245</v>
      </c>
      <c r="C4645" s="12" t="s">
        <v>996</v>
      </c>
      <c r="D4645" s="12" t="s">
        <v>1231</v>
      </c>
      <c r="E4645" s="12" t="s">
        <v>16246</v>
      </c>
      <c r="F4645" s="13">
        <v>75</v>
      </c>
      <c r="G4645" s="14"/>
      <c r="H4645" s="12" t="s">
        <v>38</v>
      </c>
      <c r="I4645" s="12" t="s">
        <v>159</v>
      </c>
      <c r="J4645" s="12" t="s">
        <v>341</v>
      </c>
      <c r="K4645" s="12" t="s">
        <v>199</v>
      </c>
      <c r="L4645" s="14"/>
      <c r="M4645" s="12" t="s">
        <v>43</v>
      </c>
      <c r="N4645" s="12" t="s">
        <v>84</v>
      </c>
      <c r="O4645" s="12" t="s">
        <v>16247</v>
      </c>
      <c r="P4645" s="12" t="s">
        <v>46</v>
      </c>
      <c r="Q4645" s="12" t="s">
        <v>47</v>
      </c>
      <c r="R4645" s="12" t="s">
        <v>163</v>
      </c>
      <c r="S4645" s="13">
        <v>197804566587</v>
      </c>
      <c r="T4645" s="12" t="s">
        <v>49</v>
      </c>
      <c r="U4645" s="13">
        <v>40</v>
      </c>
      <c r="V4645" s="12" t="s">
        <v>50</v>
      </c>
      <c r="W4645" s="12" t="s">
        <v>186</v>
      </c>
      <c r="X4645" s="14"/>
      <c r="Y4645" s="14"/>
      <c r="Z4645" s="14"/>
      <c r="AA4645" s="14"/>
      <c r="AB4645" s="14"/>
      <c r="AC4645" s="15">
        <v>38.65</v>
      </c>
      <c r="AD4645" s="15">
        <f>AC4645*AG4645</f>
        <v>38.65</v>
      </c>
      <c r="AE4645" s="15">
        <v>85</v>
      </c>
      <c r="AF4645" s="15">
        <f>AE4645*AG4645</f>
        <v>85</v>
      </c>
      <c r="AG4645" s="16">
        <v>1</v>
      </c>
    </row>
    <row r="4646" spans="1:33" ht="15" customHeight="1" x14ac:dyDescent="0.2">
      <c r="A4646" s="11" t="str">
        <f t="shared" si="1444"/>
        <v>VN000EDN7D61</v>
      </c>
      <c r="B4646" s="12" t="s">
        <v>16248</v>
      </c>
      <c r="C4646" s="12" t="s">
        <v>996</v>
      </c>
      <c r="D4646" s="12" t="s">
        <v>1231</v>
      </c>
      <c r="E4646" s="12" t="s">
        <v>16249</v>
      </c>
      <c r="F4646" s="13">
        <v>115</v>
      </c>
      <c r="G4646" s="14"/>
      <c r="H4646" s="12" t="s">
        <v>38</v>
      </c>
      <c r="I4646" s="12" t="s">
        <v>159</v>
      </c>
      <c r="J4646" s="12" t="s">
        <v>341</v>
      </c>
      <c r="K4646" s="12" t="s">
        <v>199</v>
      </c>
      <c r="L4646" s="14"/>
      <c r="M4646" s="12" t="s">
        <v>43</v>
      </c>
      <c r="N4646" s="12" t="s">
        <v>84</v>
      </c>
      <c r="O4646" s="12" t="s">
        <v>16250</v>
      </c>
      <c r="P4646" s="12" t="s">
        <v>46</v>
      </c>
      <c r="Q4646" s="12" t="s">
        <v>47</v>
      </c>
      <c r="R4646" s="12" t="s">
        <v>163</v>
      </c>
      <c r="S4646" s="13">
        <v>197804567508</v>
      </c>
      <c r="T4646" s="12" t="s">
        <v>49</v>
      </c>
      <c r="U4646" s="13">
        <v>45</v>
      </c>
      <c r="V4646" s="12" t="s">
        <v>50</v>
      </c>
      <c r="W4646" s="12" t="s">
        <v>186</v>
      </c>
      <c r="X4646" s="14"/>
      <c r="Y4646" s="14"/>
      <c r="Z4646" s="14"/>
      <c r="AA4646" s="14"/>
      <c r="AB4646" s="14"/>
      <c r="AC4646" s="15">
        <v>38.65</v>
      </c>
      <c r="AD4646" s="15">
        <f>AC4646*AG4646</f>
        <v>38.65</v>
      </c>
      <c r="AE4646" s="15">
        <v>85</v>
      </c>
      <c r="AF4646" s="15">
        <f>AE4646*AG4646</f>
        <v>85</v>
      </c>
      <c r="AG4646" s="16">
        <v>1</v>
      </c>
    </row>
    <row r="4647" spans="1:33" ht="15" customHeight="1" x14ac:dyDescent="0.2">
      <c r="A4647" s="11" t="str">
        <f t="shared" si="1444"/>
        <v>VN000EDN7D61</v>
      </c>
      <c r="B4647" s="12" t="s">
        <v>16251</v>
      </c>
      <c r="C4647" s="12" t="s">
        <v>996</v>
      </c>
      <c r="D4647" s="12" t="s">
        <v>1231</v>
      </c>
      <c r="E4647" s="12" t="s">
        <v>16252</v>
      </c>
      <c r="F4647" s="13">
        <v>120</v>
      </c>
      <c r="G4647" s="14"/>
      <c r="H4647" s="12" t="s">
        <v>38</v>
      </c>
      <c r="I4647" s="12" t="s">
        <v>159</v>
      </c>
      <c r="J4647" s="12" t="s">
        <v>341</v>
      </c>
      <c r="K4647" s="12" t="s">
        <v>199</v>
      </c>
      <c r="L4647" s="14"/>
      <c r="M4647" s="12" t="s">
        <v>43</v>
      </c>
      <c r="N4647" s="12" t="s">
        <v>84</v>
      </c>
      <c r="O4647" s="12" t="s">
        <v>16253</v>
      </c>
      <c r="P4647" s="12" t="s">
        <v>46</v>
      </c>
      <c r="Q4647" s="12" t="s">
        <v>47</v>
      </c>
      <c r="R4647" s="12" t="s">
        <v>163</v>
      </c>
      <c r="S4647" s="13">
        <v>197804567546</v>
      </c>
      <c r="T4647" s="12" t="s">
        <v>49</v>
      </c>
      <c r="U4647" s="13">
        <v>46</v>
      </c>
      <c r="V4647" s="12" t="s">
        <v>50</v>
      </c>
      <c r="W4647" s="12" t="s">
        <v>186</v>
      </c>
      <c r="X4647" s="14"/>
      <c r="Y4647" s="14"/>
      <c r="Z4647" s="14"/>
      <c r="AA4647" s="14"/>
      <c r="AB4647" s="14"/>
      <c r="AC4647" s="15">
        <v>38.65</v>
      </c>
      <c r="AD4647" s="15">
        <f>AC4647*AG4647</f>
        <v>38.65</v>
      </c>
      <c r="AE4647" s="15">
        <v>85</v>
      </c>
      <c r="AF4647" s="15">
        <f>AE4647*AG4647</f>
        <v>85</v>
      </c>
      <c r="AG4647" s="16">
        <v>1</v>
      </c>
    </row>
    <row r="4648" spans="1:33" ht="15" customHeight="1" x14ac:dyDescent="0.2">
      <c r="A4648" s="11" t="str">
        <f t="shared" si="1444"/>
        <v>VN000EDN7D61</v>
      </c>
      <c r="B4648" s="12" t="s">
        <v>16254</v>
      </c>
      <c r="C4648" s="12" t="s">
        <v>996</v>
      </c>
      <c r="D4648" s="12" t="s">
        <v>1231</v>
      </c>
      <c r="E4648" s="12" t="s">
        <v>16255</v>
      </c>
      <c r="F4648" s="13">
        <v>130</v>
      </c>
      <c r="G4648" s="14"/>
      <c r="H4648" s="12" t="s">
        <v>38</v>
      </c>
      <c r="I4648" s="12" t="s">
        <v>159</v>
      </c>
      <c r="J4648" s="12" t="s">
        <v>341</v>
      </c>
      <c r="K4648" s="12" t="s">
        <v>199</v>
      </c>
      <c r="L4648" s="14"/>
      <c r="M4648" s="12" t="s">
        <v>43</v>
      </c>
      <c r="N4648" s="12" t="s">
        <v>84</v>
      </c>
      <c r="O4648" s="12" t="s">
        <v>16256</v>
      </c>
      <c r="P4648" s="12" t="s">
        <v>46</v>
      </c>
      <c r="Q4648" s="12" t="s">
        <v>47</v>
      </c>
      <c r="R4648" s="12" t="s">
        <v>163</v>
      </c>
      <c r="S4648" s="13">
        <v>197804567584</v>
      </c>
      <c r="T4648" s="12" t="s">
        <v>49</v>
      </c>
      <c r="U4648" s="13">
        <v>47</v>
      </c>
      <c r="V4648" s="12" t="s">
        <v>50</v>
      </c>
      <c r="W4648" s="12" t="s">
        <v>186</v>
      </c>
      <c r="X4648" s="14"/>
      <c r="Y4648" s="14"/>
      <c r="Z4648" s="14"/>
      <c r="AA4648" s="14"/>
      <c r="AB4648" s="14"/>
      <c r="AC4648" s="15">
        <v>38.65</v>
      </c>
      <c r="AD4648" s="15">
        <f>AC4648*AG4648</f>
        <v>38.65</v>
      </c>
      <c r="AE4648" s="15">
        <v>85</v>
      </c>
      <c r="AF4648" s="15">
        <f>AE4648*AG4648</f>
        <v>85</v>
      </c>
      <c r="AG4648" s="16">
        <v>1</v>
      </c>
    </row>
    <row r="4649" spans="1:33" ht="15" customHeight="1" x14ac:dyDescent="0.2">
      <c r="A4649" s="11" t="str">
        <f t="shared" ref="A4649:A4650" si="1445">HYPERLINK("https://assets.vans.eu/images/VN000EDN9X1-HERO/1","VN000EDN9X11")</f>
        <v>VN000EDN9X11</v>
      </c>
      <c r="B4649" s="12" t="s">
        <v>16257</v>
      </c>
      <c r="C4649" s="12" t="s">
        <v>996</v>
      </c>
      <c r="D4649" s="12" t="s">
        <v>4428</v>
      </c>
      <c r="E4649" s="12" t="s">
        <v>16258</v>
      </c>
      <c r="F4649" s="13">
        <v>70</v>
      </c>
      <c r="G4649" s="12" t="s">
        <v>4430</v>
      </c>
      <c r="H4649" s="12" t="s">
        <v>38</v>
      </c>
      <c r="I4649" s="12" t="s">
        <v>159</v>
      </c>
      <c r="J4649" s="12" t="s">
        <v>341</v>
      </c>
      <c r="K4649" s="12" t="s">
        <v>199</v>
      </c>
      <c r="L4649" s="14"/>
      <c r="M4649" s="12" t="s">
        <v>43</v>
      </c>
      <c r="N4649" s="12" t="s">
        <v>84</v>
      </c>
      <c r="O4649" s="12" t="s">
        <v>16259</v>
      </c>
      <c r="P4649" s="12" t="s">
        <v>46</v>
      </c>
      <c r="Q4649" s="12" t="s">
        <v>47</v>
      </c>
      <c r="R4649" s="12" t="s">
        <v>163</v>
      </c>
      <c r="S4649" s="13">
        <v>197804566716</v>
      </c>
      <c r="T4649" s="12" t="s">
        <v>49</v>
      </c>
      <c r="U4649" s="13">
        <v>39</v>
      </c>
      <c r="V4649" s="12" t="s">
        <v>50</v>
      </c>
      <c r="W4649" s="12" t="s">
        <v>51</v>
      </c>
      <c r="X4649" s="14"/>
      <c r="Y4649" s="14"/>
      <c r="Z4649" s="14"/>
      <c r="AA4649" s="14"/>
      <c r="AB4649" s="14"/>
      <c r="AC4649" s="15">
        <v>38.65</v>
      </c>
      <c r="AD4649" s="15">
        <f>AC4649*AG4649</f>
        <v>38.65</v>
      </c>
      <c r="AE4649" s="15">
        <v>85</v>
      </c>
      <c r="AF4649" s="15">
        <f>AE4649*AG4649</f>
        <v>85</v>
      </c>
      <c r="AG4649" s="16">
        <v>1</v>
      </c>
    </row>
    <row r="4650" spans="1:33" ht="15" customHeight="1" x14ac:dyDescent="0.2">
      <c r="A4650" s="11" t="str">
        <f t="shared" si="1445"/>
        <v>VN000EDN9X11</v>
      </c>
      <c r="B4650" s="12" t="s">
        <v>16260</v>
      </c>
      <c r="C4650" s="12" t="s">
        <v>996</v>
      </c>
      <c r="D4650" s="12" t="s">
        <v>4428</v>
      </c>
      <c r="E4650" s="12" t="s">
        <v>16261</v>
      </c>
      <c r="F4650" s="13">
        <v>90</v>
      </c>
      <c r="G4650" s="12" t="s">
        <v>4430</v>
      </c>
      <c r="H4650" s="12" t="s">
        <v>38</v>
      </c>
      <c r="I4650" s="12" t="s">
        <v>159</v>
      </c>
      <c r="J4650" s="12" t="s">
        <v>341</v>
      </c>
      <c r="K4650" s="12" t="s">
        <v>199</v>
      </c>
      <c r="L4650" s="14"/>
      <c r="M4650" s="12" t="s">
        <v>43</v>
      </c>
      <c r="N4650" s="12" t="s">
        <v>84</v>
      </c>
      <c r="O4650" s="12" t="s">
        <v>16262</v>
      </c>
      <c r="P4650" s="12" t="s">
        <v>46</v>
      </c>
      <c r="Q4650" s="12" t="s">
        <v>47</v>
      </c>
      <c r="R4650" s="12" t="s">
        <v>163</v>
      </c>
      <c r="S4650" s="13">
        <v>197804567126</v>
      </c>
      <c r="T4650" s="12" t="s">
        <v>49</v>
      </c>
      <c r="U4650" s="13">
        <v>42</v>
      </c>
      <c r="V4650" s="12" t="s">
        <v>50</v>
      </c>
      <c r="W4650" s="12" t="s">
        <v>51</v>
      </c>
      <c r="X4650" s="14"/>
      <c r="Y4650" s="14"/>
      <c r="Z4650" s="14"/>
      <c r="AA4650" s="14"/>
      <c r="AB4650" s="14"/>
      <c r="AC4650" s="15">
        <v>38.65</v>
      </c>
      <c r="AD4650" s="15">
        <f>AC4650*AG4650</f>
        <v>38.65</v>
      </c>
      <c r="AE4650" s="15">
        <v>85</v>
      </c>
      <c r="AF4650" s="15">
        <f>AE4650*AG4650</f>
        <v>85</v>
      </c>
      <c r="AG4650" s="16">
        <v>1</v>
      </c>
    </row>
    <row r="4651" spans="1:33" ht="15" customHeight="1" x14ac:dyDescent="0.2">
      <c r="A4651" s="11" t="str">
        <f t="shared" ref="A4651:A4657" si="1446">HYPERLINK("https://assets.vans.eu/images/VN000EDNAH9-HERO/1","VN000EDNAH91")</f>
        <v>VN000EDNAH91</v>
      </c>
      <c r="B4651" s="12" t="s">
        <v>16263</v>
      </c>
      <c r="C4651" s="12" t="s">
        <v>996</v>
      </c>
      <c r="D4651" s="12" t="s">
        <v>3633</v>
      </c>
      <c r="E4651" s="12" t="s">
        <v>16264</v>
      </c>
      <c r="F4651" s="13">
        <v>45</v>
      </c>
      <c r="G4651" s="14"/>
      <c r="H4651" s="12" t="s">
        <v>38</v>
      </c>
      <c r="I4651" s="12" t="s">
        <v>159</v>
      </c>
      <c r="J4651" s="12" t="s">
        <v>341</v>
      </c>
      <c r="K4651" s="12" t="s">
        <v>199</v>
      </c>
      <c r="L4651" s="14"/>
      <c r="M4651" s="12" t="s">
        <v>43</v>
      </c>
      <c r="N4651" s="12" t="s">
        <v>84</v>
      </c>
      <c r="O4651" s="12" t="s">
        <v>16265</v>
      </c>
      <c r="P4651" s="12" t="s">
        <v>46</v>
      </c>
      <c r="Q4651" s="12" t="s">
        <v>47</v>
      </c>
      <c r="R4651" s="12" t="s">
        <v>163</v>
      </c>
      <c r="S4651" s="13">
        <v>197804566655</v>
      </c>
      <c r="T4651" s="12" t="s">
        <v>49</v>
      </c>
      <c r="U4651" s="13">
        <v>36</v>
      </c>
      <c r="V4651" s="12" t="s">
        <v>50</v>
      </c>
      <c r="W4651" s="12" t="s">
        <v>118</v>
      </c>
      <c r="X4651" s="14"/>
      <c r="Y4651" s="14"/>
      <c r="Z4651" s="14"/>
      <c r="AA4651" s="14"/>
      <c r="AB4651" s="14"/>
      <c r="AC4651" s="15">
        <v>38.65</v>
      </c>
      <c r="AD4651" s="15">
        <f>AC4651*AG4651</f>
        <v>38.65</v>
      </c>
      <c r="AE4651" s="15">
        <v>85</v>
      </c>
      <c r="AF4651" s="15">
        <f>AE4651*AG4651</f>
        <v>85</v>
      </c>
      <c r="AG4651" s="16">
        <v>1</v>
      </c>
    </row>
    <row r="4652" spans="1:33" ht="15" customHeight="1" x14ac:dyDescent="0.2">
      <c r="A4652" s="11" t="str">
        <f t="shared" si="1446"/>
        <v>VN000EDNAH91</v>
      </c>
      <c r="B4652" s="12" t="s">
        <v>16266</v>
      </c>
      <c r="C4652" s="12" t="s">
        <v>996</v>
      </c>
      <c r="D4652" s="12" t="s">
        <v>3633</v>
      </c>
      <c r="E4652" s="12" t="s">
        <v>16267</v>
      </c>
      <c r="F4652" s="13">
        <v>50</v>
      </c>
      <c r="G4652" s="14"/>
      <c r="H4652" s="12" t="s">
        <v>38</v>
      </c>
      <c r="I4652" s="12" t="s">
        <v>159</v>
      </c>
      <c r="J4652" s="12" t="s">
        <v>341</v>
      </c>
      <c r="K4652" s="12" t="s">
        <v>199</v>
      </c>
      <c r="L4652" s="14"/>
      <c r="M4652" s="12" t="s">
        <v>43</v>
      </c>
      <c r="N4652" s="12" t="s">
        <v>84</v>
      </c>
      <c r="O4652" s="12" t="s">
        <v>16268</v>
      </c>
      <c r="P4652" s="12" t="s">
        <v>46</v>
      </c>
      <c r="Q4652" s="12" t="s">
        <v>47</v>
      </c>
      <c r="R4652" s="12" t="s">
        <v>163</v>
      </c>
      <c r="S4652" s="13">
        <v>197804566730</v>
      </c>
      <c r="T4652" s="12" t="s">
        <v>49</v>
      </c>
      <c r="U4652" s="13">
        <v>36.5</v>
      </c>
      <c r="V4652" s="12" t="s">
        <v>50</v>
      </c>
      <c r="W4652" s="12" t="s">
        <v>118</v>
      </c>
      <c r="X4652" s="14"/>
      <c r="Y4652" s="14"/>
      <c r="Z4652" s="14"/>
      <c r="AA4652" s="14"/>
      <c r="AB4652" s="14"/>
      <c r="AC4652" s="15">
        <v>38.65</v>
      </c>
      <c r="AD4652" s="15">
        <f>AC4652*AG4652</f>
        <v>38.65</v>
      </c>
      <c r="AE4652" s="15">
        <v>85</v>
      </c>
      <c r="AF4652" s="15">
        <f>AE4652*AG4652</f>
        <v>85</v>
      </c>
      <c r="AG4652" s="16">
        <v>1</v>
      </c>
    </row>
    <row r="4653" spans="1:33" ht="15" customHeight="1" x14ac:dyDescent="0.2">
      <c r="A4653" s="11" t="str">
        <f t="shared" si="1446"/>
        <v>VN000EDNAH91</v>
      </c>
      <c r="B4653" s="12" t="s">
        <v>16269</v>
      </c>
      <c r="C4653" s="12" t="s">
        <v>996</v>
      </c>
      <c r="D4653" s="12" t="s">
        <v>3633</v>
      </c>
      <c r="E4653" s="12" t="s">
        <v>16270</v>
      </c>
      <c r="F4653" s="13">
        <v>55</v>
      </c>
      <c r="G4653" s="14"/>
      <c r="H4653" s="12" t="s">
        <v>38</v>
      </c>
      <c r="I4653" s="12" t="s">
        <v>159</v>
      </c>
      <c r="J4653" s="12" t="s">
        <v>341</v>
      </c>
      <c r="K4653" s="12" t="s">
        <v>199</v>
      </c>
      <c r="L4653" s="14"/>
      <c r="M4653" s="12" t="s">
        <v>43</v>
      </c>
      <c r="N4653" s="12" t="s">
        <v>84</v>
      </c>
      <c r="O4653" s="12" t="s">
        <v>16271</v>
      </c>
      <c r="P4653" s="12" t="s">
        <v>46</v>
      </c>
      <c r="Q4653" s="12" t="s">
        <v>47</v>
      </c>
      <c r="R4653" s="12" t="s">
        <v>163</v>
      </c>
      <c r="S4653" s="13">
        <v>197804566914</v>
      </c>
      <c r="T4653" s="12" t="s">
        <v>49</v>
      </c>
      <c r="U4653" s="13">
        <v>37</v>
      </c>
      <c r="V4653" s="12" t="s">
        <v>50</v>
      </c>
      <c r="W4653" s="12" t="s">
        <v>118</v>
      </c>
      <c r="X4653" s="14"/>
      <c r="Y4653" s="14"/>
      <c r="Z4653" s="14"/>
      <c r="AA4653" s="14"/>
      <c r="AB4653" s="14"/>
      <c r="AC4653" s="15">
        <v>38.65</v>
      </c>
      <c r="AD4653" s="15">
        <f>AC4653*AG4653</f>
        <v>38.65</v>
      </c>
      <c r="AE4653" s="15">
        <v>85</v>
      </c>
      <c r="AF4653" s="15">
        <f>AE4653*AG4653</f>
        <v>85</v>
      </c>
      <c r="AG4653" s="16">
        <v>1</v>
      </c>
    </row>
    <row r="4654" spans="1:33" ht="15" customHeight="1" x14ac:dyDescent="0.2">
      <c r="A4654" s="11" t="str">
        <f t="shared" si="1446"/>
        <v>VN000EDNAH91</v>
      </c>
      <c r="B4654" s="12" t="s">
        <v>16272</v>
      </c>
      <c r="C4654" s="12" t="s">
        <v>996</v>
      </c>
      <c r="D4654" s="12" t="s">
        <v>3633</v>
      </c>
      <c r="E4654" s="12" t="s">
        <v>16273</v>
      </c>
      <c r="F4654" s="13">
        <v>85</v>
      </c>
      <c r="G4654" s="14"/>
      <c r="H4654" s="12" t="s">
        <v>38</v>
      </c>
      <c r="I4654" s="12" t="s">
        <v>159</v>
      </c>
      <c r="J4654" s="12" t="s">
        <v>341</v>
      </c>
      <c r="K4654" s="12" t="s">
        <v>199</v>
      </c>
      <c r="L4654" s="14"/>
      <c r="M4654" s="12" t="s">
        <v>43</v>
      </c>
      <c r="N4654" s="12" t="s">
        <v>84</v>
      </c>
      <c r="O4654" s="12" t="s">
        <v>16274</v>
      </c>
      <c r="P4654" s="12" t="s">
        <v>46</v>
      </c>
      <c r="Q4654" s="12" t="s">
        <v>47</v>
      </c>
      <c r="R4654" s="12" t="s">
        <v>163</v>
      </c>
      <c r="S4654" s="13">
        <v>197804567447</v>
      </c>
      <c r="T4654" s="12" t="s">
        <v>49</v>
      </c>
      <c r="U4654" s="13">
        <v>41</v>
      </c>
      <c r="V4654" s="12" t="s">
        <v>50</v>
      </c>
      <c r="W4654" s="12" t="s">
        <v>118</v>
      </c>
      <c r="X4654" s="14"/>
      <c r="Y4654" s="14"/>
      <c r="Z4654" s="14"/>
      <c r="AA4654" s="14"/>
      <c r="AB4654" s="14"/>
      <c r="AC4654" s="15">
        <v>38.65</v>
      </c>
      <c r="AD4654" s="15">
        <f>AC4654*AG4654</f>
        <v>38.65</v>
      </c>
      <c r="AE4654" s="15">
        <v>85</v>
      </c>
      <c r="AF4654" s="15">
        <f>AE4654*AG4654</f>
        <v>85</v>
      </c>
      <c r="AG4654" s="16">
        <v>1</v>
      </c>
    </row>
    <row r="4655" spans="1:33" ht="15" customHeight="1" x14ac:dyDescent="0.2">
      <c r="A4655" s="11" t="str">
        <f t="shared" si="1446"/>
        <v>VN000EDNAH91</v>
      </c>
      <c r="B4655" s="12" t="s">
        <v>16275</v>
      </c>
      <c r="C4655" s="12" t="s">
        <v>996</v>
      </c>
      <c r="D4655" s="12" t="s">
        <v>3633</v>
      </c>
      <c r="E4655" s="12" t="s">
        <v>16276</v>
      </c>
      <c r="F4655" s="13">
        <v>110</v>
      </c>
      <c r="G4655" s="14"/>
      <c r="H4655" s="12" t="s">
        <v>38</v>
      </c>
      <c r="I4655" s="12" t="s">
        <v>159</v>
      </c>
      <c r="J4655" s="12" t="s">
        <v>341</v>
      </c>
      <c r="K4655" s="12" t="s">
        <v>199</v>
      </c>
      <c r="L4655" s="14"/>
      <c r="M4655" s="12" t="s">
        <v>43</v>
      </c>
      <c r="N4655" s="12" t="s">
        <v>84</v>
      </c>
      <c r="O4655" s="12" t="s">
        <v>16277</v>
      </c>
      <c r="P4655" s="12" t="s">
        <v>46</v>
      </c>
      <c r="Q4655" s="12" t="s">
        <v>47</v>
      </c>
      <c r="R4655" s="12" t="s">
        <v>163</v>
      </c>
      <c r="S4655" s="13">
        <v>197804567751</v>
      </c>
      <c r="T4655" s="12" t="s">
        <v>49</v>
      </c>
      <c r="U4655" s="13">
        <v>44.5</v>
      </c>
      <c r="V4655" s="12" t="s">
        <v>50</v>
      </c>
      <c r="W4655" s="12" t="s">
        <v>118</v>
      </c>
      <c r="X4655" s="14"/>
      <c r="Y4655" s="14"/>
      <c r="Z4655" s="14"/>
      <c r="AA4655" s="14"/>
      <c r="AB4655" s="14"/>
      <c r="AC4655" s="15">
        <v>38.65</v>
      </c>
      <c r="AD4655" s="15">
        <f>AC4655*AG4655</f>
        <v>38.65</v>
      </c>
      <c r="AE4655" s="15">
        <v>85</v>
      </c>
      <c r="AF4655" s="15">
        <f>AE4655*AG4655</f>
        <v>85</v>
      </c>
      <c r="AG4655" s="16">
        <v>1</v>
      </c>
    </row>
    <row r="4656" spans="1:33" ht="15" customHeight="1" x14ac:dyDescent="0.2">
      <c r="A4656" s="11" t="str">
        <f t="shared" si="1446"/>
        <v>VN000EDNAH91</v>
      </c>
      <c r="B4656" s="12" t="s">
        <v>16278</v>
      </c>
      <c r="C4656" s="12" t="s">
        <v>996</v>
      </c>
      <c r="D4656" s="12" t="s">
        <v>3633</v>
      </c>
      <c r="E4656" s="12" t="s">
        <v>16279</v>
      </c>
      <c r="F4656" s="13">
        <v>115</v>
      </c>
      <c r="G4656" s="14"/>
      <c r="H4656" s="12" t="s">
        <v>38</v>
      </c>
      <c r="I4656" s="12" t="s">
        <v>159</v>
      </c>
      <c r="J4656" s="12" t="s">
        <v>341</v>
      </c>
      <c r="K4656" s="12" t="s">
        <v>199</v>
      </c>
      <c r="L4656" s="14"/>
      <c r="M4656" s="12" t="s">
        <v>43</v>
      </c>
      <c r="N4656" s="12" t="s">
        <v>84</v>
      </c>
      <c r="O4656" s="12" t="s">
        <v>16280</v>
      </c>
      <c r="P4656" s="12" t="s">
        <v>46</v>
      </c>
      <c r="Q4656" s="12" t="s">
        <v>47</v>
      </c>
      <c r="R4656" s="12" t="s">
        <v>163</v>
      </c>
      <c r="S4656" s="13">
        <v>197804567775</v>
      </c>
      <c r="T4656" s="12" t="s">
        <v>49</v>
      </c>
      <c r="U4656" s="13">
        <v>45</v>
      </c>
      <c r="V4656" s="12" t="s">
        <v>50</v>
      </c>
      <c r="W4656" s="12" t="s">
        <v>118</v>
      </c>
      <c r="X4656" s="14"/>
      <c r="Y4656" s="14"/>
      <c r="Z4656" s="14"/>
      <c r="AA4656" s="14"/>
      <c r="AB4656" s="14"/>
      <c r="AC4656" s="15">
        <v>38.65</v>
      </c>
      <c r="AD4656" s="15">
        <f>AC4656*AG4656</f>
        <v>38.65</v>
      </c>
      <c r="AE4656" s="15">
        <v>85</v>
      </c>
      <c r="AF4656" s="15">
        <f>AE4656*AG4656</f>
        <v>85</v>
      </c>
      <c r="AG4656" s="16">
        <v>1</v>
      </c>
    </row>
    <row r="4657" spans="1:33" ht="15" customHeight="1" x14ac:dyDescent="0.2">
      <c r="A4657" s="11" t="str">
        <f t="shared" si="1446"/>
        <v>VN000EDNAH91</v>
      </c>
      <c r="B4657" s="12" t="s">
        <v>16281</v>
      </c>
      <c r="C4657" s="12" t="s">
        <v>996</v>
      </c>
      <c r="D4657" s="12" t="s">
        <v>3633</v>
      </c>
      <c r="E4657" s="12" t="s">
        <v>16282</v>
      </c>
      <c r="F4657" s="13">
        <v>120</v>
      </c>
      <c r="G4657" s="14"/>
      <c r="H4657" s="12" t="s">
        <v>38</v>
      </c>
      <c r="I4657" s="12" t="s">
        <v>159</v>
      </c>
      <c r="J4657" s="12" t="s">
        <v>341</v>
      </c>
      <c r="K4657" s="12" t="s">
        <v>199</v>
      </c>
      <c r="L4657" s="14"/>
      <c r="M4657" s="12" t="s">
        <v>43</v>
      </c>
      <c r="N4657" s="12" t="s">
        <v>84</v>
      </c>
      <c r="O4657" s="12" t="s">
        <v>16283</v>
      </c>
      <c r="P4657" s="12" t="s">
        <v>46</v>
      </c>
      <c r="Q4657" s="12" t="s">
        <v>47</v>
      </c>
      <c r="R4657" s="12" t="s">
        <v>163</v>
      </c>
      <c r="S4657" s="13">
        <v>197804568017</v>
      </c>
      <c r="T4657" s="12" t="s">
        <v>49</v>
      </c>
      <c r="U4657" s="13">
        <v>46</v>
      </c>
      <c r="V4657" s="12" t="s">
        <v>50</v>
      </c>
      <c r="W4657" s="12" t="s">
        <v>118</v>
      </c>
      <c r="X4657" s="14"/>
      <c r="Y4657" s="14"/>
      <c r="Z4657" s="14"/>
      <c r="AA4657" s="14"/>
      <c r="AB4657" s="14"/>
      <c r="AC4657" s="15">
        <v>38.65</v>
      </c>
      <c r="AD4657" s="15">
        <f>AC4657*AG4657</f>
        <v>38.65</v>
      </c>
      <c r="AE4657" s="15">
        <v>85</v>
      </c>
      <c r="AF4657" s="15">
        <f>AE4657*AG4657</f>
        <v>85</v>
      </c>
      <c r="AG4657" s="16">
        <v>1</v>
      </c>
    </row>
    <row r="4658" spans="1:33" ht="15" customHeight="1" x14ac:dyDescent="0.2">
      <c r="A4658" s="11" t="str">
        <f t="shared" ref="A4658:A4663" si="1447">HYPERLINK("https://assets.vans.eu/images/VN000EDNGRY-HERO/1","VN000EDNGRY1")</f>
        <v>VN000EDNGRY1</v>
      </c>
      <c r="B4658" s="12" t="s">
        <v>16284</v>
      </c>
      <c r="C4658" s="12" t="s">
        <v>996</v>
      </c>
      <c r="D4658" s="12" t="s">
        <v>13536</v>
      </c>
      <c r="E4658" s="12" t="s">
        <v>16285</v>
      </c>
      <c r="F4658" s="13">
        <v>40</v>
      </c>
      <c r="G4658" s="12" t="s">
        <v>16286</v>
      </c>
      <c r="H4658" s="12" t="s">
        <v>38</v>
      </c>
      <c r="I4658" s="12" t="s">
        <v>159</v>
      </c>
      <c r="J4658" s="12" t="s">
        <v>341</v>
      </c>
      <c r="K4658" s="12" t="s">
        <v>199</v>
      </c>
      <c r="L4658" s="14"/>
      <c r="M4658" s="12" t="s">
        <v>43</v>
      </c>
      <c r="N4658" s="12" t="s">
        <v>84</v>
      </c>
      <c r="O4658" s="12" t="s">
        <v>16287</v>
      </c>
      <c r="P4658" s="12" t="s">
        <v>46</v>
      </c>
      <c r="Q4658" s="12" t="s">
        <v>47</v>
      </c>
      <c r="R4658" s="12" t="s">
        <v>163</v>
      </c>
      <c r="S4658" s="13">
        <v>197804567034</v>
      </c>
      <c r="T4658" s="12" t="s">
        <v>49</v>
      </c>
      <c r="U4658" s="13">
        <v>35</v>
      </c>
      <c r="V4658" s="12" t="s">
        <v>209</v>
      </c>
      <c r="W4658" s="12" t="s">
        <v>455</v>
      </c>
      <c r="X4658" s="14"/>
      <c r="Y4658" s="14"/>
      <c r="Z4658" s="14"/>
      <c r="AA4658" s="14"/>
      <c r="AB4658" s="14"/>
      <c r="AC4658" s="15">
        <v>38.65</v>
      </c>
      <c r="AD4658" s="15">
        <f>AC4658*AG4658</f>
        <v>38.65</v>
      </c>
      <c r="AE4658" s="15">
        <v>85</v>
      </c>
      <c r="AF4658" s="15">
        <f>AE4658*AG4658</f>
        <v>85</v>
      </c>
      <c r="AG4658" s="16">
        <v>1</v>
      </c>
    </row>
    <row r="4659" spans="1:33" ht="15" customHeight="1" x14ac:dyDescent="0.2">
      <c r="A4659" s="11" t="str">
        <f t="shared" si="1447"/>
        <v>VN000EDNGRY1</v>
      </c>
      <c r="B4659" s="12" t="s">
        <v>16288</v>
      </c>
      <c r="C4659" s="12" t="s">
        <v>996</v>
      </c>
      <c r="D4659" s="12" t="s">
        <v>13536</v>
      </c>
      <c r="E4659" s="12" t="s">
        <v>16289</v>
      </c>
      <c r="F4659" s="13">
        <v>45</v>
      </c>
      <c r="G4659" s="12" t="s">
        <v>16286</v>
      </c>
      <c r="H4659" s="12" t="s">
        <v>38</v>
      </c>
      <c r="I4659" s="12" t="s">
        <v>159</v>
      </c>
      <c r="J4659" s="12" t="s">
        <v>341</v>
      </c>
      <c r="K4659" s="12" t="s">
        <v>199</v>
      </c>
      <c r="L4659" s="14"/>
      <c r="M4659" s="12" t="s">
        <v>43</v>
      </c>
      <c r="N4659" s="12" t="s">
        <v>84</v>
      </c>
      <c r="O4659" s="12" t="s">
        <v>16290</v>
      </c>
      <c r="P4659" s="12" t="s">
        <v>46</v>
      </c>
      <c r="Q4659" s="12" t="s">
        <v>47</v>
      </c>
      <c r="R4659" s="12" t="s">
        <v>163</v>
      </c>
      <c r="S4659" s="13">
        <v>197804567201</v>
      </c>
      <c r="T4659" s="12" t="s">
        <v>49</v>
      </c>
      <c r="U4659" s="13">
        <v>36</v>
      </c>
      <c r="V4659" s="12" t="s">
        <v>209</v>
      </c>
      <c r="W4659" s="12" t="s">
        <v>455</v>
      </c>
      <c r="X4659" s="14"/>
      <c r="Y4659" s="14"/>
      <c r="Z4659" s="14"/>
      <c r="AA4659" s="14"/>
      <c r="AB4659" s="14"/>
      <c r="AC4659" s="15">
        <v>38.65</v>
      </c>
      <c r="AD4659" s="15">
        <f>AC4659*AG4659</f>
        <v>38.65</v>
      </c>
      <c r="AE4659" s="15">
        <v>85</v>
      </c>
      <c r="AF4659" s="15">
        <f>AE4659*AG4659</f>
        <v>85</v>
      </c>
      <c r="AG4659" s="16">
        <v>1</v>
      </c>
    </row>
    <row r="4660" spans="1:33" ht="15" customHeight="1" x14ac:dyDescent="0.2">
      <c r="A4660" s="11" t="str">
        <f t="shared" si="1447"/>
        <v>VN000EDNGRY1</v>
      </c>
      <c r="B4660" s="12" t="s">
        <v>16291</v>
      </c>
      <c r="C4660" s="12" t="s">
        <v>996</v>
      </c>
      <c r="D4660" s="12" t="s">
        <v>13536</v>
      </c>
      <c r="E4660" s="12" t="s">
        <v>16292</v>
      </c>
      <c r="F4660" s="13">
        <v>65</v>
      </c>
      <c r="G4660" s="12" t="s">
        <v>16286</v>
      </c>
      <c r="H4660" s="12" t="s">
        <v>38</v>
      </c>
      <c r="I4660" s="12" t="s">
        <v>159</v>
      </c>
      <c r="J4660" s="12" t="s">
        <v>341</v>
      </c>
      <c r="K4660" s="12" t="s">
        <v>199</v>
      </c>
      <c r="L4660" s="14"/>
      <c r="M4660" s="12" t="s">
        <v>43</v>
      </c>
      <c r="N4660" s="12" t="s">
        <v>84</v>
      </c>
      <c r="O4660" s="12" t="s">
        <v>16293</v>
      </c>
      <c r="P4660" s="12" t="s">
        <v>46</v>
      </c>
      <c r="Q4660" s="12" t="s">
        <v>47</v>
      </c>
      <c r="R4660" s="12" t="s">
        <v>163</v>
      </c>
      <c r="S4660" s="13">
        <v>197804567386</v>
      </c>
      <c r="T4660" s="12" t="s">
        <v>49</v>
      </c>
      <c r="U4660" s="13">
        <v>38.5</v>
      </c>
      <c r="V4660" s="12" t="s">
        <v>209</v>
      </c>
      <c r="W4660" s="12" t="s">
        <v>455</v>
      </c>
      <c r="X4660" s="14"/>
      <c r="Y4660" s="14"/>
      <c r="Z4660" s="14"/>
      <c r="AA4660" s="14"/>
      <c r="AB4660" s="14"/>
      <c r="AC4660" s="15">
        <v>38.65</v>
      </c>
      <c r="AD4660" s="15">
        <f>AC4660*AG4660</f>
        <v>38.65</v>
      </c>
      <c r="AE4660" s="15">
        <v>85</v>
      </c>
      <c r="AF4660" s="15">
        <f>AE4660*AG4660</f>
        <v>85</v>
      </c>
      <c r="AG4660" s="16">
        <v>1</v>
      </c>
    </row>
    <row r="4661" spans="1:33" ht="15" customHeight="1" x14ac:dyDescent="0.2">
      <c r="A4661" s="11" t="str">
        <f t="shared" si="1447"/>
        <v>VN000EDNGRY1</v>
      </c>
      <c r="B4661" s="12" t="s">
        <v>16294</v>
      </c>
      <c r="C4661" s="12" t="s">
        <v>996</v>
      </c>
      <c r="D4661" s="12" t="s">
        <v>13536</v>
      </c>
      <c r="E4661" s="12" t="s">
        <v>16295</v>
      </c>
      <c r="F4661" s="13">
        <v>100</v>
      </c>
      <c r="G4661" s="12" t="s">
        <v>16286</v>
      </c>
      <c r="H4661" s="12" t="s">
        <v>38</v>
      </c>
      <c r="I4661" s="12" t="s">
        <v>159</v>
      </c>
      <c r="J4661" s="12" t="s">
        <v>341</v>
      </c>
      <c r="K4661" s="12" t="s">
        <v>199</v>
      </c>
      <c r="L4661" s="14"/>
      <c r="M4661" s="12" t="s">
        <v>43</v>
      </c>
      <c r="N4661" s="12" t="s">
        <v>84</v>
      </c>
      <c r="O4661" s="12" t="s">
        <v>16296</v>
      </c>
      <c r="P4661" s="12" t="s">
        <v>46</v>
      </c>
      <c r="Q4661" s="12" t="s">
        <v>47</v>
      </c>
      <c r="R4661" s="12" t="s">
        <v>163</v>
      </c>
      <c r="S4661" s="13">
        <v>197804567973</v>
      </c>
      <c r="T4661" s="12" t="s">
        <v>49</v>
      </c>
      <c r="U4661" s="13">
        <v>43</v>
      </c>
      <c r="V4661" s="12" t="s">
        <v>209</v>
      </c>
      <c r="W4661" s="12" t="s">
        <v>455</v>
      </c>
      <c r="X4661" s="14"/>
      <c r="Y4661" s="14"/>
      <c r="Z4661" s="14"/>
      <c r="AA4661" s="14"/>
      <c r="AB4661" s="14"/>
      <c r="AC4661" s="15">
        <v>38.65</v>
      </c>
      <c r="AD4661" s="15">
        <f>AC4661*AG4661</f>
        <v>38.65</v>
      </c>
      <c r="AE4661" s="15">
        <v>85</v>
      </c>
      <c r="AF4661" s="15">
        <f>AE4661*AG4661</f>
        <v>85</v>
      </c>
      <c r="AG4661" s="16">
        <v>1</v>
      </c>
    </row>
    <row r="4662" spans="1:33" ht="15" customHeight="1" x14ac:dyDescent="0.2">
      <c r="A4662" s="11" t="str">
        <f t="shared" si="1447"/>
        <v>VN000EDNGRY1</v>
      </c>
      <c r="B4662" s="12" t="s">
        <v>16297</v>
      </c>
      <c r="C4662" s="12" t="s">
        <v>996</v>
      </c>
      <c r="D4662" s="12" t="s">
        <v>13536</v>
      </c>
      <c r="E4662" s="12" t="s">
        <v>16298</v>
      </c>
      <c r="F4662" s="13">
        <v>115</v>
      </c>
      <c r="G4662" s="12" t="s">
        <v>16286</v>
      </c>
      <c r="H4662" s="12" t="s">
        <v>38</v>
      </c>
      <c r="I4662" s="12" t="s">
        <v>159</v>
      </c>
      <c r="J4662" s="12" t="s">
        <v>341</v>
      </c>
      <c r="K4662" s="12" t="s">
        <v>199</v>
      </c>
      <c r="L4662" s="14"/>
      <c r="M4662" s="12" t="s">
        <v>43</v>
      </c>
      <c r="N4662" s="12" t="s">
        <v>84</v>
      </c>
      <c r="O4662" s="12" t="s">
        <v>16299</v>
      </c>
      <c r="P4662" s="12" t="s">
        <v>46</v>
      </c>
      <c r="Q4662" s="12" t="s">
        <v>47</v>
      </c>
      <c r="R4662" s="12" t="s">
        <v>163</v>
      </c>
      <c r="S4662" s="13">
        <v>197804568338</v>
      </c>
      <c r="T4662" s="12" t="s">
        <v>49</v>
      </c>
      <c r="U4662" s="13">
        <v>45</v>
      </c>
      <c r="V4662" s="12" t="s">
        <v>209</v>
      </c>
      <c r="W4662" s="12" t="s">
        <v>455</v>
      </c>
      <c r="X4662" s="14"/>
      <c r="Y4662" s="14"/>
      <c r="Z4662" s="14"/>
      <c r="AA4662" s="14"/>
      <c r="AB4662" s="14"/>
      <c r="AC4662" s="15">
        <v>38.65</v>
      </c>
      <c r="AD4662" s="15">
        <f>AC4662*AG4662</f>
        <v>38.65</v>
      </c>
      <c r="AE4662" s="15">
        <v>85</v>
      </c>
      <c r="AF4662" s="15">
        <f>AE4662*AG4662</f>
        <v>85</v>
      </c>
      <c r="AG4662" s="16">
        <v>1</v>
      </c>
    </row>
    <row r="4663" spans="1:33" ht="15" customHeight="1" x14ac:dyDescent="0.2">
      <c r="A4663" s="11" t="str">
        <f t="shared" si="1447"/>
        <v>VN000EDNGRY1</v>
      </c>
      <c r="B4663" s="12" t="s">
        <v>16300</v>
      </c>
      <c r="C4663" s="12" t="s">
        <v>996</v>
      </c>
      <c r="D4663" s="12" t="s">
        <v>13536</v>
      </c>
      <c r="E4663" s="12" t="s">
        <v>16301</v>
      </c>
      <c r="F4663" s="13">
        <v>130</v>
      </c>
      <c r="G4663" s="12" t="s">
        <v>16286</v>
      </c>
      <c r="H4663" s="12" t="s">
        <v>38</v>
      </c>
      <c r="I4663" s="12" t="s">
        <v>159</v>
      </c>
      <c r="J4663" s="12" t="s">
        <v>341</v>
      </c>
      <c r="K4663" s="12" t="s">
        <v>199</v>
      </c>
      <c r="L4663" s="14"/>
      <c r="M4663" s="12" t="s">
        <v>43</v>
      </c>
      <c r="N4663" s="12" t="s">
        <v>84</v>
      </c>
      <c r="O4663" s="12" t="s">
        <v>16302</v>
      </c>
      <c r="P4663" s="12" t="s">
        <v>46</v>
      </c>
      <c r="Q4663" s="12" t="s">
        <v>47</v>
      </c>
      <c r="R4663" s="12" t="s">
        <v>163</v>
      </c>
      <c r="S4663" s="13">
        <v>197804568581</v>
      </c>
      <c r="T4663" s="12" t="s">
        <v>49</v>
      </c>
      <c r="U4663" s="13">
        <v>47</v>
      </c>
      <c r="V4663" s="12" t="s">
        <v>209</v>
      </c>
      <c r="W4663" s="12" t="s">
        <v>455</v>
      </c>
      <c r="X4663" s="14"/>
      <c r="Y4663" s="14"/>
      <c r="Z4663" s="14"/>
      <c r="AA4663" s="14"/>
      <c r="AB4663" s="14"/>
      <c r="AC4663" s="15">
        <v>38.65</v>
      </c>
      <c r="AD4663" s="15">
        <f>AC4663*AG4663</f>
        <v>38.65</v>
      </c>
      <c r="AE4663" s="15">
        <v>85</v>
      </c>
      <c r="AF4663" s="15">
        <f>AE4663*AG4663</f>
        <v>85</v>
      </c>
      <c r="AG4663" s="16">
        <v>1</v>
      </c>
    </row>
    <row r="4664" spans="1:33" ht="15" customHeight="1" x14ac:dyDescent="0.2">
      <c r="A4664" s="11" t="str">
        <f t="shared" ref="A4664:A4665" si="1448">HYPERLINK("https://assets.vans.eu/images/VN000EDUCD3-HERO/1","VN000EDUCD31")</f>
        <v>VN000EDUCD31</v>
      </c>
      <c r="B4664" s="12" t="s">
        <v>16303</v>
      </c>
      <c r="C4664" s="12" t="s">
        <v>502</v>
      </c>
      <c r="D4664" s="12" t="s">
        <v>1104</v>
      </c>
      <c r="E4664" s="12" t="s">
        <v>16304</v>
      </c>
      <c r="F4664" s="13">
        <v>60</v>
      </c>
      <c r="G4664" s="12" t="s">
        <v>1460</v>
      </c>
      <c r="H4664" s="12" t="s">
        <v>38</v>
      </c>
      <c r="I4664" s="12" t="s">
        <v>113</v>
      </c>
      <c r="J4664" s="12" t="s">
        <v>529</v>
      </c>
      <c r="K4664" s="12" t="s">
        <v>82</v>
      </c>
      <c r="L4664" s="14"/>
      <c r="M4664" s="12" t="s">
        <v>43</v>
      </c>
      <c r="N4664" s="12" t="s">
        <v>84</v>
      </c>
      <c r="O4664" s="12" t="s">
        <v>16305</v>
      </c>
      <c r="P4664" s="12" t="s">
        <v>46</v>
      </c>
      <c r="Q4664" s="12" t="s">
        <v>47</v>
      </c>
      <c r="R4664" s="12" t="s">
        <v>117</v>
      </c>
      <c r="S4664" s="13">
        <v>197804567676</v>
      </c>
      <c r="T4664" s="12" t="s">
        <v>105</v>
      </c>
      <c r="U4664" s="13">
        <v>38</v>
      </c>
      <c r="V4664" s="12" t="s">
        <v>50</v>
      </c>
      <c r="W4664" s="12" t="s">
        <v>175</v>
      </c>
      <c r="X4664" s="14"/>
      <c r="Y4664" s="14"/>
      <c r="Z4664" s="14"/>
      <c r="AA4664" s="14"/>
      <c r="AB4664" s="14"/>
      <c r="AC4664" s="15">
        <v>38.65</v>
      </c>
      <c r="AD4664" s="15">
        <f>AC4664*AG4664</f>
        <v>38.65</v>
      </c>
      <c r="AE4664" s="15">
        <v>85</v>
      </c>
      <c r="AF4664" s="15">
        <f>AE4664*AG4664</f>
        <v>85</v>
      </c>
      <c r="AG4664" s="16">
        <v>1</v>
      </c>
    </row>
    <row r="4665" spans="1:33" ht="15" customHeight="1" x14ac:dyDescent="0.2">
      <c r="A4665" s="11" t="str">
        <f t="shared" si="1448"/>
        <v>VN000EDUCD31</v>
      </c>
      <c r="B4665" s="12" t="s">
        <v>16306</v>
      </c>
      <c r="C4665" s="12" t="s">
        <v>502</v>
      </c>
      <c r="D4665" s="12" t="s">
        <v>1104</v>
      </c>
      <c r="E4665" s="12" t="s">
        <v>16307</v>
      </c>
      <c r="F4665" s="13">
        <v>75</v>
      </c>
      <c r="G4665" s="12" t="s">
        <v>1460</v>
      </c>
      <c r="H4665" s="12" t="s">
        <v>38</v>
      </c>
      <c r="I4665" s="12" t="s">
        <v>113</v>
      </c>
      <c r="J4665" s="12" t="s">
        <v>529</v>
      </c>
      <c r="K4665" s="12" t="s">
        <v>82</v>
      </c>
      <c r="L4665" s="14"/>
      <c r="M4665" s="12" t="s">
        <v>43</v>
      </c>
      <c r="N4665" s="12" t="s">
        <v>84</v>
      </c>
      <c r="O4665" s="12" t="s">
        <v>16308</v>
      </c>
      <c r="P4665" s="12" t="s">
        <v>46</v>
      </c>
      <c r="Q4665" s="12" t="s">
        <v>47</v>
      </c>
      <c r="R4665" s="12" t="s">
        <v>117</v>
      </c>
      <c r="S4665" s="13">
        <v>197804567768</v>
      </c>
      <c r="T4665" s="12" t="s">
        <v>105</v>
      </c>
      <c r="U4665" s="13">
        <v>40</v>
      </c>
      <c r="V4665" s="12" t="s">
        <v>50</v>
      </c>
      <c r="W4665" s="12" t="s">
        <v>175</v>
      </c>
      <c r="X4665" s="14"/>
      <c r="Y4665" s="14"/>
      <c r="Z4665" s="14"/>
      <c r="AA4665" s="14"/>
      <c r="AB4665" s="14"/>
      <c r="AC4665" s="15">
        <v>38.65</v>
      </c>
      <c r="AD4665" s="15">
        <f>AC4665*AG4665</f>
        <v>38.65</v>
      </c>
      <c r="AE4665" s="15">
        <v>85</v>
      </c>
      <c r="AF4665" s="15">
        <f>AE4665*AG4665</f>
        <v>85</v>
      </c>
      <c r="AG4665" s="16">
        <v>1</v>
      </c>
    </row>
    <row r="4666" spans="1:33" ht="15" customHeight="1" x14ac:dyDescent="0.2">
      <c r="A4666" s="11" t="str">
        <f>HYPERLINK("https://assets.vans.eu/images/VN000EFBCJK-HERO/1","VN000EFBCJK1")</f>
        <v>VN000EFBCJK1</v>
      </c>
      <c r="B4666" s="12" t="s">
        <v>16309</v>
      </c>
      <c r="C4666" s="12" t="s">
        <v>1207</v>
      </c>
      <c r="D4666" s="12" t="s">
        <v>919</v>
      </c>
      <c r="E4666" s="12" t="s">
        <v>16310</v>
      </c>
      <c r="F4666" s="13">
        <v>20</v>
      </c>
      <c r="G4666" s="12" t="s">
        <v>643</v>
      </c>
      <c r="H4666" s="12" t="s">
        <v>38</v>
      </c>
      <c r="I4666" s="12" t="s">
        <v>242</v>
      </c>
      <c r="J4666" s="12" t="s">
        <v>243</v>
      </c>
      <c r="K4666" s="12" t="s">
        <v>244</v>
      </c>
      <c r="L4666" s="14"/>
      <c r="M4666" s="12" t="s">
        <v>43</v>
      </c>
      <c r="N4666" s="12" t="s">
        <v>84</v>
      </c>
      <c r="O4666" s="12" t="s">
        <v>16311</v>
      </c>
      <c r="P4666" s="12" t="s">
        <v>46</v>
      </c>
      <c r="Q4666" s="12" t="s">
        <v>47</v>
      </c>
      <c r="R4666" s="12" t="s">
        <v>48</v>
      </c>
      <c r="S4666" s="13">
        <v>198266571782</v>
      </c>
      <c r="T4666" s="12" t="s">
        <v>105</v>
      </c>
      <c r="U4666" s="13">
        <v>17</v>
      </c>
      <c r="V4666" s="12" t="s">
        <v>278</v>
      </c>
      <c r="W4666" s="12" t="s">
        <v>51</v>
      </c>
      <c r="X4666" s="14"/>
      <c r="Y4666" s="14"/>
      <c r="Z4666" s="14"/>
      <c r="AA4666" s="14"/>
      <c r="AB4666" s="14"/>
      <c r="AC4666" s="15">
        <v>29.55</v>
      </c>
      <c r="AD4666" s="15">
        <f>AC4666*AG4666</f>
        <v>29.55</v>
      </c>
      <c r="AE4666" s="15">
        <v>65</v>
      </c>
      <c r="AF4666" s="15">
        <f>AE4666*AG4666</f>
        <v>65</v>
      </c>
      <c r="AG4666" s="16">
        <v>1</v>
      </c>
    </row>
    <row r="4667" spans="1:33" ht="15" customHeight="1" x14ac:dyDescent="0.2">
      <c r="A4667" s="11" t="str">
        <f>HYPERLINK("https://assets.vans.eu/images/VN000EG59X1-HERO/1","VN000EG59X11")</f>
        <v>VN000EG59X11</v>
      </c>
      <c r="B4667" s="12" t="s">
        <v>16312</v>
      </c>
      <c r="C4667" s="12" t="s">
        <v>4427</v>
      </c>
      <c r="D4667" s="12" t="s">
        <v>4428</v>
      </c>
      <c r="E4667" s="12" t="s">
        <v>16313</v>
      </c>
      <c r="F4667" s="13">
        <v>115</v>
      </c>
      <c r="G4667" s="12" t="s">
        <v>4430</v>
      </c>
      <c r="H4667" s="12" t="s">
        <v>38</v>
      </c>
      <c r="I4667" s="12" t="s">
        <v>159</v>
      </c>
      <c r="J4667" s="12" t="s">
        <v>341</v>
      </c>
      <c r="K4667" s="12" t="s">
        <v>199</v>
      </c>
      <c r="L4667" s="14"/>
      <c r="M4667" s="12" t="s">
        <v>43</v>
      </c>
      <c r="N4667" s="12" t="s">
        <v>84</v>
      </c>
      <c r="O4667" s="12" t="s">
        <v>16314</v>
      </c>
      <c r="P4667" s="12" t="s">
        <v>46</v>
      </c>
      <c r="Q4667" s="12" t="s">
        <v>47</v>
      </c>
      <c r="R4667" s="12" t="s">
        <v>163</v>
      </c>
      <c r="S4667" s="13">
        <v>197804571390</v>
      </c>
      <c r="T4667" s="12" t="s">
        <v>49</v>
      </c>
      <c r="U4667" s="13">
        <v>45</v>
      </c>
      <c r="V4667" s="12" t="s">
        <v>209</v>
      </c>
      <c r="W4667" s="12" t="s">
        <v>51</v>
      </c>
      <c r="X4667" s="14"/>
      <c r="Y4667" s="14"/>
      <c r="Z4667" s="14"/>
      <c r="AA4667" s="14"/>
      <c r="AB4667" s="14"/>
      <c r="AC4667" s="15">
        <v>36.4</v>
      </c>
      <c r="AD4667" s="15">
        <f>AC4667*AG4667</f>
        <v>36.4</v>
      </c>
      <c r="AE4667" s="15">
        <v>80</v>
      </c>
      <c r="AF4667" s="15">
        <f>AE4667*AG4667</f>
        <v>80</v>
      </c>
      <c r="AG4667" s="16">
        <v>1</v>
      </c>
    </row>
    <row r="4668" spans="1:33" ht="15" customHeight="1" x14ac:dyDescent="0.2">
      <c r="A4668" s="11" t="str">
        <f>HYPERLINK("https://assets.vans.eu/images/VN000EHWEME-HERO/1","VN000EHWEME1")</f>
        <v>VN000EHWEME1</v>
      </c>
      <c r="B4668" s="12" t="s">
        <v>16315</v>
      </c>
      <c r="C4668" s="12" t="s">
        <v>883</v>
      </c>
      <c r="D4668" s="12" t="s">
        <v>5920</v>
      </c>
      <c r="E4668" s="12" t="s">
        <v>16316</v>
      </c>
      <c r="F4668" s="13">
        <v>45</v>
      </c>
      <c r="G4668" s="12" t="s">
        <v>886</v>
      </c>
      <c r="H4668" s="12" t="s">
        <v>38</v>
      </c>
      <c r="I4668" s="12" t="s">
        <v>39</v>
      </c>
      <c r="J4668" s="12" t="s">
        <v>2430</v>
      </c>
      <c r="K4668" s="12" t="s">
        <v>41</v>
      </c>
      <c r="L4668" s="14"/>
      <c r="M4668" s="12" t="s">
        <v>43</v>
      </c>
      <c r="N4668" s="12" t="s">
        <v>84</v>
      </c>
      <c r="O4668" s="12" t="s">
        <v>16317</v>
      </c>
      <c r="P4668" s="12" t="s">
        <v>46</v>
      </c>
      <c r="Q4668" s="12" t="s">
        <v>47</v>
      </c>
      <c r="R4668" s="12" t="s">
        <v>48</v>
      </c>
      <c r="S4668" s="13">
        <v>197805941932</v>
      </c>
      <c r="T4668" s="12" t="s">
        <v>49</v>
      </c>
      <c r="U4668" s="13">
        <v>36</v>
      </c>
      <c r="V4668" s="12" t="s">
        <v>50</v>
      </c>
      <c r="W4668" s="12" t="s">
        <v>118</v>
      </c>
      <c r="X4668" s="14"/>
      <c r="Y4668" s="14"/>
      <c r="Z4668" s="14"/>
      <c r="AA4668" s="14"/>
      <c r="AB4668" s="14"/>
      <c r="AC4668" s="15">
        <v>28.6</v>
      </c>
      <c r="AD4668" s="15">
        <f>AC4668*AG4668</f>
        <v>28.6</v>
      </c>
      <c r="AE4668" s="15">
        <v>60</v>
      </c>
      <c r="AF4668" s="15">
        <f>AE4668*AG4668</f>
        <v>60</v>
      </c>
      <c r="AG4668" s="16">
        <v>1</v>
      </c>
    </row>
    <row r="4669" spans="1:33" ht="15" customHeight="1" x14ac:dyDescent="0.2">
      <c r="A4669" s="11" t="str">
        <f>HYPERLINK("https://assets.vans.eu/images/VN000EHZBA2-HERO/1","VN000EHZBA21")</f>
        <v>VN000EHZBA21</v>
      </c>
      <c r="B4669" s="12" t="s">
        <v>16318</v>
      </c>
      <c r="C4669" s="12" t="s">
        <v>16319</v>
      </c>
      <c r="D4669" s="12" t="s">
        <v>1844</v>
      </c>
      <c r="E4669" s="12" t="s">
        <v>16320</v>
      </c>
      <c r="F4669" s="13">
        <v>60</v>
      </c>
      <c r="G4669" s="12" t="s">
        <v>2814</v>
      </c>
      <c r="H4669" s="12" t="s">
        <v>38</v>
      </c>
      <c r="I4669" s="12" t="s">
        <v>39</v>
      </c>
      <c r="J4669" s="12" t="s">
        <v>40</v>
      </c>
      <c r="K4669" s="12" t="s">
        <v>41</v>
      </c>
      <c r="L4669" s="14"/>
      <c r="M4669" s="12" t="s">
        <v>43</v>
      </c>
      <c r="N4669" s="12" t="s">
        <v>84</v>
      </c>
      <c r="O4669" s="12" t="s">
        <v>16321</v>
      </c>
      <c r="P4669" s="12" t="s">
        <v>46</v>
      </c>
      <c r="Q4669" s="12" t="s">
        <v>47</v>
      </c>
      <c r="R4669" s="12" t="s">
        <v>48</v>
      </c>
      <c r="S4669" s="13">
        <v>197805945275</v>
      </c>
      <c r="T4669" s="12" t="s">
        <v>49</v>
      </c>
      <c r="U4669" s="13">
        <v>38</v>
      </c>
      <c r="V4669" s="12" t="s">
        <v>50</v>
      </c>
      <c r="W4669" s="12" t="s">
        <v>51</v>
      </c>
      <c r="X4669" s="14"/>
      <c r="Y4669" s="14"/>
      <c r="Z4669" s="14"/>
      <c r="AA4669" s="14"/>
      <c r="AB4669" s="14"/>
      <c r="AC4669" s="15">
        <v>31</v>
      </c>
      <c r="AD4669" s="15">
        <f>AC4669*AG4669</f>
        <v>31</v>
      </c>
      <c r="AE4669" s="15">
        <v>65</v>
      </c>
      <c r="AF4669" s="15">
        <f>AE4669*AG4669</f>
        <v>65</v>
      </c>
      <c r="AG4669" s="16">
        <v>1</v>
      </c>
    </row>
    <row r="4670" spans="1:33" ht="15" customHeight="1" x14ac:dyDescent="0.2">
      <c r="A4670" s="11" t="str">
        <f t="shared" si="282"/>
        <v>VN000EK9BO51</v>
      </c>
      <c r="B4670" s="12" t="s">
        <v>16322</v>
      </c>
      <c r="C4670" s="12" t="s">
        <v>2834</v>
      </c>
      <c r="D4670" s="12" t="s">
        <v>2835</v>
      </c>
      <c r="E4670" s="12" t="s">
        <v>16323</v>
      </c>
      <c r="F4670" s="13">
        <v>90</v>
      </c>
      <c r="G4670" s="14"/>
      <c r="H4670" s="12" t="s">
        <v>38</v>
      </c>
      <c r="I4670" s="12" t="s">
        <v>113</v>
      </c>
      <c r="J4670" s="12" t="s">
        <v>529</v>
      </c>
      <c r="K4670" s="12" t="s">
        <v>82</v>
      </c>
      <c r="L4670" s="12" t="s">
        <v>115</v>
      </c>
      <c r="M4670" s="12" t="s">
        <v>43</v>
      </c>
      <c r="N4670" s="12" t="s">
        <v>84</v>
      </c>
      <c r="O4670" s="12" t="s">
        <v>16324</v>
      </c>
      <c r="P4670" s="12" t="s">
        <v>46</v>
      </c>
      <c r="Q4670" s="12" t="s">
        <v>47</v>
      </c>
      <c r="R4670" s="12" t="s">
        <v>117</v>
      </c>
      <c r="S4670" s="13">
        <v>197805787608</v>
      </c>
      <c r="T4670" s="12" t="s">
        <v>105</v>
      </c>
      <c r="U4670" s="13">
        <v>42</v>
      </c>
      <c r="V4670" s="12" t="s">
        <v>50</v>
      </c>
      <c r="W4670" s="12" t="s">
        <v>598</v>
      </c>
      <c r="X4670" s="14"/>
      <c r="Y4670" s="14"/>
      <c r="Z4670" s="14"/>
      <c r="AA4670" s="14"/>
      <c r="AB4670" s="14"/>
      <c r="AC4670" s="15">
        <v>50</v>
      </c>
      <c r="AD4670" s="15">
        <f>AC4670*AG4670</f>
        <v>50</v>
      </c>
      <c r="AE4670" s="15">
        <v>110</v>
      </c>
      <c r="AF4670" s="15">
        <f>AE4670*AG4670</f>
        <v>110</v>
      </c>
      <c r="AG4670" s="16">
        <v>1</v>
      </c>
    </row>
    <row r="4671" spans="1:33" ht="15" customHeight="1" x14ac:dyDescent="0.2">
      <c r="A4671" s="11" t="str">
        <f t="shared" si="652"/>
        <v>VN000KI51861</v>
      </c>
      <c r="B4671" s="12" t="s">
        <v>16325</v>
      </c>
      <c r="C4671" s="12" t="s">
        <v>369</v>
      </c>
      <c r="D4671" s="12" t="s">
        <v>370</v>
      </c>
      <c r="E4671" s="12" t="s">
        <v>16326</v>
      </c>
      <c r="F4671" s="13">
        <v>45</v>
      </c>
      <c r="G4671" s="12" t="s">
        <v>372</v>
      </c>
      <c r="H4671" s="12" t="s">
        <v>38</v>
      </c>
      <c r="I4671" s="12" t="s">
        <v>39</v>
      </c>
      <c r="J4671" s="12" t="s">
        <v>40</v>
      </c>
      <c r="K4671" s="12" t="s">
        <v>373</v>
      </c>
      <c r="L4671" s="14"/>
      <c r="M4671" s="12" t="s">
        <v>43</v>
      </c>
      <c r="N4671" s="12" t="s">
        <v>84</v>
      </c>
      <c r="O4671" s="12" t="s">
        <v>16327</v>
      </c>
      <c r="P4671" s="12" t="s">
        <v>46</v>
      </c>
      <c r="Q4671" s="12" t="s">
        <v>47</v>
      </c>
      <c r="R4671" s="12" t="s">
        <v>48</v>
      </c>
      <c r="S4671" s="13">
        <v>766182060576</v>
      </c>
      <c r="T4671" s="12" t="s">
        <v>105</v>
      </c>
      <c r="U4671" s="13">
        <v>36</v>
      </c>
      <c r="V4671" s="12" t="s">
        <v>375</v>
      </c>
      <c r="W4671" s="12" t="s">
        <v>51</v>
      </c>
      <c r="X4671" s="14"/>
      <c r="Y4671" s="12" t="s">
        <v>71</v>
      </c>
      <c r="Z4671" s="12" t="s">
        <v>376</v>
      </c>
      <c r="AA4671" s="14"/>
      <c r="AB4671" s="14"/>
      <c r="AC4671" s="15">
        <v>19.05</v>
      </c>
      <c r="AD4671" s="15">
        <f>AC4671*AG4671</f>
        <v>19.05</v>
      </c>
      <c r="AE4671" s="15">
        <v>40</v>
      </c>
      <c r="AF4671" s="15">
        <f>AE4671*AG4671</f>
        <v>40</v>
      </c>
      <c r="AG4671" s="16">
        <v>1</v>
      </c>
    </row>
    <row r="4672" spans="1:33" ht="15" customHeight="1" x14ac:dyDescent="0.2">
      <c r="A4672" s="11" t="str">
        <f t="shared" si="423"/>
        <v>VN000S65ZS61</v>
      </c>
      <c r="B4672" s="12" t="s">
        <v>16328</v>
      </c>
      <c r="C4672" s="12" t="s">
        <v>4029</v>
      </c>
      <c r="D4672" s="12" t="s">
        <v>4030</v>
      </c>
      <c r="E4672" s="12" t="s">
        <v>16329</v>
      </c>
      <c r="F4672" s="13">
        <v>95</v>
      </c>
      <c r="G4672" s="14"/>
      <c r="H4672" s="12" t="s">
        <v>38</v>
      </c>
      <c r="I4672" s="12" t="s">
        <v>159</v>
      </c>
      <c r="J4672" s="12" t="s">
        <v>255</v>
      </c>
      <c r="K4672" s="12" t="s">
        <v>82</v>
      </c>
      <c r="L4672" s="12" t="s">
        <v>260</v>
      </c>
      <c r="M4672" s="12" t="s">
        <v>43</v>
      </c>
      <c r="N4672" s="12" t="s">
        <v>161</v>
      </c>
      <c r="O4672" s="12" t="s">
        <v>16330</v>
      </c>
      <c r="P4672" s="12" t="s">
        <v>46</v>
      </c>
      <c r="Q4672" s="12" t="s">
        <v>47</v>
      </c>
      <c r="R4672" s="12" t="s">
        <v>163</v>
      </c>
      <c r="S4672" s="13">
        <v>197642370360</v>
      </c>
      <c r="T4672" s="12" t="s">
        <v>49</v>
      </c>
      <c r="U4672" s="13">
        <v>42.5</v>
      </c>
      <c r="V4672" s="12" t="s">
        <v>50</v>
      </c>
      <c r="W4672" s="12" t="s">
        <v>299</v>
      </c>
      <c r="X4672" s="14"/>
      <c r="Y4672" s="12" t="s">
        <v>53</v>
      </c>
      <c r="Z4672" s="12" t="s">
        <v>165</v>
      </c>
      <c r="AA4672" s="14"/>
      <c r="AB4672" s="12" t="s">
        <v>264</v>
      </c>
      <c r="AC4672" s="15">
        <v>47.75</v>
      </c>
      <c r="AD4672" s="15">
        <f>AC4672*AG4672</f>
        <v>47.75</v>
      </c>
      <c r="AE4672" s="15">
        <v>105</v>
      </c>
      <c r="AF4672" s="15">
        <f>AE4672*AG4672</f>
        <v>105</v>
      </c>
      <c r="AG4672" s="16">
        <v>1</v>
      </c>
    </row>
    <row r="4673" spans="1:33" ht="15" customHeight="1" x14ac:dyDescent="0.2">
      <c r="A4673" s="11" t="str">
        <f>HYPERLINK("https://assets.vans.eu/images/VN000SF42LH-HERO/1","VN000SF42LH1")</f>
        <v>VN000SF42LH1</v>
      </c>
      <c r="B4673" s="12" t="s">
        <v>16331</v>
      </c>
      <c r="C4673" s="12" t="s">
        <v>502</v>
      </c>
      <c r="D4673" s="12" t="s">
        <v>14902</v>
      </c>
      <c r="E4673" s="12" t="s">
        <v>16332</v>
      </c>
      <c r="F4673" s="13">
        <v>80</v>
      </c>
      <c r="G4673" s="14"/>
      <c r="H4673" s="12" t="s">
        <v>38</v>
      </c>
      <c r="I4673" s="12" t="s">
        <v>159</v>
      </c>
      <c r="J4673" s="12" t="s">
        <v>255</v>
      </c>
      <c r="K4673" s="12" t="s">
        <v>82</v>
      </c>
      <c r="L4673" s="12" t="s">
        <v>260</v>
      </c>
      <c r="M4673" s="12" t="s">
        <v>43</v>
      </c>
      <c r="N4673" s="12" t="s">
        <v>44</v>
      </c>
      <c r="O4673" s="12" t="s">
        <v>16333</v>
      </c>
      <c r="P4673" s="12" t="s">
        <v>46</v>
      </c>
      <c r="Q4673" s="12" t="s">
        <v>47</v>
      </c>
      <c r="R4673" s="12" t="s">
        <v>163</v>
      </c>
      <c r="S4673" s="13">
        <v>197643135135</v>
      </c>
      <c r="T4673" s="12" t="s">
        <v>49</v>
      </c>
      <c r="U4673" s="13">
        <v>40.5</v>
      </c>
      <c r="V4673" s="12" t="s">
        <v>50</v>
      </c>
      <c r="W4673" s="12" t="s">
        <v>625</v>
      </c>
      <c r="X4673" s="14"/>
      <c r="Y4673" s="12" t="s">
        <v>91</v>
      </c>
      <c r="Z4673" s="12" t="s">
        <v>2600</v>
      </c>
      <c r="AA4673" s="14"/>
      <c r="AB4673" s="12" t="s">
        <v>264</v>
      </c>
      <c r="AC4673" s="15">
        <v>38.65</v>
      </c>
      <c r="AD4673" s="15">
        <f>AC4673*AG4673</f>
        <v>38.65</v>
      </c>
      <c r="AE4673" s="15">
        <v>85</v>
      </c>
      <c r="AF4673" s="15">
        <f>AE4673*AG4673</f>
        <v>85</v>
      </c>
      <c r="AG4673" s="16">
        <v>1</v>
      </c>
    </row>
    <row r="4674" spans="1:33" ht="15" customHeight="1" x14ac:dyDescent="0.2">
      <c r="A4674" s="11" t="str">
        <f>HYPERLINK("https://assets.vans.eu/images/VN000SF46J6-HERO/1","VN000SF46J61")</f>
        <v>VN000SF46J61</v>
      </c>
      <c r="B4674" s="12" t="s">
        <v>16334</v>
      </c>
      <c r="C4674" s="12" t="s">
        <v>502</v>
      </c>
      <c r="D4674" s="12" t="s">
        <v>6061</v>
      </c>
      <c r="E4674" s="12" t="s">
        <v>16335</v>
      </c>
      <c r="F4674" s="13">
        <v>35</v>
      </c>
      <c r="G4674" s="14"/>
      <c r="H4674" s="12" t="s">
        <v>38</v>
      </c>
      <c r="I4674" s="12" t="s">
        <v>159</v>
      </c>
      <c r="J4674" s="12" t="s">
        <v>255</v>
      </c>
      <c r="K4674" s="12" t="s">
        <v>82</v>
      </c>
      <c r="L4674" s="14"/>
      <c r="M4674" s="12" t="s">
        <v>43</v>
      </c>
      <c r="N4674" s="12" t="s">
        <v>84</v>
      </c>
      <c r="O4674" s="12" t="s">
        <v>16336</v>
      </c>
      <c r="P4674" s="12" t="s">
        <v>46</v>
      </c>
      <c r="Q4674" s="12" t="s">
        <v>47</v>
      </c>
      <c r="R4674" s="12" t="s">
        <v>163</v>
      </c>
      <c r="S4674" s="13">
        <v>197803561637</v>
      </c>
      <c r="T4674" s="12" t="s">
        <v>164</v>
      </c>
      <c r="U4674" s="13">
        <v>34.5</v>
      </c>
      <c r="V4674" s="12" t="s">
        <v>50</v>
      </c>
      <c r="W4674" s="12" t="s">
        <v>455</v>
      </c>
      <c r="X4674" s="14"/>
      <c r="Y4674" s="14"/>
      <c r="Z4674" s="14"/>
      <c r="AA4674" s="14"/>
      <c r="AB4674" s="14"/>
      <c r="AC4674" s="15">
        <v>40.950000000000003</v>
      </c>
      <c r="AD4674" s="15">
        <f>AC4674*AG4674</f>
        <v>40.950000000000003</v>
      </c>
      <c r="AE4674" s="15">
        <v>90</v>
      </c>
      <c r="AF4674" s="15">
        <f>AE4674*AG4674</f>
        <v>90</v>
      </c>
      <c r="AG4674" s="16">
        <v>1</v>
      </c>
    </row>
    <row r="4675" spans="1:33" ht="15" customHeight="1" x14ac:dyDescent="0.2">
      <c r="A4675" s="11" t="str">
        <f t="shared" si="547"/>
        <v>VN000SF4JDU1</v>
      </c>
      <c r="B4675" s="12" t="s">
        <v>16337</v>
      </c>
      <c r="C4675" s="12" t="s">
        <v>502</v>
      </c>
      <c r="D4675" s="12" t="s">
        <v>814</v>
      </c>
      <c r="E4675" s="12" t="s">
        <v>16338</v>
      </c>
      <c r="F4675" s="13">
        <v>55</v>
      </c>
      <c r="G4675" s="14"/>
      <c r="H4675" s="12" t="s">
        <v>38</v>
      </c>
      <c r="I4675" s="12" t="s">
        <v>159</v>
      </c>
      <c r="J4675" s="12" t="s">
        <v>255</v>
      </c>
      <c r="K4675" s="12" t="s">
        <v>82</v>
      </c>
      <c r="L4675" s="14"/>
      <c r="M4675" s="12" t="s">
        <v>43</v>
      </c>
      <c r="N4675" s="12" t="s">
        <v>84</v>
      </c>
      <c r="O4675" s="12" t="s">
        <v>16339</v>
      </c>
      <c r="P4675" s="12" t="s">
        <v>46</v>
      </c>
      <c r="Q4675" s="12" t="s">
        <v>47</v>
      </c>
      <c r="R4675" s="12" t="s">
        <v>163</v>
      </c>
      <c r="S4675" s="13">
        <v>197803575023</v>
      </c>
      <c r="T4675" s="12" t="s">
        <v>164</v>
      </c>
      <c r="U4675" s="13">
        <v>37</v>
      </c>
      <c r="V4675" s="12" t="s">
        <v>50</v>
      </c>
      <c r="W4675" s="12" t="s">
        <v>284</v>
      </c>
      <c r="X4675" s="14"/>
      <c r="Y4675" s="14"/>
      <c r="Z4675" s="14"/>
      <c r="AA4675" s="14"/>
      <c r="AB4675" s="14"/>
      <c r="AC4675" s="15">
        <v>40.950000000000003</v>
      </c>
      <c r="AD4675" s="15">
        <f>AC4675*AG4675</f>
        <v>40.950000000000003</v>
      </c>
      <c r="AE4675" s="15">
        <v>90</v>
      </c>
      <c r="AF4675" s="15">
        <f>AE4675*AG4675</f>
        <v>90</v>
      </c>
      <c r="AG4675" s="16">
        <v>1</v>
      </c>
    </row>
    <row r="4676" spans="1:33" ht="15" customHeight="1" x14ac:dyDescent="0.2">
      <c r="A4676" s="11" t="str">
        <f t="shared" si="1129"/>
        <v>VN000V160E01</v>
      </c>
      <c r="B4676" s="12" t="s">
        <v>16340</v>
      </c>
      <c r="C4676" s="12" t="s">
        <v>6036</v>
      </c>
      <c r="D4676" s="12" t="s">
        <v>4588</v>
      </c>
      <c r="E4676" s="12" t="s">
        <v>16341</v>
      </c>
      <c r="F4676" s="13">
        <v>35</v>
      </c>
      <c r="G4676" s="12" t="s">
        <v>10278</v>
      </c>
      <c r="H4676" s="12" t="s">
        <v>38</v>
      </c>
      <c r="I4676" s="12" t="s">
        <v>113</v>
      </c>
      <c r="J4676" s="12" t="s">
        <v>529</v>
      </c>
      <c r="K4676" s="12" t="s">
        <v>82</v>
      </c>
      <c r="L4676" s="14"/>
      <c r="M4676" s="12" t="s">
        <v>43</v>
      </c>
      <c r="N4676" s="12" t="s">
        <v>84</v>
      </c>
      <c r="O4676" s="12" t="s">
        <v>16342</v>
      </c>
      <c r="P4676" s="12" t="s">
        <v>46</v>
      </c>
      <c r="Q4676" s="12" t="s">
        <v>47</v>
      </c>
      <c r="R4676" s="12" t="s">
        <v>117</v>
      </c>
      <c r="S4676" s="13">
        <v>198266546124</v>
      </c>
      <c r="T4676" s="12" t="s">
        <v>49</v>
      </c>
      <c r="U4676" s="13">
        <v>34.5</v>
      </c>
      <c r="V4676" s="12" t="s">
        <v>50</v>
      </c>
      <c r="W4676" s="12" t="s">
        <v>299</v>
      </c>
      <c r="X4676" s="14"/>
      <c r="Y4676" s="14"/>
      <c r="Z4676" s="14"/>
      <c r="AA4676" s="14"/>
      <c r="AB4676" s="14"/>
      <c r="AC4676" s="15">
        <v>38.65</v>
      </c>
      <c r="AD4676" s="15">
        <f>AC4676*AG4676</f>
        <v>38.65</v>
      </c>
      <c r="AE4676" s="15">
        <v>85</v>
      </c>
      <c r="AF4676" s="15">
        <f>AE4676*AG4676</f>
        <v>85</v>
      </c>
      <c r="AG4676" s="16">
        <v>1</v>
      </c>
    </row>
    <row r="4677" spans="1:33" ht="15" customHeight="1" x14ac:dyDescent="0.2">
      <c r="A4677" s="11" t="str">
        <f>HYPERLINK("https://assets.vans.eu/images/VN000V160E0-HERO/1","VN000V160E01")</f>
        <v>VN000V160E01</v>
      </c>
      <c r="B4677" s="12" t="s">
        <v>16343</v>
      </c>
      <c r="C4677" s="12" t="s">
        <v>6036</v>
      </c>
      <c r="D4677" s="12" t="s">
        <v>4588</v>
      </c>
      <c r="E4677" s="12" t="s">
        <v>16344</v>
      </c>
      <c r="F4677" s="13">
        <v>130</v>
      </c>
      <c r="G4677" s="12" t="s">
        <v>10278</v>
      </c>
      <c r="H4677" s="12" t="s">
        <v>38</v>
      </c>
      <c r="I4677" s="12" t="s">
        <v>113</v>
      </c>
      <c r="J4677" s="12" t="s">
        <v>529</v>
      </c>
      <c r="K4677" s="12" t="s">
        <v>82</v>
      </c>
      <c r="L4677" s="14"/>
      <c r="M4677" s="12" t="s">
        <v>43</v>
      </c>
      <c r="N4677" s="12" t="s">
        <v>84</v>
      </c>
      <c r="O4677" s="12" t="s">
        <v>16345</v>
      </c>
      <c r="P4677" s="12" t="s">
        <v>46</v>
      </c>
      <c r="Q4677" s="12" t="s">
        <v>47</v>
      </c>
      <c r="R4677" s="12" t="s">
        <v>117</v>
      </c>
      <c r="S4677" s="13">
        <v>198266548906</v>
      </c>
      <c r="T4677" s="12" t="s">
        <v>49</v>
      </c>
      <c r="U4677" s="13">
        <v>47</v>
      </c>
      <c r="V4677" s="12" t="s">
        <v>50</v>
      </c>
      <c r="W4677" s="12" t="s">
        <v>299</v>
      </c>
      <c r="X4677" s="14"/>
      <c r="Y4677" s="14"/>
      <c r="Z4677" s="14"/>
      <c r="AA4677" s="14"/>
      <c r="AB4677" s="14"/>
      <c r="AC4677" s="15">
        <v>38.65</v>
      </c>
      <c r="AD4677" s="15">
        <f>AC4677*AG4677</f>
        <v>38.65</v>
      </c>
      <c r="AE4677" s="15">
        <v>85</v>
      </c>
      <c r="AF4677" s="15">
        <f>AE4677*AG4677</f>
        <v>85</v>
      </c>
      <c r="AG4677" s="16">
        <v>1</v>
      </c>
    </row>
    <row r="4678" spans="1:33" ht="15" customHeight="1" x14ac:dyDescent="0.2">
      <c r="A4678" s="11" t="str">
        <f t="shared" si="1130"/>
        <v>VN000V16EMT1</v>
      </c>
      <c r="B4678" s="12" t="s">
        <v>16346</v>
      </c>
      <c r="C4678" s="12" t="s">
        <v>6036</v>
      </c>
      <c r="D4678" s="12" t="s">
        <v>5149</v>
      </c>
      <c r="E4678" s="12" t="s">
        <v>16347</v>
      </c>
      <c r="F4678" s="13">
        <v>120</v>
      </c>
      <c r="G4678" s="12" t="s">
        <v>10278</v>
      </c>
      <c r="H4678" s="12" t="s">
        <v>38</v>
      </c>
      <c r="I4678" s="12" t="s">
        <v>113</v>
      </c>
      <c r="J4678" s="12" t="s">
        <v>529</v>
      </c>
      <c r="K4678" s="12" t="s">
        <v>82</v>
      </c>
      <c r="L4678" s="14"/>
      <c r="M4678" s="12" t="s">
        <v>43</v>
      </c>
      <c r="N4678" s="12" t="s">
        <v>84</v>
      </c>
      <c r="O4678" s="12" t="s">
        <v>16348</v>
      </c>
      <c r="P4678" s="12" t="s">
        <v>46</v>
      </c>
      <c r="Q4678" s="12" t="s">
        <v>47</v>
      </c>
      <c r="R4678" s="12" t="s">
        <v>117</v>
      </c>
      <c r="S4678" s="13">
        <v>198266549149</v>
      </c>
      <c r="T4678" s="12" t="s">
        <v>49</v>
      </c>
      <c r="U4678" s="13">
        <v>46</v>
      </c>
      <c r="V4678" s="12" t="s">
        <v>50</v>
      </c>
      <c r="W4678" s="12" t="s">
        <v>284</v>
      </c>
      <c r="X4678" s="14"/>
      <c r="Y4678" s="14"/>
      <c r="Z4678" s="14"/>
      <c r="AA4678" s="14"/>
      <c r="AB4678" s="14"/>
      <c r="AC4678" s="15">
        <v>38.65</v>
      </c>
      <c r="AD4678" s="15">
        <f>AC4678*AG4678</f>
        <v>38.65</v>
      </c>
      <c r="AE4678" s="15">
        <v>85</v>
      </c>
      <c r="AF4678" s="15">
        <f>AE4678*AG4678</f>
        <v>85</v>
      </c>
      <c r="AG4678" s="16">
        <v>1</v>
      </c>
    </row>
    <row r="4679" spans="1:33" ht="15" customHeight="1" x14ac:dyDescent="0.2">
      <c r="A4679" s="11" t="str">
        <f>HYPERLINK("https://assets.vans.eu/images/VN000V16EMT-HERO/1","VN000V16EMT1")</f>
        <v>VN000V16EMT1</v>
      </c>
      <c r="B4679" s="12" t="s">
        <v>16349</v>
      </c>
      <c r="C4679" s="12" t="s">
        <v>6036</v>
      </c>
      <c r="D4679" s="12" t="s">
        <v>5149</v>
      </c>
      <c r="E4679" s="12" t="s">
        <v>16350</v>
      </c>
      <c r="F4679" s="13">
        <v>130</v>
      </c>
      <c r="G4679" s="12" t="s">
        <v>10278</v>
      </c>
      <c r="H4679" s="12" t="s">
        <v>38</v>
      </c>
      <c r="I4679" s="12" t="s">
        <v>113</v>
      </c>
      <c r="J4679" s="12" t="s">
        <v>529</v>
      </c>
      <c r="K4679" s="12" t="s">
        <v>82</v>
      </c>
      <c r="L4679" s="14"/>
      <c r="M4679" s="12" t="s">
        <v>43</v>
      </c>
      <c r="N4679" s="12" t="s">
        <v>84</v>
      </c>
      <c r="O4679" s="12" t="s">
        <v>16351</v>
      </c>
      <c r="P4679" s="12" t="s">
        <v>46</v>
      </c>
      <c r="Q4679" s="12" t="s">
        <v>47</v>
      </c>
      <c r="R4679" s="12" t="s">
        <v>117</v>
      </c>
      <c r="S4679" s="13">
        <v>198266549217</v>
      </c>
      <c r="T4679" s="12" t="s">
        <v>49</v>
      </c>
      <c r="U4679" s="13">
        <v>47</v>
      </c>
      <c r="V4679" s="12" t="s">
        <v>50</v>
      </c>
      <c r="W4679" s="12" t="s">
        <v>284</v>
      </c>
      <c r="X4679" s="14"/>
      <c r="Y4679" s="14"/>
      <c r="Z4679" s="14"/>
      <c r="AA4679" s="14"/>
      <c r="AB4679" s="14"/>
      <c r="AC4679" s="15">
        <v>38.65</v>
      </c>
      <c r="AD4679" s="15">
        <f>AC4679*AG4679</f>
        <v>38.65</v>
      </c>
      <c r="AE4679" s="15">
        <v>85</v>
      </c>
      <c r="AF4679" s="15">
        <f>AE4679*AG4679</f>
        <v>85</v>
      </c>
      <c r="AG4679" s="16">
        <v>1</v>
      </c>
    </row>
    <row r="4680" spans="1:33" ht="15" customHeight="1" x14ac:dyDescent="0.2">
      <c r="A4680" s="11" t="str">
        <f t="shared" si="828"/>
        <v>VN000V25B5T1</v>
      </c>
      <c r="B4680" s="12" t="s">
        <v>16352</v>
      </c>
      <c r="C4680" s="12" t="s">
        <v>34</v>
      </c>
      <c r="D4680" s="12" t="s">
        <v>4019</v>
      </c>
      <c r="E4680" s="12" t="s">
        <v>16353</v>
      </c>
      <c r="F4680" s="13">
        <v>75</v>
      </c>
      <c r="G4680" s="12" t="s">
        <v>578</v>
      </c>
      <c r="H4680" s="12" t="s">
        <v>38</v>
      </c>
      <c r="I4680" s="12" t="s">
        <v>113</v>
      </c>
      <c r="J4680" s="12" t="s">
        <v>114</v>
      </c>
      <c r="K4680" s="12" t="s">
        <v>82</v>
      </c>
      <c r="L4680" s="14"/>
      <c r="M4680" s="12" t="s">
        <v>43</v>
      </c>
      <c r="N4680" s="12" t="s">
        <v>84</v>
      </c>
      <c r="O4680" s="12" t="s">
        <v>16354</v>
      </c>
      <c r="P4680" s="12" t="s">
        <v>46</v>
      </c>
      <c r="Q4680" s="12" t="s">
        <v>47</v>
      </c>
      <c r="R4680" s="12" t="s">
        <v>117</v>
      </c>
      <c r="S4680" s="13">
        <v>198266309026</v>
      </c>
      <c r="T4680" s="12" t="s">
        <v>49</v>
      </c>
      <c r="U4680" s="13">
        <v>40</v>
      </c>
      <c r="V4680" s="12" t="s">
        <v>50</v>
      </c>
      <c r="W4680" s="12" t="s">
        <v>51</v>
      </c>
      <c r="X4680" s="14"/>
      <c r="Y4680" s="14"/>
      <c r="Z4680" s="14"/>
      <c r="AA4680" s="14"/>
      <c r="AB4680" s="14"/>
      <c r="AC4680" s="15">
        <v>45.5</v>
      </c>
      <c r="AD4680" s="15">
        <f>AC4680*AG4680</f>
        <v>45.5</v>
      </c>
      <c r="AE4680" s="15">
        <v>100</v>
      </c>
      <c r="AF4680" s="15">
        <f>AE4680*AG4680</f>
        <v>100</v>
      </c>
      <c r="AG4680" s="16">
        <v>1</v>
      </c>
    </row>
    <row r="4681" spans="1:33" ht="15" customHeight="1" x14ac:dyDescent="0.2">
      <c r="A4681" s="11" t="str">
        <f>HYPERLINK("https://assets.vans.eu/images/VN000V25B5T-HERO/1","VN000V25B5T1")</f>
        <v>VN000V25B5T1</v>
      </c>
      <c r="B4681" s="12" t="s">
        <v>16355</v>
      </c>
      <c r="C4681" s="12" t="s">
        <v>34</v>
      </c>
      <c r="D4681" s="12" t="s">
        <v>4019</v>
      </c>
      <c r="E4681" s="12" t="s">
        <v>16356</v>
      </c>
      <c r="F4681" s="13">
        <v>80</v>
      </c>
      <c r="G4681" s="12" t="s">
        <v>578</v>
      </c>
      <c r="H4681" s="12" t="s">
        <v>38</v>
      </c>
      <c r="I4681" s="12" t="s">
        <v>113</v>
      </c>
      <c r="J4681" s="12" t="s">
        <v>114</v>
      </c>
      <c r="K4681" s="12" t="s">
        <v>82</v>
      </c>
      <c r="L4681" s="14"/>
      <c r="M4681" s="12" t="s">
        <v>43</v>
      </c>
      <c r="N4681" s="12" t="s">
        <v>84</v>
      </c>
      <c r="O4681" s="12" t="s">
        <v>16357</v>
      </c>
      <c r="P4681" s="12" t="s">
        <v>46</v>
      </c>
      <c r="Q4681" s="12" t="s">
        <v>47</v>
      </c>
      <c r="R4681" s="12" t="s">
        <v>117</v>
      </c>
      <c r="S4681" s="13">
        <v>198266309095</v>
      </c>
      <c r="T4681" s="12" t="s">
        <v>49</v>
      </c>
      <c r="U4681" s="13">
        <v>40.5</v>
      </c>
      <c r="V4681" s="12" t="s">
        <v>50</v>
      </c>
      <c r="W4681" s="12" t="s">
        <v>51</v>
      </c>
      <c r="X4681" s="14"/>
      <c r="Y4681" s="14"/>
      <c r="Z4681" s="14"/>
      <c r="AA4681" s="14"/>
      <c r="AB4681" s="14"/>
      <c r="AC4681" s="15">
        <v>45.5</v>
      </c>
      <c r="AD4681" s="15">
        <f>AC4681*AG4681</f>
        <v>45.5</v>
      </c>
      <c r="AE4681" s="15">
        <v>100</v>
      </c>
      <c r="AF4681" s="15">
        <f>AE4681*AG4681</f>
        <v>100</v>
      </c>
      <c r="AG4681" s="16">
        <v>1</v>
      </c>
    </row>
    <row r="4682" spans="1:33" ht="15" customHeight="1" x14ac:dyDescent="0.2">
      <c r="A4682" s="11" t="str">
        <f t="shared" si="829"/>
        <v>VN000V68Y611</v>
      </c>
      <c r="B4682" s="12" t="s">
        <v>16358</v>
      </c>
      <c r="C4682" s="12" t="s">
        <v>309</v>
      </c>
      <c r="D4682" s="12" t="s">
        <v>310</v>
      </c>
      <c r="E4682" s="12" t="s">
        <v>16359</v>
      </c>
      <c r="F4682" s="13">
        <v>65</v>
      </c>
      <c r="G4682" s="14"/>
      <c r="H4682" s="12" t="s">
        <v>38</v>
      </c>
      <c r="I4682" s="12" t="s">
        <v>205</v>
      </c>
      <c r="J4682" s="12" t="s">
        <v>206</v>
      </c>
      <c r="K4682" s="12" t="s">
        <v>207</v>
      </c>
      <c r="L4682" s="12" t="s">
        <v>42</v>
      </c>
      <c r="M4682" s="12" t="s">
        <v>43</v>
      </c>
      <c r="N4682" s="12" t="s">
        <v>84</v>
      </c>
      <c r="O4682" s="12" t="s">
        <v>16360</v>
      </c>
      <c r="P4682" s="12" t="s">
        <v>46</v>
      </c>
      <c r="Q4682" s="12" t="s">
        <v>47</v>
      </c>
      <c r="R4682" s="12" t="s">
        <v>313</v>
      </c>
      <c r="S4682" s="13">
        <v>198270303751</v>
      </c>
      <c r="T4682" s="12" t="s">
        <v>49</v>
      </c>
      <c r="U4682" s="13">
        <v>38.5</v>
      </c>
      <c r="V4682" s="12" t="s">
        <v>209</v>
      </c>
      <c r="W4682" s="12" t="s">
        <v>51</v>
      </c>
      <c r="X4682" s="14"/>
      <c r="Y4682" s="14"/>
      <c r="Z4682" s="14"/>
      <c r="AA4682" s="14"/>
      <c r="AB4682" s="14"/>
      <c r="AC4682" s="15">
        <v>38.65</v>
      </c>
      <c r="AD4682" s="15">
        <f>AC4682*AG4682</f>
        <v>38.65</v>
      </c>
      <c r="AE4682" s="15">
        <v>85</v>
      </c>
      <c r="AF4682" s="15">
        <f>AE4682*AG4682</f>
        <v>85</v>
      </c>
      <c r="AG4682" s="16">
        <v>1</v>
      </c>
    </row>
    <row r="4683" spans="1:33" ht="15" customHeight="1" x14ac:dyDescent="0.2">
      <c r="A4683" s="11" t="str">
        <f>HYPERLINK("https://assets.vans.eu/images/VN000VA6DRT-HERO/1","VN000VA6DRT1")</f>
        <v>VN000VA6DRT1</v>
      </c>
      <c r="B4683" s="12" t="s">
        <v>16361</v>
      </c>
      <c r="C4683" s="12" t="s">
        <v>16362</v>
      </c>
      <c r="D4683" s="12" t="s">
        <v>16363</v>
      </c>
      <c r="E4683" s="12" t="s">
        <v>16364</v>
      </c>
      <c r="F4683" s="13">
        <v>60</v>
      </c>
      <c r="G4683" s="12" t="s">
        <v>2814</v>
      </c>
      <c r="H4683" s="12" t="s">
        <v>38</v>
      </c>
      <c r="I4683" s="12" t="s">
        <v>159</v>
      </c>
      <c r="J4683" s="12" t="s">
        <v>255</v>
      </c>
      <c r="K4683" s="12" t="s">
        <v>199</v>
      </c>
      <c r="L4683" s="14"/>
      <c r="M4683" s="12" t="s">
        <v>43</v>
      </c>
      <c r="N4683" s="12" t="s">
        <v>84</v>
      </c>
      <c r="O4683" s="12" t="s">
        <v>16365</v>
      </c>
      <c r="P4683" s="12" t="s">
        <v>46</v>
      </c>
      <c r="Q4683" s="12" t="s">
        <v>47</v>
      </c>
      <c r="R4683" s="12" t="s">
        <v>163</v>
      </c>
      <c r="S4683" s="13">
        <v>198266308760</v>
      </c>
      <c r="T4683" s="12" t="s">
        <v>49</v>
      </c>
      <c r="U4683" s="13">
        <v>38</v>
      </c>
      <c r="V4683" s="12" t="s">
        <v>50</v>
      </c>
      <c r="W4683" s="12" t="s">
        <v>580</v>
      </c>
      <c r="X4683" s="14"/>
      <c r="Y4683" s="14"/>
      <c r="Z4683" s="14"/>
      <c r="AA4683" s="14"/>
      <c r="AB4683" s="14"/>
      <c r="AC4683" s="15">
        <v>40.950000000000003</v>
      </c>
      <c r="AD4683" s="15">
        <f>AC4683*AG4683</f>
        <v>40.950000000000003</v>
      </c>
      <c r="AE4683" s="15">
        <v>90</v>
      </c>
      <c r="AF4683" s="15">
        <f>AE4683*AG4683</f>
        <v>90</v>
      </c>
      <c r="AG4683" s="16">
        <v>1</v>
      </c>
    </row>
    <row r="4684" spans="1:33" ht="15" customHeight="1" x14ac:dyDescent="0.2">
      <c r="A4684" s="11" t="str">
        <f t="shared" ref="A4684:A4685" si="1449">HYPERLINK("https://assets.vans.eu/images/VN000VO44K1-HERO/1","VN000VO44K11")</f>
        <v>VN000VO44K11</v>
      </c>
      <c r="B4684" s="12" t="s">
        <v>16366</v>
      </c>
      <c r="C4684" s="12" t="s">
        <v>5098</v>
      </c>
      <c r="D4684" s="12" t="s">
        <v>5099</v>
      </c>
      <c r="E4684" s="12" t="s">
        <v>16367</v>
      </c>
      <c r="F4684" s="13">
        <v>25</v>
      </c>
      <c r="G4684" s="12" t="s">
        <v>372</v>
      </c>
      <c r="H4684" s="12" t="s">
        <v>38</v>
      </c>
      <c r="I4684" s="12" t="s">
        <v>39</v>
      </c>
      <c r="J4684" s="12" t="s">
        <v>2430</v>
      </c>
      <c r="K4684" s="12" t="s">
        <v>373</v>
      </c>
      <c r="L4684" s="12" t="s">
        <v>350</v>
      </c>
      <c r="M4684" s="12" t="s">
        <v>43</v>
      </c>
      <c r="N4684" s="12" t="s">
        <v>84</v>
      </c>
      <c r="O4684" s="12" t="s">
        <v>16368</v>
      </c>
      <c r="P4684" s="12" t="s">
        <v>46</v>
      </c>
      <c r="Q4684" s="12" t="s">
        <v>47</v>
      </c>
      <c r="R4684" s="12" t="s">
        <v>48</v>
      </c>
      <c r="S4684" s="13">
        <v>885928318631</v>
      </c>
      <c r="T4684" s="12" t="s">
        <v>105</v>
      </c>
      <c r="U4684" s="13">
        <v>33</v>
      </c>
      <c r="V4684" s="12" t="s">
        <v>209</v>
      </c>
      <c r="W4684" s="12" t="s">
        <v>284</v>
      </c>
      <c r="X4684" s="14"/>
      <c r="Y4684" s="12" t="s">
        <v>71</v>
      </c>
      <c r="Z4684" s="12" t="s">
        <v>92</v>
      </c>
      <c r="AA4684" s="12" t="s">
        <v>354</v>
      </c>
      <c r="AB4684" s="12" t="s">
        <v>888</v>
      </c>
      <c r="AC4684" s="15">
        <v>21.45</v>
      </c>
      <c r="AD4684" s="15">
        <f>AC4684*AG4684</f>
        <v>21.45</v>
      </c>
      <c r="AE4684" s="15">
        <v>45</v>
      </c>
      <c r="AF4684" s="15">
        <f>AE4684*AG4684</f>
        <v>45</v>
      </c>
      <c r="AG4684" s="16">
        <v>1</v>
      </c>
    </row>
    <row r="4685" spans="1:33" ht="15" customHeight="1" x14ac:dyDescent="0.2">
      <c r="A4685" s="11" t="str">
        <f t="shared" si="1449"/>
        <v>VN000VO44K11</v>
      </c>
      <c r="B4685" s="12" t="s">
        <v>16369</v>
      </c>
      <c r="C4685" s="12" t="s">
        <v>5098</v>
      </c>
      <c r="D4685" s="12" t="s">
        <v>5099</v>
      </c>
      <c r="E4685" s="12" t="s">
        <v>16370</v>
      </c>
      <c r="F4685" s="13">
        <v>105</v>
      </c>
      <c r="G4685" s="12" t="s">
        <v>372</v>
      </c>
      <c r="H4685" s="12" t="s">
        <v>38</v>
      </c>
      <c r="I4685" s="12" t="s">
        <v>39</v>
      </c>
      <c r="J4685" s="12" t="s">
        <v>2430</v>
      </c>
      <c r="K4685" s="12" t="s">
        <v>373</v>
      </c>
      <c r="L4685" s="12" t="s">
        <v>350</v>
      </c>
      <c r="M4685" s="12" t="s">
        <v>43</v>
      </c>
      <c r="N4685" s="12" t="s">
        <v>84</v>
      </c>
      <c r="O4685" s="12" t="s">
        <v>16371</v>
      </c>
      <c r="P4685" s="12" t="s">
        <v>46</v>
      </c>
      <c r="Q4685" s="12" t="s">
        <v>47</v>
      </c>
      <c r="R4685" s="12" t="s">
        <v>48</v>
      </c>
      <c r="S4685" s="13">
        <v>885928318693</v>
      </c>
      <c r="T4685" s="12" t="s">
        <v>105</v>
      </c>
      <c r="U4685" s="13">
        <v>27</v>
      </c>
      <c r="V4685" s="12" t="s">
        <v>209</v>
      </c>
      <c r="W4685" s="12" t="s">
        <v>284</v>
      </c>
      <c r="X4685" s="14"/>
      <c r="Y4685" s="12" t="s">
        <v>71</v>
      </c>
      <c r="Z4685" s="12" t="s">
        <v>92</v>
      </c>
      <c r="AA4685" s="12" t="s">
        <v>354</v>
      </c>
      <c r="AB4685" s="12" t="s">
        <v>888</v>
      </c>
      <c r="AC4685" s="15">
        <v>21.45</v>
      </c>
      <c r="AD4685" s="15">
        <f>AC4685*AG4685</f>
        <v>21.45</v>
      </c>
      <c r="AE4685" s="15">
        <v>45</v>
      </c>
      <c r="AF4685" s="15">
        <f>AE4685*AG4685</f>
        <v>45</v>
      </c>
      <c r="AG4685" s="16">
        <v>1</v>
      </c>
    </row>
    <row r="4686" spans="1:33" ht="15" customHeight="1" x14ac:dyDescent="0.2">
      <c r="A4686" s="11" t="str">
        <f t="shared" ref="A4686:A4687" si="1450">HYPERLINK("https://assets.vans.eu/images/VN000VOB4K1-HERO/1","VN000VOB4K11")</f>
        <v>VN000VOB4K11</v>
      </c>
      <c r="B4686" s="12" t="s">
        <v>16372</v>
      </c>
      <c r="C4686" s="12" t="s">
        <v>5098</v>
      </c>
      <c r="D4686" s="12" t="s">
        <v>5099</v>
      </c>
      <c r="E4686" s="12" t="s">
        <v>16373</v>
      </c>
      <c r="F4686" s="13">
        <v>85</v>
      </c>
      <c r="G4686" s="12" t="s">
        <v>372</v>
      </c>
      <c r="H4686" s="12" t="s">
        <v>38</v>
      </c>
      <c r="I4686" s="12" t="s">
        <v>159</v>
      </c>
      <c r="J4686" s="12" t="s">
        <v>255</v>
      </c>
      <c r="K4686" s="12" t="s">
        <v>199</v>
      </c>
      <c r="L4686" s="12" t="s">
        <v>350</v>
      </c>
      <c r="M4686" s="12" t="s">
        <v>43</v>
      </c>
      <c r="N4686" s="12" t="s">
        <v>84</v>
      </c>
      <c r="O4686" s="12" t="s">
        <v>16374</v>
      </c>
      <c r="P4686" s="12" t="s">
        <v>46</v>
      </c>
      <c r="Q4686" s="12" t="s">
        <v>47</v>
      </c>
      <c r="R4686" s="12" t="s">
        <v>163</v>
      </c>
      <c r="S4686" s="13">
        <v>885928670043</v>
      </c>
      <c r="T4686" s="12" t="s">
        <v>105</v>
      </c>
      <c r="U4686" s="13">
        <v>41</v>
      </c>
      <c r="V4686" s="12" t="s">
        <v>209</v>
      </c>
      <c r="W4686" s="12" t="s">
        <v>284</v>
      </c>
      <c r="X4686" s="14"/>
      <c r="Y4686" s="12" t="s">
        <v>71</v>
      </c>
      <c r="Z4686" s="12" t="s">
        <v>92</v>
      </c>
      <c r="AA4686" s="12" t="s">
        <v>354</v>
      </c>
      <c r="AB4686" s="12" t="s">
        <v>888</v>
      </c>
      <c r="AC4686" s="15">
        <v>33.35</v>
      </c>
      <c r="AD4686" s="15">
        <f>AC4686*AG4686</f>
        <v>33.35</v>
      </c>
      <c r="AE4686" s="15">
        <v>70</v>
      </c>
      <c r="AF4686" s="15">
        <f>AE4686*AG4686</f>
        <v>70</v>
      </c>
      <c r="AG4686" s="16">
        <v>1</v>
      </c>
    </row>
    <row r="4687" spans="1:33" ht="15" customHeight="1" x14ac:dyDescent="0.2">
      <c r="A4687" s="11" t="str">
        <f t="shared" si="1450"/>
        <v>VN000VOB4K11</v>
      </c>
      <c r="B4687" s="12" t="s">
        <v>16375</v>
      </c>
      <c r="C4687" s="12" t="s">
        <v>5098</v>
      </c>
      <c r="D4687" s="12" t="s">
        <v>5099</v>
      </c>
      <c r="E4687" s="12" t="s">
        <v>16376</v>
      </c>
      <c r="F4687" s="13">
        <v>95</v>
      </c>
      <c r="G4687" s="12" t="s">
        <v>372</v>
      </c>
      <c r="H4687" s="12" t="s">
        <v>38</v>
      </c>
      <c r="I4687" s="12" t="s">
        <v>159</v>
      </c>
      <c r="J4687" s="12" t="s">
        <v>255</v>
      </c>
      <c r="K4687" s="12" t="s">
        <v>199</v>
      </c>
      <c r="L4687" s="12" t="s">
        <v>350</v>
      </c>
      <c r="M4687" s="12" t="s">
        <v>43</v>
      </c>
      <c r="N4687" s="12" t="s">
        <v>84</v>
      </c>
      <c r="O4687" s="12" t="s">
        <v>16377</v>
      </c>
      <c r="P4687" s="12" t="s">
        <v>46</v>
      </c>
      <c r="Q4687" s="12" t="s">
        <v>47</v>
      </c>
      <c r="R4687" s="12" t="s">
        <v>163</v>
      </c>
      <c r="S4687" s="13">
        <v>885928669962</v>
      </c>
      <c r="T4687" s="12" t="s">
        <v>105</v>
      </c>
      <c r="U4687" s="13">
        <v>42.5</v>
      </c>
      <c r="V4687" s="12" t="s">
        <v>209</v>
      </c>
      <c r="W4687" s="12" t="s">
        <v>284</v>
      </c>
      <c r="X4687" s="14"/>
      <c r="Y4687" s="12" t="s">
        <v>71</v>
      </c>
      <c r="Z4687" s="12" t="s">
        <v>92</v>
      </c>
      <c r="AA4687" s="12" t="s">
        <v>354</v>
      </c>
      <c r="AB4687" s="12" t="s">
        <v>888</v>
      </c>
      <c r="AC4687" s="15">
        <v>33.35</v>
      </c>
      <c r="AD4687" s="15">
        <f>AC4687*AG4687</f>
        <v>33.35</v>
      </c>
      <c r="AE4687" s="15">
        <v>70</v>
      </c>
      <c r="AF4687" s="15">
        <f>AE4687*AG4687</f>
        <v>70</v>
      </c>
      <c r="AG4687" s="16">
        <v>1</v>
      </c>
    </row>
    <row r="4688" spans="1:33" ht="15" customHeight="1" x14ac:dyDescent="0.2">
      <c r="A4688" s="11" t="str">
        <f t="shared" ref="A4688:A4689" si="1451">HYPERLINK("https://assets.vans.eu/images/VN000VOB4WV-HERO/1","VN000VOB4WV1")</f>
        <v>VN000VOB4WV1</v>
      </c>
      <c r="B4688" s="12" t="s">
        <v>16378</v>
      </c>
      <c r="C4688" s="12" t="s">
        <v>5098</v>
      </c>
      <c r="D4688" s="12" t="s">
        <v>7518</v>
      </c>
      <c r="E4688" s="12" t="s">
        <v>16379</v>
      </c>
      <c r="F4688" s="13">
        <v>90</v>
      </c>
      <c r="G4688" s="12" t="s">
        <v>372</v>
      </c>
      <c r="H4688" s="12" t="s">
        <v>38</v>
      </c>
      <c r="I4688" s="12" t="s">
        <v>159</v>
      </c>
      <c r="J4688" s="12" t="s">
        <v>255</v>
      </c>
      <c r="K4688" s="12" t="s">
        <v>199</v>
      </c>
      <c r="L4688" s="12" t="s">
        <v>350</v>
      </c>
      <c r="M4688" s="12" t="s">
        <v>43</v>
      </c>
      <c r="N4688" s="12" t="s">
        <v>84</v>
      </c>
      <c r="O4688" s="12" t="s">
        <v>16380</v>
      </c>
      <c r="P4688" s="12" t="s">
        <v>46</v>
      </c>
      <c r="Q4688" s="12" t="s">
        <v>47</v>
      </c>
      <c r="R4688" s="12" t="s">
        <v>163</v>
      </c>
      <c r="S4688" s="13">
        <v>887867200732</v>
      </c>
      <c r="T4688" s="12" t="s">
        <v>49</v>
      </c>
      <c r="U4688" s="13">
        <v>42</v>
      </c>
      <c r="V4688" s="12" t="s">
        <v>209</v>
      </c>
      <c r="W4688" s="12" t="s">
        <v>455</v>
      </c>
      <c r="X4688" s="14"/>
      <c r="Y4688" s="12" t="s">
        <v>71</v>
      </c>
      <c r="Z4688" s="12" t="s">
        <v>92</v>
      </c>
      <c r="AA4688" s="12" t="s">
        <v>354</v>
      </c>
      <c r="AB4688" s="12" t="s">
        <v>888</v>
      </c>
      <c r="AC4688" s="15">
        <v>33.35</v>
      </c>
      <c r="AD4688" s="15">
        <f>AC4688*AG4688</f>
        <v>33.35</v>
      </c>
      <c r="AE4688" s="15">
        <v>70</v>
      </c>
      <c r="AF4688" s="15">
        <f>AE4688*AG4688</f>
        <v>70</v>
      </c>
      <c r="AG4688" s="16">
        <v>1</v>
      </c>
    </row>
    <row r="4689" spans="1:33" ht="15" customHeight="1" x14ac:dyDescent="0.2">
      <c r="A4689" s="11" t="str">
        <f t="shared" si="1451"/>
        <v>VN000VOB4WV1</v>
      </c>
      <c r="B4689" s="12" t="s">
        <v>16381</v>
      </c>
      <c r="C4689" s="12" t="s">
        <v>5098</v>
      </c>
      <c r="D4689" s="12" t="s">
        <v>7518</v>
      </c>
      <c r="E4689" s="12" t="s">
        <v>16382</v>
      </c>
      <c r="F4689" s="13">
        <v>130</v>
      </c>
      <c r="G4689" s="12" t="s">
        <v>372</v>
      </c>
      <c r="H4689" s="12" t="s">
        <v>38</v>
      </c>
      <c r="I4689" s="12" t="s">
        <v>159</v>
      </c>
      <c r="J4689" s="12" t="s">
        <v>255</v>
      </c>
      <c r="K4689" s="12" t="s">
        <v>199</v>
      </c>
      <c r="L4689" s="12" t="s">
        <v>350</v>
      </c>
      <c r="M4689" s="12" t="s">
        <v>43</v>
      </c>
      <c r="N4689" s="12" t="s">
        <v>84</v>
      </c>
      <c r="O4689" s="12" t="s">
        <v>16383</v>
      </c>
      <c r="P4689" s="12" t="s">
        <v>46</v>
      </c>
      <c r="Q4689" s="12" t="s">
        <v>47</v>
      </c>
      <c r="R4689" s="12" t="s">
        <v>163</v>
      </c>
      <c r="S4689" s="13">
        <v>887867200879</v>
      </c>
      <c r="T4689" s="12" t="s">
        <v>49</v>
      </c>
      <c r="U4689" s="13">
        <v>47</v>
      </c>
      <c r="V4689" s="12" t="s">
        <v>209</v>
      </c>
      <c r="W4689" s="12" t="s">
        <v>455</v>
      </c>
      <c r="X4689" s="14"/>
      <c r="Y4689" s="12" t="s">
        <v>71</v>
      </c>
      <c r="Z4689" s="12" t="s">
        <v>92</v>
      </c>
      <c r="AA4689" s="12" t="s">
        <v>354</v>
      </c>
      <c r="AB4689" s="12" t="s">
        <v>888</v>
      </c>
      <c r="AC4689" s="15">
        <v>33.35</v>
      </c>
      <c r="AD4689" s="15">
        <f>AC4689*AG4689</f>
        <v>33.35</v>
      </c>
      <c r="AE4689" s="15">
        <v>70</v>
      </c>
      <c r="AF4689" s="15">
        <f>AE4689*AG4689</f>
        <v>70</v>
      </c>
      <c r="AG4689" s="16">
        <v>1</v>
      </c>
    </row>
    <row r="4690" spans="1:33" ht="15" customHeight="1" x14ac:dyDescent="0.2">
      <c r="A4690" s="11" t="str">
        <f t="shared" si="832"/>
        <v>VN000W9T9AL1</v>
      </c>
      <c r="B4690" s="12" t="s">
        <v>16384</v>
      </c>
      <c r="C4690" s="12" t="s">
        <v>34</v>
      </c>
      <c r="D4690" s="12" t="s">
        <v>7525</v>
      </c>
      <c r="E4690" s="12" t="s">
        <v>16385</v>
      </c>
      <c r="F4690" s="13">
        <v>110</v>
      </c>
      <c r="G4690" s="14"/>
      <c r="H4690" s="12" t="s">
        <v>38</v>
      </c>
      <c r="I4690" s="12" t="s">
        <v>39</v>
      </c>
      <c r="J4690" s="12" t="s">
        <v>40</v>
      </c>
      <c r="K4690" s="12" t="s">
        <v>41</v>
      </c>
      <c r="L4690" s="14"/>
      <c r="M4690" s="12" t="s">
        <v>43</v>
      </c>
      <c r="N4690" s="12" t="s">
        <v>44</v>
      </c>
      <c r="O4690" s="12" t="s">
        <v>16386</v>
      </c>
      <c r="P4690" s="12" t="s">
        <v>46</v>
      </c>
      <c r="Q4690" s="12" t="s">
        <v>47</v>
      </c>
      <c r="R4690" s="12" t="s">
        <v>48</v>
      </c>
      <c r="S4690" s="13">
        <v>195441309888</v>
      </c>
      <c r="T4690" s="12" t="s">
        <v>105</v>
      </c>
      <c r="U4690" s="13">
        <v>27.5</v>
      </c>
      <c r="V4690" s="12" t="s">
        <v>50</v>
      </c>
      <c r="W4690" s="12" t="s">
        <v>299</v>
      </c>
      <c r="X4690" s="14"/>
      <c r="Y4690" s="12" t="s">
        <v>91</v>
      </c>
      <c r="Z4690" s="12" t="s">
        <v>165</v>
      </c>
      <c r="AA4690" s="14"/>
      <c r="AB4690" s="14"/>
      <c r="AC4690" s="15">
        <v>25</v>
      </c>
      <c r="AD4690" s="15">
        <f>AC4690*AG4690</f>
        <v>25</v>
      </c>
      <c r="AE4690" s="15">
        <v>55</v>
      </c>
      <c r="AF4690" s="15">
        <f>AE4690*AG4690</f>
        <v>55</v>
      </c>
      <c r="AG4690" s="16">
        <v>1</v>
      </c>
    </row>
    <row r="4691" spans="1:33" ht="15" customHeight="1" x14ac:dyDescent="0.2">
      <c r="A4691" s="11" t="str">
        <f>HYPERLINK("https://assets.vans.eu/images/VN000ZSRGQ0-HERO/1","VN000ZSRGQ01")</f>
        <v>VN000ZSRGQ01</v>
      </c>
      <c r="B4691" s="12" t="s">
        <v>16387</v>
      </c>
      <c r="C4691" s="12" t="s">
        <v>7529</v>
      </c>
      <c r="D4691" s="12" t="s">
        <v>7530</v>
      </c>
      <c r="E4691" s="12" t="s">
        <v>16388</v>
      </c>
      <c r="F4691" s="13">
        <v>45</v>
      </c>
      <c r="G4691" s="12" t="s">
        <v>7532</v>
      </c>
      <c r="H4691" s="12" t="s">
        <v>38</v>
      </c>
      <c r="I4691" s="12" t="s">
        <v>242</v>
      </c>
      <c r="J4691" s="12" t="s">
        <v>1611</v>
      </c>
      <c r="K4691" s="12" t="s">
        <v>244</v>
      </c>
      <c r="L4691" s="12" t="s">
        <v>350</v>
      </c>
      <c r="M4691" s="12" t="s">
        <v>43</v>
      </c>
      <c r="N4691" s="12" t="s">
        <v>84</v>
      </c>
      <c r="O4691" s="12" t="s">
        <v>16389</v>
      </c>
      <c r="P4691" s="12" t="s">
        <v>46</v>
      </c>
      <c r="Q4691" s="12" t="s">
        <v>47</v>
      </c>
      <c r="R4691" s="12" t="s">
        <v>48</v>
      </c>
      <c r="S4691" s="13">
        <v>617932528115</v>
      </c>
      <c r="T4691" s="12" t="s">
        <v>164</v>
      </c>
      <c r="U4691" s="13">
        <v>20</v>
      </c>
      <c r="V4691" s="12" t="s">
        <v>50</v>
      </c>
      <c r="W4691" s="12" t="s">
        <v>284</v>
      </c>
      <c r="X4691" s="14"/>
      <c r="Y4691" s="12" t="s">
        <v>71</v>
      </c>
      <c r="Z4691" s="12" t="s">
        <v>92</v>
      </c>
      <c r="AA4691" s="12" t="s">
        <v>354</v>
      </c>
      <c r="AB4691" s="12" t="s">
        <v>888</v>
      </c>
      <c r="AC4691" s="15">
        <v>19.05</v>
      </c>
      <c r="AD4691" s="15">
        <f>AC4691*AG4691</f>
        <v>19.05</v>
      </c>
      <c r="AE4691" s="15">
        <v>40</v>
      </c>
      <c r="AF4691" s="15">
        <f>AE4691*AG4691</f>
        <v>40</v>
      </c>
      <c r="AG4691" s="16">
        <v>1</v>
      </c>
    </row>
    <row r="4692" spans="1:33" ht="15" customHeight="1" x14ac:dyDescent="0.2">
      <c r="A4692" s="11" t="str">
        <f t="shared" si="1131"/>
        <v>VN000ZUVC4R1</v>
      </c>
      <c r="B4692" s="12" t="s">
        <v>16390</v>
      </c>
      <c r="C4692" s="12" t="s">
        <v>2631</v>
      </c>
      <c r="D4692" s="12" t="s">
        <v>2632</v>
      </c>
      <c r="E4692" s="12" t="s">
        <v>16391</v>
      </c>
      <c r="F4692" s="13">
        <v>90</v>
      </c>
      <c r="G4692" s="12" t="s">
        <v>1358</v>
      </c>
      <c r="H4692" s="12" t="s">
        <v>38</v>
      </c>
      <c r="I4692" s="12" t="s">
        <v>159</v>
      </c>
      <c r="J4692" s="12" t="s">
        <v>255</v>
      </c>
      <c r="K4692" s="12" t="s">
        <v>199</v>
      </c>
      <c r="L4692" s="12" t="s">
        <v>350</v>
      </c>
      <c r="M4692" s="12" t="s">
        <v>43</v>
      </c>
      <c r="N4692" s="12" t="s">
        <v>84</v>
      </c>
      <c r="O4692" s="12" t="s">
        <v>16392</v>
      </c>
      <c r="P4692" s="12" t="s">
        <v>46</v>
      </c>
      <c r="Q4692" s="12" t="s">
        <v>47</v>
      </c>
      <c r="R4692" s="12" t="s">
        <v>163</v>
      </c>
      <c r="S4692" s="13">
        <v>888655101316</v>
      </c>
      <c r="T4692" s="12" t="s">
        <v>105</v>
      </c>
      <c r="U4692" s="13">
        <v>42</v>
      </c>
      <c r="V4692" s="12" t="s">
        <v>50</v>
      </c>
      <c r="W4692" s="12" t="s">
        <v>51</v>
      </c>
      <c r="X4692" s="14"/>
      <c r="Y4692" s="12" t="s">
        <v>71</v>
      </c>
      <c r="Z4692" s="12" t="s">
        <v>92</v>
      </c>
      <c r="AA4692" s="12" t="s">
        <v>354</v>
      </c>
      <c r="AB4692" s="12" t="s">
        <v>888</v>
      </c>
      <c r="AC4692" s="15">
        <v>35.75</v>
      </c>
      <c r="AD4692" s="15">
        <f>AC4692*AG4692</f>
        <v>35.75</v>
      </c>
      <c r="AE4692" s="15">
        <v>75</v>
      </c>
      <c r="AF4692" s="15">
        <f>AE4692*AG4692</f>
        <v>75</v>
      </c>
      <c r="AG4692" s="16">
        <v>1</v>
      </c>
    </row>
    <row r="4693" spans="1:33" ht="15" customHeight="1" x14ac:dyDescent="0.2">
      <c r="A4693" s="11" t="str">
        <f t="shared" si="467"/>
        <v>VN000ZUVFM51</v>
      </c>
      <c r="B4693" s="12" t="s">
        <v>16393</v>
      </c>
      <c r="C4693" s="12" t="s">
        <v>2631</v>
      </c>
      <c r="D4693" s="12" t="s">
        <v>4436</v>
      </c>
      <c r="E4693" s="12" t="s">
        <v>16394</v>
      </c>
      <c r="F4693" s="13">
        <v>70</v>
      </c>
      <c r="G4693" s="12" t="s">
        <v>1358</v>
      </c>
      <c r="H4693" s="12" t="s">
        <v>38</v>
      </c>
      <c r="I4693" s="12" t="s">
        <v>159</v>
      </c>
      <c r="J4693" s="12" t="s">
        <v>255</v>
      </c>
      <c r="K4693" s="12" t="s">
        <v>199</v>
      </c>
      <c r="L4693" s="12" t="s">
        <v>350</v>
      </c>
      <c r="M4693" s="12" t="s">
        <v>43</v>
      </c>
      <c r="N4693" s="12" t="s">
        <v>84</v>
      </c>
      <c r="O4693" s="12" t="s">
        <v>16395</v>
      </c>
      <c r="P4693" s="12" t="s">
        <v>46</v>
      </c>
      <c r="Q4693" s="12" t="s">
        <v>47</v>
      </c>
      <c r="R4693" s="12" t="s">
        <v>163</v>
      </c>
      <c r="S4693" s="13">
        <v>888655101798</v>
      </c>
      <c r="T4693" s="12" t="s">
        <v>105</v>
      </c>
      <c r="U4693" s="13">
        <v>39</v>
      </c>
      <c r="V4693" s="12" t="s">
        <v>50</v>
      </c>
      <c r="W4693" s="12" t="s">
        <v>51</v>
      </c>
      <c r="X4693" s="14"/>
      <c r="Y4693" s="12" t="s">
        <v>71</v>
      </c>
      <c r="Z4693" s="12" t="s">
        <v>92</v>
      </c>
      <c r="AA4693" s="12" t="s">
        <v>354</v>
      </c>
      <c r="AB4693" s="12" t="s">
        <v>888</v>
      </c>
      <c r="AC4693" s="15">
        <v>35.75</v>
      </c>
      <c r="AD4693" s="15">
        <f>AC4693*AG4693</f>
        <v>35.75</v>
      </c>
      <c r="AE4693" s="15">
        <v>75</v>
      </c>
      <c r="AF4693" s="15">
        <f>AE4693*AG4693</f>
        <v>75</v>
      </c>
      <c r="AG4693" s="16">
        <v>1</v>
      </c>
    </row>
    <row r="4694" spans="1:33" ht="15" customHeight="1" x14ac:dyDescent="0.2">
      <c r="A4694" s="11" t="str">
        <f t="shared" ref="A4694:A4697" si="1452">HYPERLINK("https://assets.vans.eu/images/VN0A2Z3I1CI-HERO/1","VN0A2Z3I1CI1")</f>
        <v>VN0A2Z3I1CI1</v>
      </c>
      <c r="B4694" s="12" t="s">
        <v>16396</v>
      </c>
      <c r="C4694" s="12" t="s">
        <v>16397</v>
      </c>
      <c r="D4694" s="12" t="s">
        <v>884</v>
      </c>
      <c r="E4694" s="12" t="s">
        <v>16398</v>
      </c>
      <c r="F4694" s="13">
        <v>70</v>
      </c>
      <c r="G4694" s="14"/>
      <c r="H4694" s="12" t="s">
        <v>38</v>
      </c>
      <c r="I4694" s="12" t="s">
        <v>159</v>
      </c>
      <c r="J4694" s="12" t="s">
        <v>341</v>
      </c>
      <c r="K4694" s="12" t="s">
        <v>82</v>
      </c>
      <c r="L4694" s="14"/>
      <c r="M4694" s="12" t="s">
        <v>43</v>
      </c>
      <c r="N4694" s="12" t="s">
        <v>161</v>
      </c>
      <c r="O4694" s="12" t="s">
        <v>16399</v>
      </c>
      <c r="P4694" s="12" t="s">
        <v>46</v>
      </c>
      <c r="Q4694" s="12" t="s">
        <v>47</v>
      </c>
      <c r="R4694" s="12" t="s">
        <v>163</v>
      </c>
      <c r="S4694" s="13">
        <v>197065767198</v>
      </c>
      <c r="T4694" s="12" t="s">
        <v>49</v>
      </c>
      <c r="U4694" s="13">
        <v>39</v>
      </c>
      <c r="V4694" s="12" t="s">
        <v>50</v>
      </c>
      <c r="W4694" s="12" t="s">
        <v>51</v>
      </c>
      <c r="X4694" s="14"/>
      <c r="Y4694" s="12" t="s">
        <v>91</v>
      </c>
      <c r="Z4694" s="12" t="s">
        <v>344</v>
      </c>
      <c r="AA4694" s="14"/>
      <c r="AB4694" s="14"/>
      <c r="AC4694" s="15">
        <v>50</v>
      </c>
      <c r="AD4694" s="15">
        <f>AC4694*AG4694</f>
        <v>50</v>
      </c>
      <c r="AE4694" s="15">
        <v>110</v>
      </c>
      <c r="AF4694" s="15">
        <f>AE4694*AG4694</f>
        <v>110</v>
      </c>
      <c r="AG4694" s="16">
        <v>1</v>
      </c>
    </row>
    <row r="4695" spans="1:33" ht="15" customHeight="1" x14ac:dyDescent="0.2">
      <c r="A4695" s="11" t="str">
        <f t="shared" si="1452"/>
        <v>VN0A2Z3I1CI1</v>
      </c>
      <c r="B4695" s="12" t="s">
        <v>16400</v>
      </c>
      <c r="C4695" s="12" t="s">
        <v>16397</v>
      </c>
      <c r="D4695" s="12" t="s">
        <v>884</v>
      </c>
      <c r="E4695" s="12" t="s">
        <v>16401</v>
      </c>
      <c r="F4695" s="13">
        <v>75</v>
      </c>
      <c r="G4695" s="14"/>
      <c r="H4695" s="12" t="s">
        <v>38</v>
      </c>
      <c r="I4695" s="12" t="s">
        <v>159</v>
      </c>
      <c r="J4695" s="12" t="s">
        <v>341</v>
      </c>
      <c r="K4695" s="12" t="s">
        <v>82</v>
      </c>
      <c r="L4695" s="14"/>
      <c r="M4695" s="12" t="s">
        <v>43</v>
      </c>
      <c r="N4695" s="12" t="s">
        <v>161</v>
      </c>
      <c r="O4695" s="12" t="s">
        <v>16402</v>
      </c>
      <c r="P4695" s="12" t="s">
        <v>46</v>
      </c>
      <c r="Q4695" s="12" t="s">
        <v>47</v>
      </c>
      <c r="R4695" s="12" t="s">
        <v>163</v>
      </c>
      <c r="S4695" s="13">
        <v>197065767358</v>
      </c>
      <c r="T4695" s="12" t="s">
        <v>49</v>
      </c>
      <c r="U4695" s="13">
        <v>40</v>
      </c>
      <c r="V4695" s="12" t="s">
        <v>50</v>
      </c>
      <c r="W4695" s="12" t="s">
        <v>51</v>
      </c>
      <c r="X4695" s="14"/>
      <c r="Y4695" s="12" t="s">
        <v>91</v>
      </c>
      <c r="Z4695" s="12" t="s">
        <v>344</v>
      </c>
      <c r="AA4695" s="14"/>
      <c r="AB4695" s="14"/>
      <c r="AC4695" s="15">
        <v>50</v>
      </c>
      <c r="AD4695" s="15">
        <f>AC4695*AG4695</f>
        <v>50</v>
      </c>
      <c r="AE4695" s="15">
        <v>110</v>
      </c>
      <c r="AF4695" s="15">
        <f>AE4695*AG4695</f>
        <v>110</v>
      </c>
      <c r="AG4695" s="16">
        <v>1</v>
      </c>
    </row>
    <row r="4696" spans="1:33" ht="15" customHeight="1" x14ac:dyDescent="0.2">
      <c r="A4696" s="11" t="str">
        <f t="shared" si="1452"/>
        <v>VN0A2Z3I1CI1</v>
      </c>
      <c r="B4696" s="12" t="s">
        <v>16403</v>
      </c>
      <c r="C4696" s="12" t="s">
        <v>16397</v>
      </c>
      <c r="D4696" s="12" t="s">
        <v>884</v>
      </c>
      <c r="E4696" s="12" t="s">
        <v>16404</v>
      </c>
      <c r="F4696" s="13">
        <v>85</v>
      </c>
      <c r="G4696" s="14"/>
      <c r="H4696" s="12" t="s">
        <v>38</v>
      </c>
      <c r="I4696" s="12" t="s">
        <v>159</v>
      </c>
      <c r="J4696" s="12" t="s">
        <v>341</v>
      </c>
      <c r="K4696" s="12" t="s">
        <v>82</v>
      </c>
      <c r="L4696" s="14"/>
      <c r="M4696" s="12" t="s">
        <v>43</v>
      </c>
      <c r="N4696" s="12" t="s">
        <v>161</v>
      </c>
      <c r="O4696" s="12" t="s">
        <v>16405</v>
      </c>
      <c r="P4696" s="12" t="s">
        <v>46</v>
      </c>
      <c r="Q4696" s="12" t="s">
        <v>47</v>
      </c>
      <c r="R4696" s="12" t="s">
        <v>163</v>
      </c>
      <c r="S4696" s="13">
        <v>197065767556</v>
      </c>
      <c r="T4696" s="12" t="s">
        <v>49</v>
      </c>
      <c r="U4696" s="13">
        <v>41</v>
      </c>
      <c r="V4696" s="12" t="s">
        <v>50</v>
      </c>
      <c r="W4696" s="12" t="s">
        <v>51</v>
      </c>
      <c r="X4696" s="14"/>
      <c r="Y4696" s="12" t="s">
        <v>91</v>
      </c>
      <c r="Z4696" s="12" t="s">
        <v>344</v>
      </c>
      <c r="AA4696" s="14"/>
      <c r="AB4696" s="14"/>
      <c r="AC4696" s="15">
        <v>50</v>
      </c>
      <c r="AD4696" s="15">
        <f>AC4696*AG4696</f>
        <v>50</v>
      </c>
      <c r="AE4696" s="15">
        <v>110</v>
      </c>
      <c r="AF4696" s="15">
        <f>AE4696*AG4696</f>
        <v>110</v>
      </c>
      <c r="AG4696" s="16">
        <v>1</v>
      </c>
    </row>
    <row r="4697" spans="1:33" ht="15" customHeight="1" x14ac:dyDescent="0.2">
      <c r="A4697" s="11" t="str">
        <f t="shared" si="1452"/>
        <v>VN0A2Z3I1CI1</v>
      </c>
      <c r="B4697" s="12" t="s">
        <v>16406</v>
      </c>
      <c r="C4697" s="12" t="s">
        <v>16397</v>
      </c>
      <c r="D4697" s="12" t="s">
        <v>884</v>
      </c>
      <c r="E4697" s="12" t="s">
        <v>16407</v>
      </c>
      <c r="F4697" s="13">
        <v>95</v>
      </c>
      <c r="G4697" s="14"/>
      <c r="H4697" s="12" t="s">
        <v>38</v>
      </c>
      <c r="I4697" s="12" t="s">
        <v>159</v>
      </c>
      <c r="J4697" s="12" t="s">
        <v>341</v>
      </c>
      <c r="K4697" s="12" t="s">
        <v>82</v>
      </c>
      <c r="L4697" s="14"/>
      <c r="M4697" s="12" t="s">
        <v>43</v>
      </c>
      <c r="N4697" s="12" t="s">
        <v>161</v>
      </c>
      <c r="O4697" s="12" t="s">
        <v>16408</v>
      </c>
      <c r="P4697" s="12" t="s">
        <v>46</v>
      </c>
      <c r="Q4697" s="12" t="s">
        <v>47</v>
      </c>
      <c r="R4697" s="12" t="s">
        <v>163</v>
      </c>
      <c r="S4697" s="13">
        <v>197065767730</v>
      </c>
      <c r="T4697" s="12" t="s">
        <v>49</v>
      </c>
      <c r="U4697" s="13">
        <v>42.5</v>
      </c>
      <c r="V4697" s="12" t="s">
        <v>50</v>
      </c>
      <c r="W4697" s="12" t="s">
        <v>51</v>
      </c>
      <c r="X4697" s="14"/>
      <c r="Y4697" s="12" t="s">
        <v>91</v>
      </c>
      <c r="Z4697" s="12" t="s">
        <v>344</v>
      </c>
      <c r="AA4697" s="14"/>
      <c r="AB4697" s="14"/>
      <c r="AC4697" s="15">
        <v>50</v>
      </c>
      <c r="AD4697" s="15">
        <f>AC4697*AG4697</f>
        <v>50</v>
      </c>
      <c r="AE4697" s="15">
        <v>110</v>
      </c>
      <c r="AF4697" s="15">
        <f>AE4697*AG4697</f>
        <v>110</v>
      </c>
      <c r="AG4697" s="16">
        <v>1</v>
      </c>
    </row>
    <row r="4698" spans="1:33" ht="15" customHeight="1" x14ac:dyDescent="0.2">
      <c r="A4698" s="11" t="str">
        <f>HYPERLINK("https://assets.vans.eu/images/VN0A2Z3RRRS-HERO/1","VN0A2Z3RRRS1")</f>
        <v>VN0A2Z3RRRS1</v>
      </c>
      <c r="B4698" s="12" t="s">
        <v>16409</v>
      </c>
      <c r="C4698" s="12" t="s">
        <v>16410</v>
      </c>
      <c r="D4698" s="12" t="s">
        <v>16411</v>
      </c>
      <c r="E4698" s="12" t="s">
        <v>16412</v>
      </c>
      <c r="F4698" s="13">
        <v>60</v>
      </c>
      <c r="G4698" s="14"/>
      <c r="H4698" s="12" t="s">
        <v>38</v>
      </c>
      <c r="I4698" s="12" t="s">
        <v>159</v>
      </c>
      <c r="J4698" s="12" t="s">
        <v>341</v>
      </c>
      <c r="K4698" s="12" t="s">
        <v>199</v>
      </c>
      <c r="L4698" s="14"/>
      <c r="M4698" s="12" t="s">
        <v>43</v>
      </c>
      <c r="N4698" s="12" t="s">
        <v>161</v>
      </c>
      <c r="O4698" s="12" t="s">
        <v>16413</v>
      </c>
      <c r="P4698" s="12" t="s">
        <v>46</v>
      </c>
      <c r="Q4698" s="12" t="s">
        <v>47</v>
      </c>
      <c r="R4698" s="12" t="s">
        <v>163</v>
      </c>
      <c r="S4698" s="13">
        <v>197065698263</v>
      </c>
      <c r="T4698" s="12" t="s">
        <v>49</v>
      </c>
      <c r="U4698" s="13">
        <v>38</v>
      </c>
      <c r="V4698" s="12" t="s">
        <v>50</v>
      </c>
      <c r="W4698" s="12" t="s">
        <v>186</v>
      </c>
      <c r="X4698" s="14"/>
      <c r="Y4698" s="12" t="s">
        <v>91</v>
      </c>
      <c r="Z4698" s="12" t="s">
        <v>344</v>
      </c>
      <c r="AA4698" s="14"/>
      <c r="AB4698" s="14"/>
      <c r="AC4698" s="15">
        <v>45.5</v>
      </c>
      <c r="AD4698" s="15">
        <f>AC4698*AG4698</f>
        <v>45.5</v>
      </c>
      <c r="AE4698" s="15">
        <v>100</v>
      </c>
      <c r="AF4698" s="15">
        <f>AE4698*AG4698</f>
        <v>100</v>
      </c>
      <c r="AG4698" s="16">
        <v>1</v>
      </c>
    </row>
    <row r="4699" spans="1:33" ht="15" customHeight="1" x14ac:dyDescent="0.2">
      <c r="A4699" s="11" t="str">
        <f>HYPERLINK("https://assets.vans.eu/images/VN0A2Z3XYV3-HERO/1","VN0A2Z3XYV31")</f>
        <v>VN0A2Z3XYV31</v>
      </c>
      <c r="B4699" s="12" t="s">
        <v>16414</v>
      </c>
      <c r="C4699" s="12" t="s">
        <v>9622</v>
      </c>
      <c r="D4699" s="12" t="s">
        <v>16415</v>
      </c>
      <c r="E4699" s="12" t="s">
        <v>16416</v>
      </c>
      <c r="F4699" s="13">
        <v>70</v>
      </c>
      <c r="G4699" s="14"/>
      <c r="H4699" s="12" t="s">
        <v>38</v>
      </c>
      <c r="I4699" s="12" t="s">
        <v>159</v>
      </c>
      <c r="J4699" s="12" t="s">
        <v>341</v>
      </c>
      <c r="K4699" s="12" t="s">
        <v>82</v>
      </c>
      <c r="L4699" s="14"/>
      <c r="M4699" s="12" t="s">
        <v>43</v>
      </c>
      <c r="N4699" s="12" t="s">
        <v>84</v>
      </c>
      <c r="O4699" s="12" t="s">
        <v>16417</v>
      </c>
      <c r="P4699" s="12" t="s">
        <v>46</v>
      </c>
      <c r="Q4699" s="12" t="s">
        <v>47</v>
      </c>
      <c r="R4699" s="12" t="s">
        <v>1660</v>
      </c>
      <c r="S4699" s="13">
        <v>197065809997</v>
      </c>
      <c r="T4699" s="12" t="s">
        <v>49</v>
      </c>
      <c r="U4699" s="13">
        <v>39</v>
      </c>
      <c r="V4699" s="12" t="s">
        <v>50</v>
      </c>
      <c r="W4699" s="12" t="s">
        <v>51</v>
      </c>
      <c r="X4699" s="14"/>
      <c r="Y4699" s="12" t="s">
        <v>91</v>
      </c>
      <c r="Z4699" s="12" t="s">
        <v>344</v>
      </c>
      <c r="AA4699" s="14"/>
      <c r="AB4699" s="14"/>
      <c r="AC4699" s="15">
        <v>45.5</v>
      </c>
      <c r="AD4699" s="15">
        <f>AC4699*AG4699</f>
        <v>45.5</v>
      </c>
      <c r="AE4699" s="15">
        <v>100</v>
      </c>
      <c r="AF4699" s="15">
        <f>AE4699*AG4699</f>
        <v>100</v>
      </c>
      <c r="AG4699" s="16">
        <v>1</v>
      </c>
    </row>
    <row r="4700" spans="1:33" ht="15" customHeight="1" x14ac:dyDescent="0.2">
      <c r="A4700" s="11" t="str">
        <f>HYPERLINK("https://assets.vans.eu/images/VN0A2Z42239-HERO/1","VN0A2Z422391")</f>
        <v>VN0A2Z422391</v>
      </c>
      <c r="B4700" s="12" t="s">
        <v>16418</v>
      </c>
      <c r="C4700" s="12" t="s">
        <v>34</v>
      </c>
      <c r="D4700" s="12" t="s">
        <v>1609</v>
      </c>
      <c r="E4700" s="12" t="s">
        <v>16419</v>
      </c>
      <c r="F4700" s="13">
        <v>90</v>
      </c>
      <c r="G4700" s="12" t="s">
        <v>1658</v>
      </c>
      <c r="H4700" s="12" t="s">
        <v>38</v>
      </c>
      <c r="I4700" s="12" t="s">
        <v>159</v>
      </c>
      <c r="J4700" s="12" t="s">
        <v>160</v>
      </c>
      <c r="K4700" s="12" t="s">
        <v>82</v>
      </c>
      <c r="L4700" s="14"/>
      <c r="M4700" s="12" t="s">
        <v>43</v>
      </c>
      <c r="N4700" s="12" t="s">
        <v>161</v>
      </c>
      <c r="O4700" s="12" t="s">
        <v>16420</v>
      </c>
      <c r="P4700" s="12" t="s">
        <v>46</v>
      </c>
      <c r="Q4700" s="12" t="s">
        <v>47</v>
      </c>
      <c r="R4700" s="12" t="s">
        <v>163</v>
      </c>
      <c r="S4700" s="13">
        <v>197065700331</v>
      </c>
      <c r="T4700" s="12" t="s">
        <v>105</v>
      </c>
      <c r="U4700" s="13">
        <v>42</v>
      </c>
      <c r="V4700" s="12" t="s">
        <v>50</v>
      </c>
      <c r="W4700" s="12" t="s">
        <v>455</v>
      </c>
      <c r="X4700" s="14"/>
      <c r="Y4700" s="12" t="s">
        <v>91</v>
      </c>
      <c r="Z4700" s="12" t="s">
        <v>165</v>
      </c>
      <c r="AA4700" s="14"/>
      <c r="AB4700" s="14"/>
      <c r="AC4700" s="15">
        <v>43.2</v>
      </c>
      <c r="AD4700" s="15">
        <f>AC4700*AG4700</f>
        <v>43.2</v>
      </c>
      <c r="AE4700" s="15">
        <v>95</v>
      </c>
      <c r="AF4700" s="15">
        <f>AE4700*AG4700</f>
        <v>95</v>
      </c>
      <c r="AG4700" s="16">
        <v>1</v>
      </c>
    </row>
    <row r="4701" spans="1:33" ht="15" customHeight="1" x14ac:dyDescent="0.2">
      <c r="A4701" s="11" t="str">
        <f>HYPERLINK("https://assets.vans.eu/images/VN0A32QG5WU-HERO/1","VN0A32QG5WU1")</f>
        <v>VN0A32QG5WU1</v>
      </c>
      <c r="B4701" s="12" t="s">
        <v>16421</v>
      </c>
      <c r="C4701" s="12" t="s">
        <v>309</v>
      </c>
      <c r="D4701" s="12" t="s">
        <v>16422</v>
      </c>
      <c r="E4701" s="12" t="s">
        <v>16423</v>
      </c>
      <c r="F4701" s="13">
        <v>105</v>
      </c>
      <c r="G4701" s="12" t="s">
        <v>1358</v>
      </c>
      <c r="H4701" s="12" t="s">
        <v>38</v>
      </c>
      <c r="I4701" s="12" t="s">
        <v>159</v>
      </c>
      <c r="J4701" s="12" t="s">
        <v>160</v>
      </c>
      <c r="K4701" s="12" t="s">
        <v>82</v>
      </c>
      <c r="L4701" s="12" t="s">
        <v>260</v>
      </c>
      <c r="M4701" s="12" t="s">
        <v>43</v>
      </c>
      <c r="N4701" s="12" t="s">
        <v>161</v>
      </c>
      <c r="O4701" s="12" t="s">
        <v>16424</v>
      </c>
      <c r="P4701" s="12" t="s">
        <v>46</v>
      </c>
      <c r="Q4701" s="12" t="s">
        <v>47</v>
      </c>
      <c r="R4701" s="12" t="s">
        <v>1660</v>
      </c>
      <c r="S4701" s="13">
        <v>194113839395</v>
      </c>
      <c r="T4701" s="12" t="s">
        <v>105</v>
      </c>
      <c r="U4701" s="13">
        <v>44</v>
      </c>
      <c r="V4701" s="12" t="s">
        <v>50</v>
      </c>
      <c r="W4701" s="12" t="s">
        <v>51</v>
      </c>
      <c r="X4701" s="14"/>
      <c r="Y4701" s="12" t="s">
        <v>91</v>
      </c>
      <c r="Z4701" s="12" t="s">
        <v>165</v>
      </c>
      <c r="AA4701" s="14"/>
      <c r="AB4701" s="12" t="s">
        <v>264</v>
      </c>
      <c r="AC4701" s="15">
        <v>40.950000000000003</v>
      </c>
      <c r="AD4701" s="15">
        <f>AC4701*AG4701</f>
        <v>40.950000000000003</v>
      </c>
      <c r="AE4701" s="15">
        <v>90</v>
      </c>
      <c r="AF4701" s="15">
        <f>AE4701*AG4701</f>
        <v>90</v>
      </c>
      <c r="AG4701" s="16">
        <v>1</v>
      </c>
    </row>
    <row r="4702" spans="1:33" ht="15" customHeight="1" x14ac:dyDescent="0.2">
      <c r="A4702" s="11" t="str">
        <f t="shared" ref="A4702:A4703" si="1453">HYPERLINK("https://assets.vans.eu/images/VN0A32QM28L-HERO/1","VN0A32QM28L1")</f>
        <v>VN0A32QM28L1</v>
      </c>
      <c r="B4702" s="12" t="s">
        <v>16425</v>
      </c>
      <c r="C4702" s="12" t="s">
        <v>16426</v>
      </c>
      <c r="D4702" s="12" t="s">
        <v>16427</v>
      </c>
      <c r="E4702" s="12" t="s">
        <v>16428</v>
      </c>
      <c r="F4702" s="13">
        <v>70</v>
      </c>
      <c r="G4702" s="12" t="s">
        <v>2273</v>
      </c>
      <c r="H4702" s="12" t="s">
        <v>38</v>
      </c>
      <c r="I4702" s="12" t="s">
        <v>113</v>
      </c>
      <c r="J4702" s="12" t="s">
        <v>114</v>
      </c>
      <c r="K4702" s="12" t="s">
        <v>100</v>
      </c>
      <c r="L4702" s="12" t="s">
        <v>350</v>
      </c>
      <c r="M4702" s="12" t="s">
        <v>43</v>
      </c>
      <c r="N4702" s="12" t="s">
        <v>84</v>
      </c>
      <c r="O4702" s="12" t="s">
        <v>16429</v>
      </c>
      <c r="P4702" s="12" t="s">
        <v>46</v>
      </c>
      <c r="Q4702" s="12" t="s">
        <v>47</v>
      </c>
      <c r="R4702" s="12" t="s">
        <v>117</v>
      </c>
      <c r="S4702" s="13">
        <v>192825712821</v>
      </c>
      <c r="T4702" s="12" t="s">
        <v>49</v>
      </c>
      <c r="U4702" s="13">
        <v>37</v>
      </c>
      <c r="V4702" s="12" t="s">
        <v>209</v>
      </c>
      <c r="W4702" s="12" t="s">
        <v>299</v>
      </c>
      <c r="X4702" s="14"/>
      <c r="Y4702" s="12" t="s">
        <v>71</v>
      </c>
      <c r="Z4702" s="12" t="s">
        <v>92</v>
      </c>
      <c r="AA4702" s="12" t="s">
        <v>354</v>
      </c>
      <c r="AB4702" s="12" t="s">
        <v>888</v>
      </c>
      <c r="AC4702" s="15">
        <v>33.35</v>
      </c>
      <c r="AD4702" s="15">
        <f>AC4702*AG4702</f>
        <v>33.35</v>
      </c>
      <c r="AE4702" s="15">
        <v>70</v>
      </c>
      <c r="AF4702" s="15">
        <f>AE4702*AG4702</f>
        <v>70</v>
      </c>
      <c r="AG4702" s="16">
        <v>1</v>
      </c>
    </row>
    <row r="4703" spans="1:33" ht="15" customHeight="1" x14ac:dyDescent="0.2">
      <c r="A4703" s="11" t="str">
        <f t="shared" si="1453"/>
        <v>VN0A32QM28L1</v>
      </c>
      <c r="B4703" s="12" t="s">
        <v>16430</v>
      </c>
      <c r="C4703" s="12" t="s">
        <v>16426</v>
      </c>
      <c r="D4703" s="12" t="s">
        <v>16427</v>
      </c>
      <c r="E4703" s="12" t="s">
        <v>16431</v>
      </c>
      <c r="F4703" s="13">
        <v>90</v>
      </c>
      <c r="G4703" s="12" t="s">
        <v>2273</v>
      </c>
      <c r="H4703" s="12" t="s">
        <v>38</v>
      </c>
      <c r="I4703" s="12" t="s">
        <v>113</v>
      </c>
      <c r="J4703" s="12" t="s">
        <v>114</v>
      </c>
      <c r="K4703" s="12" t="s">
        <v>100</v>
      </c>
      <c r="L4703" s="12" t="s">
        <v>350</v>
      </c>
      <c r="M4703" s="12" t="s">
        <v>43</v>
      </c>
      <c r="N4703" s="12" t="s">
        <v>84</v>
      </c>
      <c r="O4703" s="12" t="s">
        <v>16432</v>
      </c>
      <c r="P4703" s="12" t="s">
        <v>46</v>
      </c>
      <c r="Q4703" s="12" t="s">
        <v>47</v>
      </c>
      <c r="R4703" s="12" t="s">
        <v>117</v>
      </c>
      <c r="S4703" s="13">
        <v>192825713149</v>
      </c>
      <c r="T4703" s="12" t="s">
        <v>49</v>
      </c>
      <c r="U4703" s="13">
        <v>40</v>
      </c>
      <c r="V4703" s="12" t="s">
        <v>209</v>
      </c>
      <c r="W4703" s="12" t="s">
        <v>299</v>
      </c>
      <c r="X4703" s="14"/>
      <c r="Y4703" s="12" t="s">
        <v>71</v>
      </c>
      <c r="Z4703" s="12" t="s">
        <v>92</v>
      </c>
      <c r="AA4703" s="12" t="s">
        <v>354</v>
      </c>
      <c r="AB4703" s="12" t="s">
        <v>888</v>
      </c>
      <c r="AC4703" s="15">
        <v>33.35</v>
      </c>
      <c r="AD4703" s="15">
        <f>AC4703*AG4703</f>
        <v>33.35</v>
      </c>
      <c r="AE4703" s="15">
        <v>70</v>
      </c>
      <c r="AF4703" s="15">
        <f>AE4703*AG4703</f>
        <v>70</v>
      </c>
      <c r="AG4703" s="16">
        <v>1</v>
      </c>
    </row>
    <row r="4704" spans="1:33" ht="15" customHeight="1" x14ac:dyDescent="0.2">
      <c r="A4704" s="11" t="str">
        <f t="shared" ref="A4704:A4706" si="1454">HYPERLINK("https://assets.vans.eu/images/VN0A38G19G5-HERO/1","VN0A38G19G51")</f>
        <v>VN0A38G19G51</v>
      </c>
      <c r="B4704" s="12" t="s">
        <v>16433</v>
      </c>
      <c r="C4704" s="12" t="s">
        <v>34</v>
      </c>
      <c r="D4704" s="12" t="s">
        <v>16434</v>
      </c>
      <c r="E4704" s="12" t="s">
        <v>16435</v>
      </c>
      <c r="F4704" s="13">
        <v>90</v>
      </c>
      <c r="G4704" s="14"/>
      <c r="H4704" s="12" t="s">
        <v>38</v>
      </c>
      <c r="I4704" s="12" t="s">
        <v>159</v>
      </c>
      <c r="J4704" s="12" t="s">
        <v>160</v>
      </c>
      <c r="K4704" s="12" t="s">
        <v>82</v>
      </c>
      <c r="L4704" s="14"/>
      <c r="M4704" s="12" t="s">
        <v>43</v>
      </c>
      <c r="N4704" s="12" t="s">
        <v>161</v>
      </c>
      <c r="O4704" s="12" t="s">
        <v>16436</v>
      </c>
      <c r="P4704" s="12" t="s">
        <v>46</v>
      </c>
      <c r="Q4704" s="12" t="s">
        <v>47</v>
      </c>
      <c r="R4704" s="12" t="s">
        <v>163</v>
      </c>
      <c r="S4704" s="13">
        <v>195439337572</v>
      </c>
      <c r="T4704" s="12" t="s">
        <v>164</v>
      </c>
      <c r="U4704" s="13">
        <v>42</v>
      </c>
      <c r="V4704" s="12" t="s">
        <v>50</v>
      </c>
      <c r="W4704" s="12" t="s">
        <v>284</v>
      </c>
      <c r="X4704" s="14"/>
      <c r="Y4704" s="12" t="s">
        <v>91</v>
      </c>
      <c r="Z4704" s="12" t="s">
        <v>165</v>
      </c>
      <c r="AA4704" s="14"/>
      <c r="AB4704" s="14"/>
      <c r="AC4704" s="15">
        <v>43.2</v>
      </c>
      <c r="AD4704" s="15">
        <f>AC4704*AG4704</f>
        <v>43.2</v>
      </c>
      <c r="AE4704" s="15">
        <v>95</v>
      </c>
      <c r="AF4704" s="15">
        <f>AE4704*AG4704</f>
        <v>95</v>
      </c>
      <c r="AG4704" s="16">
        <v>1</v>
      </c>
    </row>
    <row r="4705" spans="1:33" ht="15" customHeight="1" x14ac:dyDescent="0.2">
      <c r="A4705" s="11" t="str">
        <f t="shared" si="1454"/>
        <v>VN0A38G19G51</v>
      </c>
      <c r="B4705" s="12" t="s">
        <v>16437</v>
      </c>
      <c r="C4705" s="12" t="s">
        <v>34</v>
      </c>
      <c r="D4705" s="12" t="s">
        <v>16434</v>
      </c>
      <c r="E4705" s="12" t="s">
        <v>16438</v>
      </c>
      <c r="F4705" s="13">
        <v>95</v>
      </c>
      <c r="G4705" s="14"/>
      <c r="H4705" s="12" t="s">
        <v>38</v>
      </c>
      <c r="I4705" s="12" t="s">
        <v>159</v>
      </c>
      <c r="J4705" s="12" t="s">
        <v>160</v>
      </c>
      <c r="K4705" s="12" t="s">
        <v>82</v>
      </c>
      <c r="L4705" s="14"/>
      <c r="M4705" s="12" t="s">
        <v>43</v>
      </c>
      <c r="N4705" s="12" t="s">
        <v>161</v>
      </c>
      <c r="O4705" s="12" t="s">
        <v>16439</v>
      </c>
      <c r="P4705" s="12" t="s">
        <v>46</v>
      </c>
      <c r="Q4705" s="12" t="s">
        <v>47</v>
      </c>
      <c r="R4705" s="12" t="s">
        <v>163</v>
      </c>
      <c r="S4705" s="13">
        <v>195439337725</v>
      </c>
      <c r="T4705" s="12" t="s">
        <v>164</v>
      </c>
      <c r="U4705" s="13">
        <v>42.5</v>
      </c>
      <c r="V4705" s="12" t="s">
        <v>50</v>
      </c>
      <c r="W4705" s="12" t="s">
        <v>284</v>
      </c>
      <c r="X4705" s="14"/>
      <c r="Y4705" s="12" t="s">
        <v>91</v>
      </c>
      <c r="Z4705" s="12" t="s">
        <v>165</v>
      </c>
      <c r="AA4705" s="14"/>
      <c r="AB4705" s="14"/>
      <c r="AC4705" s="15">
        <v>43.2</v>
      </c>
      <c r="AD4705" s="15">
        <f>AC4705*AG4705</f>
        <v>43.2</v>
      </c>
      <c r="AE4705" s="15">
        <v>95</v>
      </c>
      <c r="AF4705" s="15">
        <f>AE4705*AG4705</f>
        <v>95</v>
      </c>
      <c r="AG4705" s="16">
        <v>1</v>
      </c>
    </row>
    <row r="4706" spans="1:33" ht="15" customHeight="1" x14ac:dyDescent="0.2">
      <c r="A4706" s="11" t="str">
        <f t="shared" si="1454"/>
        <v>VN0A38G19G51</v>
      </c>
      <c r="B4706" s="12" t="s">
        <v>16440</v>
      </c>
      <c r="C4706" s="12" t="s">
        <v>34</v>
      </c>
      <c r="D4706" s="12" t="s">
        <v>16434</v>
      </c>
      <c r="E4706" s="12" t="s">
        <v>16441</v>
      </c>
      <c r="F4706" s="13">
        <v>100</v>
      </c>
      <c r="G4706" s="14"/>
      <c r="H4706" s="12" t="s">
        <v>38</v>
      </c>
      <c r="I4706" s="12" t="s">
        <v>159</v>
      </c>
      <c r="J4706" s="12" t="s">
        <v>160</v>
      </c>
      <c r="K4706" s="12" t="s">
        <v>82</v>
      </c>
      <c r="L4706" s="14"/>
      <c r="M4706" s="12" t="s">
        <v>43</v>
      </c>
      <c r="N4706" s="12" t="s">
        <v>161</v>
      </c>
      <c r="O4706" s="12" t="s">
        <v>16442</v>
      </c>
      <c r="P4706" s="12" t="s">
        <v>46</v>
      </c>
      <c r="Q4706" s="12" t="s">
        <v>47</v>
      </c>
      <c r="R4706" s="12" t="s">
        <v>163</v>
      </c>
      <c r="S4706" s="13">
        <v>195439337770</v>
      </c>
      <c r="T4706" s="12" t="s">
        <v>164</v>
      </c>
      <c r="U4706" s="13">
        <v>43</v>
      </c>
      <c r="V4706" s="12" t="s">
        <v>50</v>
      </c>
      <c r="W4706" s="12" t="s">
        <v>284</v>
      </c>
      <c r="X4706" s="14"/>
      <c r="Y4706" s="12" t="s">
        <v>91</v>
      </c>
      <c r="Z4706" s="12" t="s">
        <v>165</v>
      </c>
      <c r="AA4706" s="14"/>
      <c r="AB4706" s="14"/>
      <c r="AC4706" s="15">
        <v>43.2</v>
      </c>
      <c r="AD4706" s="15">
        <f>AC4706*AG4706</f>
        <v>43.2</v>
      </c>
      <c r="AE4706" s="15">
        <v>95</v>
      </c>
      <c r="AF4706" s="15">
        <f>AE4706*AG4706</f>
        <v>95</v>
      </c>
      <c r="AG4706" s="16">
        <v>1</v>
      </c>
    </row>
    <row r="4707" spans="1:33" ht="15" customHeight="1" x14ac:dyDescent="0.2">
      <c r="A4707" s="11" t="str">
        <f t="shared" si="0"/>
        <v>VN0A38HBPQZ1</v>
      </c>
      <c r="B4707" s="12" t="s">
        <v>16443</v>
      </c>
      <c r="C4707" s="12" t="s">
        <v>34</v>
      </c>
      <c r="D4707" s="12" t="s">
        <v>35</v>
      </c>
      <c r="E4707" s="12" t="s">
        <v>16444</v>
      </c>
      <c r="F4707" s="13">
        <v>115</v>
      </c>
      <c r="G4707" s="12" t="s">
        <v>37</v>
      </c>
      <c r="H4707" s="12" t="s">
        <v>38</v>
      </c>
      <c r="I4707" s="12" t="s">
        <v>39</v>
      </c>
      <c r="J4707" s="12" t="s">
        <v>40</v>
      </c>
      <c r="K4707" s="12" t="s">
        <v>41</v>
      </c>
      <c r="L4707" s="12" t="s">
        <v>42</v>
      </c>
      <c r="M4707" s="12" t="s">
        <v>43</v>
      </c>
      <c r="N4707" s="12" t="s">
        <v>44</v>
      </c>
      <c r="O4707" s="12" t="s">
        <v>16445</v>
      </c>
      <c r="P4707" s="12" t="s">
        <v>46</v>
      </c>
      <c r="Q4707" s="12" t="s">
        <v>47</v>
      </c>
      <c r="R4707" s="12" t="s">
        <v>48</v>
      </c>
      <c r="S4707" s="13">
        <v>191475420391</v>
      </c>
      <c r="T4707" s="12" t="s">
        <v>49</v>
      </c>
      <c r="U4707" s="13">
        <v>28</v>
      </c>
      <c r="V4707" s="12" t="s">
        <v>50</v>
      </c>
      <c r="W4707" s="12" t="s">
        <v>51</v>
      </c>
      <c r="X4707" s="12" t="s">
        <v>52</v>
      </c>
      <c r="Y4707" s="12" t="s">
        <v>53</v>
      </c>
      <c r="Z4707" s="12" t="s">
        <v>54</v>
      </c>
      <c r="AA4707" s="14"/>
      <c r="AB4707" s="12" t="s">
        <v>55</v>
      </c>
      <c r="AC4707" s="15">
        <v>27.3</v>
      </c>
      <c r="AD4707" s="15">
        <f>AC4707*AG4707</f>
        <v>27.3</v>
      </c>
      <c r="AE4707" s="15">
        <v>60</v>
      </c>
      <c r="AF4707" s="15">
        <f>AE4707*AG4707</f>
        <v>60</v>
      </c>
      <c r="AG4707" s="16">
        <v>1</v>
      </c>
    </row>
    <row r="4708" spans="1:33" ht="15" customHeight="1" x14ac:dyDescent="0.2">
      <c r="A4708" s="11" t="str">
        <f>HYPERLINK("https://assets.vans.eu/images/VN0A3IL2IJU-HERO/1","VN0A3IL2IJU1")</f>
        <v>VN0A3IL2IJU1</v>
      </c>
      <c r="B4708" s="12" t="s">
        <v>16446</v>
      </c>
      <c r="C4708" s="12" t="s">
        <v>16447</v>
      </c>
      <c r="D4708" s="12" t="s">
        <v>16448</v>
      </c>
      <c r="E4708" s="12" t="s">
        <v>16449</v>
      </c>
      <c r="F4708" s="13">
        <v>55</v>
      </c>
      <c r="G4708" s="12" t="s">
        <v>1358</v>
      </c>
      <c r="H4708" s="12" t="s">
        <v>38</v>
      </c>
      <c r="I4708" s="12" t="s">
        <v>113</v>
      </c>
      <c r="J4708" s="12" t="s">
        <v>529</v>
      </c>
      <c r="K4708" s="12" t="s">
        <v>100</v>
      </c>
      <c r="L4708" s="12" t="s">
        <v>350</v>
      </c>
      <c r="M4708" s="12" t="s">
        <v>43</v>
      </c>
      <c r="N4708" s="12" t="s">
        <v>84</v>
      </c>
      <c r="O4708" s="12" t="s">
        <v>16450</v>
      </c>
      <c r="P4708" s="12" t="s">
        <v>46</v>
      </c>
      <c r="Q4708" s="12" t="s">
        <v>47</v>
      </c>
      <c r="R4708" s="12" t="s">
        <v>117</v>
      </c>
      <c r="S4708" s="13">
        <v>191476746247</v>
      </c>
      <c r="T4708" s="12" t="s">
        <v>164</v>
      </c>
      <c r="U4708" s="13">
        <v>35</v>
      </c>
      <c r="V4708" s="12" t="s">
        <v>50</v>
      </c>
      <c r="W4708" s="12" t="s">
        <v>51</v>
      </c>
      <c r="X4708" s="14"/>
      <c r="Y4708" s="12" t="s">
        <v>71</v>
      </c>
      <c r="Z4708" s="12" t="s">
        <v>92</v>
      </c>
      <c r="AA4708" s="12" t="s">
        <v>354</v>
      </c>
      <c r="AB4708" s="12" t="s">
        <v>888</v>
      </c>
      <c r="AC4708" s="15">
        <v>31</v>
      </c>
      <c r="AD4708" s="15">
        <f>AC4708*AG4708</f>
        <v>31</v>
      </c>
      <c r="AE4708" s="15">
        <v>65</v>
      </c>
      <c r="AF4708" s="15">
        <f>AE4708*AG4708</f>
        <v>65</v>
      </c>
      <c r="AG4708" s="16">
        <v>1</v>
      </c>
    </row>
    <row r="4709" spans="1:33" ht="15" customHeight="1" x14ac:dyDescent="0.2">
      <c r="A4709" s="11" t="str">
        <f>HYPERLINK("https://assets.vans.eu/images/VN0A3IL2R6Y-HERO/1","VN0A3IL2R6Y1")</f>
        <v>VN0A3IL2R6Y1</v>
      </c>
      <c r="B4709" s="12" t="s">
        <v>16451</v>
      </c>
      <c r="C4709" s="12" t="s">
        <v>16447</v>
      </c>
      <c r="D4709" s="12" t="s">
        <v>16452</v>
      </c>
      <c r="E4709" s="12" t="s">
        <v>16453</v>
      </c>
      <c r="F4709" s="13">
        <v>85</v>
      </c>
      <c r="G4709" s="12" t="s">
        <v>1358</v>
      </c>
      <c r="H4709" s="12" t="s">
        <v>38</v>
      </c>
      <c r="I4709" s="12" t="s">
        <v>113</v>
      </c>
      <c r="J4709" s="12" t="s">
        <v>529</v>
      </c>
      <c r="K4709" s="12" t="s">
        <v>100</v>
      </c>
      <c r="L4709" s="12" t="s">
        <v>350</v>
      </c>
      <c r="M4709" s="12" t="s">
        <v>43</v>
      </c>
      <c r="N4709" s="12" t="s">
        <v>44</v>
      </c>
      <c r="O4709" s="12" t="s">
        <v>16454</v>
      </c>
      <c r="P4709" s="12" t="s">
        <v>46</v>
      </c>
      <c r="Q4709" s="12" t="s">
        <v>47</v>
      </c>
      <c r="R4709" s="12" t="s">
        <v>117</v>
      </c>
      <c r="S4709" s="13">
        <v>191476748142</v>
      </c>
      <c r="T4709" s="12" t="s">
        <v>164</v>
      </c>
      <c r="U4709" s="13">
        <v>39</v>
      </c>
      <c r="V4709" s="12" t="s">
        <v>50</v>
      </c>
      <c r="W4709" s="12" t="s">
        <v>262</v>
      </c>
      <c r="X4709" s="14"/>
      <c r="Y4709" s="12" t="s">
        <v>71</v>
      </c>
      <c r="Z4709" s="12" t="s">
        <v>92</v>
      </c>
      <c r="AA4709" s="12" t="s">
        <v>354</v>
      </c>
      <c r="AB4709" s="12" t="s">
        <v>888</v>
      </c>
      <c r="AC4709" s="15">
        <v>31</v>
      </c>
      <c r="AD4709" s="15">
        <f>AC4709*AG4709</f>
        <v>31</v>
      </c>
      <c r="AE4709" s="15">
        <v>65</v>
      </c>
      <c r="AF4709" s="15">
        <f>AE4709*AG4709</f>
        <v>65</v>
      </c>
      <c r="AG4709" s="16">
        <v>1</v>
      </c>
    </row>
    <row r="4710" spans="1:33" ht="15" customHeight="1" x14ac:dyDescent="0.2">
      <c r="A4710" s="11" t="str">
        <f>HYPERLINK("https://assets.vans.eu/images/VN0A3TK2V2O-HERO/1","VN0A3TK2V2O1")</f>
        <v>VN0A3TK2V2O1</v>
      </c>
      <c r="B4710" s="12" t="s">
        <v>16455</v>
      </c>
      <c r="C4710" s="12" t="s">
        <v>16456</v>
      </c>
      <c r="D4710" s="12" t="s">
        <v>16457</v>
      </c>
      <c r="E4710" s="12" t="s">
        <v>16458</v>
      </c>
      <c r="F4710" s="13">
        <v>55</v>
      </c>
      <c r="G4710" s="12" t="s">
        <v>16459</v>
      </c>
      <c r="H4710" s="12" t="s">
        <v>38</v>
      </c>
      <c r="I4710" s="12" t="s">
        <v>39</v>
      </c>
      <c r="J4710" s="12" t="s">
        <v>40</v>
      </c>
      <c r="K4710" s="12" t="s">
        <v>16460</v>
      </c>
      <c r="L4710" s="12" t="s">
        <v>350</v>
      </c>
      <c r="M4710" s="12" t="s">
        <v>43</v>
      </c>
      <c r="N4710" s="12" t="s">
        <v>161</v>
      </c>
      <c r="O4710" s="12" t="s">
        <v>16461</v>
      </c>
      <c r="P4710" s="12" t="s">
        <v>46</v>
      </c>
      <c r="Q4710" s="12" t="s">
        <v>47</v>
      </c>
      <c r="R4710" s="12" t="s">
        <v>313</v>
      </c>
      <c r="S4710" s="13">
        <v>193393023135</v>
      </c>
      <c r="T4710" s="12" t="s">
        <v>49</v>
      </c>
      <c r="U4710" s="13">
        <v>37</v>
      </c>
      <c r="V4710" s="12" t="s">
        <v>50</v>
      </c>
      <c r="W4710" s="12" t="s">
        <v>51</v>
      </c>
      <c r="X4710" s="14"/>
      <c r="Y4710" s="12" t="s">
        <v>71</v>
      </c>
      <c r="Z4710" s="12" t="s">
        <v>92</v>
      </c>
      <c r="AA4710" s="12" t="s">
        <v>354</v>
      </c>
      <c r="AB4710" s="12" t="s">
        <v>888</v>
      </c>
      <c r="AC4710" s="15">
        <v>28.6</v>
      </c>
      <c r="AD4710" s="15">
        <f>AC4710*AG4710</f>
        <v>28.6</v>
      </c>
      <c r="AE4710" s="15">
        <v>60</v>
      </c>
      <c r="AF4710" s="15">
        <f>AE4710*AG4710</f>
        <v>60</v>
      </c>
      <c r="AG4710" s="16">
        <v>1</v>
      </c>
    </row>
    <row r="4711" spans="1:33" ht="15" customHeight="1" x14ac:dyDescent="0.2">
      <c r="A4711" s="11" t="str">
        <f t="shared" si="1132"/>
        <v>VN0A3TKN6BT1</v>
      </c>
      <c r="B4711" s="12" t="s">
        <v>16462</v>
      </c>
      <c r="C4711" s="12" t="s">
        <v>2175</v>
      </c>
      <c r="D4711" s="12" t="s">
        <v>2176</v>
      </c>
      <c r="E4711" s="12" t="s">
        <v>16463</v>
      </c>
      <c r="F4711" s="13">
        <v>80</v>
      </c>
      <c r="G4711" s="14"/>
      <c r="H4711" s="12" t="s">
        <v>38</v>
      </c>
      <c r="I4711" s="12" t="s">
        <v>113</v>
      </c>
      <c r="J4711" s="12" t="s">
        <v>114</v>
      </c>
      <c r="K4711" s="12" t="s">
        <v>82</v>
      </c>
      <c r="L4711" s="14"/>
      <c r="M4711" s="12" t="s">
        <v>43</v>
      </c>
      <c r="N4711" s="12" t="s">
        <v>84</v>
      </c>
      <c r="O4711" s="12" t="s">
        <v>16464</v>
      </c>
      <c r="P4711" s="12" t="s">
        <v>46</v>
      </c>
      <c r="Q4711" s="12" t="s">
        <v>47</v>
      </c>
      <c r="R4711" s="12" t="s">
        <v>2179</v>
      </c>
      <c r="S4711" s="13">
        <v>190849927221</v>
      </c>
      <c r="T4711" s="12" t="s">
        <v>105</v>
      </c>
      <c r="U4711" s="13">
        <v>40.5</v>
      </c>
      <c r="V4711" s="12" t="s">
        <v>50</v>
      </c>
      <c r="W4711" s="12" t="s">
        <v>51</v>
      </c>
      <c r="X4711" s="14"/>
      <c r="Y4711" s="12" t="s">
        <v>91</v>
      </c>
      <c r="Z4711" s="12" t="s">
        <v>165</v>
      </c>
      <c r="AA4711" s="14"/>
      <c r="AB4711" s="14"/>
      <c r="AC4711" s="15">
        <v>50</v>
      </c>
      <c r="AD4711" s="15">
        <f>AC4711*AG4711</f>
        <v>50</v>
      </c>
      <c r="AE4711" s="15">
        <v>110</v>
      </c>
      <c r="AF4711" s="15">
        <f>AE4711*AG4711</f>
        <v>110</v>
      </c>
      <c r="AG4711" s="16">
        <v>1</v>
      </c>
    </row>
    <row r="4712" spans="1:33" ht="15" customHeight="1" x14ac:dyDescent="0.2">
      <c r="A4712" s="11" t="str">
        <f t="shared" ref="A4712:A4713" si="1455">HYPERLINK("https://assets.vans.eu/images/VN0A3TL8187-HERO/1","VN0A3TL81871")</f>
        <v>VN0A3TL81871</v>
      </c>
      <c r="B4712" s="12" t="s">
        <v>16465</v>
      </c>
      <c r="C4712" s="12" t="s">
        <v>16466</v>
      </c>
      <c r="D4712" s="12" t="s">
        <v>16467</v>
      </c>
      <c r="E4712" s="12" t="s">
        <v>16468</v>
      </c>
      <c r="F4712" s="13">
        <v>60</v>
      </c>
      <c r="G4712" s="12" t="s">
        <v>372</v>
      </c>
      <c r="H4712" s="12" t="s">
        <v>38</v>
      </c>
      <c r="I4712" s="12" t="s">
        <v>113</v>
      </c>
      <c r="J4712" s="12" t="s">
        <v>529</v>
      </c>
      <c r="K4712" s="12" t="s">
        <v>100</v>
      </c>
      <c r="L4712" s="12" t="s">
        <v>350</v>
      </c>
      <c r="M4712" s="12" t="s">
        <v>43</v>
      </c>
      <c r="N4712" s="12" t="s">
        <v>44</v>
      </c>
      <c r="O4712" s="12" t="s">
        <v>16469</v>
      </c>
      <c r="P4712" s="12" t="s">
        <v>46</v>
      </c>
      <c r="Q4712" s="12" t="s">
        <v>47</v>
      </c>
      <c r="R4712" s="12" t="s">
        <v>117</v>
      </c>
      <c r="S4712" s="13">
        <v>190542985351</v>
      </c>
      <c r="T4712" s="12" t="s">
        <v>49</v>
      </c>
      <c r="U4712" s="13">
        <v>36</v>
      </c>
      <c r="V4712" s="12" t="s">
        <v>209</v>
      </c>
      <c r="W4712" s="12" t="s">
        <v>51</v>
      </c>
      <c r="X4712" s="14"/>
      <c r="Y4712" s="12" t="s">
        <v>71</v>
      </c>
      <c r="Z4712" s="12" t="s">
        <v>92</v>
      </c>
      <c r="AA4712" s="12" t="s">
        <v>354</v>
      </c>
      <c r="AB4712" s="12" t="s">
        <v>888</v>
      </c>
      <c r="AC4712" s="15">
        <v>33.35</v>
      </c>
      <c r="AD4712" s="15">
        <f>AC4712*AG4712</f>
        <v>33.35</v>
      </c>
      <c r="AE4712" s="15">
        <v>70</v>
      </c>
      <c r="AF4712" s="15">
        <f>AE4712*AG4712</f>
        <v>70</v>
      </c>
      <c r="AG4712" s="16">
        <v>1</v>
      </c>
    </row>
    <row r="4713" spans="1:33" ht="15" customHeight="1" x14ac:dyDescent="0.2">
      <c r="A4713" s="11" t="str">
        <f t="shared" si="1455"/>
        <v>VN0A3TL81871</v>
      </c>
      <c r="B4713" s="12" t="s">
        <v>16470</v>
      </c>
      <c r="C4713" s="12" t="s">
        <v>16466</v>
      </c>
      <c r="D4713" s="12" t="s">
        <v>16467</v>
      </c>
      <c r="E4713" s="12" t="s">
        <v>16471</v>
      </c>
      <c r="F4713" s="13">
        <v>100</v>
      </c>
      <c r="G4713" s="12" t="s">
        <v>372</v>
      </c>
      <c r="H4713" s="12" t="s">
        <v>38</v>
      </c>
      <c r="I4713" s="12" t="s">
        <v>113</v>
      </c>
      <c r="J4713" s="12" t="s">
        <v>529</v>
      </c>
      <c r="K4713" s="12" t="s">
        <v>100</v>
      </c>
      <c r="L4713" s="12" t="s">
        <v>350</v>
      </c>
      <c r="M4713" s="12" t="s">
        <v>43</v>
      </c>
      <c r="N4713" s="12" t="s">
        <v>44</v>
      </c>
      <c r="O4713" s="12" t="s">
        <v>16472</v>
      </c>
      <c r="P4713" s="12" t="s">
        <v>46</v>
      </c>
      <c r="Q4713" s="12" t="s">
        <v>47</v>
      </c>
      <c r="R4713" s="12" t="s">
        <v>117</v>
      </c>
      <c r="S4713" s="13">
        <v>190542985887</v>
      </c>
      <c r="T4713" s="12" t="s">
        <v>49</v>
      </c>
      <c r="U4713" s="13">
        <v>41</v>
      </c>
      <c r="V4713" s="12" t="s">
        <v>209</v>
      </c>
      <c r="W4713" s="12" t="s">
        <v>51</v>
      </c>
      <c r="X4713" s="14"/>
      <c r="Y4713" s="12" t="s">
        <v>71</v>
      </c>
      <c r="Z4713" s="12" t="s">
        <v>92</v>
      </c>
      <c r="AA4713" s="12" t="s">
        <v>354</v>
      </c>
      <c r="AB4713" s="12" t="s">
        <v>888</v>
      </c>
      <c r="AC4713" s="15">
        <v>33.35</v>
      </c>
      <c r="AD4713" s="15">
        <f>AC4713*AG4713</f>
        <v>33.35</v>
      </c>
      <c r="AE4713" s="15">
        <v>70</v>
      </c>
      <c r="AF4713" s="15">
        <f>AE4713*AG4713</f>
        <v>70</v>
      </c>
      <c r="AG4713" s="16">
        <v>1</v>
      </c>
    </row>
    <row r="4714" spans="1:33" ht="15" customHeight="1" x14ac:dyDescent="0.2">
      <c r="A4714" s="11" t="str">
        <f>HYPERLINK("https://assets.vans.eu/images/VN0A45JMJBW-HERO/1","VN0A45JMJBW1")</f>
        <v>VN0A45JMJBW1</v>
      </c>
      <c r="B4714" s="12" t="s">
        <v>16473</v>
      </c>
      <c r="C4714" s="12" t="s">
        <v>16426</v>
      </c>
      <c r="D4714" s="12" t="s">
        <v>464</v>
      </c>
      <c r="E4714" s="12" t="s">
        <v>16474</v>
      </c>
      <c r="F4714" s="13">
        <v>55</v>
      </c>
      <c r="G4714" s="12" t="s">
        <v>16475</v>
      </c>
      <c r="H4714" s="12" t="s">
        <v>38</v>
      </c>
      <c r="I4714" s="12" t="s">
        <v>113</v>
      </c>
      <c r="J4714" s="12" t="s">
        <v>114</v>
      </c>
      <c r="K4714" s="12" t="s">
        <v>100</v>
      </c>
      <c r="L4714" s="12" t="s">
        <v>350</v>
      </c>
      <c r="M4714" s="12" t="s">
        <v>43</v>
      </c>
      <c r="N4714" s="12" t="s">
        <v>101</v>
      </c>
      <c r="O4714" s="12" t="s">
        <v>16476</v>
      </c>
      <c r="P4714" s="12" t="s">
        <v>46</v>
      </c>
      <c r="Q4714" s="12" t="s">
        <v>47</v>
      </c>
      <c r="R4714" s="12" t="s">
        <v>117</v>
      </c>
      <c r="S4714" s="13">
        <v>196244854445</v>
      </c>
      <c r="T4714" s="12" t="s">
        <v>49</v>
      </c>
      <c r="U4714" s="13">
        <v>35</v>
      </c>
      <c r="V4714" s="12" t="s">
        <v>209</v>
      </c>
      <c r="W4714" s="12" t="s">
        <v>175</v>
      </c>
      <c r="X4714" s="14"/>
      <c r="Y4714" s="12" t="s">
        <v>71</v>
      </c>
      <c r="Z4714" s="12" t="s">
        <v>92</v>
      </c>
      <c r="AA4714" s="12" t="s">
        <v>354</v>
      </c>
      <c r="AB4714" s="12" t="s">
        <v>55</v>
      </c>
      <c r="AC4714" s="15">
        <v>33.35</v>
      </c>
      <c r="AD4714" s="15">
        <f>AC4714*AG4714</f>
        <v>33.35</v>
      </c>
      <c r="AE4714" s="15">
        <v>70</v>
      </c>
      <c r="AF4714" s="15">
        <f>AE4714*AG4714</f>
        <v>70</v>
      </c>
      <c r="AG4714" s="16">
        <v>1</v>
      </c>
    </row>
    <row r="4715" spans="1:33" ht="15" customHeight="1" x14ac:dyDescent="0.2">
      <c r="A4715" s="11" t="str">
        <f t="shared" ref="A4715:A4717" si="1456">HYPERLINK("https://assets.vans.eu/images/VN0A4BTW5ZN-HERO/1","VN0A4BTW5ZN1")</f>
        <v>VN0A4BTW5ZN1</v>
      </c>
      <c r="B4715" s="12" t="s">
        <v>16477</v>
      </c>
      <c r="C4715" s="12" t="s">
        <v>16478</v>
      </c>
      <c r="D4715" s="12" t="s">
        <v>16479</v>
      </c>
      <c r="E4715" s="12" t="s">
        <v>16480</v>
      </c>
      <c r="F4715" s="13">
        <v>60</v>
      </c>
      <c r="G4715" s="12" t="s">
        <v>1358</v>
      </c>
      <c r="H4715" s="12" t="s">
        <v>38</v>
      </c>
      <c r="I4715" s="12" t="s">
        <v>113</v>
      </c>
      <c r="J4715" s="12" t="s">
        <v>114</v>
      </c>
      <c r="K4715" s="12" t="s">
        <v>82</v>
      </c>
      <c r="L4715" s="14"/>
      <c r="M4715" s="12" t="s">
        <v>43</v>
      </c>
      <c r="N4715" s="12" t="s">
        <v>101</v>
      </c>
      <c r="O4715" s="12" t="s">
        <v>16481</v>
      </c>
      <c r="P4715" s="12" t="s">
        <v>46</v>
      </c>
      <c r="Q4715" s="12" t="s">
        <v>47</v>
      </c>
      <c r="R4715" s="12" t="s">
        <v>2179</v>
      </c>
      <c r="S4715" s="13">
        <v>195437040719</v>
      </c>
      <c r="T4715" s="12" t="s">
        <v>49</v>
      </c>
      <c r="U4715" s="13">
        <v>38</v>
      </c>
      <c r="V4715" s="12" t="s">
        <v>50</v>
      </c>
      <c r="W4715" s="12" t="s">
        <v>51</v>
      </c>
      <c r="X4715" s="14"/>
      <c r="Y4715" s="12" t="s">
        <v>91</v>
      </c>
      <c r="Z4715" s="12" t="s">
        <v>165</v>
      </c>
      <c r="AA4715" s="14"/>
      <c r="AB4715" s="14"/>
      <c r="AC4715" s="15">
        <v>50</v>
      </c>
      <c r="AD4715" s="15">
        <f>AC4715*AG4715</f>
        <v>50</v>
      </c>
      <c r="AE4715" s="15">
        <v>110</v>
      </c>
      <c r="AF4715" s="15">
        <f>AE4715*AG4715</f>
        <v>110</v>
      </c>
      <c r="AG4715" s="16">
        <v>1</v>
      </c>
    </row>
    <row r="4716" spans="1:33" ht="15" customHeight="1" x14ac:dyDescent="0.2">
      <c r="A4716" s="11" t="str">
        <f t="shared" si="1456"/>
        <v>VN0A4BTW5ZN1</v>
      </c>
      <c r="B4716" s="12" t="s">
        <v>16482</v>
      </c>
      <c r="C4716" s="12" t="s">
        <v>16478</v>
      </c>
      <c r="D4716" s="12" t="s">
        <v>16479</v>
      </c>
      <c r="E4716" s="12" t="s">
        <v>16483</v>
      </c>
      <c r="F4716" s="13">
        <v>70</v>
      </c>
      <c r="G4716" s="12" t="s">
        <v>1358</v>
      </c>
      <c r="H4716" s="12" t="s">
        <v>38</v>
      </c>
      <c r="I4716" s="12" t="s">
        <v>113</v>
      </c>
      <c r="J4716" s="12" t="s">
        <v>114</v>
      </c>
      <c r="K4716" s="12" t="s">
        <v>82</v>
      </c>
      <c r="L4716" s="14"/>
      <c r="M4716" s="12" t="s">
        <v>43</v>
      </c>
      <c r="N4716" s="12" t="s">
        <v>101</v>
      </c>
      <c r="O4716" s="12" t="s">
        <v>16484</v>
      </c>
      <c r="P4716" s="12" t="s">
        <v>46</v>
      </c>
      <c r="Q4716" s="12" t="s">
        <v>47</v>
      </c>
      <c r="R4716" s="12" t="s">
        <v>2179</v>
      </c>
      <c r="S4716" s="13">
        <v>195437041112</v>
      </c>
      <c r="T4716" s="12" t="s">
        <v>49</v>
      </c>
      <c r="U4716" s="13">
        <v>39</v>
      </c>
      <c r="V4716" s="12" t="s">
        <v>50</v>
      </c>
      <c r="W4716" s="12" t="s">
        <v>51</v>
      </c>
      <c r="X4716" s="14"/>
      <c r="Y4716" s="12" t="s">
        <v>91</v>
      </c>
      <c r="Z4716" s="12" t="s">
        <v>165</v>
      </c>
      <c r="AA4716" s="14"/>
      <c r="AB4716" s="14"/>
      <c r="AC4716" s="15">
        <v>50</v>
      </c>
      <c r="AD4716" s="15">
        <f>AC4716*AG4716</f>
        <v>50</v>
      </c>
      <c r="AE4716" s="15">
        <v>110</v>
      </c>
      <c r="AF4716" s="15">
        <f>AE4716*AG4716</f>
        <v>110</v>
      </c>
      <c r="AG4716" s="16">
        <v>1</v>
      </c>
    </row>
    <row r="4717" spans="1:33" ht="15" customHeight="1" x14ac:dyDescent="0.2">
      <c r="A4717" s="11" t="str">
        <f t="shared" si="1456"/>
        <v>VN0A4BTW5ZN1</v>
      </c>
      <c r="B4717" s="12" t="s">
        <v>16485</v>
      </c>
      <c r="C4717" s="12" t="s">
        <v>16478</v>
      </c>
      <c r="D4717" s="12" t="s">
        <v>16479</v>
      </c>
      <c r="E4717" s="12" t="s">
        <v>16486</v>
      </c>
      <c r="F4717" s="13">
        <v>85</v>
      </c>
      <c r="G4717" s="12" t="s">
        <v>1358</v>
      </c>
      <c r="H4717" s="12" t="s">
        <v>38</v>
      </c>
      <c r="I4717" s="12" t="s">
        <v>113</v>
      </c>
      <c r="J4717" s="12" t="s">
        <v>114</v>
      </c>
      <c r="K4717" s="12" t="s">
        <v>82</v>
      </c>
      <c r="L4717" s="14"/>
      <c r="M4717" s="12" t="s">
        <v>43</v>
      </c>
      <c r="N4717" s="12" t="s">
        <v>101</v>
      </c>
      <c r="O4717" s="12" t="s">
        <v>16487</v>
      </c>
      <c r="P4717" s="12" t="s">
        <v>46</v>
      </c>
      <c r="Q4717" s="12" t="s">
        <v>47</v>
      </c>
      <c r="R4717" s="12" t="s">
        <v>2179</v>
      </c>
      <c r="S4717" s="13">
        <v>195437041518</v>
      </c>
      <c r="T4717" s="12" t="s">
        <v>49</v>
      </c>
      <c r="U4717" s="13">
        <v>41</v>
      </c>
      <c r="V4717" s="12" t="s">
        <v>50</v>
      </c>
      <c r="W4717" s="12" t="s">
        <v>51</v>
      </c>
      <c r="X4717" s="14"/>
      <c r="Y4717" s="12" t="s">
        <v>91</v>
      </c>
      <c r="Z4717" s="12" t="s">
        <v>165</v>
      </c>
      <c r="AA4717" s="14"/>
      <c r="AB4717" s="14"/>
      <c r="AC4717" s="15">
        <v>50</v>
      </c>
      <c r="AD4717" s="15">
        <f>AC4717*AG4717</f>
        <v>50</v>
      </c>
      <c r="AE4717" s="15">
        <v>110</v>
      </c>
      <c r="AF4717" s="15">
        <f>AE4717*AG4717</f>
        <v>110</v>
      </c>
      <c r="AG4717" s="16">
        <v>1</v>
      </c>
    </row>
    <row r="4718" spans="1:33" ht="15" customHeight="1" x14ac:dyDescent="0.2">
      <c r="A4718" s="11" t="str">
        <f t="shared" ref="A4718:A4720" si="1457">HYPERLINK("https://assets.vans.eu/images/VN0A4BTWVLV-HERO/1","VN0A4BTWVLV1")</f>
        <v>VN0A4BTWVLV1</v>
      </c>
      <c r="B4718" s="12" t="s">
        <v>16488</v>
      </c>
      <c r="C4718" s="12" t="s">
        <v>16478</v>
      </c>
      <c r="D4718" s="12" t="s">
        <v>16489</v>
      </c>
      <c r="E4718" s="12" t="s">
        <v>16490</v>
      </c>
      <c r="F4718" s="13">
        <v>45</v>
      </c>
      <c r="G4718" s="12" t="s">
        <v>2273</v>
      </c>
      <c r="H4718" s="12" t="s">
        <v>38</v>
      </c>
      <c r="I4718" s="12" t="s">
        <v>113</v>
      </c>
      <c r="J4718" s="12" t="s">
        <v>114</v>
      </c>
      <c r="K4718" s="12" t="s">
        <v>82</v>
      </c>
      <c r="L4718" s="14"/>
      <c r="M4718" s="12" t="s">
        <v>43</v>
      </c>
      <c r="N4718" s="12" t="s">
        <v>101</v>
      </c>
      <c r="O4718" s="12" t="s">
        <v>16491</v>
      </c>
      <c r="P4718" s="12" t="s">
        <v>46</v>
      </c>
      <c r="Q4718" s="12" t="s">
        <v>47</v>
      </c>
      <c r="R4718" s="12" t="s">
        <v>2179</v>
      </c>
      <c r="S4718" s="13">
        <v>194116245100</v>
      </c>
      <c r="T4718" s="12" t="s">
        <v>49</v>
      </c>
      <c r="U4718" s="13">
        <v>36</v>
      </c>
      <c r="V4718" s="12" t="s">
        <v>50</v>
      </c>
      <c r="W4718" s="12" t="s">
        <v>175</v>
      </c>
      <c r="X4718" s="14"/>
      <c r="Y4718" s="12" t="s">
        <v>91</v>
      </c>
      <c r="Z4718" s="12" t="s">
        <v>165</v>
      </c>
      <c r="AA4718" s="14"/>
      <c r="AB4718" s="14"/>
      <c r="AC4718" s="15">
        <v>52.3</v>
      </c>
      <c r="AD4718" s="15">
        <f>AC4718*AG4718</f>
        <v>52.3</v>
      </c>
      <c r="AE4718" s="15">
        <v>115</v>
      </c>
      <c r="AF4718" s="15">
        <f>AE4718*AG4718</f>
        <v>115</v>
      </c>
      <c r="AG4718" s="16">
        <v>1</v>
      </c>
    </row>
    <row r="4719" spans="1:33" ht="15" customHeight="1" x14ac:dyDescent="0.2">
      <c r="A4719" s="11" t="str">
        <f t="shared" si="1457"/>
        <v>VN0A4BTWVLV1</v>
      </c>
      <c r="B4719" s="12" t="s">
        <v>16492</v>
      </c>
      <c r="C4719" s="12" t="s">
        <v>16478</v>
      </c>
      <c r="D4719" s="12" t="s">
        <v>16489</v>
      </c>
      <c r="E4719" s="12" t="s">
        <v>16493</v>
      </c>
      <c r="F4719" s="13">
        <v>75</v>
      </c>
      <c r="G4719" s="12" t="s">
        <v>2273</v>
      </c>
      <c r="H4719" s="12" t="s">
        <v>38</v>
      </c>
      <c r="I4719" s="12" t="s">
        <v>113</v>
      </c>
      <c r="J4719" s="12" t="s">
        <v>114</v>
      </c>
      <c r="K4719" s="12" t="s">
        <v>82</v>
      </c>
      <c r="L4719" s="14"/>
      <c r="M4719" s="12" t="s">
        <v>43</v>
      </c>
      <c r="N4719" s="12" t="s">
        <v>101</v>
      </c>
      <c r="O4719" s="12" t="s">
        <v>16494</v>
      </c>
      <c r="P4719" s="12" t="s">
        <v>46</v>
      </c>
      <c r="Q4719" s="12" t="s">
        <v>47</v>
      </c>
      <c r="R4719" s="12" t="s">
        <v>2179</v>
      </c>
      <c r="S4719" s="13">
        <v>194116245223</v>
      </c>
      <c r="T4719" s="12" t="s">
        <v>49</v>
      </c>
      <c r="U4719" s="13">
        <v>40</v>
      </c>
      <c r="V4719" s="12" t="s">
        <v>50</v>
      </c>
      <c r="W4719" s="12" t="s">
        <v>175</v>
      </c>
      <c r="X4719" s="14"/>
      <c r="Y4719" s="12" t="s">
        <v>91</v>
      </c>
      <c r="Z4719" s="12" t="s">
        <v>165</v>
      </c>
      <c r="AA4719" s="14"/>
      <c r="AB4719" s="14"/>
      <c r="AC4719" s="15">
        <v>52.3</v>
      </c>
      <c r="AD4719" s="15">
        <f>AC4719*AG4719</f>
        <v>52.3</v>
      </c>
      <c r="AE4719" s="15">
        <v>115</v>
      </c>
      <c r="AF4719" s="15">
        <f>AE4719*AG4719</f>
        <v>115</v>
      </c>
      <c r="AG4719" s="16">
        <v>1</v>
      </c>
    </row>
    <row r="4720" spans="1:33" ht="15" customHeight="1" x14ac:dyDescent="0.2">
      <c r="A4720" s="11" t="str">
        <f t="shared" si="1457"/>
        <v>VN0A4BTWVLV1</v>
      </c>
      <c r="B4720" s="12" t="s">
        <v>16495</v>
      </c>
      <c r="C4720" s="12" t="s">
        <v>16478</v>
      </c>
      <c r="D4720" s="12" t="s">
        <v>16489</v>
      </c>
      <c r="E4720" s="12" t="s">
        <v>16496</v>
      </c>
      <c r="F4720" s="13">
        <v>85</v>
      </c>
      <c r="G4720" s="12" t="s">
        <v>2273</v>
      </c>
      <c r="H4720" s="12" t="s">
        <v>38</v>
      </c>
      <c r="I4720" s="12" t="s">
        <v>113</v>
      </c>
      <c r="J4720" s="12" t="s">
        <v>114</v>
      </c>
      <c r="K4720" s="12" t="s">
        <v>82</v>
      </c>
      <c r="L4720" s="14"/>
      <c r="M4720" s="12" t="s">
        <v>43</v>
      </c>
      <c r="N4720" s="12" t="s">
        <v>101</v>
      </c>
      <c r="O4720" s="12" t="s">
        <v>16497</v>
      </c>
      <c r="P4720" s="12" t="s">
        <v>46</v>
      </c>
      <c r="Q4720" s="12" t="s">
        <v>47</v>
      </c>
      <c r="R4720" s="12" t="s">
        <v>2179</v>
      </c>
      <c r="S4720" s="13">
        <v>194116245261</v>
      </c>
      <c r="T4720" s="12" t="s">
        <v>49</v>
      </c>
      <c r="U4720" s="13">
        <v>41</v>
      </c>
      <c r="V4720" s="12" t="s">
        <v>50</v>
      </c>
      <c r="W4720" s="12" t="s">
        <v>175</v>
      </c>
      <c r="X4720" s="14"/>
      <c r="Y4720" s="12" t="s">
        <v>91</v>
      </c>
      <c r="Z4720" s="12" t="s">
        <v>165</v>
      </c>
      <c r="AA4720" s="14"/>
      <c r="AB4720" s="14"/>
      <c r="AC4720" s="15">
        <v>52.3</v>
      </c>
      <c r="AD4720" s="15">
        <f>AC4720*AG4720</f>
        <v>52.3</v>
      </c>
      <c r="AE4720" s="15">
        <v>115</v>
      </c>
      <c r="AF4720" s="15">
        <f>AE4720*AG4720</f>
        <v>115</v>
      </c>
      <c r="AG4720" s="16">
        <v>1</v>
      </c>
    </row>
    <row r="4721" spans="1:33" ht="15" customHeight="1" x14ac:dyDescent="0.2">
      <c r="A4721" s="11" t="str">
        <f>HYPERLINK("https://assets.vans.eu/images/VN0A4BVS3N1-HERO/1","VN0A4BVS3N11")</f>
        <v>VN0A4BVS3N11</v>
      </c>
      <c r="B4721" s="12" t="s">
        <v>16498</v>
      </c>
      <c r="C4721" s="12" t="s">
        <v>4443</v>
      </c>
      <c r="D4721" s="12" t="s">
        <v>2961</v>
      </c>
      <c r="E4721" s="12" t="s">
        <v>16499</v>
      </c>
      <c r="F4721" s="13">
        <v>70</v>
      </c>
      <c r="G4721" s="14"/>
      <c r="H4721" s="12" t="s">
        <v>38</v>
      </c>
      <c r="I4721" s="12" t="s">
        <v>159</v>
      </c>
      <c r="J4721" s="12" t="s">
        <v>255</v>
      </c>
      <c r="K4721" s="12" t="s">
        <v>82</v>
      </c>
      <c r="L4721" s="14"/>
      <c r="M4721" s="12" t="s">
        <v>43</v>
      </c>
      <c r="N4721" s="12" t="s">
        <v>2457</v>
      </c>
      <c r="O4721" s="12" t="s">
        <v>16500</v>
      </c>
      <c r="P4721" s="12" t="s">
        <v>46</v>
      </c>
      <c r="Q4721" s="12" t="s">
        <v>47</v>
      </c>
      <c r="R4721" s="12" t="s">
        <v>1660</v>
      </c>
      <c r="S4721" s="13">
        <v>196573444287</v>
      </c>
      <c r="T4721" s="12" t="s">
        <v>105</v>
      </c>
      <c r="U4721" s="13">
        <v>39</v>
      </c>
      <c r="V4721" s="12" t="s">
        <v>209</v>
      </c>
      <c r="W4721" s="12" t="s">
        <v>186</v>
      </c>
      <c r="X4721" s="14"/>
      <c r="Y4721" s="12" t="s">
        <v>91</v>
      </c>
      <c r="Z4721" s="12" t="s">
        <v>165</v>
      </c>
      <c r="AA4721" s="14"/>
      <c r="AB4721" s="14"/>
      <c r="AC4721" s="15">
        <v>75</v>
      </c>
      <c r="AD4721" s="15">
        <f>AC4721*AG4721</f>
        <v>75</v>
      </c>
      <c r="AE4721" s="15">
        <v>165</v>
      </c>
      <c r="AF4721" s="15">
        <f>AE4721*AG4721</f>
        <v>165</v>
      </c>
      <c r="AG4721" s="16">
        <v>1</v>
      </c>
    </row>
    <row r="4722" spans="1:33" ht="15" customHeight="1" x14ac:dyDescent="0.2">
      <c r="A4722" s="11" t="str">
        <f>HYPERLINK("https://assets.vans.eu/images/VN0A4BWL1KP-HERO/1","VN0A4BWL1KP1")</f>
        <v>VN0A4BWL1KP1</v>
      </c>
      <c r="B4722" s="12" t="s">
        <v>16501</v>
      </c>
      <c r="C4722" s="12" t="s">
        <v>16502</v>
      </c>
      <c r="D4722" s="12" t="s">
        <v>3943</v>
      </c>
      <c r="E4722" s="12" t="s">
        <v>16503</v>
      </c>
      <c r="F4722" s="13">
        <v>45</v>
      </c>
      <c r="G4722" s="14"/>
      <c r="H4722" s="12" t="s">
        <v>38</v>
      </c>
      <c r="I4722" s="12" t="s">
        <v>16504</v>
      </c>
      <c r="J4722" s="12" t="s">
        <v>16505</v>
      </c>
      <c r="K4722" s="12" t="s">
        <v>82</v>
      </c>
      <c r="L4722" s="14"/>
      <c r="M4722" s="12" t="s">
        <v>43</v>
      </c>
      <c r="N4722" s="12" t="s">
        <v>3064</v>
      </c>
      <c r="O4722" s="12" t="s">
        <v>16506</v>
      </c>
      <c r="P4722" s="12" t="s">
        <v>46</v>
      </c>
      <c r="Q4722" s="12" t="s">
        <v>47</v>
      </c>
      <c r="R4722" s="12" t="s">
        <v>2123</v>
      </c>
      <c r="S4722" s="13">
        <v>196244692849</v>
      </c>
      <c r="T4722" s="12" t="s">
        <v>49</v>
      </c>
      <c r="U4722" s="13">
        <v>36</v>
      </c>
      <c r="V4722" s="12" t="s">
        <v>209</v>
      </c>
      <c r="W4722" s="12" t="s">
        <v>51</v>
      </c>
      <c r="X4722" s="14"/>
      <c r="Y4722" s="12" t="s">
        <v>91</v>
      </c>
      <c r="Z4722" s="12" t="s">
        <v>2600</v>
      </c>
      <c r="AA4722" s="14"/>
      <c r="AB4722" s="13">
        <v>0</v>
      </c>
      <c r="AC4722" s="15">
        <v>50</v>
      </c>
      <c r="AD4722" s="15">
        <f>AC4722*AG4722</f>
        <v>50</v>
      </c>
      <c r="AE4722" s="15">
        <v>110</v>
      </c>
      <c r="AF4722" s="15">
        <f>AE4722*AG4722</f>
        <v>110</v>
      </c>
      <c r="AG4722" s="16">
        <v>1</v>
      </c>
    </row>
    <row r="4723" spans="1:33" ht="15" customHeight="1" x14ac:dyDescent="0.2">
      <c r="A4723" s="11" t="str">
        <f>HYPERLINK("https://assets.vans.eu/images/VN0A4OE2DCR-HERO/1","VN0A4OE2DCR1")</f>
        <v>VN0A4OE2DCR1</v>
      </c>
      <c r="B4723" s="12" t="s">
        <v>16507</v>
      </c>
      <c r="C4723" s="12" t="s">
        <v>16508</v>
      </c>
      <c r="D4723" s="12" t="s">
        <v>16509</v>
      </c>
      <c r="E4723" s="12" t="s">
        <v>16510</v>
      </c>
      <c r="F4723" s="13">
        <v>75</v>
      </c>
      <c r="G4723" s="14"/>
      <c r="H4723" s="12" t="s">
        <v>38</v>
      </c>
      <c r="I4723" s="12" t="s">
        <v>13396</v>
      </c>
      <c r="J4723" s="12" t="s">
        <v>13397</v>
      </c>
      <c r="K4723" s="12" t="s">
        <v>82</v>
      </c>
      <c r="L4723" s="14"/>
      <c r="M4723" s="12" t="s">
        <v>43</v>
      </c>
      <c r="N4723" s="12" t="s">
        <v>274</v>
      </c>
      <c r="O4723" s="12" t="s">
        <v>16511</v>
      </c>
      <c r="P4723" s="12" t="s">
        <v>46</v>
      </c>
      <c r="Q4723" s="12" t="s">
        <v>47</v>
      </c>
      <c r="R4723" s="12" t="s">
        <v>2123</v>
      </c>
      <c r="S4723" s="13">
        <v>197065249199</v>
      </c>
      <c r="T4723" s="12" t="s">
        <v>49</v>
      </c>
      <c r="U4723" s="13">
        <v>40</v>
      </c>
      <c r="V4723" s="12" t="s">
        <v>209</v>
      </c>
      <c r="W4723" s="12" t="s">
        <v>598</v>
      </c>
      <c r="X4723" s="14"/>
      <c r="Y4723" s="14"/>
      <c r="Z4723" s="14"/>
      <c r="AA4723" s="14"/>
      <c r="AB4723" s="13">
        <v>0</v>
      </c>
      <c r="AC4723" s="15">
        <v>0</v>
      </c>
      <c r="AD4723" s="15">
        <f>AC4723*AG4723</f>
        <v>0</v>
      </c>
      <c r="AE4723" s="15">
        <v>0</v>
      </c>
      <c r="AF4723" s="15">
        <f>AE4723*AG4723</f>
        <v>0</v>
      </c>
      <c r="AG4723" s="16">
        <v>1</v>
      </c>
    </row>
    <row r="4724" spans="1:33" ht="15" customHeight="1" x14ac:dyDescent="0.2">
      <c r="A4724" s="11" t="str">
        <f>HYPERLINK("https://assets.vans.eu/images/VN0A4OFQDCC-HERO/1","VN0A4OFQDCC1")</f>
        <v>VN0A4OFQDCC1</v>
      </c>
      <c r="B4724" s="12" t="s">
        <v>16512</v>
      </c>
      <c r="C4724" s="12" t="s">
        <v>16513</v>
      </c>
      <c r="D4724" s="12" t="s">
        <v>16514</v>
      </c>
      <c r="E4724" s="12" t="s">
        <v>16515</v>
      </c>
      <c r="F4724" s="13">
        <v>55</v>
      </c>
      <c r="G4724" s="14"/>
      <c r="H4724" s="12" t="s">
        <v>38</v>
      </c>
      <c r="I4724" s="12" t="s">
        <v>16516</v>
      </c>
      <c r="J4724" s="12" t="s">
        <v>16517</v>
      </c>
      <c r="K4724" s="12" t="s">
        <v>244</v>
      </c>
      <c r="L4724" s="14"/>
      <c r="M4724" s="12" t="s">
        <v>43</v>
      </c>
      <c r="N4724" s="12" t="s">
        <v>274</v>
      </c>
      <c r="O4724" s="12" t="s">
        <v>16518</v>
      </c>
      <c r="P4724" s="12" t="s">
        <v>46</v>
      </c>
      <c r="Q4724" s="12" t="s">
        <v>47</v>
      </c>
      <c r="R4724" s="12" t="s">
        <v>48</v>
      </c>
      <c r="S4724" s="13">
        <v>197065255558</v>
      </c>
      <c r="T4724" s="12" t="s">
        <v>49</v>
      </c>
      <c r="U4724" s="13">
        <v>21.5</v>
      </c>
      <c r="V4724" s="12" t="s">
        <v>209</v>
      </c>
      <c r="W4724" s="12" t="s">
        <v>598</v>
      </c>
      <c r="X4724" s="14"/>
      <c r="Y4724" s="14"/>
      <c r="Z4724" s="14"/>
      <c r="AA4724" s="14"/>
      <c r="AB4724" s="13">
        <v>0</v>
      </c>
      <c r="AC4724" s="15">
        <v>0</v>
      </c>
      <c r="AD4724" s="15">
        <f>AC4724*AG4724</f>
        <v>0</v>
      </c>
      <c r="AE4724" s="15">
        <v>0</v>
      </c>
      <c r="AF4724" s="15">
        <f>AE4724*AG4724</f>
        <v>0</v>
      </c>
      <c r="AG4724" s="16">
        <v>1</v>
      </c>
    </row>
    <row r="4725" spans="1:33" ht="15" customHeight="1" x14ac:dyDescent="0.2">
      <c r="A4725" s="11" t="str">
        <f t="shared" si="1133"/>
        <v>VN0A4U1K3MZ1</v>
      </c>
      <c r="B4725" s="12" t="s">
        <v>16519</v>
      </c>
      <c r="C4725" s="12" t="s">
        <v>1016</v>
      </c>
      <c r="D4725" s="12" t="s">
        <v>10320</v>
      </c>
      <c r="E4725" s="12" t="s">
        <v>16520</v>
      </c>
      <c r="F4725" s="13">
        <v>105</v>
      </c>
      <c r="G4725" s="14"/>
      <c r="H4725" s="12" t="s">
        <v>38</v>
      </c>
      <c r="I4725" s="12" t="s">
        <v>159</v>
      </c>
      <c r="J4725" s="12" t="s">
        <v>255</v>
      </c>
      <c r="K4725" s="12" t="s">
        <v>82</v>
      </c>
      <c r="L4725" s="14"/>
      <c r="M4725" s="12" t="s">
        <v>43</v>
      </c>
      <c r="N4725" s="12" t="s">
        <v>101</v>
      </c>
      <c r="O4725" s="12" t="s">
        <v>16521</v>
      </c>
      <c r="P4725" s="12" t="s">
        <v>46</v>
      </c>
      <c r="Q4725" s="12" t="s">
        <v>47</v>
      </c>
      <c r="R4725" s="12" t="s">
        <v>163</v>
      </c>
      <c r="S4725" s="13">
        <v>196573453357</v>
      </c>
      <c r="T4725" s="12" t="s">
        <v>49</v>
      </c>
      <c r="U4725" s="13">
        <v>44</v>
      </c>
      <c r="V4725" s="12" t="s">
        <v>278</v>
      </c>
      <c r="W4725" s="12" t="s">
        <v>118</v>
      </c>
      <c r="X4725" s="14"/>
      <c r="Y4725" s="12" t="s">
        <v>91</v>
      </c>
      <c r="Z4725" s="12" t="s">
        <v>165</v>
      </c>
      <c r="AA4725" s="14"/>
      <c r="AB4725" s="14"/>
      <c r="AC4725" s="15">
        <v>52.3</v>
      </c>
      <c r="AD4725" s="15">
        <f>AC4725*AG4725</f>
        <v>52.3</v>
      </c>
      <c r="AE4725" s="15">
        <v>115</v>
      </c>
      <c r="AF4725" s="15">
        <f>AE4725*AG4725</f>
        <v>115</v>
      </c>
      <c r="AG4725" s="16">
        <v>1</v>
      </c>
    </row>
    <row r="4726" spans="1:33" ht="15" customHeight="1" x14ac:dyDescent="0.2">
      <c r="A4726" s="11" t="str">
        <f t="shared" ref="A4726:A4727" si="1458">HYPERLINK("https://assets.vans.eu/images/VN0A4U1KBLK-HERO/1","VN0A4U1KBLK1")</f>
        <v>VN0A4U1KBLK1</v>
      </c>
      <c r="B4726" s="12" t="s">
        <v>16522</v>
      </c>
      <c r="C4726" s="12" t="s">
        <v>1016</v>
      </c>
      <c r="D4726" s="12" t="s">
        <v>76</v>
      </c>
      <c r="E4726" s="12" t="s">
        <v>16523</v>
      </c>
      <c r="F4726" s="13">
        <v>70</v>
      </c>
      <c r="G4726" s="14"/>
      <c r="H4726" s="12" t="s">
        <v>38</v>
      </c>
      <c r="I4726" s="12" t="s">
        <v>159</v>
      </c>
      <c r="J4726" s="12" t="s">
        <v>255</v>
      </c>
      <c r="K4726" s="12" t="s">
        <v>82</v>
      </c>
      <c r="L4726" s="14"/>
      <c r="M4726" s="12" t="s">
        <v>43</v>
      </c>
      <c r="N4726" s="12" t="s">
        <v>161</v>
      </c>
      <c r="O4726" s="12" t="s">
        <v>16524</v>
      </c>
      <c r="P4726" s="12" t="s">
        <v>46</v>
      </c>
      <c r="Q4726" s="12" t="s">
        <v>47</v>
      </c>
      <c r="R4726" s="12" t="s">
        <v>163</v>
      </c>
      <c r="S4726" s="13">
        <v>772204441445</v>
      </c>
      <c r="T4726" s="12" t="s">
        <v>105</v>
      </c>
      <c r="U4726" s="13">
        <v>39</v>
      </c>
      <c r="V4726" s="12" t="s">
        <v>278</v>
      </c>
      <c r="W4726" s="12" t="s">
        <v>51</v>
      </c>
      <c r="X4726" s="14"/>
      <c r="Y4726" s="12" t="s">
        <v>91</v>
      </c>
      <c r="Z4726" s="12" t="s">
        <v>165</v>
      </c>
      <c r="AA4726" s="14"/>
      <c r="AB4726" s="14"/>
      <c r="AC4726" s="15">
        <v>52.3</v>
      </c>
      <c r="AD4726" s="15">
        <f>AC4726*AG4726</f>
        <v>52.3</v>
      </c>
      <c r="AE4726" s="15">
        <v>115</v>
      </c>
      <c r="AF4726" s="15">
        <f>AE4726*AG4726</f>
        <v>115</v>
      </c>
      <c r="AG4726" s="16">
        <v>1</v>
      </c>
    </row>
    <row r="4727" spans="1:33" ht="15" customHeight="1" x14ac:dyDescent="0.2">
      <c r="A4727" s="11" t="str">
        <f t="shared" si="1458"/>
        <v>VN0A4U1KBLK1</v>
      </c>
      <c r="B4727" s="12" t="s">
        <v>16525</v>
      </c>
      <c r="C4727" s="12" t="s">
        <v>1016</v>
      </c>
      <c r="D4727" s="12" t="s">
        <v>76</v>
      </c>
      <c r="E4727" s="12" t="s">
        <v>16526</v>
      </c>
      <c r="F4727" s="13">
        <v>110</v>
      </c>
      <c r="G4727" s="14"/>
      <c r="H4727" s="12" t="s">
        <v>38</v>
      </c>
      <c r="I4727" s="12" t="s">
        <v>159</v>
      </c>
      <c r="J4727" s="12" t="s">
        <v>255</v>
      </c>
      <c r="K4727" s="12" t="s">
        <v>82</v>
      </c>
      <c r="L4727" s="14"/>
      <c r="M4727" s="12" t="s">
        <v>43</v>
      </c>
      <c r="N4727" s="12" t="s">
        <v>161</v>
      </c>
      <c r="O4727" s="12" t="s">
        <v>16527</v>
      </c>
      <c r="P4727" s="12" t="s">
        <v>46</v>
      </c>
      <c r="Q4727" s="12" t="s">
        <v>47</v>
      </c>
      <c r="R4727" s="12" t="s">
        <v>163</v>
      </c>
      <c r="S4727" s="13">
        <v>772204442541</v>
      </c>
      <c r="T4727" s="12" t="s">
        <v>105</v>
      </c>
      <c r="U4727" s="13">
        <v>44.5</v>
      </c>
      <c r="V4727" s="12" t="s">
        <v>278</v>
      </c>
      <c r="W4727" s="12" t="s">
        <v>51</v>
      </c>
      <c r="X4727" s="14"/>
      <c r="Y4727" s="12" t="s">
        <v>91</v>
      </c>
      <c r="Z4727" s="12" t="s">
        <v>165</v>
      </c>
      <c r="AA4727" s="14"/>
      <c r="AB4727" s="14"/>
      <c r="AC4727" s="15">
        <v>52.3</v>
      </c>
      <c r="AD4727" s="15">
        <f>AC4727*AG4727</f>
        <v>52.3</v>
      </c>
      <c r="AE4727" s="15">
        <v>115</v>
      </c>
      <c r="AF4727" s="15">
        <f>AE4727*AG4727</f>
        <v>115</v>
      </c>
      <c r="AG4727" s="16">
        <v>1</v>
      </c>
    </row>
    <row r="4728" spans="1:33" ht="15" customHeight="1" x14ac:dyDescent="0.2">
      <c r="A4728" s="11" t="str">
        <f t="shared" ref="A4728:A4729" si="1459">HYPERLINK("https://assets.vans.eu/images/VN0A4U1KBM7-HERO/1","VN0A4U1KBM71")</f>
        <v>VN0A4U1KBM71</v>
      </c>
      <c r="B4728" s="12" t="s">
        <v>16528</v>
      </c>
      <c r="C4728" s="12" t="s">
        <v>1016</v>
      </c>
      <c r="D4728" s="12" t="s">
        <v>16529</v>
      </c>
      <c r="E4728" s="12" t="s">
        <v>16530</v>
      </c>
      <c r="F4728" s="13">
        <v>70</v>
      </c>
      <c r="G4728" s="14"/>
      <c r="H4728" s="12" t="s">
        <v>38</v>
      </c>
      <c r="I4728" s="12" t="s">
        <v>159</v>
      </c>
      <c r="J4728" s="12" t="s">
        <v>255</v>
      </c>
      <c r="K4728" s="12" t="s">
        <v>82</v>
      </c>
      <c r="L4728" s="14"/>
      <c r="M4728" s="12" t="s">
        <v>43</v>
      </c>
      <c r="N4728" s="12" t="s">
        <v>467</v>
      </c>
      <c r="O4728" s="12" t="s">
        <v>16531</v>
      </c>
      <c r="P4728" s="12" t="s">
        <v>46</v>
      </c>
      <c r="Q4728" s="12" t="s">
        <v>47</v>
      </c>
      <c r="R4728" s="12" t="s">
        <v>163</v>
      </c>
      <c r="S4728" s="13">
        <v>196571301124</v>
      </c>
      <c r="T4728" s="12" t="s">
        <v>49</v>
      </c>
      <c r="U4728" s="13">
        <v>39</v>
      </c>
      <c r="V4728" s="12" t="s">
        <v>278</v>
      </c>
      <c r="W4728" s="12" t="s">
        <v>284</v>
      </c>
      <c r="X4728" s="14"/>
      <c r="Y4728" s="12" t="s">
        <v>91</v>
      </c>
      <c r="Z4728" s="12" t="s">
        <v>165</v>
      </c>
      <c r="AA4728" s="14"/>
      <c r="AB4728" s="14"/>
      <c r="AC4728" s="15">
        <v>52.3</v>
      </c>
      <c r="AD4728" s="15">
        <f>AC4728*AG4728</f>
        <v>52.3</v>
      </c>
      <c r="AE4728" s="15">
        <v>115</v>
      </c>
      <c r="AF4728" s="15">
        <f>AE4728*AG4728</f>
        <v>115</v>
      </c>
      <c r="AG4728" s="16">
        <v>1</v>
      </c>
    </row>
    <row r="4729" spans="1:33" ht="15" customHeight="1" x14ac:dyDescent="0.2">
      <c r="A4729" s="11" t="str">
        <f t="shared" si="1459"/>
        <v>VN0A4U1KBM71</v>
      </c>
      <c r="B4729" s="12" t="s">
        <v>16532</v>
      </c>
      <c r="C4729" s="12" t="s">
        <v>1016</v>
      </c>
      <c r="D4729" s="12" t="s">
        <v>16529</v>
      </c>
      <c r="E4729" s="12" t="s">
        <v>16533</v>
      </c>
      <c r="F4729" s="13">
        <v>85</v>
      </c>
      <c r="G4729" s="14"/>
      <c r="H4729" s="12" t="s">
        <v>38</v>
      </c>
      <c r="I4729" s="12" t="s">
        <v>159</v>
      </c>
      <c r="J4729" s="12" t="s">
        <v>255</v>
      </c>
      <c r="K4729" s="12" t="s">
        <v>82</v>
      </c>
      <c r="L4729" s="14"/>
      <c r="M4729" s="12" t="s">
        <v>43</v>
      </c>
      <c r="N4729" s="12" t="s">
        <v>467</v>
      </c>
      <c r="O4729" s="12" t="s">
        <v>16534</v>
      </c>
      <c r="P4729" s="12" t="s">
        <v>46</v>
      </c>
      <c r="Q4729" s="12" t="s">
        <v>47</v>
      </c>
      <c r="R4729" s="12" t="s">
        <v>163</v>
      </c>
      <c r="S4729" s="13">
        <v>196571301179</v>
      </c>
      <c r="T4729" s="12" t="s">
        <v>49</v>
      </c>
      <c r="U4729" s="13">
        <v>41</v>
      </c>
      <c r="V4729" s="12" t="s">
        <v>278</v>
      </c>
      <c r="W4729" s="12" t="s">
        <v>284</v>
      </c>
      <c r="X4729" s="14"/>
      <c r="Y4729" s="12" t="s">
        <v>91</v>
      </c>
      <c r="Z4729" s="12" t="s">
        <v>165</v>
      </c>
      <c r="AA4729" s="14"/>
      <c r="AB4729" s="14"/>
      <c r="AC4729" s="15">
        <v>52.3</v>
      </c>
      <c r="AD4729" s="15">
        <f>AC4729*AG4729</f>
        <v>52.3</v>
      </c>
      <c r="AE4729" s="15">
        <v>115</v>
      </c>
      <c r="AF4729" s="15">
        <f>AE4729*AG4729</f>
        <v>115</v>
      </c>
      <c r="AG4729" s="16">
        <v>1</v>
      </c>
    </row>
    <row r="4730" spans="1:33" ht="15" customHeight="1" x14ac:dyDescent="0.2">
      <c r="A4730" s="11" t="str">
        <f>HYPERLINK("https://assets.vans.eu/images/VN0A4U1KSQ7-HERO/1","VN0A4U1KSQ71")</f>
        <v>VN0A4U1KSQ71</v>
      </c>
      <c r="B4730" s="12" t="s">
        <v>16535</v>
      </c>
      <c r="C4730" s="12" t="s">
        <v>1016</v>
      </c>
      <c r="D4730" s="12" t="s">
        <v>5915</v>
      </c>
      <c r="E4730" s="12" t="s">
        <v>16536</v>
      </c>
      <c r="F4730" s="13">
        <v>55</v>
      </c>
      <c r="G4730" s="14"/>
      <c r="H4730" s="12" t="s">
        <v>38</v>
      </c>
      <c r="I4730" s="12" t="s">
        <v>159</v>
      </c>
      <c r="J4730" s="12" t="s">
        <v>255</v>
      </c>
      <c r="K4730" s="12" t="s">
        <v>82</v>
      </c>
      <c r="L4730" s="14"/>
      <c r="M4730" s="12" t="s">
        <v>43</v>
      </c>
      <c r="N4730" s="12" t="s">
        <v>467</v>
      </c>
      <c r="O4730" s="12" t="s">
        <v>16537</v>
      </c>
      <c r="P4730" s="12" t="s">
        <v>46</v>
      </c>
      <c r="Q4730" s="12" t="s">
        <v>47</v>
      </c>
      <c r="R4730" s="12" t="s">
        <v>163</v>
      </c>
      <c r="S4730" s="13">
        <v>196571302404</v>
      </c>
      <c r="T4730" s="12" t="s">
        <v>49</v>
      </c>
      <c r="U4730" s="13">
        <v>37</v>
      </c>
      <c r="V4730" s="12" t="s">
        <v>278</v>
      </c>
      <c r="W4730" s="12" t="s">
        <v>580</v>
      </c>
      <c r="X4730" s="14"/>
      <c r="Y4730" s="12" t="s">
        <v>91</v>
      </c>
      <c r="Z4730" s="12" t="s">
        <v>165</v>
      </c>
      <c r="AA4730" s="14"/>
      <c r="AB4730" s="14"/>
      <c r="AC4730" s="15">
        <v>52.3</v>
      </c>
      <c r="AD4730" s="15">
        <f>AC4730*AG4730</f>
        <v>52.3</v>
      </c>
      <c r="AE4730" s="15">
        <v>115</v>
      </c>
      <c r="AF4730" s="15">
        <f>AE4730*AG4730</f>
        <v>115</v>
      </c>
      <c r="AG4730" s="16">
        <v>1</v>
      </c>
    </row>
    <row r="4731" spans="1:33" ht="15" customHeight="1" x14ac:dyDescent="0.2">
      <c r="A4731" s="11" t="str">
        <f t="shared" ref="A4731:A4735" si="1460">HYPERLINK("https://assets.vans.eu/images/VN0A4UUK4W7-HERO/1","VN0A4UUK4W71")</f>
        <v>VN0A4UUK4W71</v>
      </c>
      <c r="B4731" s="12" t="s">
        <v>16538</v>
      </c>
      <c r="C4731" s="12" t="s">
        <v>3221</v>
      </c>
      <c r="D4731" s="12" t="s">
        <v>16539</v>
      </c>
      <c r="E4731" s="12" t="s">
        <v>16540</v>
      </c>
      <c r="F4731" s="13">
        <v>40</v>
      </c>
      <c r="G4731" s="12" t="s">
        <v>16541</v>
      </c>
      <c r="H4731" s="12" t="s">
        <v>38</v>
      </c>
      <c r="I4731" s="12" t="s">
        <v>159</v>
      </c>
      <c r="J4731" s="12" t="s">
        <v>160</v>
      </c>
      <c r="K4731" s="12" t="s">
        <v>82</v>
      </c>
      <c r="L4731" s="14"/>
      <c r="M4731" s="12" t="s">
        <v>43</v>
      </c>
      <c r="N4731" s="12" t="s">
        <v>44</v>
      </c>
      <c r="O4731" s="12" t="s">
        <v>16542</v>
      </c>
      <c r="P4731" s="12" t="s">
        <v>46</v>
      </c>
      <c r="Q4731" s="12" t="s">
        <v>47</v>
      </c>
      <c r="R4731" s="12" t="s">
        <v>163</v>
      </c>
      <c r="S4731" s="13">
        <v>194902661152</v>
      </c>
      <c r="T4731" s="12" t="s">
        <v>105</v>
      </c>
      <c r="U4731" s="13">
        <v>35</v>
      </c>
      <c r="V4731" s="12" t="s">
        <v>50</v>
      </c>
      <c r="W4731" s="12" t="s">
        <v>51</v>
      </c>
      <c r="X4731" s="14"/>
      <c r="Y4731" s="12" t="s">
        <v>91</v>
      </c>
      <c r="Z4731" s="12" t="s">
        <v>165</v>
      </c>
      <c r="AA4731" s="14"/>
      <c r="AB4731" s="14"/>
      <c r="AC4731" s="15">
        <v>40.950000000000003</v>
      </c>
      <c r="AD4731" s="15">
        <f>AC4731*AG4731</f>
        <v>40.950000000000003</v>
      </c>
      <c r="AE4731" s="15">
        <v>90</v>
      </c>
      <c r="AF4731" s="15">
        <f>AE4731*AG4731</f>
        <v>90</v>
      </c>
      <c r="AG4731" s="16">
        <v>1</v>
      </c>
    </row>
    <row r="4732" spans="1:33" ht="15" customHeight="1" x14ac:dyDescent="0.2">
      <c r="A4732" s="11" t="str">
        <f t="shared" si="1460"/>
        <v>VN0A4UUK4W71</v>
      </c>
      <c r="B4732" s="12" t="s">
        <v>16543</v>
      </c>
      <c r="C4732" s="12" t="s">
        <v>3221</v>
      </c>
      <c r="D4732" s="12" t="s">
        <v>16539</v>
      </c>
      <c r="E4732" s="12" t="s">
        <v>16544</v>
      </c>
      <c r="F4732" s="13">
        <v>45</v>
      </c>
      <c r="G4732" s="12" t="s">
        <v>16541</v>
      </c>
      <c r="H4732" s="12" t="s">
        <v>38</v>
      </c>
      <c r="I4732" s="12" t="s">
        <v>159</v>
      </c>
      <c r="J4732" s="12" t="s">
        <v>160</v>
      </c>
      <c r="K4732" s="12" t="s">
        <v>82</v>
      </c>
      <c r="L4732" s="14"/>
      <c r="M4732" s="12" t="s">
        <v>43</v>
      </c>
      <c r="N4732" s="12" t="s">
        <v>44</v>
      </c>
      <c r="O4732" s="12" t="s">
        <v>16545</v>
      </c>
      <c r="P4732" s="12" t="s">
        <v>46</v>
      </c>
      <c r="Q4732" s="12" t="s">
        <v>47</v>
      </c>
      <c r="R4732" s="12" t="s">
        <v>163</v>
      </c>
      <c r="S4732" s="13">
        <v>194902661336</v>
      </c>
      <c r="T4732" s="12" t="s">
        <v>105</v>
      </c>
      <c r="U4732" s="13">
        <v>36</v>
      </c>
      <c r="V4732" s="12" t="s">
        <v>50</v>
      </c>
      <c r="W4732" s="12" t="s">
        <v>51</v>
      </c>
      <c r="X4732" s="14"/>
      <c r="Y4732" s="12" t="s">
        <v>91</v>
      </c>
      <c r="Z4732" s="12" t="s">
        <v>165</v>
      </c>
      <c r="AA4732" s="14"/>
      <c r="AB4732" s="14"/>
      <c r="AC4732" s="15">
        <v>40.950000000000003</v>
      </c>
      <c r="AD4732" s="15">
        <f>AC4732*AG4732</f>
        <v>40.950000000000003</v>
      </c>
      <c r="AE4732" s="15">
        <v>90</v>
      </c>
      <c r="AF4732" s="15">
        <f>AE4732*AG4732</f>
        <v>90</v>
      </c>
      <c r="AG4732" s="16">
        <v>1</v>
      </c>
    </row>
    <row r="4733" spans="1:33" ht="15" customHeight="1" x14ac:dyDescent="0.2">
      <c r="A4733" s="11" t="str">
        <f t="shared" si="1460"/>
        <v>VN0A4UUK4W71</v>
      </c>
      <c r="B4733" s="12" t="s">
        <v>16546</v>
      </c>
      <c r="C4733" s="12" t="s">
        <v>3221</v>
      </c>
      <c r="D4733" s="12" t="s">
        <v>16539</v>
      </c>
      <c r="E4733" s="12" t="s">
        <v>16547</v>
      </c>
      <c r="F4733" s="13">
        <v>50</v>
      </c>
      <c r="G4733" s="12" t="s">
        <v>16541</v>
      </c>
      <c r="H4733" s="12" t="s">
        <v>38</v>
      </c>
      <c r="I4733" s="12" t="s">
        <v>159</v>
      </c>
      <c r="J4733" s="12" t="s">
        <v>160</v>
      </c>
      <c r="K4733" s="12" t="s">
        <v>82</v>
      </c>
      <c r="L4733" s="14"/>
      <c r="M4733" s="12" t="s">
        <v>43</v>
      </c>
      <c r="N4733" s="12" t="s">
        <v>44</v>
      </c>
      <c r="O4733" s="12" t="s">
        <v>16548</v>
      </c>
      <c r="P4733" s="12" t="s">
        <v>46</v>
      </c>
      <c r="Q4733" s="12" t="s">
        <v>47</v>
      </c>
      <c r="R4733" s="12" t="s">
        <v>163</v>
      </c>
      <c r="S4733" s="13">
        <v>194902661497</v>
      </c>
      <c r="T4733" s="12" t="s">
        <v>105</v>
      </c>
      <c r="U4733" s="13">
        <v>36.5</v>
      </c>
      <c r="V4733" s="12" t="s">
        <v>50</v>
      </c>
      <c r="W4733" s="12" t="s">
        <v>51</v>
      </c>
      <c r="X4733" s="14"/>
      <c r="Y4733" s="12" t="s">
        <v>91</v>
      </c>
      <c r="Z4733" s="12" t="s">
        <v>165</v>
      </c>
      <c r="AA4733" s="14"/>
      <c r="AB4733" s="14"/>
      <c r="AC4733" s="15">
        <v>40.950000000000003</v>
      </c>
      <c r="AD4733" s="15">
        <f>AC4733*AG4733</f>
        <v>40.950000000000003</v>
      </c>
      <c r="AE4733" s="15">
        <v>90</v>
      </c>
      <c r="AF4733" s="15">
        <f>AE4733*AG4733</f>
        <v>90</v>
      </c>
      <c r="AG4733" s="16">
        <v>1</v>
      </c>
    </row>
    <row r="4734" spans="1:33" ht="15" customHeight="1" x14ac:dyDescent="0.2">
      <c r="A4734" s="11" t="str">
        <f t="shared" si="1460"/>
        <v>VN0A4UUK4W71</v>
      </c>
      <c r="B4734" s="12" t="s">
        <v>16549</v>
      </c>
      <c r="C4734" s="12" t="s">
        <v>3221</v>
      </c>
      <c r="D4734" s="12" t="s">
        <v>16539</v>
      </c>
      <c r="E4734" s="12" t="s">
        <v>16550</v>
      </c>
      <c r="F4734" s="13">
        <v>90</v>
      </c>
      <c r="G4734" s="12" t="s">
        <v>16541</v>
      </c>
      <c r="H4734" s="12" t="s">
        <v>38</v>
      </c>
      <c r="I4734" s="12" t="s">
        <v>159</v>
      </c>
      <c r="J4734" s="12" t="s">
        <v>160</v>
      </c>
      <c r="K4734" s="12" t="s">
        <v>82</v>
      </c>
      <c r="L4734" s="14"/>
      <c r="M4734" s="12" t="s">
        <v>43</v>
      </c>
      <c r="N4734" s="12" t="s">
        <v>44</v>
      </c>
      <c r="O4734" s="12" t="s">
        <v>16551</v>
      </c>
      <c r="P4734" s="12" t="s">
        <v>46</v>
      </c>
      <c r="Q4734" s="12" t="s">
        <v>47</v>
      </c>
      <c r="R4734" s="12" t="s">
        <v>163</v>
      </c>
      <c r="S4734" s="13">
        <v>194902662333</v>
      </c>
      <c r="T4734" s="12" t="s">
        <v>105</v>
      </c>
      <c r="U4734" s="13">
        <v>42</v>
      </c>
      <c r="V4734" s="12" t="s">
        <v>50</v>
      </c>
      <c r="W4734" s="12" t="s">
        <v>51</v>
      </c>
      <c r="X4734" s="14"/>
      <c r="Y4734" s="12" t="s">
        <v>91</v>
      </c>
      <c r="Z4734" s="12" t="s">
        <v>165</v>
      </c>
      <c r="AA4734" s="14"/>
      <c r="AB4734" s="14"/>
      <c r="AC4734" s="15">
        <v>40.950000000000003</v>
      </c>
      <c r="AD4734" s="15">
        <f>AC4734*AG4734</f>
        <v>40.950000000000003</v>
      </c>
      <c r="AE4734" s="15">
        <v>90</v>
      </c>
      <c r="AF4734" s="15">
        <f>AE4734*AG4734</f>
        <v>90</v>
      </c>
      <c r="AG4734" s="16">
        <v>1</v>
      </c>
    </row>
    <row r="4735" spans="1:33" ht="15" customHeight="1" x14ac:dyDescent="0.2">
      <c r="A4735" s="11" t="str">
        <f t="shared" si="1460"/>
        <v>VN0A4UUK4W71</v>
      </c>
      <c r="B4735" s="12" t="s">
        <v>16552</v>
      </c>
      <c r="C4735" s="12" t="s">
        <v>3221</v>
      </c>
      <c r="D4735" s="12" t="s">
        <v>16539</v>
      </c>
      <c r="E4735" s="12" t="s">
        <v>16553</v>
      </c>
      <c r="F4735" s="13">
        <v>120</v>
      </c>
      <c r="G4735" s="12" t="s">
        <v>16541</v>
      </c>
      <c r="H4735" s="12" t="s">
        <v>38</v>
      </c>
      <c r="I4735" s="12" t="s">
        <v>159</v>
      </c>
      <c r="J4735" s="12" t="s">
        <v>160</v>
      </c>
      <c r="K4735" s="12" t="s">
        <v>82</v>
      </c>
      <c r="L4735" s="14"/>
      <c r="M4735" s="12" t="s">
        <v>43</v>
      </c>
      <c r="N4735" s="12" t="s">
        <v>44</v>
      </c>
      <c r="O4735" s="12" t="s">
        <v>16554</v>
      </c>
      <c r="P4735" s="12" t="s">
        <v>46</v>
      </c>
      <c r="Q4735" s="12" t="s">
        <v>47</v>
      </c>
      <c r="R4735" s="12" t="s">
        <v>163</v>
      </c>
      <c r="S4735" s="13">
        <v>194902662937</v>
      </c>
      <c r="T4735" s="12" t="s">
        <v>105</v>
      </c>
      <c r="U4735" s="13">
        <v>46</v>
      </c>
      <c r="V4735" s="12" t="s">
        <v>50</v>
      </c>
      <c r="W4735" s="12" t="s">
        <v>51</v>
      </c>
      <c r="X4735" s="14"/>
      <c r="Y4735" s="12" t="s">
        <v>91</v>
      </c>
      <c r="Z4735" s="12" t="s">
        <v>165</v>
      </c>
      <c r="AA4735" s="14"/>
      <c r="AB4735" s="14"/>
      <c r="AC4735" s="15">
        <v>40.950000000000003</v>
      </c>
      <c r="AD4735" s="15">
        <f>AC4735*AG4735</f>
        <v>40.950000000000003</v>
      </c>
      <c r="AE4735" s="15">
        <v>90</v>
      </c>
      <c r="AF4735" s="15">
        <f>AE4735*AG4735</f>
        <v>90</v>
      </c>
      <c r="AG4735" s="16">
        <v>1</v>
      </c>
    </row>
    <row r="4736" spans="1:33" ht="15" customHeight="1" x14ac:dyDescent="0.2">
      <c r="A4736" s="11" t="str">
        <f t="shared" si="655"/>
        <v>VN0A4UWM2QL1</v>
      </c>
      <c r="B4736" s="12" t="s">
        <v>16555</v>
      </c>
      <c r="C4736" s="12" t="s">
        <v>6045</v>
      </c>
      <c r="D4736" s="12" t="s">
        <v>6046</v>
      </c>
      <c r="E4736" s="12" t="s">
        <v>16556</v>
      </c>
      <c r="F4736" s="13">
        <v>40</v>
      </c>
      <c r="G4736" s="12" t="s">
        <v>6048</v>
      </c>
      <c r="H4736" s="12" t="s">
        <v>38</v>
      </c>
      <c r="I4736" s="12" t="s">
        <v>159</v>
      </c>
      <c r="J4736" s="12" t="s">
        <v>255</v>
      </c>
      <c r="K4736" s="12" t="s">
        <v>82</v>
      </c>
      <c r="L4736" s="12" t="s">
        <v>42</v>
      </c>
      <c r="M4736" s="12" t="s">
        <v>43</v>
      </c>
      <c r="N4736" s="12" t="s">
        <v>274</v>
      </c>
      <c r="O4736" s="12" t="s">
        <v>16557</v>
      </c>
      <c r="P4736" s="12" t="s">
        <v>46</v>
      </c>
      <c r="Q4736" s="12" t="s">
        <v>47</v>
      </c>
      <c r="R4736" s="12" t="s">
        <v>163</v>
      </c>
      <c r="S4736" s="13">
        <v>197063428190</v>
      </c>
      <c r="T4736" s="12" t="s">
        <v>49</v>
      </c>
      <c r="U4736" s="13">
        <v>35</v>
      </c>
      <c r="V4736" s="12" t="s">
        <v>209</v>
      </c>
      <c r="W4736" s="12" t="s">
        <v>51</v>
      </c>
      <c r="X4736" s="14"/>
      <c r="Y4736" s="12" t="s">
        <v>91</v>
      </c>
      <c r="Z4736" s="12" t="s">
        <v>92</v>
      </c>
      <c r="AA4736" s="12" t="s">
        <v>3224</v>
      </c>
      <c r="AB4736" s="12" t="s">
        <v>55</v>
      </c>
      <c r="AC4736" s="15">
        <v>54.55</v>
      </c>
      <c r="AD4736" s="15">
        <f>AC4736*AG4736</f>
        <v>54.55</v>
      </c>
      <c r="AE4736" s="15">
        <v>120</v>
      </c>
      <c r="AF4736" s="15">
        <f>AE4736*AG4736</f>
        <v>120</v>
      </c>
      <c r="AG4736" s="16">
        <v>1</v>
      </c>
    </row>
    <row r="4737" spans="1:33" ht="15" customHeight="1" x14ac:dyDescent="0.2">
      <c r="A4737" s="11" t="str">
        <f>HYPERLINK("https://assets.vans.eu/images/VN0A4UWM5UR-HERO/1","VN0A4UWM5UR1")</f>
        <v>VN0A4UWM5UR1</v>
      </c>
      <c r="B4737" s="12" t="s">
        <v>16558</v>
      </c>
      <c r="C4737" s="12" t="s">
        <v>6045</v>
      </c>
      <c r="D4737" s="12" t="s">
        <v>16559</v>
      </c>
      <c r="E4737" s="12" t="s">
        <v>16560</v>
      </c>
      <c r="F4737" s="13">
        <v>50</v>
      </c>
      <c r="G4737" s="14"/>
      <c r="H4737" s="12" t="s">
        <v>38</v>
      </c>
      <c r="I4737" s="12" t="s">
        <v>159</v>
      </c>
      <c r="J4737" s="12" t="s">
        <v>255</v>
      </c>
      <c r="K4737" s="12" t="s">
        <v>82</v>
      </c>
      <c r="L4737" s="12" t="s">
        <v>115</v>
      </c>
      <c r="M4737" s="12" t="s">
        <v>43</v>
      </c>
      <c r="N4737" s="12" t="s">
        <v>274</v>
      </c>
      <c r="O4737" s="12" t="s">
        <v>16561</v>
      </c>
      <c r="P4737" s="12" t="s">
        <v>46</v>
      </c>
      <c r="Q4737" s="12" t="s">
        <v>47</v>
      </c>
      <c r="R4737" s="12" t="s">
        <v>163</v>
      </c>
      <c r="S4737" s="13">
        <v>197065184872</v>
      </c>
      <c r="T4737" s="12" t="s">
        <v>105</v>
      </c>
      <c r="U4737" s="13">
        <v>36.5</v>
      </c>
      <c r="V4737" s="12" t="s">
        <v>50</v>
      </c>
      <c r="W4737" s="12" t="s">
        <v>175</v>
      </c>
      <c r="X4737" s="14"/>
      <c r="Y4737" s="12" t="s">
        <v>91</v>
      </c>
      <c r="Z4737" s="12" t="s">
        <v>92</v>
      </c>
      <c r="AA4737" s="12" t="s">
        <v>3224</v>
      </c>
      <c r="AB4737" s="12" t="s">
        <v>94</v>
      </c>
      <c r="AC4737" s="15">
        <v>54.55</v>
      </c>
      <c r="AD4737" s="15">
        <f>AC4737*AG4737</f>
        <v>54.55</v>
      </c>
      <c r="AE4737" s="15">
        <v>120</v>
      </c>
      <c r="AF4737" s="15">
        <f>AE4737*AG4737</f>
        <v>120</v>
      </c>
      <c r="AG4737" s="16">
        <v>1</v>
      </c>
    </row>
    <row r="4738" spans="1:33" ht="15" customHeight="1" x14ac:dyDescent="0.2">
      <c r="A4738" s="11" t="str">
        <f t="shared" ref="A4738:A4739" si="1461">HYPERLINK("https://assets.vans.eu/images/VN0A4UWMBER-HERO/1","VN0A4UWMBER1")</f>
        <v>VN0A4UWMBER1</v>
      </c>
      <c r="B4738" s="12" t="s">
        <v>16562</v>
      </c>
      <c r="C4738" s="12" t="s">
        <v>6045</v>
      </c>
      <c r="D4738" s="12" t="s">
        <v>7078</v>
      </c>
      <c r="E4738" s="12" t="s">
        <v>16563</v>
      </c>
      <c r="F4738" s="13">
        <v>40</v>
      </c>
      <c r="G4738" s="12" t="s">
        <v>6048</v>
      </c>
      <c r="H4738" s="12" t="s">
        <v>38</v>
      </c>
      <c r="I4738" s="12" t="s">
        <v>159</v>
      </c>
      <c r="J4738" s="12" t="s">
        <v>255</v>
      </c>
      <c r="K4738" s="12" t="s">
        <v>82</v>
      </c>
      <c r="L4738" s="12" t="s">
        <v>42</v>
      </c>
      <c r="M4738" s="12" t="s">
        <v>43</v>
      </c>
      <c r="N4738" s="12" t="s">
        <v>274</v>
      </c>
      <c r="O4738" s="12" t="s">
        <v>16564</v>
      </c>
      <c r="P4738" s="12" t="s">
        <v>46</v>
      </c>
      <c r="Q4738" s="12" t="s">
        <v>47</v>
      </c>
      <c r="R4738" s="12" t="s">
        <v>163</v>
      </c>
      <c r="S4738" s="13">
        <v>197063428169</v>
      </c>
      <c r="T4738" s="12" t="s">
        <v>49</v>
      </c>
      <c r="U4738" s="13">
        <v>35</v>
      </c>
      <c r="V4738" s="12" t="s">
        <v>209</v>
      </c>
      <c r="W4738" s="12" t="s">
        <v>284</v>
      </c>
      <c r="X4738" s="14"/>
      <c r="Y4738" s="12" t="s">
        <v>91</v>
      </c>
      <c r="Z4738" s="12" t="s">
        <v>92</v>
      </c>
      <c r="AA4738" s="12" t="s">
        <v>3224</v>
      </c>
      <c r="AB4738" s="12" t="s">
        <v>55</v>
      </c>
      <c r="AC4738" s="15">
        <v>54.55</v>
      </c>
      <c r="AD4738" s="15">
        <f>AC4738*AG4738</f>
        <v>54.55</v>
      </c>
      <c r="AE4738" s="15">
        <v>120</v>
      </c>
      <c r="AF4738" s="15">
        <f>AE4738*AG4738</f>
        <v>120</v>
      </c>
      <c r="AG4738" s="16">
        <v>1</v>
      </c>
    </row>
    <row r="4739" spans="1:33" ht="15" customHeight="1" x14ac:dyDescent="0.2">
      <c r="A4739" s="11" t="str">
        <f t="shared" si="1461"/>
        <v>VN0A4UWMBER1</v>
      </c>
      <c r="B4739" s="12" t="s">
        <v>16565</v>
      </c>
      <c r="C4739" s="12" t="s">
        <v>6045</v>
      </c>
      <c r="D4739" s="12" t="s">
        <v>7078</v>
      </c>
      <c r="E4739" s="12" t="s">
        <v>16566</v>
      </c>
      <c r="F4739" s="13">
        <v>50</v>
      </c>
      <c r="G4739" s="12" t="s">
        <v>6048</v>
      </c>
      <c r="H4739" s="12" t="s">
        <v>38</v>
      </c>
      <c r="I4739" s="12" t="s">
        <v>159</v>
      </c>
      <c r="J4739" s="12" t="s">
        <v>255</v>
      </c>
      <c r="K4739" s="12" t="s">
        <v>82</v>
      </c>
      <c r="L4739" s="12" t="s">
        <v>42</v>
      </c>
      <c r="M4739" s="12" t="s">
        <v>43</v>
      </c>
      <c r="N4739" s="12" t="s">
        <v>274</v>
      </c>
      <c r="O4739" s="12" t="s">
        <v>16567</v>
      </c>
      <c r="P4739" s="12" t="s">
        <v>46</v>
      </c>
      <c r="Q4739" s="12" t="s">
        <v>47</v>
      </c>
      <c r="R4739" s="12" t="s">
        <v>163</v>
      </c>
      <c r="S4739" s="13">
        <v>197063428510</v>
      </c>
      <c r="T4739" s="12" t="s">
        <v>49</v>
      </c>
      <c r="U4739" s="13">
        <v>36.5</v>
      </c>
      <c r="V4739" s="12" t="s">
        <v>209</v>
      </c>
      <c r="W4739" s="12" t="s">
        <v>284</v>
      </c>
      <c r="X4739" s="14"/>
      <c r="Y4739" s="12" t="s">
        <v>91</v>
      </c>
      <c r="Z4739" s="12" t="s">
        <v>92</v>
      </c>
      <c r="AA4739" s="12" t="s">
        <v>3224</v>
      </c>
      <c r="AB4739" s="12" t="s">
        <v>55</v>
      </c>
      <c r="AC4739" s="15">
        <v>54.55</v>
      </c>
      <c r="AD4739" s="15">
        <f>AC4739*AG4739</f>
        <v>54.55</v>
      </c>
      <c r="AE4739" s="15">
        <v>120</v>
      </c>
      <c r="AF4739" s="15">
        <f>AE4739*AG4739</f>
        <v>120</v>
      </c>
      <c r="AG4739" s="16">
        <v>1</v>
      </c>
    </row>
    <row r="4740" spans="1:33" ht="15" customHeight="1" x14ac:dyDescent="0.2">
      <c r="A4740" s="11" t="str">
        <f t="shared" ref="A4740:A4746" si="1462">HYPERLINK("https://assets.vans.eu/images/VN0A5FCAPIB-HERO/1","VN0A5FCAPIB1")</f>
        <v>VN0A5FCAPIB1</v>
      </c>
      <c r="B4740" s="12" t="s">
        <v>16568</v>
      </c>
      <c r="C4740" s="12" t="s">
        <v>4427</v>
      </c>
      <c r="D4740" s="12" t="s">
        <v>829</v>
      </c>
      <c r="E4740" s="12" t="s">
        <v>16569</v>
      </c>
      <c r="F4740" s="13">
        <v>55</v>
      </c>
      <c r="G4740" s="14"/>
      <c r="H4740" s="12" t="s">
        <v>38</v>
      </c>
      <c r="I4740" s="12" t="s">
        <v>159</v>
      </c>
      <c r="J4740" s="12" t="s">
        <v>341</v>
      </c>
      <c r="K4740" s="12" t="s">
        <v>199</v>
      </c>
      <c r="L4740" s="14"/>
      <c r="M4740" s="12" t="s">
        <v>43</v>
      </c>
      <c r="N4740" s="12" t="s">
        <v>84</v>
      </c>
      <c r="O4740" s="12" t="s">
        <v>16570</v>
      </c>
      <c r="P4740" s="12" t="s">
        <v>46</v>
      </c>
      <c r="Q4740" s="12" t="s">
        <v>47</v>
      </c>
      <c r="R4740" s="12" t="s">
        <v>163</v>
      </c>
      <c r="S4740" s="13">
        <v>197804573561</v>
      </c>
      <c r="T4740" s="12" t="s">
        <v>49</v>
      </c>
      <c r="U4740" s="13">
        <v>37</v>
      </c>
      <c r="V4740" s="12" t="s">
        <v>50</v>
      </c>
      <c r="W4740" s="12" t="s">
        <v>299</v>
      </c>
      <c r="X4740" s="14"/>
      <c r="Y4740" s="14"/>
      <c r="Z4740" s="14"/>
      <c r="AA4740" s="14"/>
      <c r="AB4740" s="14"/>
      <c r="AC4740" s="15">
        <v>36.4</v>
      </c>
      <c r="AD4740" s="15">
        <f>AC4740*AG4740</f>
        <v>36.4</v>
      </c>
      <c r="AE4740" s="15">
        <v>80</v>
      </c>
      <c r="AF4740" s="15">
        <f>AE4740*AG4740</f>
        <v>80</v>
      </c>
      <c r="AG4740" s="16">
        <v>1</v>
      </c>
    </row>
    <row r="4741" spans="1:33" ht="15" customHeight="1" x14ac:dyDescent="0.2">
      <c r="A4741" s="11" t="str">
        <f t="shared" si="1462"/>
        <v>VN0A5FCAPIB1</v>
      </c>
      <c r="B4741" s="12" t="s">
        <v>16571</v>
      </c>
      <c r="C4741" s="12" t="s">
        <v>4427</v>
      </c>
      <c r="D4741" s="12" t="s">
        <v>829</v>
      </c>
      <c r="E4741" s="12" t="s">
        <v>16572</v>
      </c>
      <c r="F4741" s="13">
        <v>60</v>
      </c>
      <c r="G4741" s="14"/>
      <c r="H4741" s="12" t="s">
        <v>38</v>
      </c>
      <c r="I4741" s="12" t="s">
        <v>159</v>
      </c>
      <c r="J4741" s="12" t="s">
        <v>341</v>
      </c>
      <c r="K4741" s="12" t="s">
        <v>199</v>
      </c>
      <c r="L4741" s="14"/>
      <c r="M4741" s="12" t="s">
        <v>43</v>
      </c>
      <c r="N4741" s="12" t="s">
        <v>84</v>
      </c>
      <c r="O4741" s="12" t="s">
        <v>16573</v>
      </c>
      <c r="P4741" s="12" t="s">
        <v>46</v>
      </c>
      <c r="Q4741" s="12" t="s">
        <v>47</v>
      </c>
      <c r="R4741" s="12" t="s">
        <v>163</v>
      </c>
      <c r="S4741" s="13">
        <v>197804573592</v>
      </c>
      <c r="T4741" s="12" t="s">
        <v>49</v>
      </c>
      <c r="U4741" s="13">
        <v>38</v>
      </c>
      <c r="V4741" s="12" t="s">
        <v>50</v>
      </c>
      <c r="W4741" s="12" t="s">
        <v>299</v>
      </c>
      <c r="X4741" s="14"/>
      <c r="Y4741" s="14"/>
      <c r="Z4741" s="14"/>
      <c r="AA4741" s="14"/>
      <c r="AB4741" s="14"/>
      <c r="AC4741" s="15">
        <v>36.4</v>
      </c>
      <c r="AD4741" s="15">
        <f>AC4741*AG4741</f>
        <v>36.4</v>
      </c>
      <c r="AE4741" s="15">
        <v>80</v>
      </c>
      <c r="AF4741" s="15">
        <f>AE4741*AG4741</f>
        <v>80</v>
      </c>
      <c r="AG4741" s="16">
        <v>1</v>
      </c>
    </row>
    <row r="4742" spans="1:33" ht="15" customHeight="1" x14ac:dyDescent="0.2">
      <c r="A4742" s="11" t="str">
        <f t="shared" si="1462"/>
        <v>VN0A5FCAPIB1</v>
      </c>
      <c r="B4742" s="12" t="s">
        <v>16574</v>
      </c>
      <c r="C4742" s="12" t="s">
        <v>4427</v>
      </c>
      <c r="D4742" s="12" t="s">
        <v>829</v>
      </c>
      <c r="E4742" s="12" t="s">
        <v>16575</v>
      </c>
      <c r="F4742" s="13">
        <v>65</v>
      </c>
      <c r="G4742" s="14"/>
      <c r="H4742" s="12" t="s">
        <v>38</v>
      </c>
      <c r="I4742" s="12" t="s">
        <v>159</v>
      </c>
      <c r="J4742" s="12" t="s">
        <v>341</v>
      </c>
      <c r="K4742" s="12" t="s">
        <v>199</v>
      </c>
      <c r="L4742" s="14"/>
      <c r="M4742" s="12" t="s">
        <v>43</v>
      </c>
      <c r="N4742" s="12" t="s">
        <v>84</v>
      </c>
      <c r="O4742" s="12" t="s">
        <v>16576</v>
      </c>
      <c r="P4742" s="12" t="s">
        <v>46</v>
      </c>
      <c r="Q4742" s="12" t="s">
        <v>47</v>
      </c>
      <c r="R4742" s="12" t="s">
        <v>163</v>
      </c>
      <c r="S4742" s="13">
        <v>197804573806</v>
      </c>
      <c r="T4742" s="12" t="s">
        <v>49</v>
      </c>
      <c r="U4742" s="13">
        <v>38.5</v>
      </c>
      <c r="V4742" s="12" t="s">
        <v>50</v>
      </c>
      <c r="W4742" s="12" t="s">
        <v>299</v>
      </c>
      <c r="X4742" s="14"/>
      <c r="Y4742" s="14"/>
      <c r="Z4742" s="14"/>
      <c r="AA4742" s="14"/>
      <c r="AB4742" s="14"/>
      <c r="AC4742" s="15">
        <v>36.4</v>
      </c>
      <c r="AD4742" s="15">
        <f>AC4742*AG4742</f>
        <v>36.4</v>
      </c>
      <c r="AE4742" s="15">
        <v>80</v>
      </c>
      <c r="AF4742" s="15">
        <f>AE4742*AG4742</f>
        <v>80</v>
      </c>
      <c r="AG4742" s="16">
        <v>1</v>
      </c>
    </row>
    <row r="4743" spans="1:33" ht="15" customHeight="1" x14ac:dyDescent="0.2">
      <c r="A4743" s="11" t="str">
        <f t="shared" si="1462"/>
        <v>VN0A5FCAPIB1</v>
      </c>
      <c r="B4743" s="12" t="s">
        <v>16577</v>
      </c>
      <c r="C4743" s="12" t="s">
        <v>4427</v>
      </c>
      <c r="D4743" s="12" t="s">
        <v>829</v>
      </c>
      <c r="E4743" s="12" t="s">
        <v>16578</v>
      </c>
      <c r="F4743" s="13">
        <v>70</v>
      </c>
      <c r="G4743" s="14"/>
      <c r="H4743" s="12" t="s">
        <v>38</v>
      </c>
      <c r="I4743" s="12" t="s">
        <v>159</v>
      </c>
      <c r="J4743" s="12" t="s">
        <v>341</v>
      </c>
      <c r="K4743" s="12" t="s">
        <v>199</v>
      </c>
      <c r="L4743" s="14"/>
      <c r="M4743" s="12" t="s">
        <v>43</v>
      </c>
      <c r="N4743" s="12" t="s">
        <v>84</v>
      </c>
      <c r="O4743" s="12" t="s">
        <v>16579</v>
      </c>
      <c r="P4743" s="12" t="s">
        <v>46</v>
      </c>
      <c r="Q4743" s="12" t="s">
        <v>47</v>
      </c>
      <c r="R4743" s="12" t="s">
        <v>163</v>
      </c>
      <c r="S4743" s="13">
        <v>197804573813</v>
      </c>
      <c r="T4743" s="12" t="s">
        <v>49</v>
      </c>
      <c r="U4743" s="13">
        <v>39</v>
      </c>
      <c r="V4743" s="12" t="s">
        <v>50</v>
      </c>
      <c r="W4743" s="12" t="s">
        <v>299</v>
      </c>
      <c r="X4743" s="14"/>
      <c r="Y4743" s="14"/>
      <c r="Z4743" s="14"/>
      <c r="AA4743" s="14"/>
      <c r="AB4743" s="14"/>
      <c r="AC4743" s="15">
        <v>36.4</v>
      </c>
      <c r="AD4743" s="15">
        <f>AC4743*AG4743</f>
        <v>36.4</v>
      </c>
      <c r="AE4743" s="15">
        <v>80</v>
      </c>
      <c r="AF4743" s="15">
        <f>AE4743*AG4743</f>
        <v>80</v>
      </c>
      <c r="AG4743" s="16">
        <v>1</v>
      </c>
    </row>
    <row r="4744" spans="1:33" ht="15" customHeight="1" x14ac:dyDescent="0.2">
      <c r="A4744" s="11" t="str">
        <f t="shared" si="1462"/>
        <v>VN0A5FCAPIB1</v>
      </c>
      <c r="B4744" s="12" t="s">
        <v>16580</v>
      </c>
      <c r="C4744" s="12" t="s">
        <v>4427</v>
      </c>
      <c r="D4744" s="12" t="s">
        <v>829</v>
      </c>
      <c r="E4744" s="12" t="s">
        <v>16581</v>
      </c>
      <c r="F4744" s="13">
        <v>75</v>
      </c>
      <c r="G4744" s="14"/>
      <c r="H4744" s="12" t="s">
        <v>38</v>
      </c>
      <c r="I4744" s="12" t="s">
        <v>159</v>
      </c>
      <c r="J4744" s="12" t="s">
        <v>341</v>
      </c>
      <c r="K4744" s="12" t="s">
        <v>199</v>
      </c>
      <c r="L4744" s="14"/>
      <c r="M4744" s="12" t="s">
        <v>43</v>
      </c>
      <c r="N4744" s="12" t="s">
        <v>84</v>
      </c>
      <c r="O4744" s="12" t="s">
        <v>16582</v>
      </c>
      <c r="P4744" s="12" t="s">
        <v>46</v>
      </c>
      <c r="Q4744" s="12" t="s">
        <v>47</v>
      </c>
      <c r="R4744" s="12" t="s">
        <v>163</v>
      </c>
      <c r="S4744" s="13">
        <v>197804573820</v>
      </c>
      <c r="T4744" s="12" t="s">
        <v>49</v>
      </c>
      <c r="U4744" s="13">
        <v>40</v>
      </c>
      <c r="V4744" s="12" t="s">
        <v>50</v>
      </c>
      <c r="W4744" s="12" t="s">
        <v>299</v>
      </c>
      <c r="X4744" s="14"/>
      <c r="Y4744" s="14"/>
      <c r="Z4744" s="14"/>
      <c r="AA4744" s="14"/>
      <c r="AB4744" s="14"/>
      <c r="AC4744" s="15">
        <v>36.4</v>
      </c>
      <c r="AD4744" s="15">
        <f>AC4744*AG4744</f>
        <v>36.4</v>
      </c>
      <c r="AE4744" s="15">
        <v>80</v>
      </c>
      <c r="AF4744" s="15">
        <f>AE4744*AG4744</f>
        <v>80</v>
      </c>
      <c r="AG4744" s="16">
        <v>1</v>
      </c>
    </row>
    <row r="4745" spans="1:33" ht="15" customHeight="1" x14ac:dyDescent="0.2">
      <c r="A4745" s="11" t="str">
        <f t="shared" si="1462"/>
        <v>VN0A5FCAPIB1</v>
      </c>
      <c r="B4745" s="12" t="s">
        <v>16583</v>
      </c>
      <c r="C4745" s="12" t="s">
        <v>4427</v>
      </c>
      <c r="D4745" s="12" t="s">
        <v>829</v>
      </c>
      <c r="E4745" s="12" t="s">
        <v>16584</v>
      </c>
      <c r="F4745" s="13">
        <v>90</v>
      </c>
      <c r="G4745" s="14"/>
      <c r="H4745" s="12" t="s">
        <v>38</v>
      </c>
      <c r="I4745" s="12" t="s">
        <v>159</v>
      </c>
      <c r="J4745" s="12" t="s">
        <v>341</v>
      </c>
      <c r="K4745" s="12" t="s">
        <v>199</v>
      </c>
      <c r="L4745" s="14"/>
      <c r="M4745" s="12" t="s">
        <v>43</v>
      </c>
      <c r="N4745" s="12" t="s">
        <v>84</v>
      </c>
      <c r="O4745" s="12" t="s">
        <v>16585</v>
      </c>
      <c r="P4745" s="12" t="s">
        <v>46</v>
      </c>
      <c r="Q4745" s="12" t="s">
        <v>47</v>
      </c>
      <c r="R4745" s="12" t="s">
        <v>163</v>
      </c>
      <c r="S4745" s="13">
        <v>197804573851</v>
      </c>
      <c r="T4745" s="12" t="s">
        <v>49</v>
      </c>
      <c r="U4745" s="13">
        <v>42</v>
      </c>
      <c r="V4745" s="12" t="s">
        <v>50</v>
      </c>
      <c r="W4745" s="12" t="s">
        <v>299</v>
      </c>
      <c r="X4745" s="14"/>
      <c r="Y4745" s="14"/>
      <c r="Z4745" s="14"/>
      <c r="AA4745" s="14"/>
      <c r="AB4745" s="14"/>
      <c r="AC4745" s="15">
        <v>36.4</v>
      </c>
      <c r="AD4745" s="15">
        <f>AC4745*AG4745</f>
        <v>36.4</v>
      </c>
      <c r="AE4745" s="15">
        <v>80</v>
      </c>
      <c r="AF4745" s="15">
        <f>AE4745*AG4745</f>
        <v>80</v>
      </c>
      <c r="AG4745" s="16">
        <v>1</v>
      </c>
    </row>
    <row r="4746" spans="1:33" ht="15" customHeight="1" x14ac:dyDescent="0.2">
      <c r="A4746" s="11" t="str">
        <f t="shared" si="1462"/>
        <v>VN0A5FCAPIB1</v>
      </c>
      <c r="B4746" s="12" t="s">
        <v>16586</v>
      </c>
      <c r="C4746" s="12" t="s">
        <v>4427</v>
      </c>
      <c r="D4746" s="12" t="s">
        <v>829</v>
      </c>
      <c r="E4746" s="12" t="s">
        <v>16587</v>
      </c>
      <c r="F4746" s="13">
        <v>105</v>
      </c>
      <c r="G4746" s="14"/>
      <c r="H4746" s="12" t="s">
        <v>38</v>
      </c>
      <c r="I4746" s="12" t="s">
        <v>159</v>
      </c>
      <c r="J4746" s="12" t="s">
        <v>341</v>
      </c>
      <c r="K4746" s="12" t="s">
        <v>199</v>
      </c>
      <c r="L4746" s="14"/>
      <c r="M4746" s="12" t="s">
        <v>43</v>
      </c>
      <c r="N4746" s="12" t="s">
        <v>84</v>
      </c>
      <c r="O4746" s="12" t="s">
        <v>16588</v>
      </c>
      <c r="P4746" s="12" t="s">
        <v>46</v>
      </c>
      <c r="Q4746" s="12" t="s">
        <v>47</v>
      </c>
      <c r="R4746" s="12" t="s">
        <v>163</v>
      </c>
      <c r="S4746" s="13">
        <v>197804574612</v>
      </c>
      <c r="T4746" s="12" t="s">
        <v>49</v>
      </c>
      <c r="U4746" s="13">
        <v>44</v>
      </c>
      <c r="V4746" s="12" t="s">
        <v>50</v>
      </c>
      <c r="W4746" s="12" t="s">
        <v>299</v>
      </c>
      <c r="X4746" s="14"/>
      <c r="Y4746" s="14"/>
      <c r="Z4746" s="14"/>
      <c r="AA4746" s="14"/>
      <c r="AB4746" s="14"/>
      <c r="AC4746" s="15">
        <v>36.4</v>
      </c>
      <c r="AD4746" s="15">
        <f>AC4746*AG4746</f>
        <v>36.4</v>
      </c>
      <c r="AE4746" s="15">
        <v>80</v>
      </c>
      <c r="AF4746" s="15">
        <f>AE4746*AG4746</f>
        <v>80</v>
      </c>
      <c r="AG4746" s="16">
        <v>1</v>
      </c>
    </row>
    <row r="4747" spans="1:33" ht="15" customHeight="1" x14ac:dyDescent="0.2">
      <c r="A4747" s="11" t="str">
        <f t="shared" si="1136"/>
        <v>VN0A5FCB1N61</v>
      </c>
      <c r="B4747" s="12" t="s">
        <v>16589</v>
      </c>
      <c r="C4747" s="12" t="s">
        <v>996</v>
      </c>
      <c r="D4747" s="12" t="s">
        <v>2181</v>
      </c>
      <c r="E4747" s="12" t="s">
        <v>16590</v>
      </c>
      <c r="F4747" s="13">
        <v>35</v>
      </c>
      <c r="G4747" s="14"/>
      <c r="H4747" s="12" t="s">
        <v>38</v>
      </c>
      <c r="I4747" s="12" t="s">
        <v>159</v>
      </c>
      <c r="J4747" s="12" t="s">
        <v>341</v>
      </c>
      <c r="K4747" s="12" t="s">
        <v>199</v>
      </c>
      <c r="L4747" s="14"/>
      <c r="M4747" s="12" t="s">
        <v>43</v>
      </c>
      <c r="N4747" s="12" t="s">
        <v>84</v>
      </c>
      <c r="O4747" s="12" t="s">
        <v>16591</v>
      </c>
      <c r="P4747" s="12" t="s">
        <v>46</v>
      </c>
      <c r="Q4747" s="12" t="s">
        <v>47</v>
      </c>
      <c r="R4747" s="12" t="s">
        <v>163</v>
      </c>
      <c r="S4747" s="13">
        <v>197063313595</v>
      </c>
      <c r="T4747" s="12" t="s">
        <v>49</v>
      </c>
      <c r="U4747" s="13">
        <v>34.5</v>
      </c>
      <c r="V4747" s="12" t="s">
        <v>50</v>
      </c>
      <c r="W4747" s="12" t="s">
        <v>455</v>
      </c>
      <c r="X4747" s="14"/>
      <c r="Y4747" s="12" t="s">
        <v>91</v>
      </c>
      <c r="Z4747" s="12" t="s">
        <v>344</v>
      </c>
      <c r="AA4747" s="14"/>
      <c r="AB4747" s="14"/>
      <c r="AC4747" s="15">
        <v>38.65</v>
      </c>
      <c r="AD4747" s="15">
        <f>AC4747*AG4747</f>
        <v>38.65</v>
      </c>
      <c r="AE4747" s="15">
        <v>85</v>
      </c>
      <c r="AF4747" s="15">
        <f>AE4747*AG4747</f>
        <v>85</v>
      </c>
      <c r="AG4747" s="16">
        <v>1</v>
      </c>
    </row>
    <row r="4748" spans="1:33" ht="15" customHeight="1" x14ac:dyDescent="0.2">
      <c r="A4748" s="11" t="str">
        <f t="shared" ref="A4748:A4749" si="1463">HYPERLINK("https://assets.vans.eu/images/VN0A5FCB1N6-HERO/1","VN0A5FCB1N61")</f>
        <v>VN0A5FCB1N61</v>
      </c>
      <c r="B4748" s="12" t="s">
        <v>16592</v>
      </c>
      <c r="C4748" s="12" t="s">
        <v>996</v>
      </c>
      <c r="D4748" s="12" t="s">
        <v>2181</v>
      </c>
      <c r="E4748" s="12" t="s">
        <v>16593</v>
      </c>
      <c r="F4748" s="13">
        <v>100</v>
      </c>
      <c r="G4748" s="14"/>
      <c r="H4748" s="12" t="s">
        <v>38</v>
      </c>
      <c r="I4748" s="12" t="s">
        <v>159</v>
      </c>
      <c r="J4748" s="12" t="s">
        <v>341</v>
      </c>
      <c r="K4748" s="12" t="s">
        <v>199</v>
      </c>
      <c r="L4748" s="14"/>
      <c r="M4748" s="12" t="s">
        <v>43</v>
      </c>
      <c r="N4748" s="12" t="s">
        <v>84</v>
      </c>
      <c r="O4748" s="12" t="s">
        <v>16594</v>
      </c>
      <c r="P4748" s="12" t="s">
        <v>46</v>
      </c>
      <c r="Q4748" s="12" t="s">
        <v>47</v>
      </c>
      <c r="R4748" s="12" t="s">
        <v>163</v>
      </c>
      <c r="S4748" s="13">
        <v>197063315315</v>
      </c>
      <c r="T4748" s="12" t="s">
        <v>49</v>
      </c>
      <c r="U4748" s="13">
        <v>43</v>
      </c>
      <c r="V4748" s="12" t="s">
        <v>50</v>
      </c>
      <c r="W4748" s="12" t="s">
        <v>455</v>
      </c>
      <c r="X4748" s="14"/>
      <c r="Y4748" s="12" t="s">
        <v>91</v>
      </c>
      <c r="Z4748" s="12" t="s">
        <v>344</v>
      </c>
      <c r="AA4748" s="14"/>
      <c r="AB4748" s="14"/>
      <c r="AC4748" s="15">
        <v>38.65</v>
      </c>
      <c r="AD4748" s="15">
        <f>AC4748*AG4748</f>
        <v>38.65</v>
      </c>
      <c r="AE4748" s="15">
        <v>85</v>
      </c>
      <c r="AF4748" s="15">
        <f>AE4748*AG4748</f>
        <v>85</v>
      </c>
      <c r="AG4748" s="16">
        <v>1</v>
      </c>
    </row>
    <row r="4749" spans="1:33" ht="15" customHeight="1" x14ac:dyDescent="0.2">
      <c r="A4749" s="11" t="str">
        <f t="shared" si="1463"/>
        <v>VN0A5FCB1N61</v>
      </c>
      <c r="B4749" s="12" t="s">
        <v>16595</v>
      </c>
      <c r="C4749" s="12" t="s">
        <v>996</v>
      </c>
      <c r="D4749" s="12" t="s">
        <v>2181</v>
      </c>
      <c r="E4749" s="12" t="s">
        <v>16596</v>
      </c>
      <c r="F4749" s="13">
        <v>120</v>
      </c>
      <c r="G4749" s="14"/>
      <c r="H4749" s="12" t="s">
        <v>38</v>
      </c>
      <c r="I4749" s="12" t="s">
        <v>159</v>
      </c>
      <c r="J4749" s="12" t="s">
        <v>341</v>
      </c>
      <c r="K4749" s="12" t="s">
        <v>199</v>
      </c>
      <c r="L4749" s="14"/>
      <c r="M4749" s="12" t="s">
        <v>43</v>
      </c>
      <c r="N4749" s="12" t="s">
        <v>84</v>
      </c>
      <c r="O4749" s="12" t="s">
        <v>16597</v>
      </c>
      <c r="P4749" s="12" t="s">
        <v>46</v>
      </c>
      <c r="Q4749" s="12" t="s">
        <v>47</v>
      </c>
      <c r="R4749" s="12" t="s">
        <v>163</v>
      </c>
      <c r="S4749" s="13">
        <v>197063315780</v>
      </c>
      <c r="T4749" s="12" t="s">
        <v>49</v>
      </c>
      <c r="U4749" s="13">
        <v>46</v>
      </c>
      <c r="V4749" s="12" t="s">
        <v>50</v>
      </c>
      <c r="W4749" s="12" t="s">
        <v>455</v>
      </c>
      <c r="X4749" s="14"/>
      <c r="Y4749" s="12" t="s">
        <v>91</v>
      </c>
      <c r="Z4749" s="12" t="s">
        <v>344</v>
      </c>
      <c r="AA4749" s="14"/>
      <c r="AB4749" s="14"/>
      <c r="AC4749" s="15">
        <v>38.65</v>
      </c>
      <c r="AD4749" s="15">
        <f>AC4749*AG4749</f>
        <v>38.65</v>
      </c>
      <c r="AE4749" s="15">
        <v>85</v>
      </c>
      <c r="AF4749" s="15">
        <f>AE4749*AG4749</f>
        <v>85</v>
      </c>
      <c r="AG4749" s="16">
        <v>1</v>
      </c>
    </row>
    <row r="4750" spans="1:33" ht="15" customHeight="1" x14ac:dyDescent="0.2">
      <c r="A4750" s="11" t="str">
        <f t="shared" si="1137"/>
        <v>VN0A5FCBB9M1</v>
      </c>
      <c r="B4750" s="12" t="s">
        <v>16598</v>
      </c>
      <c r="C4750" s="12" t="s">
        <v>996</v>
      </c>
      <c r="D4750" s="12" t="s">
        <v>339</v>
      </c>
      <c r="E4750" s="12" t="s">
        <v>16599</v>
      </c>
      <c r="F4750" s="13">
        <v>55</v>
      </c>
      <c r="G4750" s="14"/>
      <c r="H4750" s="12" t="s">
        <v>38</v>
      </c>
      <c r="I4750" s="12" t="s">
        <v>159</v>
      </c>
      <c r="J4750" s="12" t="s">
        <v>341</v>
      </c>
      <c r="K4750" s="12" t="s">
        <v>199</v>
      </c>
      <c r="L4750" s="14"/>
      <c r="M4750" s="12" t="s">
        <v>43</v>
      </c>
      <c r="N4750" s="12" t="s">
        <v>84</v>
      </c>
      <c r="O4750" s="12" t="s">
        <v>16600</v>
      </c>
      <c r="P4750" s="12" t="s">
        <v>46</v>
      </c>
      <c r="Q4750" s="12" t="s">
        <v>47</v>
      </c>
      <c r="R4750" s="12" t="s">
        <v>163</v>
      </c>
      <c r="S4750" s="13">
        <v>194905588708</v>
      </c>
      <c r="T4750" s="12" t="s">
        <v>49</v>
      </c>
      <c r="U4750" s="13">
        <v>37</v>
      </c>
      <c r="V4750" s="12" t="s">
        <v>50</v>
      </c>
      <c r="W4750" s="12" t="s">
        <v>51</v>
      </c>
      <c r="X4750" s="14"/>
      <c r="Y4750" s="12" t="s">
        <v>91</v>
      </c>
      <c r="Z4750" s="12" t="s">
        <v>344</v>
      </c>
      <c r="AA4750" s="14"/>
      <c r="AB4750" s="14"/>
      <c r="AC4750" s="15">
        <v>38.65</v>
      </c>
      <c r="AD4750" s="15">
        <f>AC4750*AG4750</f>
        <v>38.65</v>
      </c>
      <c r="AE4750" s="15">
        <v>85</v>
      </c>
      <c r="AF4750" s="15">
        <f>AE4750*AG4750</f>
        <v>85</v>
      </c>
      <c r="AG4750" s="16">
        <v>1</v>
      </c>
    </row>
    <row r="4751" spans="1:33" ht="15" customHeight="1" x14ac:dyDescent="0.2">
      <c r="A4751" s="11" t="str">
        <f>HYPERLINK("https://assets.vans.eu/images/VN0A5FCCB9M-HERO/1","VN0A5FCCB9M1")</f>
        <v>VN0A5FCCB9M1</v>
      </c>
      <c r="B4751" s="12" t="s">
        <v>16601</v>
      </c>
      <c r="C4751" s="12" t="s">
        <v>338</v>
      </c>
      <c r="D4751" s="12" t="s">
        <v>339</v>
      </c>
      <c r="E4751" s="12" t="s">
        <v>16602</v>
      </c>
      <c r="F4751" s="13">
        <v>55</v>
      </c>
      <c r="G4751" s="14"/>
      <c r="H4751" s="12" t="s">
        <v>38</v>
      </c>
      <c r="I4751" s="12" t="s">
        <v>159</v>
      </c>
      <c r="J4751" s="12" t="s">
        <v>341</v>
      </c>
      <c r="K4751" s="12" t="s">
        <v>199</v>
      </c>
      <c r="L4751" s="14"/>
      <c r="M4751" s="12" t="s">
        <v>43</v>
      </c>
      <c r="N4751" s="12" t="s">
        <v>84</v>
      </c>
      <c r="O4751" s="12" t="s">
        <v>16603</v>
      </c>
      <c r="P4751" s="12" t="s">
        <v>46</v>
      </c>
      <c r="Q4751" s="12" t="s">
        <v>47</v>
      </c>
      <c r="R4751" s="12" t="s">
        <v>343</v>
      </c>
      <c r="S4751" s="13">
        <v>194905568014</v>
      </c>
      <c r="T4751" s="12" t="s">
        <v>49</v>
      </c>
      <c r="U4751" s="13">
        <v>37</v>
      </c>
      <c r="V4751" s="12" t="s">
        <v>50</v>
      </c>
      <c r="W4751" s="12" t="s">
        <v>51</v>
      </c>
      <c r="X4751" s="14"/>
      <c r="Y4751" s="12" t="s">
        <v>91</v>
      </c>
      <c r="Z4751" s="12" t="s">
        <v>344</v>
      </c>
      <c r="AA4751" s="14"/>
      <c r="AB4751" s="14"/>
      <c r="AC4751" s="15">
        <v>43.2</v>
      </c>
      <c r="AD4751" s="15">
        <f>AC4751*AG4751</f>
        <v>43.2</v>
      </c>
      <c r="AE4751" s="15">
        <v>95</v>
      </c>
      <c r="AF4751" s="15">
        <f>AE4751*AG4751</f>
        <v>95</v>
      </c>
      <c r="AG4751" s="16">
        <v>1</v>
      </c>
    </row>
    <row r="4752" spans="1:33" ht="15" customHeight="1" x14ac:dyDescent="0.2">
      <c r="A4752" s="11" t="str">
        <f>HYPERLINK("https://assets.vans.eu/images/VN0A5FCCBH9-HERO/1","VN0A5FCCBH91")</f>
        <v>VN0A5FCCBH91</v>
      </c>
      <c r="B4752" s="12" t="s">
        <v>16604</v>
      </c>
      <c r="C4752" s="12" t="s">
        <v>338</v>
      </c>
      <c r="D4752" s="12" t="s">
        <v>16605</v>
      </c>
      <c r="E4752" s="12" t="s">
        <v>16606</v>
      </c>
      <c r="F4752" s="13">
        <v>110</v>
      </c>
      <c r="G4752" s="14"/>
      <c r="H4752" s="12" t="s">
        <v>38</v>
      </c>
      <c r="I4752" s="12" t="s">
        <v>159</v>
      </c>
      <c r="J4752" s="12" t="s">
        <v>341</v>
      </c>
      <c r="K4752" s="12" t="s">
        <v>199</v>
      </c>
      <c r="L4752" s="14"/>
      <c r="M4752" s="12" t="s">
        <v>43</v>
      </c>
      <c r="N4752" s="12" t="s">
        <v>84</v>
      </c>
      <c r="O4752" s="12" t="s">
        <v>16607</v>
      </c>
      <c r="P4752" s="12" t="s">
        <v>46</v>
      </c>
      <c r="Q4752" s="12" t="s">
        <v>47</v>
      </c>
      <c r="R4752" s="12" t="s">
        <v>343</v>
      </c>
      <c r="S4752" s="13">
        <v>197804574940</v>
      </c>
      <c r="T4752" s="12" t="s">
        <v>49</v>
      </c>
      <c r="U4752" s="13">
        <v>44.5</v>
      </c>
      <c r="V4752" s="12" t="s">
        <v>50</v>
      </c>
      <c r="W4752" s="12" t="s">
        <v>455</v>
      </c>
      <c r="X4752" s="14"/>
      <c r="Y4752" s="14"/>
      <c r="Z4752" s="14"/>
      <c r="AA4752" s="14"/>
      <c r="AB4752" s="14"/>
      <c r="AC4752" s="15">
        <v>43.2</v>
      </c>
      <c r="AD4752" s="15">
        <f>AC4752*AG4752</f>
        <v>43.2</v>
      </c>
      <c r="AE4752" s="15">
        <v>95</v>
      </c>
      <c r="AF4752" s="15">
        <f>AE4752*AG4752</f>
        <v>95</v>
      </c>
      <c r="AG4752" s="16">
        <v>1</v>
      </c>
    </row>
    <row r="4753" spans="1:33" ht="15" customHeight="1" x14ac:dyDescent="0.2">
      <c r="A4753" s="11" t="str">
        <f t="shared" si="1138"/>
        <v>VN0A5FCDEMW1</v>
      </c>
      <c r="B4753" s="12" t="s">
        <v>16608</v>
      </c>
      <c r="C4753" s="12" t="s">
        <v>7568</v>
      </c>
      <c r="D4753" s="12" t="s">
        <v>147</v>
      </c>
      <c r="E4753" s="12" t="s">
        <v>16609</v>
      </c>
      <c r="F4753" s="13">
        <v>60</v>
      </c>
      <c r="G4753" s="14"/>
      <c r="H4753" s="12" t="s">
        <v>38</v>
      </c>
      <c r="I4753" s="12" t="s">
        <v>159</v>
      </c>
      <c r="J4753" s="12" t="s">
        <v>341</v>
      </c>
      <c r="K4753" s="12" t="s">
        <v>199</v>
      </c>
      <c r="L4753" s="14"/>
      <c r="M4753" s="12" t="s">
        <v>43</v>
      </c>
      <c r="N4753" s="12" t="s">
        <v>84</v>
      </c>
      <c r="O4753" s="12" t="s">
        <v>16610</v>
      </c>
      <c r="P4753" s="12" t="s">
        <v>46</v>
      </c>
      <c r="Q4753" s="12" t="s">
        <v>47</v>
      </c>
      <c r="R4753" s="12" t="s">
        <v>343</v>
      </c>
      <c r="S4753" s="13">
        <v>197804574469</v>
      </c>
      <c r="T4753" s="12" t="s">
        <v>49</v>
      </c>
      <c r="U4753" s="13">
        <v>38</v>
      </c>
      <c r="V4753" s="12" t="s">
        <v>50</v>
      </c>
      <c r="W4753" s="12" t="s">
        <v>118</v>
      </c>
      <c r="X4753" s="14"/>
      <c r="Y4753" s="14"/>
      <c r="Z4753" s="14"/>
      <c r="AA4753" s="14"/>
      <c r="AB4753" s="14"/>
      <c r="AC4753" s="15">
        <v>43.2</v>
      </c>
      <c r="AD4753" s="15">
        <f>AC4753*AG4753</f>
        <v>43.2</v>
      </c>
      <c r="AE4753" s="15">
        <v>95</v>
      </c>
      <c r="AF4753" s="15">
        <f>AE4753*AG4753</f>
        <v>95</v>
      </c>
      <c r="AG4753" s="16">
        <v>1</v>
      </c>
    </row>
    <row r="4754" spans="1:33" ht="15" customHeight="1" x14ac:dyDescent="0.2">
      <c r="A4754" s="11" t="str">
        <f t="shared" ref="A4754:A4757" si="1464">HYPERLINK("https://assets.vans.eu/images/VN0A5FCDEMW-HERO/1","VN0A5FCDEMW1")</f>
        <v>VN0A5FCDEMW1</v>
      </c>
      <c r="B4754" s="12" t="s">
        <v>16611</v>
      </c>
      <c r="C4754" s="12" t="s">
        <v>7568</v>
      </c>
      <c r="D4754" s="12" t="s">
        <v>147</v>
      </c>
      <c r="E4754" s="12" t="s">
        <v>16612</v>
      </c>
      <c r="F4754" s="13">
        <v>65</v>
      </c>
      <c r="G4754" s="14"/>
      <c r="H4754" s="12" t="s">
        <v>38</v>
      </c>
      <c r="I4754" s="12" t="s">
        <v>159</v>
      </c>
      <c r="J4754" s="12" t="s">
        <v>341</v>
      </c>
      <c r="K4754" s="12" t="s">
        <v>199</v>
      </c>
      <c r="L4754" s="14"/>
      <c r="M4754" s="12" t="s">
        <v>43</v>
      </c>
      <c r="N4754" s="12" t="s">
        <v>84</v>
      </c>
      <c r="O4754" s="12" t="s">
        <v>16613</v>
      </c>
      <c r="P4754" s="12" t="s">
        <v>46</v>
      </c>
      <c r="Q4754" s="12" t="s">
        <v>47</v>
      </c>
      <c r="R4754" s="12" t="s">
        <v>343</v>
      </c>
      <c r="S4754" s="13">
        <v>197804574551</v>
      </c>
      <c r="T4754" s="12" t="s">
        <v>49</v>
      </c>
      <c r="U4754" s="13">
        <v>38.5</v>
      </c>
      <c r="V4754" s="12" t="s">
        <v>50</v>
      </c>
      <c r="W4754" s="12" t="s">
        <v>118</v>
      </c>
      <c r="X4754" s="14"/>
      <c r="Y4754" s="14"/>
      <c r="Z4754" s="14"/>
      <c r="AA4754" s="14"/>
      <c r="AB4754" s="14"/>
      <c r="AC4754" s="15">
        <v>43.2</v>
      </c>
      <c r="AD4754" s="15">
        <f>AC4754*AG4754</f>
        <v>43.2</v>
      </c>
      <c r="AE4754" s="15">
        <v>95</v>
      </c>
      <c r="AF4754" s="15">
        <f>AE4754*AG4754</f>
        <v>95</v>
      </c>
      <c r="AG4754" s="16">
        <v>1</v>
      </c>
    </row>
    <row r="4755" spans="1:33" ht="15" customHeight="1" x14ac:dyDescent="0.2">
      <c r="A4755" s="11" t="str">
        <f t="shared" si="1464"/>
        <v>VN0A5FCDEMW1</v>
      </c>
      <c r="B4755" s="12" t="s">
        <v>16614</v>
      </c>
      <c r="C4755" s="12" t="s">
        <v>7568</v>
      </c>
      <c r="D4755" s="12" t="s">
        <v>147</v>
      </c>
      <c r="E4755" s="12" t="s">
        <v>16615</v>
      </c>
      <c r="F4755" s="13">
        <v>85</v>
      </c>
      <c r="G4755" s="14"/>
      <c r="H4755" s="12" t="s">
        <v>38</v>
      </c>
      <c r="I4755" s="12" t="s">
        <v>159</v>
      </c>
      <c r="J4755" s="12" t="s">
        <v>341</v>
      </c>
      <c r="K4755" s="12" t="s">
        <v>199</v>
      </c>
      <c r="L4755" s="14"/>
      <c r="M4755" s="12" t="s">
        <v>43</v>
      </c>
      <c r="N4755" s="12" t="s">
        <v>84</v>
      </c>
      <c r="O4755" s="12" t="s">
        <v>16616</v>
      </c>
      <c r="P4755" s="12" t="s">
        <v>46</v>
      </c>
      <c r="Q4755" s="12" t="s">
        <v>47</v>
      </c>
      <c r="R4755" s="12" t="s">
        <v>343</v>
      </c>
      <c r="S4755" s="13">
        <v>197804575008</v>
      </c>
      <c r="T4755" s="12" t="s">
        <v>49</v>
      </c>
      <c r="U4755" s="13">
        <v>41</v>
      </c>
      <c r="V4755" s="12" t="s">
        <v>50</v>
      </c>
      <c r="W4755" s="12" t="s">
        <v>118</v>
      </c>
      <c r="X4755" s="14"/>
      <c r="Y4755" s="14"/>
      <c r="Z4755" s="14"/>
      <c r="AA4755" s="14"/>
      <c r="AB4755" s="14"/>
      <c r="AC4755" s="15">
        <v>43.2</v>
      </c>
      <c r="AD4755" s="15">
        <f>AC4755*AG4755</f>
        <v>43.2</v>
      </c>
      <c r="AE4755" s="15">
        <v>95</v>
      </c>
      <c r="AF4755" s="15">
        <f>AE4755*AG4755</f>
        <v>95</v>
      </c>
      <c r="AG4755" s="16">
        <v>1</v>
      </c>
    </row>
    <row r="4756" spans="1:33" ht="15" customHeight="1" x14ac:dyDescent="0.2">
      <c r="A4756" s="11" t="str">
        <f t="shared" si="1464"/>
        <v>VN0A5FCDEMW1</v>
      </c>
      <c r="B4756" s="12" t="s">
        <v>16617</v>
      </c>
      <c r="C4756" s="12" t="s">
        <v>7568</v>
      </c>
      <c r="D4756" s="12" t="s">
        <v>147</v>
      </c>
      <c r="E4756" s="12" t="s">
        <v>16618</v>
      </c>
      <c r="F4756" s="13">
        <v>100</v>
      </c>
      <c r="G4756" s="14"/>
      <c r="H4756" s="12" t="s">
        <v>38</v>
      </c>
      <c r="I4756" s="12" t="s">
        <v>159</v>
      </c>
      <c r="J4756" s="12" t="s">
        <v>341</v>
      </c>
      <c r="K4756" s="12" t="s">
        <v>199</v>
      </c>
      <c r="L4756" s="14"/>
      <c r="M4756" s="12" t="s">
        <v>43</v>
      </c>
      <c r="N4756" s="12" t="s">
        <v>84</v>
      </c>
      <c r="O4756" s="12" t="s">
        <v>16619</v>
      </c>
      <c r="P4756" s="12" t="s">
        <v>46</v>
      </c>
      <c r="Q4756" s="12" t="s">
        <v>47</v>
      </c>
      <c r="R4756" s="12" t="s">
        <v>343</v>
      </c>
      <c r="S4756" s="13">
        <v>197804575374</v>
      </c>
      <c r="T4756" s="12" t="s">
        <v>49</v>
      </c>
      <c r="U4756" s="13">
        <v>43</v>
      </c>
      <c r="V4756" s="12" t="s">
        <v>50</v>
      </c>
      <c r="W4756" s="12" t="s">
        <v>118</v>
      </c>
      <c r="X4756" s="14"/>
      <c r="Y4756" s="14"/>
      <c r="Z4756" s="14"/>
      <c r="AA4756" s="14"/>
      <c r="AB4756" s="14"/>
      <c r="AC4756" s="15">
        <v>43.2</v>
      </c>
      <c r="AD4756" s="15">
        <f>AC4756*AG4756</f>
        <v>43.2</v>
      </c>
      <c r="AE4756" s="15">
        <v>95</v>
      </c>
      <c r="AF4756" s="15">
        <f>AE4756*AG4756</f>
        <v>95</v>
      </c>
      <c r="AG4756" s="16">
        <v>1</v>
      </c>
    </row>
    <row r="4757" spans="1:33" ht="15" customHeight="1" x14ac:dyDescent="0.2">
      <c r="A4757" s="11" t="str">
        <f t="shared" si="1464"/>
        <v>VN0A5FCDEMW1</v>
      </c>
      <c r="B4757" s="12" t="s">
        <v>16620</v>
      </c>
      <c r="C4757" s="12" t="s">
        <v>7568</v>
      </c>
      <c r="D4757" s="12" t="s">
        <v>147</v>
      </c>
      <c r="E4757" s="12" t="s">
        <v>16621</v>
      </c>
      <c r="F4757" s="13">
        <v>105</v>
      </c>
      <c r="G4757" s="14"/>
      <c r="H4757" s="12" t="s">
        <v>38</v>
      </c>
      <c r="I4757" s="12" t="s">
        <v>159</v>
      </c>
      <c r="J4757" s="12" t="s">
        <v>341</v>
      </c>
      <c r="K4757" s="12" t="s">
        <v>199</v>
      </c>
      <c r="L4757" s="14"/>
      <c r="M4757" s="12" t="s">
        <v>43</v>
      </c>
      <c r="N4757" s="12" t="s">
        <v>84</v>
      </c>
      <c r="O4757" s="12" t="s">
        <v>16622</v>
      </c>
      <c r="P4757" s="12" t="s">
        <v>46</v>
      </c>
      <c r="Q4757" s="12" t="s">
        <v>47</v>
      </c>
      <c r="R4757" s="12" t="s">
        <v>343</v>
      </c>
      <c r="S4757" s="13">
        <v>197804575459</v>
      </c>
      <c r="T4757" s="12" t="s">
        <v>49</v>
      </c>
      <c r="U4757" s="13">
        <v>44</v>
      </c>
      <c r="V4757" s="12" t="s">
        <v>50</v>
      </c>
      <c r="W4757" s="12" t="s">
        <v>118</v>
      </c>
      <c r="X4757" s="14"/>
      <c r="Y4757" s="14"/>
      <c r="Z4757" s="14"/>
      <c r="AA4757" s="14"/>
      <c r="AB4757" s="14"/>
      <c r="AC4757" s="15">
        <v>43.2</v>
      </c>
      <c r="AD4757" s="15">
        <f>AC4757*AG4757</f>
        <v>43.2</v>
      </c>
      <c r="AE4757" s="15">
        <v>95</v>
      </c>
      <c r="AF4757" s="15">
        <f>AE4757*AG4757</f>
        <v>95</v>
      </c>
      <c r="AG4757" s="16">
        <v>1</v>
      </c>
    </row>
    <row r="4758" spans="1:33" ht="15" customHeight="1" x14ac:dyDescent="0.2">
      <c r="A4758" s="11" t="str">
        <f t="shared" si="1139"/>
        <v>VN0A5FCDGPE1</v>
      </c>
      <c r="B4758" s="12" t="s">
        <v>16623</v>
      </c>
      <c r="C4758" s="12" t="s">
        <v>7568</v>
      </c>
      <c r="D4758" s="12" t="s">
        <v>7569</v>
      </c>
      <c r="E4758" s="12" t="s">
        <v>16624</v>
      </c>
      <c r="F4758" s="13">
        <v>75</v>
      </c>
      <c r="G4758" s="12" t="s">
        <v>7571</v>
      </c>
      <c r="H4758" s="12" t="s">
        <v>38</v>
      </c>
      <c r="I4758" s="12" t="s">
        <v>159</v>
      </c>
      <c r="J4758" s="12" t="s">
        <v>341</v>
      </c>
      <c r="K4758" s="12" t="s">
        <v>199</v>
      </c>
      <c r="L4758" s="14"/>
      <c r="M4758" s="12" t="s">
        <v>43</v>
      </c>
      <c r="N4758" s="12" t="s">
        <v>84</v>
      </c>
      <c r="O4758" s="12" t="s">
        <v>16625</v>
      </c>
      <c r="P4758" s="12" t="s">
        <v>46</v>
      </c>
      <c r="Q4758" s="12" t="s">
        <v>47</v>
      </c>
      <c r="R4758" s="12" t="s">
        <v>343</v>
      </c>
      <c r="S4758" s="13">
        <v>197804575282</v>
      </c>
      <c r="T4758" s="12" t="s">
        <v>49</v>
      </c>
      <c r="U4758" s="13">
        <v>40</v>
      </c>
      <c r="V4758" s="12" t="s">
        <v>50</v>
      </c>
      <c r="W4758" s="12" t="s">
        <v>107</v>
      </c>
      <c r="X4758" s="14"/>
      <c r="Y4758" s="14"/>
      <c r="Z4758" s="14"/>
      <c r="AA4758" s="14"/>
      <c r="AB4758" s="14"/>
      <c r="AC4758" s="15">
        <v>43.2</v>
      </c>
      <c r="AD4758" s="15">
        <f>AC4758*AG4758</f>
        <v>43.2</v>
      </c>
      <c r="AE4758" s="15">
        <v>95</v>
      </c>
      <c r="AF4758" s="15">
        <f>AE4758*AG4758</f>
        <v>95</v>
      </c>
      <c r="AG4758" s="16">
        <v>1</v>
      </c>
    </row>
    <row r="4759" spans="1:33" ht="15" customHeight="1" x14ac:dyDescent="0.2">
      <c r="A4759" s="11" t="str">
        <f t="shared" ref="A4759:A4761" si="1465">HYPERLINK("https://assets.vans.eu/images/VN0A5FCDGPE-HERO/1","VN0A5FCDGPE1")</f>
        <v>VN0A5FCDGPE1</v>
      </c>
      <c r="B4759" s="12" t="s">
        <v>16626</v>
      </c>
      <c r="C4759" s="12" t="s">
        <v>7568</v>
      </c>
      <c r="D4759" s="12" t="s">
        <v>7569</v>
      </c>
      <c r="E4759" s="12" t="s">
        <v>16627</v>
      </c>
      <c r="F4759" s="13">
        <v>100</v>
      </c>
      <c r="G4759" s="12" t="s">
        <v>7571</v>
      </c>
      <c r="H4759" s="12" t="s">
        <v>38</v>
      </c>
      <c r="I4759" s="12" t="s">
        <v>159</v>
      </c>
      <c r="J4759" s="12" t="s">
        <v>341</v>
      </c>
      <c r="K4759" s="12" t="s">
        <v>199</v>
      </c>
      <c r="L4759" s="14"/>
      <c r="M4759" s="12" t="s">
        <v>43</v>
      </c>
      <c r="N4759" s="12" t="s">
        <v>84</v>
      </c>
      <c r="O4759" s="12" t="s">
        <v>16628</v>
      </c>
      <c r="P4759" s="12" t="s">
        <v>46</v>
      </c>
      <c r="Q4759" s="12" t="s">
        <v>47</v>
      </c>
      <c r="R4759" s="12" t="s">
        <v>343</v>
      </c>
      <c r="S4759" s="13">
        <v>197804575671</v>
      </c>
      <c r="T4759" s="12" t="s">
        <v>49</v>
      </c>
      <c r="U4759" s="13">
        <v>43</v>
      </c>
      <c r="V4759" s="12" t="s">
        <v>50</v>
      </c>
      <c r="W4759" s="12" t="s">
        <v>107</v>
      </c>
      <c r="X4759" s="14"/>
      <c r="Y4759" s="14"/>
      <c r="Z4759" s="14"/>
      <c r="AA4759" s="14"/>
      <c r="AB4759" s="14"/>
      <c r="AC4759" s="15">
        <v>43.2</v>
      </c>
      <c r="AD4759" s="15">
        <f>AC4759*AG4759</f>
        <v>43.2</v>
      </c>
      <c r="AE4759" s="15">
        <v>95</v>
      </c>
      <c r="AF4759" s="15">
        <f>AE4759*AG4759</f>
        <v>95</v>
      </c>
      <c r="AG4759" s="16">
        <v>1</v>
      </c>
    </row>
    <row r="4760" spans="1:33" ht="15" customHeight="1" x14ac:dyDescent="0.2">
      <c r="A4760" s="11" t="str">
        <f t="shared" si="1465"/>
        <v>VN0A5FCDGPE1</v>
      </c>
      <c r="B4760" s="12" t="s">
        <v>16629</v>
      </c>
      <c r="C4760" s="12" t="s">
        <v>7568</v>
      </c>
      <c r="D4760" s="12" t="s">
        <v>7569</v>
      </c>
      <c r="E4760" s="12" t="s">
        <v>16630</v>
      </c>
      <c r="F4760" s="13">
        <v>105</v>
      </c>
      <c r="G4760" s="12" t="s">
        <v>7571</v>
      </c>
      <c r="H4760" s="12" t="s">
        <v>38</v>
      </c>
      <c r="I4760" s="12" t="s">
        <v>159</v>
      </c>
      <c r="J4760" s="12" t="s">
        <v>341</v>
      </c>
      <c r="K4760" s="12" t="s">
        <v>199</v>
      </c>
      <c r="L4760" s="14"/>
      <c r="M4760" s="12" t="s">
        <v>43</v>
      </c>
      <c r="N4760" s="12" t="s">
        <v>84</v>
      </c>
      <c r="O4760" s="12" t="s">
        <v>16631</v>
      </c>
      <c r="P4760" s="12" t="s">
        <v>46</v>
      </c>
      <c r="Q4760" s="12" t="s">
        <v>47</v>
      </c>
      <c r="R4760" s="12" t="s">
        <v>343</v>
      </c>
      <c r="S4760" s="13">
        <v>197804575732</v>
      </c>
      <c r="T4760" s="12" t="s">
        <v>49</v>
      </c>
      <c r="U4760" s="13">
        <v>44</v>
      </c>
      <c r="V4760" s="12" t="s">
        <v>50</v>
      </c>
      <c r="W4760" s="12" t="s">
        <v>107</v>
      </c>
      <c r="X4760" s="14"/>
      <c r="Y4760" s="14"/>
      <c r="Z4760" s="14"/>
      <c r="AA4760" s="14"/>
      <c r="AB4760" s="14"/>
      <c r="AC4760" s="15">
        <v>43.2</v>
      </c>
      <c r="AD4760" s="15">
        <f>AC4760*AG4760</f>
        <v>43.2</v>
      </c>
      <c r="AE4760" s="15">
        <v>95</v>
      </c>
      <c r="AF4760" s="15">
        <f>AE4760*AG4760</f>
        <v>95</v>
      </c>
      <c r="AG4760" s="16">
        <v>1</v>
      </c>
    </row>
    <row r="4761" spans="1:33" ht="15" customHeight="1" x14ac:dyDescent="0.2">
      <c r="A4761" s="11" t="str">
        <f t="shared" si="1465"/>
        <v>VN0A5FCDGPE1</v>
      </c>
      <c r="B4761" s="12" t="s">
        <v>16632</v>
      </c>
      <c r="C4761" s="12" t="s">
        <v>7568</v>
      </c>
      <c r="D4761" s="12" t="s">
        <v>7569</v>
      </c>
      <c r="E4761" s="12" t="s">
        <v>16633</v>
      </c>
      <c r="F4761" s="13">
        <v>115</v>
      </c>
      <c r="G4761" s="12" t="s">
        <v>7571</v>
      </c>
      <c r="H4761" s="12" t="s">
        <v>38</v>
      </c>
      <c r="I4761" s="12" t="s">
        <v>159</v>
      </c>
      <c r="J4761" s="12" t="s">
        <v>341</v>
      </c>
      <c r="K4761" s="12" t="s">
        <v>199</v>
      </c>
      <c r="L4761" s="14"/>
      <c r="M4761" s="12" t="s">
        <v>43</v>
      </c>
      <c r="N4761" s="12" t="s">
        <v>84</v>
      </c>
      <c r="O4761" s="12" t="s">
        <v>16634</v>
      </c>
      <c r="P4761" s="12" t="s">
        <v>46</v>
      </c>
      <c r="Q4761" s="12" t="s">
        <v>47</v>
      </c>
      <c r="R4761" s="12" t="s">
        <v>343</v>
      </c>
      <c r="S4761" s="13">
        <v>197804575848</v>
      </c>
      <c r="T4761" s="12" t="s">
        <v>49</v>
      </c>
      <c r="U4761" s="13">
        <v>45</v>
      </c>
      <c r="V4761" s="12" t="s">
        <v>50</v>
      </c>
      <c r="W4761" s="12" t="s">
        <v>107</v>
      </c>
      <c r="X4761" s="14"/>
      <c r="Y4761" s="14"/>
      <c r="Z4761" s="14"/>
      <c r="AA4761" s="14"/>
      <c r="AB4761" s="14"/>
      <c r="AC4761" s="15">
        <v>43.2</v>
      </c>
      <c r="AD4761" s="15">
        <f>AC4761*AG4761</f>
        <v>43.2</v>
      </c>
      <c r="AE4761" s="15">
        <v>95</v>
      </c>
      <c r="AF4761" s="15">
        <f>AE4761*AG4761</f>
        <v>95</v>
      </c>
      <c r="AG4761" s="16">
        <v>1</v>
      </c>
    </row>
    <row r="4762" spans="1:33" ht="15" customHeight="1" x14ac:dyDescent="0.2">
      <c r="A4762" s="11" t="str">
        <f>HYPERLINK("https://assets.vans.eu/images/VN0A5HF887T-HERO/1","VN0A5HF887T1")</f>
        <v>VN0A5HF887T1</v>
      </c>
      <c r="B4762" s="12" t="s">
        <v>16635</v>
      </c>
      <c r="C4762" s="12" t="s">
        <v>272</v>
      </c>
      <c r="D4762" s="12" t="s">
        <v>16636</v>
      </c>
      <c r="E4762" s="12" t="s">
        <v>16637</v>
      </c>
      <c r="F4762" s="13">
        <v>120</v>
      </c>
      <c r="G4762" s="14"/>
      <c r="H4762" s="12" t="s">
        <v>38</v>
      </c>
      <c r="I4762" s="12" t="s">
        <v>159</v>
      </c>
      <c r="J4762" s="12" t="s">
        <v>255</v>
      </c>
      <c r="K4762" s="12" t="s">
        <v>82</v>
      </c>
      <c r="L4762" s="14"/>
      <c r="M4762" s="12" t="s">
        <v>43</v>
      </c>
      <c r="N4762" s="12" t="s">
        <v>274</v>
      </c>
      <c r="O4762" s="12" t="s">
        <v>16638</v>
      </c>
      <c r="P4762" s="12" t="s">
        <v>46</v>
      </c>
      <c r="Q4762" s="12" t="s">
        <v>276</v>
      </c>
      <c r="R4762" s="12" t="s">
        <v>277</v>
      </c>
      <c r="S4762" s="13">
        <v>197063430223</v>
      </c>
      <c r="T4762" s="12" t="s">
        <v>143</v>
      </c>
      <c r="U4762" s="13">
        <v>46</v>
      </c>
      <c r="V4762" s="12" t="s">
        <v>278</v>
      </c>
      <c r="W4762" s="12" t="s">
        <v>933</v>
      </c>
      <c r="X4762" s="14"/>
      <c r="Y4762" s="12" t="s">
        <v>91</v>
      </c>
      <c r="Z4762" s="12" t="s">
        <v>165</v>
      </c>
      <c r="AA4762" s="14"/>
      <c r="AB4762" s="14"/>
      <c r="AC4762" s="15">
        <v>27.3</v>
      </c>
      <c r="AD4762" s="15">
        <f>AC4762*AG4762</f>
        <v>27.3</v>
      </c>
      <c r="AE4762" s="15">
        <v>60</v>
      </c>
      <c r="AF4762" s="15">
        <f>AE4762*AG4762</f>
        <v>60</v>
      </c>
      <c r="AG4762" s="16">
        <v>1</v>
      </c>
    </row>
    <row r="4763" spans="1:33" ht="15" customHeight="1" x14ac:dyDescent="0.2">
      <c r="A4763" s="11" t="str">
        <f>HYPERLINK("https://assets.vans.eu/images/VN0A5HYWA3I-HERO/1","VN0A5HYWA3I1")</f>
        <v>VN0A5HYWA3I1</v>
      </c>
      <c r="B4763" s="12" t="s">
        <v>16639</v>
      </c>
      <c r="C4763" s="12" t="s">
        <v>2449</v>
      </c>
      <c r="D4763" s="12" t="s">
        <v>7574</v>
      </c>
      <c r="E4763" s="12" t="s">
        <v>16640</v>
      </c>
      <c r="F4763" s="13">
        <v>95</v>
      </c>
      <c r="G4763" s="14"/>
      <c r="H4763" s="12" t="s">
        <v>38</v>
      </c>
      <c r="I4763" s="12" t="s">
        <v>113</v>
      </c>
      <c r="J4763" s="12" t="s">
        <v>529</v>
      </c>
      <c r="K4763" s="12" t="s">
        <v>100</v>
      </c>
      <c r="L4763" s="12" t="s">
        <v>350</v>
      </c>
      <c r="M4763" s="12" t="s">
        <v>43</v>
      </c>
      <c r="N4763" s="12" t="s">
        <v>161</v>
      </c>
      <c r="O4763" s="12" t="s">
        <v>16641</v>
      </c>
      <c r="P4763" s="12" t="s">
        <v>46</v>
      </c>
      <c r="Q4763" s="12" t="s">
        <v>47</v>
      </c>
      <c r="R4763" s="12" t="s">
        <v>948</v>
      </c>
      <c r="S4763" s="13">
        <v>195440387085</v>
      </c>
      <c r="T4763" s="12" t="s">
        <v>105</v>
      </c>
      <c r="U4763" s="13">
        <v>40.5</v>
      </c>
      <c r="V4763" s="12" t="s">
        <v>50</v>
      </c>
      <c r="W4763" s="12" t="s">
        <v>186</v>
      </c>
      <c r="X4763" s="14"/>
      <c r="Y4763" s="12" t="s">
        <v>71</v>
      </c>
      <c r="Z4763" s="12" t="s">
        <v>92</v>
      </c>
      <c r="AA4763" s="12" t="s">
        <v>354</v>
      </c>
      <c r="AB4763" s="12" t="s">
        <v>888</v>
      </c>
      <c r="AC4763" s="15">
        <v>52.4</v>
      </c>
      <c r="AD4763" s="15">
        <f>AC4763*AG4763</f>
        <v>52.4</v>
      </c>
      <c r="AE4763" s="15">
        <v>110</v>
      </c>
      <c r="AF4763" s="15">
        <f>AE4763*AG4763</f>
        <v>110</v>
      </c>
      <c r="AG4763" s="16">
        <v>1</v>
      </c>
    </row>
    <row r="4764" spans="1:33" ht="15" customHeight="1" x14ac:dyDescent="0.2">
      <c r="A4764" s="11" t="str">
        <f t="shared" ref="A4764:A4765" si="1466">HYPERLINK("https://assets.vans.eu/images/VN0A5HZGGRY-HERO/1","VN0A5HZGGRY1")</f>
        <v>VN0A5HZGGRY1</v>
      </c>
      <c r="B4764" s="12" t="s">
        <v>16642</v>
      </c>
      <c r="C4764" s="12" t="s">
        <v>6070</v>
      </c>
      <c r="D4764" s="12" t="s">
        <v>13536</v>
      </c>
      <c r="E4764" s="12" t="s">
        <v>16643</v>
      </c>
      <c r="F4764" s="13">
        <v>55</v>
      </c>
      <c r="G4764" s="12" t="s">
        <v>16644</v>
      </c>
      <c r="H4764" s="12" t="s">
        <v>38</v>
      </c>
      <c r="I4764" s="12" t="s">
        <v>242</v>
      </c>
      <c r="J4764" s="12" t="s">
        <v>243</v>
      </c>
      <c r="K4764" s="12" t="s">
        <v>244</v>
      </c>
      <c r="L4764" s="12" t="s">
        <v>350</v>
      </c>
      <c r="M4764" s="12" t="s">
        <v>43</v>
      </c>
      <c r="N4764" s="12" t="s">
        <v>84</v>
      </c>
      <c r="O4764" s="12" t="s">
        <v>16645</v>
      </c>
      <c r="P4764" s="12" t="s">
        <v>46</v>
      </c>
      <c r="Q4764" s="12" t="s">
        <v>47</v>
      </c>
      <c r="R4764" s="12" t="s">
        <v>780</v>
      </c>
      <c r="S4764" s="13">
        <v>196570711245</v>
      </c>
      <c r="T4764" s="12" t="s">
        <v>49</v>
      </c>
      <c r="U4764" s="13">
        <v>21.5</v>
      </c>
      <c r="V4764" s="12" t="s">
        <v>50</v>
      </c>
      <c r="W4764" s="12" t="s">
        <v>455</v>
      </c>
      <c r="X4764" s="14"/>
      <c r="Y4764" s="12" t="s">
        <v>71</v>
      </c>
      <c r="Z4764" s="12" t="s">
        <v>92</v>
      </c>
      <c r="AA4764" s="12" t="s">
        <v>354</v>
      </c>
      <c r="AB4764" s="12" t="s">
        <v>55</v>
      </c>
      <c r="AC4764" s="15">
        <v>19.05</v>
      </c>
      <c r="AD4764" s="15">
        <f>AC4764*AG4764</f>
        <v>19.05</v>
      </c>
      <c r="AE4764" s="15">
        <v>40</v>
      </c>
      <c r="AF4764" s="15">
        <f>AE4764*AG4764</f>
        <v>40</v>
      </c>
      <c r="AG4764" s="16">
        <v>1</v>
      </c>
    </row>
    <row r="4765" spans="1:33" ht="15" customHeight="1" x14ac:dyDescent="0.2">
      <c r="A4765" s="11" t="str">
        <f t="shared" si="1466"/>
        <v>VN0A5HZGGRY1</v>
      </c>
      <c r="B4765" s="12" t="s">
        <v>16646</v>
      </c>
      <c r="C4765" s="12" t="s">
        <v>6070</v>
      </c>
      <c r="D4765" s="12" t="s">
        <v>13536</v>
      </c>
      <c r="E4765" s="12" t="s">
        <v>16647</v>
      </c>
      <c r="F4765" s="13">
        <v>85</v>
      </c>
      <c r="G4765" s="12" t="s">
        <v>16644</v>
      </c>
      <c r="H4765" s="12" t="s">
        <v>38</v>
      </c>
      <c r="I4765" s="12" t="s">
        <v>242</v>
      </c>
      <c r="J4765" s="12" t="s">
        <v>243</v>
      </c>
      <c r="K4765" s="12" t="s">
        <v>244</v>
      </c>
      <c r="L4765" s="12" t="s">
        <v>350</v>
      </c>
      <c r="M4765" s="12" t="s">
        <v>43</v>
      </c>
      <c r="N4765" s="12" t="s">
        <v>84</v>
      </c>
      <c r="O4765" s="12" t="s">
        <v>16648</v>
      </c>
      <c r="P4765" s="12" t="s">
        <v>46</v>
      </c>
      <c r="Q4765" s="12" t="s">
        <v>47</v>
      </c>
      <c r="R4765" s="12" t="s">
        <v>780</v>
      </c>
      <c r="S4765" s="13">
        <v>196570711566</v>
      </c>
      <c r="T4765" s="12" t="s">
        <v>49</v>
      </c>
      <c r="U4765" s="13">
        <v>25</v>
      </c>
      <c r="V4765" s="12" t="s">
        <v>50</v>
      </c>
      <c r="W4765" s="12" t="s">
        <v>455</v>
      </c>
      <c r="X4765" s="14"/>
      <c r="Y4765" s="12" t="s">
        <v>71</v>
      </c>
      <c r="Z4765" s="12" t="s">
        <v>92</v>
      </c>
      <c r="AA4765" s="12" t="s">
        <v>354</v>
      </c>
      <c r="AB4765" s="12" t="s">
        <v>55</v>
      </c>
      <c r="AC4765" s="15">
        <v>19.05</v>
      </c>
      <c r="AD4765" s="15">
        <f>AC4765*AG4765</f>
        <v>19.05</v>
      </c>
      <c r="AE4765" s="15">
        <v>40</v>
      </c>
      <c r="AF4765" s="15">
        <f>AE4765*AG4765</f>
        <v>40</v>
      </c>
      <c r="AG4765" s="16">
        <v>1</v>
      </c>
    </row>
    <row r="4766" spans="1:33" ht="15" customHeight="1" x14ac:dyDescent="0.2">
      <c r="A4766" s="11" t="str">
        <f>HYPERLINK("https://assets.vans.eu/images/VN0A5HZKENY-HERO/1","VN0A5HZKENY1")</f>
        <v>VN0A5HZKENY1</v>
      </c>
      <c r="B4766" s="12" t="s">
        <v>16649</v>
      </c>
      <c r="C4766" s="12" t="s">
        <v>695</v>
      </c>
      <c r="D4766" s="12" t="s">
        <v>16650</v>
      </c>
      <c r="E4766" s="12" t="s">
        <v>16651</v>
      </c>
      <c r="F4766" s="13">
        <v>105</v>
      </c>
      <c r="G4766" s="12" t="s">
        <v>16652</v>
      </c>
      <c r="H4766" s="12" t="s">
        <v>38</v>
      </c>
      <c r="I4766" s="12" t="s">
        <v>159</v>
      </c>
      <c r="J4766" s="12" t="s">
        <v>160</v>
      </c>
      <c r="K4766" s="12" t="s">
        <v>199</v>
      </c>
      <c r="L4766" s="12" t="s">
        <v>350</v>
      </c>
      <c r="M4766" s="12" t="s">
        <v>43</v>
      </c>
      <c r="N4766" s="12" t="s">
        <v>161</v>
      </c>
      <c r="O4766" s="12" t="s">
        <v>16653</v>
      </c>
      <c r="P4766" s="12" t="s">
        <v>46</v>
      </c>
      <c r="Q4766" s="12" t="s">
        <v>47</v>
      </c>
      <c r="R4766" s="12" t="s">
        <v>343</v>
      </c>
      <c r="S4766" s="13">
        <v>196244730282</v>
      </c>
      <c r="T4766" s="12" t="s">
        <v>49</v>
      </c>
      <c r="U4766" s="13">
        <v>44</v>
      </c>
      <c r="V4766" s="12" t="s">
        <v>50</v>
      </c>
      <c r="W4766" s="12" t="s">
        <v>51</v>
      </c>
      <c r="X4766" s="14"/>
      <c r="Y4766" s="12" t="s">
        <v>71</v>
      </c>
      <c r="Z4766" s="12" t="s">
        <v>92</v>
      </c>
      <c r="AA4766" s="12" t="s">
        <v>354</v>
      </c>
      <c r="AB4766" s="12" t="s">
        <v>888</v>
      </c>
      <c r="AC4766" s="15">
        <v>45.25</v>
      </c>
      <c r="AD4766" s="15">
        <f>AC4766*AG4766</f>
        <v>45.25</v>
      </c>
      <c r="AE4766" s="15">
        <v>95</v>
      </c>
      <c r="AF4766" s="15">
        <f>AE4766*AG4766</f>
        <v>95</v>
      </c>
      <c r="AG4766" s="16">
        <v>1</v>
      </c>
    </row>
    <row r="4767" spans="1:33" ht="15" customHeight="1" x14ac:dyDescent="0.2">
      <c r="A4767" s="11" t="str">
        <f t="shared" ref="A4767:A4769" si="1467">HYPERLINK("https://assets.vans.eu/images/VN0A5HZY6I6-HERO/1","VN0A5HZY6I61")</f>
        <v>VN0A5HZY6I61</v>
      </c>
      <c r="B4767" s="12" t="s">
        <v>16654</v>
      </c>
      <c r="C4767" s="12" t="s">
        <v>6060</v>
      </c>
      <c r="D4767" s="12" t="s">
        <v>16655</v>
      </c>
      <c r="E4767" s="12" t="s">
        <v>16656</v>
      </c>
      <c r="F4767" s="13">
        <v>45</v>
      </c>
      <c r="G4767" s="14"/>
      <c r="H4767" s="12" t="s">
        <v>38</v>
      </c>
      <c r="I4767" s="12" t="s">
        <v>113</v>
      </c>
      <c r="J4767" s="12" t="s">
        <v>114</v>
      </c>
      <c r="K4767" s="12" t="s">
        <v>82</v>
      </c>
      <c r="L4767" s="14"/>
      <c r="M4767" s="12" t="s">
        <v>43</v>
      </c>
      <c r="N4767" s="12" t="s">
        <v>161</v>
      </c>
      <c r="O4767" s="12" t="s">
        <v>16657</v>
      </c>
      <c r="P4767" s="12" t="s">
        <v>46</v>
      </c>
      <c r="Q4767" s="12" t="s">
        <v>47</v>
      </c>
      <c r="R4767" s="12" t="s">
        <v>948</v>
      </c>
      <c r="S4767" s="13">
        <v>195438549952</v>
      </c>
      <c r="T4767" s="12" t="s">
        <v>49</v>
      </c>
      <c r="U4767" s="13">
        <v>36</v>
      </c>
      <c r="V4767" s="12" t="s">
        <v>50</v>
      </c>
      <c r="W4767" s="12" t="s">
        <v>186</v>
      </c>
      <c r="X4767" s="14"/>
      <c r="Y4767" s="12" t="s">
        <v>91</v>
      </c>
      <c r="Z4767" s="12" t="s">
        <v>165</v>
      </c>
      <c r="AA4767" s="14"/>
      <c r="AB4767" s="14"/>
      <c r="AC4767" s="15">
        <v>52.3</v>
      </c>
      <c r="AD4767" s="15">
        <f>AC4767*AG4767</f>
        <v>52.3</v>
      </c>
      <c r="AE4767" s="15">
        <v>115</v>
      </c>
      <c r="AF4767" s="15">
        <f>AE4767*AG4767</f>
        <v>115</v>
      </c>
      <c r="AG4767" s="16">
        <v>1</v>
      </c>
    </row>
    <row r="4768" spans="1:33" ht="15" customHeight="1" x14ac:dyDescent="0.2">
      <c r="A4768" s="11" t="str">
        <f t="shared" si="1467"/>
        <v>VN0A5HZY6I61</v>
      </c>
      <c r="B4768" s="12" t="s">
        <v>16658</v>
      </c>
      <c r="C4768" s="12" t="s">
        <v>6060</v>
      </c>
      <c r="D4768" s="12" t="s">
        <v>16655</v>
      </c>
      <c r="E4768" s="12" t="s">
        <v>16659</v>
      </c>
      <c r="F4768" s="13">
        <v>60</v>
      </c>
      <c r="G4768" s="14"/>
      <c r="H4768" s="12" t="s">
        <v>38</v>
      </c>
      <c r="I4768" s="12" t="s">
        <v>113</v>
      </c>
      <c r="J4768" s="12" t="s">
        <v>114</v>
      </c>
      <c r="K4768" s="12" t="s">
        <v>82</v>
      </c>
      <c r="L4768" s="14"/>
      <c r="M4768" s="12" t="s">
        <v>43</v>
      </c>
      <c r="N4768" s="12" t="s">
        <v>161</v>
      </c>
      <c r="O4768" s="12" t="s">
        <v>16660</v>
      </c>
      <c r="P4768" s="12" t="s">
        <v>46</v>
      </c>
      <c r="Q4768" s="12" t="s">
        <v>47</v>
      </c>
      <c r="R4768" s="12" t="s">
        <v>948</v>
      </c>
      <c r="S4768" s="13">
        <v>195438550552</v>
      </c>
      <c r="T4768" s="12" t="s">
        <v>49</v>
      </c>
      <c r="U4768" s="13">
        <v>38</v>
      </c>
      <c r="V4768" s="12" t="s">
        <v>50</v>
      </c>
      <c r="W4768" s="12" t="s">
        <v>186</v>
      </c>
      <c r="X4768" s="14"/>
      <c r="Y4768" s="12" t="s">
        <v>91</v>
      </c>
      <c r="Z4768" s="12" t="s">
        <v>165</v>
      </c>
      <c r="AA4768" s="14"/>
      <c r="AB4768" s="14"/>
      <c r="AC4768" s="15">
        <v>52.3</v>
      </c>
      <c r="AD4768" s="15">
        <f>AC4768*AG4768</f>
        <v>52.3</v>
      </c>
      <c r="AE4768" s="15">
        <v>115</v>
      </c>
      <c r="AF4768" s="15">
        <f>AE4768*AG4768</f>
        <v>115</v>
      </c>
      <c r="AG4768" s="16">
        <v>1</v>
      </c>
    </row>
    <row r="4769" spans="1:33" ht="15" customHeight="1" x14ac:dyDescent="0.2">
      <c r="A4769" s="11" t="str">
        <f t="shared" si="1467"/>
        <v>VN0A5HZY6I61</v>
      </c>
      <c r="B4769" s="12" t="s">
        <v>16661</v>
      </c>
      <c r="C4769" s="12" t="s">
        <v>6060</v>
      </c>
      <c r="D4769" s="12" t="s">
        <v>16655</v>
      </c>
      <c r="E4769" s="12" t="s">
        <v>16662</v>
      </c>
      <c r="F4769" s="13">
        <v>75</v>
      </c>
      <c r="G4769" s="14"/>
      <c r="H4769" s="12" t="s">
        <v>38</v>
      </c>
      <c r="I4769" s="12" t="s">
        <v>113</v>
      </c>
      <c r="J4769" s="12" t="s">
        <v>114</v>
      </c>
      <c r="K4769" s="12" t="s">
        <v>82</v>
      </c>
      <c r="L4769" s="14"/>
      <c r="M4769" s="12" t="s">
        <v>43</v>
      </c>
      <c r="N4769" s="12" t="s">
        <v>161</v>
      </c>
      <c r="O4769" s="12" t="s">
        <v>16663</v>
      </c>
      <c r="P4769" s="12" t="s">
        <v>46</v>
      </c>
      <c r="Q4769" s="12" t="s">
        <v>47</v>
      </c>
      <c r="R4769" s="12" t="s">
        <v>948</v>
      </c>
      <c r="S4769" s="13">
        <v>195438551160</v>
      </c>
      <c r="T4769" s="12" t="s">
        <v>49</v>
      </c>
      <c r="U4769" s="13">
        <v>40</v>
      </c>
      <c r="V4769" s="12" t="s">
        <v>50</v>
      </c>
      <c r="W4769" s="12" t="s">
        <v>186</v>
      </c>
      <c r="X4769" s="14"/>
      <c r="Y4769" s="12" t="s">
        <v>91</v>
      </c>
      <c r="Z4769" s="12" t="s">
        <v>165</v>
      </c>
      <c r="AA4769" s="14"/>
      <c r="AB4769" s="14"/>
      <c r="AC4769" s="15">
        <v>52.3</v>
      </c>
      <c r="AD4769" s="15">
        <f>AC4769*AG4769</f>
        <v>52.3</v>
      </c>
      <c r="AE4769" s="15">
        <v>115</v>
      </c>
      <c r="AF4769" s="15">
        <f>AE4769*AG4769</f>
        <v>115</v>
      </c>
      <c r="AG4769" s="16">
        <v>1</v>
      </c>
    </row>
    <row r="4770" spans="1:33" ht="15" customHeight="1" x14ac:dyDescent="0.2">
      <c r="A4770" s="11" t="str">
        <f t="shared" si="658"/>
        <v>VN0A5HZY6J61</v>
      </c>
      <c r="B4770" s="12" t="s">
        <v>16664</v>
      </c>
      <c r="C4770" s="12" t="s">
        <v>6060</v>
      </c>
      <c r="D4770" s="12" t="s">
        <v>6061</v>
      </c>
      <c r="E4770" s="12" t="s">
        <v>16665</v>
      </c>
      <c r="F4770" s="13">
        <v>50</v>
      </c>
      <c r="G4770" s="14"/>
      <c r="H4770" s="12" t="s">
        <v>38</v>
      </c>
      <c r="I4770" s="12" t="s">
        <v>113</v>
      </c>
      <c r="J4770" s="12" t="s">
        <v>114</v>
      </c>
      <c r="K4770" s="12" t="s">
        <v>82</v>
      </c>
      <c r="L4770" s="14"/>
      <c r="M4770" s="12" t="s">
        <v>43</v>
      </c>
      <c r="N4770" s="12" t="s">
        <v>161</v>
      </c>
      <c r="O4770" s="12" t="s">
        <v>16666</v>
      </c>
      <c r="P4770" s="12" t="s">
        <v>46</v>
      </c>
      <c r="Q4770" s="12" t="s">
        <v>47</v>
      </c>
      <c r="R4770" s="12" t="s">
        <v>948</v>
      </c>
      <c r="S4770" s="13">
        <v>195438549730</v>
      </c>
      <c r="T4770" s="12" t="s">
        <v>49</v>
      </c>
      <c r="U4770" s="13">
        <v>36.5</v>
      </c>
      <c r="V4770" s="12" t="s">
        <v>50</v>
      </c>
      <c r="W4770" s="12" t="s">
        <v>455</v>
      </c>
      <c r="X4770" s="14"/>
      <c r="Y4770" s="12" t="s">
        <v>91</v>
      </c>
      <c r="Z4770" s="12" t="s">
        <v>165</v>
      </c>
      <c r="AA4770" s="14"/>
      <c r="AB4770" s="14"/>
      <c r="AC4770" s="15">
        <v>52.3</v>
      </c>
      <c r="AD4770" s="15">
        <f>AC4770*AG4770</f>
        <v>52.3</v>
      </c>
      <c r="AE4770" s="15">
        <v>115</v>
      </c>
      <c r="AF4770" s="15">
        <f>AE4770*AG4770</f>
        <v>115</v>
      </c>
      <c r="AG4770" s="16">
        <v>1</v>
      </c>
    </row>
    <row r="4771" spans="1:33" ht="15" customHeight="1" x14ac:dyDescent="0.2">
      <c r="A4771" s="11" t="str">
        <f>HYPERLINK("https://assets.vans.eu/images/VN0A5HZYA04-HERO/1","VN0A5HZYA041")</f>
        <v>VN0A5HZYA041</v>
      </c>
      <c r="B4771" s="12" t="s">
        <v>16667</v>
      </c>
      <c r="C4771" s="12" t="s">
        <v>6060</v>
      </c>
      <c r="D4771" s="12" t="s">
        <v>16668</v>
      </c>
      <c r="E4771" s="12" t="s">
        <v>16669</v>
      </c>
      <c r="F4771" s="13">
        <v>100</v>
      </c>
      <c r="G4771" s="14"/>
      <c r="H4771" s="12" t="s">
        <v>38</v>
      </c>
      <c r="I4771" s="12" t="s">
        <v>159</v>
      </c>
      <c r="J4771" s="12" t="s">
        <v>160</v>
      </c>
      <c r="K4771" s="12" t="s">
        <v>82</v>
      </c>
      <c r="L4771" s="14"/>
      <c r="M4771" s="12" t="s">
        <v>43</v>
      </c>
      <c r="N4771" s="12" t="s">
        <v>101</v>
      </c>
      <c r="O4771" s="12" t="s">
        <v>16670</v>
      </c>
      <c r="P4771" s="12" t="s">
        <v>46</v>
      </c>
      <c r="Q4771" s="12" t="s">
        <v>47</v>
      </c>
      <c r="R4771" s="12" t="s">
        <v>1660</v>
      </c>
      <c r="S4771" s="13">
        <v>195438551672</v>
      </c>
      <c r="T4771" s="12" t="s">
        <v>49</v>
      </c>
      <c r="U4771" s="13">
        <v>43</v>
      </c>
      <c r="V4771" s="12" t="s">
        <v>50</v>
      </c>
      <c r="W4771" s="12" t="s">
        <v>51</v>
      </c>
      <c r="X4771" s="14"/>
      <c r="Y4771" s="12" t="s">
        <v>91</v>
      </c>
      <c r="Z4771" s="12" t="s">
        <v>165</v>
      </c>
      <c r="AA4771" s="14"/>
      <c r="AB4771" s="14"/>
      <c r="AC4771" s="15">
        <v>54.55</v>
      </c>
      <c r="AD4771" s="15">
        <f>AC4771*AG4771</f>
        <v>54.55</v>
      </c>
      <c r="AE4771" s="15">
        <v>120</v>
      </c>
      <c r="AF4771" s="15">
        <f>AE4771*AG4771</f>
        <v>120</v>
      </c>
      <c r="AG4771" s="16">
        <v>1</v>
      </c>
    </row>
    <row r="4772" spans="1:33" ht="15" customHeight="1" x14ac:dyDescent="0.2">
      <c r="A4772" s="11" t="str">
        <f t="shared" ref="A4772:A4773" si="1468">HYPERLINK("https://assets.vans.eu/images/VN0A5HZYZLD-HERO/1","VN0A5HZYZLD1")</f>
        <v>VN0A5HZYZLD1</v>
      </c>
      <c r="B4772" s="12" t="s">
        <v>16671</v>
      </c>
      <c r="C4772" s="12" t="s">
        <v>6060</v>
      </c>
      <c r="D4772" s="12" t="s">
        <v>16672</v>
      </c>
      <c r="E4772" s="12" t="s">
        <v>16673</v>
      </c>
      <c r="F4772" s="13">
        <v>80</v>
      </c>
      <c r="G4772" s="14"/>
      <c r="H4772" s="12" t="s">
        <v>38</v>
      </c>
      <c r="I4772" s="12" t="s">
        <v>113</v>
      </c>
      <c r="J4772" s="12" t="s">
        <v>114</v>
      </c>
      <c r="K4772" s="12" t="s">
        <v>82</v>
      </c>
      <c r="L4772" s="12" t="s">
        <v>260</v>
      </c>
      <c r="M4772" s="12" t="s">
        <v>43</v>
      </c>
      <c r="N4772" s="12" t="s">
        <v>2457</v>
      </c>
      <c r="O4772" s="12" t="s">
        <v>16674</v>
      </c>
      <c r="P4772" s="12" t="s">
        <v>46</v>
      </c>
      <c r="Q4772" s="12" t="s">
        <v>47</v>
      </c>
      <c r="R4772" s="12" t="s">
        <v>948</v>
      </c>
      <c r="S4772" s="13">
        <v>196574885430</v>
      </c>
      <c r="T4772" s="12" t="s">
        <v>49</v>
      </c>
      <c r="U4772" s="13">
        <v>40.5</v>
      </c>
      <c r="V4772" s="12" t="s">
        <v>50</v>
      </c>
      <c r="W4772" s="12" t="s">
        <v>262</v>
      </c>
      <c r="X4772" s="14"/>
      <c r="Y4772" s="12" t="s">
        <v>91</v>
      </c>
      <c r="Z4772" s="12" t="s">
        <v>165</v>
      </c>
      <c r="AA4772" s="14"/>
      <c r="AB4772" s="12" t="s">
        <v>264</v>
      </c>
      <c r="AC4772" s="15">
        <v>52.3</v>
      </c>
      <c r="AD4772" s="15">
        <f>AC4772*AG4772</f>
        <v>52.3</v>
      </c>
      <c r="AE4772" s="15">
        <v>115</v>
      </c>
      <c r="AF4772" s="15">
        <f>AE4772*AG4772</f>
        <v>115</v>
      </c>
      <c r="AG4772" s="16">
        <v>1</v>
      </c>
    </row>
    <row r="4773" spans="1:33" ht="15" customHeight="1" x14ac:dyDescent="0.2">
      <c r="A4773" s="11" t="str">
        <f t="shared" si="1468"/>
        <v>VN0A5HZYZLD1</v>
      </c>
      <c r="B4773" s="12" t="s">
        <v>16675</v>
      </c>
      <c r="C4773" s="12" t="s">
        <v>6060</v>
      </c>
      <c r="D4773" s="12" t="s">
        <v>16672</v>
      </c>
      <c r="E4773" s="12" t="s">
        <v>16676</v>
      </c>
      <c r="F4773" s="13">
        <v>85</v>
      </c>
      <c r="G4773" s="14"/>
      <c r="H4773" s="12" t="s">
        <v>38</v>
      </c>
      <c r="I4773" s="12" t="s">
        <v>113</v>
      </c>
      <c r="J4773" s="12" t="s">
        <v>114</v>
      </c>
      <c r="K4773" s="12" t="s">
        <v>82</v>
      </c>
      <c r="L4773" s="12" t="s">
        <v>260</v>
      </c>
      <c r="M4773" s="12" t="s">
        <v>43</v>
      </c>
      <c r="N4773" s="12" t="s">
        <v>2457</v>
      </c>
      <c r="O4773" s="12" t="s">
        <v>16677</v>
      </c>
      <c r="P4773" s="12" t="s">
        <v>46</v>
      </c>
      <c r="Q4773" s="12" t="s">
        <v>47</v>
      </c>
      <c r="R4773" s="12" t="s">
        <v>948</v>
      </c>
      <c r="S4773" s="13">
        <v>196574885607</v>
      </c>
      <c r="T4773" s="12" t="s">
        <v>49</v>
      </c>
      <c r="U4773" s="13">
        <v>41</v>
      </c>
      <c r="V4773" s="12" t="s">
        <v>50</v>
      </c>
      <c r="W4773" s="12" t="s">
        <v>262</v>
      </c>
      <c r="X4773" s="14"/>
      <c r="Y4773" s="12" t="s">
        <v>91</v>
      </c>
      <c r="Z4773" s="12" t="s">
        <v>165</v>
      </c>
      <c r="AA4773" s="14"/>
      <c r="AB4773" s="12" t="s">
        <v>264</v>
      </c>
      <c r="AC4773" s="15">
        <v>52.3</v>
      </c>
      <c r="AD4773" s="15">
        <f>AC4773*AG4773</f>
        <v>52.3</v>
      </c>
      <c r="AE4773" s="15">
        <v>115</v>
      </c>
      <c r="AF4773" s="15">
        <f>AE4773*AG4773</f>
        <v>115</v>
      </c>
      <c r="AG4773" s="16">
        <v>1</v>
      </c>
    </row>
    <row r="4774" spans="1:33" ht="15" customHeight="1" x14ac:dyDescent="0.2">
      <c r="A4774" s="11" t="str">
        <f>HYPERLINK("https://assets.vans.eu/images/VN0A5I111OJ-HERO/1","VN0A5I111OJ1")</f>
        <v>VN0A5I111OJ1</v>
      </c>
      <c r="B4774" s="12" t="s">
        <v>16678</v>
      </c>
      <c r="C4774" s="12" t="s">
        <v>16679</v>
      </c>
      <c r="D4774" s="12" t="s">
        <v>9223</v>
      </c>
      <c r="E4774" s="12" t="s">
        <v>16680</v>
      </c>
      <c r="F4774" s="13">
        <v>130</v>
      </c>
      <c r="G4774" s="14"/>
      <c r="H4774" s="12" t="s">
        <v>38</v>
      </c>
      <c r="I4774" s="12" t="s">
        <v>159</v>
      </c>
      <c r="J4774" s="12" t="s">
        <v>160</v>
      </c>
      <c r="K4774" s="12" t="s">
        <v>82</v>
      </c>
      <c r="L4774" s="12" t="s">
        <v>42</v>
      </c>
      <c r="M4774" s="12" t="s">
        <v>43</v>
      </c>
      <c r="N4774" s="12" t="s">
        <v>2457</v>
      </c>
      <c r="O4774" s="12" t="s">
        <v>16681</v>
      </c>
      <c r="P4774" s="12" t="s">
        <v>46</v>
      </c>
      <c r="Q4774" s="12" t="s">
        <v>47</v>
      </c>
      <c r="R4774" s="12" t="s">
        <v>1660</v>
      </c>
      <c r="S4774" s="13">
        <v>196244798367</v>
      </c>
      <c r="T4774" s="12" t="s">
        <v>49</v>
      </c>
      <c r="U4774" s="13">
        <v>47</v>
      </c>
      <c r="V4774" s="12" t="s">
        <v>50</v>
      </c>
      <c r="W4774" s="12" t="s">
        <v>51</v>
      </c>
      <c r="X4774" s="14"/>
      <c r="Y4774" s="12" t="s">
        <v>91</v>
      </c>
      <c r="Z4774" s="12" t="s">
        <v>92</v>
      </c>
      <c r="AA4774" s="12" t="s">
        <v>3224</v>
      </c>
      <c r="AB4774" s="12" t="s">
        <v>55</v>
      </c>
      <c r="AC4774" s="15">
        <v>84.1</v>
      </c>
      <c r="AD4774" s="15">
        <f>AC4774*AG4774</f>
        <v>84.1</v>
      </c>
      <c r="AE4774" s="15">
        <v>185</v>
      </c>
      <c r="AF4774" s="15">
        <f>AE4774*AG4774</f>
        <v>185</v>
      </c>
      <c r="AG4774" s="16">
        <v>1</v>
      </c>
    </row>
    <row r="4775" spans="1:33" ht="15" customHeight="1" x14ac:dyDescent="0.2">
      <c r="A4775" s="11" t="str">
        <f>HYPERLINK("https://assets.vans.eu/images/VN0A5I12KOU-HERO/1","VN0A5I12KOU1")</f>
        <v>VN0A5I12KOU1</v>
      </c>
      <c r="B4775" s="12" t="s">
        <v>16682</v>
      </c>
      <c r="C4775" s="12" t="s">
        <v>16683</v>
      </c>
      <c r="D4775" s="12" t="s">
        <v>4469</v>
      </c>
      <c r="E4775" s="12" t="s">
        <v>16684</v>
      </c>
      <c r="F4775" s="13">
        <v>130</v>
      </c>
      <c r="G4775" s="12" t="s">
        <v>16685</v>
      </c>
      <c r="H4775" s="12" t="s">
        <v>38</v>
      </c>
      <c r="I4775" s="12" t="s">
        <v>16504</v>
      </c>
      <c r="J4775" s="12" t="s">
        <v>16505</v>
      </c>
      <c r="K4775" s="12" t="s">
        <v>82</v>
      </c>
      <c r="L4775" s="14"/>
      <c r="M4775" s="12" t="s">
        <v>43</v>
      </c>
      <c r="N4775" s="12" t="s">
        <v>6205</v>
      </c>
      <c r="O4775" s="12" t="s">
        <v>16686</v>
      </c>
      <c r="P4775" s="12" t="s">
        <v>46</v>
      </c>
      <c r="Q4775" s="12" t="s">
        <v>47</v>
      </c>
      <c r="R4775" s="12" t="s">
        <v>2123</v>
      </c>
      <c r="S4775" s="13">
        <v>196244800169</v>
      </c>
      <c r="T4775" s="12" t="s">
        <v>49</v>
      </c>
      <c r="U4775" s="13">
        <v>47</v>
      </c>
      <c r="V4775" s="12" t="s">
        <v>50</v>
      </c>
      <c r="W4775" s="12" t="s">
        <v>51</v>
      </c>
      <c r="X4775" s="14"/>
      <c r="Y4775" s="12" t="s">
        <v>91</v>
      </c>
      <c r="Z4775" s="12" t="s">
        <v>165</v>
      </c>
      <c r="AA4775" s="14"/>
      <c r="AB4775" s="13">
        <v>0</v>
      </c>
      <c r="AC4775" s="15">
        <v>50</v>
      </c>
      <c r="AD4775" s="15">
        <f>AC4775*AG4775</f>
        <v>50</v>
      </c>
      <c r="AE4775" s="15">
        <v>110</v>
      </c>
      <c r="AF4775" s="15">
        <f>AE4775*AG4775</f>
        <v>110</v>
      </c>
      <c r="AG4775" s="16">
        <v>1</v>
      </c>
    </row>
    <row r="4776" spans="1:33" ht="15" customHeight="1" x14ac:dyDescent="0.2">
      <c r="A4776" s="11" t="str">
        <f t="shared" ref="A4776:A4777" si="1469">HYPERLINK("https://assets.vans.eu/images/VN0A5JIC39L-HERO/1","VN0A5JIC39L1")</f>
        <v>VN0A5JIC39L1</v>
      </c>
      <c r="B4776" s="12" t="s">
        <v>16687</v>
      </c>
      <c r="C4776" s="12" t="s">
        <v>6065</v>
      </c>
      <c r="D4776" s="12" t="s">
        <v>16688</v>
      </c>
      <c r="E4776" s="12" t="s">
        <v>16689</v>
      </c>
      <c r="F4776" s="13">
        <v>70</v>
      </c>
      <c r="G4776" s="14"/>
      <c r="H4776" s="12" t="s">
        <v>38</v>
      </c>
      <c r="I4776" s="12" t="s">
        <v>159</v>
      </c>
      <c r="J4776" s="12" t="s">
        <v>341</v>
      </c>
      <c r="K4776" s="12" t="s">
        <v>199</v>
      </c>
      <c r="L4776" s="14"/>
      <c r="M4776" s="12" t="s">
        <v>43</v>
      </c>
      <c r="N4776" s="12" t="s">
        <v>84</v>
      </c>
      <c r="O4776" s="12" t="s">
        <v>16690</v>
      </c>
      <c r="P4776" s="12" t="s">
        <v>46</v>
      </c>
      <c r="Q4776" s="12" t="s">
        <v>47</v>
      </c>
      <c r="R4776" s="12" t="s">
        <v>163</v>
      </c>
      <c r="S4776" s="13">
        <v>197804575558</v>
      </c>
      <c r="T4776" s="12" t="s">
        <v>49</v>
      </c>
      <c r="U4776" s="13">
        <v>39</v>
      </c>
      <c r="V4776" s="12" t="s">
        <v>50</v>
      </c>
      <c r="W4776" s="12" t="s">
        <v>51</v>
      </c>
      <c r="X4776" s="14"/>
      <c r="Y4776" s="14"/>
      <c r="Z4776" s="14"/>
      <c r="AA4776" s="14"/>
      <c r="AB4776" s="14"/>
      <c r="AC4776" s="15">
        <v>40.950000000000003</v>
      </c>
      <c r="AD4776" s="15">
        <f>AC4776*AG4776</f>
        <v>40.950000000000003</v>
      </c>
      <c r="AE4776" s="15">
        <v>90</v>
      </c>
      <c r="AF4776" s="15">
        <f>AE4776*AG4776</f>
        <v>90</v>
      </c>
      <c r="AG4776" s="16">
        <v>1</v>
      </c>
    </row>
    <row r="4777" spans="1:33" ht="15" customHeight="1" x14ac:dyDescent="0.2">
      <c r="A4777" s="11" t="str">
        <f t="shared" si="1469"/>
        <v>VN0A5JIC39L1</v>
      </c>
      <c r="B4777" s="12" t="s">
        <v>16691</v>
      </c>
      <c r="C4777" s="12" t="s">
        <v>6065</v>
      </c>
      <c r="D4777" s="12" t="s">
        <v>16688</v>
      </c>
      <c r="E4777" s="12" t="s">
        <v>16692</v>
      </c>
      <c r="F4777" s="13">
        <v>90</v>
      </c>
      <c r="G4777" s="14"/>
      <c r="H4777" s="12" t="s">
        <v>38</v>
      </c>
      <c r="I4777" s="12" t="s">
        <v>159</v>
      </c>
      <c r="J4777" s="12" t="s">
        <v>341</v>
      </c>
      <c r="K4777" s="12" t="s">
        <v>199</v>
      </c>
      <c r="L4777" s="14"/>
      <c r="M4777" s="12" t="s">
        <v>43</v>
      </c>
      <c r="N4777" s="12" t="s">
        <v>84</v>
      </c>
      <c r="O4777" s="12" t="s">
        <v>16693</v>
      </c>
      <c r="P4777" s="12" t="s">
        <v>46</v>
      </c>
      <c r="Q4777" s="12" t="s">
        <v>47</v>
      </c>
      <c r="R4777" s="12" t="s">
        <v>163</v>
      </c>
      <c r="S4777" s="13">
        <v>197804575800</v>
      </c>
      <c r="T4777" s="12" t="s">
        <v>49</v>
      </c>
      <c r="U4777" s="13">
        <v>42</v>
      </c>
      <c r="V4777" s="12" t="s">
        <v>50</v>
      </c>
      <c r="W4777" s="12" t="s">
        <v>51</v>
      </c>
      <c r="X4777" s="14"/>
      <c r="Y4777" s="14"/>
      <c r="Z4777" s="14"/>
      <c r="AA4777" s="14"/>
      <c r="AB4777" s="14"/>
      <c r="AC4777" s="15">
        <v>40.950000000000003</v>
      </c>
      <c r="AD4777" s="15">
        <f>AC4777*AG4777</f>
        <v>40.950000000000003</v>
      </c>
      <c r="AE4777" s="15">
        <v>90</v>
      </c>
      <c r="AF4777" s="15">
        <f>AE4777*AG4777</f>
        <v>90</v>
      </c>
      <c r="AG4777" s="16">
        <v>1</v>
      </c>
    </row>
    <row r="4778" spans="1:33" ht="15" customHeight="1" x14ac:dyDescent="0.2">
      <c r="A4778" s="11" t="str">
        <f t="shared" si="1140"/>
        <v>VN0A5JICNUT1</v>
      </c>
      <c r="B4778" s="12" t="s">
        <v>16694</v>
      </c>
      <c r="C4778" s="12" t="s">
        <v>6065</v>
      </c>
      <c r="D4778" s="12" t="s">
        <v>6066</v>
      </c>
      <c r="E4778" s="12" t="s">
        <v>16695</v>
      </c>
      <c r="F4778" s="13">
        <v>70</v>
      </c>
      <c r="G4778" s="14"/>
      <c r="H4778" s="12" t="s">
        <v>38</v>
      </c>
      <c r="I4778" s="12" t="s">
        <v>159</v>
      </c>
      <c r="J4778" s="12" t="s">
        <v>341</v>
      </c>
      <c r="K4778" s="12" t="s">
        <v>199</v>
      </c>
      <c r="L4778" s="14"/>
      <c r="M4778" s="12" t="s">
        <v>43</v>
      </c>
      <c r="N4778" s="12" t="s">
        <v>84</v>
      </c>
      <c r="O4778" s="12" t="s">
        <v>16696</v>
      </c>
      <c r="P4778" s="12" t="s">
        <v>46</v>
      </c>
      <c r="Q4778" s="12" t="s">
        <v>47</v>
      </c>
      <c r="R4778" s="12" t="s">
        <v>163</v>
      </c>
      <c r="S4778" s="13">
        <v>197804575503</v>
      </c>
      <c r="T4778" s="12" t="s">
        <v>49</v>
      </c>
      <c r="U4778" s="13">
        <v>39</v>
      </c>
      <c r="V4778" s="12" t="s">
        <v>50</v>
      </c>
      <c r="W4778" s="12" t="s">
        <v>284</v>
      </c>
      <c r="X4778" s="14"/>
      <c r="Y4778" s="14"/>
      <c r="Z4778" s="14"/>
      <c r="AA4778" s="14"/>
      <c r="AB4778" s="14"/>
      <c r="AC4778" s="15">
        <v>40.950000000000003</v>
      </c>
      <c r="AD4778" s="15">
        <f>AC4778*AG4778</f>
        <v>40.950000000000003</v>
      </c>
      <c r="AE4778" s="15">
        <v>90</v>
      </c>
      <c r="AF4778" s="15">
        <f>AE4778*AG4778</f>
        <v>90</v>
      </c>
      <c r="AG4778" s="16">
        <v>1</v>
      </c>
    </row>
    <row r="4779" spans="1:33" ht="15" customHeight="1" x14ac:dyDescent="0.2">
      <c r="A4779" s="11" t="str">
        <f>HYPERLINK("https://assets.vans.eu/images/VN0A5JICNUT-HERO/1","VN0A5JICNUT1")</f>
        <v>VN0A5JICNUT1</v>
      </c>
      <c r="B4779" s="12" t="s">
        <v>16697</v>
      </c>
      <c r="C4779" s="12" t="s">
        <v>6065</v>
      </c>
      <c r="D4779" s="12" t="s">
        <v>6066</v>
      </c>
      <c r="E4779" s="12" t="s">
        <v>16698</v>
      </c>
      <c r="F4779" s="13">
        <v>105</v>
      </c>
      <c r="G4779" s="14"/>
      <c r="H4779" s="12" t="s">
        <v>38</v>
      </c>
      <c r="I4779" s="12" t="s">
        <v>159</v>
      </c>
      <c r="J4779" s="12" t="s">
        <v>341</v>
      </c>
      <c r="K4779" s="12" t="s">
        <v>199</v>
      </c>
      <c r="L4779" s="14"/>
      <c r="M4779" s="12" t="s">
        <v>43</v>
      </c>
      <c r="N4779" s="12" t="s">
        <v>84</v>
      </c>
      <c r="O4779" s="12" t="s">
        <v>16699</v>
      </c>
      <c r="P4779" s="12" t="s">
        <v>46</v>
      </c>
      <c r="Q4779" s="12" t="s">
        <v>47</v>
      </c>
      <c r="R4779" s="12" t="s">
        <v>163</v>
      </c>
      <c r="S4779" s="13">
        <v>197804576005</v>
      </c>
      <c r="T4779" s="12" t="s">
        <v>49</v>
      </c>
      <c r="U4779" s="13">
        <v>44</v>
      </c>
      <c r="V4779" s="12" t="s">
        <v>50</v>
      </c>
      <c r="W4779" s="12" t="s">
        <v>284</v>
      </c>
      <c r="X4779" s="14"/>
      <c r="Y4779" s="14"/>
      <c r="Z4779" s="14"/>
      <c r="AA4779" s="14"/>
      <c r="AB4779" s="14"/>
      <c r="AC4779" s="15">
        <v>40.950000000000003</v>
      </c>
      <c r="AD4779" s="15">
        <f>AC4779*AG4779</f>
        <v>40.950000000000003</v>
      </c>
      <c r="AE4779" s="15">
        <v>90</v>
      </c>
      <c r="AF4779" s="15">
        <f>AE4779*AG4779</f>
        <v>90</v>
      </c>
      <c r="AG4779" s="16">
        <v>1</v>
      </c>
    </row>
    <row r="4780" spans="1:33" ht="15" customHeight="1" x14ac:dyDescent="0.2">
      <c r="A4780" s="11" t="str">
        <f>HYPERLINK("https://assets.vans.eu/images/VN0A5JLGBMA-HERO/1","VN0A5JLGBMA1")</f>
        <v>VN0A5JLGBMA1</v>
      </c>
      <c r="B4780" s="12" t="s">
        <v>16700</v>
      </c>
      <c r="C4780" s="12" t="s">
        <v>3316</v>
      </c>
      <c r="D4780" s="12" t="s">
        <v>919</v>
      </c>
      <c r="E4780" s="12" t="s">
        <v>16701</v>
      </c>
      <c r="F4780" s="13">
        <v>90</v>
      </c>
      <c r="G4780" s="12" t="s">
        <v>16702</v>
      </c>
      <c r="H4780" s="12" t="s">
        <v>38</v>
      </c>
      <c r="I4780" s="12" t="s">
        <v>113</v>
      </c>
      <c r="J4780" s="12" t="s">
        <v>114</v>
      </c>
      <c r="K4780" s="12" t="s">
        <v>100</v>
      </c>
      <c r="L4780" s="14"/>
      <c r="M4780" s="12" t="s">
        <v>43</v>
      </c>
      <c r="N4780" s="12" t="s">
        <v>2457</v>
      </c>
      <c r="O4780" s="12" t="s">
        <v>16703</v>
      </c>
      <c r="P4780" s="12" t="s">
        <v>46</v>
      </c>
      <c r="Q4780" s="12" t="s">
        <v>47</v>
      </c>
      <c r="R4780" s="12" t="s">
        <v>117</v>
      </c>
      <c r="S4780" s="13">
        <v>196575241389</v>
      </c>
      <c r="T4780" s="12" t="s">
        <v>49</v>
      </c>
      <c r="U4780" s="13">
        <v>40</v>
      </c>
      <c r="V4780" s="12" t="s">
        <v>50</v>
      </c>
      <c r="W4780" s="12" t="s">
        <v>51</v>
      </c>
      <c r="X4780" s="14"/>
      <c r="Y4780" s="12" t="s">
        <v>71</v>
      </c>
      <c r="Z4780" s="12" t="s">
        <v>376</v>
      </c>
      <c r="AA4780" s="14"/>
      <c r="AB4780" s="14"/>
      <c r="AC4780" s="15">
        <v>47.65</v>
      </c>
      <c r="AD4780" s="15">
        <f>AC4780*AG4780</f>
        <v>47.65</v>
      </c>
      <c r="AE4780" s="15">
        <v>100</v>
      </c>
      <c r="AF4780" s="15">
        <f>AE4780*AG4780</f>
        <v>100</v>
      </c>
      <c r="AG4780" s="16">
        <v>1</v>
      </c>
    </row>
    <row r="4781" spans="1:33" ht="15" customHeight="1" x14ac:dyDescent="0.2">
      <c r="A4781" s="11" t="str">
        <f t="shared" ref="A4781:A4784" si="1470">HYPERLINK("https://assets.vans.eu/images/VN0A5JMKBGF-HERO/1","VN0A5JMKBGF1")</f>
        <v>VN0A5JMKBGF1</v>
      </c>
      <c r="B4781" s="12" t="s">
        <v>16704</v>
      </c>
      <c r="C4781" s="12" t="s">
        <v>16705</v>
      </c>
      <c r="D4781" s="12" t="s">
        <v>4900</v>
      </c>
      <c r="E4781" s="12" t="s">
        <v>16706</v>
      </c>
      <c r="F4781" s="13">
        <v>60</v>
      </c>
      <c r="G4781" s="14"/>
      <c r="H4781" s="12" t="s">
        <v>38</v>
      </c>
      <c r="I4781" s="12" t="s">
        <v>113</v>
      </c>
      <c r="J4781" s="12" t="s">
        <v>114</v>
      </c>
      <c r="K4781" s="12" t="s">
        <v>82</v>
      </c>
      <c r="L4781" s="14"/>
      <c r="M4781" s="12" t="s">
        <v>43</v>
      </c>
      <c r="N4781" s="12" t="s">
        <v>101</v>
      </c>
      <c r="O4781" s="12" t="s">
        <v>16707</v>
      </c>
      <c r="P4781" s="12" t="s">
        <v>46</v>
      </c>
      <c r="Q4781" s="12" t="s">
        <v>47</v>
      </c>
      <c r="R4781" s="12" t="s">
        <v>948</v>
      </c>
      <c r="S4781" s="13">
        <v>196573467088</v>
      </c>
      <c r="T4781" s="12" t="s">
        <v>49</v>
      </c>
      <c r="U4781" s="13">
        <v>38</v>
      </c>
      <c r="V4781" s="12" t="s">
        <v>50</v>
      </c>
      <c r="W4781" s="12" t="s">
        <v>455</v>
      </c>
      <c r="X4781" s="14"/>
      <c r="Y4781" s="12" t="s">
        <v>91</v>
      </c>
      <c r="Z4781" s="12" t="s">
        <v>165</v>
      </c>
      <c r="AA4781" s="14"/>
      <c r="AB4781" s="14"/>
      <c r="AC4781" s="15">
        <v>47.75</v>
      </c>
      <c r="AD4781" s="15">
        <f>AC4781*AG4781</f>
        <v>47.75</v>
      </c>
      <c r="AE4781" s="15">
        <v>105</v>
      </c>
      <c r="AF4781" s="15">
        <f>AE4781*AG4781</f>
        <v>105</v>
      </c>
      <c r="AG4781" s="16">
        <v>1</v>
      </c>
    </row>
    <row r="4782" spans="1:33" ht="15" customHeight="1" x14ac:dyDescent="0.2">
      <c r="A4782" s="11" t="str">
        <f t="shared" si="1470"/>
        <v>VN0A5JMKBGF1</v>
      </c>
      <c r="B4782" s="12" t="s">
        <v>16708</v>
      </c>
      <c r="C4782" s="12" t="s">
        <v>16705</v>
      </c>
      <c r="D4782" s="12" t="s">
        <v>4900</v>
      </c>
      <c r="E4782" s="12" t="s">
        <v>16709</v>
      </c>
      <c r="F4782" s="13">
        <v>70</v>
      </c>
      <c r="G4782" s="14"/>
      <c r="H4782" s="12" t="s">
        <v>38</v>
      </c>
      <c r="I4782" s="12" t="s">
        <v>113</v>
      </c>
      <c r="J4782" s="12" t="s">
        <v>114</v>
      </c>
      <c r="K4782" s="12" t="s">
        <v>82</v>
      </c>
      <c r="L4782" s="14"/>
      <c r="M4782" s="12" t="s">
        <v>43</v>
      </c>
      <c r="N4782" s="12" t="s">
        <v>101</v>
      </c>
      <c r="O4782" s="12" t="s">
        <v>16710</v>
      </c>
      <c r="P4782" s="12" t="s">
        <v>46</v>
      </c>
      <c r="Q4782" s="12" t="s">
        <v>47</v>
      </c>
      <c r="R4782" s="12" t="s">
        <v>948</v>
      </c>
      <c r="S4782" s="13">
        <v>196573467316</v>
      </c>
      <c r="T4782" s="12" t="s">
        <v>49</v>
      </c>
      <c r="U4782" s="13">
        <v>39</v>
      </c>
      <c r="V4782" s="12" t="s">
        <v>50</v>
      </c>
      <c r="W4782" s="12" t="s">
        <v>455</v>
      </c>
      <c r="X4782" s="14"/>
      <c r="Y4782" s="12" t="s">
        <v>91</v>
      </c>
      <c r="Z4782" s="12" t="s">
        <v>165</v>
      </c>
      <c r="AA4782" s="14"/>
      <c r="AB4782" s="14"/>
      <c r="AC4782" s="15">
        <v>47.75</v>
      </c>
      <c r="AD4782" s="15">
        <f>AC4782*AG4782</f>
        <v>47.75</v>
      </c>
      <c r="AE4782" s="15">
        <v>105</v>
      </c>
      <c r="AF4782" s="15">
        <f>AE4782*AG4782</f>
        <v>105</v>
      </c>
      <c r="AG4782" s="16">
        <v>1</v>
      </c>
    </row>
    <row r="4783" spans="1:33" ht="15" customHeight="1" x14ac:dyDescent="0.2">
      <c r="A4783" s="11" t="str">
        <f t="shared" si="1470"/>
        <v>VN0A5JMKBGF1</v>
      </c>
      <c r="B4783" s="12" t="s">
        <v>16711</v>
      </c>
      <c r="C4783" s="12" t="s">
        <v>16705</v>
      </c>
      <c r="D4783" s="12" t="s">
        <v>4900</v>
      </c>
      <c r="E4783" s="12" t="s">
        <v>16712</v>
      </c>
      <c r="F4783" s="13">
        <v>75</v>
      </c>
      <c r="G4783" s="14"/>
      <c r="H4783" s="12" t="s">
        <v>38</v>
      </c>
      <c r="I4783" s="12" t="s">
        <v>113</v>
      </c>
      <c r="J4783" s="12" t="s">
        <v>114</v>
      </c>
      <c r="K4783" s="12" t="s">
        <v>82</v>
      </c>
      <c r="L4783" s="14"/>
      <c r="M4783" s="12" t="s">
        <v>43</v>
      </c>
      <c r="N4783" s="12" t="s">
        <v>101</v>
      </c>
      <c r="O4783" s="12" t="s">
        <v>16713</v>
      </c>
      <c r="P4783" s="12" t="s">
        <v>46</v>
      </c>
      <c r="Q4783" s="12" t="s">
        <v>47</v>
      </c>
      <c r="R4783" s="12" t="s">
        <v>948</v>
      </c>
      <c r="S4783" s="13">
        <v>196573467323</v>
      </c>
      <c r="T4783" s="12" t="s">
        <v>49</v>
      </c>
      <c r="U4783" s="13">
        <v>40</v>
      </c>
      <c r="V4783" s="12" t="s">
        <v>50</v>
      </c>
      <c r="W4783" s="12" t="s">
        <v>455</v>
      </c>
      <c r="X4783" s="14"/>
      <c r="Y4783" s="12" t="s">
        <v>91</v>
      </c>
      <c r="Z4783" s="12" t="s">
        <v>165</v>
      </c>
      <c r="AA4783" s="14"/>
      <c r="AB4783" s="14"/>
      <c r="AC4783" s="15">
        <v>47.75</v>
      </c>
      <c r="AD4783" s="15">
        <f>AC4783*AG4783</f>
        <v>47.75</v>
      </c>
      <c r="AE4783" s="15">
        <v>105</v>
      </c>
      <c r="AF4783" s="15">
        <f>AE4783*AG4783</f>
        <v>105</v>
      </c>
      <c r="AG4783" s="16">
        <v>1</v>
      </c>
    </row>
    <row r="4784" spans="1:33" ht="15" customHeight="1" x14ac:dyDescent="0.2">
      <c r="A4784" s="11" t="str">
        <f t="shared" si="1470"/>
        <v>VN0A5JMKBGF1</v>
      </c>
      <c r="B4784" s="12" t="s">
        <v>16714</v>
      </c>
      <c r="C4784" s="12" t="s">
        <v>16705</v>
      </c>
      <c r="D4784" s="12" t="s">
        <v>4900</v>
      </c>
      <c r="E4784" s="12" t="s">
        <v>16715</v>
      </c>
      <c r="F4784" s="13">
        <v>85</v>
      </c>
      <c r="G4784" s="14"/>
      <c r="H4784" s="12" t="s">
        <v>38</v>
      </c>
      <c r="I4784" s="12" t="s">
        <v>113</v>
      </c>
      <c r="J4784" s="12" t="s">
        <v>114</v>
      </c>
      <c r="K4784" s="12" t="s">
        <v>82</v>
      </c>
      <c r="L4784" s="14"/>
      <c r="M4784" s="12" t="s">
        <v>43</v>
      </c>
      <c r="N4784" s="12" t="s">
        <v>101</v>
      </c>
      <c r="O4784" s="12" t="s">
        <v>16716</v>
      </c>
      <c r="P4784" s="12" t="s">
        <v>46</v>
      </c>
      <c r="Q4784" s="12" t="s">
        <v>47</v>
      </c>
      <c r="R4784" s="12" t="s">
        <v>948</v>
      </c>
      <c r="S4784" s="13">
        <v>196573467354</v>
      </c>
      <c r="T4784" s="12" t="s">
        <v>49</v>
      </c>
      <c r="U4784" s="13">
        <v>41</v>
      </c>
      <c r="V4784" s="12" t="s">
        <v>50</v>
      </c>
      <c r="W4784" s="12" t="s">
        <v>455</v>
      </c>
      <c r="X4784" s="14"/>
      <c r="Y4784" s="12" t="s">
        <v>91</v>
      </c>
      <c r="Z4784" s="12" t="s">
        <v>165</v>
      </c>
      <c r="AA4784" s="14"/>
      <c r="AB4784" s="14"/>
      <c r="AC4784" s="15">
        <v>47.75</v>
      </c>
      <c r="AD4784" s="15">
        <f>AC4784*AG4784</f>
        <v>47.75</v>
      </c>
      <c r="AE4784" s="15">
        <v>105</v>
      </c>
      <c r="AF4784" s="15">
        <f>AE4784*AG4784</f>
        <v>105</v>
      </c>
      <c r="AG4784" s="16">
        <v>1</v>
      </c>
    </row>
    <row r="4785" spans="1:33" ht="15" customHeight="1" x14ac:dyDescent="0.2">
      <c r="A4785" s="11" t="str">
        <f>HYPERLINK("https://assets.vans.eu/images/VN0A5JMKNWD-HERO/1","VN0A5JMKNWD1")</f>
        <v>VN0A5JMKNWD1</v>
      </c>
      <c r="B4785" s="12" t="s">
        <v>16717</v>
      </c>
      <c r="C4785" s="12" t="s">
        <v>16705</v>
      </c>
      <c r="D4785" s="12" t="s">
        <v>16718</v>
      </c>
      <c r="E4785" s="12" t="s">
        <v>16719</v>
      </c>
      <c r="F4785" s="13">
        <v>70</v>
      </c>
      <c r="G4785" s="12" t="s">
        <v>16720</v>
      </c>
      <c r="H4785" s="12" t="s">
        <v>38</v>
      </c>
      <c r="I4785" s="12" t="s">
        <v>113</v>
      </c>
      <c r="J4785" s="12" t="s">
        <v>114</v>
      </c>
      <c r="K4785" s="12" t="s">
        <v>82</v>
      </c>
      <c r="L4785" s="14"/>
      <c r="M4785" s="12" t="s">
        <v>43</v>
      </c>
      <c r="N4785" s="12" t="s">
        <v>467</v>
      </c>
      <c r="O4785" s="12" t="s">
        <v>16721</v>
      </c>
      <c r="P4785" s="12" t="s">
        <v>46</v>
      </c>
      <c r="Q4785" s="12" t="s">
        <v>47</v>
      </c>
      <c r="R4785" s="12" t="s">
        <v>948</v>
      </c>
      <c r="S4785" s="13">
        <v>196571309847</v>
      </c>
      <c r="T4785" s="12" t="s">
        <v>49</v>
      </c>
      <c r="U4785" s="13">
        <v>39</v>
      </c>
      <c r="V4785" s="12" t="s">
        <v>209</v>
      </c>
      <c r="W4785" s="12" t="s">
        <v>284</v>
      </c>
      <c r="X4785" s="14"/>
      <c r="Y4785" s="12" t="s">
        <v>53</v>
      </c>
      <c r="Z4785" s="12" t="s">
        <v>263</v>
      </c>
      <c r="AA4785" s="14"/>
      <c r="AB4785" s="14"/>
      <c r="AC4785" s="15">
        <v>47.75</v>
      </c>
      <c r="AD4785" s="15">
        <f>AC4785*AG4785</f>
        <v>47.75</v>
      </c>
      <c r="AE4785" s="15">
        <v>105</v>
      </c>
      <c r="AF4785" s="15">
        <f>AE4785*AG4785</f>
        <v>105</v>
      </c>
      <c r="AG4785" s="16">
        <v>1</v>
      </c>
    </row>
    <row r="4786" spans="1:33" ht="15" customHeight="1" x14ac:dyDescent="0.2">
      <c r="A4786" s="11" t="str">
        <f>HYPERLINK("https://assets.vans.eu/images/VN0A5KR3BM0-HERO/1","VN0A5KR3BM01")</f>
        <v>VN0A5KR3BM01</v>
      </c>
      <c r="B4786" s="12" t="s">
        <v>16722</v>
      </c>
      <c r="C4786" s="12" t="s">
        <v>16723</v>
      </c>
      <c r="D4786" s="12" t="s">
        <v>16724</v>
      </c>
      <c r="E4786" s="12" t="s">
        <v>16725</v>
      </c>
      <c r="F4786" s="13">
        <v>105</v>
      </c>
      <c r="G4786" s="12" t="s">
        <v>2273</v>
      </c>
      <c r="H4786" s="12" t="s">
        <v>38</v>
      </c>
      <c r="I4786" s="12" t="s">
        <v>113</v>
      </c>
      <c r="J4786" s="12" t="s">
        <v>114</v>
      </c>
      <c r="K4786" s="12" t="s">
        <v>82</v>
      </c>
      <c r="L4786" s="14"/>
      <c r="M4786" s="12" t="s">
        <v>43</v>
      </c>
      <c r="N4786" s="12" t="s">
        <v>467</v>
      </c>
      <c r="O4786" s="12" t="s">
        <v>16726</v>
      </c>
      <c r="P4786" s="12" t="s">
        <v>46</v>
      </c>
      <c r="Q4786" s="12" t="s">
        <v>47</v>
      </c>
      <c r="R4786" s="12" t="s">
        <v>117</v>
      </c>
      <c r="S4786" s="13">
        <v>196571311512</v>
      </c>
      <c r="T4786" s="12" t="s">
        <v>143</v>
      </c>
      <c r="U4786" s="13">
        <v>44</v>
      </c>
      <c r="V4786" s="12" t="s">
        <v>209</v>
      </c>
      <c r="W4786" s="12" t="s">
        <v>299</v>
      </c>
      <c r="X4786" s="14"/>
      <c r="Y4786" s="12" t="s">
        <v>53</v>
      </c>
      <c r="Z4786" s="12" t="s">
        <v>263</v>
      </c>
      <c r="AA4786" s="14"/>
      <c r="AB4786" s="14"/>
      <c r="AC4786" s="15">
        <v>47.75</v>
      </c>
      <c r="AD4786" s="15">
        <f>AC4786*AG4786</f>
        <v>47.75</v>
      </c>
      <c r="AE4786" s="15">
        <v>105</v>
      </c>
      <c r="AF4786" s="15">
        <f>AE4786*AG4786</f>
        <v>105</v>
      </c>
      <c r="AG4786" s="16">
        <v>1</v>
      </c>
    </row>
    <row r="4787" spans="1:33" ht="15" customHeight="1" x14ac:dyDescent="0.2">
      <c r="A4787" s="11" t="str">
        <f t="shared" si="469"/>
        <v>VN0A5KR52391</v>
      </c>
      <c r="B4787" s="12" t="s">
        <v>16727</v>
      </c>
      <c r="C4787" s="12" t="s">
        <v>4037</v>
      </c>
      <c r="D4787" s="12" t="s">
        <v>1609</v>
      </c>
      <c r="E4787" s="12" t="s">
        <v>16728</v>
      </c>
      <c r="F4787" s="13">
        <v>55</v>
      </c>
      <c r="G4787" s="12" t="s">
        <v>4451</v>
      </c>
      <c r="H4787" s="12" t="s">
        <v>38</v>
      </c>
      <c r="I4787" s="12" t="s">
        <v>159</v>
      </c>
      <c r="J4787" s="12" t="s">
        <v>255</v>
      </c>
      <c r="K4787" s="12" t="s">
        <v>82</v>
      </c>
      <c r="L4787" s="14"/>
      <c r="M4787" s="12" t="s">
        <v>43</v>
      </c>
      <c r="N4787" s="12" t="s">
        <v>467</v>
      </c>
      <c r="O4787" s="12" t="s">
        <v>16729</v>
      </c>
      <c r="P4787" s="12" t="s">
        <v>46</v>
      </c>
      <c r="Q4787" s="12" t="s">
        <v>47</v>
      </c>
      <c r="R4787" s="12" t="s">
        <v>163</v>
      </c>
      <c r="S4787" s="13">
        <v>196571251641</v>
      </c>
      <c r="T4787" s="12" t="s">
        <v>49</v>
      </c>
      <c r="U4787" s="13">
        <v>37</v>
      </c>
      <c r="V4787" s="12" t="s">
        <v>50</v>
      </c>
      <c r="W4787" s="12" t="s">
        <v>455</v>
      </c>
      <c r="X4787" s="14"/>
      <c r="Y4787" s="12" t="s">
        <v>91</v>
      </c>
      <c r="Z4787" s="12" t="s">
        <v>263</v>
      </c>
      <c r="AA4787" s="14"/>
      <c r="AB4787" s="14"/>
      <c r="AC4787" s="15">
        <v>40.950000000000003</v>
      </c>
      <c r="AD4787" s="15">
        <f>AC4787*AG4787</f>
        <v>40.950000000000003</v>
      </c>
      <c r="AE4787" s="15">
        <v>90</v>
      </c>
      <c r="AF4787" s="15">
        <f>AE4787*AG4787</f>
        <v>90</v>
      </c>
      <c r="AG4787" s="16">
        <v>1</v>
      </c>
    </row>
    <row r="4788" spans="1:33" ht="15" customHeight="1" x14ac:dyDescent="0.2">
      <c r="A4788" s="11" t="str">
        <f>HYPERLINK("https://assets.vans.eu/images/VN0A5KR59LF-HERO/1","VN0A5KR59LF1")</f>
        <v>VN0A5KR59LF1</v>
      </c>
      <c r="B4788" s="12" t="s">
        <v>16730</v>
      </c>
      <c r="C4788" s="12" t="s">
        <v>4037</v>
      </c>
      <c r="D4788" s="12" t="s">
        <v>16731</v>
      </c>
      <c r="E4788" s="12" t="s">
        <v>16732</v>
      </c>
      <c r="F4788" s="13">
        <v>105</v>
      </c>
      <c r="G4788" s="14"/>
      <c r="H4788" s="12" t="s">
        <v>38</v>
      </c>
      <c r="I4788" s="12" t="s">
        <v>16733</v>
      </c>
      <c r="J4788" s="12" t="s">
        <v>16734</v>
      </c>
      <c r="K4788" s="12" t="s">
        <v>82</v>
      </c>
      <c r="L4788" s="14"/>
      <c r="M4788" s="12" t="s">
        <v>43</v>
      </c>
      <c r="N4788" s="12" t="s">
        <v>10585</v>
      </c>
      <c r="O4788" s="12" t="s">
        <v>16735</v>
      </c>
      <c r="P4788" s="12" t="s">
        <v>46</v>
      </c>
      <c r="Q4788" s="12" t="s">
        <v>47</v>
      </c>
      <c r="R4788" s="12" t="s">
        <v>2123</v>
      </c>
      <c r="S4788" s="13">
        <v>195438398550</v>
      </c>
      <c r="T4788" s="12" t="s">
        <v>143</v>
      </c>
      <c r="U4788" s="13">
        <v>44</v>
      </c>
      <c r="V4788" s="12" t="s">
        <v>50</v>
      </c>
      <c r="W4788" s="12" t="s">
        <v>175</v>
      </c>
      <c r="X4788" s="14"/>
      <c r="Y4788" s="12" t="s">
        <v>91</v>
      </c>
      <c r="Z4788" s="12" t="s">
        <v>1462</v>
      </c>
      <c r="AA4788" s="14"/>
      <c r="AB4788" s="13">
        <v>0</v>
      </c>
      <c r="AC4788" s="15">
        <v>38.6</v>
      </c>
      <c r="AD4788" s="15">
        <f>AC4788*AG4788</f>
        <v>38.6</v>
      </c>
      <c r="AE4788" s="15">
        <v>85</v>
      </c>
      <c r="AF4788" s="15">
        <f>AE4788*AG4788</f>
        <v>85</v>
      </c>
      <c r="AG4788" s="16">
        <v>1</v>
      </c>
    </row>
    <row r="4789" spans="1:33" ht="15" customHeight="1" x14ac:dyDescent="0.2">
      <c r="A4789" s="11" t="str">
        <f>HYPERLINK("https://assets.vans.eu/images/VN0A5KS4DOL-HERO/1","VN0A5KS4DOL1")</f>
        <v>VN0A5KS4DOL1</v>
      </c>
      <c r="B4789" s="12" t="s">
        <v>16736</v>
      </c>
      <c r="C4789" s="12" t="s">
        <v>16737</v>
      </c>
      <c r="D4789" s="12" t="s">
        <v>16738</v>
      </c>
      <c r="E4789" s="12" t="s">
        <v>16739</v>
      </c>
      <c r="F4789" s="13">
        <v>85</v>
      </c>
      <c r="G4789" s="12" t="s">
        <v>16740</v>
      </c>
      <c r="H4789" s="12" t="s">
        <v>38</v>
      </c>
      <c r="I4789" s="12" t="s">
        <v>159</v>
      </c>
      <c r="J4789" s="12" t="s">
        <v>255</v>
      </c>
      <c r="K4789" s="12" t="s">
        <v>82</v>
      </c>
      <c r="L4789" s="14"/>
      <c r="M4789" s="12" t="s">
        <v>43</v>
      </c>
      <c r="N4789" s="12" t="s">
        <v>101</v>
      </c>
      <c r="O4789" s="12" t="s">
        <v>16741</v>
      </c>
      <c r="P4789" s="12" t="s">
        <v>46</v>
      </c>
      <c r="Q4789" s="12" t="s">
        <v>47</v>
      </c>
      <c r="R4789" s="12" t="s">
        <v>163</v>
      </c>
      <c r="S4789" s="13">
        <v>196573473430</v>
      </c>
      <c r="T4789" s="12" t="s">
        <v>49</v>
      </c>
      <c r="U4789" s="13">
        <v>41</v>
      </c>
      <c r="V4789" s="12" t="s">
        <v>50</v>
      </c>
      <c r="W4789" s="12" t="s">
        <v>118</v>
      </c>
      <c r="X4789" s="14"/>
      <c r="Y4789" s="12" t="s">
        <v>91</v>
      </c>
      <c r="Z4789" s="12" t="s">
        <v>165</v>
      </c>
      <c r="AA4789" s="14"/>
      <c r="AB4789" s="14"/>
      <c r="AC4789" s="15">
        <v>63.65</v>
      </c>
      <c r="AD4789" s="15">
        <f>AC4789*AG4789</f>
        <v>63.65</v>
      </c>
      <c r="AE4789" s="15">
        <v>140</v>
      </c>
      <c r="AF4789" s="15">
        <f>AE4789*AG4789</f>
        <v>140</v>
      </c>
      <c r="AG4789" s="16">
        <v>1</v>
      </c>
    </row>
    <row r="4790" spans="1:33" ht="15" customHeight="1" x14ac:dyDescent="0.2">
      <c r="A4790" s="11" t="str">
        <f t="shared" si="470"/>
        <v>VN0A5KS5BMV1</v>
      </c>
      <c r="B4790" s="12" t="s">
        <v>16742</v>
      </c>
      <c r="C4790" s="12" t="s">
        <v>4454</v>
      </c>
      <c r="D4790" s="12" t="s">
        <v>2276</v>
      </c>
      <c r="E4790" s="12" t="s">
        <v>16743</v>
      </c>
      <c r="F4790" s="13">
        <v>95</v>
      </c>
      <c r="G4790" s="14"/>
      <c r="H4790" s="12" t="s">
        <v>38</v>
      </c>
      <c r="I4790" s="12" t="s">
        <v>113</v>
      </c>
      <c r="J4790" s="12" t="s">
        <v>529</v>
      </c>
      <c r="K4790" s="12" t="s">
        <v>82</v>
      </c>
      <c r="L4790" s="14"/>
      <c r="M4790" s="12" t="s">
        <v>43</v>
      </c>
      <c r="N4790" s="12" t="s">
        <v>101</v>
      </c>
      <c r="O4790" s="12" t="s">
        <v>16744</v>
      </c>
      <c r="P4790" s="12" t="s">
        <v>46</v>
      </c>
      <c r="Q4790" s="12" t="s">
        <v>47</v>
      </c>
      <c r="R4790" s="12" t="s">
        <v>2179</v>
      </c>
      <c r="S4790" s="13">
        <v>196573475311</v>
      </c>
      <c r="T4790" s="12" t="s">
        <v>105</v>
      </c>
      <c r="U4790" s="13">
        <v>42.5</v>
      </c>
      <c r="V4790" s="12" t="s">
        <v>50</v>
      </c>
      <c r="W4790" s="12" t="s">
        <v>51</v>
      </c>
      <c r="X4790" s="14"/>
      <c r="Y4790" s="12" t="s">
        <v>91</v>
      </c>
      <c r="Z4790" s="12" t="s">
        <v>165</v>
      </c>
      <c r="AA4790" s="14"/>
      <c r="AB4790" s="14"/>
      <c r="AC4790" s="15">
        <v>68.2</v>
      </c>
      <c r="AD4790" s="15">
        <f>AC4790*AG4790</f>
        <v>68.2</v>
      </c>
      <c r="AE4790" s="15">
        <v>150</v>
      </c>
      <c r="AF4790" s="15">
        <f>AE4790*AG4790</f>
        <v>150</v>
      </c>
      <c r="AG4790" s="16">
        <v>1</v>
      </c>
    </row>
    <row r="4791" spans="1:33" ht="15" customHeight="1" x14ac:dyDescent="0.2">
      <c r="A4791" s="11" t="str">
        <f t="shared" ref="A4791:A4792" si="1471">HYPERLINK("https://assets.vans.eu/images/VN0A5KS5BPO-HERO/1","VN0A5KS5BPO1")</f>
        <v>VN0A5KS5BPO1</v>
      </c>
      <c r="B4791" s="12" t="s">
        <v>16745</v>
      </c>
      <c r="C4791" s="12" t="s">
        <v>4454</v>
      </c>
      <c r="D4791" s="12" t="s">
        <v>16746</v>
      </c>
      <c r="E4791" s="12" t="s">
        <v>16747</v>
      </c>
      <c r="F4791" s="13">
        <v>85</v>
      </c>
      <c r="G4791" s="14"/>
      <c r="H4791" s="12" t="s">
        <v>38</v>
      </c>
      <c r="I4791" s="12" t="s">
        <v>159</v>
      </c>
      <c r="J4791" s="12" t="s">
        <v>255</v>
      </c>
      <c r="K4791" s="12" t="s">
        <v>82</v>
      </c>
      <c r="L4791" s="14"/>
      <c r="M4791" s="12" t="s">
        <v>43</v>
      </c>
      <c r="N4791" s="12" t="s">
        <v>2457</v>
      </c>
      <c r="O4791" s="12" t="s">
        <v>16748</v>
      </c>
      <c r="P4791" s="12" t="s">
        <v>46</v>
      </c>
      <c r="Q4791" s="12" t="s">
        <v>47</v>
      </c>
      <c r="R4791" s="12" t="s">
        <v>343</v>
      </c>
      <c r="S4791" s="13">
        <v>196573475328</v>
      </c>
      <c r="T4791" s="12" t="s">
        <v>105</v>
      </c>
      <c r="U4791" s="13">
        <v>41</v>
      </c>
      <c r="V4791" s="12" t="s">
        <v>50</v>
      </c>
      <c r="W4791" s="12" t="s">
        <v>51</v>
      </c>
      <c r="X4791" s="14"/>
      <c r="Y4791" s="12" t="s">
        <v>91</v>
      </c>
      <c r="Z4791" s="12" t="s">
        <v>165</v>
      </c>
      <c r="AA4791" s="14"/>
      <c r="AB4791" s="14"/>
      <c r="AC4791" s="15">
        <v>68.2</v>
      </c>
      <c r="AD4791" s="15">
        <f>AC4791*AG4791</f>
        <v>68.2</v>
      </c>
      <c r="AE4791" s="15">
        <v>150</v>
      </c>
      <c r="AF4791" s="15">
        <f>AE4791*AG4791</f>
        <v>150</v>
      </c>
      <c r="AG4791" s="16">
        <v>1</v>
      </c>
    </row>
    <row r="4792" spans="1:33" ht="15" customHeight="1" x14ac:dyDescent="0.2">
      <c r="A4792" s="11" t="str">
        <f t="shared" si="1471"/>
        <v>VN0A5KS5BPO1</v>
      </c>
      <c r="B4792" s="12" t="s">
        <v>16749</v>
      </c>
      <c r="C4792" s="12" t="s">
        <v>4454</v>
      </c>
      <c r="D4792" s="12" t="s">
        <v>16746</v>
      </c>
      <c r="E4792" s="12" t="s">
        <v>16750</v>
      </c>
      <c r="F4792" s="13">
        <v>120</v>
      </c>
      <c r="G4792" s="14"/>
      <c r="H4792" s="12" t="s">
        <v>38</v>
      </c>
      <c r="I4792" s="12" t="s">
        <v>159</v>
      </c>
      <c r="J4792" s="12" t="s">
        <v>255</v>
      </c>
      <c r="K4792" s="12" t="s">
        <v>82</v>
      </c>
      <c r="L4792" s="14"/>
      <c r="M4792" s="12" t="s">
        <v>43</v>
      </c>
      <c r="N4792" s="12" t="s">
        <v>2457</v>
      </c>
      <c r="O4792" s="12" t="s">
        <v>16751</v>
      </c>
      <c r="P4792" s="12" t="s">
        <v>46</v>
      </c>
      <c r="Q4792" s="12" t="s">
        <v>47</v>
      </c>
      <c r="R4792" s="12" t="s">
        <v>343</v>
      </c>
      <c r="S4792" s="13">
        <v>196573476318</v>
      </c>
      <c r="T4792" s="12" t="s">
        <v>105</v>
      </c>
      <c r="U4792" s="13">
        <v>46</v>
      </c>
      <c r="V4792" s="12" t="s">
        <v>50</v>
      </c>
      <c r="W4792" s="12" t="s">
        <v>51</v>
      </c>
      <c r="X4792" s="14"/>
      <c r="Y4792" s="12" t="s">
        <v>91</v>
      </c>
      <c r="Z4792" s="12" t="s">
        <v>165</v>
      </c>
      <c r="AA4792" s="14"/>
      <c r="AB4792" s="14"/>
      <c r="AC4792" s="15">
        <v>68.2</v>
      </c>
      <c r="AD4792" s="15">
        <f>AC4792*AG4792</f>
        <v>68.2</v>
      </c>
      <c r="AE4792" s="15">
        <v>150</v>
      </c>
      <c r="AF4792" s="15">
        <f>AE4792*AG4792</f>
        <v>150</v>
      </c>
      <c r="AG4792" s="16">
        <v>1</v>
      </c>
    </row>
    <row r="4793" spans="1:33" ht="15" customHeight="1" x14ac:dyDescent="0.2">
      <c r="A4793" s="11" t="str">
        <f t="shared" ref="A4793:A4794" si="1472">HYPERLINK("https://assets.vans.eu/images/VN0A5KY5BA2-HERO/1","VN0A5KY5BA21")</f>
        <v>VN0A5KY5BA21</v>
      </c>
      <c r="B4793" s="12" t="s">
        <v>16752</v>
      </c>
      <c r="C4793" s="12" t="s">
        <v>16753</v>
      </c>
      <c r="D4793" s="12" t="s">
        <v>1844</v>
      </c>
      <c r="E4793" s="12" t="s">
        <v>16754</v>
      </c>
      <c r="F4793" s="13">
        <v>45</v>
      </c>
      <c r="G4793" s="14"/>
      <c r="H4793" s="12" t="s">
        <v>38</v>
      </c>
      <c r="I4793" s="12" t="s">
        <v>113</v>
      </c>
      <c r="J4793" s="12" t="s">
        <v>114</v>
      </c>
      <c r="K4793" s="12" t="s">
        <v>82</v>
      </c>
      <c r="L4793" s="12" t="s">
        <v>42</v>
      </c>
      <c r="M4793" s="12" t="s">
        <v>43</v>
      </c>
      <c r="N4793" s="12" t="s">
        <v>101</v>
      </c>
      <c r="O4793" s="12" t="s">
        <v>16755</v>
      </c>
      <c r="P4793" s="12" t="s">
        <v>46</v>
      </c>
      <c r="Q4793" s="12" t="s">
        <v>47</v>
      </c>
      <c r="R4793" s="12" t="s">
        <v>948</v>
      </c>
      <c r="S4793" s="13">
        <v>196015440419</v>
      </c>
      <c r="T4793" s="12" t="s">
        <v>143</v>
      </c>
      <c r="U4793" s="13">
        <v>36</v>
      </c>
      <c r="V4793" s="12" t="s">
        <v>50</v>
      </c>
      <c r="W4793" s="12" t="s">
        <v>51</v>
      </c>
      <c r="X4793" s="14"/>
      <c r="Y4793" s="12" t="s">
        <v>53</v>
      </c>
      <c r="Z4793" s="12" t="s">
        <v>92</v>
      </c>
      <c r="AA4793" s="12" t="s">
        <v>3224</v>
      </c>
      <c r="AB4793" s="12" t="s">
        <v>55</v>
      </c>
      <c r="AC4793" s="15">
        <v>52.3</v>
      </c>
      <c r="AD4793" s="15">
        <f>AC4793*AG4793</f>
        <v>52.3</v>
      </c>
      <c r="AE4793" s="15">
        <v>115</v>
      </c>
      <c r="AF4793" s="15">
        <f>AE4793*AG4793</f>
        <v>115</v>
      </c>
      <c r="AG4793" s="16">
        <v>1</v>
      </c>
    </row>
    <row r="4794" spans="1:33" ht="15" customHeight="1" x14ac:dyDescent="0.2">
      <c r="A4794" s="11" t="str">
        <f t="shared" si="1472"/>
        <v>VN0A5KY5BA21</v>
      </c>
      <c r="B4794" s="12" t="s">
        <v>16756</v>
      </c>
      <c r="C4794" s="12" t="s">
        <v>16753</v>
      </c>
      <c r="D4794" s="12" t="s">
        <v>1844</v>
      </c>
      <c r="E4794" s="12" t="s">
        <v>16757</v>
      </c>
      <c r="F4794" s="13">
        <v>65</v>
      </c>
      <c r="G4794" s="14"/>
      <c r="H4794" s="12" t="s">
        <v>38</v>
      </c>
      <c r="I4794" s="12" t="s">
        <v>113</v>
      </c>
      <c r="J4794" s="12" t="s">
        <v>114</v>
      </c>
      <c r="K4794" s="12" t="s">
        <v>82</v>
      </c>
      <c r="L4794" s="12" t="s">
        <v>42</v>
      </c>
      <c r="M4794" s="12" t="s">
        <v>43</v>
      </c>
      <c r="N4794" s="12" t="s">
        <v>101</v>
      </c>
      <c r="O4794" s="12" t="s">
        <v>16758</v>
      </c>
      <c r="P4794" s="12" t="s">
        <v>46</v>
      </c>
      <c r="Q4794" s="12" t="s">
        <v>47</v>
      </c>
      <c r="R4794" s="12" t="s">
        <v>948</v>
      </c>
      <c r="S4794" s="13">
        <v>196015440594</v>
      </c>
      <c r="T4794" s="12" t="s">
        <v>143</v>
      </c>
      <c r="U4794" s="13">
        <v>38.5</v>
      </c>
      <c r="V4794" s="12" t="s">
        <v>50</v>
      </c>
      <c r="W4794" s="12" t="s">
        <v>51</v>
      </c>
      <c r="X4794" s="14"/>
      <c r="Y4794" s="12" t="s">
        <v>53</v>
      </c>
      <c r="Z4794" s="12" t="s">
        <v>92</v>
      </c>
      <c r="AA4794" s="12" t="s">
        <v>3224</v>
      </c>
      <c r="AB4794" s="12" t="s">
        <v>55</v>
      </c>
      <c r="AC4794" s="15">
        <v>52.3</v>
      </c>
      <c r="AD4794" s="15">
        <f>AC4794*AG4794</f>
        <v>52.3</v>
      </c>
      <c r="AE4794" s="15">
        <v>115</v>
      </c>
      <c r="AF4794" s="15">
        <f>AE4794*AG4794</f>
        <v>115</v>
      </c>
      <c r="AG4794" s="16">
        <v>1</v>
      </c>
    </row>
    <row r="4795" spans="1:33" ht="15" customHeight="1" x14ac:dyDescent="0.2">
      <c r="A4795" s="11" t="str">
        <f t="shared" si="1141"/>
        <v>VN0A5KYCZF51</v>
      </c>
      <c r="B4795" s="12" t="s">
        <v>16759</v>
      </c>
      <c r="C4795" s="12" t="s">
        <v>8973</v>
      </c>
      <c r="D4795" s="12" t="s">
        <v>10382</v>
      </c>
      <c r="E4795" s="12" t="s">
        <v>16760</v>
      </c>
      <c r="F4795" s="13">
        <v>40</v>
      </c>
      <c r="G4795" s="14"/>
      <c r="H4795" s="12" t="s">
        <v>38</v>
      </c>
      <c r="I4795" s="12" t="s">
        <v>159</v>
      </c>
      <c r="J4795" s="12" t="s">
        <v>160</v>
      </c>
      <c r="K4795" s="12" t="s">
        <v>82</v>
      </c>
      <c r="L4795" s="14"/>
      <c r="M4795" s="12" t="s">
        <v>43</v>
      </c>
      <c r="N4795" s="12" t="s">
        <v>2457</v>
      </c>
      <c r="O4795" s="12" t="s">
        <v>16761</v>
      </c>
      <c r="P4795" s="12" t="s">
        <v>46</v>
      </c>
      <c r="Q4795" s="12" t="s">
        <v>47</v>
      </c>
      <c r="R4795" s="12" t="s">
        <v>1660</v>
      </c>
      <c r="S4795" s="13">
        <v>196244835314</v>
      </c>
      <c r="T4795" s="12" t="s">
        <v>49</v>
      </c>
      <c r="U4795" s="13">
        <v>35</v>
      </c>
      <c r="V4795" s="12" t="s">
        <v>50</v>
      </c>
      <c r="W4795" s="12" t="s">
        <v>580</v>
      </c>
      <c r="X4795" s="14"/>
      <c r="Y4795" s="12" t="s">
        <v>91</v>
      </c>
      <c r="Z4795" s="12" t="s">
        <v>165</v>
      </c>
      <c r="AA4795" s="14"/>
      <c r="AB4795" s="14"/>
      <c r="AC4795" s="15">
        <v>65.95</v>
      </c>
      <c r="AD4795" s="15">
        <f>AC4795*AG4795</f>
        <v>65.95</v>
      </c>
      <c r="AE4795" s="15">
        <v>145</v>
      </c>
      <c r="AF4795" s="15">
        <f>AE4795*AG4795</f>
        <v>145</v>
      </c>
      <c r="AG4795" s="16">
        <v>1</v>
      </c>
    </row>
    <row r="4796" spans="1:33" ht="15" customHeight="1" x14ac:dyDescent="0.2">
      <c r="A4796" s="11" t="str">
        <f>HYPERLINK("https://assets.vans.eu/images/VN0A7Q51BLK-HERO/1","VN0A7Q51BLK1")</f>
        <v>VN0A7Q51BLK1</v>
      </c>
      <c r="B4796" s="12" t="s">
        <v>16762</v>
      </c>
      <c r="C4796" s="12" t="s">
        <v>16763</v>
      </c>
      <c r="D4796" s="12" t="s">
        <v>76</v>
      </c>
      <c r="E4796" s="12" t="s">
        <v>16764</v>
      </c>
      <c r="F4796" s="13">
        <v>50</v>
      </c>
      <c r="G4796" s="14"/>
      <c r="H4796" s="12" t="s">
        <v>38</v>
      </c>
      <c r="I4796" s="12" t="s">
        <v>113</v>
      </c>
      <c r="J4796" s="12" t="s">
        <v>529</v>
      </c>
      <c r="K4796" s="12" t="s">
        <v>100</v>
      </c>
      <c r="L4796" s="12" t="s">
        <v>350</v>
      </c>
      <c r="M4796" s="12" t="s">
        <v>43</v>
      </c>
      <c r="N4796" s="12" t="s">
        <v>274</v>
      </c>
      <c r="O4796" s="12" t="s">
        <v>16765</v>
      </c>
      <c r="P4796" s="12" t="s">
        <v>46</v>
      </c>
      <c r="Q4796" s="12" t="s">
        <v>276</v>
      </c>
      <c r="R4796" s="12" t="s">
        <v>16766</v>
      </c>
      <c r="S4796" s="13">
        <v>196013286422</v>
      </c>
      <c r="T4796" s="12" t="s">
        <v>105</v>
      </c>
      <c r="U4796" s="13">
        <v>34.5</v>
      </c>
      <c r="V4796" s="12" t="s">
        <v>278</v>
      </c>
      <c r="W4796" s="12" t="s">
        <v>51</v>
      </c>
      <c r="X4796" s="14"/>
      <c r="Y4796" s="12" t="s">
        <v>71</v>
      </c>
      <c r="Z4796" s="12" t="s">
        <v>92</v>
      </c>
      <c r="AA4796" s="12" t="s">
        <v>354</v>
      </c>
      <c r="AB4796" s="12" t="s">
        <v>888</v>
      </c>
      <c r="AC4796" s="15">
        <v>19.05</v>
      </c>
      <c r="AD4796" s="15">
        <f>AC4796*AG4796</f>
        <v>19.05</v>
      </c>
      <c r="AE4796" s="15">
        <v>40</v>
      </c>
      <c r="AF4796" s="15">
        <f>AE4796*AG4796</f>
        <v>40</v>
      </c>
      <c r="AG4796" s="16">
        <v>1</v>
      </c>
    </row>
    <row r="4797" spans="1:33" ht="15" customHeight="1" x14ac:dyDescent="0.2">
      <c r="A4797" s="11" t="str">
        <f>HYPERLINK("https://assets.vans.eu/images/VN0A7Q5E95Y-HERO/1","VN0A7Q5E95Y1")</f>
        <v>VN0A7Q5E95Y1</v>
      </c>
      <c r="B4797" s="12" t="s">
        <v>16767</v>
      </c>
      <c r="C4797" s="12" t="s">
        <v>16768</v>
      </c>
      <c r="D4797" s="12" t="s">
        <v>16769</v>
      </c>
      <c r="E4797" s="12" t="s">
        <v>16770</v>
      </c>
      <c r="F4797" s="13">
        <v>75</v>
      </c>
      <c r="G4797" s="12" t="s">
        <v>2273</v>
      </c>
      <c r="H4797" s="12" t="s">
        <v>38</v>
      </c>
      <c r="I4797" s="12" t="s">
        <v>159</v>
      </c>
      <c r="J4797" s="12" t="s">
        <v>160</v>
      </c>
      <c r="K4797" s="12" t="s">
        <v>82</v>
      </c>
      <c r="L4797" s="14"/>
      <c r="M4797" s="12" t="s">
        <v>43</v>
      </c>
      <c r="N4797" s="12" t="s">
        <v>101</v>
      </c>
      <c r="O4797" s="12" t="s">
        <v>16771</v>
      </c>
      <c r="P4797" s="12" t="s">
        <v>46</v>
      </c>
      <c r="Q4797" s="12" t="s">
        <v>47</v>
      </c>
      <c r="R4797" s="12" t="s">
        <v>163</v>
      </c>
      <c r="S4797" s="13">
        <v>196571264450</v>
      </c>
      <c r="T4797" s="12" t="s">
        <v>49</v>
      </c>
      <c r="U4797" s="13">
        <v>40</v>
      </c>
      <c r="V4797" s="12" t="s">
        <v>50</v>
      </c>
      <c r="W4797" s="12" t="s">
        <v>51</v>
      </c>
      <c r="X4797" s="14"/>
      <c r="Y4797" s="12" t="s">
        <v>91</v>
      </c>
      <c r="Z4797" s="12" t="s">
        <v>165</v>
      </c>
      <c r="AA4797" s="14"/>
      <c r="AB4797" s="14"/>
      <c r="AC4797" s="15">
        <v>52.3</v>
      </c>
      <c r="AD4797" s="15">
        <f>AC4797*AG4797</f>
        <v>52.3</v>
      </c>
      <c r="AE4797" s="15">
        <v>115</v>
      </c>
      <c r="AF4797" s="15">
        <f>AE4797*AG4797</f>
        <v>115</v>
      </c>
      <c r="AG4797" s="16">
        <v>1</v>
      </c>
    </row>
    <row r="4798" spans="1:33" ht="15" customHeight="1" x14ac:dyDescent="0.2">
      <c r="A4798" s="11" t="str">
        <f>HYPERLINK("https://assets.vans.eu/images/VN0A7Q5EZBF-HERO/1","VN0A7Q5EZBF1")</f>
        <v>VN0A7Q5EZBF1</v>
      </c>
      <c r="B4798" s="12" t="s">
        <v>16772</v>
      </c>
      <c r="C4798" s="12" t="s">
        <v>16768</v>
      </c>
      <c r="D4798" s="12" t="s">
        <v>680</v>
      </c>
      <c r="E4798" s="12" t="s">
        <v>16773</v>
      </c>
      <c r="F4798" s="13">
        <v>60</v>
      </c>
      <c r="G4798" s="14"/>
      <c r="H4798" s="12" t="s">
        <v>38</v>
      </c>
      <c r="I4798" s="12" t="s">
        <v>113</v>
      </c>
      <c r="J4798" s="12" t="s">
        <v>114</v>
      </c>
      <c r="K4798" s="12" t="s">
        <v>82</v>
      </c>
      <c r="L4798" s="14"/>
      <c r="M4798" s="12" t="s">
        <v>43</v>
      </c>
      <c r="N4798" s="12" t="s">
        <v>101</v>
      </c>
      <c r="O4798" s="12" t="s">
        <v>16774</v>
      </c>
      <c r="P4798" s="12" t="s">
        <v>46</v>
      </c>
      <c r="Q4798" s="12" t="s">
        <v>47</v>
      </c>
      <c r="R4798" s="12" t="s">
        <v>117</v>
      </c>
      <c r="S4798" s="13">
        <v>196573482937</v>
      </c>
      <c r="T4798" s="12" t="s">
        <v>49</v>
      </c>
      <c r="U4798" s="13">
        <v>38</v>
      </c>
      <c r="V4798" s="12" t="s">
        <v>50</v>
      </c>
      <c r="W4798" s="12" t="s">
        <v>118</v>
      </c>
      <c r="X4798" s="14"/>
      <c r="Y4798" s="12" t="s">
        <v>91</v>
      </c>
      <c r="Z4798" s="12" t="s">
        <v>165</v>
      </c>
      <c r="AA4798" s="14"/>
      <c r="AB4798" s="14"/>
      <c r="AC4798" s="15">
        <v>50</v>
      </c>
      <c r="AD4798" s="15">
        <f>AC4798*AG4798</f>
        <v>50</v>
      </c>
      <c r="AE4798" s="15">
        <v>110</v>
      </c>
      <c r="AF4798" s="15">
        <f>AE4798*AG4798</f>
        <v>110</v>
      </c>
      <c r="AG4798" s="16">
        <v>1</v>
      </c>
    </row>
    <row r="4799" spans="1:33" ht="15" customHeight="1" x14ac:dyDescent="0.2">
      <c r="A4799" s="11" t="str">
        <f>HYPERLINK("https://assets.vans.eu/images/VN0A7Q5MBLU-HERO/1","VN0A7Q5MBLU1")</f>
        <v>VN0A7Q5MBLU1</v>
      </c>
      <c r="B4799" s="12" t="s">
        <v>16775</v>
      </c>
      <c r="C4799" s="12" t="s">
        <v>9000</v>
      </c>
      <c r="D4799" s="12" t="s">
        <v>4910</v>
      </c>
      <c r="E4799" s="12" t="s">
        <v>16776</v>
      </c>
      <c r="F4799" s="13">
        <v>115</v>
      </c>
      <c r="G4799" s="12" t="s">
        <v>16777</v>
      </c>
      <c r="H4799" s="12" t="s">
        <v>38</v>
      </c>
      <c r="I4799" s="12" t="s">
        <v>113</v>
      </c>
      <c r="J4799" s="12" t="s">
        <v>114</v>
      </c>
      <c r="K4799" s="12" t="s">
        <v>82</v>
      </c>
      <c r="L4799" s="14"/>
      <c r="M4799" s="12" t="s">
        <v>43</v>
      </c>
      <c r="N4799" s="12" t="s">
        <v>467</v>
      </c>
      <c r="O4799" s="12" t="s">
        <v>16778</v>
      </c>
      <c r="P4799" s="12" t="s">
        <v>46</v>
      </c>
      <c r="Q4799" s="12" t="s">
        <v>47</v>
      </c>
      <c r="R4799" s="12" t="s">
        <v>117</v>
      </c>
      <c r="S4799" s="13">
        <v>196571322068</v>
      </c>
      <c r="T4799" s="12" t="s">
        <v>49</v>
      </c>
      <c r="U4799" s="13">
        <v>45</v>
      </c>
      <c r="V4799" s="12" t="s">
        <v>209</v>
      </c>
      <c r="W4799" s="12" t="s">
        <v>284</v>
      </c>
      <c r="X4799" s="14"/>
      <c r="Y4799" s="12" t="s">
        <v>53</v>
      </c>
      <c r="Z4799" s="12" t="s">
        <v>263</v>
      </c>
      <c r="AA4799" s="14"/>
      <c r="AB4799" s="14"/>
      <c r="AC4799" s="15">
        <v>47.75</v>
      </c>
      <c r="AD4799" s="15">
        <f>AC4799*AG4799</f>
        <v>47.75</v>
      </c>
      <c r="AE4799" s="15">
        <v>105</v>
      </c>
      <c r="AF4799" s="15">
        <f>AE4799*AG4799</f>
        <v>105</v>
      </c>
      <c r="AG4799" s="16">
        <v>1</v>
      </c>
    </row>
    <row r="4800" spans="1:33" ht="15" customHeight="1" x14ac:dyDescent="0.2">
      <c r="A4800" s="11" t="str">
        <f>HYPERLINK("https://assets.vans.eu/images/VN000NQWBKA-HERO/1","VN000NQWBKA1")</f>
        <v>VN000NQWBKA1</v>
      </c>
      <c r="B4800" s="12" t="s">
        <v>16779</v>
      </c>
      <c r="C4800" s="12" t="s">
        <v>16780</v>
      </c>
      <c r="D4800" s="12" t="s">
        <v>252</v>
      </c>
      <c r="E4800" s="12" t="s">
        <v>16781</v>
      </c>
      <c r="F4800" s="12" t="s">
        <v>78</v>
      </c>
      <c r="G4800" s="14"/>
      <c r="H4800" s="12" t="s">
        <v>79</v>
      </c>
      <c r="I4800" s="12" t="s">
        <v>125</v>
      </c>
      <c r="J4800" s="12" t="s">
        <v>126</v>
      </c>
      <c r="K4800" s="12" t="s">
        <v>64</v>
      </c>
      <c r="L4800" s="14"/>
      <c r="M4800" s="12" t="s">
        <v>43</v>
      </c>
      <c r="N4800" s="12" t="s">
        <v>101</v>
      </c>
      <c r="O4800" s="12" t="s">
        <v>16782</v>
      </c>
      <c r="P4800" s="12" t="s">
        <v>86</v>
      </c>
      <c r="Q4800" s="12" t="s">
        <v>128</v>
      </c>
      <c r="R4800" s="12" t="s">
        <v>129</v>
      </c>
      <c r="S4800" s="13">
        <v>190284192802</v>
      </c>
      <c r="T4800" s="12" t="s">
        <v>143</v>
      </c>
      <c r="U4800" s="12" t="s">
        <v>78</v>
      </c>
      <c r="V4800" s="12" t="s">
        <v>1221</v>
      </c>
      <c r="W4800" s="12" t="s">
        <v>51</v>
      </c>
      <c r="X4800" s="13">
        <v>0</v>
      </c>
      <c r="Y4800" s="12" t="s">
        <v>91</v>
      </c>
      <c r="Z4800" s="12" t="s">
        <v>108</v>
      </c>
      <c r="AA4800" s="13">
        <v>0</v>
      </c>
      <c r="AB4800" s="13">
        <v>0</v>
      </c>
      <c r="AC4800" s="15">
        <v>10</v>
      </c>
      <c r="AD4800" s="15">
        <f>AC4800*AG4800</f>
        <v>0</v>
      </c>
      <c r="AE4800" s="15">
        <v>22</v>
      </c>
      <c r="AF4800" s="15">
        <f>AE4800*AG4800</f>
        <v>0</v>
      </c>
      <c r="AG4800" s="16">
        <v>0</v>
      </c>
    </row>
    <row r="4801" spans="1:33" ht="15" customHeight="1" x14ac:dyDescent="0.2">
      <c r="A4801" s="11" t="str">
        <f t="shared" ref="A4801:A4850" si="1473">HYPERLINK("https://assets.vans.eu/images/VN000PP2BLK-HERO/1","VN000PP2BLK1")</f>
        <v>VN000PP2BLK1</v>
      </c>
      <c r="B4801" s="12" t="s">
        <v>16783</v>
      </c>
      <c r="C4801" s="12" t="s">
        <v>16784</v>
      </c>
      <c r="D4801" s="12" t="s">
        <v>76</v>
      </c>
      <c r="E4801" s="12" t="s">
        <v>16785</v>
      </c>
      <c r="F4801" s="12" t="s">
        <v>403</v>
      </c>
      <c r="G4801" s="14"/>
      <c r="H4801" s="12" t="s">
        <v>79</v>
      </c>
      <c r="I4801" s="12" t="s">
        <v>80</v>
      </c>
      <c r="J4801" s="12" t="s">
        <v>171</v>
      </c>
      <c r="K4801" s="12" t="s">
        <v>82</v>
      </c>
      <c r="L4801" s="14"/>
      <c r="M4801" s="12" t="s">
        <v>43</v>
      </c>
      <c r="N4801" s="12" t="s">
        <v>84</v>
      </c>
      <c r="O4801" s="12" t="s">
        <v>16786</v>
      </c>
      <c r="P4801" s="12" t="s">
        <v>86</v>
      </c>
      <c r="Q4801" s="12" t="s">
        <v>141</v>
      </c>
      <c r="R4801" s="12" t="s">
        <v>173</v>
      </c>
      <c r="S4801" s="13">
        <v>197804617593</v>
      </c>
      <c r="T4801" s="12" t="s">
        <v>143</v>
      </c>
      <c r="U4801" s="12" t="s">
        <v>403</v>
      </c>
      <c r="V4801" s="12" t="s">
        <v>16787</v>
      </c>
      <c r="W4801" s="12" t="s">
        <v>51</v>
      </c>
      <c r="X4801" s="14"/>
      <c r="Y4801" s="14"/>
      <c r="Z4801" s="14"/>
      <c r="AA4801" s="14"/>
      <c r="AB4801" s="14"/>
      <c r="AC4801" s="15">
        <v>9.1</v>
      </c>
      <c r="AD4801" s="15">
        <f>AC4801*AG4801</f>
        <v>627.9</v>
      </c>
      <c r="AE4801" s="15">
        <v>20</v>
      </c>
      <c r="AF4801" s="15">
        <f>AE4801*AG4801</f>
        <v>1380</v>
      </c>
      <c r="AG4801" s="16">
        <v>69</v>
      </c>
    </row>
    <row r="4802" spans="1:33" ht="15" customHeight="1" x14ac:dyDescent="0.2">
      <c r="A4802" s="11" t="str">
        <f t="shared" ref="A4802:A4806" si="1474">HYPERLINK("https://assets.vans.eu/images/VN000PNH5TU-HERO/1","VN000PNH5TU1")</f>
        <v>VN000PNH5TU1</v>
      </c>
      <c r="B4802" s="12" t="s">
        <v>16788</v>
      </c>
      <c r="C4802" s="12" t="s">
        <v>16789</v>
      </c>
      <c r="D4802" s="12" t="s">
        <v>1356</v>
      </c>
      <c r="E4802" s="12" t="s">
        <v>16790</v>
      </c>
      <c r="F4802" s="12" t="s">
        <v>153</v>
      </c>
      <c r="G4802" s="14"/>
      <c r="H4802" s="12" t="s">
        <v>61</v>
      </c>
      <c r="I4802" s="12" t="s">
        <v>230</v>
      </c>
      <c r="J4802" s="12" t="s">
        <v>419</v>
      </c>
      <c r="K4802" s="12" t="s">
        <v>199</v>
      </c>
      <c r="L4802" s="14"/>
      <c r="M4802" s="12" t="s">
        <v>43</v>
      </c>
      <c r="N4802" s="12" t="s">
        <v>84</v>
      </c>
      <c r="O4802" s="12" t="s">
        <v>16791</v>
      </c>
      <c r="P4802" s="12" t="s">
        <v>66</v>
      </c>
      <c r="Q4802" s="12" t="s">
        <v>67</v>
      </c>
      <c r="R4802" s="12" t="s">
        <v>421</v>
      </c>
      <c r="S4802" s="13">
        <v>197804362981</v>
      </c>
      <c r="T4802" s="12" t="s">
        <v>49</v>
      </c>
      <c r="U4802" s="12" t="s">
        <v>153</v>
      </c>
      <c r="V4802" s="12" t="s">
        <v>665</v>
      </c>
      <c r="W4802" s="12" t="s">
        <v>284</v>
      </c>
      <c r="X4802" s="14"/>
      <c r="Y4802" s="14"/>
      <c r="Z4802" s="14"/>
      <c r="AA4802" s="14"/>
      <c r="AB4802" s="14"/>
      <c r="AC4802" s="15">
        <v>19.100000000000001</v>
      </c>
      <c r="AD4802" s="15">
        <f>AC4802*AG4802</f>
        <v>458.40000000000003</v>
      </c>
      <c r="AE4802" s="15">
        <v>42</v>
      </c>
      <c r="AF4802" s="15">
        <f>AE4802*AG4802</f>
        <v>1008</v>
      </c>
      <c r="AG4802" s="16">
        <v>24</v>
      </c>
    </row>
    <row r="4803" spans="1:33" ht="15" customHeight="1" x14ac:dyDescent="0.2">
      <c r="A4803" s="11" t="str">
        <f t="shared" si="1474"/>
        <v>VN000PNH5TU1</v>
      </c>
      <c r="B4803" s="12" t="s">
        <v>16792</v>
      </c>
      <c r="C4803" s="12" t="s">
        <v>16789</v>
      </c>
      <c r="D4803" s="12" t="s">
        <v>1356</v>
      </c>
      <c r="E4803" s="12" t="s">
        <v>16793</v>
      </c>
      <c r="F4803" s="12" t="s">
        <v>403</v>
      </c>
      <c r="G4803" s="14"/>
      <c r="H4803" s="12" t="s">
        <v>61</v>
      </c>
      <c r="I4803" s="12" t="s">
        <v>230</v>
      </c>
      <c r="J4803" s="12" t="s">
        <v>419</v>
      </c>
      <c r="K4803" s="12" t="s">
        <v>199</v>
      </c>
      <c r="L4803" s="14"/>
      <c r="M4803" s="12" t="s">
        <v>43</v>
      </c>
      <c r="N4803" s="12" t="s">
        <v>84</v>
      </c>
      <c r="O4803" s="12" t="s">
        <v>16794</v>
      </c>
      <c r="P4803" s="12" t="s">
        <v>66</v>
      </c>
      <c r="Q4803" s="12" t="s">
        <v>67</v>
      </c>
      <c r="R4803" s="12" t="s">
        <v>421</v>
      </c>
      <c r="S4803" s="13">
        <v>197804362684</v>
      </c>
      <c r="T4803" s="12" t="s">
        <v>49</v>
      </c>
      <c r="U4803" s="12" t="s">
        <v>403</v>
      </c>
      <c r="V4803" s="12" t="s">
        <v>665</v>
      </c>
      <c r="W4803" s="12" t="s">
        <v>284</v>
      </c>
      <c r="X4803" s="14"/>
      <c r="Y4803" s="14"/>
      <c r="Z4803" s="14"/>
      <c r="AA4803" s="14"/>
      <c r="AB4803" s="14"/>
      <c r="AC4803" s="15">
        <v>19.100000000000001</v>
      </c>
      <c r="AD4803" s="15">
        <f>AC4803*AG4803</f>
        <v>420.20000000000005</v>
      </c>
      <c r="AE4803" s="15">
        <v>42</v>
      </c>
      <c r="AF4803" s="15">
        <f>AE4803*AG4803</f>
        <v>924</v>
      </c>
      <c r="AG4803" s="16">
        <v>22</v>
      </c>
    </row>
    <row r="4804" spans="1:33" ht="15" customHeight="1" x14ac:dyDescent="0.2">
      <c r="A4804" s="11" t="str">
        <f t="shared" ref="A4804:A5005" si="1475">HYPERLINK("https://assets.vans.eu/images/VN000EEBBO5-HERO/1","VN000EEBBO51")</f>
        <v>VN000EEBBO51</v>
      </c>
      <c r="B4804" s="12" t="s">
        <v>16795</v>
      </c>
      <c r="C4804" s="12" t="s">
        <v>16796</v>
      </c>
      <c r="D4804" s="12" t="s">
        <v>2835</v>
      </c>
      <c r="E4804" s="12" t="s">
        <v>16797</v>
      </c>
      <c r="F4804" s="13">
        <v>85</v>
      </c>
      <c r="G4804" s="14"/>
      <c r="H4804" s="12" t="s">
        <v>38</v>
      </c>
      <c r="I4804" s="12" t="s">
        <v>113</v>
      </c>
      <c r="J4804" s="12" t="s">
        <v>529</v>
      </c>
      <c r="K4804" s="12" t="s">
        <v>82</v>
      </c>
      <c r="L4804" s="12" t="s">
        <v>115</v>
      </c>
      <c r="M4804" s="12" t="s">
        <v>43</v>
      </c>
      <c r="N4804" s="12" t="s">
        <v>84</v>
      </c>
      <c r="O4804" s="12" t="s">
        <v>16798</v>
      </c>
      <c r="P4804" s="12" t="s">
        <v>46</v>
      </c>
      <c r="Q4804" s="12" t="s">
        <v>47</v>
      </c>
      <c r="R4804" s="12" t="s">
        <v>117</v>
      </c>
      <c r="S4804" s="13">
        <v>197805787325</v>
      </c>
      <c r="T4804" s="12" t="s">
        <v>105</v>
      </c>
      <c r="U4804" s="13">
        <v>41</v>
      </c>
      <c r="V4804" s="12" t="s">
        <v>50</v>
      </c>
      <c r="W4804" s="12" t="s">
        <v>598</v>
      </c>
      <c r="X4804" s="14"/>
      <c r="Y4804" s="14"/>
      <c r="Z4804" s="14"/>
      <c r="AA4804" s="14"/>
      <c r="AB4804" s="14"/>
      <c r="AC4804" s="15">
        <v>59.1</v>
      </c>
      <c r="AD4804" s="15">
        <f>AC4804*AG4804</f>
        <v>1063.8</v>
      </c>
      <c r="AE4804" s="15">
        <v>130</v>
      </c>
      <c r="AF4804" s="15">
        <f>AE4804*AG4804</f>
        <v>2340</v>
      </c>
      <c r="AG4804" s="16">
        <v>18</v>
      </c>
    </row>
    <row r="4805" spans="1:33" ht="15" customHeight="1" x14ac:dyDescent="0.2">
      <c r="A4805" s="11" t="str">
        <f t="shared" si="1475"/>
        <v>VN000EEBBO51</v>
      </c>
      <c r="B4805" s="12" t="s">
        <v>16799</v>
      </c>
      <c r="C4805" s="12" t="s">
        <v>16796</v>
      </c>
      <c r="D4805" s="12" t="s">
        <v>2835</v>
      </c>
      <c r="E4805" s="12" t="s">
        <v>16800</v>
      </c>
      <c r="F4805" s="13">
        <v>100</v>
      </c>
      <c r="G4805" s="14"/>
      <c r="H4805" s="12" t="s">
        <v>38</v>
      </c>
      <c r="I4805" s="12" t="s">
        <v>113</v>
      </c>
      <c r="J4805" s="12" t="s">
        <v>529</v>
      </c>
      <c r="K4805" s="12" t="s">
        <v>82</v>
      </c>
      <c r="L4805" s="12" t="s">
        <v>115</v>
      </c>
      <c r="M4805" s="12" t="s">
        <v>43</v>
      </c>
      <c r="N4805" s="12" t="s">
        <v>84</v>
      </c>
      <c r="O4805" s="12" t="s">
        <v>16801</v>
      </c>
      <c r="P4805" s="12" t="s">
        <v>46</v>
      </c>
      <c r="Q4805" s="12" t="s">
        <v>47</v>
      </c>
      <c r="R4805" s="12" t="s">
        <v>117</v>
      </c>
      <c r="S4805" s="13">
        <v>197805787714</v>
      </c>
      <c r="T4805" s="12" t="s">
        <v>105</v>
      </c>
      <c r="U4805" s="13">
        <v>43</v>
      </c>
      <c r="V4805" s="12" t="s">
        <v>50</v>
      </c>
      <c r="W4805" s="12" t="s">
        <v>598</v>
      </c>
      <c r="X4805" s="14"/>
      <c r="Y4805" s="14"/>
      <c r="Z4805" s="14"/>
      <c r="AA4805" s="14"/>
      <c r="AB4805" s="14"/>
      <c r="AC4805" s="15">
        <v>59.1</v>
      </c>
      <c r="AD4805" s="15">
        <f>AC4805*AG4805</f>
        <v>945.6</v>
      </c>
      <c r="AE4805" s="15">
        <v>130</v>
      </c>
      <c r="AF4805" s="15">
        <f>AE4805*AG4805</f>
        <v>2080</v>
      </c>
      <c r="AG4805" s="16">
        <v>16</v>
      </c>
    </row>
    <row r="4806" spans="1:33" ht="15" customHeight="1" x14ac:dyDescent="0.2">
      <c r="A4806" s="11" t="str">
        <f t="shared" si="1474"/>
        <v>VN000PNH5TU1</v>
      </c>
      <c r="B4806" s="12" t="s">
        <v>16802</v>
      </c>
      <c r="C4806" s="12" t="s">
        <v>16789</v>
      </c>
      <c r="D4806" s="12" t="s">
        <v>1356</v>
      </c>
      <c r="E4806" s="12" t="s">
        <v>16803</v>
      </c>
      <c r="F4806" s="12" t="s">
        <v>170</v>
      </c>
      <c r="G4806" s="14"/>
      <c r="H4806" s="12" t="s">
        <v>61</v>
      </c>
      <c r="I4806" s="12" t="s">
        <v>230</v>
      </c>
      <c r="J4806" s="12" t="s">
        <v>419</v>
      </c>
      <c r="K4806" s="12" t="s">
        <v>199</v>
      </c>
      <c r="L4806" s="14"/>
      <c r="M4806" s="12" t="s">
        <v>43</v>
      </c>
      <c r="N4806" s="12" t="s">
        <v>84</v>
      </c>
      <c r="O4806" s="12" t="s">
        <v>16804</v>
      </c>
      <c r="P4806" s="12" t="s">
        <v>66</v>
      </c>
      <c r="Q4806" s="12" t="s">
        <v>67</v>
      </c>
      <c r="R4806" s="12" t="s">
        <v>421</v>
      </c>
      <c r="S4806" s="13">
        <v>197804362646</v>
      </c>
      <c r="T4806" s="12" t="s">
        <v>49</v>
      </c>
      <c r="U4806" s="12" t="s">
        <v>170</v>
      </c>
      <c r="V4806" s="12" t="s">
        <v>665</v>
      </c>
      <c r="W4806" s="12" t="s">
        <v>284</v>
      </c>
      <c r="X4806" s="14"/>
      <c r="Y4806" s="14"/>
      <c r="Z4806" s="14"/>
      <c r="AA4806" s="14"/>
      <c r="AB4806" s="14"/>
      <c r="AC4806" s="15">
        <v>19.100000000000001</v>
      </c>
      <c r="AD4806" s="15">
        <f>AC4806*AG4806</f>
        <v>248.3</v>
      </c>
      <c r="AE4806" s="15">
        <v>42</v>
      </c>
      <c r="AF4806" s="15">
        <f>AE4806*AG4806</f>
        <v>546</v>
      </c>
      <c r="AG4806" s="16">
        <v>13</v>
      </c>
    </row>
    <row r="4807" spans="1:33" ht="15" customHeight="1" x14ac:dyDescent="0.2">
      <c r="A4807" s="11" t="str">
        <f>HYPERLINK("https://assets.vans.eu/images/VN000GKZBLK-HERO/1","VN000GKZBLK1")</f>
        <v>VN000GKZBLK1</v>
      </c>
      <c r="B4807" s="12" t="s">
        <v>16805</v>
      </c>
      <c r="C4807" s="12" t="s">
        <v>16806</v>
      </c>
      <c r="D4807" s="12" t="s">
        <v>76</v>
      </c>
      <c r="E4807" s="12" t="s">
        <v>16807</v>
      </c>
      <c r="F4807" s="12" t="s">
        <v>78</v>
      </c>
      <c r="G4807" s="14"/>
      <c r="H4807" s="12" t="s">
        <v>79</v>
      </c>
      <c r="I4807" s="12" t="s">
        <v>80</v>
      </c>
      <c r="J4807" s="12" t="s">
        <v>349</v>
      </c>
      <c r="K4807" s="12" t="s">
        <v>82</v>
      </c>
      <c r="L4807" s="14"/>
      <c r="M4807" s="12" t="s">
        <v>43</v>
      </c>
      <c r="N4807" s="12" t="s">
        <v>274</v>
      </c>
      <c r="O4807" s="12" t="s">
        <v>16808</v>
      </c>
      <c r="P4807" s="12" t="s">
        <v>86</v>
      </c>
      <c r="Q4807" s="12" t="s">
        <v>128</v>
      </c>
      <c r="R4807" s="12" t="s">
        <v>352</v>
      </c>
      <c r="S4807" s="13">
        <v>197063463948</v>
      </c>
      <c r="T4807" s="12" t="s">
        <v>143</v>
      </c>
      <c r="U4807" s="12" t="s">
        <v>78</v>
      </c>
      <c r="V4807" s="12" t="s">
        <v>16809</v>
      </c>
      <c r="W4807" s="12" t="s">
        <v>51</v>
      </c>
      <c r="X4807" s="13">
        <v>0</v>
      </c>
      <c r="Y4807" s="12" t="s">
        <v>91</v>
      </c>
      <c r="Z4807" s="12" t="s">
        <v>16810</v>
      </c>
      <c r="AA4807" s="13">
        <v>0</v>
      </c>
      <c r="AB4807" s="13">
        <v>0</v>
      </c>
      <c r="AC4807" s="15">
        <v>16.399999999999999</v>
      </c>
      <c r="AD4807" s="15">
        <f>AC4807*AG4807</f>
        <v>196.79999999999998</v>
      </c>
      <c r="AE4807" s="15">
        <v>36</v>
      </c>
      <c r="AF4807" s="15">
        <f>AE4807*AG4807</f>
        <v>432</v>
      </c>
      <c r="AG4807" s="16">
        <v>12</v>
      </c>
    </row>
    <row r="4808" spans="1:33" ht="15" customHeight="1" x14ac:dyDescent="0.2">
      <c r="A4808" s="11" t="str">
        <f t="shared" ref="A4808:A5006" si="1476">HYPERLINK("https://assets.vans.eu/images/VN000EJTTC4-HERO/1","VN000EJTTC41")</f>
        <v>VN000EJTTC41</v>
      </c>
      <c r="B4808" s="12" t="s">
        <v>16811</v>
      </c>
      <c r="C4808" s="12" t="s">
        <v>16812</v>
      </c>
      <c r="D4808" s="12" t="s">
        <v>3291</v>
      </c>
      <c r="E4808" s="12" t="s">
        <v>16813</v>
      </c>
      <c r="F4808" s="13">
        <v>110</v>
      </c>
      <c r="G4808" s="14"/>
      <c r="H4808" s="12" t="s">
        <v>38</v>
      </c>
      <c r="I4808" s="12" t="s">
        <v>159</v>
      </c>
      <c r="J4808" s="12" t="s">
        <v>255</v>
      </c>
      <c r="K4808" s="12" t="s">
        <v>82</v>
      </c>
      <c r="L4808" s="12" t="s">
        <v>115</v>
      </c>
      <c r="M4808" s="12" t="s">
        <v>43</v>
      </c>
      <c r="N4808" s="12" t="s">
        <v>84</v>
      </c>
      <c r="O4808" s="12" t="s">
        <v>16814</v>
      </c>
      <c r="P4808" s="12" t="s">
        <v>46</v>
      </c>
      <c r="Q4808" s="12" t="s">
        <v>47</v>
      </c>
      <c r="R4808" s="12" t="s">
        <v>343</v>
      </c>
      <c r="S4808" s="13">
        <v>197805907358</v>
      </c>
      <c r="T4808" s="12" t="s">
        <v>49</v>
      </c>
      <c r="U4808" s="13">
        <v>44.5</v>
      </c>
      <c r="V4808" s="12" t="s">
        <v>278</v>
      </c>
      <c r="W4808" s="12" t="s">
        <v>455</v>
      </c>
      <c r="X4808" s="14"/>
      <c r="Y4808" s="14"/>
      <c r="Z4808" s="14"/>
      <c r="AA4808" s="14"/>
      <c r="AB4808" s="14"/>
      <c r="AC4808" s="15">
        <v>63.65</v>
      </c>
      <c r="AD4808" s="15">
        <f>AC4808*AG4808</f>
        <v>763.8</v>
      </c>
      <c r="AE4808" s="15">
        <v>140</v>
      </c>
      <c r="AF4808" s="15">
        <f>AE4808*AG4808</f>
        <v>1680</v>
      </c>
      <c r="AG4808" s="16">
        <v>12</v>
      </c>
    </row>
    <row r="4809" spans="1:33" ht="15" customHeight="1" x14ac:dyDescent="0.2">
      <c r="A4809" s="11" t="str">
        <f t="shared" si="1475"/>
        <v>VN000EEBBO51</v>
      </c>
      <c r="B4809" s="12" t="s">
        <v>16815</v>
      </c>
      <c r="C4809" s="12" t="s">
        <v>16796</v>
      </c>
      <c r="D4809" s="12" t="s">
        <v>2835</v>
      </c>
      <c r="E4809" s="12" t="s">
        <v>16816</v>
      </c>
      <c r="F4809" s="13">
        <v>90</v>
      </c>
      <c r="G4809" s="14"/>
      <c r="H4809" s="12" t="s">
        <v>38</v>
      </c>
      <c r="I4809" s="12" t="s">
        <v>113</v>
      </c>
      <c r="J4809" s="12" t="s">
        <v>529</v>
      </c>
      <c r="K4809" s="12" t="s">
        <v>82</v>
      </c>
      <c r="L4809" s="12" t="s">
        <v>115</v>
      </c>
      <c r="M4809" s="12" t="s">
        <v>43</v>
      </c>
      <c r="N4809" s="12" t="s">
        <v>84</v>
      </c>
      <c r="O4809" s="12" t="s">
        <v>16817</v>
      </c>
      <c r="P4809" s="12" t="s">
        <v>46</v>
      </c>
      <c r="Q4809" s="12" t="s">
        <v>47</v>
      </c>
      <c r="R4809" s="12" t="s">
        <v>117</v>
      </c>
      <c r="S4809" s="13">
        <v>197805787509</v>
      </c>
      <c r="T4809" s="12" t="s">
        <v>105</v>
      </c>
      <c r="U4809" s="13">
        <v>42</v>
      </c>
      <c r="V4809" s="12" t="s">
        <v>50</v>
      </c>
      <c r="W4809" s="12" t="s">
        <v>598</v>
      </c>
      <c r="X4809" s="14"/>
      <c r="Y4809" s="14"/>
      <c r="Z4809" s="14"/>
      <c r="AA4809" s="14"/>
      <c r="AB4809" s="14"/>
      <c r="AC4809" s="15">
        <v>59.1</v>
      </c>
      <c r="AD4809" s="15">
        <f>AC4809*AG4809</f>
        <v>591</v>
      </c>
      <c r="AE4809" s="15">
        <v>130</v>
      </c>
      <c r="AF4809" s="15">
        <f>AE4809*AG4809</f>
        <v>1300</v>
      </c>
      <c r="AG4809" s="16">
        <v>10</v>
      </c>
    </row>
    <row r="4810" spans="1:33" ht="15" customHeight="1" x14ac:dyDescent="0.2">
      <c r="A4810" s="11" t="str">
        <f t="shared" ref="A4810:A4929" si="1477">HYPERLINK("https://assets.vans.eu/images/VN000CVVSR6-HERO/1","VN000CVVSR61")</f>
        <v>VN000CVVSR61</v>
      </c>
      <c r="B4810" s="12" t="s">
        <v>16818</v>
      </c>
      <c r="C4810" s="12" t="s">
        <v>2407</v>
      </c>
      <c r="D4810" s="12" t="s">
        <v>16819</v>
      </c>
      <c r="E4810" s="12" t="s">
        <v>16820</v>
      </c>
      <c r="F4810" s="13">
        <v>55</v>
      </c>
      <c r="G4810" s="14"/>
      <c r="H4810" s="12" t="s">
        <v>38</v>
      </c>
      <c r="I4810" s="12" t="s">
        <v>113</v>
      </c>
      <c r="J4810" s="12" t="s">
        <v>529</v>
      </c>
      <c r="K4810" s="12" t="s">
        <v>82</v>
      </c>
      <c r="L4810" s="12" t="s">
        <v>42</v>
      </c>
      <c r="M4810" s="12" t="s">
        <v>43</v>
      </c>
      <c r="N4810" s="12" t="s">
        <v>84</v>
      </c>
      <c r="O4810" s="12" t="s">
        <v>16821</v>
      </c>
      <c r="P4810" s="12" t="s">
        <v>46</v>
      </c>
      <c r="Q4810" s="12" t="s">
        <v>47</v>
      </c>
      <c r="R4810" s="12" t="s">
        <v>2179</v>
      </c>
      <c r="S4810" s="13">
        <v>197804432738</v>
      </c>
      <c r="T4810" s="12" t="s">
        <v>49</v>
      </c>
      <c r="U4810" s="13">
        <v>37</v>
      </c>
      <c r="V4810" s="12" t="s">
        <v>278</v>
      </c>
      <c r="W4810" s="12" t="s">
        <v>299</v>
      </c>
      <c r="X4810" s="14"/>
      <c r="Y4810" s="14"/>
      <c r="Z4810" s="14"/>
      <c r="AA4810" s="14"/>
      <c r="AB4810" s="14"/>
      <c r="AC4810" s="15">
        <v>68.2</v>
      </c>
      <c r="AD4810" s="15">
        <f>AC4810*AG4810</f>
        <v>613.80000000000007</v>
      </c>
      <c r="AE4810" s="15">
        <v>150</v>
      </c>
      <c r="AF4810" s="15">
        <f>AE4810*AG4810</f>
        <v>1350</v>
      </c>
      <c r="AG4810" s="16">
        <v>9</v>
      </c>
    </row>
    <row r="4811" spans="1:33" ht="15" customHeight="1" x14ac:dyDescent="0.2">
      <c r="A4811" s="11" t="str">
        <f t="shared" si="1477"/>
        <v>VN000CVVSR61</v>
      </c>
      <c r="B4811" s="12" t="s">
        <v>16822</v>
      </c>
      <c r="C4811" s="12" t="s">
        <v>2407</v>
      </c>
      <c r="D4811" s="12" t="s">
        <v>16819</v>
      </c>
      <c r="E4811" s="12" t="s">
        <v>16823</v>
      </c>
      <c r="F4811" s="13">
        <v>85</v>
      </c>
      <c r="G4811" s="14"/>
      <c r="H4811" s="12" t="s">
        <v>38</v>
      </c>
      <c r="I4811" s="12" t="s">
        <v>113</v>
      </c>
      <c r="J4811" s="12" t="s">
        <v>529</v>
      </c>
      <c r="K4811" s="12" t="s">
        <v>82</v>
      </c>
      <c r="L4811" s="12" t="s">
        <v>42</v>
      </c>
      <c r="M4811" s="12" t="s">
        <v>43</v>
      </c>
      <c r="N4811" s="12" t="s">
        <v>84</v>
      </c>
      <c r="O4811" s="12" t="s">
        <v>16824</v>
      </c>
      <c r="P4811" s="12" t="s">
        <v>46</v>
      </c>
      <c r="Q4811" s="12" t="s">
        <v>47</v>
      </c>
      <c r="R4811" s="12" t="s">
        <v>2179</v>
      </c>
      <c r="S4811" s="13">
        <v>197804433544</v>
      </c>
      <c r="T4811" s="12" t="s">
        <v>49</v>
      </c>
      <c r="U4811" s="13">
        <v>41</v>
      </c>
      <c r="V4811" s="12" t="s">
        <v>278</v>
      </c>
      <c r="W4811" s="12" t="s">
        <v>299</v>
      </c>
      <c r="X4811" s="14"/>
      <c r="Y4811" s="14"/>
      <c r="Z4811" s="14"/>
      <c r="AA4811" s="14"/>
      <c r="AB4811" s="14"/>
      <c r="AC4811" s="15">
        <v>68.2</v>
      </c>
      <c r="AD4811" s="15">
        <f>AC4811*AG4811</f>
        <v>613.80000000000007</v>
      </c>
      <c r="AE4811" s="15">
        <v>150</v>
      </c>
      <c r="AF4811" s="15">
        <f>AE4811*AG4811</f>
        <v>1350</v>
      </c>
      <c r="AG4811" s="16">
        <v>9</v>
      </c>
    </row>
    <row r="4812" spans="1:33" ht="15" customHeight="1" x14ac:dyDescent="0.2">
      <c r="A4812" s="11" t="str">
        <f t="shared" ref="A4812:A4952" si="1478">HYPERLINK("https://assets.vans.eu/images/VN000D3JB7G-HERO/1","VN000D3JB7G1")</f>
        <v>VN000D3JB7G1</v>
      </c>
      <c r="B4812" s="12" t="s">
        <v>16825</v>
      </c>
      <c r="C4812" s="12" t="s">
        <v>16826</v>
      </c>
      <c r="D4812" s="12" t="s">
        <v>9054</v>
      </c>
      <c r="E4812" s="12" t="s">
        <v>16827</v>
      </c>
      <c r="F4812" s="13">
        <v>90</v>
      </c>
      <c r="G4812" s="14"/>
      <c r="H4812" s="12" t="s">
        <v>38</v>
      </c>
      <c r="I4812" s="12" t="s">
        <v>159</v>
      </c>
      <c r="J4812" s="12" t="s">
        <v>341</v>
      </c>
      <c r="K4812" s="12" t="s">
        <v>199</v>
      </c>
      <c r="L4812" s="14"/>
      <c r="M4812" s="12" t="s">
        <v>43</v>
      </c>
      <c r="N4812" s="12" t="s">
        <v>44</v>
      </c>
      <c r="O4812" s="12" t="s">
        <v>16828</v>
      </c>
      <c r="P4812" s="12" t="s">
        <v>46</v>
      </c>
      <c r="Q4812" s="12" t="s">
        <v>47</v>
      </c>
      <c r="R4812" s="12" t="s">
        <v>163</v>
      </c>
      <c r="S4812" s="13">
        <v>197643272090</v>
      </c>
      <c r="T4812" s="12" t="s">
        <v>49</v>
      </c>
      <c r="U4812" s="13">
        <v>42</v>
      </c>
      <c r="V4812" s="12" t="s">
        <v>50</v>
      </c>
      <c r="W4812" s="12" t="s">
        <v>186</v>
      </c>
      <c r="X4812" s="14"/>
      <c r="Y4812" s="12" t="s">
        <v>53</v>
      </c>
      <c r="Z4812" s="12" t="s">
        <v>165</v>
      </c>
      <c r="AA4812" s="14"/>
      <c r="AB4812" s="14"/>
      <c r="AC4812" s="15">
        <v>45.5</v>
      </c>
      <c r="AD4812" s="15">
        <f>AC4812*AG4812</f>
        <v>409.5</v>
      </c>
      <c r="AE4812" s="15">
        <v>100</v>
      </c>
      <c r="AF4812" s="15">
        <f>AE4812*AG4812</f>
        <v>900</v>
      </c>
      <c r="AG4812" s="16">
        <v>9</v>
      </c>
    </row>
    <row r="4813" spans="1:33" ht="15" customHeight="1" x14ac:dyDescent="0.2">
      <c r="A4813" s="11" t="str">
        <f t="shared" si="1478"/>
        <v>VN000D3JB7G1</v>
      </c>
      <c r="B4813" s="12" t="s">
        <v>16829</v>
      </c>
      <c r="C4813" s="12" t="s">
        <v>16826</v>
      </c>
      <c r="D4813" s="12" t="s">
        <v>9054</v>
      </c>
      <c r="E4813" s="12" t="s">
        <v>16830</v>
      </c>
      <c r="F4813" s="13">
        <v>100</v>
      </c>
      <c r="G4813" s="14"/>
      <c r="H4813" s="12" t="s">
        <v>38</v>
      </c>
      <c r="I4813" s="12" t="s">
        <v>159</v>
      </c>
      <c r="J4813" s="12" t="s">
        <v>341</v>
      </c>
      <c r="K4813" s="12" t="s">
        <v>199</v>
      </c>
      <c r="L4813" s="14"/>
      <c r="M4813" s="12" t="s">
        <v>43</v>
      </c>
      <c r="N4813" s="12" t="s">
        <v>44</v>
      </c>
      <c r="O4813" s="12" t="s">
        <v>16831</v>
      </c>
      <c r="P4813" s="12" t="s">
        <v>46</v>
      </c>
      <c r="Q4813" s="12" t="s">
        <v>47</v>
      </c>
      <c r="R4813" s="12" t="s">
        <v>163</v>
      </c>
      <c r="S4813" s="13">
        <v>197643272458</v>
      </c>
      <c r="T4813" s="12" t="s">
        <v>49</v>
      </c>
      <c r="U4813" s="13">
        <v>43</v>
      </c>
      <c r="V4813" s="12" t="s">
        <v>50</v>
      </c>
      <c r="W4813" s="12" t="s">
        <v>186</v>
      </c>
      <c r="X4813" s="14"/>
      <c r="Y4813" s="12" t="s">
        <v>53</v>
      </c>
      <c r="Z4813" s="12" t="s">
        <v>165</v>
      </c>
      <c r="AA4813" s="14"/>
      <c r="AB4813" s="14"/>
      <c r="AC4813" s="15">
        <v>45.5</v>
      </c>
      <c r="AD4813" s="15">
        <f>AC4813*AG4813</f>
        <v>409.5</v>
      </c>
      <c r="AE4813" s="15">
        <v>100</v>
      </c>
      <c r="AF4813" s="15">
        <f>AE4813*AG4813</f>
        <v>900</v>
      </c>
      <c r="AG4813" s="16">
        <v>9</v>
      </c>
    </row>
    <row r="4814" spans="1:33" ht="15" customHeight="1" x14ac:dyDescent="0.2">
      <c r="A4814" s="11" t="str">
        <f t="shared" ref="A4814:A4970" si="1479">HYPERLINK("https://assets.vans.eu/images/VN000D5RZHJ-HERO/1","VN000D5RZHJ1")</f>
        <v>VN000D5RZHJ1</v>
      </c>
      <c r="B4814" s="12" t="s">
        <v>16832</v>
      </c>
      <c r="C4814" s="12" t="s">
        <v>5867</v>
      </c>
      <c r="D4814" s="12" t="s">
        <v>16833</v>
      </c>
      <c r="E4814" s="12" t="s">
        <v>16834</v>
      </c>
      <c r="F4814" s="13">
        <v>70</v>
      </c>
      <c r="G4814" s="14"/>
      <c r="H4814" s="12" t="s">
        <v>38</v>
      </c>
      <c r="I4814" s="12" t="s">
        <v>159</v>
      </c>
      <c r="J4814" s="12" t="s">
        <v>341</v>
      </c>
      <c r="K4814" s="12" t="s">
        <v>199</v>
      </c>
      <c r="L4814" s="14"/>
      <c r="M4814" s="12" t="s">
        <v>43</v>
      </c>
      <c r="N4814" s="12" t="s">
        <v>84</v>
      </c>
      <c r="O4814" s="12" t="s">
        <v>16835</v>
      </c>
      <c r="P4814" s="12" t="s">
        <v>46</v>
      </c>
      <c r="Q4814" s="12" t="s">
        <v>47</v>
      </c>
      <c r="R4814" s="12" t="s">
        <v>163</v>
      </c>
      <c r="S4814" s="13">
        <v>197643280927</v>
      </c>
      <c r="T4814" s="12" t="s">
        <v>49</v>
      </c>
      <c r="U4814" s="13">
        <v>39</v>
      </c>
      <c r="V4814" s="12" t="s">
        <v>50</v>
      </c>
      <c r="W4814" s="12" t="s">
        <v>175</v>
      </c>
      <c r="X4814" s="14"/>
      <c r="Y4814" s="12" t="s">
        <v>53</v>
      </c>
      <c r="Z4814" s="12" t="s">
        <v>344</v>
      </c>
      <c r="AA4814" s="14"/>
      <c r="AB4814" s="14"/>
      <c r="AC4814" s="15">
        <v>38.65</v>
      </c>
      <c r="AD4814" s="15">
        <f>AC4814*AG4814</f>
        <v>347.84999999999997</v>
      </c>
      <c r="AE4814" s="15">
        <v>85</v>
      </c>
      <c r="AF4814" s="15">
        <f>AE4814*AG4814</f>
        <v>765</v>
      </c>
      <c r="AG4814" s="16">
        <v>9</v>
      </c>
    </row>
    <row r="4815" spans="1:33" ht="15" customHeight="1" x14ac:dyDescent="0.2">
      <c r="A4815" s="11" t="str">
        <f t="shared" si="1479"/>
        <v>VN000D5RZHJ1</v>
      </c>
      <c r="B4815" s="12" t="s">
        <v>16836</v>
      </c>
      <c r="C4815" s="12" t="s">
        <v>5867</v>
      </c>
      <c r="D4815" s="12" t="s">
        <v>16833</v>
      </c>
      <c r="E4815" s="12" t="s">
        <v>16837</v>
      </c>
      <c r="F4815" s="13">
        <v>75</v>
      </c>
      <c r="G4815" s="14"/>
      <c r="H4815" s="12" t="s">
        <v>38</v>
      </c>
      <c r="I4815" s="12" t="s">
        <v>159</v>
      </c>
      <c r="J4815" s="12" t="s">
        <v>341</v>
      </c>
      <c r="K4815" s="12" t="s">
        <v>199</v>
      </c>
      <c r="L4815" s="14"/>
      <c r="M4815" s="12" t="s">
        <v>43</v>
      </c>
      <c r="N4815" s="12" t="s">
        <v>84</v>
      </c>
      <c r="O4815" s="12" t="s">
        <v>16838</v>
      </c>
      <c r="P4815" s="12" t="s">
        <v>46</v>
      </c>
      <c r="Q4815" s="12" t="s">
        <v>47</v>
      </c>
      <c r="R4815" s="12" t="s">
        <v>163</v>
      </c>
      <c r="S4815" s="13">
        <v>197643280972</v>
      </c>
      <c r="T4815" s="12" t="s">
        <v>49</v>
      </c>
      <c r="U4815" s="13">
        <v>40</v>
      </c>
      <c r="V4815" s="12" t="s">
        <v>50</v>
      </c>
      <c r="W4815" s="12" t="s">
        <v>175</v>
      </c>
      <c r="X4815" s="14"/>
      <c r="Y4815" s="12" t="s">
        <v>53</v>
      </c>
      <c r="Z4815" s="12" t="s">
        <v>344</v>
      </c>
      <c r="AA4815" s="14"/>
      <c r="AB4815" s="14"/>
      <c r="AC4815" s="15">
        <v>38.65</v>
      </c>
      <c r="AD4815" s="15">
        <f>AC4815*AG4815</f>
        <v>309.2</v>
      </c>
      <c r="AE4815" s="15">
        <v>85</v>
      </c>
      <c r="AF4815" s="15">
        <f>AE4815*AG4815</f>
        <v>680</v>
      </c>
      <c r="AG4815" s="16">
        <v>8</v>
      </c>
    </row>
    <row r="4816" spans="1:33" ht="15" customHeight="1" x14ac:dyDescent="0.2">
      <c r="A4816" s="11" t="str">
        <f t="shared" si="1475"/>
        <v>VN000EEBBO51</v>
      </c>
      <c r="B4816" s="12" t="s">
        <v>16839</v>
      </c>
      <c r="C4816" s="12" t="s">
        <v>16796</v>
      </c>
      <c r="D4816" s="12" t="s">
        <v>2835</v>
      </c>
      <c r="E4816" s="12" t="s">
        <v>16840</v>
      </c>
      <c r="F4816" s="13">
        <v>105</v>
      </c>
      <c r="G4816" s="14"/>
      <c r="H4816" s="12" t="s">
        <v>38</v>
      </c>
      <c r="I4816" s="12" t="s">
        <v>113</v>
      </c>
      <c r="J4816" s="12" t="s">
        <v>529</v>
      </c>
      <c r="K4816" s="12" t="s">
        <v>82</v>
      </c>
      <c r="L4816" s="12" t="s">
        <v>115</v>
      </c>
      <c r="M4816" s="12" t="s">
        <v>43</v>
      </c>
      <c r="N4816" s="12" t="s">
        <v>84</v>
      </c>
      <c r="O4816" s="12" t="s">
        <v>16841</v>
      </c>
      <c r="P4816" s="12" t="s">
        <v>46</v>
      </c>
      <c r="Q4816" s="12" t="s">
        <v>47</v>
      </c>
      <c r="R4816" s="12" t="s">
        <v>117</v>
      </c>
      <c r="S4816" s="13">
        <v>197805787776</v>
      </c>
      <c r="T4816" s="12" t="s">
        <v>105</v>
      </c>
      <c r="U4816" s="13">
        <v>44</v>
      </c>
      <c r="V4816" s="12" t="s">
        <v>50</v>
      </c>
      <c r="W4816" s="12" t="s">
        <v>598</v>
      </c>
      <c r="X4816" s="14"/>
      <c r="Y4816" s="14"/>
      <c r="Z4816" s="14"/>
      <c r="AA4816" s="14"/>
      <c r="AB4816" s="14"/>
      <c r="AC4816" s="15">
        <v>59.1</v>
      </c>
      <c r="AD4816" s="15">
        <f>AC4816*AG4816</f>
        <v>472.8</v>
      </c>
      <c r="AE4816" s="15">
        <v>130</v>
      </c>
      <c r="AF4816" s="15">
        <f>AE4816*AG4816</f>
        <v>1040</v>
      </c>
      <c r="AG4816" s="16">
        <v>8</v>
      </c>
    </row>
    <row r="4817" spans="1:33" ht="15" customHeight="1" x14ac:dyDescent="0.2">
      <c r="A4817" s="11" t="str">
        <f t="shared" ref="A4817:A4917" si="1480">HYPERLINK("https://assets.vans.eu/images/VN000J9NCHG-HERO/1","VN000J9NCHG1")</f>
        <v>VN000J9NCHG1</v>
      </c>
      <c r="B4817" s="12" t="s">
        <v>16842</v>
      </c>
      <c r="C4817" s="12" t="s">
        <v>16843</v>
      </c>
      <c r="D4817" s="12" t="s">
        <v>1615</v>
      </c>
      <c r="E4817" s="12" t="s">
        <v>16844</v>
      </c>
      <c r="F4817" s="13">
        <v>40</v>
      </c>
      <c r="G4817" s="14"/>
      <c r="H4817" s="12" t="s">
        <v>61</v>
      </c>
      <c r="I4817" s="12" t="s">
        <v>230</v>
      </c>
      <c r="J4817" s="12" t="s">
        <v>231</v>
      </c>
      <c r="K4817" s="12" t="s">
        <v>199</v>
      </c>
      <c r="L4817" s="14"/>
      <c r="M4817" s="12" t="s">
        <v>43</v>
      </c>
      <c r="N4817" s="12" t="s">
        <v>161</v>
      </c>
      <c r="O4817" s="12" t="s">
        <v>16845</v>
      </c>
      <c r="P4817" s="12" t="s">
        <v>66</v>
      </c>
      <c r="Q4817" s="12" t="s">
        <v>233</v>
      </c>
      <c r="R4817" s="12" t="s">
        <v>361</v>
      </c>
      <c r="S4817" s="13">
        <v>197065492120</v>
      </c>
      <c r="T4817" s="12" t="s">
        <v>235</v>
      </c>
      <c r="U4817" s="13">
        <v>35</v>
      </c>
      <c r="V4817" s="12" t="s">
        <v>665</v>
      </c>
      <c r="W4817" s="12" t="s">
        <v>186</v>
      </c>
      <c r="X4817" s="13">
        <v>0</v>
      </c>
      <c r="Y4817" s="12" t="s">
        <v>91</v>
      </c>
      <c r="Z4817" s="12" t="s">
        <v>16810</v>
      </c>
      <c r="AA4817" s="13">
        <v>0</v>
      </c>
      <c r="AB4817" s="13">
        <v>0</v>
      </c>
      <c r="AC4817" s="15">
        <v>34.1</v>
      </c>
      <c r="AD4817" s="15">
        <f>AC4817*AG4817</f>
        <v>238.70000000000002</v>
      </c>
      <c r="AE4817" s="15">
        <v>75</v>
      </c>
      <c r="AF4817" s="15">
        <f>AE4817*AG4817</f>
        <v>525</v>
      </c>
      <c r="AG4817" s="16">
        <v>7</v>
      </c>
    </row>
    <row r="4818" spans="1:33" ht="15" customHeight="1" x14ac:dyDescent="0.2">
      <c r="A4818" s="11" t="str">
        <f t="shared" si="1477"/>
        <v>VN000CVVSR61</v>
      </c>
      <c r="B4818" s="12" t="s">
        <v>16846</v>
      </c>
      <c r="C4818" s="12" t="s">
        <v>2407</v>
      </c>
      <c r="D4818" s="12" t="s">
        <v>16819</v>
      </c>
      <c r="E4818" s="12" t="s">
        <v>16847</v>
      </c>
      <c r="F4818" s="13">
        <v>95</v>
      </c>
      <c r="G4818" s="14"/>
      <c r="H4818" s="12" t="s">
        <v>38</v>
      </c>
      <c r="I4818" s="12" t="s">
        <v>113</v>
      </c>
      <c r="J4818" s="12" t="s">
        <v>529</v>
      </c>
      <c r="K4818" s="12" t="s">
        <v>82</v>
      </c>
      <c r="L4818" s="12" t="s">
        <v>42</v>
      </c>
      <c r="M4818" s="12" t="s">
        <v>43</v>
      </c>
      <c r="N4818" s="12" t="s">
        <v>84</v>
      </c>
      <c r="O4818" s="12" t="s">
        <v>16848</v>
      </c>
      <c r="P4818" s="12" t="s">
        <v>46</v>
      </c>
      <c r="Q4818" s="12" t="s">
        <v>47</v>
      </c>
      <c r="R4818" s="12" t="s">
        <v>2179</v>
      </c>
      <c r="S4818" s="13">
        <v>197804433810</v>
      </c>
      <c r="T4818" s="12" t="s">
        <v>49</v>
      </c>
      <c r="U4818" s="13">
        <v>42.5</v>
      </c>
      <c r="V4818" s="12" t="s">
        <v>278</v>
      </c>
      <c r="W4818" s="12" t="s">
        <v>299</v>
      </c>
      <c r="X4818" s="14"/>
      <c r="Y4818" s="14"/>
      <c r="Z4818" s="14"/>
      <c r="AA4818" s="14"/>
      <c r="AB4818" s="14"/>
      <c r="AC4818" s="15">
        <v>68.2</v>
      </c>
      <c r="AD4818" s="15">
        <f>AC4818*AG4818</f>
        <v>477.40000000000003</v>
      </c>
      <c r="AE4818" s="15">
        <v>150</v>
      </c>
      <c r="AF4818" s="15">
        <f>AE4818*AG4818</f>
        <v>1050</v>
      </c>
      <c r="AG4818" s="16">
        <v>7</v>
      </c>
    </row>
    <row r="4819" spans="1:33" ht="15" customHeight="1" x14ac:dyDescent="0.2">
      <c r="A4819" s="11" t="str">
        <f t="shared" si="1477"/>
        <v>VN000CVVSR61</v>
      </c>
      <c r="B4819" s="12" t="s">
        <v>16849</v>
      </c>
      <c r="C4819" s="12" t="s">
        <v>2407</v>
      </c>
      <c r="D4819" s="12" t="s">
        <v>16819</v>
      </c>
      <c r="E4819" s="12" t="s">
        <v>16850</v>
      </c>
      <c r="F4819" s="13">
        <v>100</v>
      </c>
      <c r="G4819" s="14"/>
      <c r="H4819" s="12" t="s">
        <v>38</v>
      </c>
      <c r="I4819" s="12" t="s">
        <v>113</v>
      </c>
      <c r="J4819" s="12" t="s">
        <v>529</v>
      </c>
      <c r="K4819" s="12" t="s">
        <v>82</v>
      </c>
      <c r="L4819" s="12" t="s">
        <v>42</v>
      </c>
      <c r="M4819" s="12" t="s">
        <v>43</v>
      </c>
      <c r="N4819" s="12" t="s">
        <v>84</v>
      </c>
      <c r="O4819" s="12" t="s">
        <v>16851</v>
      </c>
      <c r="P4819" s="12" t="s">
        <v>46</v>
      </c>
      <c r="Q4819" s="12" t="s">
        <v>47</v>
      </c>
      <c r="R4819" s="12" t="s">
        <v>2179</v>
      </c>
      <c r="S4819" s="13">
        <v>197804434039</v>
      </c>
      <c r="T4819" s="12" t="s">
        <v>49</v>
      </c>
      <c r="U4819" s="13">
        <v>43</v>
      </c>
      <c r="V4819" s="12" t="s">
        <v>278</v>
      </c>
      <c r="W4819" s="12" t="s">
        <v>299</v>
      </c>
      <c r="X4819" s="14"/>
      <c r="Y4819" s="14"/>
      <c r="Z4819" s="14"/>
      <c r="AA4819" s="14"/>
      <c r="AB4819" s="14"/>
      <c r="AC4819" s="15">
        <v>68.2</v>
      </c>
      <c r="AD4819" s="15">
        <f>AC4819*AG4819</f>
        <v>477.40000000000003</v>
      </c>
      <c r="AE4819" s="15">
        <v>150</v>
      </c>
      <c r="AF4819" s="15">
        <f>AE4819*AG4819</f>
        <v>1050</v>
      </c>
      <c r="AG4819" s="16">
        <v>7</v>
      </c>
    </row>
    <row r="4820" spans="1:33" ht="15" customHeight="1" x14ac:dyDescent="0.2">
      <c r="A4820" s="11" t="str">
        <f t="shared" si="1477"/>
        <v>VN000CVVSR61</v>
      </c>
      <c r="B4820" s="12" t="s">
        <v>16852</v>
      </c>
      <c r="C4820" s="12" t="s">
        <v>2407</v>
      </c>
      <c r="D4820" s="12" t="s">
        <v>16819</v>
      </c>
      <c r="E4820" s="12" t="s">
        <v>16853</v>
      </c>
      <c r="F4820" s="13">
        <v>105</v>
      </c>
      <c r="G4820" s="14"/>
      <c r="H4820" s="12" t="s">
        <v>38</v>
      </c>
      <c r="I4820" s="12" t="s">
        <v>113</v>
      </c>
      <c r="J4820" s="12" t="s">
        <v>529</v>
      </c>
      <c r="K4820" s="12" t="s">
        <v>82</v>
      </c>
      <c r="L4820" s="12" t="s">
        <v>42</v>
      </c>
      <c r="M4820" s="12" t="s">
        <v>43</v>
      </c>
      <c r="N4820" s="12" t="s">
        <v>84</v>
      </c>
      <c r="O4820" s="12" t="s">
        <v>16854</v>
      </c>
      <c r="P4820" s="12" t="s">
        <v>46</v>
      </c>
      <c r="Q4820" s="12" t="s">
        <v>47</v>
      </c>
      <c r="R4820" s="12" t="s">
        <v>2179</v>
      </c>
      <c r="S4820" s="13">
        <v>197804434237</v>
      </c>
      <c r="T4820" s="12" t="s">
        <v>49</v>
      </c>
      <c r="U4820" s="13">
        <v>44</v>
      </c>
      <c r="V4820" s="12" t="s">
        <v>278</v>
      </c>
      <c r="W4820" s="12" t="s">
        <v>299</v>
      </c>
      <c r="X4820" s="14"/>
      <c r="Y4820" s="14"/>
      <c r="Z4820" s="14"/>
      <c r="AA4820" s="14"/>
      <c r="AB4820" s="14"/>
      <c r="AC4820" s="15">
        <v>68.2</v>
      </c>
      <c r="AD4820" s="15">
        <f>AC4820*AG4820</f>
        <v>477.40000000000003</v>
      </c>
      <c r="AE4820" s="15">
        <v>150</v>
      </c>
      <c r="AF4820" s="15">
        <f>AE4820*AG4820</f>
        <v>1050</v>
      </c>
      <c r="AG4820" s="16">
        <v>7</v>
      </c>
    </row>
    <row r="4821" spans="1:33" ht="15" customHeight="1" x14ac:dyDescent="0.2">
      <c r="A4821" s="11" t="str">
        <f t="shared" ref="A4821:A4945" si="1481">HYPERLINK("https://assets.vans.eu/images/VN000D1GSN0-HERO/1","VN000D1GSN01")</f>
        <v>VN000D1GSN01</v>
      </c>
      <c r="B4821" s="12" t="s">
        <v>16855</v>
      </c>
      <c r="C4821" s="12" t="s">
        <v>9139</v>
      </c>
      <c r="D4821" s="12" t="s">
        <v>13809</v>
      </c>
      <c r="E4821" s="12" t="s">
        <v>16856</v>
      </c>
      <c r="F4821" s="13">
        <v>85</v>
      </c>
      <c r="G4821" s="14"/>
      <c r="H4821" s="12" t="s">
        <v>38</v>
      </c>
      <c r="I4821" s="12" t="s">
        <v>159</v>
      </c>
      <c r="J4821" s="12" t="s">
        <v>341</v>
      </c>
      <c r="K4821" s="12" t="s">
        <v>199</v>
      </c>
      <c r="L4821" s="14"/>
      <c r="M4821" s="12" t="s">
        <v>43</v>
      </c>
      <c r="N4821" s="12" t="s">
        <v>44</v>
      </c>
      <c r="O4821" s="12" t="s">
        <v>16857</v>
      </c>
      <c r="P4821" s="12" t="s">
        <v>46</v>
      </c>
      <c r="Q4821" s="12" t="s">
        <v>47</v>
      </c>
      <c r="R4821" s="12" t="s">
        <v>163</v>
      </c>
      <c r="S4821" s="13">
        <v>197643266969</v>
      </c>
      <c r="T4821" s="12" t="s">
        <v>105</v>
      </c>
      <c r="U4821" s="13">
        <v>41</v>
      </c>
      <c r="V4821" s="12" t="s">
        <v>50</v>
      </c>
      <c r="W4821" s="12" t="s">
        <v>284</v>
      </c>
      <c r="X4821" s="14"/>
      <c r="Y4821" s="12" t="s">
        <v>91</v>
      </c>
      <c r="Z4821" s="12" t="s">
        <v>14497</v>
      </c>
      <c r="AA4821" s="14"/>
      <c r="AB4821" s="14"/>
      <c r="AC4821" s="15">
        <v>59.1</v>
      </c>
      <c r="AD4821" s="15">
        <f>AC4821*AG4821</f>
        <v>413.7</v>
      </c>
      <c r="AE4821" s="15">
        <v>130</v>
      </c>
      <c r="AF4821" s="15">
        <f>AE4821*AG4821</f>
        <v>910</v>
      </c>
      <c r="AG4821" s="16">
        <v>7</v>
      </c>
    </row>
    <row r="4822" spans="1:33" ht="15" customHeight="1" x14ac:dyDescent="0.2">
      <c r="A4822" s="11" t="str">
        <f>HYPERLINK("https://assets.vans.eu/images/VN0A4BXB1KP-HERO/1","VN0A4BXB1KP1")</f>
        <v>VN0A4BXB1KP1</v>
      </c>
      <c r="B4822" s="12" t="s">
        <v>16858</v>
      </c>
      <c r="C4822" s="12" t="s">
        <v>9320</v>
      </c>
      <c r="D4822" s="12" t="s">
        <v>3943</v>
      </c>
      <c r="E4822" s="12" t="s">
        <v>16859</v>
      </c>
      <c r="F4822" s="13">
        <v>85</v>
      </c>
      <c r="G4822" s="14"/>
      <c r="H4822" s="12" t="s">
        <v>38</v>
      </c>
      <c r="I4822" s="12" t="s">
        <v>159</v>
      </c>
      <c r="J4822" s="12" t="s">
        <v>255</v>
      </c>
      <c r="K4822" s="12" t="s">
        <v>82</v>
      </c>
      <c r="L4822" s="12" t="s">
        <v>42</v>
      </c>
      <c r="M4822" s="12" t="s">
        <v>43</v>
      </c>
      <c r="N4822" s="12" t="s">
        <v>101</v>
      </c>
      <c r="O4822" s="12" t="s">
        <v>16860</v>
      </c>
      <c r="P4822" s="12" t="s">
        <v>46</v>
      </c>
      <c r="Q4822" s="12" t="s">
        <v>47</v>
      </c>
      <c r="R4822" s="12" t="s">
        <v>163</v>
      </c>
      <c r="S4822" s="13">
        <v>196571299384</v>
      </c>
      <c r="T4822" s="12" t="s">
        <v>49</v>
      </c>
      <c r="U4822" s="13">
        <v>41</v>
      </c>
      <c r="V4822" s="12" t="s">
        <v>209</v>
      </c>
      <c r="W4822" s="12" t="s">
        <v>51</v>
      </c>
      <c r="X4822" s="14"/>
      <c r="Y4822" s="12" t="s">
        <v>91</v>
      </c>
      <c r="Z4822" s="12" t="s">
        <v>92</v>
      </c>
      <c r="AA4822" s="12" t="s">
        <v>3224</v>
      </c>
      <c r="AB4822" s="12" t="s">
        <v>55</v>
      </c>
      <c r="AC4822" s="15">
        <v>56.85</v>
      </c>
      <c r="AD4822" s="15">
        <f>AC4822*AG4822</f>
        <v>397.95</v>
      </c>
      <c r="AE4822" s="15">
        <v>125</v>
      </c>
      <c r="AF4822" s="15">
        <f>AE4822*AG4822</f>
        <v>875</v>
      </c>
      <c r="AG4822" s="16">
        <v>7</v>
      </c>
    </row>
    <row r="4823" spans="1:33" ht="15" customHeight="1" x14ac:dyDescent="0.2">
      <c r="A4823" s="11" t="str">
        <f t="shared" si="1480"/>
        <v>VN000J9NCHG1</v>
      </c>
      <c r="B4823" s="12" t="s">
        <v>16861</v>
      </c>
      <c r="C4823" s="12" t="s">
        <v>16843</v>
      </c>
      <c r="D4823" s="12" t="s">
        <v>1615</v>
      </c>
      <c r="E4823" s="12" t="s">
        <v>16862</v>
      </c>
      <c r="F4823" s="13">
        <v>28</v>
      </c>
      <c r="G4823" s="14"/>
      <c r="H4823" s="12" t="s">
        <v>61</v>
      </c>
      <c r="I4823" s="12" t="s">
        <v>230</v>
      </c>
      <c r="J4823" s="12" t="s">
        <v>231</v>
      </c>
      <c r="K4823" s="12" t="s">
        <v>199</v>
      </c>
      <c r="L4823" s="14"/>
      <c r="M4823" s="12" t="s">
        <v>43</v>
      </c>
      <c r="N4823" s="12" t="s">
        <v>161</v>
      </c>
      <c r="O4823" s="12" t="s">
        <v>16863</v>
      </c>
      <c r="P4823" s="12" t="s">
        <v>66</v>
      </c>
      <c r="Q4823" s="12" t="s">
        <v>233</v>
      </c>
      <c r="R4823" s="12" t="s">
        <v>361</v>
      </c>
      <c r="S4823" s="13">
        <v>197065491574</v>
      </c>
      <c r="T4823" s="12" t="s">
        <v>235</v>
      </c>
      <c r="U4823" s="13">
        <v>28</v>
      </c>
      <c r="V4823" s="12" t="s">
        <v>665</v>
      </c>
      <c r="W4823" s="12" t="s">
        <v>186</v>
      </c>
      <c r="X4823" s="13">
        <v>0</v>
      </c>
      <c r="Y4823" s="12" t="s">
        <v>91</v>
      </c>
      <c r="Z4823" s="12" t="s">
        <v>16810</v>
      </c>
      <c r="AA4823" s="13">
        <v>0</v>
      </c>
      <c r="AB4823" s="13">
        <v>0</v>
      </c>
      <c r="AC4823" s="15">
        <v>34.1</v>
      </c>
      <c r="AD4823" s="15">
        <f>AC4823*AG4823</f>
        <v>204.60000000000002</v>
      </c>
      <c r="AE4823" s="15">
        <v>75</v>
      </c>
      <c r="AF4823" s="15">
        <f>AE4823*AG4823</f>
        <v>450</v>
      </c>
      <c r="AG4823" s="16">
        <v>6</v>
      </c>
    </row>
    <row r="4824" spans="1:33" ht="15" customHeight="1" x14ac:dyDescent="0.2">
      <c r="A4824" s="11" t="str">
        <f t="shared" ref="A4824:A4927" si="1482">HYPERLINK("https://assets.vans.eu/images/VN000CVURV2-HERO/1","VN000CVURV21")</f>
        <v>VN000CVURV21</v>
      </c>
      <c r="B4824" s="12" t="s">
        <v>16864</v>
      </c>
      <c r="C4824" s="12" t="s">
        <v>2993</v>
      </c>
      <c r="D4824" s="12" t="s">
        <v>1428</v>
      </c>
      <c r="E4824" s="12" t="s">
        <v>16865</v>
      </c>
      <c r="F4824" s="13">
        <v>60</v>
      </c>
      <c r="G4824" s="14"/>
      <c r="H4824" s="12" t="s">
        <v>38</v>
      </c>
      <c r="I4824" s="12" t="s">
        <v>159</v>
      </c>
      <c r="J4824" s="12" t="s">
        <v>255</v>
      </c>
      <c r="K4824" s="12" t="s">
        <v>82</v>
      </c>
      <c r="L4824" s="12" t="s">
        <v>42</v>
      </c>
      <c r="M4824" s="12" t="s">
        <v>43</v>
      </c>
      <c r="N4824" s="12" t="s">
        <v>84</v>
      </c>
      <c r="O4824" s="12" t="s">
        <v>16866</v>
      </c>
      <c r="P4824" s="12" t="s">
        <v>46</v>
      </c>
      <c r="Q4824" s="12" t="s">
        <v>47</v>
      </c>
      <c r="R4824" s="12" t="s">
        <v>343</v>
      </c>
      <c r="S4824" s="13">
        <v>197804432370</v>
      </c>
      <c r="T4824" s="12" t="s">
        <v>49</v>
      </c>
      <c r="U4824" s="13">
        <v>38</v>
      </c>
      <c r="V4824" s="12" t="s">
        <v>278</v>
      </c>
      <c r="W4824" s="12" t="s">
        <v>51</v>
      </c>
      <c r="X4824" s="14"/>
      <c r="Y4824" s="14"/>
      <c r="Z4824" s="14"/>
      <c r="AA4824" s="14"/>
      <c r="AB4824" s="14"/>
      <c r="AC4824" s="15">
        <v>63.65</v>
      </c>
      <c r="AD4824" s="15">
        <f>AC4824*AG4824</f>
        <v>381.9</v>
      </c>
      <c r="AE4824" s="15">
        <v>140</v>
      </c>
      <c r="AF4824" s="15">
        <f>AE4824*AG4824</f>
        <v>840</v>
      </c>
      <c r="AG4824" s="16">
        <v>6</v>
      </c>
    </row>
    <row r="4825" spans="1:33" ht="15" customHeight="1" x14ac:dyDescent="0.2">
      <c r="A4825" s="11" t="str">
        <f t="shared" si="1477"/>
        <v>VN000CVVSR61</v>
      </c>
      <c r="B4825" s="12" t="s">
        <v>16867</v>
      </c>
      <c r="C4825" s="12" t="s">
        <v>2407</v>
      </c>
      <c r="D4825" s="12" t="s">
        <v>16819</v>
      </c>
      <c r="E4825" s="12" t="s">
        <v>16868</v>
      </c>
      <c r="F4825" s="13">
        <v>60</v>
      </c>
      <c r="G4825" s="14"/>
      <c r="H4825" s="12" t="s">
        <v>38</v>
      </c>
      <c r="I4825" s="12" t="s">
        <v>113</v>
      </c>
      <c r="J4825" s="12" t="s">
        <v>529</v>
      </c>
      <c r="K4825" s="12" t="s">
        <v>82</v>
      </c>
      <c r="L4825" s="12" t="s">
        <v>42</v>
      </c>
      <c r="M4825" s="12" t="s">
        <v>43</v>
      </c>
      <c r="N4825" s="12" t="s">
        <v>84</v>
      </c>
      <c r="O4825" s="12" t="s">
        <v>16869</v>
      </c>
      <c r="P4825" s="12" t="s">
        <v>46</v>
      </c>
      <c r="Q4825" s="12" t="s">
        <v>47</v>
      </c>
      <c r="R4825" s="12" t="s">
        <v>2179</v>
      </c>
      <c r="S4825" s="13">
        <v>197804432806</v>
      </c>
      <c r="T4825" s="12" t="s">
        <v>49</v>
      </c>
      <c r="U4825" s="13">
        <v>38</v>
      </c>
      <c r="V4825" s="12" t="s">
        <v>278</v>
      </c>
      <c r="W4825" s="12" t="s">
        <v>299</v>
      </c>
      <c r="X4825" s="14"/>
      <c r="Y4825" s="14"/>
      <c r="Z4825" s="14"/>
      <c r="AA4825" s="14"/>
      <c r="AB4825" s="14"/>
      <c r="AC4825" s="15">
        <v>68.2</v>
      </c>
      <c r="AD4825" s="15">
        <f>AC4825*AG4825</f>
        <v>409.20000000000005</v>
      </c>
      <c r="AE4825" s="15">
        <v>150</v>
      </c>
      <c r="AF4825" s="15">
        <f>AE4825*AG4825</f>
        <v>900</v>
      </c>
      <c r="AG4825" s="16">
        <v>6</v>
      </c>
    </row>
    <row r="4826" spans="1:33" ht="15" customHeight="1" x14ac:dyDescent="0.2">
      <c r="A4826" s="11" t="str">
        <f t="shared" si="1477"/>
        <v>VN000CVVSR61</v>
      </c>
      <c r="B4826" s="12" t="s">
        <v>16870</v>
      </c>
      <c r="C4826" s="12" t="s">
        <v>2407</v>
      </c>
      <c r="D4826" s="12" t="s">
        <v>16819</v>
      </c>
      <c r="E4826" s="12" t="s">
        <v>16871</v>
      </c>
      <c r="F4826" s="13">
        <v>70</v>
      </c>
      <c r="G4826" s="14"/>
      <c r="H4826" s="12" t="s">
        <v>38</v>
      </c>
      <c r="I4826" s="12" t="s">
        <v>113</v>
      </c>
      <c r="J4826" s="12" t="s">
        <v>529</v>
      </c>
      <c r="K4826" s="12" t="s">
        <v>82</v>
      </c>
      <c r="L4826" s="12" t="s">
        <v>42</v>
      </c>
      <c r="M4826" s="12" t="s">
        <v>43</v>
      </c>
      <c r="N4826" s="12" t="s">
        <v>84</v>
      </c>
      <c r="O4826" s="12" t="s">
        <v>16872</v>
      </c>
      <c r="P4826" s="12" t="s">
        <v>46</v>
      </c>
      <c r="Q4826" s="12" t="s">
        <v>47</v>
      </c>
      <c r="R4826" s="12" t="s">
        <v>2179</v>
      </c>
      <c r="S4826" s="13">
        <v>197804433063</v>
      </c>
      <c r="T4826" s="12" t="s">
        <v>49</v>
      </c>
      <c r="U4826" s="13">
        <v>39</v>
      </c>
      <c r="V4826" s="12" t="s">
        <v>278</v>
      </c>
      <c r="W4826" s="12" t="s">
        <v>299</v>
      </c>
      <c r="X4826" s="14"/>
      <c r="Y4826" s="14"/>
      <c r="Z4826" s="14"/>
      <c r="AA4826" s="14"/>
      <c r="AB4826" s="14"/>
      <c r="AC4826" s="15">
        <v>68.2</v>
      </c>
      <c r="AD4826" s="15">
        <f>AC4826*AG4826</f>
        <v>409.20000000000005</v>
      </c>
      <c r="AE4826" s="15">
        <v>150</v>
      </c>
      <c r="AF4826" s="15">
        <f>AE4826*AG4826</f>
        <v>900</v>
      </c>
      <c r="AG4826" s="16">
        <v>6</v>
      </c>
    </row>
    <row r="4827" spans="1:33" ht="15" customHeight="1" x14ac:dyDescent="0.2">
      <c r="A4827" s="11" t="str">
        <f t="shared" si="1481"/>
        <v>VN000D1GSN01</v>
      </c>
      <c r="B4827" s="12" t="s">
        <v>16873</v>
      </c>
      <c r="C4827" s="12" t="s">
        <v>9139</v>
      </c>
      <c r="D4827" s="12" t="s">
        <v>13809</v>
      </c>
      <c r="E4827" s="12" t="s">
        <v>16874</v>
      </c>
      <c r="F4827" s="13">
        <v>60</v>
      </c>
      <c r="G4827" s="14"/>
      <c r="H4827" s="12" t="s">
        <v>38</v>
      </c>
      <c r="I4827" s="12" t="s">
        <v>159</v>
      </c>
      <c r="J4827" s="12" t="s">
        <v>341</v>
      </c>
      <c r="K4827" s="12" t="s">
        <v>199</v>
      </c>
      <c r="L4827" s="14"/>
      <c r="M4827" s="12" t="s">
        <v>43</v>
      </c>
      <c r="N4827" s="12" t="s">
        <v>44</v>
      </c>
      <c r="O4827" s="12" t="s">
        <v>16875</v>
      </c>
      <c r="P4827" s="12" t="s">
        <v>46</v>
      </c>
      <c r="Q4827" s="12" t="s">
        <v>47</v>
      </c>
      <c r="R4827" s="12" t="s">
        <v>163</v>
      </c>
      <c r="S4827" s="13">
        <v>197643266556</v>
      </c>
      <c r="T4827" s="12" t="s">
        <v>105</v>
      </c>
      <c r="U4827" s="13">
        <v>38</v>
      </c>
      <c r="V4827" s="12" t="s">
        <v>50</v>
      </c>
      <c r="W4827" s="12" t="s">
        <v>284</v>
      </c>
      <c r="X4827" s="14"/>
      <c r="Y4827" s="12" t="s">
        <v>91</v>
      </c>
      <c r="Z4827" s="12" t="s">
        <v>14497</v>
      </c>
      <c r="AA4827" s="14"/>
      <c r="AB4827" s="14"/>
      <c r="AC4827" s="15">
        <v>59.1</v>
      </c>
      <c r="AD4827" s="15">
        <f>AC4827*AG4827</f>
        <v>354.6</v>
      </c>
      <c r="AE4827" s="15">
        <v>130</v>
      </c>
      <c r="AF4827" s="15">
        <f>AE4827*AG4827</f>
        <v>780</v>
      </c>
      <c r="AG4827" s="16">
        <v>6</v>
      </c>
    </row>
    <row r="4828" spans="1:33" ht="15" customHeight="1" x14ac:dyDescent="0.2">
      <c r="A4828" s="11" t="str">
        <f t="shared" ref="A4828:A4974" si="1483">HYPERLINK("https://assets.vans.eu/images/VN000D85GRY-HERO/1","VN000D85GRY1")</f>
        <v>VN000D85GRY1</v>
      </c>
      <c r="B4828" s="12" t="s">
        <v>16876</v>
      </c>
      <c r="C4828" s="12" t="s">
        <v>5919</v>
      </c>
      <c r="D4828" s="12" t="s">
        <v>13536</v>
      </c>
      <c r="E4828" s="12" t="s">
        <v>16877</v>
      </c>
      <c r="F4828" s="13">
        <v>80</v>
      </c>
      <c r="G4828" s="14"/>
      <c r="H4828" s="12" t="s">
        <v>38</v>
      </c>
      <c r="I4828" s="12" t="s">
        <v>159</v>
      </c>
      <c r="J4828" s="12" t="s">
        <v>341</v>
      </c>
      <c r="K4828" s="12" t="s">
        <v>199</v>
      </c>
      <c r="L4828" s="14"/>
      <c r="M4828" s="12" t="s">
        <v>43</v>
      </c>
      <c r="N4828" s="12" t="s">
        <v>44</v>
      </c>
      <c r="O4828" s="12" t="s">
        <v>16878</v>
      </c>
      <c r="P4828" s="12" t="s">
        <v>46</v>
      </c>
      <c r="Q4828" s="12" t="s">
        <v>47</v>
      </c>
      <c r="R4828" s="12" t="s">
        <v>163</v>
      </c>
      <c r="S4828" s="13">
        <v>197643298915</v>
      </c>
      <c r="T4828" s="12" t="s">
        <v>49</v>
      </c>
      <c r="U4828" s="13">
        <v>40.5</v>
      </c>
      <c r="V4828" s="12" t="s">
        <v>50</v>
      </c>
      <c r="W4828" s="12" t="s">
        <v>455</v>
      </c>
      <c r="X4828" s="14"/>
      <c r="Y4828" s="12" t="s">
        <v>91</v>
      </c>
      <c r="Z4828" s="12" t="s">
        <v>344</v>
      </c>
      <c r="AA4828" s="14"/>
      <c r="AB4828" s="14"/>
      <c r="AC4828" s="15">
        <v>40.950000000000003</v>
      </c>
      <c r="AD4828" s="15">
        <f>AC4828*AG4828</f>
        <v>245.70000000000002</v>
      </c>
      <c r="AE4828" s="15">
        <v>90</v>
      </c>
      <c r="AF4828" s="15">
        <f>AE4828*AG4828</f>
        <v>540</v>
      </c>
      <c r="AG4828" s="16">
        <v>6</v>
      </c>
    </row>
    <row r="4829" spans="1:33" ht="15" customHeight="1" x14ac:dyDescent="0.2">
      <c r="A4829" s="11" t="str">
        <f t="shared" ref="A4829:A4997" si="1484">HYPERLINK("https://assets.vans.eu/images/VN000EB4CCZ-HERO/1","VN000EB4CCZ1")</f>
        <v>VN000EB4CCZ1</v>
      </c>
      <c r="B4829" s="12" t="s">
        <v>16879</v>
      </c>
      <c r="C4829" s="12" t="s">
        <v>6009</v>
      </c>
      <c r="D4829" s="12" t="s">
        <v>1104</v>
      </c>
      <c r="E4829" s="12" t="s">
        <v>16880</v>
      </c>
      <c r="F4829" s="13">
        <v>45</v>
      </c>
      <c r="G4829" s="14"/>
      <c r="H4829" s="12" t="s">
        <v>38</v>
      </c>
      <c r="I4829" s="12" t="s">
        <v>113</v>
      </c>
      <c r="J4829" s="12" t="s">
        <v>114</v>
      </c>
      <c r="K4829" s="12" t="s">
        <v>82</v>
      </c>
      <c r="L4829" s="12" t="s">
        <v>42</v>
      </c>
      <c r="M4829" s="12" t="s">
        <v>43</v>
      </c>
      <c r="N4829" s="12" t="s">
        <v>84</v>
      </c>
      <c r="O4829" s="12" t="s">
        <v>16881</v>
      </c>
      <c r="P4829" s="12" t="s">
        <v>46</v>
      </c>
      <c r="Q4829" s="12" t="s">
        <v>47</v>
      </c>
      <c r="R4829" s="12" t="s">
        <v>948</v>
      </c>
      <c r="S4829" s="13">
        <v>197804564897</v>
      </c>
      <c r="T4829" s="12" t="s">
        <v>49</v>
      </c>
      <c r="U4829" s="13">
        <v>36</v>
      </c>
      <c r="V4829" s="12" t="s">
        <v>50</v>
      </c>
      <c r="W4829" s="12" t="s">
        <v>175</v>
      </c>
      <c r="X4829" s="14"/>
      <c r="Y4829" s="14"/>
      <c r="Z4829" s="14"/>
      <c r="AA4829" s="14"/>
      <c r="AB4829" s="14"/>
      <c r="AC4829" s="15">
        <v>54.55</v>
      </c>
      <c r="AD4829" s="15">
        <f>AC4829*AG4829</f>
        <v>327.29999999999995</v>
      </c>
      <c r="AE4829" s="15">
        <v>120</v>
      </c>
      <c r="AF4829" s="15">
        <f>AE4829*AG4829</f>
        <v>720</v>
      </c>
      <c r="AG4829" s="16">
        <v>6</v>
      </c>
    </row>
    <row r="4830" spans="1:33" ht="15" customHeight="1" x14ac:dyDescent="0.2">
      <c r="A4830" s="11" t="str">
        <f t="shared" si="1476"/>
        <v>VN000EJTTC41</v>
      </c>
      <c r="B4830" s="12" t="s">
        <v>16882</v>
      </c>
      <c r="C4830" s="12" t="s">
        <v>16812</v>
      </c>
      <c r="D4830" s="12" t="s">
        <v>3291</v>
      </c>
      <c r="E4830" s="12" t="s">
        <v>16883</v>
      </c>
      <c r="F4830" s="13">
        <v>105</v>
      </c>
      <c r="G4830" s="14"/>
      <c r="H4830" s="12" t="s">
        <v>38</v>
      </c>
      <c r="I4830" s="12" t="s">
        <v>159</v>
      </c>
      <c r="J4830" s="12" t="s">
        <v>255</v>
      </c>
      <c r="K4830" s="12" t="s">
        <v>82</v>
      </c>
      <c r="L4830" s="12" t="s">
        <v>115</v>
      </c>
      <c r="M4830" s="12" t="s">
        <v>43</v>
      </c>
      <c r="N4830" s="12" t="s">
        <v>84</v>
      </c>
      <c r="O4830" s="12" t="s">
        <v>16884</v>
      </c>
      <c r="P4830" s="12" t="s">
        <v>46</v>
      </c>
      <c r="Q4830" s="12" t="s">
        <v>47</v>
      </c>
      <c r="R4830" s="12" t="s">
        <v>343</v>
      </c>
      <c r="S4830" s="13">
        <v>197805907327</v>
      </c>
      <c r="T4830" s="12" t="s">
        <v>49</v>
      </c>
      <c r="U4830" s="13">
        <v>44</v>
      </c>
      <c r="V4830" s="12" t="s">
        <v>278</v>
      </c>
      <c r="W4830" s="12" t="s">
        <v>455</v>
      </c>
      <c r="X4830" s="14"/>
      <c r="Y4830" s="14"/>
      <c r="Z4830" s="14"/>
      <c r="AA4830" s="14"/>
      <c r="AB4830" s="14"/>
      <c r="AC4830" s="15">
        <v>63.65</v>
      </c>
      <c r="AD4830" s="15">
        <f>AC4830*AG4830</f>
        <v>381.9</v>
      </c>
      <c r="AE4830" s="15">
        <v>140</v>
      </c>
      <c r="AF4830" s="15">
        <f>AE4830*AG4830</f>
        <v>840</v>
      </c>
      <c r="AG4830" s="16">
        <v>6</v>
      </c>
    </row>
    <row r="4831" spans="1:33" ht="15" customHeight="1" x14ac:dyDescent="0.2">
      <c r="A4831" s="11" t="str">
        <f t="shared" si="1480"/>
        <v>VN000J9NCHG1</v>
      </c>
      <c r="B4831" s="12" t="s">
        <v>16885</v>
      </c>
      <c r="C4831" s="12" t="s">
        <v>16843</v>
      </c>
      <c r="D4831" s="12" t="s">
        <v>1615</v>
      </c>
      <c r="E4831" s="12" t="s">
        <v>16886</v>
      </c>
      <c r="F4831" s="13">
        <v>29</v>
      </c>
      <c r="G4831" s="14"/>
      <c r="H4831" s="12" t="s">
        <v>61</v>
      </c>
      <c r="I4831" s="12" t="s">
        <v>230</v>
      </c>
      <c r="J4831" s="12" t="s">
        <v>231</v>
      </c>
      <c r="K4831" s="12" t="s">
        <v>199</v>
      </c>
      <c r="L4831" s="14"/>
      <c r="M4831" s="12" t="s">
        <v>43</v>
      </c>
      <c r="N4831" s="12" t="s">
        <v>161</v>
      </c>
      <c r="O4831" s="12" t="s">
        <v>16887</v>
      </c>
      <c r="P4831" s="12" t="s">
        <v>66</v>
      </c>
      <c r="Q4831" s="12" t="s">
        <v>233</v>
      </c>
      <c r="R4831" s="12" t="s">
        <v>361</v>
      </c>
      <c r="S4831" s="13">
        <v>197065491734</v>
      </c>
      <c r="T4831" s="12" t="s">
        <v>235</v>
      </c>
      <c r="U4831" s="13">
        <v>29</v>
      </c>
      <c r="V4831" s="12" t="s">
        <v>665</v>
      </c>
      <c r="W4831" s="12" t="s">
        <v>186</v>
      </c>
      <c r="X4831" s="13">
        <v>0</v>
      </c>
      <c r="Y4831" s="12" t="s">
        <v>91</v>
      </c>
      <c r="Z4831" s="12" t="s">
        <v>16810</v>
      </c>
      <c r="AA4831" s="13">
        <v>0</v>
      </c>
      <c r="AB4831" s="13">
        <v>0</v>
      </c>
      <c r="AC4831" s="15">
        <v>34.1</v>
      </c>
      <c r="AD4831" s="15">
        <f>AC4831*AG4831</f>
        <v>170.5</v>
      </c>
      <c r="AE4831" s="15">
        <v>75</v>
      </c>
      <c r="AF4831" s="15">
        <f>AE4831*AG4831</f>
        <v>375</v>
      </c>
      <c r="AG4831" s="16">
        <v>5</v>
      </c>
    </row>
    <row r="4832" spans="1:33" ht="15" customHeight="1" x14ac:dyDescent="0.2">
      <c r="A4832" s="11" t="str">
        <f t="shared" si="1482"/>
        <v>VN000CVURV21</v>
      </c>
      <c r="B4832" s="12" t="s">
        <v>16888</v>
      </c>
      <c r="C4832" s="12" t="s">
        <v>2993</v>
      </c>
      <c r="D4832" s="12" t="s">
        <v>1428</v>
      </c>
      <c r="E4832" s="12" t="s">
        <v>16889</v>
      </c>
      <c r="F4832" s="13">
        <v>110</v>
      </c>
      <c r="G4832" s="14"/>
      <c r="H4832" s="12" t="s">
        <v>38</v>
      </c>
      <c r="I4832" s="12" t="s">
        <v>159</v>
      </c>
      <c r="J4832" s="12" t="s">
        <v>255</v>
      </c>
      <c r="K4832" s="12" t="s">
        <v>82</v>
      </c>
      <c r="L4832" s="12" t="s">
        <v>42</v>
      </c>
      <c r="M4832" s="12" t="s">
        <v>43</v>
      </c>
      <c r="N4832" s="12" t="s">
        <v>84</v>
      </c>
      <c r="O4832" s="12" t="s">
        <v>16890</v>
      </c>
      <c r="P4832" s="12" t="s">
        <v>46</v>
      </c>
      <c r="Q4832" s="12" t="s">
        <v>47</v>
      </c>
      <c r="R4832" s="12" t="s">
        <v>343</v>
      </c>
      <c r="S4832" s="13">
        <v>197804433865</v>
      </c>
      <c r="T4832" s="12" t="s">
        <v>49</v>
      </c>
      <c r="U4832" s="13">
        <v>44.5</v>
      </c>
      <c r="V4832" s="12" t="s">
        <v>278</v>
      </c>
      <c r="W4832" s="12" t="s">
        <v>51</v>
      </c>
      <c r="X4832" s="14"/>
      <c r="Y4832" s="14"/>
      <c r="Z4832" s="14"/>
      <c r="AA4832" s="14"/>
      <c r="AB4832" s="14"/>
      <c r="AC4832" s="15">
        <v>63.65</v>
      </c>
      <c r="AD4832" s="15">
        <f>AC4832*AG4832</f>
        <v>318.25</v>
      </c>
      <c r="AE4832" s="15">
        <v>140</v>
      </c>
      <c r="AF4832" s="15">
        <f>AE4832*AG4832</f>
        <v>700</v>
      </c>
      <c r="AG4832" s="16">
        <v>5</v>
      </c>
    </row>
    <row r="4833" spans="1:33" ht="15" customHeight="1" x14ac:dyDescent="0.2">
      <c r="A4833" s="11" t="str">
        <f t="shared" si="1477"/>
        <v>VN000CVVSR61</v>
      </c>
      <c r="B4833" s="12" t="s">
        <v>16891</v>
      </c>
      <c r="C4833" s="12" t="s">
        <v>2407</v>
      </c>
      <c r="D4833" s="12" t="s">
        <v>16819</v>
      </c>
      <c r="E4833" s="12" t="s">
        <v>16892</v>
      </c>
      <c r="F4833" s="13">
        <v>75</v>
      </c>
      <c r="G4833" s="14"/>
      <c r="H4833" s="12" t="s">
        <v>38</v>
      </c>
      <c r="I4833" s="12" t="s">
        <v>113</v>
      </c>
      <c r="J4833" s="12" t="s">
        <v>529</v>
      </c>
      <c r="K4833" s="12" t="s">
        <v>82</v>
      </c>
      <c r="L4833" s="12" t="s">
        <v>42</v>
      </c>
      <c r="M4833" s="12" t="s">
        <v>43</v>
      </c>
      <c r="N4833" s="12" t="s">
        <v>84</v>
      </c>
      <c r="O4833" s="12" t="s">
        <v>16893</v>
      </c>
      <c r="P4833" s="12" t="s">
        <v>46</v>
      </c>
      <c r="Q4833" s="12" t="s">
        <v>47</v>
      </c>
      <c r="R4833" s="12" t="s">
        <v>2179</v>
      </c>
      <c r="S4833" s="13">
        <v>197804433155</v>
      </c>
      <c r="T4833" s="12" t="s">
        <v>49</v>
      </c>
      <c r="U4833" s="13">
        <v>40</v>
      </c>
      <c r="V4833" s="12" t="s">
        <v>278</v>
      </c>
      <c r="W4833" s="12" t="s">
        <v>299</v>
      </c>
      <c r="X4833" s="14"/>
      <c r="Y4833" s="14"/>
      <c r="Z4833" s="14"/>
      <c r="AA4833" s="14"/>
      <c r="AB4833" s="14"/>
      <c r="AC4833" s="15">
        <v>68.2</v>
      </c>
      <c r="AD4833" s="15">
        <f>AC4833*AG4833</f>
        <v>341</v>
      </c>
      <c r="AE4833" s="15">
        <v>150</v>
      </c>
      <c r="AF4833" s="15">
        <f>AE4833*AG4833</f>
        <v>750</v>
      </c>
      <c r="AG4833" s="16">
        <v>5</v>
      </c>
    </row>
    <row r="4834" spans="1:33" ht="15" customHeight="1" x14ac:dyDescent="0.2">
      <c r="A4834" s="11" t="str">
        <f t="shared" ref="A4834:A4932" si="1485">HYPERLINK("https://assets.vans.eu/images/VN000D1G1OJ-HERO/1","VN000D1G1OJ1")</f>
        <v>VN000D1G1OJ1</v>
      </c>
      <c r="B4834" s="12" t="s">
        <v>16894</v>
      </c>
      <c r="C4834" s="12" t="s">
        <v>9139</v>
      </c>
      <c r="D4834" s="12" t="s">
        <v>9223</v>
      </c>
      <c r="E4834" s="12" t="s">
        <v>16895</v>
      </c>
      <c r="F4834" s="13">
        <v>115</v>
      </c>
      <c r="G4834" s="14"/>
      <c r="H4834" s="12" t="s">
        <v>38</v>
      </c>
      <c r="I4834" s="12" t="s">
        <v>159</v>
      </c>
      <c r="J4834" s="12" t="s">
        <v>341</v>
      </c>
      <c r="K4834" s="12" t="s">
        <v>199</v>
      </c>
      <c r="L4834" s="14"/>
      <c r="M4834" s="12" t="s">
        <v>43</v>
      </c>
      <c r="N4834" s="12" t="s">
        <v>44</v>
      </c>
      <c r="O4834" s="12" t="s">
        <v>16896</v>
      </c>
      <c r="P4834" s="12" t="s">
        <v>46</v>
      </c>
      <c r="Q4834" s="12" t="s">
        <v>47</v>
      </c>
      <c r="R4834" s="12" t="s">
        <v>163</v>
      </c>
      <c r="S4834" s="13">
        <v>197643267522</v>
      </c>
      <c r="T4834" s="12" t="s">
        <v>105</v>
      </c>
      <c r="U4834" s="13">
        <v>45</v>
      </c>
      <c r="V4834" s="12" t="s">
        <v>50</v>
      </c>
      <c r="W4834" s="12" t="s">
        <v>51</v>
      </c>
      <c r="X4834" s="14"/>
      <c r="Y4834" s="12" t="s">
        <v>91</v>
      </c>
      <c r="Z4834" s="12" t="s">
        <v>14497</v>
      </c>
      <c r="AA4834" s="14"/>
      <c r="AB4834" s="14"/>
      <c r="AC4834" s="15">
        <v>59.1</v>
      </c>
      <c r="AD4834" s="15">
        <f>AC4834*AG4834</f>
        <v>295.5</v>
      </c>
      <c r="AE4834" s="15">
        <v>130</v>
      </c>
      <c r="AF4834" s="15">
        <f>AE4834*AG4834</f>
        <v>650</v>
      </c>
      <c r="AG4834" s="16">
        <v>5</v>
      </c>
    </row>
    <row r="4835" spans="1:33" ht="15" customHeight="1" x14ac:dyDescent="0.2">
      <c r="A4835" s="11" t="str">
        <f t="shared" si="1481"/>
        <v>VN000D1GSN01</v>
      </c>
      <c r="B4835" s="12" t="s">
        <v>16897</v>
      </c>
      <c r="C4835" s="12" t="s">
        <v>9139</v>
      </c>
      <c r="D4835" s="12" t="s">
        <v>13809</v>
      </c>
      <c r="E4835" s="12" t="s">
        <v>16898</v>
      </c>
      <c r="F4835" s="13">
        <v>55</v>
      </c>
      <c r="G4835" s="14"/>
      <c r="H4835" s="12" t="s">
        <v>38</v>
      </c>
      <c r="I4835" s="12" t="s">
        <v>159</v>
      </c>
      <c r="J4835" s="12" t="s">
        <v>341</v>
      </c>
      <c r="K4835" s="12" t="s">
        <v>199</v>
      </c>
      <c r="L4835" s="14"/>
      <c r="M4835" s="12" t="s">
        <v>43</v>
      </c>
      <c r="N4835" s="12" t="s">
        <v>44</v>
      </c>
      <c r="O4835" s="12" t="s">
        <v>16899</v>
      </c>
      <c r="P4835" s="12" t="s">
        <v>46</v>
      </c>
      <c r="Q4835" s="12" t="s">
        <v>47</v>
      </c>
      <c r="R4835" s="12" t="s">
        <v>163</v>
      </c>
      <c r="S4835" s="13">
        <v>197643266518</v>
      </c>
      <c r="T4835" s="12" t="s">
        <v>105</v>
      </c>
      <c r="U4835" s="13">
        <v>37</v>
      </c>
      <c r="V4835" s="12" t="s">
        <v>50</v>
      </c>
      <c r="W4835" s="12" t="s">
        <v>284</v>
      </c>
      <c r="X4835" s="14"/>
      <c r="Y4835" s="12" t="s">
        <v>91</v>
      </c>
      <c r="Z4835" s="12" t="s">
        <v>14497</v>
      </c>
      <c r="AA4835" s="14"/>
      <c r="AB4835" s="14"/>
      <c r="AC4835" s="15">
        <v>59.1</v>
      </c>
      <c r="AD4835" s="15">
        <f>AC4835*AG4835</f>
        <v>295.5</v>
      </c>
      <c r="AE4835" s="15">
        <v>130</v>
      </c>
      <c r="AF4835" s="15">
        <f>AE4835*AG4835</f>
        <v>650</v>
      </c>
      <c r="AG4835" s="16">
        <v>5</v>
      </c>
    </row>
    <row r="4836" spans="1:33" ht="15" customHeight="1" x14ac:dyDescent="0.2">
      <c r="A4836" s="11" t="str">
        <f t="shared" si="1481"/>
        <v>VN000D1GSN01</v>
      </c>
      <c r="B4836" s="12" t="s">
        <v>16900</v>
      </c>
      <c r="C4836" s="12" t="s">
        <v>9139</v>
      </c>
      <c r="D4836" s="12" t="s">
        <v>13809</v>
      </c>
      <c r="E4836" s="12" t="s">
        <v>16901</v>
      </c>
      <c r="F4836" s="13">
        <v>75</v>
      </c>
      <c r="G4836" s="14"/>
      <c r="H4836" s="12" t="s">
        <v>38</v>
      </c>
      <c r="I4836" s="12" t="s">
        <v>159</v>
      </c>
      <c r="J4836" s="12" t="s">
        <v>341</v>
      </c>
      <c r="K4836" s="12" t="s">
        <v>199</v>
      </c>
      <c r="L4836" s="14"/>
      <c r="M4836" s="12" t="s">
        <v>43</v>
      </c>
      <c r="N4836" s="12" t="s">
        <v>44</v>
      </c>
      <c r="O4836" s="12" t="s">
        <v>16902</v>
      </c>
      <c r="P4836" s="12" t="s">
        <v>46</v>
      </c>
      <c r="Q4836" s="12" t="s">
        <v>47</v>
      </c>
      <c r="R4836" s="12" t="s">
        <v>163</v>
      </c>
      <c r="S4836" s="13">
        <v>197643266846</v>
      </c>
      <c r="T4836" s="12" t="s">
        <v>105</v>
      </c>
      <c r="U4836" s="13">
        <v>40</v>
      </c>
      <c r="V4836" s="12" t="s">
        <v>50</v>
      </c>
      <c r="W4836" s="12" t="s">
        <v>284</v>
      </c>
      <c r="X4836" s="14"/>
      <c r="Y4836" s="12" t="s">
        <v>91</v>
      </c>
      <c r="Z4836" s="12" t="s">
        <v>14497</v>
      </c>
      <c r="AA4836" s="14"/>
      <c r="AB4836" s="14"/>
      <c r="AC4836" s="15">
        <v>59.1</v>
      </c>
      <c r="AD4836" s="15">
        <f>AC4836*AG4836</f>
        <v>295.5</v>
      </c>
      <c r="AE4836" s="15">
        <v>130</v>
      </c>
      <c r="AF4836" s="15">
        <f>AE4836*AG4836</f>
        <v>650</v>
      </c>
      <c r="AG4836" s="16">
        <v>5</v>
      </c>
    </row>
    <row r="4837" spans="1:33" ht="15" customHeight="1" x14ac:dyDescent="0.2">
      <c r="A4837" s="11" t="str">
        <f t="shared" si="1475"/>
        <v>VN000EEBBO51</v>
      </c>
      <c r="B4837" s="12" t="s">
        <v>16903</v>
      </c>
      <c r="C4837" s="12" t="s">
        <v>16796</v>
      </c>
      <c r="D4837" s="12" t="s">
        <v>2835</v>
      </c>
      <c r="E4837" s="12" t="s">
        <v>16904</v>
      </c>
      <c r="F4837" s="13">
        <v>70</v>
      </c>
      <c r="G4837" s="14"/>
      <c r="H4837" s="12" t="s">
        <v>38</v>
      </c>
      <c r="I4837" s="12" t="s">
        <v>113</v>
      </c>
      <c r="J4837" s="12" t="s">
        <v>529</v>
      </c>
      <c r="K4837" s="12" t="s">
        <v>82</v>
      </c>
      <c r="L4837" s="12" t="s">
        <v>115</v>
      </c>
      <c r="M4837" s="12" t="s">
        <v>43</v>
      </c>
      <c r="N4837" s="12" t="s">
        <v>84</v>
      </c>
      <c r="O4837" s="12" t="s">
        <v>16905</v>
      </c>
      <c r="P4837" s="12" t="s">
        <v>46</v>
      </c>
      <c r="Q4837" s="12" t="s">
        <v>47</v>
      </c>
      <c r="R4837" s="12" t="s">
        <v>117</v>
      </c>
      <c r="S4837" s="13">
        <v>197805786939</v>
      </c>
      <c r="T4837" s="12" t="s">
        <v>105</v>
      </c>
      <c r="U4837" s="13">
        <v>39</v>
      </c>
      <c r="V4837" s="12" t="s">
        <v>50</v>
      </c>
      <c r="W4837" s="12" t="s">
        <v>598</v>
      </c>
      <c r="X4837" s="14"/>
      <c r="Y4837" s="14"/>
      <c r="Z4837" s="14"/>
      <c r="AA4837" s="14"/>
      <c r="AB4837" s="14"/>
      <c r="AC4837" s="15">
        <v>59.1</v>
      </c>
      <c r="AD4837" s="15">
        <f>AC4837*AG4837</f>
        <v>295.5</v>
      </c>
      <c r="AE4837" s="15">
        <v>130</v>
      </c>
      <c r="AF4837" s="15">
        <f>AE4837*AG4837</f>
        <v>650</v>
      </c>
      <c r="AG4837" s="16">
        <v>5</v>
      </c>
    </row>
    <row r="4838" spans="1:33" ht="15" customHeight="1" x14ac:dyDescent="0.2">
      <c r="A4838" s="11" t="str">
        <f>HYPERLINK("https://assets.vans.eu/images/VN0A4BWLOBL-HERO/1","VN0A4BWLOBL1")</f>
        <v>VN0A4BWLOBL1</v>
      </c>
      <c r="B4838" s="12" t="s">
        <v>16906</v>
      </c>
      <c r="C4838" s="12" t="s">
        <v>16502</v>
      </c>
      <c r="D4838" s="12" t="s">
        <v>16907</v>
      </c>
      <c r="E4838" s="12" t="s">
        <v>16908</v>
      </c>
      <c r="F4838" s="13">
        <v>60</v>
      </c>
      <c r="G4838" s="14"/>
      <c r="H4838" s="12" t="s">
        <v>38</v>
      </c>
      <c r="I4838" s="12" t="s">
        <v>159</v>
      </c>
      <c r="J4838" s="12" t="s">
        <v>255</v>
      </c>
      <c r="K4838" s="12" t="s">
        <v>82</v>
      </c>
      <c r="L4838" s="14"/>
      <c r="M4838" s="12" t="s">
        <v>43</v>
      </c>
      <c r="N4838" s="12" t="s">
        <v>467</v>
      </c>
      <c r="O4838" s="12" t="s">
        <v>16909</v>
      </c>
      <c r="P4838" s="12" t="s">
        <v>46</v>
      </c>
      <c r="Q4838" s="12" t="s">
        <v>47</v>
      </c>
      <c r="R4838" s="12" t="s">
        <v>163</v>
      </c>
      <c r="S4838" s="13">
        <v>196571159756</v>
      </c>
      <c r="T4838" s="12" t="s">
        <v>49</v>
      </c>
      <c r="U4838" s="13">
        <v>38</v>
      </c>
      <c r="V4838" s="12" t="s">
        <v>209</v>
      </c>
      <c r="W4838" s="12" t="s">
        <v>284</v>
      </c>
      <c r="X4838" s="14"/>
      <c r="Y4838" s="12" t="s">
        <v>91</v>
      </c>
      <c r="Z4838" s="12" t="s">
        <v>344</v>
      </c>
      <c r="AA4838" s="14"/>
      <c r="AB4838" s="14"/>
      <c r="AC4838" s="15">
        <v>52.3</v>
      </c>
      <c r="AD4838" s="15">
        <f>AC4838*AG4838</f>
        <v>261.5</v>
      </c>
      <c r="AE4838" s="15">
        <v>115</v>
      </c>
      <c r="AF4838" s="15">
        <f>AE4838*AG4838</f>
        <v>575</v>
      </c>
      <c r="AG4838" s="16">
        <v>5</v>
      </c>
    </row>
    <row r="4839" spans="1:33" ht="15" customHeight="1" x14ac:dyDescent="0.2">
      <c r="A4839" s="11" t="str">
        <f>HYPERLINK("https://assets.vans.eu/images/VN0A4VHFUY6-HERO/1","VN0A4VHFUY61")</f>
        <v>VN0A4VHFUY61</v>
      </c>
      <c r="B4839" s="12" t="s">
        <v>16910</v>
      </c>
      <c r="C4839" s="12" t="s">
        <v>16911</v>
      </c>
      <c r="D4839" s="12" t="s">
        <v>16912</v>
      </c>
      <c r="E4839" s="12" t="s">
        <v>16913</v>
      </c>
      <c r="F4839" s="13">
        <v>40</v>
      </c>
      <c r="G4839" s="14"/>
      <c r="H4839" s="12" t="s">
        <v>38</v>
      </c>
      <c r="I4839" s="12" t="s">
        <v>159</v>
      </c>
      <c r="J4839" s="12" t="s">
        <v>341</v>
      </c>
      <c r="K4839" s="12" t="s">
        <v>82</v>
      </c>
      <c r="L4839" s="12" t="s">
        <v>16914</v>
      </c>
      <c r="M4839" s="12" t="s">
        <v>43</v>
      </c>
      <c r="N4839" s="12" t="s">
        <v>101</v>
      </c>
      <c r="O4839" s="12" t="s">
        <v>16915</v>
      </c>
      <c r="P4839" s="12" t="s">
        <v>46</v>
      </c>
      <c r="Q4839" s="12" t="s">
        <v>2432</v>
      </c>
      <c r="R4839" s="12" t="s">
        <v>10109</v>
      </c>
      <c r="S4839" s="13">
        <v>196573008342</v>
      </c>
      <c r="T4839" s="12" t="s">
        <v>143</v>
      </c>
      <c r="U4839" s="13">
        <v>35</v>
      </c>
      <c r="V4839" s="12" t="s">
        <v>209</v>
      </c>
      <c r="W4839" s="12" t="s">
        <v>175</v>
      </c>
      <c r="X4839" s="14"/>
      <c r="Y4839" s="12" t="s">
        <v>53</v>
      </c>
      <c r="Z4839" s="12" t="s">
        <v>13844</v>
      </c>
      <c r="AA4839" s="14"/>
      <c r="AB4839" s="12" t="s">
        <v>6081</v>
      </c>
      <c r="AC4839" s="15">
        <v>50</v>
      </c>
      <c r="AD4839" s="15">
        <f>AC4839*AG4839</f>
        <v>250</v>
      </c>
      <c r="AE4839" s="15">
        <v>110</v>
      </c>
      <c r="AF4839" s="15">
        <f>AE4839*AG4839</f>
        <v>550</v>
      </c>
      <c r="AG4839" s="16">
        <v>5</v>
      </c>
    </row>
    <row r="4840" spans="1:33" ht="15" customHeight="1" x14ac:dyDescent="0.2">
      <c r="A4840" s="11" t="str">
        <f t="shared" ref="A4840:A4909" si="1486">HYPERLINK("https://assets.vans.eu/images/VN0009UEBLK-HERO/1","VN0009UEBLK1")</f>
        <v>VN0009UEBLK1</v>
      </c>
      <c r="B4840" s="12" t="s">
        <v>16916</v>
      </c>
      <c r="C4840" s="12" t="s">
        <v>2243</v>
      </c>
      <c r="D4840" s="12" t="s">
        <v>76</v>
      </c>
      <c r="E4840" s="12" t="s">
        <v>16917</v>
      </c>
      <c r="F4840" s="12" t="s">
        <v>60</v>
      </c>
      <c r="G4840" s="14"/>
      <c r="H4840" s="12" t="s">
        <v>61</v>
      </c>
      <c r="I4840" s="12" t="s">
        <v>230</v>
      </c>
      <c r="J4840" s="12" t="s">
        <v>762</v>
      </c>
      <c r="K4840" s="12" t="s">
        <v>199</v>
      </c>
      <c r="L4840" s="14"/>
      <c r="M4840" s="12" t="s">
        <v>43</v>
      </c>
      <c r="N4840" s="12" t="s">
        <v>161</v>
      </c>
      <c r="O4840" s="12" t="s">
        <v>16918</v>
      </c>
      <c r="P4840" s="12" t="s">
        <v>66</v>
      </c>
      <c r="Q4840" s="12" t="s">
        <v>764</v>
      </c>
      <c r="R4840" s="12" t="s">
        <v>765</v>
      </c>
      <c r="S4840" s="13">
        <v>197065480530</v>
      </c>
      <c r="T4840" s="12" t="s">
        <v>49</v>
      </c>
      <c r="U4840" s="12" t="s">
        <v>60</v>
      </c>
      <c r="V4840" s="12" t="s">
        <v>90</v>
      </c>
      <c r="W4840" s="12" t="s">
        <v>51</v>
      </c>
      <c r="X4840" s="13">
        <v>0</v>
      </c>
      <c r="Y4840" s="12" t="s">
        <v>91</v>
      </c>
      <c r="Z4840" s="12" t="s">
        <v>16810</v>
      </c>
      <c r="AA4840" s="13">
        <v>0</v>
      </c>
      <c r="AB4840" s="13">
        <v>0</v>
      </c>
      <c r="AC4840" s="15">
        <v>136.4</v>
      </c>
      <c r="AD4840" s="15">
        <f>AC4840*AG4840</f>
        <v>545.6</v>
      </c>
      <c r="AE4840" s="15">
        <v>300</v>
      </c>
      <c r="AF4840" s="15">
        <f>AE4840*AG4840</f>
        <v>1200</v>
      </c>
      <c r="AG4840" s="16">
        <v>4</v>
      </c>
    </row>
    <row r="4841" spans="1:33" ht="15" customHeight="1" x14ac:dyDescent="0.2">
      <c r="A4841" s="11" t="str">
        <f t="shared" si="1480"/>
        <v>VN000J9NCHG1</v>
      </c>
      <c r="B4841" s="12" t="s">
        <v>16919</v>
      </c>
      <c r="C4841" s="12" t="s">
        <v>16843</v>
      </c>
      <c r="D4841" s="12" t="s">
        <v>1615</v>
      </c>
      <c r="E4841" s="12" t="s">
        <v>16920</v>
      </c>
      <c r="F4841" s="13">
        <v>30</v>
      </c>
      <c r="G4841" s="14"/>
      <c r="H4841" s="12" t="s">
        <v>61</v>
      </c>
      <c r="I4841" s="12" t="s">
        <v>230</v>
      </c>
      <c r="J4841" s="12" t="s">
        <v>231</v>
      </c>
      <c r="K4841" s="12" t="s">
        <v>199</v>
      </c>
      <c r="L4841" s="14"/>
      <c r="M4841" s="12" t="s">
        <v>43</v>
      </c>
      <c r="N4841" s="12" t="s">
        <v>161</v>
      </c>
      <c r="O4841" s="12" t="s">
        <v>16921</v>
      </c>
      <c r="P4841" s="12" t="s">
        <v>66</v>
      </c>
      <c r="Q4841" s="12" t="s">
        <v>233</v>
      </c>
      <c r="R4841" s="12" t="s">
        <v>361</v>
      </c>
      <c r="S4841" s="13">
        <v>197065491796</v>
      </c>
      <c r="T4841" s="12" t="s">
        <v>235</v>
      </c>
      <c r="U4841" s="13">
        <v>30</v>
      </c>
      <c r="V4841" s="12" t="s">
        <v>665</v>
      </c>
      <c r="W4841" s="12" t="s">
        <v>186</v>
      </c>
      <c r="X4841" s="13">
        <v>0</v>
      </c>
      <c r="Y4841" s="12" t="s">
        <v>91</v>
      </c>
      <c r="Z4841" s="12" t="s">
        <v>16810</v>
      </c>
      <c r="AA4841" s="13">
        <v>0</v>
      </c>
      <c r="AB4841" s="13">
        <v>0</v>
      </c>
      <c r="AC4841" s="15">
        <v>34.1</v>
      </c>
      <c r="AD4841" s="15">
        <f>AC4841*AG4841</f>
        <v>136.4</v>
      </c>
      <c r="AE4841" s="15">
        <v>75</v>
      </c>
      <c r="AF4841" s="15">
        <f>AE4841*AG4841</f>
        <v>300</v>
      </c>
      <c r="AG4841" s="16">
        <v>4</v>
      </c>
    </row>
    <row r="4842" spans="1:33" ht="15" customHeight="1" x14ac:dyDescent="0.2">
      <c r="A4842" s="11" t="str">
        <f t="shared" ref="A4842:A4852" si="1487">HYPERLINK("https://assets.vans.eu/images/VN000CUYY49-HERO/1","VN000CUYY491")</f>
        <v>VN000CUYY491</v>
      </c>
      <c r="B4842" s="12" t="s">
        <v>16922</v>
      </c>
      <c r="C4842" s="12" t="s">
        <v>13838</v>
      </c>
      <c r="D4842" s="12" t="s">
        <v>5737</v>
      </c>
      <c r="E4842" s="12" t="s">
        <v>16923</v>
      </c>
      <c r="F4842" s="13">
        <v>70</v>
      </c>
      <c r="G4842" s="14"/>
      <c r="H4842" s="12" t="s">
        <v>38</v>
      </c>
      <c r="I4842" s="12" t="s">
        <v>159</v>
      </c>
      <c r="J4842" s="12" t="s">
        <v>341</v>
      </c>
      <c r="K4842" s="12" t="s">
        <v>199</v>
      </c>
      <c r="L4842" s="14"/>
      <c r="M4842" s="12" t="s">
        <v>43</v>
      </c>
      <c r="N4842" s="12" t="s">
        <v>161</v>
      </c>
      <c r="O4842" s="12" t="s">
        <v>16924</v>
      </c>
      <c r="P4842" s="12" t="s">
        <v>46</v>
      </c>
      <c r="Q4842" s="12" t="s">
        <v>47</v>
      </c>
      <c r="R4842" s="12" t="s">
        <v>163</v>
      </c>
      <c r="S4842" s="13">
        <v>197065654122</v>
      </c>
      <c r="T4842" s="12" t="s">
        <v>49</v>
      </c>
      <c r="U4842" s="13">
        <v>39</v>
      </c>
      <c r="V4842" s="12" t="s">
        <v>50</v>
      </c>
      <c r="W4842" s="12" t="s">
        <v>186</v>
      </c>
      <c r="X4842" s="14"/>
      <c r="Y4842" s="12" t="s">
        <v>91</v>
      </c>
      <c r="Z4842" s="12" t="s">
        <v>344</v>
      </c>
      <c r="AA4842" s="14"/>
      <c r="AB4842" s="14"/>
      <c r="AC4842" s="15">
        <v>45.5</v>
      </c>
      <c r="AD4842" s="15">
        <f>AC4842*AG4842</f>
        <v>182</v>
      </c>
      <c r="AE4842" s="15">
        <v>100</v>
      </c>
      <c r="AF4842" s="15">
        <f>AE4842*AG4842</f>
        <v>400</v>
      </c>
      <c r="AG4842" s="16">
        <v>4</v>
      </c>
    </row>
    <row r="4843" spans="1:33" ht="15" customHeight="1" x14ac:dyDescent="0.2">
      <c r="A4843" s="11" t="str">
        <f t="shared" si="1482"/>
        <v>VN000CVURV21</v>
      </c>
      <c r="B4843" s="12" t="s">
        <v>16925</v>
      </c>
      <c r="C4843" s="12" t="s">
        <v>2993</v>
      </c>
      <c r="D4843" s="12" t="s">
        <v>1428</v>
      </c>
      <c r="E4843" s="12" t="s">
        <v>16926</v>
      </c>
      <c r="F4843" s="13">
        <v>55</v>
      </c>
      <c r="G4843" s="14"/>
      <c r="H4843" s="12" t="s">
        <v>38</v>
      </c>
      <c r="I4843" s="12" t="s">
        <v>159</v>
      </c>
      <c r="J4843" s="12" t="s">
        <v>255</v>
      </c>
      <c r="K4843" s="12" t="s">
        <v>82</v>
      </c>
      <c r="L4843" s="12" t="s">
        <v>42</v>
      </c>
      <c r="M4843" s="12" t="s">
        <v>43</v>
      </c>
      <c r="N4843" s="12" t="s">
        <v>84</v>
      </c>
      <c r="O4843" s="12" t="s">
        <v>16927</v>
      </c>
      <c r="P4843" s="12" t="s">
        <v>46</v>
      </c>
      <c r="Q4843" s="12" t="s">
        <v>47</v>
      </c>
      <c r="R4843" s="12" t="s">
        <v>343</v>
      </c>
      <c r="S4843" s="13">
        <v>197804432189</v>
      </c>
      <c r="T4843" s="12" t="s">
        <v>49</v>
      </c>
      <c r="U4843" s="13">
        <v>37</v>
      </c>
      <c r="V4843" s="12" t="s">
        <v>278</v>
      </c>
      <c r="W4843" s="12" t="s">
        <v>51</v>
      </c>
      <c r="X4843" s="14"/>
      <c r="Y4843" s="14"/>
      <c r="Z4843" s="14"/>
      <c r="AA4843" s="14"/>
      <c r="AB4843" s="14"/>
      <c r="AC4843" s="15">
        <v>63.65</v>
      </c>
      <c r="AD4843" s="15">
        <f>AC4843*AG4843</f>
        <v>254.6</v>
      </c>
      <c r="AE4843" s="15">
        <v>140</v>
      </c>
      <c r="AF4843" s="15">
        <f>AE4843*AG4843</f>
        <v>560</v>
      </c>
      <c r="AG4843" s="16">
        <v>4</v>
      </c>
    </row>
    <row r="4844" spans="1:33" ht="15" customHeight="1" x14ac:dyDescent="0.2">
      <c r="A4844" s="11" t="str">
        <f t="shared" si="1477"/>
        <v>VN000CVVSR61</v>
      </c>
      <c r="B4844" s="12" t="s">
        <v>16928</v>
      </c>
      <c r="C4844" s="12" t="s">
        <v>2407</v>
      </c>
      <c r="D4844" s="12" t="s">
        <v>16819</v>
      </c>
      <c r="E4844" s="12" t="s">
        <v>16929</v>
      </c>
      <c r="F4844" s="13">
        <v>50</v>
      </c>
      <c r="G4844" s="14"/>
      <c r="H4844" s="12" t="s">
        <v>38</v>
      </c>
      <c r="I4844" s="12" t="s">
        <v>113</v>
      </c>
      <c r="J4844" s="12" t="s">
        <v>529</v>
      </c>
      <c r="K4844" s="12" t="s">
        <v>82</v>
      </c>
      <c r="L4844" s="12" t="s">
        <v>42</v>
      </c>
      <c r="M4844" s="12" t="s">
        <v>43</v>
      </c>
      <c r="N4844" s="12" t="s">
        <v>84</v>
      </c>
      <c r="O4844" s="12" t="s">
        <v>16930</v>
      </c>
      <c r="P4844" s="12" t="s">
        <v>46</v>
      </c>
      <c r="Q4844" s="12" t="s">
        <v>47</v>
      </c>
      <c r="R4844" s="12" t="s">
        <v>2179</v>
      </c>
      <c r="S4844" s="13">
        <v>197804432561</v>
      </c>
      <c r="T4844" s="12" t="s">
        <v>49</v>
      </c>
      <c r="U4844" s="13">
        <v>36.5</v>
      </c>
      <c r="V4844" s="12" t="s">
        <v>278</v>
      </c>
      <c r="W4844" s="12" t="s">
        <v>299</v>
      </c>
      <c r="X4844" s="14"/>
      <c r="Y4844" s="14"/>
      <c r="Z4844" s="14"/>
      <c r="AA4844" s="14"/>
      <c r="AB4844" s="14"/>
      <c r="AC4844" s="15">
        <v>68.2</v>
      </c>
      <c r="AD4844" s="15">
        <f>AC4844*AG4844</f>
        <v>272.8</v>
      </c>
      <c r="AE4844" s="15">
        <v>150</v>
      </c>
      <c r="AF4844" s="15">
        <f>AE4844*AG4844</f>
        <v>600</v>
      </c>
      <c r="AG4844" s="16">
        <v>4</v>
      </c>
    </row>
    <row r="4845" spans="1:33" ht="15" customHeight="1" x14ac:dyDescent="0.2">
      <c r="A4845" s="11" t="str">
        <f t="shared" si="1477"/>
        <v>VN000CVVSR61</v>
      </c>
      <c r="B4845" s="12" t="s">
        <v>16931</v>
      </c>
      <c r="C4845" s="12" t="s">
        <v>2407</v>
      </c>
      <c r="D4845" s="12" t="s">
        <v>16819</v>
      </c>
      <c r="E4845" s="12" t="s">
        <v>16932</v>
      </c>
      <c r="F4845" s="13">
        <v>110</v>
      </c>
      <c r="G4845" s="14"/>
      <c r="H4845" s="12" t="s">
        <v>38</v>
      </c>
      <c r="I4845" s="12" t="s">
        <v>113</v>
      </c>
      <c r="J4845" s="12" t="s">
        <v>529</v>
      </c>
      <c r="K4845" s="12" t="s">
        <v>82</v>
      </c>
      <c r="L4845" s="12" t="s">
        <v>42</v>
      </c>
      <c r="M4845" s="12" t="s">
        <v>43</v>
      </c>
      <c r="N4845" s="12" t="s">
        <v>84</v>
      </c>
      <c r="O4845" s="12" t="s">
        <v>16933</v>
      </c>
      <c r="P4845" s="12" t="s">
        <v>46</v>
      </c>
      <c r="Q4845" s="12" t="s">
        <v>47</v>
      </c>
      <c r="R4845" s="12" t="s">
        <v>2179</v>
      </c>
      <c r="S4845" s="13">
        <v>197804434282</v>
      </c>
      <c r="T4845" s="12" t="s">
        <v>49</v>
      </c>
      <c r="U4845" s="13">
        <v>44.5</v>
      </c>
      <c r="V4845" s="12" t="s">
        <v>278</v>
      </c>
      <c r="W4845" s="12" t="s">
        <v>299</v>
      </c>
      <c r="X4845" s="14"/>
      <c r="Y4845" s="14"/>
      <c r="Z4845" s="14"/>
      <c r="AA4845" s="14"/>
      <c r="AB4845" s="14"/>
      <c r="AC4845" s="15">
        <v>68.2</v>
      </c>
      <c r="AD4845" s="15">
        <f>AC4845*AG4845</f>
        <v>272.8</v>
      </c>
      <c r="AE4845" s="15">
        <v>150</v>
      </c>
      <c r="AF4845" s="15">
        <f>AE4845*AG4845</f>
        <v>600</v>
      </c>
      <c r="AG4845" s="16">
        <v>4</v>
      </c>
    </row>
    <row r="4846" spans="1:33" ht="15" customHeight="1" x14ac:dyDescent="0.2">
      <c r="A4846" s="11" t="str">
        <f t="shared" si="1475"/>
        <v>VN000EEBBO51</v>
      </c>
      <c r="B4846" s="12" t="s">
        <v>16934</v>
      </c>
      <c r="C4846" s="12" t="s">
        <v>16796</v>
      </c>
      <c r="D4846" s="12" t="s">
        <v>2835</v>
      </c>
      <c r="E4846" s="12" t="s">
        <v>16935</v>
      </c>
      <c r="F4846" s="13">
        <v>75</v>
      </c>
      <c r="G4846" s="14"/>
      <c r="H4846" s="12" t="s">
        <v>38</v>
      </c>
      <c r="I4846" s="12" t="s">
        <v>113</v>
      </c>
      <c r="J4846" s="12" t="s">
        <v>529</v>
      </c>
      <c r="K4846" s="12" t="s">
        <v>82</v>
      </c>
      <c r="L4846" s="12" t="s">
        <v>115</v>
      </c>
      <c r="M4846" s="12" t="s">
        <v>43</v>
      </c>
      <c r="N4846" s="12" t="s">
        <v>84</v>
      </c>
      <c r="O4846" s="12" t="s">
        <v>16936</v>
      </c>
      <c r="P4846" s="12" t="s">
        <v>46</v>
      </c>
      <c r="Q4846" s="12" t="s">
        <v>47</v>
      </c>
      <c r="R4846" s="12" t="s">
        <v>117</v>
      </c>
      <c r="S4846" s="13">
        <v>197805787035</v>
      </c>
      <c r="T4846" s="12" t="s">
        <v>105</v>
      </c>
      <c r="U4846" s="13">
        <v>40</v>
      </c>
      <c r="V4846" s="12" t="s">
        <v>50</v>
      </c>
      <c r="W4846" s="12" t="s">
        <v>598</v>
      </c>
      <c r="X4846" s="14"/>
      <c r="Y4846" s="14"/>
      <c r="Z4846" s="14"/>
      <c r="AA4846" s="14"/>
      <c r="AB4846" s="14"/>
      <c r="AC4846" s="15">
        <v>59.1</v>
      </c>
      <c r="AD4846" s="15">
        <f>AC4846*AG4846</f>
        <v>236.4</v>
      </c>
      <c r="AE4846" s="15">
        <v>130</v>
      </c>
      <c r="AF4846" s="15">
        <f>AE4846*AG4846</f>
        <v>520</v>
      </c>
      <c r="AG4846" s="16">
        <v>4</v>
      </c>
    </row>
    <row r="4847" spans="1:33" ht="15" customHeight="1" x14ac:dyDescent="0.2">
      <c r="A4847" s="11" t="str">
        <f t="shared" ref="A4847:A5026" si="1488">HYPERLINK("https://assets.vans.eu/images/VN0A2Z34B0Z-HERO/1","VN0A2Z34B0Z1")</f>
        <v>VN0A2Z34B0Z1</v>
      </c>
      <c r="B4847" s="12" t="s">
        <v>16937</v>
      </c>
      <c r="C4847" s="12" t="s">
        <v>7568</v>
      </c>
      <c r="D4847" s="12" t="s">
        <v>16938</v>
      </c>
      <c r="E4847" s="12" t="s">
        <v>16939</v>
      </c>
      <c r="F4847" s="13">
        <v>85</v>
      </c>
      <c r="G4847" s="12" t="s">
        <v>16940</v>
      </c>
      <c r="H4847" s="12" t="s">
        <v>38</v>
      </c>
      <c r="I4847" s="12" t="s">
        <v>159</v>
      </c>
      <c r="J4847" s="12" t="s">
        <v>341</v>
      </c>
      <c r="K4847" s="12" t="s">
        <v>199</v>
      </c>
      <c r="L4847" s="14"/>
      <c r="M4847" s="12" t="s">
        <v>43</v>
      </c>
      <c r="N4847" s="12" t="s">
        <v>44</v>
      </c>
      <c r="O4847" s="12" t="s">
        <v>16941</v>
      </c>
      <c r="P4847" s="12" t="s">
        <v>46</v>
      </c>
      <c r="Q4847" s="12" t="s">
        <v>47</v>
      </c>
      <c r="R4847" s="12" t="s">
        <v>343</v>
      </c>
      <c r="S4847" s="13">
        <v>197643307433</v>
      </c>
      <c r="T4847" s="12" t="s">
        <v>49</v>
      </c>
      <c r="U4847" s="13">
        <v>41</v>
      </c>
      <c r="V4847" s="12" t="s">
        <v>50</v>
      </c>
      <c r="W4847" s="12" t="s">
        <v>625</v>
      </c>
      <c r="X4847" s="14"/>
      <c r="Y4847" s="12" t="s">
        <v>91</v>
      </c>
      <c r="Z4847" s="12" t="s">
        <v>344</v>
      </c>
      <c r="AA4847" s="14"/>
      <c r="AB4847" s="14"/>
      <c r="AC4847" s="15">
        <v>43.2</v>
      </c>
      <c r="AD4847" s="15">
        <f>AC4847*AG4847</f>
        <v>172.8</v>
      </c>
      <c r="AE4847" s="15">
        <v>95</v>
      </c>
      <c r="AF4847" s="15">
        <f>AE4847*AG4847</f>
        <v>380</v>
      </c>
      <c r="AG4847" s="16">
        <v>4</v>
      </c>
    </row>
    <row r="4848" spans="1:33" ht="15" customHeight="1" x14ac:dyDescent="0.2">
      <c r="A4848" s="11" t="str">
        <f t="shared" ref="A4848:A4904" si="1489">HYPERLINK("https://assets.vans.eu/images/VN0A2Z3HGLD-HERO/1","VN0A2Z3HGLD1")</f>
        <v>VN0A2Z3HGLD1</v>
      </c>
      <c r="B4848" s="12" t="s">
        <v>16942</v>
      </c>
      <c r="C4848" s="12" t="s">
        <v>5946</v>
      </c>
      <c r="D4848" s="12" t="s">
        <v>16943</v>
      </c>
      <c r="E4848" s="12" t="s">
        <v>16944</v>
      </c>
      <c r="F4848" s="13">
        <v>85</v>
      </c>
      <c r="G4848" s="14"/>
      <c r="H4848" s="12" t="s">
        <v>38</v>
      </c>
      <c r="I4848" s="12" t="s">
        <v>159</v>
      </c>
      <c r="J4848" s="12" t="s">
        <v>341</v>
      </c>
      <c r="K4848" s="12" t="s">
        <v>199</v>
      </c>
      <c r="L4848" s="14"/>
      <c r="M4848" s="12" t="s">
        <v>43</v>
      </c>
      <c r="N4848" s="12" t="s">
        <v>44</v>
      </c>
      <c r="O4848" s="12" t="s">
        <v>16945</v>
      </c>
      <c r="P4848" s="12" t="s">
        <v>46</v>
      </c>
      <c r="Q4848" s="12" t="s">
        <v>47</v>
      </c>
      <c r="R4848" s="12" t="s">
        <v>163</v>
      </c>
      <c r="S4848" s="13">
        <v>197643308041</v>
      </c>
      <c r="T4848" s="12" t="s">
        <v>49</v>
      </c>
      <c r="U4848" s="13">
        <v>41</v>
      </c>
      <c r="V4848" s="12" t="s">
        <v>50</v>
      </c>
      <c r="W4848" s="12" t="s">
        <v>625</v>
      </c>
      <c r="X4848" s="14"/>
      <c r="Y4848" s="12" t="s">
        <v>91</v>
      </c>
      <c r="Z4848" s="12" t="s">
        <v>344</v>
      </c>
      <c r="AA4848" s="14"/>
      <c r="AB4848" s="14"/>
      <c r="AC4848" s="15">
        <v>54.55</v>
      </c>
      <c r="AD4848" s="15">
        <f>AC4848*AG4848</f>
        <v>218.2</v>
      </c>
      <c r="AE4848" s="15">
        <v>120</v>
      </c>
      <c r="AF4848" s="15">
        <f>AE4848*AG4848</f>
        <v>480</v>
      </c>
      <c r="AG4848" s="16">
        <v>4</v>
      </c>
    </row>
    <row r="4849" spans="1:33" ht="15" customHeight="1" x14ac:dyDescent="0.2">
      <c r="A4849" s="11" t="str">
        <f t="shared" ref="A4849:A5080" si="1490">HYPERLINK("https://assets.vans.eu/images/VN0A5KQZYY4-HERO/1","VN0A5KQZYY41")</f>
        <v>VN0A5KQZYY41</v>
      </c>
      <c r="B4849" s="12" t="s">
        <v>16946</v>
      </c>
      <c r="C4849" s="12" t="s">
        <v>16947</v>
      </c>
      <c r="D4849" s="12" t="s">
        <v>16948</v>
      </c>
      <c r="E4849" s="12" t="s">
        <v>16949</v>
      </c>
      <c r="F4849" s="13">
        <v>85</v>
      </c>
      <c r="G4849" s="14"/>
      <c r="H4849" s="12" t="s">
        <v>38</v>
      </c>
      <c r="I4849" s="12" t="s">
        <v>159</v>
      </c>
      <c r="J4849" s="12" t="s">
        <v>341</v>
      </c>
      <c r="K4849" s="12" t="s">
        <v>199</v>
      </c>
      <c r="L4849" s="14"/>
      <c r="M4849" s="12" t="s">
        <v>43</v>
      </c>
      <c r="N4849" s="12" t="s">
        <v>84</v>
      </c>
      <c r="O4849" s="12" t="s">
        <v>16950</v>
      </c>
      <c r="P4849" s="12" t="s">
        <v>46</v>
      </c>
      <c r="Q4849" s="12" t="s">
        <v>47</v>
      </c>
      <c r="R4849" s="12" t="s">
        <v>163</v>
      </c>
      <c r="S4849" s="13">
        <v>197804575831</v>
      </c>
      <c r="T4849" s="12" t="s">
        <v>49</v>
      </c>
      <c r="U4849" s="13">
        <v>41</v>
      </c>
      <c r="V4849" s="12" t="s">
        <v>50</v>
      </c>
      <c r="W4849" s="12" t="s">
        <v>186</v>
      </c>
      <c r="X4849" s="14"/>
      <c r="Y4849" s="14"/>
      <c r="Z4849" s="14"/>
      <c r="AA4849" s="14"/>
      <c r="AB4849" s="14"/>
      <c r="AC4849" s="15">
        <v>34.1</v>
      </c>
      <c r="AD4849" s="15">
        <f>AC4849*AG4849</f>
        <v>136.4</v>
      </c>
      <c r="AE4849" s="15">
        <v>75</v>
      </c>
      <c r="AF4849" s="15">
        <f>AE4849*AG4849</f>
        <v>300</v>
      </c>
      <c r="AG4849" s="16">
        <v>4</v>
      </c>
    </row>
    <row r="4850" spans="1:33" ht="15" customHeight="1" x14ac:dyDescent="0.2">
      <c r="A4850" s="11" t="str">
        <f t="shared" si="1473"/>
        <v>VN000PP2BLK1</v>
      </c>
      <c r="B4850" s="12" t="s">
        <v>16951</v>
      </c>
      <c r="C4850" s="12" t="s">
        <v>16784</v>
      </c>
      <c r="D4850" s="12" t="s">
        <v>76</v>
      </c>
      <c r="E4850" s="12" t="s">
        <v>16952</v>
      </c>
      <c r="F4850" s="12" t="s">
        <v>179</v>
      </c>
      <c r="G4850" s="14"/>
      <c r="H4850" s="12" t="s">
        <v>79</v>
      </c>
      <c r="I4850" s="12" t="s">
        <v>80</v>
      </c>
      <c r="J4850" s="12" t="s">
        <v>171</v>
      </c>
      <c r="K4850" s="12" t="s">
        <v>82</v>
      </c>
      <c r="L4850" s="14"/>
      <c r="M4850" s="12" t="s">
        <v>43</v>
      </c>
      <c r="N4850" s="12" t="s">
        <v>84</v>
      </c>
      <c r="O4850" s="12" t="s">
        <v>16953</v>
      </c>
      <c r="P4850" s="12" t="s">
        <v>86</v>
      </c>
      <c r="Q4850" s="12" t="s">
        <v>141</v>
      </c>
      <c r="R4850" s="12" t="s">
        <v>173</v>
      </c>
      <c r="S4850" s="13">
        <v>197804617333</v>
      </c>
      <c r="T4850" s="12" t="s">
        <v>143</v>
      </c>
      <c r="U4850" s="12" t="s">
        <v>179</v>
      </c>
      <c r="V4850" s="12" t="s">
        <v>16787</v>
      </c>
      <c r="W4850" s="12" t="s">
        <v>51</v>
      </c>
      <c r="X4850" s="14"/>
      <c r="Y4850" s="14"/>
      <c r="Z4850" s="14"/>
      <c r="AA4850" s="14"/>
      <c r="AB4850" s="14"/>
      <c r="AC4850" s="15">
        <v>9.1</v>
      </c>
      <c r="AD4850" s="15">
        <f>AC4850*AG4850</f>
        <v>27.299999999999997</v>
      </c>
      <c r="AE4850" s="15">
        <v>20</v>
      </c>
      <c r="AF4850" s="15">
        <f>AE4850*AG4850</f>
        <v>60</v>
      </c>
      <c r="AG4850" s="16">
        <v>3</v>
      </c>
    </row>
    <row r="4851" spans="1:33" ht="15" customHeight="1" x14ac:dyDescent="0.2">
      <c r="A4851" s="11" t="str">
        <f t="shared" ref="A4851:A4871" si="1491">HYPERLINK("https://assets.vans.eu/images/VN0009UDKOU-HERO/1","VN0009UDKOU1")</f>
        <v>VN0009UDKOU1</v>
      </c>
      <c r="B4851" s="12" t="s">
        <v>16954</v>
      </c>
      <c r="C4851" s="12" t="s">
        <v>16955</v>
      </c>
      <c r="D4851" s="12" t="s">
        <v>4469</v>
      </c>
      <c r="E4851" s="12" t="s">
        <v>16956</v>
      </c>
      <c r="F4851" s="12" t="s">
        <v>153</v>
      </c>
      <c r="G4851" s="14"/>
      <c r="H4851" s="12" t="s">
        <v>61</v>
      </c>
      <c r="I4851" s="12" t="s">
        <v>230</v>
      </c>
      <c r="J4851" s="12" t="s">
        <v>762</v>
      </c>
      <c r="K4851" s="12" t="s">
        <v>199</v>
      </c>
      <c r="L4851" s="14"/>
      <c r="M4851" s="12" t="s">
        <v>43</v>
      </c>
      <c r="N4851" s="12" t="s">
        <v>161</v>
      </c>
      <c r="O4851" s="12" t="s">
        <v>16957</v>
      </c>
      <c r="P4851" s="12" t="s">
        <v>66</v>
      </c>
      <c r="Q4851" s="12" t="s">
        <v>764</v>
      </c>
      <c r="R4851" s="12" t="s">
        <v>765</v>
      </c>
      <c r="S4851" s="13">
        <v>197065480561</v>
      </c>
      <c r="T4851" s="12" t="s">
        <v>49</v>
      </c>
      <c r="U4851" s="12" t="s">
        <v>153</v>
      </c>
      <c r="V4851" s="12" t="s">
        <v>16958</v>
      </c>
      <c r="W4851" s="12" t="s">
        <v>51</v>
      </c>
      <c r="X4851" s="13">
        <v>0</v>
      </c>
      <c r="Y4851" s="12" t="s">
        <v>91</v>
      </c>
      <c r="Z4851" s="12" t="s">
        <v>16810</v>
      </c>
      <c r="AA4851" s="13">
        <v>0</v>
      </c>
      <c r="AB4851" s="13">
        <v>0</v>
      </c>
      <c r="AC4851" s="15">
        <v>95.5</v>
      </c>
      <c r="AD4851" s="15">
        <f>AC4851*AG4851</f>
        <v>286.5</v>
      </c>
      <c r="AE4851" s="15">
        <v>210</v>
      </c>
      <c r="AF4851" s="15">
        <f>AE4851*AG4851</f>
        <v>630</v>
      </c>
      <c r="AG4851" s="16">
        <v>3</v>
      </c>
    </row>
    <row r="4852" spans="1:33" ht="15" customHeight="1" x14ac:dyDescent="0.2">
      <c r="A4852" s="11" t="str">
        <f t="shared" si="1487"/>
        <v>VN000CUYY491</v>
      </c>
      <c r="B4852" s="12" t="s">
        <v>16959</v>
      </c>
      <c r="C4852" s="12" t="s">
        <v>13838</v>
      </c>
      <c r="D4852" s="12" t="s">
        <v>5737</v>
      </c>
      <c r="E4852" s="12" t="s">
        <v>16960</v>
      </c>
      <c r="F4852" s="13">
        <v>75</v>
      </c>
      <c r="G4852" s="14"/>
      <c r="H4852" s="12" t="s">
        <v>38</v>
      </c>
      <c r="I4852" s="12" t="s">
        <v>159</v>
      </c>
      <c r="J4852" s="12" t="s">
        <v>341</v>
      </c>
      <c r="K4852" s="12" t="s">
        <v>199</v>
      </c>
      <c r="L4852" s="14"/>
      <c r="M4852" s="12" t="s">
        <v>43</v>
      </c>
      <c r="N4852" s="12" t="s">
        <v>161</v>
      </c>
      <c r="O4852" s="12" t="s">
        <v>16961</v>
      </c>
      <c r="P4852" s="12" t="s">
        <v>46</v>
      </c>
      <c r="Q4852" s="12" t="s">
        <v>47</v>
      </c>
      <c r="R4852" s="12" t="s">
        <v>163</v>
      </c>
      <c r="S4852" s="13">
        <v>197065654184</v>
      </c>
      <c r="T4852" s="12" t="s">
        <v>49</v>
      </c>
      <c r="U4852" s="13">
        <v>40</v>
      </c>
      <c r="V4852" s="12" t="s">
        <v>50</v>
      </c>
      <c r="W4852" s="12" t="s">
        <v>186</v>
      </c>
      <c r="X4852" s="14"/>
      <c r="Y4852" s="12" t="s">
        <v>91</v>
      </c>
      <c r="Z4852" s="12" t="s">
        <v>344</v>
      </c>
      <c r="AA4852" s="14"/>
      <c r="AB4852" s="14"/>
      <c r="AC4852" s="15">
        <v>45.5</v>
      </c>
      <c r="AD4852" s="15">
        <f>AC4852*AG4852</f>
        <v>136.5</v>
      </c>
      <c r="AE4852" s="15">
        <v>100</v>
      </c>
      <c r="AF4852" s="15">
        <f>AE4852*AG4852</f>
        <v>300</v>
      </c>
      <c r="AG4852" s="16">
        <v>3</v>
      </c>
    </row>
    <row r="4853" spans="1:33" ht="15" customHeight="1" x14ac:dyDescent="0.2">
      <c r="A4853" s="11" t="str">
        <f t="shared" si="1482"/>
        <v>VN000CVURV21</v>
      </c>
      <c r="B4853" s="12" t="s">
        <v>16962</v>
      </c>
      <c r="C4853" s="12" t="s">
        <v>2993</v>
      </c>
      <c r="D4853" s="12" t="s">
        <v>1428</v>
      </c>
      <c r="E4853" s="12" t="s">
        <v>16963</v>
      </c>
      <c r="F4853" s="13">
        <v>50</v>
      </c>
      <c r="G4853" s="14"/>
      <c r="H4853" s="12" t="s">
        <v>38</v>
      </c>
      <c r="I4853" s="12" t="s">
        <v>159</v>
      </c>
      <c r="J4853" s="12" t="s">
        <v>255</v>
      </c>
      <c r="K4853" s="12" t="s">
        <v>82</v>
      </c>
      <c r="L4853" s="12" t="s">
        <v>42</v>
      </c>
      <c r="M4853" s="12" t="s">
        <v>43</v>
      </c>
      <c r="N4853" s="12" t="s">
        <v>84</v>
      </c>
      <c r="O4853" s="12" t="s">
        <v>16964</v>
      </c>
      <c r="P4853" s="12" t="s">
        <v>46</v>
      </c>
      <c r="Q4853" s="12" t="s">
        <v>47</v>
      </c>
      <c r="R4853" s="12" t="s">
        <v>343</v>
      </c>
      <c r="S4853" s="13">
        <v>197804432103</v>
      </c>
      <c r="T4853" s="12" t="s">
        <v>49</v>
      </c>
      <c r="U4853" s="13">
        <v>36.5</v>
      </c>
      <c r="V4853" s="12" t="s">
        <v>278</v>
      </c>
      <c r="W4853" s="12" t="s">
        <v>51</v>
      </c>
      <c r="X4853" s="14"/>
      <c r="Y4853" s="14"/>
      <c r="Z4853" s="14"/>
      <c r="AA4853" s="14"/>
      <c r="AB4853" s="14"/>
      <c r="AC4853" s="15">
        <v>63.65</v>
      </c>
      <c r="AD4853" s="15">
        <f>AC4853*AG4853</f>
        <v>190.95</v>
      </c>
      <c r="AE4853" s="15">
        <v>140</v>
      </c>
      <c r="AF4853" s="15">
        <f>AE4853*AG4853</f>
        <v>420</v>
      </c>
      <c r="AG4853" s="16">
        <v>3</v>
      </c>
    </row>
    <row r="4854" spans="1:33" ht="15" customHeight="1" x14ac:dyDescent="0.2">
      <c r="A4854" s="11" t="str">
        <f t="shared" si="1477"/>
        <v>VN000CVVSR61</v>
      </c>
      <c r="B4854" s="12" t="s">
        <v>16965</v>
      </c>
      <c r="C4854" s="12" t="s">
        <v>2407</v>
      </c>
      <c r="D4854" s="12" t="s">
        <v>16819</v>
      </c>
      <c r="E4854" s="12" t="s">
        <v>16966</v>
      </c>
      <c r="F4854" s="13">
        <v>90</v>
      </c>
      <c r="G4854" s="14"/>
      <c r="H4854" s="12" t="s">
        <v>38</v>
      </c>
      <c r="I4854" s="12" t="s">
        <v>113</v>
      </c>
      <c r="J4854" s="12" t="s">
        <v>529</v>
      </c>
      <c r="K4854" s="12" t="s">
        <v>82</v>
      </c>
      <c r="L4854" s="12" t="s">
        <v>42</v>
      </c>
      <c r="M4854" s="12" t="s">
        <v>43</v>
      </c>
      <c r="N4854" s="12" t="s">
        <v>84</v>
      </c>
      <c r="O4854" s="12" t="s">
        <v>16967</v>
      </c>
      <c r="P4854" s="12" t="s">
        <v>46</v>
      </c>
      <c r="Q4854" s="12" t="s">
        <v>47</v>
      </c>
      <c r="R4854" s="12" t="s">
        <v>2179</v>
      </c>
      <c r="S4854" s="13">
        <v>197804433728</v>
      </c>
      <c r="T4854" s="12" t="s">
        <v>49</v>
      </c>
      <c r="U4854" s="13">
        <v>42</v>
      </c>
      <c r="V4854" s="12" t="s">
        <v>278</v>
      </c>
      <c r="W4854" s="12" t="s">
        <v>299</v>
      </c>
      <c r="X4854" s="14"/>
      <c r="Y4854" s="14"/>
      <c r="Z4854" s="14"/>
      <c r="AA4854" s="14"/>
      <c r="AB4854" s="14"/>
      <c r="AC4854" s="15">
        <v>68.2</v>
      </c>
      <c r="AD4854" s="15">
        <f>AC4854*AG4854</f>
        <v>204.60000000000002</v>
      </c>
      <c r="AE4854" s="15">
        <v>150</v>
      </c>
      <c r="AF4854" s="15">
        <f>AE4854*AG4854</f>
        <v>450</v>
      </c>
      <c r="AG4854" s="16">
        <v>3</v>
      </c>
    </row>
    <row r="4855" spans="1:33" ht="15" customHeight="1" x14ac:dyDescent="0.2">
      <c r="A4855" s="11" t="str">
        <f t="shared" si="1481"/>
        <v>VN000D1GSN01</v>
      </c>
      <c r="B4855" s="12" t="s">
        <v>16968</v>
      </c>
      <c r="C4855" s="12" t="s">
        <v>9139</v>
      </c>
      <c r="D4855" s="12" t="s">
        <v>13809</v>
      </c>
      <c r="E4855" s="12" t="s">
        <v>16969</v>
      </c>
      <c r="F4855" s="13">
        <v>70</v>
      </c>
      <c r="G4855" s="14"/>
      <c r="H4855" s="12" t="s">
        <v>38</v>
      </c>
      <c r="I4855" s="12" t="s">
        <v>159</v>
      </c>
      <c r="J4855" s="12" t="s">
        <v>341</v>
      </c>
      <c r="K4855" s="12" t="s">
        <v>199</v>
      </c>
      <c r="L4855" s="14"/>
      <c r="M4855" s="12" t="s">
        <v>43</v>
      </c>
      <c r="N4855" s="12" t="s">
        <v>44</v>
      </c>
      <c r="O4855" s="12" t="s">
        <v>16970</v>
      </c>
      <c r="P4855" s="12" t="s">
        <v>46</v>
      </c>
      <c r="Q4855" s="12" t="s">
        <v>47</v>
      </c>
      <c r="R4855" s="12" t="s">
        <v>163</v>
      </c>
      <c r="S4855" s="13">
        <v>197643266686</v>
      </c>
      <c r="T4855" s="12" t="s">
        <v>105</v>
      </c>
      <c r="U4855" s="13">
        <v>39</v>
      </c>
      <c r="V4855" s="12" t="s">
        <v>50</v>
      </c>
      <c r="W4855" s="12" t="s">
        <v>284</v>
      </c>
      <c r="X4855" s="14"/>
      <c r="Y4855" s="12" t="s">
        <v>91</v>
      </c>
      <c r="Z4855" s="12" t="s">
        <v>14497</v>
      </c>
      <c r="AA4855" s="14"/>
      <c r="AB4855" s="14"/>
      <c r="AC4855" s="15">
        <v>59.1</v>
      </c>
      <c r="AD4855" s="15">
        <f>AC4855*AG4855</f>
        <v>177.3</v>
      </c>
      <c r="AE4855" s="15">
        <v>130</v>
      </c>
      <c r="AF4855" s="15">
        <f>AE4855*AG4855</f>
        <v>390</v>
      </c>
      <c r="AG4855" s="16">
        <v>3</v>
      </c>
    </row>
    <row r="4856" spans="1:33" ht="15" customHeight="1" x14ac:dyDescent="0.2">
      <c r="A4856" s="11" t="str">
        <f t="shared" si="1478"/>
        <v>VN000D3JB7G1</v>
      </c>
      <c r="B4856" s="12" t="s">
        <v>16971</v>
      </c>
      <c r="C4856" s="12" t="s">
        <v>16826</v>
      </c>
      <c r="D4856" s="12" t="s">
        <v>9054</v>
      </c>
      <c r="E4856" s="12" t="s">
        <v>16972</v>
      </c>
      <c r="F4856" s="13">
        <v>80</v>
      </c>
      <c r="G4856" s="14"/>
      <c r="H4856" s="12" t="s">
        <v>38</v>
      </c>
      <c r="I4856" s="12" t="s">
        <v>159</v>
      </c>
      <c r="J4856" s="12" t="s">
        <v>341</v>
      </c>
      <c r="K4856" s="12" t="s">
        <v>199</v>
      </c>
      <c r="L4856" s="14"/>
      <c r="M4856" s="12" t="s">
        <v>43</v>
      </c>
      <c r="N4856" s="12" t="s">
        <v>44</v>
      </c>
      <c r="O4856" s="12" t="s">
        <v>16973</v>
      </c>
      <c r="P4856" s="12" t="s">
        <v>46</v>
      </c>
      <c r="Q4856" s="12" t="s">
        <v>47</v>
      </c>
      <c r="R4856" s="12" t="s">
        <v>163</v>
      </c>
      <c r="S4856" s="13">
        <v>197643271840</v>
      </c>
      <c r="T4856" s="12" t="s">
        <v>49</v>
      </c>
      <c r="U4856" s="13">
        <v>40.5</v>
      </c>
      <c r="V4856" s="12" t="s">
        <v>50</v>
      </c>
      <c r="W4856" s="12" t="s">
        <v>186</v>
      </c>
      <c r="X4856" s="14"/>
      <c r="Y4856" s="12" t="s">
        <v>53</v>
      </c>
      <c r="Z4856" s="12" t="s">
        <v>165</v>
      </c>
      <c r="AA4856" s="14"/>
      <c r="AB4856" s="14"/>
      <c r="AC4856" s="15">
        <v>45.5</v>
      </c>
      <c r="AD4856" s="15">
        <f>AC4856*AG4856</f>
        <v>136.5</v>
      </c>
      <c r="AE4856" s="15">
        <v>100</v>
      </c>
      <c r="AF4856" s="15">
        <f>AE4856*AG4856</f>
        <v>300</v>
      </c>
      <c r="AG4856" s="16">
        <v>3</v>
      </c>
    </row>
    <row r="4857" spans="1:33" ht="15" customHeight="1" x14ac:dyDescent="0.2">
      <c r="A4857" s="11" t="str">
        <f t="shared" ref="A4857:A4954" si="1492">HYPERLINK("https://assets.vans.eu/images/VN000D3NEZ7-HERO/1","VN000D3NEZ71")</f>
        <v>VN000D3NEZ71</v>
      </c>
      <c r="B4857" s="12" t="s">
        <v>16974</v>
      </c>
      <c r="C4857" s="12" t="s">
        <v>16975</v>
      </c>
      <c r="D4857" s="12" t="s">
        <v>16976</v>
      </c>
      <c r="E4857" s="12" t="s">
        <v>16977</v>
      </c>
      <c r="F4857" s="13">
        <v>70</v>
      </c>
      <c r="G4857" s="14"/>
      <c r="H4857" s="12" t="s">
        <v>38</v>
      </c>
      <c r="I4857" s="12" t="s">
        <v>159</v>
      </c>
      <c r="J4857" s="12" t="s">
        <v>341</v>
      </c>
      <c r="K4857" s="12" t="s">
        <v>199</v>
      </c>
      <c r="L4857" s="14"/>
      <c r="M4857" s="12" t="s">
        <v>43</v>
      </c>
      <c r="N4857" s="12" t="s">
        <v>44</v>
      </c>
      <c r="O4857" s="12" t="s">
        <v>16978</v>
      </c>
      <c r="P4857" s="12" t="s">
        <v>46</v>
      </c>
      <c r="Q4857" s="12" t="s">
        <v>47</v>
      </c>
      <c r="R4857" s="12" t="s">
        <v>163</v>
      </c>
      <c r="S4857" s="13">
        <v>197643186281</v>
      </c>
      <c r="T4857" s="12" t="s">
        <v>49</v>
      </c>
      <c r="U4857" s="13">
        <v>39</v>
      </c>
      <c r="V4857" s="12" t="s">
        <v>50</v>
      </c>
      <c r="W4857" s="12" t="s">
        <v>51</v>
      </c>
      <c r="X4857" s="14"/>
      <c r="Y4857" s="12" t="s">
        <v>91</v>
      </c>
      <c r="Z4857" s="12" t="s">
        <v>344</v>
      </c>
      <c r="AA4857" s="14"/>
      <c r="AB4857" s="14"/>
      <c r="AC4857" s="15">
        <v>54.55</v>
      </c>
      <c r="AD4857" s="15">
        <f>AC4857*AG4857</f>
        <v>163.64999999999998</v>
      </c>
      <c r="AE4857" s="15">
        <v>120</v>
      </c>
      <c r="AF4857" s="15">
        <f>AE4857*AG4857</f>
        <v>360</v>
      </c>
      <c r="AG4857" s="16">
        <v>3</v>
      </c>
    </row>
    <row r="4858" spans="1:33" ht="15" customHeight="1" x14ac:dyDescent="0.2">
      <c r="A4858" s="11" t="str">
        <f t="shared" si="1479"/>
        <v>VN000D5RZHJ1</v>
      </c>
      <c r="B4858" s="12" t="s">
        <v>16979</v>
      </c>
      <c r="C4858" s="12" t="s">
        <v>5867</v>
      </c>
      <c r="D4858" s="12" t="s">
        <v>16833</v>
      </c>
      <c r="E4858" s="12" t="s">
        <v>16980</v>
      </c>
      <c r="F4858" s="13">
        <v>130</v>
      </c>
      <c r="G4858" s="14"/>
      <c r="H4858" s="12" t="s">
        <v>38</v>
      </c>
      <c r="I4858" s="12" t="s">
        <v>159</v>
      </c>
      <c r="J4858" s="12" t="s">
        <v>341</v>
      </c>
      <c r="K4858" s="12" t="s">
        <v>199</v>
      </c>
      <c r="L4858" s="14"/>
      <c r="M4858" s="12" t="s">
        <v>43</v>
      </c>
      <c r="N4858" s="12" t="s">
        <v>84</v>
      </c>
      <c r="O4858" s="12" t="s">
        <v>16981</v>
      </c>
      <c r="P4858" s="12" t="s">
        <v>46</v>
      </c>
      <c r="Q4858" s="12" t="s">
        <v>47</v>
      </c>
      <c r="R4858" s="12" t="s">
        <v>163</v>
      </c>
      <c r="S4858" s="13">
        <v>197643282600</v>
      </c>
      <c r="T4858" s="12" t="s">
        <v>49</v>
      </c>
      <c r="U4858" s="13">
        <v>47</v>
      </c>
      <c r="V4858" s="12" t="s">
        <v>50</v>
      </c>
      <c r="W4858" s="12" t="s">
        <v>175</v>
      </c>
      <c r="X4858" s="14"/>
      <c r="Y4858" s="12" t="s">
        <v>53</v>
      </c>
      <c r="Z4858" s="12" t="s">
        <v>344</v>
      </c>
      <c r="AA4858" s="14"/>
      <c r="AB4858" s="14"/>
      <c r="AC4858" s="15">
        <v>38.65</v>
      </c>
      <c r="AD4858" s="15">
        <f>AC4858*AG4858</f>
        <v>115.94999999999999</v>
      </c>
      <c r="AE4858" s="15">
        <v>85</v>
      </c>
      <c r="AF4858" s="15">
        <f>AE4858*AG4858</f>
        <v>255</v>
      </c>
      <c r="AG4858" s="16">
        <v>3</v>
      </c>
    </row>
    <row r="4859" spans="1:33" ht="15" customHeight="1" x14ac:dyDescent="0.2">
      <c r="A4859" s="11" t="str">
        <f t="shared" ref="A4859:A4986" si="1493">HYPERLINK("https://assets.vans.eu/images/VN000D9ZRBG-HERO/1","VN000D9ZRBG1")</f>
        <v>VN000D9ZRBG1</v>
      </c>
      <c r="B4859" s="12" t="s">
        <v>16982</v>
      </c>
      <c r="C4859" s="12" t="s">
        <v>9975</v>
      </c>
      <c r="D4859" s="12" t="s">
        <v>16983</v>
      </c>
      <c r="E4859" s="12" t="s">
        <v>16984</v>
      </c>
      <c r="F4859" s="13">
        <v>105</v>
      </c>
      <c r="G4859" s="14"/>
      <c r="H4859" s="12" t="s">
        <v>38</v>
      </c>
      <c r="I4859" s="12" t="s">
        <v>159</v>
      </c>
      <c r="J4859" s="12" t="s">
        <v>341</v>
      </c>
      <c r="K4859" s="12" t="s">
        <v>199</v>
      </c>
      <c r="L4859" s="14"/>
      <c r="M4859" s="12" t="s">
        <v>43</v>
      </c>
      <c r="N4859" s="12" t="s">
        <v>84</v>
      </c>
      <c r="O4859" s="12" t="s">
        <v>16985</v>
      </c>
      <c r="P4859" s="12" t="s">
        <v>46</v>
      </c>
      <c r="Q4859" s="12" t="s">
        <v>47</v>
      </c>
      <c r="R4859" s="12" t="s">
        <v>343</v>
      </c>
      <c r="S4859" s="13">
        <v>197804553419</v>
      </c>
      <c r="T4859" s="12" t="s">
        <v>49</v>
      </c>
      <c r="U4859" s="13">
        <v>44</v>
      </c>
      <c r="V4859" s="12" t="s">
        <v>50</v>
      </c>
      <c r="W4859" s="12" t="s">
        <v>262</v>
      </c>
      <c r="X4859" s="14"/>
      <c r="Y4859" s="14"/>
      <c r="Z4859" s="14"/>
      <c r="AA4859" s="14"/>
      <c r="AB4859" s="14"/>
      <c r="AC4859" s="15">
        <v>45.5</v>
      </c>
      <c r="AD4859" s="15">
        <f>AC4859*AG4859</f>
        <v>136.5</v>
      </c>
      <c r="AE4859" s="15">
        <v>100</v>
      </c>
      <c r="AF4859" s="15">
        <f>AE4859*AG4859</f>
        <v>300</v>
      </c>
      <c r="AG4859" s="16">
        <v>3</v>
      </c>
    </row>
    <row r="4860" spans="1:33" ht="15" customHeight="1" x14ac:dyDescent="0.2">
      <c r="A4860" s="11" t="str">
        <f t="shared" ref="A4860:A4989" si="1494">HYPERLINK("https://assets.vans.eu/images/VN000DA4PNK-HERO/1","VN000DA4PNK1")</f>
        <v>VN000DA4PNK1</v>
      </c>
      <c r="B4860" s="12" t="s">
        <v>16986</v>
      </c>
      <c r="C4860" s="12" t="s">
        <v>7401</v>
      </c>
      <c r="D4860" s="12" t="s">
        <v>3984</v>
      </c>
      <c r="E4860" s="12" t="s">
        <v>16987</v>
      </c>
      <c r="F4860" s="13">
        <v>45</v>
      </c>
      <c r="G4860" s="14"/>
      <c r="H4860" s="12" t="s">
        <v>38</v>
      </c>
      <c r="I4860" s="12" t="s">
        <v>159</v>
      </c>
      <c r="J4860" s="12" t="s">
        <v>341</v>
      </c>
      <c r="K4860" s="12" t="s">
        <v>199</v>
      </c>
      <c r="L4860" s="14"/>
      <c r="M4860" s="12" t="s">
        <v>43</v>
      </c>
      <c r="N4860" s="12" t="s">
        <v>84</v>
      </c>
      <c r="O4860" s="12" t="s">
        <v>16988</v>
      </c>
      <c r="P4860" s="12" t="s">
        <v>46</v>
      </c>
      <c r="Q4860" s="12" t="s">
        <v>47</v>
      </c>
      <c r="R4860" s="12" t="s">
        <v>163</v>
      </c>
      <c r="S4860" s="13">
        <v>197804555253</v>
      </c>
      <c r="T4860" s="12" t="s">
        <v>49</v>
      </c>
      <c r="U4860" s="13">
        <v>36</v>
      </c>
      <c r="V4860" s="12" t="s">
        <v>50</v>
      </c>
      <c r="W4860" s="12" t="s">
        <v>299</v>
      </c>
      <c r="X4860" s="14"/>
      <c r="Y4860" s="14"/>
      <c r="Z4860" s="14"/>
      <c r="AA4860" s="14"/>
      <c r="AB4860" s="14"/>
      <c r="AC4860" s="15">
        <v>43.2</v>
      </c>
      <c r="AD4860" s="15">
        <f>AC4860*AG4860</f>
        <v>129.60000000000002</v>
      </c>
      <c r="AE4860" s="15">
        <v>95</v>
      </c>
      <c r="AF4860" s="15">
        <f>AE4860*AG4860</f>
        <v>285</v>
      </c>
      <c r="AG4860" s="16">
        <v>3</v>
      </c>
    </row>
    <row r="4861" spans="1:33" ht="15" customHeight="1" x14ac:dyDescent="0.2">
      <c r="A4861" s="11" t="str">
        <f t="shared" si="1494"/>
        <v>VN000DA4PNK1</v>
      </c>
      <c r="B4861" s="12" t="s">
        <v>16989</v>
      </c>
      <c r="C4861" s="12" t="s">
        <v>7401</v>
      </c>
      <c r="D4861" s="12" t="s">
        <v>3984</v>
      </c>
      <c r="E4861" s="12" t="s">
        <v>16990</v>
      </c>
      <c r="F4861" s="13">
        <v>110</v>
      </c>
      <c r="G4861" s="14"/>
      <c r="H4861" s="12" t="s">
        <v>38</v>
      </c>
      <c r="I4861" s="12" t="s">
        <v>159</v>
      </c>
      <c r="J4861" s="12" t="s">
        <v>341</v>
      </c>
      <c r="K4861" s="12" t="s">
        <v>199</v>
      </c>
      <c r="L4861" s="14"/>
      <c r="M4861" s="12" t="s">
        <v>43</v>
      </c>
      <c r="N4861" s="12" t="s">
        <v>84</v>
      </c>
      <c r="O4861" s="12" t="s">
        <v>16991</v>
      </c>
      <c r="P4861" s="12" t="s">
        <v>46</v>
      </c>
      <c r="Q4861" s="12" t="s">
        <v>47</v>
      </c>
      <c r="R4861" s="12" t="s">
        <v>163</v>
      </c>
      <c r="S4861" s="13">
        <v>197804557028</v>
      </c>
      <c r="T4861" s="12" t="s">
        <v>49</v>
      </c>
      <c r="U4861" s="13">
        <v>44.5</v>
      </c>
      <c r="V4861" s="12" t="s">
        <v>50</v>
      </c>
      <c r="W4861" s="12" t="s">
        <v>299</v>
      </c>
      <c r="X4861" s="14"/>
      <c r="Y4861" s="14"/>
      <c r="Z4861" s="14"/>
      <c r="AA4861" s="14"/>
      <c r="AB4861" s="14"/>
      <c r="AC4861" s="15">
        <v>43.2</v>
      </c>
      <c r="AD4861" s="15">
        <f>AC4861*AG4861</f>
        <v>129.60000000000002</v>
      </c>
      <c r="AE4861" s="15">
        <v>95</v>
      </c>
      <c r="AF4861" s="15">
        <f>AE4861*AG4861</f>
        <v>285</v>
      </c>
      <c r="AG4861" s="16">
        <v>3</v>
      </c>
    </row>
    <row r="4862" spans="1:33" ht="15" customHeight="1" x14ac:dyDescent="0.2">
      <c r="A4862" s="11" t="str">
        <f t="shared" ref="A4862:A4994" si="1495">HYPERLINK("https://assets.vans.eu/images/VN000E23L38-HERO/1","VN000E23L381")</f>
        <v>VN000E23L381</v>
      </c>
      <c r="B4862" s="12" t="s">
        <v>16992</v>
      </c>
      <c r="C4862" s="12" t="s">
        <v>16993</v>
      </c>
      <c r="D4862" s="12" t="s">
        <v>16994</v>
      </c>
      <c r="E4862" s="12" t="s">
        <v>16995</v>
      </c>
      <c r="F4862" s="13">
        <v>80</v>
      </c>
      <c r="G4862" s="14"/>
      <c r="H4862" s="12" t="s">
        <v>38</v>
      </c>
      <c r="I4862" s="12" t="s">
        <v>159</v>
      </c>
      <c r="J4862" s="12" t="s">
        <v>341</v>
      </c>
      <c r="K4862" s="12" t="s">
        <v>199</v>
      </c>
      <c r="L4862" s="12" t="s">
        <v>16996</v>
      </c>
      <c r="M4862" s="12" t="s">
        <v>43</v>
      </c>
      <c r="N4862" s="12" t="s">
        <v>274</v>
      </c>
      <c r="O4862" s="12" t="s">
        <v>16997</v>
      </c>
      <c r="P4862" s="12" t="s">
        <v>46</v>
      </c>
      <c r="Q4862" s="12" t="s">
        <v>47</v>
      </c>
      <c r="R4862" s="12" t="s">
        <v>163</v>
      </c>
      <c r="S4862" s="13">
        <v>196575147988</v>
      </c>
      <c r="T4862" s="12" t="s">
        <v>49</v>
      </c>
      <c r="U4862" s="13">
        <v>40.5</v>
      </c>
      <c r="V4862" s="12" t="s">
        <v>50</v>
      </c>
      <c r="W4862" s="12" t="s">
        <v>175</v>
      </c>
      <c r="X4862" s="14"/>
      <c r="Y4862" s="12" t="s">
        <v>1011</v>
      </c>
      <c r="Z4862" s="12" t="s">
        <v>13844</v>
      </c>
      <c r="AA4862" s="12" t="s">
        <v>73</v>
      </c>
      <c r="AB4862" s="12" t="s">
        <v>16998</v>
      </c>
      <c r="AC4862" s="15">
        <v>50</v>
      </c>
      <c r="AD4862" s="15">
        <f>AC4862*AG4862</f>
        <v>150</v>
      </c>
      <c r="AE4862" s="15">
        <v>110</v>
      </c>
      <c r="AF4862" s="15">
        <f>AE4862*AG4862</f>
        <v>330</v>
      </c>
      <c r="AG4862" s="16">
        <v>3</v>
      </c>
    </row>
    <row r="4863" spans="1:33" ht="15" customHeight="1" x14ac:dyDescent="0.2">
      <c r="A4863" s="11" t="str">
        <f t="shared" ref="A4863:A5001" si="1496">HYPERLINK("https://assets.vans.eu/images/VN000EDNBJB-HERO/1","VN000EDNBJB1")</f>
        <v>VN000EDNBJB1</v>
      </c>
      <c r="B4863" s="12" t="s">
        <v>16999</v>
      </c>
      <c r="C4863" s="12" t="s">
        <v>996</v>
      </c>
      <c r="D4863" s="12" t="s">
        <v>17000</v>
      </c>
      <c r="E4863" s="12" t="s">
        <v>17001</v>
      </c>
      <c r="F4863" s="13">
        <v>55</v>
      </c>
      <c r="G4863" s="14"/>
      <c r="H4863" s="12" t="s">
        <v>38</v>
      </c>
      <c r="I4863" s="12" t="s">
        <v>159</v>
      </c>
      <c r="J4863" s="12" t="s">
        <v>341</v>
      </c>
      <c r="K4863" s="12" t="s">
        <v>199</v>
      </c>
      <c r="L4863" s="14"/>
      <c r="M4863" s="12" t="s">
        <v>43</v>
      </c>
      <c r="N4863" s="12" t="s">
        <v>84</v>
      </c>
      <c r="O4863" s="12" t="s">
        <v>17002</v>
      </c>
      <c r="P4863" s="12" t="s">
        <v>46</v>
      </c>
      <c r="Q4863" s="12" t="s">
        <v>47</v>
      </c>
      <c r="R4863" s="12" t="s">
        <v>163</v>
      </c>
      <c r="S4863" s="13">
        <v>197804567249</v>
      </c>
      <c r="T4863" s="12" t="s">
        <v>49</v>
      </c>
      <c r="U4863" s="13">
        <v>37</v>
      </c>
      <c r="V4863" s="12" t="s">
        <v>209</v>
      </c>
      <c r="W4863" s="12" t="s">
        <v>284</v>
      </c>
      <c r="X4863" s="14"/>
      <c r="Y4863" s="14"/>
      <c r="Z4863" s="14"/>
      <c r="AA4863" s="14"/>
      <c r="AB4863" s="14"/>
      <c r="AC4863" s="15">
        <v>38.65</v>
      </c>
      <c r="AD4863" s="15">
        <f>AC4863*AG4863</f>
        <v>115.94999999999999</v>
      </c>
      <c r="AE4863" s="15">
        <v>85</v>
      </c>
      <c r="AF4863" s="15">
        <f>AE4863*AG4863</f>
        <v>255</v>
      </c>
      <c r="AG4863" s="16">
        <v>3</v>
      </c>
    </row>
    <row r="4864" spans="1:33" ht="15" customHeight="1" x14ac:dyDescent="0.2">
      <c r="A4864" s="11" t="str">
        <f t="shared" si="1496"/>
        <v>VN000EDNBJB1</v>
      </c>
      <c r="B4864" s="12" t="s">
        <v>17003</v>
      </c>
      <c r="C4864" s="12" t="s">
        <v>996</v>
      </c>
      <c r="D4864" s="12" t="s">
        <v>17000</v>
      </c>
      <c r="E4864" s="12" t="s">
        <v>17004</v>
      </c>
      <c r="F4864" s="13">
        <v>60</v>
      </c>
      <c r="G4864" s="14"/>
      <c r="H4864" s="12" t="s">
        <v>38</v>
      </c>
      <c r="I4864" s="12" t="s">
        <v>159</v>
      </c>
      <c r="J4864" s="12" t="s">
        <v>341</v>
      </c>
      <c r="K4864" s="12" t="s">
        <v>199</v>
      </c>
      <c r="L4864" s="14"/>
      <c r="M4864" s="12" t="s">
        <v>43</v>
      </c>
      <c r="N4864" s="12" t="s">
        <v>84</v>
      </c>
      <c r="O4864" s="12" t="s">
        <v>17005</v>
      </c>
      <c r="P4864" s="12" t="s">
        <v>46</v>
      </c>
      <c r="Q4864" s="12" t="s">
        <v>47</v>
      </c>
      <c r="R4864" s="12" t="s">
        <v>163</v>
      </c>
      <c r="S4864" s="13">
        <v>197804567300</v>
      </c>
      <c r="T4864" s="12" t="s">
        <v>49</v>
      </c>
      <c r="U4864" s="13">
        <v>38</v>
      </c>
      <c r="V4864" s="12" t="s">
        <v>209</v>
      </c>
      <c r="W4864" s="12" t="s">
        <v>284</v>
      </c>
      <c r="X4864" s="14"/>
      <c r="Y4864" s="14"/>
      <c r="Z4864" s="14"/>
      <c r="AA4864" s="14"/>
      <c r="AB4864" s="14"/>
      <c r="AC4864" s="15">
        <v>38.65</v>
      </c>
      <c r="AD4864" s="15">
        <f>AC4864*AG4864</f>
        <v>115.94999999999999</v>
      </c>
      <c r="AE4864" s="15">
        <v>85</v>
      </c>
      <c r="AF4864" s="15">
        <f>AE4864*AG4864</f>
        <v>255</v>
      </c>
      <c r="AG4864" s="16">
        <v>3</v>
      </c>
    </row>
    <row r="4865" spans="1:33" ht="15" customHeight="1" x14ac:dyDescent="0.2">
      <c r="A4865" s="11" t="str">
        <f t="shared" si="1475"/>
        <v>VN000EEBBO51</v>
      </c>
      <c r="B4865" s="12" t="s">
        <v>17006</v>
      </c>
      <c r="C4865" s="12" t="s">
        <v>16796</v>
      </c>
      <c r="D4865" s="12" t="s">
        <v>2835</v>
      </c>
      <c r="E4865" s="12" t="s">
        <v>17007</v>
      </c>
      <c r="F4865" s="13">
        <v>35</v>
      </c>
      <c r="G4865" s="14"/>
      <c r="H4865" s="12" t="s">
        <v>38</v>
      </c>
      <c r="I4865" s="12" t="s">
        <v>113</v>
      </c>
      <c r="J4865" s="12" t="s">
        <v>529</v>
      </c>
      <c r="K4865" s="12" t="s">
        <v>82</v>
      </c>
      <c r="L4865" s="12" t="s">
        <v>115</v>
      </c>
      <c r="M4865" s="12" t="s">
        <v>43</v>
      </c>
      <c r="N4865" s="12" t="s">
        <v>84</v>
      </c>
      <c r="O4865" s="12" t="s">
        <v>17008</v>
      </c>
      <c r="P4865" s="12" t="s">
        <v>46</v>
      </c>
      <c r="Q4865" s="12" t="s">
        <v>47</v>
      </c>
      <c r="R4865" s="12" t="s">
        <v>117</v>
      </c>
      <c r="S4865" s="13">
        <v>197805785239</v>
      </c>
      <c r="T4865" s="12" t="s">
        <v>105</v>
      </c>
      <c r="U4865" s="13">
        <v>34.5</v>
      </c>
      <c r="V4865" s="12" t="s">
        <v>50</v>
      </c>
      <c r="W4865" s="12" t="s">
        <v>598</v>
      </c>
      <c r="X4865" s="14"/>
      <c r="Y4865" s="14"/>
      <c r="Z4865" s="14"/>
      <c r="AA4865" s="14"/>
      <c r="AB4865" s="14"/>
      <c r="AC4865" s="15">
        <v>59.1</v>
      </c>
      <c r="AD4865" s="15">
        <f>AC4865*AG4865</f>
        <v>177.3</v>
      </c>
      <c r="AE4865" s="15">
        <v>130</v>
      </c>
      <c r="AF4865" s="15">
        <f>AE4865*AG4865</f>
        <v>390</v>
      </c>
      <c r="AG4865" s="16">
        <v>3</v>
      </c>
    </row>
    <row r="4866" spans="1:33" ht="15" customHeight="1" x14ac:dyDescent="0.2">
      <c r="A4866" s="11" t="str">
        <f t="shared" si="1475"/>
        <v>VN000EEBBO51</v>
      </c>
      <c r="B4866" s="12" t="s">
        <v>17009</v>
      </c>
      <c r="C4866" s="12" t="s">
        <v>16796</v>
      </c>
      <c r="D4866" s="12" t="s">
        <v>2835</v>
      </c>
      <c r="E4866" s="12" t="s">
        <v>17010</v>
      </c>
      <c r="F4866" s="13">
        <v>65</v>
      </c>
      <c r="G4866" s="14"/>
      <c r="H4866" s="12" t="s">
        <v>38</v>
      </c>
      <c r="I4866" s="12" t="s">
        <v>113</v>
      </c>
      <c r="J4866" s="12" t="s">
        <v>529</v>
      </c>
      <c r="K4866" s="12" t="s">
        <v>82</v>
      </c>
      <c r="L4866" s="12" t="s">
        <v>115</v>
      </c>
      <c r="M4866" s="12" t="s">
        <v>43</v>
      </c>
      <c r="N4866" s="12" t="s">
        <v>84</v>
      </c>
      <c r="O4866" s="12" t="s">
        <v>17011</v>
      </c>
      <c r="P4866" s="12" t="s">
        <v>46</v>
      </c>
      <c r="Q4866" s="12" t="s">
        <v>47</v>
      </c>
      <c r="R4866" s="12" t="s">
        <v>117</v>
      </c>
      <c r="S4866" s="13">
        <v>197805786823</v>
      </c>
      <c r="T4866" s="12" t="s">
        <v>105</v>
      </c>
      <c r="U4866" s="13">
        <v>38.5</v>
      </c>
      <c r="V4866" s="12" t="s">
        <v>50</v>
      </c>
      <c r="W4866" s="12" t="s">
        <v>598</v>
      </c>
      <c r="X4866" s="14"/>
      <c r="Y4866" s="14"/>
      <c r="Z4866" s="14"/>
      <c r="AA4866" s="14"/>
      <c r="AB4866" s="14"/>
      <c r="AC4866" s="15">
        <v>59.1</v>
      </c>
      <c r="AD4866" s="15">
        <f>AC4866*AG4866</f>
        <v>177.3</v>
      </c>
      <c r="AE4866" s="15">
        <v>130</v>
      </c>
      <c r="AF4866" s="15">
        <f>AE4866*AG4866</f>
        <v>390</v>
      </c>
      <c r="AG4866" s="16">
        <v>3</v>
      </c>
    </row>
    <row r="4867" spans="1:33" ht="15" customHeight="1" x14ac:dyDescent="0.2">
      <c r="A4867" s="11" t="str">
        <f t="shared" si="1475"/>
        <v>VN000EEBBO51</v>
      </c>
      <c r="B4867" s="12" t="s">
        <v>17012</v>
      </c>
      <c r="C4867" s="12" t="s">
        <v>16796</v>
      </c>
      <c r="D4867" s="12" t="s">
        <v>2835</v>
      </c>
      <c r="E4867" s="12" t="s">
        <v>17013</v>
      </c>
      <c r="F4867" s="13">
        <v>120</v>
      </c>
      <c r="G4867" s="14"/>
      <c r="H4867" s="12" t="s">
        <v>38</v>
      </c>
      <c r="I4867" s="12" t="s">
        <v>113</v>
      </c>
      <c r="J4867" s="12" t="s">
        <v>529</v>
      </c>
      <c r="K4867" s="12" t="s">
        <v>82</v>
      </c>
      <c r="L4867" s="12" t="s">
        <v>115</v>
      </c>
      <c r="M4867" s="12" t="s">
        <v>43</v>
      </c>
      <c r="N4867" s="12" t="s">
        <v>84</v>
      </c>
      <c r="O4867" s="12" t="s">
        <v>17014</v>
      </c>
      <c r="P4867" s="12" t="s">
        <v>46</v>
      </c>
      <c r="Q4867" s="12" t="s">
        <v>47</v>
      </c>
      <c r="R4867" s="12" t="s">
        <v>117</v>
      </c>
      <c r="S4867" s="13">
        <v>197805788209</v>
      </c>
      <c r="T4867" s="12" t="s">
        <v>105</v>
      </c>
      <c r="U4867" s="13">
        <v>46</v>
      </c>
      <c r="V4867" s="12" t="s">
        <v>50</v>
      </c>
      <c r="W4867" s="12" t="s">
        <v>598</v>
      </c>
      <c r="X4867" s="14"/>
      <c r="Y4867" s="14"/>
      <c r="Z4867" s="14"/>
      <c r="AA4867" s="14"/>
      <c r="AB4867" s="14"/>
      <c r="AC4867" s="15">
        <v>59.1</v>
      </c>
      <c r="AD4867" s="15">
        <f>AC4867*AG4867</f>
        <v>177.3</v>
      </c>
      <c r="AE4867" s="15">
        <v>130</v>
      </c>
      <c r="AF4867" s="15">
        <f>AE4867*AG4867</f>
        <v>390</v>
      </c>
      <c r="AG4867" s="16">
        <v>3</v>
      </c>
    </row>
    <row r="4868" spans="1:33" ht="15" customHeight="1" x14ac:dyDescent="0.2">
      <c r="A4868" s="11" t="str">
        <f t="shared" si="1476"/>
        <v>VN000EJTTC41</v>
      </c>
      <c r="B4868" s="12" t="s">
        <v>17015</v>
      </c>
      <c r="C4868" s="12" t="s">
        <v>16812</v>
      </c>
      <c r="D4868" s="12" t="s">
        <v>3291</v>
      </c>
      <c r="E4868" s="12" t="s">
        <v>17016</v>
      </c>
      <c r="F4868" s="13">
        <v>40</v>
      </c>
      <c r="G4868" s="14"/>
      <c r="H4868" s="12" t="s">
        <v>38</v>
      </c>
      <c r="I4868" s="12" t="s">
        <v>159</v>
      </c>
      <c r="J4868" s="12" t="s">
        <v>255</v>
      </c>
      <c r="K4868" s="12" t="s">
        <v>82</v>
      </c>
      <c r="L4868" s="12" t="s">
        <v>115</v>
      </c>
      <c r="M4868" s="12" t="s">
        <v>43</v>
      </c>
      <c r="N4868" s="12" t="s">
        <v>84</v>
      </c>
      <c r="O4868" s="12" t="s">
        <v>17017</v>
      </c>
      <c r="P4868" s="12" t="s">
        <v>46</v>
      </c>
      <c r="Q4868" s="12" t="s">
        <v>47</v>
      </c>
      <c r="R4868" s="12" t="s">
        <v>343</v>
      </c>
      <c r="S4868" s="13">
        <v>197805906474</v>
      </c>
      <c r="T4868" s="12" t="s">
        <v>49</v>
      </c>
      <c r="U4868" s="13">
        <v>35</v>
      </c>
      <c r="V4868" s="12" t="s">
        <v>278</v>
      </c>
      <c r="W4868" s="12" t="s">
        <v>455</v>
      </c>
      <c r="X4868" s="14"/>
      <c r="Y4868" s="14"/>
      <c r="Z4868" s="14"/>
      <c r="AA4868" s="14"/>
      <c r="AB4868" s="14"/>
      <c r="AC4868" s="15">
        <v>63.65</v>
      </c>
      <c r="AD4868" s="15">
        <f>AC4868*AG4868</f>
        <v>190.95</v>
      </c>
      <c r="AE4868" s="15">
        <v>140</v>
      </c>
      <c r="AF4868" s="15">
        <f>AE4868*AG4868</f>
        <v>420</v>
      </c>
      <c r="AG4868" s="16">
        <v>3</v>
      </c>
    </row>
    <row r="4869" spans="1:33" ht="15" customHeight="1" x14ac:dyDescent="0.2">
      <c r="A4869" s="11" t="str">
        <f t="shared" si="1490"/>
        <v>VN0A5KQZYY41</v>
      </c>
      <c r="B4869" s="12" t="s">
        <v>17018</v>
      </c>
      <c r="C4869" s="12" t="s">
        <v>16947</v>
      </c>
      <c r="D4869" s="12" t="s">
        <v>16948</v>
      </c>
      <c r="E4869" s="12" t="s">
        <v>17019</v>
      </c>
      <c r="F4869" s="13">
        <v>75</v>
      </c>
      <c r="G4869" s="14"/>
      <c r="H4869" s="12" t="s">
        <v>38</v>
      </c>
      <c r="I4869" s="12" t="s">
        <v>159</v>
      </c>
      <c r="J4869" s="12" t="s">
        <v>341</v>
      </c>
      <c r="K4869" s="12" t="s">
        <v>199</v>
      </c>
      <c r="L4869" s="14"/>
      <c r="M4869" s="12" t="s">
        <v>43</v>
      </c>
      <c r="N4869" s="12" t="s">
        <v>84</v>
      </c>
      <c r="O4869" s="12" t="s">
        <v>17020</v>
      </c>
      <c r="P4869" s="12" t="s">
        <v>46</v>
      </c>
      <c r="Q4869" s="12" t="s">
        <v>47</v>
      </c>
      <c r="R4869" s="12" t="s">
        <v>163</v>
      </c>
      <c r="S4869" s="13">
        <v>197804575749</v>
      </c>
      <c r="T4869" s="12" t="s">
        <v>49</v>
      </c>
      <c r="U4869" s="13">
        <v>40</v>
      </c>
      <c r="V4869" s="12" t="s">
        <v>50</v>
      </c>
      <c r="W4869" s="12" t="s">
        <v>186</v>
      </c>
      <c r="X4869" s="14"/>
      <c r="Y4869" s="14"/>
      <c r="Z4869" s="14"/>
      <c r="AA4869" s="14"/>
      <c r="AB4869" s="14"/>
      <c r="AC4869" s="15">
        <v>34.1</v>
      </c>
      <c r="AD4869" s="15">
        <f>AC4869*AG4869</f>
        <v>102.30000000000001</v>
      </c>
      <c r="AE4869" s="15">
        <v>75</v>
      </c>
      <c r="AF4869" s="15">
        <f>AE4869*AG4869</f>
        <v>225</v>
      </c>
      <c r="AG4869" s="16">
        <v>3</v>
      </c>
    </row>
    <row r="4870" spans="1:33" ht="15" customHeight="1" x14ac:dyDescent="0.2">
      <c r="A4870" s="11" t="str">
        <f t="shared" si="1490"/>
        <v>VN0A5KQZYY41</v>
      </c>
      <c r="B4870" s="12" t="s">
        <v>17021</v>
      </c>
      <c r="C4870" s="12" t="s">
        <v>16947</v>
      </c>
      <c r="D4870" s="12" t="s">
        <v>16948</v>
      </c>
      <c r="E4870" s="12" t="s">
        <v>17022</v>
      </c>
      <c r="F4870" s="13">
        <v>80</v>
      </c>
      <c r="G4870" s="14"/>
      <c r="H4870" s="12" t="s">
        <v>38</v>
      </c>
      <c r="I4870" s="12" t="s">
        <v>159</v>
      </c>
      <c r="J4870" s="12" t="s">
        <v>341</v>
      </c>
      <c r="K4870" s="12" t="s">
        <v>199</v>
      </c>
      <c r="L4870" s="14"/>
      <c r="M4870" s="12" t="s">
        <v>43</v>
      </c>
      <c r="N4870" s="12" t="s">
        <v>84</v>
      </c>
      <c r="O4870" s="12" t="s">
        <v>17023</v>
      </c>
      <c r="P4870" s="12" t="s">
        <v>46</v>
      </c>
      <c r="Q4870" s="12" t="s">
        <v>47</v>
      </c>
      <c r="R4870" s="12" t="s">
        <v>163</v>
      </c>
      <c r="S4870" s="13">
        <v>197804575787</v>
      </c>
      <c r="T4870" s="12" t="s">
        <v>49</v>
      </c>
      <c r="U4870" s="13">
        <v>40.5</v>
      </c>
      <c r="V4870" s="12" t="s">
        <v>50</v>
      </c>
      <c r="W4870" s="12" t="s">
        <v>186</v>
      </c>
      <c r="X4870" s="14"/>
      <c r="Y4870" s="14"/>
      <c r="Z4870" s="14"/>
      <c r="AA4870" s="14"/>
      <c r="AB4870" s="14"/>
      <c r="AC4870" s="15">
        <v>34.1</v>
      </c>
      <c r="AD4870" s="15">
        <f>AC4870*AG4870</f>
        <v>102.30000000000001</v>
      </c>
      <c r="AE4870" s="15">
        <v>75</v>
      </c>
      <c r="AF4870" s="15">
        <f>AE4870*AG4870</f>
        <v>225</v>
      </c>
      <c r="AG4870" s="16">
        <v>3</v>
      </c>
    </row>
    <row r="4871" spans="1:33" ht="15" customHeight="1" x14ac:dyDescent="0.2">
      <c r="A4871" s="11" t="str">
        <f t="shared" si="1491"/>
        <v>VN0009UDKOU1</v>
      </c>
      <c r="B4871" s="12" t="s">
        <v>17024</v>
      </c>
      <c r="C4871" s="12" t="s">
        <v>16955</v>
      </c>
      <c r="D4871" s="12" t="s">
        <v>4469</v>
      </c>
      <c r="E4871" s="12" t="s">
        <v>17025</v>
      </c>
      <c r="F4871" s="12" t="s">
        <v>60</v>
      </c>
      <c r="G4871" s="14"/>
      <c r="H4871" s="12" t="s">
        <v>61</v>
      </c>
      <c r="I4871" s="12" t="s">
        <v>230</v>
      </c>
      <c r="J4871" s="12" t="s">
        <v>762</v>
      </c>
      <c r="K4871" s="12" t="s">
        <v>199</v>
      </c>
      <c r="L4871" s="14"/>
      <c r="M4871" s="12" t="s">
        <v>43</v>
      </c>
      <c r="N4871" s="12" t="s">
        <v>161</v>
      </c>
      <c r="O4871" s="12" t="s">
        <v>17026</v>
      </c>
      <c r="P4871" s="12" t="s">
        <v>66</v>
      </c>
      <c r="Q4871" s="12" t="s">
        <v>764</v>
      </c>
      <c r="R4871" s="12" t="s">
        <v>765</v>
      </c>
      <c r="S4871" s="13">
        <v>197065480370</v>
      </c>
      <c r="T4871" s="12" t="s">
        <v>49</v>
      </c>
      <c r="U4871" s="12" t="s">
        <v>60</v>
      </c>
      <c r="V4871" s="12" t="s">
        <v>16958</v>
      </c>
      <c r="W4871" s="12" t="s">
        <v>51</v>
      </c>
      <c r="X4871" s="13">
        <v>0</v>
      </c>
      <c r="Y4871" s="12" t="s">
        <v>91</v>
      </c>
      <c r="Z4871" s="12" t="s">
        <v>16810</v>
      </c>
      <c r="AA4871" s="13">
        <v>0</v>
      </c>
      <c r="AB4871" s="13">
        <v>0</v>
      </c>
      <c r="AC4871" s="15">
        <v>95.5</v>
      </c>
      <c r="AD4871" s="15">
        <f>AC4871*AG4871</f>
        <v>191</v>
      </c>
      <c r="AE4871" s="15">
        <v>210</v>
      </c>
      <c r="AF4871" s="15">
        <f>AE4871*AG4871</f>
        <v>420</v>
      </c>
      <c r="AG4871" s="16">
        <v>2</v>
      </c>
    </row>
    <row r="4872" spans="1:33" ht="15" customHeight="1" x14ac:dyDescent="0.2">
      <c r="A4872" s="11" t="str">
        <f t="shared" si="1486"/>
        <v>VN0009UEBLK1</v>
      </c>
      <c r="B4872" s="12" t="s">
        <v>17027</v>
      </c>
      <c r="C4872" s="12" t="s">
        <v>2243</v>
      </c>
      <c r="D4872" s="12" t="s">
        <v>76</v>
      </c>
      <c r="E4872" s="12" t="s">
        <v>17028</v>
      </c>
      <c r="F4872" s="12" t="s">
        <v>621</v>
      </c>
      <c r="G4872" s="14"/>
      <c r="H4872" s="12" t="s">
        <v>61</v>
      </c>
      <c r="I4872" s="12" t="s">
        <v>230</v>
      </c>
      <c r="J4872" s="12" t="s">
        <v>762</v>
      </c>
      <c r="K4872" s="12" t="s">
        <v>199</v>
      </c>
      <c r="L4872" s="14"/>
      <c r="M4872" s="12" t="s">
        <v>43</v>
      </c>
      <c r="N4872" s="12" t="s">
        <v>161</v>
      </c>
      <c r="O4872" s="12" t="s">
        <v>17029</v>
      </c>
      <c r="P4872" s="12" t="s">
        <v>66</v>
      </c>
      <c r="Q4872" s="12" t="s">
        <v>764</v>
      </c>
      <c r="R4872" s="12" t="s">
        <v>765</v>
      </c>
      <c r="S4872" s="13">
        <v>197065480868</v>
      </c>
      <c r="T4872" s="12" t="s">
        <v>49</v>
      </c>
      <c r="U4872" s="12" t="s">
        <v>621</v>
      </c>
      <c r="V4872" s="12" t="s">
        <v>90</v>
      </c>
      <c r="W4872" s="12" t="s">
        <v>51</v>
      </c>
      <c r="X4872" s="13">
        <v>0</v>
      </c>
      <c r="Y4872" s="12" t="s">
        <v>91</v>
      </c>
      <c r="Z4872" s="12" t="s">
        <v>16810</v>
      </c>
      <c r="AA4872" s="13">
        <v>0</v>
      </c>
      <c r="AB4872" s="13">
        <v>0</v>
      </c>
      <c r="AC4872" s="15">
        <v>136.4</v>
      </c>
      <c r="AD4872" s="15">
        <f>AC4872*AG4872</f>
        <v>272.8</v>
      </c>
      <c r="AE4872" s="15">
        <v>300</v>
      </c>
      <c r="AF4872" s="15">
        <f>AE4872*AG4872</f>
        <v>600</v>
      </c>
      <c r="AG4872" s="16">
        <v>2</v>
      </c>
    </row>
    <row r="4873" spans="1:33" ht="15" customHeight="1" x14ac:dyDescent="0.2">
      <c r="A4873" s="11" t="str">
        <f t="shared" ref="A4873:A4910" si="1497">HYPERLINK("https://assets.vans.eu/images/VN0009UFDRP-HERO/1","VN0009UFDRP1")</f>
        <v>VN0009UFDRP1</v>
      </c>
      <c r="B4873" s="12" t="s">
        <v>17030</v>
      </c>
      <c r="C4873" s="12" t="s">
        <v>17031</v>
      </c>
      <c r="D4873" s="12" t="s">
        <v>17032</v>
      </c>
      <c r="E4873" s="12" t="s">
        <v>17033</v>
      </c>
      <c r="F4873" s="12" t="s">
        <v>179</v>
      </c>
      <c r="G4873" s="14"/>
      <c r="H4873" s="12" t="s">
        <v>61</v>
      </c>
      <c r="I4873" s="12" t="s">
        <v>230</v>
      </c>
      <c r="J4873" s="12" t="s">
        <v>762</v>
      </c>
      <c r="K4873" s="12" t="s">
        <v>199</v>
      </c>
      <c r="L4873" s="14"/>
      <c r="M4873" s="12" t="s">
        <v>43</v>
      </c>
      <c r="N4873" s="12" t="s">
        <v>161</v>
      </c>
      <c r="O4873" s="12" t="s">
        <v>17034</v>
      </c>
      <c r="P4873" s="12" t="s">
        <v>66</v>
      </c>
      <c r="Q4873" s="12" t="s">
        <v>764</v>
      </c>
      <c r="R4873" s="12" t="s">
        <v>765</v>
      </c>
      <c r="S4873" s="13">
        <v>197065450816</v>
      </c>
      <c r="T4873" s="12" t="s">
        <v>49</v>
      </c>
      <c r="U4873" s="12" t="s">
        <v>179</v>
      </c>
      <c r="V4873" s="12" t="s">
        <v>16958</v>
      </c>
      <c r="W4873" s="12" t="s">
        <v>598</v>
      </c>
      <c r="X4873" s="13">
        <v>0</v>
      </c>
      <c r="Y4873" s="12" t="s">
        <v>91</v>
      </c>
      <c r="Z4873" s="12" t="s">
        <v>16810</v>
      </c>
      <c r="AA4873" s="13">
        <v>0</v>
      </c>
      <c r="AB4873" s="13">
        <v>0</v>
      </c>
      <c r="AC4873" s="15">
        <v>136.4</v>
      </c>
      <c r="AD4873" s="15">
        <f>AC4873*AG4873</f>
        <v>272.8</v>
      </c>
      <c r="AE4873" s="15">
        <v>300</v>
      </c>
      <c r="AF4873" s="15">
        <f>AE4873*AG4873</f>
        <v>600</v>
      </c>
      <c r="AG4873" s="16">
        <v>2</v>
      </c>
    </row>
    <row r="4874" spans="1:33" ht="15" customHeight="1" x14ac:dyDescent="0.2">
      <c r="A4874" s="11" t="str">
        <f t="shared" si="1497"/>
        <v>VN0009UFDRP1</v>
      </c>
      <c r="B4874" s="12" t="s">
        <v>17035</v>
      </c>
      <c r="C4874" s="12" t="s">
        <v>17031</v>
      </c>
      <c r="D4874" s="12" t="s">
        <v>17032</v>
      </c>
      <c r="E4874" s="12" t="s">
        <v>17036</v>
      </c>
      <c r="F4874" s="12" t="s">
        <v>60</v>
      </c>
      <c r="G4874" s="14"/>
      <c r="H4874" s="12" t="s">
        <v>61</v>
      </c>
      <c r="I4874" s="12" t="s">
        <v>230</v>
      </c>
      <c r="J4874" s="12" t="s">
        <v>762</v>
      </c>
      <c r="K4874" s="12" t="s">
        <v>199</v>
      </c>
      <c r="L4874" s="14"/>
      <c r="M4874" s="12" t="s">
        <v>43</v>
      </c>
      <c r="N4874" s="12" t="s">
        <v>161</v>
      </c>
      <c r="O4874" s="12" t="s">
        <v>17037</v>
      </c>
      <c r="P4874" s="12" t="s">
        <v>66</v>
      </c>
      <c r="Q4874" s="12" t="s">
        <v>764</v>
      </c>
      <c r="R4874" s="12" t="s">
        <v>765</v>
      </c>
      <c r="S4874" s="13">
        <v>197065451080</v>
      </c>
      <c r="T4874" s="12" t="s">
        <v>49</v>
      </c>
      <c r="U4874" s="12" t="s">
        <v>60</v>
      </c>
      <c r="V4874" s="12" t="s">
        <v>16958</v>
      </c>
      <c r="W4874" s="12" t="s">
        <v>598</v>
      </c>
      <c r="X4874" s="13">
        <v>0</v>
      </c>
      <c r="Y4874" s="12" t="s">
        <v>91</v>
      </c>
      <c r="Z4874" s="12" t="s">
        <v>16810</v>
      </c>
      <c r="AA4874" s="13">
        <v>0</v>
      </c>
      <c r="AB4874" s="13">
        <v>0</v>
      </c>
      <c r="AC4874" s="15">
        <v>136.4</v>
      </c>
      <c r="AD4874" s="15">
        <f>AC4874*AG4874</f>
        <v>272.8</v>
      </c>
      <c r="AE4874" s="15">
        <v>300</v>
      </c>
      <c r="AF4874" s="15">
        <f>AE4874*AG4874</f>
        <v>600</v>
      </c>
      <c r="AG4874" s="16">
        <v>2</v>
      </c>
    </row>
    <row r="4875" spans="1:33" ht="15" customHeight="1" x14ac:dyDescent="0.2">
      <c r="A4875" s="11" t="str">
        <f t="shared" ref="A4875:A4911" si="1498">HYPERLINK("https://assets.vans.eu/images/VN0009UFKOU-HERO/1","VN0009UFKOU1")</f>
        <v>VN0009UFKOU1</v>
      </c>
      <c r="B4875" s="12" t="s">
        <v>17038</v>
      </c>
      <c r="C4875" s="12" t="s">
        <v>17031</v>
      </c>
      <c r="D4875" s="12" t="s">
        <v>4469</v>
      </c>
      <c r="E4875" s="12" t="s">
        <v>17039</v>
      </c>
      <c r="F4875" s="12" t="s">
        <v>60</v>
      </c>
      <c r="G4875" s="14"/>
      <c r="H4875" s="12" t="s">
        <v>61</v>
      </c>
      <c r="I4875" s="12" t="s">
        <v>230</v>
      </c>
      <c r="J4875" s="12" t="s">
        <v>762</v>
      </c>
      <c r="K4875" s="12" t="s">
        <v>199</v>
      </c>
      <c r="L4875" s="14"/>
      <c r="M4875" s="12" t="s">
        <v>43</v>
      </c>
      <c r="N4875" s="12" t="s">
        <v>161</v>
      </c>
      <c r="O4875" s="12" t="s">
        <v>17040</v>
      </c>
      <c r="P4875" s="12" t="s">
        <v>66</v>
      </c>
      <c r="Q4875" s="12" t="s">
        <v>764</v>
      </c>
      <c r="R4875" s="12" t="s">
        <v>765</v>
      </c>
      <c r="S4875" s="13">
        <v>197065451097</v>
      </c>
      <c r="T4875" s="12" t="s">
        <v>49</v>
      </c>
      <c r="U4875" s="12" t="s">
        <v>60</v>
      </c>
      <c r="V4875" s="12" t="s">
        <v>16958</v>
      </c>
      <c r="W4875" s="12" t="s">
        <v>51</v>
      </c>
      <c r="X4875" s="13">
        <v>0</v>
      </c>
      <c r="Y4875" s="12" t="s">
        <v>91</v>
      </c>
      <c r="Z4875" s="12" t="s">
        <v>16810</v>
      </c>
      <c r="AA4875" s="13">
        <v>0</v>
      </c>
      <c r="AB4875" s="13">
        <v>0</v>
      </c>
      <c r="AC4875" s="15">
        <v>136.4</v>
      </c>
      <c r="AD4875" s="15">
        <f>AC4875*AG4875</f>
        <v>272.8</v>
      </c>
      <c r="AE4875" s="15">
        <v>300</v>
      </c>
      <c r="AF4875" s="15">
        <f>AE4875*AG4875</f>
        <v>600</v>
      </c>
      <c r="AG4875" s="16">
        <v>2</v>
      </c>
    </row>
    <row r="4876" spans="1:33" ht="15" customHeight="1" x14ac:dyDescent="0.2">
      <c r="A4876" s="11" t="str">
        <f t="shared" si="1498"/>
        <v>VN0009UFKOU1</v>
      </c>
      <c r="B4876" s="12" t="s">
        <v>17041</v>
      </c>
      <c r="C4876" s="12" t="s">
        <v>17031</v>
      </c>
      <c r="D4876" s="12" t="s">
        <v>4469</v>
      </c>
      <c r="E4876" s="12" t="s">
        <v>17042</v>
      </c>
      <c r="F4876" s="12" t="s">
        <v>153</v>
      </c>
      <c r="G4876" s="14"/>
      <c r="H4876" s="12" t="s">
        <v>61</v>
      </c>
      <c r="I4876" s="12" t="s">
        <v>230</v>
      </c>
      <c r="J4876" s="12" t="s">
        <v>762</v>
      </c>
      <c r="K4876" s="12" t="s">
        <v>199</v>
      </c>
      <c r="L4876" s="14"/>
      <c r="M4876" s="12" t="s">
        <v>43</v>
      </c>
      <c r="N4876" s="12" t="s">
        <v>161</v>
      </c>
      <c r="O4876" s="12" t="s">
        <v>17043</v>
      </c>
      <c r="P4876" s="12" t="s">
        <v>66</v>
      </c>
      <c r="Q4876" s="12" t="s">
        <v>764</v>
      </c>
      <c r="R4876" s="12" t="s">
        <v>765</v>
      </c>
      <c r="S4876" s="13">
        <v>197065451400</v>
      </c>
      <c r="T4876" s="12" t="s">
        <v>49</v>
      </c>
      <c r="U4876" s="12" t="s">
        <v>153</v>
      </c>
      <c r="V4876" s="12" t="s">
        <v>16958</v>
      </c>
      <c r="W4876" s="12" t="s">
        <v>51</v>
      </c>
      <c r="X4876" s="13">
        <v>0</v>
      </c>
      <c r="Y4876" s="12" t="s">
        <v>91</v>
      </c>
      <c r="Z4876" s="12" t="s">
        <v>16810</v>
      </c>
      <c r="AA4876" s="13">
        <v>0</v>
      </c>
      <c r="AB4876" s="13">
        <v>0</v>
      </c>
      <c r="AC4876" s="15">
        <v>136.4</v>
      </c>
      <c r="AD4876" s="15">
        <f>AC4876*AG4876</f>
        <v>272.8</v>
      </c>
      <c r="AE4876" s="15">
        <v>300</v>
      </c>
      <c r="AF4876" s="15">
        <f>AE4876*AG4876</f>
        <v>600</v>
      </c>
      <c r="AG4876" s="16">
        <v>2</v>
      </c>
    </row>
    <row r="4877" spans="1:33" ht="15" customHeight="1" x14ac:dyDescent="0.2">
      <c r="A4877" s="11" t="str">
        <f>HYPERLINK("https://assets.vans.eu/images/VN0005VDNGV-HERO/1","VN0005VDNGV1")</f>
        <v>VN0005VDNGV1</v>
      </c>
      <c r="B4877" s="12" t="s">
        <v>17044</v>
      </c>
      <c r="C4877" s="12" t="s">
        <v>17045</v>
      </c>
      <c r="D4877" s="12" t="s">
        <v>13506</v>
      </c>
      <c r="E4877" s="12" t="s">
        <v>17046</v>
      </c>
      <c r="F4877" s="13">
        <v>80</v>
      </c>
      <c r="G4877" s="12" t="s">
        <v>17047</v>
      </c>
      <c r="H4877" s="12" t="s">
        <v>38</v>
      </c>
      <c r="I4877" s="12" t="s">
        <v>159</v>
      </c>
      <c r="J4877" s="12" t="s">
        <v>341</v>
      </c>
      <c r="K4877" s="12" t="s">
        <v>199</v>
      </c>
      <c r="L4877" s="12" t="s">
        <v>42</v>
      </c>
      <c r="M4877" s="12" t="s">
        <v>43</v>
      </c>
      <c r="N4877" s="12" t="s">
        <v>101</v>
      </c>
      <c r="O4877" s="12" t="s">
        <v>17048</v>
      </c>
      <c r="P4877" s="12" t="s">
        <v>46</v>
      </c>
      <c r="Q4877" s="12" t="s">
        <v>47</v>
      </c>
      <c r="R4877" s="12" t="s">
        <v>343</v>
      </c>
      <c r="S4877" s="13">
        <v>196573329263</v>
      </c>
      <c r="T4877" s="12" t="s">
        <v>143</v>
      </c>
      <c r="U4877" s="13">
        <v>40.5</v>
      </c>
      <c r="V4877" s="12" t="s">
        <v>50</v>
      </c>
      <c r="W4877" s="12" t="s">
        <v>284</v>
      </c>
      <c r="X4877" s="14"/>
      <c r="Y4877" s="12" t="s">
        <v>1011</v>
      </c>
      <c r="Z4877" s="12" t="s">
        <v>13844</v>
      </c>
      <c r="AA4877" s="12" t="s">
        <v>73</v>
      </c>
      <c r="AB4877" s="12" t="s">
        <v>55</v>
      </c>
      <c r="AC4877" s="15">
        <v>50</v>
      </c>
      <c r="AD4877" s="15">
        <f>AC4877*AG4877</f>
        <v>100</v>
      </c>
      <c r="AE4877" s="15">
        <v>110</v>
      </c>
      <c r="AF4877" s="15">
        <f>AE4877*AG4877</f>
        <v>220</v>
      </c>
      <c r="AG4877" s="16">
        <v>2</v>
      </c>
    </row>
    <row r="4878" spans="1:33" ht="15" customHeight="1" x14ac:dyDescent="0.2">
      <c r="A4878" s="11" t="str">
        <f t="shared" si="1477"/>
        <v>VN000CVVSR61</v>
      </c>
      <c r="B4878" s="12" t="s">
        <v>17049</v>
      </c>
      <c r="C4878" s="12" t="s">
        <v>2407</v>
      </c>
      <c r="D4878" s="12" t="s">
        <v>16819</v>
      </c>
      <c r="E4878" s="12" t="s">
        <v>17050</v>
      </c>
      <c r="F4878" s="13">
        <v>35</v>
      </c>
      <c r="G4878" s="14"/>
      <c r="H4878" s="12" t="s">
        <v>38</v>
      </c>
      <c r="I4878" s="12" t="s">
        <v>113</v>
      </c>
      <c r="J4878" s="12" t="s">
        <v>529</v>
      </c>
      <c r="K4878" s="12" t="s">
        <v>82</v>
      </c>
      <c r="L4878" s="12" t="s">
        <v>42</v>
      </c>
      <c r="M4878" s="12" t="s">
        <v>43</v>
      </c>
      <c r="N4878" s="12" t="s">
        <v>84</v>
      </c>
      <c r="O4878" s="12" t="s">
        <v>17051</v>
      </c>
      <c r="P4878" s="12" t="s">
        <v>46</v>
      </c>
      <c r="Q4878" s="12" t="s">
        <v>47</v>
      </c>
      <c r="R4878" s="12" t="s">
        <v>2179</v>
      </c>
      <c r="S4878" s="13">
        <v>197804432110</v>
      </c>
      <c r="T4878" s="12" t="s">
        <v>49</v>
      </c>
      <c r="U4878" s="13">
        <v>34.5</v>
      </c>
      <c r="V4878" s="12" t="s">
        <v>278</v>
      </c>
      <c r="W4878" s="12" t="s">
        <v>299</v>
      </c>
      <c r="X4878" s="14"/>
      <c r="Y4878" s="14"/>
      <c r="Z4878" s="14"/>
      <c r="AA4878" s="14"/>
      <c r="AB4878" s="14"/>
      <c r="AC4878" s="15">
        <v>68.2</v>
      </c>
      <c r="AD4878" s="15">
        <f>AC4878*AG4878</f>
        <v>136.4</v>
      </c>
      <c r="AE4878" s="15">
        <v>150</v>
      </c>
      <c r="AF4878" s="15">
        <f>AE4878*AG4878</f>
        <v>300</v>
      </c>
      <c r="AG4878" s="16">
        <v>2</v>
      </c>
    </row>
    <row r="4879" spans="1:33" ht="15" customHeight="1" x14ac:dyDescent="0.2">
      <c r="A4879" s="11" t="str">
        <f t="shared" si="1477"/>
        <v>VN000CVVSR61</v>
      </c>
      <c r="B4879" s="12" t="s">
        <v>17052</v>
      </c>
      <c r="C4879" s="12" t="s">
        <v>2407</v>
      </c>
      <c r="D4879" s="12" t="s">
        <v>16819</v>
      </c>
      <c r="E4879" s="12" t="s">
        <v>17053</v>
      </c>
      <c r="F4879" s="13">
        <v>80</v>
      </c>
      <c r="G4879" s="14"/>
      <c r="H4879" s="12" t="s">
        <v>38</v>
      </c>
      <c r="I4879" s="12" t="s">
        <v>113</v>
      </c>
      <c r="J4879" s="12" t="s">
        <v>529</v>
      </c>
      <c r="K4879" s="12" t="s">
        <v>82</v>
      </c>
      <c r="L4879" s="12" t="s">
        <v>42</v>
      </c>
      <c r="M4879" s="12" t="s">
        <v>43</v>
      </c>
      <c r="N4879" s="12" t="s">
        <v>84</v>
      </c>
      <c r="O4879" s="12" t="s">
        <v>17054</v>
      </c>
      <c r="P4879" s="12" t="s">
        <v>46</v>
      </c>
      <c r="Q4879" s="12" t="s">
        <v>47</v>
      </c>
      <c r="R4879" s="12" t="s">
        <v>2179</v>
      </c>
      <c r="S4879" s="13">
        <v>197804433346</v>
      </c>
      <c r="T4879" s="12" t="s">
        <v>49</v>
      </c>
      <c r="U4879" s="13">
        <v>40.5</v>
      </c>
      <c r="V4879" s="12" t="s">
        <v>278</v>
      </c>
      <c r="W4879" s="12" t="s">
        <v>299</v>
      </c>
      <c r="X4879" s="14"/>
      <c r="Y4879" s="14"/>
      <c r="Z4879" s="14"/>
      <c r="AA4879" s="14"/>
      <c r="AB4879" s="14"/>
      <c r="AC4879" s="15">
        <v>68.2</v>
      </c>
      <c r="AD4879" s="15">
        <f>AC4879*AG4879</f>
        <v>136.4</v>
      </c>
      <c r="AE4879" s="15">
        <v>150</v>
      </c>
      <c r="AF4879" s="15">
        <f>AE4879*AG4879</f>
        <v>300</v>
      </c>
      <c r="AG4879" s="16">
        <v>2</v>
      </c>
    </row>
    <row r="4880" spans="1:33" ht="15" customHeight="1" x14ac:dyDescent="0.2">
      <c r="A4880" s="11" t="str">
        <f t="shared" ref="A4880:A4936" si="1499">HYPERLINK("https://assets.vans.eu/images/VN000D1G92A-HERO/1","VN000D1G92A1")</f>
        <v>VN000D1G92A1</v>
      </c>
      <c r="B4880" s="12" t="s">
        <v>17055</v>
      </c>
      <c r="C4880" s="12" t="s">
        <v>9139</v>
      </c>
      <c r="D4880" s="12" t="s">
        <v>17056</v>
      </c>
      <c r="E4880" s="12" t="s">
        <v>17057</v>
      </c>
      <c r="F4880" s="13">
        <v>105</v>
      </c>
      <c r="G4880" s="14"/>
      <c r="H4880" s="12" t="s">
        <v>38</v>
      </c>
      <c r="I4880" s="12" t="s">
        <v>159</v>
      </c>
      <c r="J4880" s="12" t="s">
        <v>341</v>
      </c>
      <c r="K4880" s="12" t="s">
        <v>199</v>
      </c>
      <c r="L4880" s="14"/>
      <c r="M4880" s="12" t="s">
        <v>43</v>
      </c>
      <c r="N4880" s="12" t="s">
        <v>274</v>
      </c>
      <c r="O4880" s="12" t="s">
        <v>17058</v>
      </c>
      <c r="P4880" s="12" t="s">
        <v>46</v>
      </c>
      <c r="Q4880" s="12" t="s">
        <v>47</v>
      </c>
      <c r="R4880" s="12" t="s">
        <v>163</v>
      </c>
      <c r="S4880" s="13">
        <v>197063765790</v>
      </c>
      <c r="T4880" s="12" t="s">
        <v>105</v>
      </c>
      <c r="U4880" s="13">
        <v>44</v>
      </c>
      <c r="V4880" s="12" t="s">
        <v>50</v>
      </c>
      <c r="W4880" s="12" t="s">
        <v>175</v>
      </c>
      <c r="X4880" s="14"/>
      <c r="Y4880" s="12" t="s">
        <v>91</v>
      </c>
      <c r="Z4880" s="12" t="s">
        <v>344</v>
      </c>
      <c r="AA4880" s="14"/>
      <c r="AB4880" s="14"/>
      <c r="AC4880" s="15">
        <v>59.1</v>
      </c>
      <c r="AD4880" s="15">
        <f>AC4880*AG4880</f>
        <v>118.2</v>
      </c>
      <c r="AE4880" s="15">
        <v>130</v>
      </c>
      <c r="AF4880" s="15">
        <f>AE4880*AG4880</f>
        <v>260</v>
      </c>
      <c r="AG4880" s="16">
        <v>2</v>
      </c>
    </row>
    <row r="4881" spans="1:33" ht="15" customHeight="1" x14ac:dyDescent="0.2">
      <c r="A4881" s="11" t="str">
        <f t="shared" ref="A4881:A4942" si="1500">HYPERLINK("https://assets.vans.eu/images/VN000D1GK1O-HERO/1","VN000D1GK1O1")</f>
        <v>VN000D1GK1O1</v>
      </c>
      <c r="B4881" s="12" t="s">
        <v>17059</v>
      </c>
      <c r="C4881" s="12" t="s">
        <v>9139</v>
      </c>
      <c r="D4881" s="12" t="s">
        <v>17060</v>
      </c>
      <c r="E4881" s="12" t="s">
        <v>17061</v>
      </c>
      <c r="F4881" s="13">
        <v>90</v>
      </c>
      <c r="G4881" s="14"/>
      <c r="H4881" s="12" t="s">
        <v>38</v>
      </c>
      <c r="I4881" s="12" t="s">
        <v>159</v>
      </c>
      <c r="J4881" s="12" t="s">
        <v>341</v>
      </c>
      <c r="K4881" s="12" t="s">
        <v>199</v>
      </c>
      <c r="L4881" s="14"/>
      <c r="M4881" s="12" t="s">
        <v>43</v>
      </c>
      <c r="N4881" s="12" t="s">
        <v>44</v>
      </c>
      <c r="O4881" s="12" t="s">
        <v>17062</v>
      </c>
      <c r="P4881" s="12" t="s">
        <v>46</v>
      </c>
      <c r="Q4881" s="12" t="s">
        <v>47</v>
      </c>
      <c r="R4881" s="12" t="s">
        <v>163</v>
      </c>
      <c r="S4881" s="13">
        <v>197643266990</v>
      </c>
      <c r="T4881" s="12" t="s">
        <v>105</v>
      </c>
      <c r="U4881" s="13">
        <v>42</v>
      </c>
      <c r="V4881" s="12" t="s">
        <v>50</v>
      </c>
      <c r="W4881" s="12" t="s">
        <v>262</v>
      </c>
      <c r="X4881" s="14"/>
      <c r="Y4881" s="12" t="s">
        <v>91</v>
      </c>
      <c r="Z4881" s="12" t="s">
        <v>14497</v>
      </c>
      <c r="AA4881" s="14"/>
      <c r="AB4881" s="14"/>
      <c r="AC4881" s="15">
        <v>59.1</v>
      </c>
      <c r="AD4881" s="15">
        <f>AC4881*AG4881</f>
        <v>118.2</v>
      </c>
      <c r="AE4881" s="15">
        <v>130</v>
      </c>
      <c r="AF4881" s="15">
        <f>AE4881*AG4881</f>
        <v>260</v>
      </c>
      <c r="AG4881" s="16">
        <v>2</v>
      </c>
    </row>
    <row r="4882" spans="1:33" ht="15" customHeight="1" x14ac:dyDescent="0.2">
      <c r="A4882" s="11" t="str">
        <f t="shared" si="1481"/>
        <v>VN000D1GSN01</v>
      </c>
      <c r="B4882" s="12" t="s">
        <v>17063</v>
      </c>
      <c r="C4882" s="12" t="s">
        <v>9139</v>
      </c>
      <c r="D4882" s="12" t="s">
        <v>13809</v>
      </c>
      <c r="E4882" s="12" t="s">
        <v>17064</v>
      </c>
      <c r="F4882" s="13">
        <v>45</v>
      </c>
      <c r="G4882" s="14"/>
      <c r="H4882" s="12" t="s">
        <v>38</v>
      </c>
      <c r="I4882" s="12" t="s">
        <v>159</v>
      </c>
      <c r="J4882" s="12" t="s">
        <v>341</v>
      </c>
      <c r="K4882" s="12" t="s">
        <v>199</v>
      </c>
      <c r="L4882" s="14"/>
      <c r="M4882" s="12" t="s">
        <v>43</v>
      </c>
      <c r="N4882" s="12" t="s">
        <v>44</v>
      </c>
      <c r="O4882" s="12" t="s">
        <v>17065</v>
      </c>
      <c r="P4882" s="12" t="s">
        <v>46</v>
      </c>
      <c r="Q4882" s="12" t="s">
        <v>47</v>
      </c>
      <c r="R4882" s="12" t="s">
        <v>163</v>
      </c>
      <c r="S4882" s="13">
        <v>197643266303</v>
      </c>
      <c r="T4882" s="12" t="s">
        <v>105</v>
      </c>
      <c r="U4882" s="13">
        <v>36</v>
      </c>
      <c r="V4882" s="12" t="s">
        <v>50</v>
      </c>
      <c r="W4882" s="12" t="s">
        <v>284</v>
      </c>
      <c r="X4882" s="14"/>
      <c r="Y4882" s="12" t="s">
        <v>91</v>
      </c>
      <c r="Z4882" s="12" t="s">
        <v>14497</v>
      </c>
      <c r="AA4882" s="14"/>
      <c r="AB4882" s="14"/>
      <c r="AC4882" s="15">
        <v>59.1</v>
      </c>
      <c r="AD4882" s="15">
        <f>AC4882*AG4882</f>
        <v>118.2</v>
      </c>
      <c r="AE4882" s="15">
        <v>130</v>
      </c>
      <c r="AF4882" s="15">
        <f>AE4882*AG4882</f>
        <v>260</v>
      </c>
      <c r="AG4882" s="16">
        <v>2</v>
      </c>
    </row>
    <row r="4883" spans="1:33" ht="15" customHeight="1" x14ac:dyDescent="0.2">
      <c r="A4883" s="11" t="str">
        <f t="shared" si="1481"/>
        <v>VN000D1GSN01</v>
      </c>
      <c r="B4883" s="12" t="s">
        <v>17066</v>
      </c>
      <c r="C4883" s="12" t="s">
        <v>9139</v>
      </c>
      <c r="D4883" s="12" t="s">
        <v>13809</v>
      </c>
      <c r="E4883" s="12" t="s">
        <v>17067</v>
      </c>
      <c r="F4883" s="13">
        <v>50</v>
      </c>
      <c r="G4883" s="14"/>
      <c r="H4883" s="12" t="s">
        <v>38</v>
      </c>
      <c r="I4883" s="12" t="s">
        <v>159</v>
      </c>
      <c r="J4883" s="12" t="s">
        <v>341</v>
      </c>
      <c r="K4883" s="12" t="s">
        <v>199</v>
      </c>
      <c r="L4883" s="14"/>
      <c r="M4883" s="12" t="s">
        <v>43</v>
      </c>
      <c r="N4883" s="12" t="s">
        <v>44</v>
      </c>
      <c r="O4883" s="12" t="s">
        <v>17068</v>
      </c>
      <c r="P4883" s="12" t="s">
        <v>46</v>
      </c>
      <c r="Q4883" s="12" t="s">
        <v>47</v>
      </c>
      <c r="R4883" s="12" t="s">
        <v>163</v>
      </c>
      <c r="S4883" s="13">
        <v>197643266358</v>
      </c>
      <c r="T4883" s="12" t="s">
        <v>105</v>
      </c>
      <c r="U4883" s="13">
        <v>36.5</v>
      </c>
      <c r="V4883" s="12" t="s">
        <v>50</v>
      </c>
      <c r="W4883" s="12" t="s">
        <v>284</v>
      </c>
      <c r="X4883" s="14"/>
      <c r="Y4883" s="12" t="s">
        <v>91</v>
      </c>
      <c r="Z4883" s="12" t="s">
        <v>14497</v>
      </c>
      <c r="AA4883" s="14"/>
      <c r="AB4883" s="14"/>
      <c r="AC4883" s="15">
        <v>59.1</v>
      </c>
      <c r="AD4883" s="15">
        <f>AC4883*AG4883</f>
        <v>118.2</v>
      </c>
      <c r="AE4883" s="15">
        <v>130</v>
      </c>
      <c r="AF4883" s="15">
        <f>AE4883*AG4883</f>
        <v>260</v>
      </c>
      <c r="AG4883" s="16">
        <v>2</v>
      </c>
    </row>
    <row r="4884" spans="1:33" ht="15" customHeight="1" x14ac:dyDescent="0.2">
      <c r="A4884" s="11" t="str">
        <f t="shared" ref="A4884:A4950" si="1501">HYPERLINK("https://assets.vans.eu/images/VN000D1GYB2-HERO/1","VN000D1GYB21")</f>
        <v>VN000D1GYB21</v>
      </c>
      <c r="B4884" s="12" t="s">
        <v>17069</v>
      </c>
      <c r="C4884" s="12" t="s">
        <v>9139</v>
      </c>
      <c r="D4884" s="12" t="s">
        <v>1138</v>
      </c>
      <c r="E4884" s="12" t="s">
        <v>17070</v>
      </c>
      <c r="F4884" s="13">
        <v>120</v>
      </c>
      <c r="G4884" s="14"/>
      <c r="H4884" s="12" t="s">
        <v>38</v>
      </c>
      <c r="I4884" s="12" t="s">
        <v>159</v>
      </c>
      <c r="J4884" s="12" t="s">
        <v>341</v>
      </c>
      <c r="K4884" s="12" t="s">
        <v>199</v>
      </c>
      <c r="L4884" s="14"/>
      <c r="M4884" s="12" t="s">
        <v>43</v>
      </c>
      <c r="N4884" s="12" t="s">
        <v>44</v>
      </c>
      <c r="O4884" s="12" t="s">
        <v>17071</v>
      </c>
      <c r="P4884" s="12" t="s">
        <v>46</v>
      </c>
      <c r="Q4884" s="12" t="s">
        <v>47</v>
      </c>
      <c r="R4884" s="12" t="s">
        <v>163</v>
      </c>
      <c r="S4884" s="13">
        <v>197643267584</v>
      </c>
      <c r="T4884" s="12" t="s">
        <v>105</v>
      </c>
      <c r="U4884" s="13">
        <v>46</v>
      </c>
      <c r="V4884" s="12" t="s">
        <v>50</v>
      </c>
      <c r="W4884" s="12" t="s">
        <v>175</v>
      </c>
      <c r="X4884" s="14"/>
      <c r="Y4884" s="12" t="s">
        <v>91</v>
      </c>
      <c r="Z4884" s="12" t="s">
        <v>14497</v>
      </c>
      <c r="AA4884" s="14"/>
      <c r="AB4884" s="14"/>
      <c r="AC4884" s="15">
        <v>59.1</v>
      </c>
      <c r="AD4884" s="15">
        <f>AC4884*AG4884</f>
        <v>118.2</v>
      </c>
      <c r="AE4884" s="15">
        <v>130</v>
      </c>
      <c r="AF4884" s="15">
        <f>AE4884*AG4884</f>
        <v>260</v>
      </c>
      <c r="AG4884" s="16">
        <v>2</v>
      </c>
    </row>
    <row r="4885" spans="1:33" ht="15" customHeight="1" x14ac:dyDescent="0.2">
      <c r="A4885" s="11" t="str">
        <f>HYPERLINK("https://assets.vans.eu/images/VN000D3J689-HERO/1","VN000D3J6891")</f>
        <v>VN000D3J6891</v>
      </c>
      <c r="B4885" s="12" t="s">
        <v>17072</v>
      </c>
      <c r="C4885" s="12" t="s">
        <v>16826</v>
      </c>
      <c r="D4885" s="12" t="s">
        <v>7159</v>
      </c>
      <c r="E4885" s="12" t="s">
        <v>17073</v>
      </c>
      <c r="F4885" s="13">
        <v>130</v>
      </c>
      <c r="G4885" s="14"/>
      <c r="H4885" s="12" t="s">
        <v>38</v>
      </c>
      <c r="I4885" s="12" t="s">
        <v>159</v>
      </c>
      <c r="J4885" s="12" t="s">
        <v>341</v>
      </c>
      <c r="K4885" s="12" t="s">
        <v>199</v>
      </c>
      <c r="L4885" s="14"/>
      <c r="M4885" s="12" t="s">
        <v>43</v>
      </c>
      <c r="N4885" s="12" t="s">
        <v>44</v>
      </c>
      <c r="O4885" s="12" t="s">
        <v>17074</v>
      </c>
      <c r="P4885" s="12" t="s">
        <v>46</v>
      </c>
      <c r="Q4885" s="12" t="s">
        <v>47</v>
      </c>
      <c r="R4885" s="12" t="s">
        <v>163</v>
      </c>
      <c r="S4885" s="13">
        <v>197643272786</v>
      </c>
      <c r="T4885" s="12" t="s">
        <v>49</v>
      </c>
      <c r="U4885" s="13">
        <v>47</v>
      </c>
      <c r="V4885" s="12" t="s">
        <v>50</v>
      </c>
      <c r="W4885" s="12" t="s">
        <v>284</v>
      </c>
      <c r="X4885" s="14"/>
      <c r="Y4885" s="12" t="s">
        <v>53</v>
      </c>
      <c r="Z4885" s="12" t="s">
        <v>165</v>
      </c>
      <c r="AA4885" s="14"/>
      <c r="AB4885" s="14"/>
      <c r="AC4885" s="15">
        <v>45.5</v>
      </c>
      <c r="AD4885" s="15">
        <f>AC4885*AG4885</f>
        <v>91</v>
      </c>
      <c r="AE4885" s="15">
        <v>100</v>
      </c>
      <c r="AF4885" s="15">
        <f>AE4885*AG4885</f>
        <v>200</v>
      </c>
      <c r="AG4885" s="16">
        <v>2</v>
      </c>
    </row>
    <row r="4886" spans="1:33" ht="15" customHeight="1" x14ac:dyDescent="0.2">
      <c r="A4886" s="11" t="str">
        <f t="shared" si="1479"/>
        <v>VN000D5RZHJ1</v>
      </c>
      <c r="B4886" s="12" t="s">
        <v>17075</v>
      </c>
      <c r="C4886" s="12" t="s">
        <v>5867</v>
      </c>
      <c r="D4886" s="12" t="s">
        <v>16833</v>
      </c>
      <c r="E4886" s="12" t="s">
        <v>17076</v>
      </c>
      <c r="F4886" s="13">
        <v>80</v>
      </c>
      <c r="G4886" s="14"/>
      <c r="H4886" s="12" t="s">
        <v>38</v>
      </c>
      <c r="I4886" s="12" t="s">
        <v>159</v>
      </c>
      <c r="J4886" s="12" t="s">
        <v>341</v>
      </c>
      <c r="K4886" s="12" t="s">
        <v>199</v>
      </c>
      <c r="L4886" s="14"/>
      <c r="M4886" s="12" t="s">
        <v>43</v>
      </c>
      <c r="N4886" s="12" t="s">
        <v>84</v>
      </c>
      <c r="O4886" s="12" t="s">
        <v>17077</v>
      </c>
      <c r="P4886" s="12" t="s">
        <v>46</v>
      </c>
      <c r="Q4886" s="12" t="s">
        <v>47</v>
      </c>
      <c r="R4886" s="12" t="s">
        <v>163</v>
      </c>
      <c r="S4886" s="13">
        <v>197643281238</v>
      </c>
      <c r="T4886" s="12" t="s">
        <v>49</v>
      </c>
      <c r="U4886" s="13">
        <v>40.5</v>
      </c>
      <c r="V4886" s="12" t="s">
        <v>50</v>
      </c>
      <c r="W4886" s="12" t="s">
        <v>175</v>
      </c>
      <c r="X4886" s="14"/>
      <c r="Y4886" s="12" t="s">
        <v>53</v>
      </c>
      <c r="Z4886" s="12" t="s">
        <v>344</v>
      </c>
      <c r="AA4886" s="14"/>
      <c r="AB4886" s="14"/>
      <c r="AC4886" s="15">
        <v>38.65</v>
      </c>
      <c r="AD4886" s="15">
        <f>AC4886*AG4886</f>
        <v>77.3</v>
      </c>
      <c r="AE4886" s="15">
        <v>85</v>
      </c>
      <c r="AF4886" s="15">
        <f>AE4886*AG4886</f>
        <v>170</v>
      </c>
      <c r="AG4886" s="16">
        <v>2</v>
      </c>
    </row>
    <row r="4887" spans="1:33" ht="15" customHeight="1" x14ac:dyDescent="0.2">
      <c r="A4887" s="11" t="str">
        <f t="shared" si="1493"/>
        <v>VN000D9ZRBG1</v>
      </c>
      <c r="B4887" s="12" t="s">
        <v>17078</v>
      </c>
      <c r="C4887" s="12" t="s">
        <v>9975</v>
      </c>
      <c r="D4887" s="12" t="s">
        <v>16983</v>
      </c>
      <c r="E4887" s="12" t="s">
        <v>17079</v>
      </c>
      <c r="F4887" s="13">
        <v>85</v>
      </c>
      <c r="G4887" s="14"/>
      <c r="H4887" s="12" t="s">
        <v>38</v>
      </c>
      <c r="I4887" s="12" t="s">
        <v>159</v>
      </c>
      <c r="J4887" s="12" t="s">
        <v>341</v>
      </c>
      <c r="K4887" s="12" t="s">
        <v>199</v>
      </c>
      <c r="L4887" s="14"/>
      <c r="M4887" s="12" t="s">
        <v>43</v>
      </c>
      <c r="N4887" s="12" t="s">
        <v>84</v>
      </c>
      <c r="O4887" s="12" t="s">
        <v>17080</v>
      </c>
      <c r="P4887" s="12" t="s">
        <v>46</v>
      </c>
      <c r="Q4887" s="12" t="s">
        <v>47</v>
      </c>
      <c r="R4887" s="12" t="s">
        <v>343</v>
      </c>
      <c r="S4887" s="13">
        <v>197804552931</v>
      </c>
      <c r="T4887" s="12" t="s">
        <v>49</v>
      </c>
      <c r="U4887" s="13">
        <v>41</v>
      </c>
      <c r="V4887" s="12" t="s">
        <v>50</v>
      </c>
      <c r="W4887" s="12" t="s">
        <v>262</v>
      </c>
      <c r="X4887" s="14"/>
      <c r="Y4887" s="14"/>
      <c r="Z4887" s="14"/>
      <c r="AA4887" s="14"/>
      <c r="AB4887" s="14"/>
      <c r="AC4887" s="15">
        <v>45.5</v>
      </c>
      <c r="AD4887" s="15">
        <f>AC4887*AG4887</f>
        <v>91</v>
      </c>
      <c r="AE4887" s="15">
        <v>100</v>
      </c>
      <c r="AF4887" s="15">
        <f>AE4887*AG4887</f>
        <v>200</v>
      </c>
      <c r="AG4887" s="16">
        <v>2</v>
      </c>
    </row>
    <row r="4888" spans="1:33" ht="15" customHeight="1" x14ac:dyDescent="0.2">
      <c r="A4888" s="11" t="str">
        <f t="shared" si="1493"/>
        <v>VN000D9ZRBG1</v>
      </c>
      <c r="B4888" s="12" t="s">
        <v>17081</v>
      </c>
      <c r="C4888" s="12" t="s">
        <v>9975</v>
      </c>
      <c r="D4888" s="12" t="s">
        <v>16983</v>
      </c>
      <c r="E4888" s="12" t="s">
        <v>17082</v>
      </c>
      <c r="F4888" s="13">
        <v>120</v>
      </c>
      <c r="G4888" s="14"/>
      <c r="H4888" s="12" t="s">
        <v>38</v>
      </c>
      <c r="I4888" s="12" t="s">
        <v>159</v>
      </c>
      <c r="J4888" s="12" t="s">
        <v>341</v>
      </c>
      <c r="K4888" s="12" t="s">
        <v>199</v>
      </c>
      <c r="L4888" s="14"/>
      <c r="M4888" s="12" t="s">
        <v>43</v>
      </c>
      <c r="N4888" s="12" t="s">
        <v>84</v>
      </c>
      <c r="O4888" s="12" t="s">
        <v>17083</v>
      </c>
      <c r="P4888" s="12" t="s">
        <v>46</v>
      </c>
      <c r="Q4888" s="12" t="s">
        <v>47</v>
      </c>
      <c r="R4888" s="12" t="s">
        <v>343</v>
      </c>
      <c r="S4888" s="13">
        <v>197804553778</v>
      </c>
      <c r="T4888" s="12" t="s">
        <v>49</v>
      </c>
      <c r="U4888" s="13">
        <v>46</v>
      </c>
      <c r="V4888" s="12" t="s">
        <v>50</v>
      </c>
      <c r="W4888" s="12" t="s">
        <v>262</v>
      </c>
      <c r="X4888" s="14"/>
      <c r="Y4888" s="14"/>
      <c r="Z4888" s="14"/>
      <c r="AA4888" s="14"/>
      <c r="AB4888" s="14"/>
      <c r="AC4888" s="15">
        <v>45.5</v>
      </c>
      <c r="AD4888" s="15">
        <f>AC4888*AG4888</f>
        <v>91</v>
      </c>
      <c r="AE4888" s="15">
        <v>100</v>
      </c>
      <c r="AF4888" s="15">
        <f>AE4888*AG4888</f>
        <v>200</v>
      </c>
      <c r="AG4888" s="16">
        <v>2</v>
      </c>
    </row>
    <row r="4889" spans="1:33" ht="15" customHeight="1" x14ac:dyDescent="0.2">
      <c r="A4889" s="11" t="str">
        <f t="shared" si="1494"/>
        <v>VN000DA4PNK1</v>
      </c>
      <c r="B4889" s="12" t="s">
        <v>17084</v>
      </c>
      <c r="C4889" s="12" t="s">
        <v>7401</v>
      </c>
      <c r="D4889" s="12" t="s">
        <v>3984</v>
      </c>
      <c r="E4889" s="12" t="s">
        <v>17085</v>
      </c>
      <c r="F4889" s="13">
        <v>100</v>
      </c>
      <c r="G4889" s="14"/>
      <c r="H4889" s="12" t="s">
        <v>38</v>
      </c>
      <c r="I4889" s="12" t="s">
        <v>159</v>
      </c>
      <c r="J4889" s="12" t="s">
        <v>341</v>
      </c>
      <c r="K4889" s="12" t="s">
        <v>199</v>
      </c>
      <c r="L4889" s="14"/>
      <c r="M4889" s="12" t="s">
        <v>43</v>
      </c>
      <c r="N4889" s="12" t="s">
        <v>84</v>
      </c>
      <c r="O4889" s="12" t="s">
        <v>17086</v>
      </c>
      <c r="P4889" s="12" t="s">
        <v>46</v>
      </c>
      <c r="Q4889" s="12" t="s">
        <v>47</v>
      </c>
      <c r="R4889" s="12" t="s">
        <v>163</v>
      </c>
      <c r="S4889" s="13">
        <v>197804556793</v>
      </c>
      <c r="T4889" s="12" t="s">
        <v>49</v>
      </c>
      <c r="U4889" s="13">
        <v>43</v>
      </c>
      <c r="V4889" s="12" t="s">
        <v>50</v>
      </c>
      <c r="W4889" s="12" t="s">
        <v>299</v>
      </c>
      <c r="X4889" s="14"/>
      <c r="Y4889" s="14"/>
      <c r="Z4889" s="14"/>
      <c r="AA4889" s="14"/>
      <c r="AB4889" s="14"/>
      <c r="AC4889" s="15">
        <v>43.2</v>
      </c>
      <c r="AD4889" s="15">
        <f>AC4889*AG4889</f>
        <v>86.4</v>
      </c>
      <c r="AE4889" s="15">
        <v>95</v>
      </c>
      <c r="AF4889" s="15">
        <f>AE4889*AG4889</f>
        <v>190</v>
      </c>
      <c r="AG4889" s="16">
        <v>2</v>
      </c>
    </row>
    <row r="4890" spans="1:33" ht="15" customHeight="1" x14ac:dyDescent="0.2">
      <c r="A4890" s="11" t="str">
        <f t="shared" si="1496"/>
        <v>VN000EDNBJB1</v>
      </c>
      <c r="B4890" s="12" t="s">
        <v>17087</v>
      </c>
      <c r="C4890" s="12" t="s">
        <v>996</v>
      </c>
      <c r="D4890" s="12" t="s">
        <v>17000</v>
      </c>
      <c r="E4890" s="12" t="s">
        <v>17088</v>
      </c>
      <c r="F4890" s="13">
        <v>45</v>
      </c>
      <c r="G4890" s="14"/>
      <c r="H4890" s="12" t="s">
        <v>38</v>
      </c>
      <c r="I4890" s="12" t="s">
        <v>159</v>
      </c>
      <c r="J4890" s="12" t="s">
        <v>341</v>
      </c>
      <c r="K4890" s="12" t="s">
        <v>199</v>
      </c>
      <c r="L4890" s="14"/>
      <c r="M4890" s="12" t="s">
        <v>43</v>
      </c>
      <c r="N4890" s="12" t="s">
        <v>84</v>
      </c>
      <c r="O4890" s="12" t="s">
        <v>17089</v>
      </c>
      <c r="P4890" s="12" t="s">
        <v>46</v>
      </c>
      <c r="Q4890" s="12" t="s">
        <v>47</v>
      </c>
      <c r="R4890" s="12" t="s">
        <v>163</v>
      </c>
      <c r="S4890" s="13">
        <v>197804567058</v>
      </c>
      <c r="T4890" s="12" t="s">
        <v>49</v>
      </c>
      <c r="U4890" s="13">
        <v>36</v>
      </c>
      <c r="V4890" s="12" t="s">
        <v>209</v>
      </c>
      <c r="W4890" s="12" t="s">
        <v>284</v>
      </c>
      <c r="X4890" s="14"/>
      <c r="Y4890" s="14"/>
      <c r="Z4890" s="14"/>
      <c r="AA4890" s="14"/>
      <c r="AB4890" s="14"/>
      <c r="AC4890" s="15">
        <v>38.65</v>
      </c>
      <c r="AD4890" s="15">
        <f>AC4890*AG4890</f>
        <v>77.3</v>
      </c>
      <c r="AE4890" s="15">
        <v>85</v>
      </c>
      <c r="AF4890" s="15">
        <f>AE4890*AG4890</f>
        <v>170</v>
      </c>
      <c r="AG4890" s="16">
        <v>2</v>
      </c>
    </row>
    <row r="4891" spans="1:33" ht="15" customHeight="1" x14ac:dyDescent="0.2">
      <c r="A4891" s="11" t="str">
        <f t="shared" si="1496"/>
        <v>VN000EDNBJB1</v>
      </c>
      <c r="B4891" s="12" t="s">
        <v>17090</v>
      </c>
      <c r="C4891" s="12" t="s">
        <v>996</v>
      </c>
      <c r="D4891" s="12" t="s">
        <v>17000</v>
      </c>
      <c r="E4891" s="12" t="s">
        <v>17091</v>
      </c>
      <c r="F4891" s="13">
        <v>50</v>
      </c>
      <c r="G4891" s="14"/>
      <c r="H4891" s="12" t="s">
        <v>38</v>
      </c>
      <c r="I4891" s="12" t="s">
        <v>159</v>
      </c>
      <c r="J4891" s="12" t="s">
        <v>341</v>
      </c>
      <c r="K4891" s="12" t="s">
        <v>199</v>
      </c>
      <c r="L4891" s="14"/>
      <c r="M4891" s="12" t="s">
        <v>43</v>
      </c>
      <c r="N4891" s="12" t="s">
        <v>84</v>
      </c>
      <c r="O4891" s="12" t="s">
        <v>17092</v>
      </c>
      <c r="P4891" s="12" t="s">
        <v>46</v>
      </c>
      <c r="Q4891" s="12" t="s">
        <v>47</v>
      </c>
      <c r="R4891" s="12" t="s">
        <v>163</v>
      </c>
      <c r="S4891" s="13">
        <v>197804567096</v>
      </c>
      <c r="T4891" s="12" t="s">
        <v>49</v>
      </c>
      <c r="U4891" s="13">
        <v>36.5</v>
      </c>
      <c r="V4891" s="12" t="s">
        <v>209</v>
      </c>
      <c r="W4891" s="12" t="s">
        <v>284</v>
      </c>
      <c r="X4891" s="14"/>
      <c r="Y4891" s="14"/>
      <c r="Z4891" s="14"/>
      <c r="AA4891" s="14"/>
      <c r="AB4891" s="14"/>
      <c r="AC4891" s="15">
        <v>38.65</v>
      </c>
      <c r="AD4891" s="15">
        <f>AC4891*AG4891</f>
        <v>77.3</v>
      </c>
      <c r="AE4891" s="15">
        <v>85</v>
      </c>
      <c r="AF4891" s="15">
        <f>AE4891*AG4891</f>
        <v>170</v>
      </c>
      <c r="AG4891" s="16">
        <v>2</v>
      </c>
    </row>
    <row r="4892" spans="1:33" ht="15" customHeight="1" x14ac:dyDescent="0.2">
      <c r="A4892" s="11" t="str">
        <f t="shared" si="1496"/>
        <v>VN000EDNBJB1</v>
      </c>
      <c r="B4892" s="12" t="s">
        <v>17093</v>
      </c>
      <c r="C4892" s="12" t="s">
        <v>996</v>
      </c>
      <c r="D4892" s="12" t="s">
        <v>17000</v>
      </c>
      <c r="E4892" s="12" t="s">
        <v>17094</v>
      </c>
      <c r="F4892" s="13">
        <v>115</v>
      </c>
      <c r="G4892" s="14"/>
      <c r="H4892" s="12" t="s">
        <v>38</v>
      </c>
      <c r="I4892" s="12" t="s">
        <v>159</v>
      </c>
      <c r="J4892" s="12" t="s">
        <v>341</v>
      </c>
      <c r="K4892" s="12" t="s">
        <v>199</v>
      </c>
      <c r="L4892" s="14"/>
      <c r="M4892" s="12" t="s">
        <v>43</v>
      </c>
      <c r="N4892" s="12" t="s">
        <v>84</v>
      </c>
      <c r="O4892" s="12" t="s">
        <v>17095</v>
      </c>
      <c r="P4892" s="12" t="s">
        <v>46</v>
      </c>
      <c r="Q4892" s="12" t="s">
        <v>47</v>
      </c>
      <c r="R4892" s="12" t="s">
        <v>163</v>
      </c>
      <c r="S4892" s="13">
        <v>197804568246</v>
      </c>
      <c r="T4892" s="12" t="s">
        <v>49</v>
      </c>
      <c r="U4892" s="13">
        <v>45</v>
      </c>
      <c r="V4892" s="12" t="s">
        <v>209</v>
      </c>
      <c r="W4892" s="12" t="s">
        <v>284</v>
      </c>
      <c r="X4892" s="14"/>
      <c r="Y4892" s="14"/>
      <c r="Z4892" s="14"/>
      <c r="AA4892" s="14"/>
      <c r="AB4892" s="14"/>
      <c r="AC4892" s="15">
        <v>38.65</v>
      </c>
      <c r="AD4892" s="15">
        <f>AC4892*AG4892</f>
        <v>77.3</v>
      </c>
      <c r="AE4892" s="15">
        <v>85</v>
      </c>
      <c r="AF4892" s="15">
        <f>AE4892*AG4892</f>
        <v>170</v>
      </c>
      <c r="AG4892" s="16">
        <v>2</v>
      </c>
    </row>
    <row r="4893" spans="1:33" ht="15" customHeight="1" x14ac:dyDescent="0.2">
      <c r="A4893" s="11" t="str">
        <f t="shared" si="1475"/>
        <v>VN000EEBBO51</v>
      </c>
      <c r="B4893" s="12" t="s">
        <v>17096</v>
      </c>
      <c r="C4893" s="12" t="s">
        <v>16796</v>
      </c>
      <c r="D4893" s="12" t="s">
        <v>2835</v>
      </c>
      <c r="E4893" s="12" t="s">
        <v>17097</v>
      </c>
      <c r="F4893" s="13">
        <v>80</v>
      </c>
      <c r="G4893" s="14"/>
      <c r="H4893" s="12" t="s">
        <v>38</v>
      </c>
      <c r="I4893" s="12" t="s">
        <v>113</v>
      </c>
      <c r="J4893" s="12" t="s">
        <v>529</v>
      </c>
      <c r="K4893" s="12" t="s">
        <v>82</v>
      </c>
      <c r="L4893" s="12" t="s">
        <v>115</v>
      </c>
      <c r="M4893" s="12" t="s">
        <v>43</v>
      </c>
      <c r="N4893" s="12" t="s">
        <v>84</v>
      </c>
      <c r="O4893" s="12" t="s">
        <v>17098</v>
      </c>
      <c r="P4893" s="12" t="s">
        <v>46</v>
      </c>
      <c r="Q4893" s="12" t="s">
        <v>47</v>
      </c>
      <c r="R4893" s="12" t="s">
        <v>117</v>
      </c>
      <c r="S4893" s="13">
        <v>197805787226</v>
      </c>
      <c r="T4893" s="12" t="s">
        <v>105</v>
      </c>
      <c r="U4893" s="13">
        <v>40.5</v>
      </c>
      <c r="V4893" s="12" t="s">
        <v>50</v>
      </c>
      <c r="W4893" s="12" t="s">
        <v>598</v>
      </c>
      <c r="X4893" s="14"/>
      <c r="Y4893" s="14"/>
      <c r="Z4893" s="14"/>
      <c r="AA4893" s="14"/>
      <c r="AB4893" s="14"/>
      <c r="AC4893" s="15">
        <v>59.1</v>
      </c>
      <c r="AD4893" s="15">
        <f>AC4893*AG4893</f>
        <v>118.2</v>
      </c>
      <c r="AE4893" s="15">
        <v>130</v>
      </c>
      <c r="AF4893" s="15">
        <f>AE4893*AG4893</f>
        <v>260</v>
      </c>
      <c r="AG4893" s="16">
        <v>2</v>
      </c>
    </row>
    <row r="4894" spans="1:33" ht="15" customHeight="1" x14ac:dyDescent="0.2">
      <c r="A4894" s="11" t="str">
        <f t="shared" si="1476"/>
        <v>VN000EJTTC41</v>
      </c>
      <c r="B4894" s="12" t="s">
        <v>17099</v>
      </c>
      <c r="C4894" s="12" t="s">
        <v>16812</v>
      </c>
      <c r="D4894" s="12" t="s">
        <v>3291</v>
      </c>
      <c r="E4894" s="12" t="s">
        <v>17100</v>
      </c>
      <c r="F4894" s="13">
        <v>45</v>
      </c>
      <c r="G4894" s="14"/>
      <c r="H4894" s="12" t="s">
        <v>38</v>
      </c>
      <c r="I4894" s="12" t="s">
        <v>159</v>
      </c>
      <c r="J4894" s="12" t="s">
        <v>255</v>
      </c>
      <c r="K4894" s="12" t="s">
        <v>82</v>
      </c>
      <c r="L4894" s="12" t="s">
        <v>115</v>
      </c>
      <c r="M4894" s="12" t="s">
        <v>43</v>
      </c>
      <c r="N4894" s="12" t="s">
        <v>84</v>
      </c>
      <c r="O4894" s="12" t="s">
        <v>17101</v>
      </c>
      <c r="P4894" s="12" t="s">
        <v>46</v>
      </c>
      <c r="Q4894" s="12" t="s">
        <v>47</v>
      </c>
      <c r="R4894" s="12" t="s">
        <v>343</v>
      </c>
      <c r="S4894" s="13">
        <v>197805906610</v>
      </c>
      <c r="T4894" s="12" t="s">
        <v>49</v>
      </c>
      <c r="U4894" s="13">
        <v>36</v>
      </c>
      <c r="V4894" s="12" t="s">
        <v>278</v>
      </c>
      <c r="W4894" s="12" t="s">
        <v>455</v>
      </c>
      <c r="X4894" s="14"/>
      <c r="Y4894" s="14"/>
      <c r="Z4894" s="14"/>
      <c r="AA4894" s="14"/>
      <c r="AB4894" s="14"/>
      <c r="AC4894" s="15">
        <v>63.65</v>
      </c>
      <c r="AD4894" s="15">
        <f>AC4894*AG4894</f>
        <v>127.3</v>
      </c>
      <c r="AE4894" s="15">
        <v>140</v>
      </c>
      <c r="AF4894" s="15">
        <f>AE4894*AG4894</f>
        <v>280</v>
      </c>
      <c r="AG4894" s="16">
        <v>2</v>
      </c>
    </row>
    <row r="4895" spans="1:33" ht="15" customHeight="1" x14ac:dyDescent="0.2">
      <c r="A4895" s="11" t="str">
        <f t="shared" si="1476"/>
        <v>VN000EJTTC41</v>
      </c>
      <c r="B4895" s="12" t="s">
        <v>17102</v>
      </c>
      <c r="C4895" s="12" t="s">
        <v>16812</v>
      </c>
      <c r="D4895" s="12" t="s">
        <v>3291</v>
      </c>
      <c r="E4895" s="12" t="s">
        <v>17103</v>
      </c>
      <c r="F4895" s="13">
        <v>50</v>
      </c>
      <c r="G4895" s="14"/>
      <c r="H4895" s="12" t="s">
        <v>38</v>
      </c>
      <c r="I4895" s="12" t="s">
        <v>159</v>
      </c>
      <c r="J4895" s="12" t="s">
        <v>255</v>
      </c>
      <c r="K4895" s="12" t="s">
        <v>82</v>
      </c>
      <c r="L4895" s="12" t="s">
        <v>115</v>
      </c>
      <c r="M4895" s="12" t="s">
        <v>43</v>
      </c>
      <c r="N4895" s="12" t="s">
        <v>84</v>
      </c>
      <c r="O4895" s="12" t="s">
        <v>17104</v>
      </c>
      <c r="P4895" s="12" t="s">
        <v>46</v>
      </c>
      <c r="Q4895" s="12" t="s">
        <v>47</v>
      </c>
      <c r="R4895" s="12" t="s">
        <v>343</v>
      </c>
      <c r="S4895" s="13">
        <v>197805906672</v>
      </c>
      <c r="T4895" s="12" t="s">
        <v>49</v>
      </c>
      <c r="U4895" s="13">
        <v>36.5</v>
      </c>
      <c r="V4895" s="12" t="s">
        <v>278</v>
      </c>
      <c r="W4895" s="12" t="s">
        <v>455</v>
      </c>
      <c r="X4895" s="14"/>
      <c r="Y4895" s="14"/>
      <c r="Z4895" s="14"/>
      <c r="AA4895" s="14"/>
      <c r="AB4895" s="14"/>
      <c r="AC4895" s="15">
        <v>63.65</v>
      </c>
      <c r="AD4895" s="15">
        <f>AC4895*AG4895</f>
        <v>127.3</v>
      </c>
      <c r="AE4895" s="15">
        <v>140</v>
      </c>
      <c r="AF4895" s="15">
        <f>AE4895*AG4895</f>
        <v>280</v>
      </c>
      <c r="AG4895" s="16">
        <v>2</v>
      </c>
    </row>
    <row r="4896" spans="1:33" ht="15" customHeight="1" x14ac:dyDescent="0.2">
      <c r="A4896" s="11" t="str">
        <f t="shared" ref="A4896:A5011" si="1502">HYPERLINK("https://assets.vans.eu/images/VN000EKUBKA-HERO/1","VN000EKUBKA1")</f>
        <v>VN000EKUBKA1</v>
      </c>
      <c r="B4896" s="12" t="s">
        <v>17105</v>
      </c>
      <c r="C4896" s="12" t="s">
        <v>17106</v>
      </c>
      <c r="D4896" s="12" t="s">
        <v>252</v>
      </c>
      <c r="E4896" s="12" t="s">
        <v>17107</v>
      </c>
      <c r="F4896" s="13">
        <v>105</v>
      </c>
      <c r="G4896" s="14"/>
      <c r="H4896" s="12" t="s">
        <v>38</v>
      </c>
      <c r="I4896" s="12" t="s">
        <v>159</v>
      </c>
      <c r="J4896" s="12" t="s">
        <v>341</v>
      </c>
      <c r="K4896" s="12" t="s">
        <v>82</v>
      </c>
      <c r="L4896" s="12" t="s">
        <v>16914</v>
      </c>
      <c r="M4896" s="12" t="s">
        <v>43</v>
      </c>
      <c r="N4896" s="12" t="s">
        <v>44</v>
      </c>
      <c r="O4896" s="12" t="s">
        <v>17108</v>
      </c>
      <c r="P4896" s="12" t="s">
        <v>46</v>
      </c>
      <c r="Q4896" s="12" t="s">
        <v>47</v>
      </c>
      <c r="R4896" s="12" t="s">
        <v>163</v>
      </c>
      <c r="S4896" s="13">
        <v>197804931767</v>
      </c>
      <c r="T4896" s="12" t="s">
        <v>49</v>
      </c>
      <c r="U4896" s="13">
        <v>44</v>
      </c>
      <c r="V4896" s="12" t="s">
        <v>50</v>
      </c>
      <c r="W4896" s="12" t="s">
        <v>51</v>
      </c>
      <c r="X4896" s="14"/>
      <c r="Y4896" s="12" t="s">
        <v>91</v>
      </c>
      <c r="Z4896" s="12" t="s">
        <v>344</v>
      </c>
      <c r="AA4896" s="14"/>
      <c r="AB4896" s="12" t="s">
        <v>6081</v>
      </c>
      <c r="AC4896" s="15">
        <v>43.2</v>
      </c>
      <c r="AD4896" s="15">
        <f>AC4896*AG4896</f>
        <v>86.4</v>
      </c>
      <c r="AE4896" s="15">
        <v>95</v>
      </c>
      <c r="AF4896" s="15">
        <f>AE4896*AG4896</f>
        <v>190</v>
      </c>
      <c r="AG4896" s="16">
        <v>2</v>
      </c>
    </row>
    <row r="4897" spans="1:33" ht="15" customHeight="1" x14ac:dyDescent="0.2">
      <c r="A4897" s="11" t="str">
        <f t="shared" ref="A4897:A5012" si="1503">HYPERLINK("https://assets.vans.eu/images/VN000MRJYQX-HERO/1","VN000MRJYQX1")</f>
        <v>VN000MRJYQX1</v>
      </c>
      <c r="B4897" s="12" t="s">
        <v>17109</v>
      </c>
      <c r="C4897" s="12" t="s">
        <v>17110</v>
      </c>
      <c r="D4897" s="12" t="s">
        <v>17111</v>
      </c>
      <c r="E4897" s="12" t="s">
        <v>17112</v>
      </c>
      <c r="F4897" s="13">
        <v>75</v>
      </c>
      <c r="G4897" s="14"/>
      <c r="H4897" s="12" t="s">
        <v>38</v>
      </c>
      <c r="I4897" s="12" t="s">
        <v>159</v>
      </c>
      <c r="J4897" s="12" t="s">
        <v>341</v>
      </c>
      <c r="K4897" s="12" t="s">
        <v>199</v>
      </c>
      <c r="L4897" s="14"/>
      <c r="M4897" s="12" t="s">
        <v>43</v>
      </c>
      <c r="N4897" s="12" t="s">
        <v>274</v>
      </c>
      <c r="O4897" s="12" t="s">
        <v>17113</v>
      </c>
      <c r="P4897" s="12" t="s">
        <v>46</v>
      </c>
      <c r="Q4897" s="12" t="s">
        <v>47</v>
      </c>
      <c r="R4897" s="12" t="s">
        <v>163</v>
      </c>
      <c r="S4897" s="13">
        <v>197063782827</v>
      </c>
      <c r="T4897" s="12" t="s">
        <v>49</v>
      </c>
      <c r="U4897" s="13">
        <v>40</v>
      </c>
      <c r="V4897" s="12" t="s">
        <v>50</v>
      </c>
      <c r="W4897" s="12" t="s">
        <v>118</v>
      </c>
      <c r="X4897" s="14"/>
      <c r="Y4897" s="12" t="s">
        <v>53</v>
      </c>
      <c r="Z4897" s="12" t="s">
        <v>344</v>
      </c>
      <c r="AA4897" s="14"/>
      <c r="AB4897" s="14"/>
      <c r="AC4897" s="15">
        <v>45.5</v>
      </c>
      <c r="AD4897" s="15">
        <f>AC4897*AG4897</f>
        <v>91</v>
      </c>
      <c r="AE4897" s="15">
        <v>100</v>
      </c>
      <c r="AF4897" s="15">
        <f>AE4897*AG4897</f>
        <v>200</v>
      </c>
      <c r="AG4897" s="16">
        <v>2</v>
      </c>
    </row>
    <row r="4898" spans="1:33" ht="15" customHeight="1" x14ac:dyDescent="0.2">
      <c r="A4898" s="11" t="str">
        <f t="shared" ref="A4898:A5017" si="1504">HYPERLINK("https://assets.vans.eu/images/VN0A2Z32Y45-HERO/1","VN0A2Z32Y451")</f>
        <v>VN0A2Z32Y451</v>
      </c>
      <c r="B4898" s="12" t="s">
        <v>17114</v>
      </c>
      <c r="C4898" s="12" t="s">
        <v>996</v>
      </c>
      <c r="D4898" s="12" t="s">
        <v>17115</v>
      </c>
      <c r="E4898" s="12" t="s">
        <v>17116</v>
      </c>
      <c r="F4898" s="13">
        <v>100</v>
      </c>
      <c r="G4898" s="12" t="s">
        <v>16940</v>
      </c>
      <c r="H4898" s="12" t="s">
        <v>38</v>
      </c>
      <c r="I4898" s="12" t="s">
        <v>159</v>
      </c>
      <c r="J4898" s="12" t="s">
        <v>341</v>
      </c>
      <c r="K4898" s="12" t="s">
        <v>199</v>
      </c>
      <c r="L4898" s="14"/>
      <c r="M4898" s="12" t="s">
        <v>43</v>
      </c>
      <c r="N4898" s="12" t="s">
        <v>44</v>
      </c>
      <c r="O4898" s="12" t="s">
        <v>17117</v>
      </c>
      <c r="P4898" s="12" t="s">
        <v>46</v>
      </c>
      <c r="Q4898" s="12" t="s">
        <v>47</v>
      </c>
      <c r="R4898" s="12" t="s">
        <v>163</v>
      </c>
      <c r="S4898" s="13">
        <v>197643306092</v>
      </c>
      <c r="T4898" s="12" t="s">
        <v>49</v>
      </c>
      <c r="U4898" s="13">
        <v>43</v>
      </c>
      <c r="V4898" s="12" t="s">
        <v>50</v>
      </c>
      <c r="W4898" s="12" t="s">
        <v>51</v>
      </c>
      <c r="X4898" s="14"/>
      <c r="Y4898" s="12" t="s">
        <v>91</v>
      </c>
      <c r="Z4898" s="12" t="s">
        <v>344</v>
      </c>
      <c r="AA4898" s="14"/>
      <c r="AB4898" s="14"/>
      <c r="AC4898" s="15">
        <v>38.65</v>
      </c>
      <c r="AD4898" s="15">
        <f>AC4898*AG4898</f>
        <v>77.3</v>
      </c>
      <c r="AE4898" s="15">
        <v>85</v>
      </c>
      <c r="AF4898" s="15">
        <f>AE4898*AG4898</f>
        <v>170</v>
      </c>
      <c r="AG4898" s="16">
        <v>2</v>
      </c>
    </row>
    <row r="4899" spans="1:33" ht="15" customHeight="1" x14ac:dyDescent="0.2">
      <c r="A4899" s="11" t="str">
        <f t="shared" ref="A4899:A5018" si="1505">HYPERLINK("https://assets.vans.eu/images/VN0A2Z348YG-HERO/1","VN0A2Z348YG1")</f>
        <v>VN0A2Z348YG1</v>
      </c>
      <c r="B4899" s="12" t="s">
        <v>17118</v>
      </c>
      <c r="C4899" s="12" t="s">
        <v>7568</v>
      </c>
      <c r="D4899" s="12" t="s">
        <v>17119</v>
      </c>
      <c r="E4899" s="12" t="s">
        <v>17120</v>
      </c>
      <c r="F4899" s="13">
        <v>60</v>
      </c>
      <c r="G4899" s="14"/>
      <c r="H4899" s="12" t="s">
        <v>38</v>
      </c>
      <c r="I4899" s="12" t="s">
        <v>159</v>
      </c>
      <c r="J4899" s="12" t="s">
        <v>341</v>
      </c>
      <c r="K4899" s="12" t="s">
        <v>199</v>
      </c>
      <c r="L4899" s="14"/>
      <c r="M4899" s="12" t="s">
        <v>43</v>
      </c>
      <c r="N4899" s="12" t="s">
        <v>44</v>
      </c>
      <c r="O4899" s="12" t="s">
        <v>17121</v>
      </c>
      <c r="P4899" s="12" t="s">
        <v>46</v>
      </c>
      <c r="Q4899" s="12" t="s">
        <v>47</v>
      </c>
      <c r="R4899" s="12" t="s">
        <v>343</v>
      </c>
      <c r="S4899" s="13">
        <v>197643305927</v>
      </c>
      <c r="T4899" s="12" t="s">
        <v>49</v>
      </c>
      <c r="U4899" s="13">
        <v>38</v>
      </c>
      <c r="V4899" s="12" t="s">
        <v>50</v>
      </c>
      <c r="W4899" s="12" t="s">
        <v>175</v>
      </c>
      <c r="X4899" s="14"/>
      <c r="Y4899" s="12" t="s">
        <v>91</v>
      </c>
      <c r="Z4899" s="12" t="s">
        <v>344</v>
      </c>
      <c r="AA4899" s="14"/>
      <c r="AB4899" s="14"/>
      <c r="AC4899" s="15">
        <v>43.2</v>
      </c>
      <c r="AD4899" s="15">
        <f>AC4899*AG4899</f>
        <v>86.4</v>
      </c>
      <c r="AE4899" s="15">
        <v>95</v>
      </c>
      <c r="AF4899" s="15">
        <f>AE4899*AG4899</f>
        <v>190</v>
      </c>
      <c r="AG4899" s="16">
        <v>2</v>
      </c>
    </row>
    <row r="4900" spans="1:33" ht="15" customHeight="1" x14ac:dyDescent="0.2">
      <c r="A4900" s="11" t="str">
        <f t="shared" ref="A4900:A5035" si="1506">HYPERLINK("https://assets.vans.eu/images/VN0A2Z35BFA-HERO/1","VN0A2Z35BFA1")</f>
        <v>VN0A2Z35BFA1</v>
      </c>
      <c r="B4900" s="12" t="s">
        <v>17122</v>
      </c>
      <c r="C4900" s="12" t="s">
        <v>17123</v>
      </c>
      <c r="D4900" s="12" t="s">
        <v>1432</v>
      </c>
      <c r="E4900" s="12" t="s">
        <v>17124</v>
      </c>
      <c r="F4900" s="13">
        <v>110</v>
      </c>
      <c r="G4900" s="14"/>
      <c r="H4900" s="12" t="s">
        <v>38</v>
      </c>
      <c r="I4900" s="12" t="s">
        <v>159</v>
      </c>
      <c r="J4900" s="12" t="s">
        <v>341</v>
      </c>
      <c r="K4900" s="12" t="s">
        <v>199</v>
      </c>
      <c r="L4900" s="14"/>
      <c r="M4900" s="12" t="s">
        <v>43</v>
      </c>
      <c r="N4900" s="12" t="s">
        <v>274</v>
      </c>
      <c r="O4900" s="12" t="s">
        <v>17125</v>
      </c>
      <c r="P4900" s="12" t="s">
        <v>46</v>
      </c>
      <c r="Q4900" s="12" t="s">
        <v>47</v>
      </c>
      <c r="R4900" s="12" t="s">
        <v>343</v>
      </c>
      <c r="S4900" s="13">
        <v>197063766056</v>
      </c>
      <c r="T4900" s="12" t="s">
        <v>49</v>
      </c>
      <c r="U4900" s="13">
        <v>44.5</v>
      </c>
      <c r="V4900" s="12" t="s">
        <v>50</v>
      </c>
      <c r="W4900" s="12" t="s">
        <v>186</v>
      </c>
      <c r="X4900" s="14"/>
      <c r="Y4900" s="12" t="s">
        <v>1011</v>
      </c>
      <c r="Z4900" s="12" t="s">
        <v>13844</v>
      </c>
      <c r="AA4900" s="14"/>
      <c r="AB4900" s="14"/>
      <c r="AC4900" s="15">
        <v>45.5</v>
      </c>
      <c r="AD4900" s="15">
        <f>AC4900*AG4900</f>
        <v>91</v>
      </c>
      <c r="AE4900" s="15">
        <v>100</v>
      </c>
      <c r="AF4900" s="15">
        <f>AE4900*AG4900</f>
        <v>200</v>
      </c>
      <c r="AG4900" s="16">
        <v>2</v>
      </c>
    </row>
    <row r="4901" spans="1:33" ht="15" customHeight="1" x14ac:dyDescent="0.2">
      <c r="A4901" s="11" t="str">
        <f t="shared" si="1506"/>
        <v>VN0A2Z35BFA1</v>
      </c>
      <c r="B4901" s="12" t="s">
        <v>17126</v>
      </c>
      <c r="C4901" s="12" t="s">
        <v>17123</v>
      </c>
      <c r="D4901" s="12" t="s">
        <v>1432</v>
      </c>
      <c r="E4901" s="12" t="s">
        <v>17127</v>
      </c>
      <c r="F4901" s="13">
        <v>115</v>
      </c>
      <c r="G4901" s="14"/>
      <c r="H4901" s="12" t="s">
        <v>38</v>
      </c>
      <c r="I4901" s="12" t="s">
        <v>159</v>
      </c>
      <c r="J4901" s="12" t="s">
        <v>341</v>
      </c>
      <c r="K4901" s="12" t="s">
        <v>199</v>
      </c>
      <c r="L4901" s="14"/>
      <c r="M4901" s="12" t="s">
        <v>43</v>
      </c>
      <c r="N4901" s="12" t="s">
        <v>274</v>
      </c>
      <c r="O4901" s="12" t="s">
        <v>17128</v>
      </c>
      <c r="P4901" s="12" t="s">
        <v>46</v>
      </c>
      <c r="Q4901" s="12" t="s">
        <v>47</v>
      </c>
      <c r="R4901" s="12" t="s">
        <v>343</v>
      </c>
      <c r="S4901" s="13">
        <v>197063766254</v>
      </c>
      <c r="T4901" s="12" t="s">
        <v>49</v>
      </c>
      <c r="U4901" s="13">
        <v>45</v>
      </c>
      <c r="V4901" s="12" t="s">
        <v>50</v>
      </c>
      <c r="W4901" s="12" t="s">
        <v>186</v>
      </c>
      <c r="X4901" s="14"/>
      <c r="Y4901" s="12" t="s">
        <v>1011</v>
      </c>
      <c r="Z4901" s="12" t="s">
        <v>13844</v>
      </c>
      <c r="AA4901" s="14"/>
      <c r="AB4901" s="14"/>
      <c r="AC4901" s="15">
        <v>45.5</v>
      </c>
      <c r="AD4901" s="15">
        <f>AC4901*AG4901</f>
        <v>91</v>
      </c>
      <c r="AE4901" s="15">
        <v>100</v>
      </c>
      <c r="AF4901" s="15">
        <f>AE4901*AG4901</f>
        <v>200</v>
      </c>
      <c r="AG4901" s="16">
        <v>2</v>
      </c>
    </row>
    <row r="4902" spans="1:33" ht="15" customHeight="1" x14ac:dyDescent="0.2">
      <c r="A4902" s="11" t="str">
        <f t="shared" ref="A4902:A5037" si="1507">HYPERLINK("https://assets.vans.eu/images/VN0A2Z3H1OU-HERO/1","VN0A2Z3H1OU1")</f>
        <v>VN0A2Z3H1OU1</v>
      </c>
      <c r="B4902" s="12" t="s">
        <v>17129</v>
      </c>
      <c r="C4902" s="12" t="s">
        <v>5946</v>
      </c>
      <c r="D4902" s="12" t="s">
        <v>17130</v>
      </c>
      <c r="E4902" s="12" t="s">
        <v>17131</v>
      </c>
      <c r="F4902" s="13">
        <v>95</v>
      </c>
      <c r="G4902" s="14"/>
      <c r="H4902" s="12" t="s">
        <v>38</v>
      </c>
      <c r="I4902" s="12" t="s">
        <v>159</v>
      </c>
      <c r="J4902" s="12" t="s">
        <v>341</v>
      </c>
      <c r="K4902" s="12" t="s">
        <v>199</v>
      </c>
      <c r="L4902" s="14"/>
      <c r="M4902" s="12" t="s">
        <v>43</v>
      </c>
      <c r="N4902" s="12" t="s">
        <v>161</v>
      </c>
      <c r="O4902" s="12" t="s">
        <v>17132</v>
      </c>
      <c r="P4902" s="12" t="s">
        <v>46</v>
      </c>
      <c r="Q4902" s="12" t="s">
        <v>47</v>
      </c>
      <c r="R4902" s="12" t="s">
        <v>163</v>
      </c>
      <c r="S4902" s="13">
        <v>197065698188</v>
      </c>
      <c r="T4902" s="12" t="s">
        <v>49</v>
      </c>
      <c r="U4902" s="13">
        <v>42.5</v>
      </c>
      <c r="V4902" s="12" t="s">
        <v>50</v>
      </c>
      <c r="W4902" s="12" t="s">
        <v>186</v>
      </c>
      <c r="X4902" s="14"/>
      <c r="Y4902" s="12" t="s">
        <v>91</v>
      </c>
      <c r="Z4902" s="12" t="s">
        <v>344</v>
      </c>
      <c r="AA4902" s="14"/>
      <c r="AB4902" s="14"/>
      <c r="AC4902" s="15">
        <v>54.55</v>
      </c>
      <c r="AD4902" s="15">
        <f>AC4902*AG4902</f>
        <v>109.1</v>
      </c>
      <c r="AE4902" s="15">
        <v>120</v>
      </c>
      <c r="AF4902" s="15">
        <f>AE4902*AG4902</f>
        <v>240</v>
      </c>
      <c r="AG4902" s="16">
        <v>2</v>
      </c>
    </row>
    <row r="4903" spans="1:33" ht="15" customHeight="1" x14ac:dyDescent="0.2">
      <c r="A4903" s="11" t="str">
        <f t="shared" si="1507"/>
        <v>VN0A2Z3H1OU1</v>
      </c>
      <c r="B4903" s="12" t="s">
        <v>17133</v>
      </c>
      <c r="C4903" s="12" t="s">
        <v>5946</v>
      </c>
      <c r="D4903" s="12" t="s">
        <v>17130</v>
      </c>
      <c r="E4903" s="12" t="s">
        <v>17134</v>
      </c>
      <c r="F4903" s="13">
        <v>100</v>
      </c>
      <c r="G4903" s="14"/>
      <c r="H4903" s="12" t="s">
        <v>38</v>
      </c>
      <c r="I4903" s="12" t="s">
        <v>159</v>
      </c>
      <c r="J4903" s="12" t="s">
        <v>341</v>
      </c>
      <c r="K4903" s="12" t="s">
        <v>199</v>
      </c>
      <c r="L4903" s="14"/>
      <c r="M4903" s="12" t="s">
        <v>43</v>
      </c>
      <c r="N4903" s="12" t="s">
        <v>161</v>
      </c>
      <c r="O4903" s="12" t="s">
        <v>17135</v>
      </c>
      <c r="P4903" s="12" t="s">
        <v>46</v>
      </c>
      <c r="Q4903" s="12" t="s">
        <v>47</v>
      </c>
      <c r="R4903" s="12" t="s">
        <v>163</v>
      </c>
      <c r="S4903" s="13">
        <v>197065698423</v>
      </c>
      <c r="T4903" s="12" t="s">
        <v>49</v>
      </c>
      <c r="U4903" s="13">
        <v>43</v>
      </c>
      <c r="V4903" s="12" t="s">
        <v>50</v>
      </c>
      <c r="W4903" s="12" t="s">
        <v>186</v>
      </c>
      <c r="X4903" s="14"/>
      <c r="Y4903" s="12" t="s">
        <v>91</v>
      </c>
      <c r="Z4903" s="12" t="s">
        <v>344</v>
      </c>
      <c r="AA4903" s="14"/>
      <c r="AB4903" s="14"/>
      <c r="AC4903" s="15">
        <v>54.55</v>
      </c>
      <c r="AD4903" s="15">
        <f>AC4903*AG4903</f>
        <v>109.1</v>
      </c>
      <c r="AE4903" s="15">
        <v>120</v>
      </c>
      <c r="AF4903" s="15">
        <f>AE4903*AG4903</f>
        <v>240</v>
      </c>
      <c r="AG4903" s="16">
        <v>2</v>
      </c>
    </row>
    <row r="4904" spans="1:33" ht="15" customHeight="1" x14ac:dyDescent="0.2">
      <c r="A4904" s="11" t="str">
        <f t="shared" si="1489"/>
        <v>VN0A2Z3HGLD1</v>
      </c>
      <c r="B4904" s="12" t="s">
        <v>17136</v>
      </c>
      <c r="C4904" s="12" t="s">
        <v>5946</v>
      </c>
      <c r="D4904" s="12" t="s">
        <v>16943</v>
      </c>
      <c r="E4904" s="12" t="s">
        <v>17137</v>
      </c>
      <c r="F4904" s="13">
        <v>70</v>
      </c>
      <c r="G4904" s="14"/>
      <c r="H4904" s="12" t="s">
        <v>38</v>
      </c>
      <c r="I4904" s="12" t="s">
        <v>159</v>
      </c>
      <c r="J4904" s="12" t="s">
        <v>341</v>
      </c>
      <c r="K4904" s="12" t="s">
        <v>199</v>
      </c>
      <c r="L4904" s="14"/>
      <c r="M4904" s="12" t="s">
        <v>43</v>
      </c>
      <c r="N4904" s="12" t="s">
        <v>44</v>
      </c>
      <c r="O4904" s="12" t="s">
        <v>17138</v>
      </c>
      <c r="P4904" s="12" t="s">
        <v>46</v>
      </c>
      <c r="Q4904" s="12" t="s">
        <v>47</v>
      </c>
      <c r="R4904" s="12" t="s">
        <v>163</v>
      </c>
      <c r="S4904" s="13">
        <v>197643307648</v>
      </c>
      <c r="T4904" s="12" t="s">
        <v>49</v>
      </c>
      <c r="U4904" s="13">
        <v>39</v>
      </c>
      <c r="V4904" s="12" t="s">
        <v>50</v>
      </c>
      <c r="W4904" s="12" t="s">
        <v>625</v>
      </c>
      <c r="X4904" s="14"/>
      <c r="Y4904" s="12" t="s">
        <v>91</v>
      </c>
      <c r="Z4904" s="12" t="s">
        <v>344</v>
      </c>
      <c r="AA4904" s="14"/>
      <c r="AB4904" s="14"/>
      <c r="AC4904" s="15">
        <v>54.55</v>
      </c>
      <c r="AD4904" s="15">
        <f>AC4904*AG4904</f>
        <v>109.1</v>
      </c>
      <c r="AE4904" s="15">
        <v>120</v>
      </c>
      <c r="AF4904" s="15">
        <f>AE4904*AG4904</f>
        <v>240</v>
      </c>
      <c r="AG4904" s="16">
        <v>2</v>
      </c>
    </row>
    <row r="4905" spans="1:33" ht="15" customHeight="1" x14ac:dyDescent="0.2">
      <c r="A4905" s="11" t="str">
        <f>HYPERLINK("https://assets.vans.eu/images/VN0A2Z3MGGR-HERO/1","VN0A2Z3MGGR1")</f>
        <v>VN0A2Z3MGGR1</v>
      </c>
      <c r="B4905" s="12" t="s">
        <v>17139</v>
      </c>
      <c r="C4905" s="12" t="s">
        <v>17140</v>
      </c>
      <c r="D4905" s="12" t="s">
        <v>17141</v>
      </c>
      <c r="E4905" s="12" t="s">
        <v>17142</v>
      </c>
      <c r="F4905" s="13">
        <v>100</v>
      </c>
      <c r="G4905" s="14"/>
      <c r="H4905" s="12" t="s">
        <v>38</v>
      </c>
      <c r="I4905" s="12" t="s">
        <v>159</v>
      </c>
      <c r="J4905" s="12" t="s">
        <v>341</v>
      </c>
      <c r="K4905" s="12" t="s">
        <v>199</v>
      </c>
      <c r="L4905" s="14"/>
      <c r="M4905" s="12" t="s">
        <v>43</v>
      </c>
      <c r="N4905" s="12" t="s">
        <v>44</v>
      </c>
      <c r="O4905" s="12" t="s">
        <v>17143</v>
      </c>
      <c r="P4905" s="12" t="s">
        <v>46</v>
      </c>
      <c r="Q4905" s="12" t="s">
        <v>47</v>
      </c>
      <c r="R4905" s="12" t="s">
        <v>1660</v>
      </c>
      <c r="S4905" s="13">
        <v>197643309291</v>
      </c>
      <c r="T4905" s="12" t="s">
        <v>49</v>
      </c>
      <c r="U4905" s="13">
        <v>43</v>
      </c>
      <c r="V4905" s="12" t="s">
        <v>209</v>
      </c>
      <c r="W4905" s="12" t="s">
        <v>455</v>
      </c>
      <c r="X4905" s="14"/>
      <c r="Y4905" s="12" t="s">
        <v>91</v>
      </c>
      <c r="Z4905" s="12" t="s">
        <v>344</v>
      </c>
      <c r="AA4905" s="14"/>
      <c r="AB4905" s="14"/>
      <c r="AC4905" s="15">
        <v>45.5</v>
      </c>
      <c r="AD4905" s="15">
        <f>AC4905*AG4905</f>
        <v>91</v>
      </c>
      <c r="AE4905" s="15">
        <v>100</v>
      </c>
      <c r="AF4905" s="15">
        <f>AE4905*AG4905</f>
        <v>200</v>
      </c>
      <c r="AG4905" s="16">
        <v>2</v>
      </c>
    </row>
    <row r="4906" spans="1:33" ht="15" customHeight="1" x14ac:dyDescent="0.2">
      <c r="A4906" s="11" t="str">
        <f t="shared" ref="A4906:A5050" si="1508">HYPERLINK("https://assets.vans.eu/images/VN0A2Z3NY40-HERO/1","VN0A2Z3NY401")</f>
        <v>VN0A2Z3NY401</v>
      </c>
      <c r="B4906" s="12" t="s">
        <v>17144</v>
      </c>
      <c r="C4906" s="12" t="s">
        <v>17145</v>
      </c>
      <c r="D4906" s="12" t="s">
        <v>5955</v>
      </c>
      <c r="E4906" s="12" t="s">
        <v>17146</v>
      </c>
      <c r="F4906" s="13">
        <v>115</v>
      </c>
      <c r="G4906" s="12" t="s">
        <v>17147</v>
      </c>
      <c r="H4906" s="12" t="s">
        <v>38</v>
      </c>
      <c r="I4906" s="12" t="s">
        <v>159</v>
      </c>
      <c r="J4906" s="12" t="s">
        <v>341</v>
      </c>
      <c r="K4906" s="12" t="s">
        <v>199</v>
      </c>
      <c r="L4906" s="14"/>
      <c r="M4906" s="12" t="s">
        <v>43</v>
      </c>
      <c r="N4906" s="12" t="s">
        <v>161</v>
      </c>
      <c r="O4906" s="12" t="s">
        <v>17148</v>
      </c>
      <c r="P4906" s="12" t="s">
        <v>46</v>
      </c>
      <c r="Q4906" s="12" t="s">
        <v>47</v>
      </c>
      <c r="R4906" s="12" t="s">
        <v>1660</v>
      </c>
      <c r="S4906" s="13">
        <v>197065769178</v>
      </c>
      <c r="T4906" s="12" t="s">
        <v>49</v>
      </c>
      <c r="U4906" s="13">
        <v>45</v>
      </c>
      <c r="V4906" s="12" t="s">
        <v>209</v>
      </c>
      <c r="W4906" s="12" t="s">
        <v>284</v>
      </c>
      <c r="X4906" s="14"/>
      <c r="Y4906" s="12" t="s">
        <v>53</v>
      </c>
      <c r="Z4906" s="12" t="s">
        <v>13844</v>
      </c>
      <c r="AA4906" s="14"/>
      <c r="AB4906" s="14"/>
      <c r="AC4906" s="15">
        <v>45.5</v>
      </c>
      <c r="AD4906" s="15">
        <f>AC4906*AG4906</f>
        <v>91</v>
      </c>
      <c r="AE4906" s="15">
        <v>100</v>
      </c>
      <c r="AF4906" s="15">
        <f>AE4906*AG4906</f>
        <v>200</v>
      </c>
      <c r="AG4906" s="16">
        <v>2</v>
      </c>
    </row>
    <row r="4907" spans="1:33" ht="15" customHeight="1" x14ac:dyDescent="0.2">
      <c r="A4907" s="11" t="str">
        <f t="shared" ref="A4907:A5057" si="1509">HYPERLINK("https://assets.vans.eu/images/VN0A2Z3UCX6-HERO/1","VN0A2Z3UCX61")</f>
        <v>VN0A2Z3UCX61</v>
      </c>
      <c r="B4907" s="12" t="s">
        <v>17149</v>
      </c>
      <c r="C4907" s="12" t="s">
        <v>16975</v>
      </c>
      <c r="D4907" s="12" t="s">
        <v>7055</v>
      </c>
      <c r="E4907" s="12" t="s">
        <v>17150</v>
      </c>
      <c r="F4907" s="13">
        <v>70</v>
      </c>
      <c r="G4907" s="14"/>
      <c r="H4907" s="12" t="s">
        <v>38</v>
      </c>
      <c r="I4907" s="12" t="s">
        <v>159</v>
      </c>
      <c r="J4907" s="12" t="s">
        <v>341</v>
      </c>
      <c r="K4907" s="12" t="s">
        <v>199</v>
      </c>
      <c r="L4907" s="14"/>
      <c r="M4907" s="12" t="s">
        <v>43</v>
      </c>
      <c r="N4907" s="12" t="s">
        <v>274</v>
      </c>
      <c r="O4907" s="12" t="s">
        <v>17151</v>
      </c>
      <c r="P4907" s="12" t="s">
        <v>46</v>
      </c>
      <c r="Q4907" s="12" t="s">
        <v>47</v>
      </c>
      <c r="R4907" s="12" t="s">
        <v>163</v>
      </c>
      <c r="S4907" s="13">
        <v>197063764762</v>
      </c>
      <c r="T4907" s="12" t="s">
        <v>49</v>
      </c>
      <c r="U4907" s="13">
        <v>39</v>
      </c>
      <c r="V4907" s="12" t="s">
        <v>50</v>
      </c>
      <c r="W4907" s="12" t="s">
        <v>118</v>
      </c>
      <c r="X4907" s="14"/>
      <c r="Y4907" s="12" t="s">
        <v>91</v>
      </c>
      <c r="Z4907" s="12" t="s">
        <v>344</v>
      </c>
      <c r="AA4907" s="14"/>
      <c r="AB4907" s="14"/>
      <c r="AC4907" s="15">
        <v>54.55</v>
      </c>
      <c r="AD4907" s="15">
        <f>AC4907*AG4907</f>
        <v>109.1</v>
      </c>
      <c r="AE4907" s="15">
        <v>120</v>
      </c>
      <c r="AF4907" s="15">
        <f>AE4907*AG4907</f>
        <v>240</v>
      </c>
      <c r="AG4907" s="16">
        <v>2</v>
      </c>
    </row>
    <row r="4908" spans="1:33" ht="15" customHeight="1" x14ac:dyDescent="0.2">
      <c r="A4908" s="11" t="str">
        <f t="shared" si="1490"/>
        <v>VN0A5KQZYY41</v>
      </c>
      <c r="B4908" s="12" t="s">
        <v>17152</v>
      </c>
      <c r="C4908" s="12" t="s">
        <v>16947</v>
      </c>
      <c r="D4908" s="12" t="s">
        <v>16948</v>
      </c>
      <c r="E4908" s="12" t="s">
        <v>17153</v>
      </c>
      <c r="F4908" s="13">
        <v>110</v>
      </c>
      <c r="G4908" s="14"/>
      <c r="H4908" s="12" t="s">
        <v>38</v>
      </c>
      <c r="I4908" s="12" t="s">
        <v>159</v>
      </c>
      <c r="J4908" s="12" t="s">
        <v>341</v>
      </c>
      <c r="K4908" s="12" t="s">
        <v>199</v>
      </c>
      <c r="L4908" s="14"/>
      <c r="M4908" s="12" t="s">
        <v>43</v>
      </c>
      <c r="N4908" s="12" t="s">
        <v>84</v>
      </c>
      <c r="O4908" s="12" t="s">
        <v>17154</v>
      </c>
      <c r="P4908" s="12" t="s">
        <v>46</v>
      </c>
      <c r="Q4908" s="12" t="s">
        <v>47</v>
      </c>
      <c r="R4908" s="12" t="s">
        <v>163</v>
      </c>
      <c r="S4908" s="13">
        <v>197804576166</v>
      </c>
      <c r="T4908" s="12" t="s">
        <v>49</v>
      </c>
      <c r="U4908" s="13">
        <v>44.5</v>
      </c>
      <c r="V4908" s="12" t="s">
        <v>50</v>
      </c>
      <c r="W4908" s="12" t="s">
        <v>186</v>
      </c>
      <c r="X4908" s="14"/>
      <c r="Y4908" s="14"/>
      <c r="Z4908" s="14"/>
      <c r="AA4908" s="14"/>
      <c r="AB4908" s="14"/>
      <c r="AC4908" s="15">
        <v>34.1</v>
      </c>
      <c r="AD4908" s="15">
        <f>AC4908*AG4908</f>
        <v>68.2</v>
      </c>
      <c r="AE4908" s="15">
        <v>75</v>
      </c>
      <c r="AF4908" s="15">
        <f>AE4908*AG4908</f>
        <v>150</v>
      </c>
      <c r="AG4908" s="16">
        <v>2</v>
      </c>
    </row>
    <row r="4909" spans="1:33" ht="15" customHeight="1" x14ac:dyDescent="0.2">
      <c r="A4909" s="11" t="str">
        <f t="shared" si="1486"/>
        <v>VN0009UEBLK1</v>
      </c>
      <c r="B4909" s="12" t="s">
        <v>17155</v>
      </c>
      <c r="C4909" s="12" t="s">
        <v>2243</v>
      </c>
      <c r="D4909" s="12" t="s">
        <v>76</v>
      </c>
      <c r="E4909" s="12" t="s">
        <v>17156</v>
      </c>
      <c r="F4909" s="12" t="s">
        <v>179</v>
      </c>
      <c r="G4909" s="14"/>
      <c r="H4909" s="12" t="s">
        <v>61</v>
      </c>
      <c r="I4909" s="12" t="s">
        <v>230</v>
      </c>
      <c r="J4909" s="12" t="s">
        <v>762</v>
      </c>
      <c r="K4909" s="12" t="s">
        <v>199</v>
      </c>
      <c r="L4909" s="14"/>
      <c r="M4909" s="12" t="s">
        <v>43</v>
      </c>
      <c r="N4909" s="12" t="s">
        <v>161</v>
      </c>
      <c r="O4909" s="12" t="s">
        <v>17157</v>
      </c>
      <c r="P4909" s="12" t="s">
        <v>66</v>
      </c>
      <c r="Q4909" s="12" t="s">
        <v>764</v>
      </c>
      <c r="R4909" s="12" t="s">
        <v>765</v>
      </c>
      <c r="S4909" s="13">
        <v>197065480127</v>
      </c>
      <c r="T4909" s="12" t="s">
        <v>49</v>
      </c>
      <c r="U4909" s="12" t="s">
        <v>179</v>
      </c>
      <c r="V4909" s="12" t="s">
        <v>90</v>
      </c>
      <c r="W4909" s="12" t="s">
        <v>51</v>
      </c>
      <c r="X4909" s="13">
        <v>0</v>
      </c>
      <c r="Y4909" s="12" t="s">
        <v>91</v>
      </c>
      <c r="Z4909" s="12" t="s">
        <v>16810</v>
      </c>
      <c r="AA4909" s="13">
        <v>0</v>
      </c>
      <c r="AB4909" s="13">
        <v>0</v>
      </c>
      <c r="AC4909" s="15">
        <v>136.4</v>
      </c>
      <c r="AD4909" s="15">
        <f>AC4909*AG4909</f>
        <v>136.4</v>
      </c>
      <c r="AE4909" s="15">
        <v>300</v>
      </c>
      <c r="AF4909" s="15">
        <f>AE4909*AG4909</f>
        <v>300</v>
      </c>
      <c r="AG4909" s="16">
        <v>1</v>
      </c>
    </row>
    <row r="4910" spans="1:33" ht="15" customHeight="1" x14ac:dyDescent="0.2">
      <c r="A4910" s="11" t="str">
        <f t="shared" si="1497"/>
        <v>VN0009UFDRP1</v>
      </c>
      <c r="B4910" s="12" t="s">
        <v>17158</v>
      </c>
      <c r="C4910" s="12" t="s">
        <v>17031</v>
      </c>
      <c r="D4910" s="12" t="s">
        <v>17032</v>
      </c>
      <c r="E4910" s="12" t="s">
        <v>17159</v>
      </c>
      <c r="F4910" s="12" t="s">
        <v>170</v>
      </c>
      <c r="G4910" s="14"/>
      <c r="H4910" s="12" t="s">
        <v>61</v>
      </c>
      <c r="I4910" s="12" t="s">
        <v>230</v>
      </c>
      <c r="J4910" s="12" t="s">
        <v>762</v>
      </c>
      <c r="K4910" s="12" t="s">
        <v>199</v>
      </c>
      <c r="L4910" s="14"/>
      <c r="M4910" s="12" t="s">
        <v>43</v>
      </c>
      <c r="N4910" s="12" t="s">
        <v>161</v>
      </c>
      <c r="O4910" s="12" t="s">
        <v>17160</v>
      </c>
      <c r="P4910" s="12" t="s">
        <v>66</v>
      </c>
      <c r="Q4910" s="12" t="s">
        <v>764</v>
      </c>
      <c r="R4910" s="12" t="s">
        <v>765</v>
      </c>
      <c r="S4910" s="13">
        <v>197065450861</v>
      </c>
      <c r="T4910" s="12" t="s">
        <v>49</v>
      </c>
      <c r="U4910" s="12" t="s">
        <v>170</v>
      </c>
      <c r="V4910" s="12" t="s">
        <v>16958</v>
      </c>
      <c r="W4910" s="12" t="s">
        <v>598</v>
      </c>
      <c r="X4910" s="13">
        <v>0</v>
      </c>
      <c r="Y4910" s="12" t="s">
        <v>91</v>
      </c>
      <c r="Z4910" s="12" t="s">
        <v>16810</v>
      </c>
      <c r="AA4910" s="13">
        <v>0</v>
      </c>
      <c r="AB4910" s="13">
        <v>0</v>
      </c>
      <c r="AC4910" s="15">
        <v>136.4</v>
      </c>
      <c r="AD4910" s="15">
        <f>AC4910*AG4910</f>
        <v>136.4</v>
      </c>
      <c r="AE4910" s="15">
        <v>300</v>
      </c>
      <c r="AF4910" s="15">
        <f>AE4910*AG4910</f>
        <v>300</v>
      </c>
      <c r="AG4910" s="16">
        <v>1</v>
      </c>
    </row>
    <row r="4911" spans="1:33" ht="15" customHeight="1" x14ac:dyDescent="0.2">
      <c r="A4911" s="11" t="str">
        <f t="shared" si="1498"/>
        <v>VN0009UFKOU1</v>
      </c>
      <c r="B4911" s="12" t="s">
        <v>17161</v>
      </c>
      <c r="C4911" s="12" t="s">
        <v>17031</v>
      </c>
      <c r="D4911" s="12" t="s">
        <v>4469</v>
      </c>
      <c r="E4911" s="12" t="s">
        <v>17162</v>
      </c>
      <c r="F4911" s="12" t="s">
        <v>170</v>
      </c>
      <c r="G4911" s="14"/>
      <c r="H4911" s="12" t="s">
        <v>61</v>
      </c>
      <c r="I4911" s="12" t="s">
        <v>230</v>
      </c>
      <c r="J4911" s="12" t="s">
        <v>762</v>
      </c>
      <c r="K4911" s="12" t="s">
        <v>199</v>
      </c>
      <c r="L4911" s="14"/>
      <c r="M4911" s="12" t="s">
        <v>43</v>
      </c>
      <c r="N4911" s="12" t="s">
        <v>161</v>
      </c>
      <c r="O4911" s="12" t="s">
        <v>17163</v>
      </c>
      <c r="P4911" s="12" t="s">
        <v>66</v>
      </c>
      <c r="Q4911" s="12" t="s">
        <v>764</v>
      </c>
      <c r="R4911" s="12" t="s">
        <v>765</v>
      </c>
      <c r="S4911" s="13">
        <v>197065450847</v>
      </c>
      <c r="T4911" s="12" t="s">
        <v>49</v>
      </c>
      <c r="U4911" s="12" t="s">
        <v>170</v>
      </c>
      <c r="V4911" s="12" t="s">
        <v>16958</v>
      </c>
      <c r="W4911" s="12" t="s">
        <v>51</v>
      </c>
      <c r="X4911" s="13">
        <v>0</v>
      </c>
      <c r="Y4911" s="12" t="s">
        <v>91</v>
      </c>
      <c r="Z4911" s="12" t="s">
        <v>16810</v>
      </c>
      <c r="AA4911" s="13">
        <v>0</v>
      </c>
      <c r="AB4911" s="13">
        <v>0</v>
      </c>
      <c r="AC4911" s="15">
        <v>136.4</v>
      </c>
      <c r="AD4911" s="15">
        <f>AC4911*AG4911</f>
        <v>136.4</v>
      </c>
      <c r="AE4911" s="15">
        <v>300</v>
      </c>
      <c r="AF4911" s="15">
        <f>AE4911*AG4911</f>
        <v>300</v>
      </c>
      <c r="AG4911" s="16">
        <v>1</v>
      </c>
    </row>
    <row r="4912" spans="1:33" ht="15" customHeight="1" x14ac:dyDescent="0.2">
      <c r="A4912" s="11" t="str">
        <f>HYPERLINK("https://assets.vans.eu/images/VN000GFGBLK-HERO/1","VN000GFGBLK1")</f>
        <v>VN000GFGBLK1</v>
      </c>
      <c r="B4912" s="12" t="s">
        <v>17164</v>
      </c>
      <c r="C4912" s="12" t="s">
        <v>17165</v>
      </c>
      <c r="D4912" s="12" t="s">
        <v>76</v>
      </c>
      <c r="E4912" s="12" t="s">
        <v>17166</v>
      </c>
      <c r="F4912" s="12" t="s">
        <v>60</v>
      </c>
      <c r="G4912" s="14"/>
      <c r="H4912" s="12" t="s">
        <v>61</v>
      </c>
      <c r="I4912" s="12" t="s">
        <v>62</v>
      </c>
      <c r="J4912" s="12" t="s">
        <v>63</v>
      </c>
      <c r="K4912" s="12" t="s">
        <v>64</v>
      </c>
      <c r="L4912" s="14"/>
      <c r="M4912" s="12" t="s">
        <v>43</v>
      </c>
      <c r="N4912" s="12" t="s">
        <v>274</v>
      </c>
      <c r="O4912" s="12" t="s">
        <v>17167</v>
      </c>
      <c r="P4912" s="12" t="s">
        <v>66</v>
      </c>
      <c r="Q4912" s="12" t="s">
        <v>67</v>
      </c>
      <c r="R4912" s="12" t="s">
        <v>68</v>
      </c>
      <c r="S4912" s="13">
        <v>197063406105</v>
      </c>
      <c r="T4912" s="12" t="s">
        <v>69</v>
      </c>
      <c r="U4912" s="12" t="s">
        <v>60</v>
      </c>
      <c r="V4912" s="12" t="s">
        <v>70</v>
      </c>
      <c r="W4912" s="12" t="s">
        <v>51</v>
      </c>
      <c r="X4912" s="13">
        <v>0</v>
      </c>
      <c r="Y4912" s="12" t="s">
        <v>91</v>
      </c>
      <c r="Z4912" s="12" t="s">
        <v>16810</v>
      </c>
      <c r="AA4912" s="13">
        <v>0</v>
      </c>
      <c r="AB4912" s="13">
        <v>0</v>
      </c>
      <c r="AC4912" s="15">
        <v>14.55</v>
      </c>
      <c r="AD4912" s="15">
        <f>AC4912*AG4912</f>
        <v>14.55</v>
      </c>
      <c r="AE4912" s="15">
        <v>32</v>
      </c>
      <c r="AF4912" s="15">
        <f>AE4912*AG4912</f>
        <v>32</v>
      </c>
      <c r="AG4912" s="16">
        <v>1</v>
      </c>
    </row>
    <row r="4913" spans="1:33" ht="15" customHeight="1" x14ac:dyDescent="0.2">
      <c r="A4913" s="11" t="str">
        <f t="shared" si="1480"/>
        <v>VN000J9NCHG1</v>
      </c>
      <c r="B4913" s="12" t="s">
        <v>17168</v>
      </c>
      <c r="C4913" s="12" t="s">
        <v>16843</v>
      </c>
      <c r="D4913" s="12" t="s">
        <v>1615</v>
      </c>
      <c r="E4913" s="12" t="s">
        <v>17169</v>
      </c>
      <c r="F4913" s="13">
        <v>25</v>
      </c>
      <c r="G4913" s="14"/>
      <c r="H4913" s="12" t="s">
        <v>61</v>
      </c>
      <c r="I4913" s="12" t="s">
        <v>230</v>
      </c>
      <c r="J4913" s="12" t="s">
        <v>231</v>
      </c>
      <c r="K4913" s="12" t="s">
        <v>199</v>
      </c>
      <c r="L4913" s="14"/>
      <c r="M4913" s="12" t="s">
        <v>43</v>
      </c>
      <c r="N4913" s="12" t="s">
        <v>161</v>
      </c>
      <c r="O4913" s="12" t="s">
        <v>17170</v>
      </c>
      <c r="P4913" s="12" t="s">
        <v>66</v>
      </c>
      <c r="Q4913" s="12" t="s">
        <v>233</v>
      </c>
      <c r="R4913" s="12" t="s">
        <v>361</v>
      </c>
      <c r="S4913" s="13">
        <v>197065491215</v>
      </c>
      <c r="T4913" s="12" t="s">
        <v>235</v>
      </c>
      <c r="U4913" s="13">
        <v>25</v>
      </c>
      <c r="V4913" s="12" t="s">
        <v>665</v>
      </c>
      <c r="W4913" s="12" t="s">
        <v>186</v>
      </c>
      <c r="X4913" s="13">
        <v>0</v>
      </c>
      <c r="Y4913" s="12" t="s">
        <v>91</v>
      </c>
      <c r="Z4913" s="12" t="s">
        <v>16810</v>
      </c>
      <c r="AA4913" s="13">
        <v>0</v>
      </c>
      <c r="AB4913" s="13">
        <v>0</v>
      </c>
      <c r="AC4913" s="15">
        <v>34.1</v>
      </c>
      <c r="AD4913" s="15">
        <f>AC4913*AG4913</f>
        <v>34.1</v>
      </c>
      <c r="AE4913" s="15">
        <v>75</v>
      </c>
      <c r="AF4913" s="15">
        <f>AE4913*AG4913</f>
        <v>75</v>
      </c>
      <c r="AG4913" s="16">
        <v>1</v>
      </c>
    </row>
    <row r="4914" spans="1:33" ht="15" customHeight="1" x14ac:dyDescent="0.2">
      <c r="A4914" s="11" t="str">
        <f t="shared" si="1480"/>
        <v>VN000J9NCHG1</v>
      </c>
      <c r="B4914" s="12" t="s">
        <v>17171</v>
      </c>
      <c r="C4914" s="12" t="s">
        <v>16843</v>
      </c>
      <c r="D4914" s="12" t="s">
        <v>1615</v>
      </c>
      <c r="E4914" s="12" t="s">
        <v>17172</v>
      </c>
      <c r="F4914" s="13">
        <v>31</v>
      </c>
      <c r="G4914" s="14"/>
      <c r="H4914" s="12" t="s">
        <v>61</v>
      </c>
      <c r="I4914" s="12" t="s">
        <v>230</v>
      </c>
      <c r="J4914" s="12" t="s">
        <v>231</v>
      </c>
      <c r="K4914" s="12" t="s">
        <v>199</v>
      </c>
      <c r="L4914" s="14"/>
      <c r="M4914" s="12" t="s">
        <v>43</v>
      </c>
      <c r="N4914" s="12" t="s">
        <v>161</v>
      </c>
      <c r="O4914" s="12" t="s">
        <v>17173</v>
      </c>
      <c r="P4914" s="12" t="s">
        <v>66</v>
      </c>
      <c r="Q4914" s="12" t="s">
        <v>233</v>
      </c>
      <c r="R4914" s="12" t="s">
        <v>361</v>
      </c>
      <c r="S4914" s="13">
        <v>197065491956</v>
      </c>
      <c r="T4914" s="12" t="s">
        <v>235</v>
      </c>
      <c r="U4914" s="13">
        <v>31</v>
      </c>
      <c r="V4914" s="12" t="s">
        <v>665</v>
      </c>
      <c r="W4914" s="12" t="s">
        <v>186</v>
      </c>
      <c r="X4914" s="13">
        <v>0</v>
      </c>
      <c r="Y4914" s="12" t="s">
        <v>91</v>
      </c>
      <c r="Z4914" s="12" t="s">
        <v>16810</v>
      </c>
      <c r="AA4914" s="13">
        <v>0</v>
      </c>
      <c r="AB4914" s="13">
        <v>0</v>
      </c>
      <c r="AC4914" s="15">
        <v>34.1</v>
      </c>
      <c r="AD4914" s="15">
        <f>AC4914*AG4914</f>
        <v>34.1</v>
      </c>
      <c r="AE4914" s="15">
        <v>75</v>
      </c>
      <c r="AF4914" s="15">
        <f>AE4914*AG4914</f>
        <v>75</v>
      </c>
      <c r="AG4914" s="16">
        <v>1</v>
      </c>
    </row>
    <row r="4915" spans="1:33" ht="15" customHeight="1" x14ac:dyDescent="0.2">
      <c r="A4915" s="11" t="str">
        <f t="shared" si="1480"/>
        <v>VN000J9NCHG1</v>
      </c>
      <c r="B4915" s="12" t="s">
        <v>17174</v>
      </c>
      <c r="C4915" s="12" t="s">
        <v>16843</v>
      </c>
      <c r="D4915" s="12" t="s">
        <v>1615</v>
      </c>
      <c r="E4915" s="12" t="s">
        <v>17175</v>
      </c>
      <c r="F4915" s="13">
        <v>33</v>
      </c>
      <c r="G4915" s="14"/>
      <c r="H4915" s="12" t="s">
        <v>61</v>
      </c>
      <c r="I4915" s="12" t="s">
        <v>230</v>
      </c>
      <c r="J4915" s="12" t="s">
        <v>231</v>
      </c>
      <c r="K4915" s="12" t="s">
        <v>199</v>
      </c>
      <c r="L4915" s="14"/>
      <c r="M4915" s="12" t="s">
        <v>43</v>
      </c>
      <c r="N4915" s="12" t="s">
        <v>161</v>
      </c>
      <c r="O4915" s="12" t="s">
        <v>17176</v>
      </c>
      <c r="P4915" s="12" t="s">
        <v>66</v>
      </c>
      <c r="Q4915" s="12" t="s">
        <v>233</v>
      </c>
      <c r="R4915" s="12" t="s">
        <v>361</v>
      </c>
      <c r="S4915" s="13">
        <v>197065492014</v>
      </c>
      <c r="T4915" s="12" t="s">
        <v>235</v>
      </c>
      <c r="U4915" s="13">
        <v>33</v>
      </c>
      <c r="V4915" s="12" t="s">
        <v>665</v>
      </c>
      <c r="W4915" s="12" t="s">
        <v>186</v>
      </c>
      <c r="X4915" s="13">
        <v>0</v>
      </c>
      <c r="Y4915" s="12" t="s">
        <v>91</v>
      </c>
      <c r="Z4915" s="12" t="s">
        <v>16810</v>
      </c>
      <c r="AA4915" s="13">
        <v>0</v>
      </c>
      <c r="AB4915" s="13">
        <v>0</v>
      </c>
      <c r="AC4915" s="15">
        <v>34.1</v>
      </c>
      <c r="AD4915" s="15">
        <f>AC4915*AG4915</f>
        <v>34.1</v>
      </c>
      <c r="AE4915" s="15">
        <v>75</v>
      </c>
      <c r="AF4915" s="15">
        <f>AE4915*AG4915</f>
        <v>75</v>
      </c>
      <c r="AG4915" s="16">
        <v>1</v>
      </c>
    </row>
    <row r="4916" spans="1:33" ht="15" customHeight="1" x14ac:dyDescent="0.2">
      <c r="A4916" s="11" t="str">
        <f t="shared" si="1480"/>
        <v>VN000J9NCHG1</v>
      </c>
      <c r="B4916" s="12" t="s">
        <v>17177</v>
      </c>
      <c r="C4916" s="12" t="s">
        <v>16843</v>
      </c>
      <c r="D4916" s="12" t="s">
        <v>1615</v>
      </c>
      <c r="E4916" s="12" t="s">
        <v>17178</v>
      </c>
      <c r="F4916" s="13">
        <v>36</v>
      </c>
      <c r="G4916" s="14"/>
      <c r="H4916" s="12" t="s">
        <v>61</v>
      </c>
      <c r="I4916" s="12" t="s">
        <v>230</v>
      </c>
      <c r="J4916" s="12" t="s">
        <v>231</v>
      </c>
      <c r="K4916" s="12" t="s">
        <v>199</v>
      </c>
      <c r="L4916" s="14"/>
      <c r="M4916" s="12" t="s">
        <v>43</v>
      </c>
      <c r="N4916" s="12" t="s">
        <v>161</v>
      </c>
      <c r="O4916" s="12" t="s">
        <v>17179</v>
      </c>
      <c r="P4916" s="12" t="s">
        <v>66</v>
      </c>
      <c r="Q4916" s="12" t="s">
        <v>233</v>
      </c>
      <c r="R4916" s="12" t="s">
        <v>361</v>
      </c>
      <c r="S4916" s="13">
        <v>197065492076</v>
      </c>
      <c r="T4916" s="12" t="s">
        <v>235</v>
      </c>
      <c r="U4916" s="13">
        <v>36</v>
      </c>
      <c r="V4916" s="12" t="s">
        <v>665</v>
      </c>
      <c r="W4916" s="12" t="s">
        <v>186</v>
      </c>
      <c r="X4916" s="13">
        <v>0</v>
      </c>
      <c r="Y4916" s="12" t="s">
        <v>91</v>
      </c>
      <c r="Z4916" s="12" t="s">
        <v>16810</v>
      </c>
      <c r="AA4916" s="13">
        <v>0</v>
      </c>
      <c r="AB4916" s="13">
        <v>0</v>
      </c>
      <c r="AC4916" s="15">
        <v>34.1</v>
      </c>
      <c r="AD4916" s="15">
        <f>AC4916*AG4916</f>
        <v>34.1</v>
      </c>
      <c r="AE4916" s="15">
        <v>75</v>
      </c>
      <c r="AF4916" s="15">
        <f>AE4916*AG4916</f>
        <v>75</v>
      </c>
      <c r="AG4916" s="16">
        <v>1</v>
      </c>
    </row>
    <row r="4917" spans="1:33" ht="15" customHeight="1" x14ac:dyDescent="0.2">
      <c r="A4917" s="11" t="str">
        <f t="shared" si="1480"/>
        <v>VN000J9NCHG1</v>
      </c>
      <c r="B4917" s="12" t="s">
        <v>17180</v>
      </c>
      <c r="C4917" s="12" t="s">
        <v>16843</v>
      </c>
      <c r="D4917" s="12" t="s">
        <v>1615</v>
      </c>
      <c r="E4917" s="12" t="s">
        <v>17181</v>
      </c>
      <c r="F4917" s="13">
        <v>38</v>
      </c>
      <c r="G4917" s="14"/>
      <c r="H4917" s="12" t="s">
        <v>61</v>
      </c>
      <c r="I4917" s="12" t="s">
        <v>230</v>
      </c>
      <c r="J4917" s="12" t="s">
        <v>231</v>
      </c>
      <c r="K4917" s="12" t="s">
        <v>199</v>
      </c>
      <c r="L4917" s="14"/>
      <c r="M4917" s="12" t="s">
        <v>43</v>
      </c>
      <c r="N4917" s="12" t="s">
        <v>161</v>
      </c>
      <c r="O4917" s="12" t="s">
        <v>17182</v>
      </c>
      <c r="P4917" s="12" t="s">
        <v>66</v>
      </c>
      <c r="Q4917" s="12" t="s">
        <v>233</v>
      </c>
      <c r="R4917" s="12" t="s">
        <v>361</v>
      </c>
      <c r="S4917" s="13">
        <v>197065492090</v>
      </c>
      <c r="T4917" s="12" t="s">
        <v>235</v>
      </c>
      <c r="U4917" s="13">
        <v>38</v>
      </c>
      <c r="V4917" s="12" t="s">
        <v>665</v>
      </c>
      <c r="W4917" s="12" t="s">
        <v>186</v>
      </c>
      <c r="X4917" s="13">
        <v>0</v>
      </c>
      <c r="Y4917" s="12" t="s">
        <v>91</v>
      </c>
      <c r="Z4917" s="12" t="s">
        <v>16810</v>
      </c>
      <c r="AA4917" s="13">
        <v>0</v>
      </c>
      <c r="AB4917" s="13">
        <v>0</v>
      </c>
      <c r="AC4917" s="15">
        <v>34.1</v>
      </c>
      <c r="AD4917" s="15">
        <f>AC4917*AG4917</f>
        <v>34.1</v>
      </c>
      <c r="AE4917" s="15">
        <v>75</v>
      </c>
      <c r="AF4917" s="15">
        <f>AE4917*AG4917</f>
        <v>75</v>
      </c>
      <c r="AG4917" s="16">
        <v>1</v>
      </c>
    </row>
    <row r="4918" spans="1:33" ht="15" customHeight="1" x14ac:dyDescent="0.2">
      <c r="A4918" s="11" t="str">
        <f t="shared" ref="A4918:A4919" si="1510">HYPERLINK("https://assets.vans.eu/images/VN000CBSB7G-HERO/1","VN000CBSB7G1")</f>
        <v>VN000CBSB7G1</v>
      </c>
      <c r="B4918" s="12" t="s">
        <v>17183</v>
      </c>
      <c r="C4918" s="12" t="s">
        <v>17184</v>
      </c>
      <c r="D4918" s="12" t="s">
        <v>9054</v>
      </c>
      <c r="E4918" s="12" t="s">
        <v>17185</v>
      </c>
      <c r="F4918" s="13">
        <v>75</v>
      </c>
      <c r="G4918" s="14"/>
      <c r="H4918" s="12" t="s">
        <v>38</v>
      </c>
      <c r="I4918" s="12" t="s">
        <v>159</v>
      </c>
      <c r="J4918" s="12" t="s">
        <v>341</v>
      </c>
      <c r="K4918" s="12" t="s">
        <v>199</v>
      </c>
      <c r="L4918" s="14"/>
      <c r="M4918" s="12" t="s">
        <v>43</v>
      </c>
      <c r="N4918" s="12" t="s">
        <v>274</v>
      </c>
      <c r="O4918" s="12" t="s">
        <v>17186</v>
      </c>
      <c r="P4918" s="12" t="s">
        <v>46</v>
      </c>
      <c r="Q4918" s="12" t="s">
        <v>47</v>
      </c>
      <c r="R4918" s="12" t="s">
        <v>343</v>
      </c>
      <c r="S4918" s="13">
        <v>197063329862</v>
      </c>
      <c r="T4918" s="12" t="s">
        <v>49</v>
      </c>
      <c r="U4918" s="13">
        <v>40</v>
      </c>
      <c r="V4918" s="12" t="s">
        <v>50</v>
      </c>
      <c r="W4918" s="12" t="s">
        <v>186</v>
      </c>
      <c r="X4918" s="14"/>
      <c r="Y4918" s="12" t="s">
        <v>91</v>
      </c>
      <c r="Z4918" s="12" t="s">
        <v>344</v>
      </c>
      <c r="AA4918" s="14"/>
      <c r="AB4918" s="14"/>
      <c r="AC4918" s="15">
        <v>52.3</v>
      </c>
      <c r="AD4918" s="15">
        <f>AC4918*AG4918</f>
        <v>52.3</v>
      </c>
      <c r="AE4918" s="15">
        <v>115</v>
      </c>
      <c r="AF4918" s="15">
        <f>AE4918*AG4918</f>
        <v>115</v>
      </c>
      <c r="AG4918" s="16">
        <v>1</v>
      </c>
    </row>
    <row r="4919" spans="1:33" ht="15" customHeight="1" x14ac:dyDescent="0.2">
      <c r="A4919" s="11" t="str">
        <f t="shared" si="1510"/>
        <v>VN000CBSB7G1</v>
      </c>
      <c r="B4919" s="12" t="s">
        <v>17187</v>
      </c>
      <c r="C4919" s="12" t="s">
        <v>17184</v>
      </c>
      <c r="D4919" s="12" t="s">
        <v>9054</v>
      </c>
      <c r="E4919" s="12" t="s">
        <v>17188</v>
      </c>
      <c r="F4919" s="13">
        <v>105</v>
      </c>
      <c r="G4919" s="14"/>
      <c r="H4919" s="12" t="s">
        <v>38</v>
      </c>
      <c r="I4919" s="12" t="s">
        <v>159</v>
      </c>
      <c r="J4919" s="12" t="s">
        <v>341</v>
      </c>
      <c r="K4919" s="12" t="s">
        <v>199</v>
      </c>
      <c r="L4919" s="14"/>
      <c r="M4919" s="12" t="s">
        <v>43</v>
      </c>
      <c r="N4919" s="12" t="s">
        <v>274</v>
      </c>
      <c r="O4919" s="12" t="s">
        <v>17189</v>
      </c>
      <c r="P4919" s="12" t="s">
        <v>46</v>
      </c>
      <c r="Q4919" s="12" t="s">
        <v>47</v>
      </c>
      <c r="R4919" s="12" t="s">
        <v>343</v>
      </c>
      <c r="S4919" s="13">
        <v>197063330196</v>
      </c>
      <c r="T4919" s="12" t="s">
        <v>49</v>
      </c>
      <c r="U4919" s="13">
        <v>44</v>
      </c>
      <c r="V4919" s="12" t="s">
        <v>50</v>
      </c>
      <c r="W4919" s="12" t="s">
        <v>186</v>
      </c>
      <c r="X4919" s="14"/>
      <c r="Y4919" s="12" t="s">
        <v>91</v>
      </c>
      <c r="Z4919" s="12" t="s">
        <v>344</v>
      </c>
      <c r="AA4919" s="14"/>
      <c r="AB4919" s="14"/>
      <c r="AC4919" s="15">
        <v>52.3</v>
      </c>
      <c r="AD4919" s="15">
        <f>AC4919*AG4919</f>
        <v>52.3</v>
      </c>
      <c r="AE4919" s="15">
        <v>115</v>
      </c>
      <c r="AF4919" s="15">
        <f>AE4919*AG4919</f>
        <v>115</v>
      </c>
      <c r="AG4919" s="16">
        <v>1</v>
      </c>
    </row>
    <row r="4920" spans="1:33" ht="15" customHeight="1" x14ac:dyDescent="0.2">
      <c r="A4920" s="11" t="str">
        <f>HYPERLINK("https://assets.vans.eu/images/VN000CBSDOL-HERO/1","VN000CBSDOL1")</f>
        <v>VN000CBSDOL1</v>
      </c>
      <c r="B4920" s="12" t="s">
        <v>17190</v>
      </c>
      <c r="C4920" s="12" t="s">
        <v>17184</v>
      </c>
      <c r="D4920" s="12" t="s">
        <v>16738</v>
      </c>
      <c r="E4920" s="12" t="s">
        <v>17191</v>
      </c>
      <c r="F4920" s="13">
        <v>105</v>
      </c>
      <c r="G4920" s="12" t="s">
        <v>17192</v>
      </c>
      <c r="H4920" s="12" t="s">
        <v>38</v>
      </c>
      <c r="I4920" s="12" t="s">
        <v>159</v>
      </c>
      <c r="J4920" s="12" t="s">
        <v>341</v>
      </c>
      <c r="K4920" s="12" t="s">
        <v>199</v>
      </c>
      <c r="L4920" s="14"/>
      <c r="M4920" s="12" t="s">
        <v>43</v>
      </c>
      <c r="N4920" s="12" t="s">
        <v>101</v>
      </c>
      <c r="O4920" s="12" t="s">
        <v>17193</v>
      </c>
      <c r="P4920" s="12" t="s">
        <v>46</v>
      </c>
      <c r="Q4920" s="12" t="s">
        <v>47</v>
      </c>
      <c r="R4920" s="12" t="s">
        <v>343</v>
      </c>
      <c r="S4920" s="13">
        <v>196573490994</v>
      </c>
      <c r="T4920" s="12" t="s">
        <v>49</v>
      </c>
      <c r="U4920" s="13">
        <v>44</v>
      </c>
      <c r="V4920" s="12" t="s">
        <v>50</v>
      </c>
      <c r="W4920" s="12" t="s">
        <v>118</v>
      </c>
      <c r="X4920" s="14"/>
      <c r="Y4920" s="12" t="s">
        <v>53</v>
      </c>
      <c r="Z4920" s="12" t="s">
        <v>344</v>
      </c>
      <c r="AA4920" s="14"/>
      <c r="AB4920" s="14"/>
      <c r="AC4920" s="15">
        <v>54.55</v>
      </c>
      <c r="AD4920" s="15">
        <f>AC4920*AG4920</f>
        <v>54.55</v>
      </c>
      <c r="AE4920" s="15">
        <v>120</v>
      </c>
      <c r="AF4920" s="15">
        <f>AE4920*AG4920</f>
        <v>120</v>
      </c>
      <c r="AG4920" s="16">
        <v>1</v>
      </c>
    </row>
    <row r="4921" spans="1:33" ht="15" customHeight="1" x14ac:dyDescent="0.2">
      <c r="A4921" s="11" t="str">
        <f>HYPERLINK("https://assets.vans.eu/images/VN000CBSHR0-HERO/1","VN000CBSHR01")</f>
        <v>VN000CBSHR01</v>
      </c>
      <c r="B4921" s="12" t="s">
        <v>17194</v>
      </c>
      <c r="C4921" s="12" t="s">
        <v>17184</v>
      </c>
      <c r="D4921" s="12" t="s">
        <v>957</v>
      </c>
      <c r="E4921" s="12" t="s">
        <v>17195</v>
      </c>
      <c r="F4921" s="13">
        <v>85</v>
      </c>
      <c r="G4921" s="14"/>
      <c r="H4921" s="12" t="s">
        <v>38</v>
      </c>
      <c r="I4921" s="12" t="s">
        <v>159</v>
      </c>
      <c r="J4921" s="12" t="s">
        <v>341</v>
      </c>
      <c r="K4921" s="12" t="s">
        <v>199</v>
      </c>
      <c r="L4921" s="14"/>
      <c r="M4921" s="12" t="s">
        <v>43</v>
      </c>
      <c r="N4921" s="12" t="s">
        <v>274</v>
      </c>
      <c r="O4921" s="12" t="s">
        <v>17196</v>
      </c>
      <c r="P4921" s="12" t="s">
        <v>46</v>
      </c>
      <c r="Q4921" s="12" t="s">
        <v>47</v>
      </c>
      <c r="R4921" s="12" t="s">
        <v>343</v>
      </c>
      <c r="S4921" s="13">
        <v>197063330363</v>
      </c>
      <c r="T4921" s="12" t="s">
        <v>49</v>
      </c>
      <c r="U4921" s="13">
        <v>41</v>
      </c>
      <c r="V4921" s="12" t="s">
        <v>278</v>
      </c>
      <c r="W4921" s="12" t="s">
        <v>51</v>
      </c>
      <c r="X4921" s="14"/>
      <c r="Y4921" s="12" t="s">
        <v>91</v>
      </c>
      <c r="Z4921" s="12" t="s">
        <v>344</v>
      </c>
      <c r="AA4921" s="14"/>
      <c r="AB4921" s="14"/>
      <c r="AC4921" s="15">
        <v>52.3</v>
      </c>
      <c r="AD4921" s="15">
        <f>AC4921*AG4921</f>
        <v>52.3</v>
      </c>
      <c r="AE4921" s="15">
        <v>115</v>
      </c>
      <c r="AF4921" s="15">
        <f>AE4921*AG4921</f>
        <v>115</v>
      </c>
      <c r="AG4921" s="16">
        <v>1</v>
      </c>
    </row>
    <row r="4922" spans="1:33" ht="15" customHeight="1" x14ac:dyDescent="0.2">
      <c r="A4922" s="11" t="str">
        <f>HYPERLINK("https://assets.vans.eu/images/VN000CBTAHY-HERO/1","VN000CBTAHY1")</f>
        <v>VN000CBTAHY1</v>
      </c>
      <c r="B4922" s="12" t="s">
        <v>17197</v>
      </c>
      <c r="C4922" s="12" t="s">
        <v>17198</v>
      </c>
      <c r="D4922" s="12" t="s">
        <v>17199</v>
      </c>
      <c r="E4922" s="12" t="s">
        <v>17200</v>
      </c>
      <c r="F4922" s="13">
        <v>70</v>
      </c>
      <c r="G4922" s="14"/>
      <c r="H4922" s="12" t="s">
        <v>38</v>
      </c>
      <c r="I4922" s="12" t="s">
        <v>159</v>
      </c>
      <c r="J4922" s="12" t="s">
        <v>341</v>
      </c>
      <c r="K4922" s="12" t="s">
        <v>82</v>
      </c>
      <c r="L4922" s="14"/>
      <c r="M4922" s="12" t="s">
        <v>43</v>
      </c>
      <c r="N4922" s="12" t="s">
        <v>274</v>
      </c>
      <c r="O4922" s="12" t="s">
        <v>17201</v>
      </c>
      <c r="P4922" s="12" t="s">
        <v>46</v>
      </c>
      <c r="Q4922" s="12" t="s">
        <v>47</v>
      </c>
      <c r="R4922" s="12" t="s">
        <v>163</v>
      </c>
      <c r="S4922" s="13">
        <v>197063274308</v>
      </c>
      <c r="T4922" s="12" t="s">
        <v>105</v>
      </c>
      <c r="U4922" s="13">
        <v>39</v>
      </c>
      <c r="V4922" s="12" t="s">
        <v>50</v>
      </c>
      <c r="W4922" s="12" t="s">
        <v>175</v>
      </c>
      <c r="X4922" s="14"/>
      <c r="Y4922" s="12" t="s">
        <v>91</v>
      </c>
      <c r="Z4922" s="12" t="s">
        <v>344</v>
      </c>
      <c r="AA4922" s="14"/>
      <c r="AB4922" s="14"/>
      <c r="AC4922" s="15">
        <v>40.950000000000003</v>
      </c>
      <c r="AD4922" s="15">
        <f>AC4922*AG4922</f>
        <v>40.950000000000003</v>
      </c>
      <c r="AE4922" s="15">
        <v>90</v>
      </c>
      <c r="AF4922" s="15">
        <f>AE4922*AG4922</f>
        <v>90</v>
      </c>
      <c r="AG4922" s="16">
        <v>1</v>
      </c>
    </row>
    <row r="4923" spans="1:33" ht="15" customHeight="1" x14ac:dyDescent="0.2">
      <c r="A4923" s="11" t="str">
        <f>HYPERLINK("https://assets.vans.eu/images/VN000CNXYY2-HERO/1","VN000CNXYY21")</f>
        <v>VN000CNXYY21</v>
      </c>
      <c r="B4923" s="12" t="s">
        <v>17202</v>
      </c>
      <c r="C4923" s="12" t="s">
        <v>17203</v>
      </c>
      <c r="D4923" s="12" t="s">
        <v>9210</v>
      </c>
      <c r="E4923" s="12" t="s">
        <v>17204</v>
      </c>
      <c r="F4923" s="13">
        <v>80</v>
      </c>
      <c r="G4923" s="14"/>
      <c r="H4923" s="12" t="s">
        <v>38</v>
      </c>
      <c r="I4923" s="12" t="s">
        <v>159</v>
      </c>
      <c r="J4923" s="12" t="s">
        <v>341</v>
      </c>
      <c r="K4923" s="12" t="s">
        <v>199</v>
      </c>
      <c r="L4923" s="14"/>
      <c r="M4923" s="12" t="s">
        <v>43</v>
      </c>
      <c r="N4923" s="12" t="s">
        <v>2457</v>
      </c>
      <c r="O4923" s="12" t="s">
        <v>17205</v>
      </c>
      <c r="P4923" s="12" t="s">
        <v>46</v>
      </c>
      <c r="Q4923" s="12" t="s">
        <v>47</v>
      </c>
      <c r="R4923" s="12" t="s">
        <v>163</v>
      </c>
      <c r="S4923" s="13">
        <v>196575171471</v>
      </c>
      <c r="T4923" s="12" t="s">
        <v>143</v>
      </c>
      <c r="U4923" s="13">
        <v>40.5</v>
      </c>
      <c r="V4923" s="12" t="s">
        <v>278</v>
      </c>
      <c r="W4923" s="12" t="s">
        <v>175</v>
      </c>
      <c r="X4923" s="14"/>
      <c r="Y4923" s="12" t="s">
        <v>1011</v>
      </c>
      <c r="Z4923" s="12" t="s">
        <v>344</v>
      </c>
      <c r="AA4923" s="14"/>
      <c r="AB4923" s="14"/>
      <c r="AC4923" s="15">
        <v>54.55</v>
      </c>
      <c r="AD4923" s="15">
        <f>AC4923*AG4923</f>
        <v>54.55</v>
      </c>
      <c r="AE4923" s="15">
        <v>120</v>
      </c>
      <c r="AF4923" s="15">
        <f>AE4923*AG4923</f>
        <v>120</v>
      </c>
      <c r="AG4923" s="16">
        <v>1</v>
      </c>
    </row>
    <row r="4924" spans="1:33" ht="15" customHeight="1" x14ac:dyDescent="0.2">
      <c r="A4924" s="11" t="str">
        <f t="shared" si="1482"/>
        <v>VN000CVURV21</v>
      </c>
      <c r="B4924" s="12" t="s">
        <v>17206</v>
      </c>
      <c r="C4924" s="12" t="s">
        <v>2993</v>
      </c>
      <c r="D4924" s="12" t="s">
        <v>1428</v>
      </c>
      <c r="E4924" s="12" t="s">
        <v>17207</v>
      </c>
      <c r="F4924" s="13">
        <v>45</v>
      </c>
      <c r="G4924" s="14"/>
      <c r="H4924" s="12" t="s">
        <v>38</v>
      </c>
      <c r="I4924" s="12" t="s">
        <v>159</v>
      </c>
      <c r="J4924" s="12" t="s">
        <v>255</v>
      </c>
      <c r="K4924" s="12" t="s">
        <v>82</v>
      </c>
      <c r="L4924" s="12" t="s">
        <v>42</v>
      </c>
      <c r="M4924" s="12" t="s">
        <v>43</v>
      </c>
      <c r="N4924" s="12" t="s">
        <v>84</v>
      </c>
      <c r="O4924" s="12" t="s">
        <v>17208</v>
      </c>
      <c r="P4924" s="12" t="s">
        <v>46</v>
      </c>
      <c r="Q4924" s="12" t="s">
        <v>47</v>
      </c>
      <c r="R4924" s="12" t="s">
        <v>343</v>
      </c>
      <c r="S4924" s="13">
        <v>197804431953</v>
      </c>
      <c r="T4924" s="12" t="s">
        <v>49</v>
      </c>
      <c r="U4924" s="13">
        <v>36</v>
      </c>
      <c r="V4924" s="12" t="s">
        <v>278</v>
      </c>
      <c r="W4924" s="12" t="s">
        <v>51</v>
      </c>
      <c r="X4924" s="14"/>
      <c r="Y4924" s="14"/>
      <c r="Z4924" s="14"/>
      <c r="AA4924" s="14"/>
      <c r="AB4924" s="14"/>
      <c r="AC4924" s="15">
        <v>63.65</v>
      </c>
      <c r="AD4924" s="15">
        <f>AC4924*AG4924</f>
        <v>63.65</v>
      </c>
      <c r="AE4924" s="15">
        <v>140</v>
      </c>
      <c r="AF4924" s="15">
        <f>AE4924*AG4924</f>
        <v>140</v>
      </c>
      <c r="AG4924" s="16">
        <v>1</v>
      </c>
    </row>
    <row r="4925" spans="1:33" ht="15" customHeight="1" x14ac:dyDescent="0.2">
      <c r="A4925" s="11" t="str">
        <f t="shared" si="1482"/>
        <v>VN000CVURV21</v>
      </c>
      <c r="B4925" s="12" t="s">
        <v>17209</v>
      </c>
      <c r="C4925" s="12" t="s">
        <v>2993</v>
      </c>
      <c r="D4925" s="12" t="s">
        <v>1428</v>
      </c>
      <c r="E4925" s="12" t="s">
        <v>17210</v>
      </c>
      <c r="F4925" s="13">
        <v>65</v>
      </c>
      <c r="G4925" s="14"/>
      <c r="H4925" s="12" t="s">
        <v>38</v>
      </c>
      <c r="I4925" s="12" t="s">
        <v>159</v>
      </c>
      <c r="J4925" s="12" t="s">
        <v>255</v>
      </c>
      <c r="K4925" s="12" t="s">
        <v>82</v>
      </c>
      <c r="L4925" s="12" t="s">
        <v>42</v>
      </c>
      <c r="M4925" s="12" t="s">
        <v>43</v>
      </c>
      <c r="N4925" s="12" t="s">
        <v>84</v>
      </c>
      <c r="O4925" s="12" t="s">
        <v>17211</v>
      </c>
      <c r="P4925" s="12" t="s">
        <v>46</v>
      </c>
      <c r="Q4925" s="12" t="s">
        <v>47</v>
      </c>
      <c r="R4925" s="12" t="s">
        <v>343</v>
      </c>
      <c r="S4925" s="13">
        <v>197804432554</v>
      </c>
      <c r="T4925" s="12" t="s">
        <v>49</v>
      </c>
      <c r="U4925" s="13">
        <v>38.5</v>
      </c>
      <c r="V4925" s="12" t="s">
        <v>278</v>
      </c>
      <c r="W4925" s="12" t="s">
        <v>51</v>
      </c>
      <c r="X4925" s="14"/>
      <c r="Y4925" s="14"/>
      <c r="Z4925" s="14"/>
      <c r="AA4925" s="14"/>
      <c r="AB4925" s="14"/>
      <c r="AC4925" s="15">
        <v>63.65</v>
      </c>
      <c r="AD4925" s="15">
        <f>AC4925*AG4925</f>
        <v>63.65</v>
      </c>
      <c r="AE4925" s="15">
        <v>140</v>
      </c>
      <c r="AF4925" s="15">
        <f>AE4925*AG4925</f>
        <v>140</v>
      </c>
      <c r="AG4925" s="16">
        <v>1</v>
      </c>
    </row>
    <row r="4926" spans="1:33" ht="15" customHeight="1" x14ac:dyDescent="0.2">
      <c r="A4926" s="11" t="str">
        <f t="shared" si="1482"/>
        <v>VN000CVURV21</v>
      </c>
      <c r="B4926" s="12" t="s">
        <v>17212</v>
      </c>
      <c r="C4926" s="12" t="s">
        <v>2993</v>
      </c>
      <c r="D4926" s="12" t="s">
        <v>1428</v>
      </c>
      <c r="E4926" s="12" t="s">
        <v>17213</v>
      </c>
      <c r="F4926" s="13">
        <v>70</v>
      </c>
      <c r="G4926" s="14"/>
      <c r="H4926" s="12" t="s">
        <v>38</v>
      </c>
      <c r="I4926" s="12" t="s">
        <v>159</v>
      </c>
      <c r="J4926" s="12" t="s">
        <v>255</v>
      </c>
      <c r="K4926" s="12" t="s">
        <v>82</v>
      </c>
      <c r="L4926" s="12" t="s">
        <v>42</v>
      </c>
      <c r="M4926" s="12" t="s">
        <v>43</v>
      </c>
      <c r="N4926" s="12" t="s">
        <v>84</v>
      </c>
      <c r="O4926" s="12" t="s">
        <v>17214</v>
      </c>
      <c r="P4926" s="12" t="s">
        <v>46</v>
      </c>
      <c r="Q4926" s="12" t="s">
        <v>47</v>
      </c>
      <c r="R4926" s="12" t="s">
        <v>343</v>
      </c>
      <c r="S4926" s="13">
        <v>197804432745</v>
      </c>
      <c r="T4926" s="12" t="s">
        <v>49</v>
      </c>
      <c r="U4926" s="13">
        <v>39</v>
      </c>
      <c r="V4926" s="12" t="s">
        <v>278</v>
      </c>
      <c r="W4926" s="12" t="s">
        <v>51</v>
      </c>
      <c r="X4926" s="14"/>
      <c r="Y4926" s="14"/>
      <c r="Z4926" s="14"/>
      <c r="AA4926" s="14"/>
      <c r="AB4926" s="14"/>
      <c r="AC4926" s="15">
        <v>63.65</v>
      </c>
      <c r="AD4926" s="15">
        <f>AC4926*AG4926</f>
        <v>63.65</v>
      </c>
      <c r="AE4926" s="15">
        <v>140</v>
      </c>
      <c r="AF4926" s="15">
        <f>AE4926*AG4926</f>
        <v>140</v>
      </c>
      <c r="AG4926" s="16">
        <v>1</v>
      </c>
    </row>
    <row r="4927" spans="1:33" ht="15" customHeight="1" x14ac:dyDescent="0.2">
      <c r="A4927" s="11" t="str">
        <f t="shared" si="1482"/>
        <v>VN000CVURV21</v>
      </c>
      <c r="B4927" s="12" t="s">
        <v>17215</v>
      </c>
      <c r="C4927" s="12" t="s">
        <v>2993</v>
      </c>
      <c r="D4927" s="12" t="s">
        <v>1428</v>
      </c>
      <c r="E4927" s="12" t="s">
        <v>17216</v>
      </c>
      <c r="F4927" s="13">
        <v>75</v>
      </c>
      <c r="G4927" s="14"/>
      <c r="H4927" s="12" t="s">
        <v>38</v>
      </c>
      <c r="I4927" s="12" t="s">
        <v>159</v>
      </c>
      <c r="J4927" s="12" t="s">
        <v>255</v>
      </c>
      <c r="K4927" s="12" t="s">
        <v>82</v>
      </c>
      <c r="L4927" s="12" t="s">
        <v>42</v>
      </c>
      <c r="M4927" s="12" t="s">
        <v>43</v>
      </c>
      <c r="N4927" s="12" t="s">
        <v>84</v>
      </c>
      <c r="O4927" s="12" t="s">
        <v>17217</v>
      </c>
      <c r="P4927" s="12" t="s">
        <v>46</v>
      </c>
      <c r="Q4927" s="12" t="s">
        <v>47</v>
      </c>
      <c r="R4927" s="12" t="s">
        <v>343</v>
      </c>
      <c r="S4927" s="13">
        <v>197804432851</v>
      </c>
      <c r="T4927" s="12" t="s">
        <v>49</v>
      </c>
      <c r="U4927" s="13">
        <v>40</v>
      </c>
      <c r="V4927" s="12" t="s">
        <v>278</v>
      </c>
      <c r="W4927" s="12" t="s">
        <v>51</v>
      </c>
      <c r="X4927" s="14"/>
      <c r="Y4927" s="14"/>
      <c r="Z4927" s="14"/>
      <c r="AA4927" s="14"/>
      <c r="AB4927" s="14"/>
      <c r="AC4927" s="15">
        <v>63.65</v>
      </c>
      <c r="AD4927" s="15">
        <f>AC4927*AG4927</f>
        <v>63.65</v>
      </c>
      <c r="AE4927" s="15">
        <v>140</v>
      </c>
      <c r="AF4927" s="15">
        <f>AE4927*AG4927</f>
        <v>140</v>
      </c>
      <c r="AG4927" s="16">
        <v>1</v>
      </c>
    </row>
    <row r="4928" spans="1:33" ht="15" customHeight="1" x14ac:dyDescent="0.2">
      <c r="A4928" s="11" t="str">
        <f t="shared" si="1477"/>
        <v>VN000CVVSR61</v>
      </c>
      <c r="B4928" s="12" t="s">
        <v>17218</v>
      </c>
      <c r="C4928" s="12" t="s">
        <v>2407</v>
      </c>
      <c r="D4928" s="12" t="s">
        <v>16819</v>
      </c>
      <c r="E4928" s="12" t="s">
        <v>17219</v>
      </c>
      <c r="F4928" s="13">
        <v>40</v>
      </c>
      <c r="G4928" s="14"/>
      <c r="H4928" s="12" t="s">
        <v>38</v>
      </c>
      <c r="I4928" s="12" t="s">
        <v>113</v>
      </c>
      <c r="J4928" s="12" t="s">
        <v>529</v>
      </c>
      <c r="K4928" s="12" t="s">
        <v>82</v>
      </c>
      <c r="L4928" s="12" t="s">
        <v>42</v>
      </c>
      <c r="M4928" s="12" t="s">
        <v>43</v>
      </c>
      <c r="N4928" s="12" t="s">
        <v>84</v>
      </c>
      <c r="O4928" s="12" t="s">
        <v>17220</v>
      </c>
      <c r="P4928" s="12" t="s">
        <v>46</v>
      </c>
      <c r="Q4928" s="12" t="s">
        <v>47</v>
      </c>
      <c r="R4928" s="12" t="s">
        <v>2179</v>
      </c>
      <c r="S4928" s="13">
        <v>197804432301</v>
      </c>
      <c r="T4928" s="12" t="s">
        <v>49</v>
      </c>
      <c r="U4928" s="13">
        <v>35</v>
      </c>
      <c r="V4928" s="12" t="s">
        <v>278</v>
      </c>
      <c r="W4928" s="12" t="s">
        <v>299</v>
      </c>
      <c r="X4928" s="14"/>
      <c r="Y4928" s="14"/>
      <c r="Z4928" s="14"/>
      <c r="AA4928" s="14"/>
      <c r="AB4928" s="14"/>
      <c r="AC4928" s="15">
        <v>68.2</v>
      </c>
      <c r="AD4928" s="15">
        <f>AC4928*AG4928</f>
        <v>68.2</v>
      </c>
      <c r="AE4928" s="15">
        <v>150</v>
      </c>
      <c r="AF4928" s="15">
        <f>AE4928*AG4928</f>
        <v>150</v>
      </c>
      <c r="AG4928" s="16">
        <v>1</v>
      </c>
    </row>
    <row r="4929" spans="1:33" ht="15" customHeight="1" x14ac:dyDescent="0.2">
      <c r="A4929" s="11" t="str">
        <f t="shared" si="1477"/>
        <v>VN000CVVSR61</v>
      </c>
      <c r="B4929" s="12" t="s">
        <v>17221</v>
      </c>
      <c r="C4929" s="12" t="s">
        <v>2407</v>
      </c>
      <c r="D4929" s="12" t="s">
        <v>16819</v>
      </c>
      <c r="E4929" s="12" t="s">
        <v>17222</v>
      </c>
      <c r="F4929" s="13">
        <v>45</v>
      </c>
      <c r="G4929" s="14"/>
      <c r="H4929" s="12" t="s">
        <v>38</v>
      </c>
      <c r="I4929" s="12" t="s">
        <v>113</v>
      </c>
      <c r="J4929" s="12" t="s">
        <v>529</v>
      </c>
      <c r="K4929" s="12" t="s">
        <v>82</v>
      </c>
      <c r="L4929" s="12" t="s">
        <v>42</v>
      </c>
      <c r="M4929" s="12" t="s">
        <v>43</v>
      </c>
      <c r="N4929" s="12" t="s">
        <v>84</v>
      </c>
      <c r="O4929" s="12" t="s">
        <v>17223</v>
      </c>
      <c r="P4929" s="12" t="s">
        <v>46</v>
      </c>
      <c r="Q4929" s="12" t="s">
        <v>47</v>
      </c>
      <c r="R4929" s="12" t="s">
        <v>2179</v>
      </c>
      <c r="S4929" s="13">
        <v>197804432387</v>
      </c>
      <c r="T4929" s="12" t="s">
        <v>49</v>
      </c>
      <c r="U4929" s="13">
        <v>36</v>
      </c>
      <c r="V4929" s="12" t="s">
        <v>278</v>
      </c>
      <c r="W4929" s="12" t="s">
        <v>299</v>
      </c>
      <c r="X4929" s="14"/>
      <c r="Y4929" s="14"/>
      <c r="Z4929" s="14"/>
      <c r="AA4929" s="14"/>
      <c r="AB4929" s="14"/>
      <c r="AC4929" s="15">
        <v>68.2</v>
      </c>
      <c r="AD4929" s="15">
        <f>AC4929*AG4929</f>
        <v>68.2</v>
      </c>
      <c r="AE4929" s="15">
        <v>150</v>
      </c>
      <c r="AF4929" s="15">
        <f>AE4929*AG4929</f>
        <v>150</v>
      </c>
      <c r="AG4929" s="16">
        <v>1</v>
      </c>
    </row>
    <row r="4930" spans="1:33" ht="15" customHeight="1" x14ac:dyDescent="0.2">
      <c r="A4930" s="11" t="str">
        <f t="shared" si="1485"/>
        <v>VN000D1G1OJ1</v>
      </c>
      <c r="B4930" s="12" t="s">
        <v>17224</v>
      </c>
      <c r="C4930" s="12" t="s">
        <v>9139</v>
      </c>
      <c r="D4930" s="12" t="s">
        <v>9223</v>
      </c>
      <c r="E4930" s="12" t="s">
        <v>17225</v>
      </c>
      <c r="F4930" s="13">
        <v>35</v>
      </c>
      <c r="G4930" s="14"/>
      <c r="H4930" s="12" t="s">
        <v>38</v>
      </c>
      <c r="I4930" s="12" t="s">
        <v>159</v>
      </c>
      <c r="J4930" s="12" t="s">
        <v>341</v>
      </c>
      <c r="K4930" s="12" t="s">
        <v>199</v>
      </c>
      <c r="L4930" s="14"/>
      <c r="M4930" s="12" t="s">
        <v>43</v>
      </c>
      <c r="N4930" s="12" t="s">
        <v>44</v>
      </c>
      <c r="O4930" s="12" t="s">
        <v>17226</v>
      </c>
      <c r="P4930" s="12" t="s">
        <v>46</v>
      </c>
      <c r="Q4930" s="12" t="s">
        <v>47</v>
      </c>
      <c r="R4930" s="12" t="s">
        <v>163</v>
      </c>
      <c r="S4930" s="13">
        <v>197643266082</v>
      </c>
      <c r="T4930" s="12" t="s">
        <v>105</v>
      </c>
      <c r="U4930" s="13">
        <v>34.5</v>
      </c>
      <c r="V4930" s="12" t="s">
        <v>50</v>
      </c>
      <c r="W4930" s="12" t="s">
        <v>51</v>
      </c>
      <c r="X4930" s="14"/>
      <c r="Y4930" s="12" t="s">
        <v>91</v>
      </c>
      <c r="Z4930" s="12" t="s">
        <v>14497</v>
      </c>
      <c r="AA4930" s="14"/>
      <c r="AB4930" s="14"/>
      <c r="AC4930" s="15">
        <v>59.1</v>
      </c>
      <c r="AD4930" s="15">
        <f>AC4930*AG4930</f>
        <v>59.1</v>
      </c>
      <c r="AE4930" s="15">
        <v>130</v>
      </c>
      <c r="AF4930" s="15">
        <f>AE4930*AG4930</f>
        <v>130</v>
      </c>
      <c r="AG4930" s="16">
        <v>1</v>
      </c>
    </row>
    <row r="4931" spans="1:33" ht="15" customHeight="1" x14ac:dyDescent="0.2">
      <c r="A4931" s="11" t="str">
        <f t="shared" si="1485"/>
        <v>VN000D1G1OJ1</v>
      </c>
      <c r="B4931" s="12" t="s">
        <v>17227</v>
      </c>
      <c r="C4931" s="12" t="s">
        <v>9139</v>
      </c>
      <c r="D4931" s="12" t="s">
        <v>9223</v>
      </c>
      <c r="E4931" s="12" t="s">
        <v>17228</v>
      </c>
      <c r="F4931" s="13">
        <v>65</v>
      </c>
      <c r="G4931" s="14"/>
      <c r="H4931" s="12" t="s">
        <v>38</v>
      </c>
      <c r="I4931" s="12" t="s">
        <v>159</v>
      </c>
      <c r="J4931" s="12" t="s">
        <v>341</v>
      </c>
      <c r="K4931" s="12" t="s">
        <v>199</v>
      </c>
      <c r="L4931" s="14"/>
      <c r="M4931" s="12" t="s">
        <v>43</v>
      </c>
      <c r="N4931" s="12" t="s">
        <v>44</v>
      </c>
      <c r="O4931" s="12" t="s">
        <v>17229</v>
      </c>
      <c r="P4931" s="12" t="s">
        <v>46</v>
      </c>
      <c r="Q4931" s="12" t="s">
        <v>47</v>
      </c>
      <c r="R4931" s="12" t="s">
        <v>163</v>
      </c>
      <c r="S4931" s="13">
        <v>197643266440</v>
      </c>
      <c r="T4931" s="12" t="s">
        <v>105</v>
      </c>
      <c r="U4931" s="13">
        <v>38.5</v>
      </c>
      <c r="V4931" s="12" t="s">
        <v>50</v>
      </c>
      <c r="W4931" s="12" t="s">
        <v>51</v>
      </c>
      <c r="X4931" s="14"/>
      <c r="Y4931" s="12" t="s">
        <v>91</v>
      </c>
      <c r="Z4931" s="12" t="s">
        <v>14497</v>
      </c>
      <c r="AA4931" s="14"/>
      <c r="AB4931" s="14"/>
      <c r="AC4931" s="15">
        <v>59.1</v>
      </c>
      <c r="AD4931" s="15">
        <f>AC4931*AG4931</f>
        <v>59.1</v>
      </c>
      <c r="AE4931" s="15">
        <v>130</v>
      </c>
      <c r="AF4931" s="15">
        <f>AE4931*AG4931</f>
        <v>130</v>
      </c>
      <c r="AG4931" s="16">
        <v>1</v>
      </c>
    </row>
    <row r="4932" spans="1:33" ht="15" customHeight="1" x14ac:dyDescent="0.2">
      <c r="A4932" s="11" t="str">
        <f t="shared" si="1485"/>
        <v>VN000D1G1OJ1</v>
      </c>
      <c r="B4932" s="12" t="s">
        <v>17230</v>
      </c>
      <c r="C4932" s="12" t="s">
        <v>9139</v>
      </c>
      <c r="D4932" s="12" t="s">
        <v>9223</v>
      </c>
      <c r="E4932" s="12" t="s">
        <v>17231</v>
      </c>
      <c r="F4932" s="13">
        <v>130</v>
      </c>
      <c r="G4932" s="14"/>
      <c r="H4932" s="12" t="s">
        <v>38</v>
      </c>
      <c r="I4932" s="12" t="s">
        <v>159</v>
      </c>
      <c r="J4932" s="12" t="s">
        <v>341</v>
      </c>
      <c r="K4932" s="12" t="s">
        <v>199</v>
      </c>
      <c r="L4932" s="14"/>
      <c r="M4932" s="12" t="s">
        <v>43</v>
      </c>
      <c r="N4932" s="12" t="s">
        <v>44</v>
      </c>
      <c r="O4932" s="12" t="s">
        <v>17232</v>
      </c>
      <c r="P4932" s="12" t="s">
        <v>46</v>
      </c>
      <c r="Q4932" s="12" t="s">
        <v>47</v>
      </c>
      <c r="R4932" s="12" t="s">
        <v>163</v>
      </c>
      <c r="S4932" s="13">
        <v>197643267836</v>
      </c>
      <c r="T4932" s="12" t="s">
        <v>105</v>
      </c>
      <c r="U4932" s="13">
        <v>47</v>
      </c>
      <c r="V4932" s="12" t="s">
        <v>50</v>
      </c>
      <c r="W4932" s="12" t="s">
        <v>51</v>
      </c>
      <c r="X4932" s="14"/>
      <c r="Y4932" s="12" t="s">
        <v>91</v>
      </c>
      <c r="Z4932" s="12" t="s">
        <v>14497</v>
      </c>
      <c r="AA4932" s="14"/>
      <c r="AB4932" s="14"/>
      <c r="AC4932" s="15">
        <v>59.1</v>
      </c>
      <c r="AD4932" s="15">
        <f>AC4932*AG4932</f>
        <v>59.1</v>
      </c>
      <c r="AE4932" s="15">
        <v>130</v>
      </c>
      <c r="AF4932" s="15">
        <f>AE4932*AG4932</f>
        <v>130</v>
      </c>
      <c r="AG4932" s="16">
        <v>1</v>
      </c>
    </row>
    <row r="4933" spans="1:33" ht="15" customHeight="1" x14ac:dyDescent="0.2">
      <c r="A4933" s="11" t="str">
        <f t="shared" si="1499"/>
        <v>VN000D1G92A1</v>
      </c>
      <c r="B4933" s="12" t="s">
        <v>17233</v>
      </c>
      <c r="C4933" s="12" t="s">
        <v>9139</v>
      </c>
      <c r="D4933" s="12" t="s">
        <v>17056</v>
      </c>
      <c r="E4933" s="12" t="s">
        <v>17234</v>
      </c>
      <c r="F4933" s="13">
        <v>45</v>
      </c>
      <c r="G4933" s="14"/>
      <c r="H4933" s="12" t="s">
        <v>38</v>
      </c>
      <c r="I4933" s="12" t="s">
        <v>159</v>
      </c>
      <c r="J4933" s="12" t="s">
        <v>341</v>
      </c>
      <c r="K4933" s="12" t="s">
        <v>199</v>
      </c>
      <c r="L4933" s="14"/>
      <c r="M4933" s="12" t="s">
        <v>43</v>
      </c>
      <c r="N4933" s="12" t="s">
        <v>274</v>
      </c>
      <c r="O4933" s="12" t="s">
        <v>17235</v>
      </c>
      <c r="P4933" s="12" t="s">
        <v>46</v>
      </c>
      <c r="Q4933" s="12" t="s">
        <v>47</v>
      </c>
      <c r="R4933" s="12" t="s">
        <v>163</v>
      </c>
      <c r="S4933" s="13">
        <v>197063763673</v>
      </c>
      <c r="T4933" s="12" t="s">
        <v>105</v>
      </c>
      <c r="U4933" s="13">
        <v>36</v>
      </c>
      <c r="V4933" s="12" t="s">
        <v>50</v>
      </c>
      <c r="W4933" s="12" t="s">
        <v>175</v>
      </c>
      <c r="X4933" s="14"/>
      <c r="Y4933" s="12" t="s">
        <v>91</v>
      </c>
      <c r="Z4933" s="12" t="s">
        <v>344</v>
      </c>
      <c r="AA4933" s="14"/>
      <c r="AB4933" s="14"/>
      <c r="AC4933" s="15">
        <v>59.1</v>
      </c>
      <c r="AD4933" s="15">
        <f>AC4933*AG4933</f>
        <v>59.1</v>
      </c>
      <c r="AE4933" s="15">
        <v>130</v>
      </c>
      <c r="AF4933" s="15">
        <f>AE4933*AG4933</f>
        <v>130</v>
      </c>
      <c r="AG4933" s="16">
        <v>1</v>
      </c>
    </row>
    <row r="4934" spans="1:33" ht="15" customHeight="1" x14ac:dyDescent="0.2">
      <c r="A4934" s="11" t="str">
        <f t="shared" si="1499"/>
        <v>VN000D1G92A1</v>
      </c>
      <c r="B4934" s="12" t="s">
        <v>17236</v>
      </c>
      <c r="C4934" s="12" t="s">
        <v>9139</v>
      </c>
      <c r="D4934" s="12" t="s">
        <v>17056</v>
      </c>
      <c r="E4934" s="12" t="s">
        <v>17237</v>
      </c>
      <c r="F4934" s="13">
        <v>90</v>
      </c>
      <c r="G4934" s="14"/>
      <c r="H4934" s="12" t="s">
        <v>38</v>
      </c>
      <c r="I4934" s="12" t="s">
        <v>159</v>
      </c>
      <c r="J4934" s="12" t="s">
        <v>341</v>
      </c>
      <c r="K4934" s="12" t="s">
        <v>199</v>
      </c>
      <c r="L4934" s="14"/>
      <c r="M4934" s="12" t="s">
        <v>43</v>
      </c>
      <c r="N4934" s="12" t="s">
        <v>274</v>
      </c>
      <c r="O4934" s="12" t="s">
        <v>17238</v>
      </c>
      <c r="P4934" s="12" t="s">
        <v>46</v>
      </c>
      <c r="Q4934" s="12" t="s">
        <v>47</v>
      </c>
      <c r="R4934" s="12" t="s">
        <v>163</v>
      </c>
      <c r="S4934" s="13">
        <v>197063765325</v>
      </c>
      <c r="T4934" s="12" t="s">
        <v>105</v>
      </c>
      <c r="U4934" s="13">
        <v>42</v>
      </c>
      <c r="V4934" s="12" t="s">
        <v>50</v>
      </c>
      <c r="W4934" s="12" t="s">
        <v>175</v>
      </c>
      <c r="X4934" s="14"/>
      <c r="Y4934" s="12" t="s">
        <v>91</v>
      </c>
      <c r="Z4934" s="12" t="s">
        <v>344</v>
      </c>
      <c r="AA4934" s="14"/>
      <c r="AB4934" s="14"/>
      <c r="AC4934" s="15">
        <v>59.1</v>
      </c>
      <c r="AD4934" s="15">
        <f>AC4934*AG4934</f>
        <v>59.1</v>
      </c>
      <c r="AE4934" s="15">
        <v>130</v>
      </c>
      <c r="AF4934" s="15">
        <f>AE4934*AG4934</f>
        <v>130</v>
      </c>
      <c r="AG4934" s="16">
        <v>1</v>
      </c>
    </row>
    <row r="4935" spans="1:33" ht="15" customHeight="1" x14ac:dyDescent="0.2">
      <c r="A4935" s="11" t="str">
        <f t="shared" si="1499"/>
        <v>VN000D1G92A1</v>
      </c>
      <c r="B4935" s="12" t="s">
        <v>17239</v>
      </c>
      <c r="C4935" s="12" t="s">
        <v>9139</v>
      </c>
      <c r="D4935" s="12" t="s">
        <v>17056</v>
      </c>
      <c r="E4935" s="12" t="s">
        <v>17240</v>
      </c>
      <c r="F4935" s="13">
        <v>95</v>
      </c>
      <c r="G4935" s="14"/>
      <c r="H4935" s="12" t="s">
        <v>38</v>
      </c>
      <c r="I4935" s="12" t="s">
        <v>159</v>
      </c>
      <c r="J4935" s="12" t="s">
        <v>341</v>
      </c>
      <c r="K4935" s="12" t="s">
        <v>199</v>
      </c>
      <c r="L4935" s="14"/>
      <c r="M4935" s="12" t="s">
        <v>43</v>
      </c>
      <c r="N4935" s="12" t="s">
        <v>274</v>
      </c>
      <c r="O4935" s="12" t="s">
        <v>17241</v>
      </c>
      <c r="P4935" s="12" t="s">
        <v>46</v>
      </c>
      <c r="Q4935" s="12" t="s">
        <v>47</v>
      </c>
      <c r="R4935" s="12" t="s">
        <v>163</v>
      </c>
      <c r="S4935" s="13">
        <v>197063765523</v>
      </c>
      <c r="T4935" s="12" t="s">
        <v>105</v>
      </c>
      <c r="U4935" s="13">
        <v>42.5</v>
      </c>
      <c r="V4935" s="12" t="s">
        <v>50</v>
      </c>
      <c r="W4935" s="12" t="s">
        <v>175</v>
      </c>
      <c r="X4935" s="14"/>
      <c r="Y4935" s="12" t="s">
        <v>91</v>
      </c>
      <c r="Z4935" s="12" t="s">
        <v>344</v>
      </c>
      <c r="AA4935" s="14"/>
      <c r="AB4935" s="14"/>
      <c r="AC4935" s="15">
        <v>59.1</v>
      </c>
      <c r="AD4935" s="15">
        <f>AC4935*AG4935</f>
        <v>59.1</v>
      </c>
      <c r="AE4935" s="15">
        <v>130</v>
      </c>
      <c r="AF4935" s="15">
        <f>AE4935*AG4935</f>
        <v>130</v>
      </c>
      <c r="AG4935" s="16">
        <v>1</v>
      </c>
    </row>
    <row r="4936" spans="1:33" ht="15" customHeight="1" x14ac:dyDescent="0.2">
      <c r="A4936" s="11" t="str">
        <f t="shared" si="1499"/>
        <v>VN000D1G92A1</v>
      </c>
      <c r="B4936" s="12" t="s">
        <v>17242</v>
      </c>
      <c r="C4936" s="12" t="s">
        <v>9139</v>
      </c>
      <c r="D4936" s="12" t="s">
        <v>17056</v>
      </c>
      <c r="E4936" s="12" t="s">
        <v>17243</v>
      </c>
      <c r="F4936" s="13">
        <v>100</v>
      </c>
      <c r="G4936" s="14"/>
      <c r="H4936" s="12" t="s">
        <v>38</v>
      </c>
      <c r="I4936" s="12" t="s">
        <v>159</v>
      </c>
      <c r="J4936" s="12" t="s">
        <v>341</v>
      </c>
      <c r="K4936" s="12" t="s">
        <v>199</v>
      </c>
      <c r="L4936" s="14"/>
      <c r="M4936" s="12" t="s">
        <v>43</v>
      </c>
      <c r="N4936" s="12" t="s">
        <v>274</v>
      </c>
      <c r="O4936" s="12" t="s">
        <v>17244</v>
      </c>
      <c r="P4936" s="12" t="s">
        <v>46</v>
      </c>
      <c r="Q4936" s="12" t="s">
        <v>47</v>
      </c>
      <c r="R4936" s="12" t="s">
        <v>163</v>
      </c>
      <c r="S4936" s="13">
        <v>197063765707</v>
      </c>
      <c r="T4936" s="12" t="s">
        <v>105</v>
      </c>
      <c r="U4936" s="13">
        <v>43</v>
      </c>
      <c r="V4936" s="12" t="s">
        <v>50</v>
      </c>
      <c r="W4936" s="12" t="s">
        <v>175</v>
      </c>
      <c r="X4936" s="14"/>
      <c r="Y4936" s="12" t="s">
        <v>91</v>
      </c>
      <c r="Z4936" s="12" t="s">
        <v>344</v>
      </c>
      <c r="AA4936" s="14"/>
      <c r="AB4936" s="14"/>
      <c r="AC4936" s="15">
        <v>59.1</v>
      </c>
      <c r="AD4936" s="15">
        <f>AC4936*AG4936</f>
        <v>59.1</v>
      </c>
      <c r="AE4936" s="15">
        <v>130</v>
      </c>
      <c r="AF4936" s="15">
        <f>AE4936*AG4936</f>
        <v>130</v>
      </c>
      <c r="AG4936" s="16">
        <v>1</v>
      </c>
    </row>
    <row r="4937" spans="1:33" ht="15" customHeight="1" x14ac:dyDescent="0.2">
      <c r="A4937" s="11" t="str">
        <f t="shared" ref="A4937:A4938" si="1511">HYPERLINK("https://assets.vans.eu/images/VN000D1GA2T-HERO/1","VN000D1GA2T1")</f>
        <v>VN000D1GA2T1</v>
      </c>
      <c r="B4937" s="12" t="s">
        <v>17245</v>
      </c>
      <c r="C4937" s="12" t="s">
        <v>9139</v>
      </c>
      <c r="D4937" s="12" t="s">
        <v>17246</v>
      </c>
      <c r="E4937" s="12" t="s">
        <v>17247</v>
      </c>
      <c r="F4937" s="13">
        <v>45</v>
      </c>
      <c r="G4937" s="14"/>
      <c r="H4937" s="12" t="s">
        <v>38</v>
      </c>
      <c r="I4937" s="12" t="s">
        <v>159</v>
      </c>
      <c r="J4937" s="12" t="s">
        <v>341</v>
      </c>
      <c r="K4937" s="12" t="s">
        <v>199</v>
      </c>
      <c r="L4937" s="14"/>
      <c r="M4937" s="12" t="s">
        <v>43</v>
      </c>
      <c r="N4937" s="12" t="s">
        <v>274</v>
      </c>
      <c r="O4937" s="12" t="s">
        <v>17248</v>
      </c>
      <c r="P4937" s="12" t="s">
        <v>46</v>
      </c>
      <c r="Q4937" s="12" t="s">
        <v>47</v>
      </c>
      <c r="R4937" s="12" t="s">
        <v>163</v>
      </c>
      <c r="S4937" s="13">
        <v>197063763826</v>
      </c>
      <c r="T4937" s="12" t="s">
        <v>105</v>
      </c>
      <c r="U4937" s="13">
        <v>36</v>
      </c>
      <c r="V4937" s="12" t="s">
        <v>50</v>
      </c>
      <c r="W4937" s="12" t="s">
        <v>51</v>
      </c>
      <c r="X4937" s="14"/>
      <c r="Y4937" s="12" t="s">
        <v>91</v>
      </c>
      <c r="Z4937" s="12" t="s">
        <v>344</v>
      </c>
      <c r="AA4937" s="14"/>
      <c r="AB4937" s="14"/>
      <c r="AC4937" s="15">
        <v>59.1</v>
      </c>
      <c r="AD4937" s="15">
        <f>AC4937*AG4937</f>
        <v>59.1</v>
      </c>
      <c r="AE4937" s="15">
        <v>130</v>
      </c>
      <c r="AF4937" s="15">
        <f>AE4937*AG4937</f>
        <v>130</v>
      </c>
      <c r="AG4937" s="16">
        <v>1</v>
      </c>
    </row>
    <row r="4938" spans="1:33" ht="15" customHeight="1" x14ac:dyDescent="0.2">
      <c r="A4938" s="11" t="str">
        <f t="shared" si="1511"/>
        <v>VN000D1GA2T1</v>
      </c>
      <c r="B4938" s="12" t="s">
        <v>17249</v>
      </c>
      <c r="C4938" s="12" t="s">
        <v>9139</v>
      </c>
      <c r="D4938" s="12" t="s">
        <v>17246</v>
      </c>
      <c r="E4938" s="12" t="s">
        <v>17250</v>
      </c>
      <c r="F4938" s="13">
        <v>105</v>
      </c>
      <c r="G4938" s="14"/>
      <c r="H4938" s="12" t="s">
        <v>38</v>
      </c>
      <c r="I4938" s="12" t="s">
        <v>159</v>
      </c>
      <c r="J4938" s="12" t="s">
        <v>341</v>
      </c>
      <c r="K4938" s="12" t="s">
        <v>199</v>
      </c>
      <c r="L4938" s="14"/>
      <c r="M4938" s="12" t="s">
        <v>43</v>
      </c>
      <c r="N4938" s="12" t="s">
        <v>274</v>
      </c>
      <c r="O4938" s="12" t="s">
        <v>17251</v>
      </c>
      <c r="P4938" s="12" t="s">
        <v>46</v>
      </c>
      <c r="Q4938" s="12" t="s">
        <v>47</v>
      </c>
      <c r="R4938" s="12" t="s">
        <v>163</v>
      </c>
      <c r="S4938" s="13">
        <v>197063766094</v>
      </c>
      <c r="T4938" s="12" t="s">
        <v>105</v>
      </c>
      <c r="U4938" s="13">
        <v>44</v>
      </c>
      <c r="V4938" s="12" t="s">
        <v>50</v>
      </c>
      <c r="W4938" s="12" t="s">
        <v>51</v>
      </c>
      <c r="X4938" s="14"/>
      <c r="Y4938" s="12" t="s">
        <v>91</v>
      </c>
      <c r="Z4938" s="12" t="s">
        <v>344</v>
      </c>
      <c r="AA4938" s="14"/>
      <c r="AB4938" s="14"/>
      <c r="AC4938" s="15">
        <v>59.1</v>
      </c>
      <c r="AD4938" s="15">
        <f>AC4938*AG4938</f>
        <v>59.1</v>
      </c>
      <c r="AE4938" s="15">
        <v>130</v>
      </c>
      <c r="AF4938" s="15">
        <f>AE4938*AG4938</f>
        <v>130</v>
      </c>
      <c r="AG4938" s="16">
        <v>1</v>
      </c>
    </row>
    <row r="4939" spans="1:33" ht="15" customHeight="1" x14ac:dyDescent="0.2">
      <c r="A4939" s="11" t="str">
        <f>HYPERLINK("https://assets.vans.eu/images/VN000D1GBWT-HERO/1","VN000D1GBWT1")</f>
        <v>VN000D1GBWT1</v>
      </c>
      <c r="B4939" s="12" t="s">
        <v>17252</v>
      </c>
      <c r="C4939" s="12" t="s">
        <v>9139</v>
      </c>
      <c r="D4939" s="12" t="s">
        <v>17253</v>
      </c>
      <c r="E4939" s="12" t="s">
        <v>17254</v>
      </c>
      <c r="F4939" s="13">
        <v>95</v>
      </c>
      <c r="G4939" s="14"/>
      <c r="H4939" s="12" t="s">
        <v>38</v>
      </c>
      <c r="I4939" s="12" t="s">
        <v>159</v>
      </c>
      <c r="J4939" s="12" t="s">
        <v>341</v>
      </c>
      <c r="K4939" s="12" t="s">
        <v>199</v>
      </c>
      <c r="L4939" s="14"/>
      <c r="M4939" s="12" t="s">
        <v>43</v>
      </c>
      <c r="N4939" s="12" t="s">
        <v>161</v>
      </c>
      <c r="O4939" s="12" t="s">
        <v>17255</v>
      </c>
      <c r="P4939" s="12" t="s">
        <v>46</v>
      </c>
      <c r="Q4939" s="12" t="s">
        <v>47</v>
      </c>
      <c r="R4939" s="12" t="s">
        <v>163</v>
      </c>
      <c r="S4939" s="13">
        <v>197065759148</v>
      </c>
      <c r="T4939" s="12" t="s">
        <v>105</v>
      </c>
      <c r="U4939" s="13">
        <v>42.5</v>
      </c>
      <c r="V4939" s="12" t="s">
        <v>50</v>
      </c>
      <c r="W4939" s="12" t="s">
        <v>51</v>
      </c>
      <c r="X4939" s="14"/>
      <c r="Y4939" s="12" t="s">
        <v>91</v>
      </c>
      <c r="Z4939" s="12" t="s">
        <v>344</v>
      </c>
      <c r="AA4939" s="14"/>
      <c r="AB4939" s="14"/>
      <c r="AC4939" s="15">
        <v>59.1</v>
      </c>
      <c r="AD4939" s="15">
        <f>AC4939*AG4939</f>
        <v>59.1</v>
      </c>
      <c r="AE4939" s="15">
        <v>130</v>
      </c>
      <c r="AF4939" s="15">
        <f>AE4939*AG4939</f>
        <v>130</v>
      </c>
      <c r="AG4939" s="16">
        <v>1</v>
      </c>
    </row>
    <row r="4940" spans="1:33" ht="15" customHeight="1" x14ac:dyDescent="0.2">
      <c r="A4940" s="11" t="str">
        <f t="shared" si="1500"/>
        <v>VN000D1GK1O1</v>
      </c>
      <c r="B4940" s="12" t="s">
        <v>17256</v>
      </c>
      <c r="C4940" s="12" t="s">
        <v>9139</v>
      </c>
      <c r="D4940" s="12" t="s">
        <v>17060</v>
      </c>
      <c r="E4940" s="12" t="s">
        <v>17257</v>
      </c>
      <c r="F4940" s="13">
        <v>75</v>
      </c>
      <c r="G4940" s="14"/>
      <c r="H4940" s="12" t="s">
        <v>38</v>
      </c>
      <c r="I4940" s="12" t="s">
        <v>159</v>
      </c>
      <c r="J4940" s="12" t="s">
        <v>341</v>
      </c>
      <c r="K4940" s="12" t="s">
        <v>199</v>
      </c>
      <c r="L4940" s="14"/>
      <c r="M4940" s="12" t="s">
        <v>43</v>
      </c>
      <c r="N4940" s="12" t="s">
        <v>44</v>
      </c>
      <c r="O4940" s="12" t="s">
        <v>17258</v>
      </c>
      <c r="P4940" s="12" t="s">
        <v>46</v>
      </c>
      <c r="Q4940" s="12" t="s">
        <v>47</v>
      </c>
      <c r="R4940" s="12" t="s">
        <v>163</v>
      </c>
      <c r="S4940" s="13">
        <v>197643266822</v>
      </c>
      <c r="T4940" s="12" t="s">
        <v>105</v>
      </c>
      <c r="U4940" s="13">
        <v>40</v>
      </c>
      <c r="V4940" s="12" t="s">
        <v>50</v>
      </c>
      <c r="W4940" s="12" t="s">
        <v>262</v>
      </c>
      <c r="X4940" s="14"/>
      <c r="Y4940" s="12" t="s">
        <v>91</v>
      </c>
      <c r="Z4940" s="12" t="s">
        <v>14497</v>
      </c>
      <c r="AA4940" s="14"/>
      <c r="AB4940" s="14"/>
      <c r="AC4940" s="15">
        <v>59.1</v>
      </c>
      <c r="AD4940" s="15">
        <f>AC4940*AG4940</f>
        <v>59.1</v>
      </c>
      <c r="AE4940" s="15">
        <v>130</v>
      </c>
      <c r="AF4940" s="15">
        <f>AE4940*AG4940</f>
        <v>130</v>
      </c>
      <c r="AG4940" s="16">
        <v>1</v>
      </c>
    </row>
    <row r="4941" spans="1:33" ht="15" customHeight="1" x14ac:dyDescent="0.2">
      <c r="A4941" s="11" t="str">
        <f t="shared" si="1500"/>
        <v>VN000D1GK1O1</v>
      </c>
      <c r="B4941" s="12" t="s">
        <v>17259</v>
      </c>
      <c r="C4941" s="12" t="s">
        <v>9139</v>
      </c>
      <c r="D4941" s="12" t="s">
        <v>17060</v>
      </c>
      <c r="E4941" s="12" t="s">
        <v>17260</v>
      </c>
      <c r="F4941" s="13">
        <v>100</v>
      </c>
      <c r="G4941" s="14"/>
      <c r="H4941" s="12" t="s">
        <v>38</v>
      </c>
      <c r="I4941" s="12" t="s">
        <v>159</v>
      </c>
      <c r="J4941" s="12" t="s">
        <v>341</v>
      </c>
      <c r="K4941" s="12" t="s">
        <v>199</v>
      </c>
      <c r="L4941" s="14"/>
      <c r="M4941" s="12" t="s">
        <v>43</v>
      </c>
      <c r="N4941" s="12" t="s">
        <v>44</v>
      </c>
      <c r="O4941" s="12" t="s">
        <v>17261</v>
      </c>
      <c r="P4941" s="12" t="s">
        <v>46</v>
      </c>
      <c r="Q4941" s="12" t="s">
        <v>47</v>
      </c>
      <c r="R4941" s="12" t="s">
        <v>163</v>
      </c>
      <c r="S4941" s="13">
        <v>197643267379</v>
      </c>
      <c r="T4941" s="12" t="s">
        <v>105</v>
      </c>
      <c r="U4941" s="13">
        <v>43</v>
      </c>
      <c r="V4941" s="12" t="s">
        <v>50</v>
      </c>
      <c r="W4941" s="12" t="s">
        <v>262</v>
      </c>
      <c r="X4941" s="14"/>
      <c r="Y4941" s="12" t="s">
        <v>91</v>
      </c>
      <c r="Z4941" s="12" t="s">
        <v>14497</v>
      </c>
      <c r="AA4941" s="14"/>
      <c r="AB4941" s="14"/>
      <c r="AC4941" s="15">
        <v>59.1</v>
      </c>
      <c r="AD4941" s="15">
        <f>AC4941*AG4941</f>
        <v>59.1</v>
      </c>
      <c r="AE4941" s="15">
        <v>130</v>
      </c>
      <c r="AF4941" s="15">
        <f>AE4941*AG4941</f>
        <v>130</v>
      </c>
      <c r="AG4941" s="16">
        <v>1</v>
      </c>
    </row>
    <row r="4942" spans="1:33" ht="15" customHeight="1" x14ac:dyDescent="0.2">
      <c r="A4942" s="11" t="str">
        <f t="shared" si="1500"/>
        <v>VN000D1GK1O1</v>
      </c>
      <c r="B4942" s="12" t="s">
        <v>17262</v>
      </c>
      <c r="C4942" s="12" t="s">
        <v>9139</v>
      </c>
      <c r="D4942" s="12" t="s">
        <v>17060</v>
      </c>
      <c r="E4942" s="12" t="s">
        <v>17263</v>
      </c>
      <c r="F4942" s="13">
        <v>105</v>
      </c>
      <c r="G4942" s="14"/>
      <c r="H4942" s="12" t="s">
        <v>38</v>
      </c>
      <c r="I4942" s="12" t="s">
        <v>159</v>
      </c>
      <c r="J4942" s="12" t="s">
        <v>341</v>
      </c>
      <c r="K4942" s="12" t="s">
        <v>199</v>
      </c>
      <c r="L4942" s="14"/>
      <c r="M4942" s="12" t="s">
        <v>43</v>
      </c>
      <c r="N4942" s="12" t="s">
        <v>44</v>
      </c>
      <c r="O4942" s="12" t="s">
        <v>17264</v>
      </c>
      <c r="P4942" s="12" t="s">
        <v>46</v>
      </c>
      <c r="Q4942" s="12" t="s">
        <v>47</v>
      </c>
      <c r="R4942" s="12" t="s">
        <v>163</v>
      </c>
      <c r="S4942" s="13">
        <v>197643267454</v>
      </c>
      <c r="T4942" s="12" t="s">
        <v>105</v>
      </c>
      <c r="U4942" s="13">
        <v>44</v>
      </c>
      <c r="V4942" s="12" t="s">
        <v>50</v>
      </c>
      <c r="W4942" s="12" t="s">
        <v>262</v>
      </c>
      <c r="X4942" s="14"/>
      <c r="Y4942" s="12" t="s">
        <v>91</v>
      </c>
      <c r="Z4942" s="12" t="s">
        <v>14497</v>
      </c>
      <c r="AA4942" s="14"/>
      <c r="AB4942" s="14"/>
      <c r="AC4942" s="15">
        <v>59.1</v>
      </c>
      <c r="AD4942" s="15">
        <f>AC4942*AG4942</f>
        <v>59.1</v>
      </c>
      <c r="AE4942" s="15">
        <v>130</v>
      </c>
      <c r="AF4942" s="15">
        <f>AE4942*AG4942</f>
        <v>130</v>
      </c>
      <c r="AG4942" s="16">
        <v>1</v>
      </c>
    </row>
    <row r="4943" spans="1:33" ht="15" customHeight="1" x14ac:dyDescent="0.2">
      <c r="A4943" s="11" t="str">
        <f t="shared" si="1481"/>
        <v>VN000D1GSN01</v>
      </c>
      <c r="B4943" s="12" t="s">
        <v>17265</v>
      </c>
      <c r="C4943" s="12" t="s">
        <v>9139</v>
      </c>
      <c r="D4943" s="12" t="s">
        <v>13809</v>
      </c>
      <c r="E4943" s="12" t="s">
        <v>17266</v>
      </c>
      <c r="F4943" s="13">
        <v>35</v>
      </c>
      <c r="G4943" s="14"/>
      <c r="H4943" s="12" t="s">
        <v>38</v>
      </c>
      <c r="I4943" s="12" t="s">
        <v>159</v>
      </c>
      <c r="J4943" s="12" t="s">
        <v>341</v>
      </c>
      <c r="K4943" s="12" t="s">
        <v>199</v>
      </c>
      <c r="L4943" s="14"/>
      <c r="M4943" s="12" t="s">
        <v>43</v>
      </c>
      <c r="N4943" s="12" t="s">
        <v>44</v>
      </c>
      <c r="O4943" s="12" t="s">
        <v>17267</v>
      </c>
      <c r="P4943" s="12" t="s">
        <v>46</v>
      </c>
      <c r="Q4943" s="12" t="s">
        <v>47</v>
      </c>
      <c r="R4943" s="12" t="s">
        <v>163</v>
      </c>
      <c r="S4943" s="13">
        <v>197643265245</v>
      </c>
      <c r="T4943" s="12" t="s">
        <v>105</v>
      </c>
      <c r="U4943" s="13">
        <v>34.5</v>
      </c>
      <c r="V4943" s="12" t="s">
        <v>50</v>
      </c>
      <c r="W4943" s="12" t="s">
        <v>284</v>
      </c>
      <c r="X4943" s="14"/>
      <c r="Y4943" s="12" t="s">
        <v>91</v>
      </c>
      <c r="Z4943" s="12" t="s">
        <v>14497</v>
      </c>
      <c r="AA4943" s="14"/>
      <c r="AB4943" s="14"/>
      <c r="AC4943" s="15">
        <v>59.1</v>
      </c>
      <c r="AD4943" s="15">
        <f>AC4943*AG4943</f>
        <v>59.1</v>
      </c>
      <c r="AE4943" s="15">
        <v>130</v>
      </c>
      <c r="AF4943" s="15">
        <f>AE4943*AG4943</f>
        <v>130</v>
      </c>
      <c r="AG4943" s="16">
        <v>1</v>
      </c>
    </row>
    <row r="4944" spans="1:33" ht="15" customHeight="1" x14ac:dyDescent="0.2">
      <c r="A4944" s="11" t="str">
        <f t="shared" si="1481"/>
        <v>VN000D1GSN01</v>
      </c>
      <c r="B4944" s="12" t="s">
        <v>17268</v>
      </c>
      <c r="C4944" s="12" t="s">
        <v>9139</v>
      </c>
      <c r="D4944" s="12" t="s">
        <v>13809</v>
      </c>
      <c r="E4944" s="12" t="s">
        <v>17269</v>
      </c>
      <c r="F4944" s="13">
        <v>65</v>
      </c>
      <c r="G4944" s="14"/>
      <c r="H4944" s="12" t="s">
        <v>38</v>
      </c>
      <c r="I4944" s="12" t="s">
        <v>159</v>
      </c>
      <c r="J4944" s="12" t="s">
        <v>341</v>
      </c>
      <c r="K4944" s="12" t="s">
        <v>199</v>
      </c>
      <c r="L4944" s="14"/>
      <c r="M4944" s="12" t="s">
        <v>43</v>
      </c>
      <c r="N4944" s="12" t="s">
        <v>44</v>
      </c>
      <c r="O4944" s="12" t="s">
        <v>17270</v>
      </c>
      <c r="P4944" s="12" t="s">
        <v>46</v>
      </c>
      <c r="Q4944" s="12" t="s">
        <v>47</v>
      </c>
      <c r="R4944" s="12" t="s">
        <v>163</v>
      </c>
      <c r="S4944" s="13">
        <v>197643266617</v>
      </c>
      <c r="T4944" s="12" t="s">
        <v>105</v>
      </c>
      <c r="U4944" s="13">
        <v>38.5</v>
      </c>
      <c r="V4944" s="12" t="s">
        <v>50</v>
      </c>
      <c r="W4944" s="12" t="s">
        <v>284</v>
      </c>
      <c r="X4944" s="14"/>
      <c r="Y4944" s="12" t="s">
        <v>91</v>
      </c>
      <c r="Z4944" s="12" t="s">
        <v>14497</v>
      </c>
      <c r="AA4944" s="14"/>
      <c r="AB4944" s="14"/>
      <c r="AC4944" s="15">
        <v>59.1</v>
      </c>
      <c r="AD4944" s="15">
        <f>AC4944*AG4944</f>
        <v>59.1</v>
      </c>
      <c r="AE4944" s="15">
        <v>130</v>
      </c>
      <c r="AF4944" s="15">
        <f>AE4944*AG4944</f>
        <v>130</v>
      </c>
      <c r="AG4944" s="16">
        <v>1</v>
      </c>
    </row>
    <row r="4945" spans="1:33" ht="15" customHeight="1" x14ac:dyDescent="0.2">
      <c r="A4945" s="11" t="str">
        <f t="shared" si="1481"/>
        <v>VN000D1GSN01</v>
      </c>
      <c r="B4945" s="12" t="s">
        <v>17271</v>
      </c>
      <c r="C4945" s="12" t="s">
        <v>9139</v>
      </c>
      <c r="D4945" s="12" t="s">
        <v>13809</v>
      </c>
      <c r="E4945" s="12" t="s">
        <v>17272</v>
      </c>
      <c r="F4945" s="13">
        <v>80</v>
      </c>
      <c r="G4945" s="14"/>
      <c r="H4945" s="12" t="s">
        <v>38</v>
      </c>
      <c r="I4945" s="12" t="s">
        <v>159</v>
      </c>
      <c r="J4945" s="12" t="s">
        <v>341</v>
      </c>
      <c r="K4945" s="12" t="s">
        <v>199</v>
      </c>
      <c r="L4945" s="14"/>
      <c r="M4945" s="12" t="s">
        <v>43</v>
      </c>
      <c r="N4945" s="12" t="s">
        <v>44</v>
      </c>
      <c r="O4945" s="12" t="s">
        <v>17273</v>
      </c>
      <c r="P4945" s="12" t="s">
        <v>46</v>
      </c>
      <c r="Q4945" s="12" t="s">
        <v>47</v>
      </c>
      <c r="R4945" s="12" t="s">
        <v>163</v>
      </c>
      <c r="S4945" s="13">
        <v>197643266907</v>
      </c>
      <c r="T4945" s="12" t="s">
        <v>105</v>
      </c>
      <c r="U4945" s="13">
        <v>40.5</v>
      </c>
      <c r="V4945" s="12" t="s">
        <v>50</v>
      </c>
      <c r="W4945" s="12" t="s">
        <v>284</v>
      </c>
      <c r="X4945" s="14"/>
      <c r="Y4945" s="12" t="s">
        <v>91</v>
      </c>
      <c r="Z4945" s="12" t="s">
        <v>14497</v>
      </c>
      <c r="AA4945" s="14"/>
      <c r="AB4945" s="14"/>
      <c r="AC4945" s="15">
        <v>59.1</v>
      </c>
      <c r="AD4945" s="15">
        <f>AC4945*AG4945</f>
        <v>59.1</v>
      </c>
      <c r="AE4945" s="15">
        <v>130</v>
      </c>
      <c r="AF4945" s="15">
        <f>AE4945*AG4945</f>
        <v>130</v>
      </c>
      <c r="AG4945" s="16">
        <v>1</v>
      </c>
    </row>
    <row r="4946" spans="1:33" ht="15" customHeight="1" x14ac:dyDescent="0.2">
      <c r="A4946" s="11" t="str">
        <f t="shared" si="1501"/>
        <v>VN000D1GYB21</v>
      </c>
      <c r="B4946" s="12" t="s">
        <v>17274</v>
      </c>
      <c r="C4946" s="12" t="s">
        <v>9139</v>
      </c>
      <c r="D4946" s="12" t="s">
        <v>1138</v>
      </c>
      <c r="E4946" s="12" t="s">
        <v>17275</v>
      </c>
      <c r="F4946" s="13">
        <v>90</v>
      </c>
      <c r="G4946" s="14"/>
      <c r="H4946" s="12" t="s">
        <v>38</v>
      </c>
      <c r="I4946" s="12" t="s">
        <v>159</v>
      </c>
      <c r="J4946" s="12" t="s">
        <v>341</v>
      </c>
      <c r="K4946" s="12" t="s">
        <v>199</v>
      </c>
      <c r="L4946" s="14"/>
      <c r="M4946" s="12" t="s">
        <v>43</v>
      </c>
      <c r="N4946" s="12" t="s">
        <v>44</v>
      </c>
      <c r="O4946" s="12" t="s">
        <v>17276</v>
      </c>
      <c r="P4946" s="12" t="s">
        <v>46</v>
      </c>
      <c r="Q4946" s="12" t="s">
        <v>47</v>
      </c>
      <c r="R4946" s="12" t="s">
        <v>163</v>
      </c>
      <c r="S4946" s="13">
        <v>197643267041</v>
      </c>
      <c r="T4946" s="12" t="s">
        <v>105</v>
      </c>
      <c r="U4946" s="13">
        <v>42</v>
      </c>
      <c r="V4946" s="12" t="s">
        <v>50</v>
      </c>
      <c r="W4946" s="12" t="s">
        <v>175</v>
      </c>
      <c r="X4946" s="14"/>
      <c r="Y4946" s="12" t="s">
        <v>91</v>
      </c>
      <c r="Z4946" s="12" t="s">
        <v>14497</v>
      </c>
      <c r="AA4946" s="14"/>
      <c r="AB4946" s="14"/>
      <c r="AC4946" s="15">
        <v>59.1</v>
      </c>
      <c r="AD4946" s="15">
        <f>AC4946*AG4946</f>
        <v>59.1</v>
      </c>
      <c r="AE4946" s="15">
        <v>130</v>
      </c>
      <c r="AF4946" s="15">
        <f>AE4946*AG4946</f>
        <v>130</v>
      </c>
      <c r="AG4946" s="16">
        <v>1</v>
      </c>
    </row>
    <row r="4947" spans="1:33" ht="15" customHeight="1" x14ac:dyDescent="0.2">
      <c r="A4947" s="11" t="str">
        <f t="shared" si="1501"/>
        <v>VN000D1GYB21</v>
      </c>
      <c r="B4947" s="12" t="s">
        <v>17277</v>
      </c>
      <c r="C4947" s="12" t="s">
        <v>9139</v>
      </c>
      <c r="D4947" s="12" t="s">
        <v>1138</v>
      </c>
      <c r="E4947" s="12" t="s">
        <v>17278</v>
      </c>
      <c r="F4947" s="13">
        <v>95</v>
      </c>
      <c r="G4947" s="14"/>
      <c r="H4947" s="12" t="s">
        <v>38</v>
      </c>
      <c r="I4947" s="12" t="s">
        <v>159</v>
      </c>
      <c r="J4947" s="12" t="s">
        <v>341</v>
      </c>
      <c r="K4947" s="12" t="s">
        <v>199</v>
      </c>
      <c r="L4947" s="14"/>
      <c r="M4947" s="12" t="s">
        <v>43</v>
      </c>
      <c r="N4947" s="12" t="s">
        <v>44</v>
      </c>
      <c r="O4947" s="12" t="s">
        <v>17279</v>
      </c>
      <c r="P4947" s="12" t="s">
        <v>46</v>
      </c>
      <c r="Q4947" s="12" t="s">
        <v>47</v>
      </c>
      <c r="R4947" s="12" t="s">
        <v>163</v>
      </c>
      <c r="S4947" s="13">
        <v>197643267089</v>
      </c>
      <c r="T4947" s="12" t="s">
        <v>105</v>
      </c>
      <c r="U4947" s="13">
        <v>42.5</v>
      </c>
      <c r="V4947" s="12" t="s">
        <v>50</v>
      </c>
      <c r="W4947" s="12" t="s">
        <v>175</v>
      </c>
      <c r="X4947" s="14"/>
      <c r="Y4947" s="12" t="s">
        <v>91</v>
      </c>
      <c r="Z4947" s="12" t="s">
        <v>14497</v>
      </c>
      <c r="AA4947" s="14"/>
      <c r="AB4947" s="14"/>
      <c r="AC4947" s="15">
        <v>59.1</v>
      </c>
      <c r="AD4947" s="15">
        <f>AC4947*AG4947</f>
        <v>59.1</v>
      </c>
      <c r="AE4947" s="15">
        <v>130</v>
      </c>
      <c r="AF4947" s="15">
        <f>AE4947*AG4947</f>
        <v>130</v>
      </c>
      <c r="AG4947" s="16">
        <v>1</v>
      </c>
    </row>
    <row r="4948" spans="1:33" ht="15" customHeight="1" x14ac:dyDescent="0.2">
      <c r="A4948" s="11" t="str">
        <f t="shared" si="1501"/>
        <v>VN000D1GYB21</v>
      </c>
      <c r="B4948" s="12" t="s">
        <v>17280</v>
      </c>
      <c r="C4948" s="12" t="s">
        <v>9139</v>
      </c>
      <c r="D4948" s="12" t="s">
        <v>1138</v>
      </c>
      <c r="E4948" s="12" t="s">
        <v>17281</v>
      </c>
      <c r="F4948" s="13">
        <v>100</v>
      </c>
      <c r="G4948" s="14"/>
      <c r="H4948" s="12" t="s">
        <v>38</v>
      </c>
      <c r="I4948" s="12" t="s">
        <v>159</v>
      </c>
      <c r="J4948" s="12" t="s">
        <v>341</v>
      </c>
      <c r="K4948" s="12" t="s">
        <v>199</v>
      </c>
      <c r="L4948" s="14"/>
      <c r="M4948" s="12" t="s">
        <v>43</v>
      </c>
      <c r="N4948" s="12" t="s">
        <v>44</v>
      </c>
      <c r="O4948" s="12" t="s">
        <v>17282</v>
      </c>
      <c r="P4948" s="12" t="s">
        <v>46</v>
      </c>
      <c r="Q4948" s="12" t="s">
        <v>47</v>
      </c>
      <c r="R4948" s="12" t="s">
        <v>163</v>
      </c>
      <c r="S4948" s="13">
        <v>197643267225</v>
      </c>
      <c r="T4948" s="12" t="s">
        <v>105</v>
      </c>
      <c r="U4948" s="13">
        <v>43</v>
      </c>
      <c r="V4948" s="12" t="s">
        <v>50</v>
      </c>
      <c r="W4948" s="12" t="s">
        <v>175</v>
      </c>
      <c r="X4948" s="14"/>
      <c r="Y4948" s="12" t="s">
        <v>91</v>
      </c>
      <c r="Z4948" s="12" t="s">
        <v>14497</v>
      </c>
      <c r="AA4948" s="14"/>
      <c r="AB4948" s="14"/>
      <c r="AC4948" s="15">
        <v>59.1</v>
      </c>
      <c r="AD4948" s="15">
        <f>AC4948*AG4948</f>
        <v>59.1</v>
      </c>
      <c r="AE4948" s="15">
        <v>130</v>
      </c>
      <c r="AF4948" s="15">
        <f>AE4948*AG4948</f>
        <v>130</v>
      </c>
      <c r="AG4948" s="16">
        <v>1</v>
      </c>
    </row>
    <row r="4949" spans="1:33" ht="15" customHeight="1" x14ac:dyDescent="0.2">
      <c r="A4949" s="11" t="str">
        <f t="shared" si="1501"/>
        <v>VN000D1GYB21</v>
      </c>
      <c r="B4949" s="12" t="s">
        <v>17283</v>
      </c>
      <c r="C4949" s="12" t="s">
        <v>9139</v>
      </c>
      <c r="D4949" s="12" t="s">
        <v>1138</v>
      </c>
      <c r="E4949" s="12" t="s">
        <v>17284</v>
      </c>
      <c r="F4949" s="13">
        <v>115</v>
      </c>
      <c r="G4949" s="14"/>
      <c r="H4949" s="12" t="s">
        <v>38</v>
      </c>
      <c r="I4949" s="12" t="s">
        <v>159</v>
      </c>
      <c r="J4949" s="12" t="s">
        <v>341</v>
      </c>
      <c r="K4949" s="12" t="s">
        <v>199</v>
      </c>
      <c r="L4949" s="14"/>
      <c r="M4949" s="12" t="s">
        <v>43</v>
      </c>
      <c r="N4949" s="12" t="s">
        <v>44</v>
      </c>
      <c r="O4949" s="12" t="s">
        <v>17285</v>
      </c>
      <c r="P4949" s="12" t="s">
        <v>46</v>
      </c>
      <c r="Q4949" s="12" t="s">
        <v>47</v>
      </c>
      <c r="R4949" s="12" t="s">
        <v>163</v>
      </c>
      <c r="S4949" s="13">
        <v>197643267539</v>
      </c>
      <c r="T4949" s="12" t="s">
        <v>105</v>
      </c>
      <c r="U4949" s="13">
        <v>45</v>
      </c>
      <c r="V4949" s="12" t="s">
        <v>50</v>
      </c>
      <c r="W4949" s="12" t="s">
        <v>175</v>
      </c>
      <c r="X4949" s="14"/>
      <c r="Y4949" s="12" t="s">
        <v>91</v>
      </c>
      <c r="Z4949" s="12" t="s">
        <v>14497</v>
      </c>
      <c r="AA4949" s="14"/>
      <c r="AB4949" s="14"/>
      <c r="AC4949" s="15">
        <v>59.1</v>
      </c>
      <c r="AD4949" s="15">
        <f>AC4949*AG4949</f>
        <v>59.1</v>
      </c>
      <c r="AE4949" s="15">
        <v>130</v>
      </c>
      <c r="AF4949" s="15">
        <f>AE4949*AG4949</f>
        <v>130</v>
      </c>
      <c r="AG4949" s="16">
        <v>1</v>
      </c>
    </row>
    <row r="4950" spans="1:33" ht="15" customHeight="1" x14ac:dyDescent="0.2">
      <c r="A4950" s="11" t="str">
        <f t="shared" si="1501"/>
        <v>VN000D1GYB21</v>
      </c>
      <c r="B4950" s="12" t="s">
        <v>17286</v>
      </c>
      <c r="C4950" s="12" t="s">
        <v>9139</v>
      </c>
      <c r="D4950" s="12" t="s">
        <v>1138</v>
      </c>
      <c r="E4950" s="12" t="s">
        <v>17287</v>
      </c>
      <c r="F4950" s="13">
        <v>130</v>
      </c>
      <c r="G4950" s="14"/>
      <c r="H4950" s="12" t="s">
        <v>38</v>
      </c>
      <c r="I4950" s="12" t="s">
        <v>159</v>
      </c>
      <c r="J4950" s="12" t="s">
        <v>341</v>
      </c>
      <c r="K4950" s="12" t="s">
        <v>199</v>
      </c>
      <c r="L4950" s="14"/>
      <c r="M4950" s="12" t="s">
        <v>43</v>
      </c>
      <c r="N4950" s="12" t="s">
        <v>44</v>
      </c>
      <c r="O4950" s="12" t="s">
        <v>17288</v>
      </c>
      <c r="P4950" s="12" t="s">
        <v>46</v>
      </c>
      <c r="Q4950" s="12" t="s">
        <v>47</v>
      </c>
      <c r="R4950" s="12" t="s">
        <v>163</v>
      </c>
      <c r="S4950" s="13">
        <v>197643267843</v>
      </c>
      <c r="T4950" s="12" t="s">
        <v>105</v>
      </c>
      <c r="U4950" s="13">
        <v>47</v>
      </c>
      <c r="V4950" s="12" t="s">
        <v>50</v>
      </c>
      <c r="W4950" s="12" t="s">
        <v>175</v>
      </c>
      <c r="X4950" s="14"/>
      <c r="Y4950" s="12" t="s">
        <v>91</v>
      </c>
      <c r="Z4950" s="12" t="s">
        <v>14497</v>
      </c>
      <c r="AA4950" s="14"/>
      <c r="AB4950" s="14"/>
      <c r="AC4950" s="15">
        <v>59.1</v>
      </c>
      <c r="AD4950" s="15">
        <f>AC4950*AG4950</f>
        <v>59.1</v>
      </c>
      <c r="AE4950" s="15">
        <v>130</v>
      </c>
      <c r="AF4950" s="15">
        <f>AE4950*AG4950</f>
        <v>130</v>
      </c>
      <c r="AG4950" s="16">
        <v>1</v>
      </c>
    </row>
    <row r="4951" spans="1:33" ht="15" customHeight="1" x14ac:dyDescent="0.2">
      <c r="A4951" s="11" t="str">
        <f t="shared" si="1478"/>
        <v>VN000D3JB7G1</v>
      </c>
      <c r="B4951" s="12" t="s">
        <v>17289</v>
      </c>
      <c r="C4951" s="12" t="s">
        <v>16826</v>
      </c>
      <c r="D4951" s="12" t="s">
        <v>9054</v>
      </c>
      <c r="E4951" s="12" t="s">
        <v>17290</v>
      </c>
      <c r="F4951" s="13">
        <v>75</v>
      </c>
      <c r="G4951" s="14"/>
      <c r="H4951" s="12" t="s">
        <v>38</v>
      </c>
      <c r="I4951" s="12" t="s">
        <v>159</v>
      </c>
      <c r="J4951" s="12" t="s">
        <v>341</v>
      </c>
      <c r="K4951" s="12" t="s">
        <v>199</v>
      </c>
      <c r="L4951" s="14"/>
      <c r="M4951" s="12" t="s">
        <v>43</v>
      </c>
      <c r="N4951" s="12" t="s">
        <v>44</v>
      </c>
      <c r="O4951" s="12" t="s">
        <v>17291</v>
      </c>
      <c r="P4951" s="12" t="s">
        <v>46</v>
      </c>
      <c r="Q4951" s="12" t="s">
        <v>47</v>
      </c>
      <c r="R4951" s="12" t="s">
        <v>163</v>
      </c>
      <c r="S4951" s="13">
        <v>197643271550</v>
      </c>
      <c r="T4951" s="12" t="s">
        <v>49</v>
      </c>
      <c r="U4951" s="13">
        <v>40</v>
      </c>
      <c r="V4951" s="12" t="s">
        <v>50</v>
      </c>
      <c r="W4951" s="12" t="s">
        <v>186</v>
      </c>
      <c r="X4951" s="14"/>
      <c r="Y4951" s="12" t="s">
        <v>53</v>
      </c>
      <c r="Z4951" s="12" t="s">
        <v>165</v>
      </c>
      <c r="AA4951" s="14"/>
      <c r="AB4951" s="14"/>
      <c r="AC4951" s="15">
        <v>45.5</v>
      </c>
      <c r="AD4951" s="15">
        <f>AC4951*AG4951</f>
        <v>45.5</v>
      </c>
      <c r="AE4951" s="15">
        <v>100</v>
      </c>
      <c r="AF4951" s="15">
        <f>AE4951*AG4951</f>
        <v>100</v>
      </c>
      <c r="AG4951" s="16">
        <v>1</v>
      </c>
    </row>
    <row r="4952" spans="1:33" ht="15" customHeight="1" x14ac:dyDescent="0.2">
      <c r="A4952" s="11" t="str">
        <f t="shared" si="1478"/>
        <v>VN000D3JB7G1</v>
      </c>
      <c r="B4952" s="12" t="s">
        <v>17292</v>
      </c>
      <c r="C4952" s="12" t="s">
        <v>16826</v>
      </c>
      <c r="D4952" s="12" t="s">
        <v>9054</v>
      </c>
      <c r="E4952" s="12" t="s">
        <v>17293</v>
      </c>
      <c r="F4952" s="13">
        <v>110</v>
      </c>
      <c r="G4952" s="14"/>
      <c r="H4952" s="12" t="s">
        <v>38</v>
      </c>
      <c r="I4952" s="12" t="s">
        <v>159</v>
      </c>
      <c r="J4952" s="12" t="s">
        <v>341</v>
      </c>
      <c r="K4952" s="12" t="s">
        <v>199</v>
      </c>
      <c r="L4952" s="14"/>
      <c r="M4952" s="12" t="s">
        <v>43</v>
      </c>
      <c r="N4952" s="12" t="s">
        <v>44</v>
      </c>
      <c r="O4952" s="12" t="s">
        <v>17294</v>
      </c>
      <c r="P4952" s="12" t="s">
        <v>46</v>
      </c>
      <c r="Q4952" s="12" t="s">
        <v>47</v>
      </c>
      <c r="R4952" s="12" t="s">
        <v>163</v>
      </c>
      <c r="S4952" s="13">
        <v>197643272694</v>
      </c>
      <c r="T4952" s="12" t="s">
        <v>49</v>
      </c>
      <c r="U4952" s="13">
        <v>44.5</v>
      </c>
      <c r="V4952" s="12" t="s">
        <v>50</v>
      </c>
      <c r="W4952" s="12" t="s">
        <v>186</v>
      </c>
      <c r="X4952" s="14"/>
      <c r="Y4952" s="12" t="s">
        <v>53</v>
      </c>
      <c r="Z4952" s="12" t="s">
        <v>165</v>
      </c>
      <c r="AA4952" s="14"/>
      <c r="AB4952" s="14"/>
      <c r="AC4952" s="15">
        <v>45.5</v>
      </c>
      <c r="AD4952" s="15">
        <f>AC4952*AG4952</f>
        <v>45.5</v>
      </c>
      <c r="AE4952" s="15">
        <v>100</v>
      </c>
      <c r="AF4952" s="15">
        <f>AE4952*AG4952</f>
        <v>100</v>
      </c>
      <c r="AG4952" s="16">
        <v>1</v>
      </c>
    </row>
    <row r="4953" spans="1:33" ht="15" customHeight="1" x14ac:dyDescent="0.2">
      <c r="A4953" s="11" t="str">
        <f t="shared" si="1492"/>
        <v>VN000D3NEZ71</v>
      </c>
      <c r="B4953" s="12" t="s">
        <v>17295</v>
      </c>
      <c r="C4953" s="12" t="s">
        <v>16975</v>
      </c>
      <c r="D4953" s="12" t="s">
        <v>16976</v>
      </c>
      <c r="E4953" s="12" t="s">
        <v>17296</v>
      </c>
      <c r="F4953" s="13">
        <v>45</v>
      </c>
      <c r="G4953" s="14"/>
      <c r="H4953" s="12" t="s">
        <v>38</v>
      </c>
      <c r="I4953" s="12" t="s">
        <v>159</v>
      </c>
      <c r="J4953" s="12" t="s">
        <v>341</v>
      </c>
      <c r="K4953" s="12" t="s">
        <v>199</v>
      </c>
      <c r="L4953" s="14"/>
      <c r="M4953" s="12" t="s">
        <v>43</v>
      </c>
      <c r="N4953" s="12" t="s">
        <v>44</v>
      </c>
      <c r="O4953" s="12" t="s">
        <v>17297</v>
      </c>
      <c r="P4953" s="12" t="s">
        <v>46</v>
      </c>
      <c r="Q4953" s="12" t="s">
        <v>47</v>
      </c>
      <c r="R4953" s="12" t="s">
        <v>163</v>
      </c>
      <c r="S4953" s="13">
        <v>197643185871</v>
      </c>
      <c r="T4953" s="12" t="s">
        <v>49</v>
      </c>
      <c r="U4953" s="13">
        <v>36</v>
      </c>
      <c r="V4953" s="12" t="s">
        <v>50</v>
      </c>
      <c r="W4953" s="12" t="s">
        <v>51</v>
      </c>
      <c r="X4953" s="14"/>
      <c r="Y4953" s="12" t="s">
        <v>91</v>
      </c>
      <c r="Z4953" s="12" t="s">
        <v>344</v>
      </c>
      <c r="AA4953" s="14"/>
      <c r="AB4953" s="14"/>
      <c r="AC4953" s="15">
        <v>54.55</v>
      </c>
      <c r="AD4953" s="15">
        <f>AC4953*AG4953</f>
        <v>54.55</v>
      </c>
      <c r="AE4953" s="15">
        <v>120</v>
      </c>
      <c r="AF4953" s="15">
        <f>AE4953*AG4953</f>
        <v>120</v>
      </c>
      <c r="AG4953" s="16">
        <v>1</v>
      </c>
    </row>
    <row r="4954" spans="1:33" ht="15" customHeight="1" x14ac:dyDescent="0.2">
      <c r="A4954" s="11" t="str">
        <f t="shared" si="1492"/>
        <v>VN000D3NEZ71</v>
      </c>
      <c r="B4954" s="12" t="s">
        <v>17298</v>
      </c>
      <c r="C4954" s="12" t="s">
        <v>16975</v>
      </c>
      <c r="D4954" s="12" t="s">
        <v>16976</v>
      </c>
      <c r="E4954" s="12" t="s">
        <v>17299</v>
      </c>
      <c r="F4954" s="13">
        <v>90</v>
      </c>
      <c r="G4954" s="14"/>
      <c r="H4954" s="12" t="s">
        <v>38</v>
      </c>
      <c r="I4954" s="12" t="s">
        <v>159</v>
      </c>
      <c r="J4954" s="12" t="s">
        <v>341</v>
      </c>
      <c r="K4954" s="12" t="s">
        <v>199</v>
      </c>
      <c r="L4954" s="14"/>
      <c r="M4954" s="12" t="s">
        <v>43</v>
      </c>
      <c r="N4954" s="12" t="s">
        <v>44</v>
      </c>
      <c r="O4954" s="12" t="s">
        <v>17300</v>
      </c>
      <c r="P4954" s="12" t="s">
        <v>46</v>
      </c>
      <c r="Q4954" s="12" t="s">
        <v>47</v>
      </c>
      <c r="R4954" s="12" t="s">
        <v>163</v>
      </c>
      <c r="S4954" s="13">
        <v>197643186625</v>
      </c>
      <c r="T4954" s="12" t="s">
        <v>49</v>
      </c>
      <c r="U4954" s="13">
        <v>42</v>
      </c>
      <c r="V4954" s="12" t="s">
        <v>50</v>
      </c>
      <c r="W4954" s="12" t="s">
        <v>51</v>
      </c>
      <c r="X4954" s="14"/>
      <c r="Y4954" s="12" t="s">
        <v>91</v>
      </c>
      <c r="Z4954" s="12" t="s">
        <v>344</v>
      </c>
      <c r="AA4954" s="14"/>
      <c r="AB4954" s="14"/>
      <c r="AC4954" s="15">
        <v>54.55</v>
      </c>
      <c r="AD4954" s="15">
        <f>AC4954*AG4954</f>
        <v>54.55</v>
      </c>
      <c r="AE4954" s="15">
        <v>120</v>
      </c>
      <c r="AF4954" s="15">
        <f>AE4954*AG4954</f>
        <v>120</v>
      </c>
      <c r="AG4954" s="16">
        <v>1</v>
      </c>
    </row>
    <row r="4955" spans="1:33" ht="15" customHeight="1" x14ac:dyDescent="0.2">
      <c r="A4955" s="11" t="str">
        <f>HYPERLINK("https://assets.vans.eu/images/VN000D3R203-HERO/1","VN000D3R2031")</f>
        <v>VN000D3R2031</v>
      </c>
      <c r="B4955" s="12" t="s">
        <v>17301</v>
      </c>
      <c r="C4955" s="12" t="s">
        <v>17302</v>
      </c>
      <c r="D4955" s="12" t="s">
        <v>3021</v>
      </c>
      <c r="E4955" s="12" t="s">
        <v>17303</v>
      </c>
      <c r="F4955" s="13">
        <v>50</v>
      </c>
      <c r="G4955" s="12" t="s">
        <v>9803</v>
      </c>
      <c r="H4955" s="12" t="s">
        <v>38</v>
      </c>
      <c r="I4955" s="12" t="s">
        <v>159</v>
      </c>
      <c r="J4955" s="12" t="s">
        <v>341</v>
      </c>
      <c r="K4955" s="12" t="s">
        <v>199</v>
      </c>
      <c r="L4955" s="14"/>
      <c r="M4955" s="12" t="s">
        <v>43</v>
      </c>
      <c r="N4955" s="12" t="s">
        <v>44</v>
      </c>
      <c r="O4955" s="12" t="s">
        <v>17304</v>
      </c>
      <c r="P4955" s="12" t="s">
        <v>46</v>
      </c>
      <c r="Q4955" s="12" t="s">
        <v>47</v>
      </c>
      <c r="R4955" s="12" t="s">
        <v>343</v>
      </c>
      <c r="S4955" s="13">
        <v>197643186090</v>
      </c>
      <c r="T4955" s="12" t="s">
        <v>49</v>
      </c>
      <c r="U4955" s="13">
        <v>36.5</v>
      </c>
      <c r="V4955" s="12" t="s">
        <v>50</v>
      </c>
      <c r="W4955" s="12" t="s">
        <v>118</v>
      </c>
      <c r="X4955" s="14"/>
      <c r="Y4955" s="12" t="s">
        <v>91</v>
      </c>
      <c r="Z4955" s="12" t="s">
        <v>344</v>
      </c>
      <c r="AA4955" s="14"/>
      <c r="AB4955" s="14"/>
      <c r="AC4955" s="15">
        <v>45.5</v>
      </c>
      <c r="AD4955" s="15">
        <f>AC4955*AG4955</f>
        <v>45.5</v>
      </c>
      <c r="AE4955" s="15">
        <v>100</v>
      </c>
      <c r="AF4955" s="15">
        <f>AE4955*AG4955</f>
        <v>100</v>
      </c>
      <c r="AG4955" s="16">
        <v>1</v>
      </c>
    </row>
    <row r="4956" spans="1:33" ht="15" customHeight="1" x14ac:dyDescent="0.2">
      <c r="A4956" s="11" t="str">
        <f t="shared" ref="A4956:A4957" si="1512">HYPERLINK("https://assets.vans.eu/images/VN000D3RSQ5-HERO/1","VN000D3RSQ51")</f>
        <v>VN000D3RSQ51</v>
      </c>
      <c r="B4956" s="12" t="s">
        <v>17305</v>
      </c>
      <c r="C4956" s="12" t="s">
        <v>17302</v>
      </c>
      <c r="D4956" s="12" t="s">
        <v>17306</v>
      </c>
      <c r="E4956" s="12" t="s">
        <v>17307</v>
      </c>
      <c r="F4956" s="13">
        <v>70</v>
      </c>
      <c r="G4956" s="14"/>
      <c r="H4956" s="12" t="s">
        <v>38</v>
      </c>
      <c r="I4956" s="12" t="s">
        <v>159</v>
      </c>
      <c r="J4956" s="12" t="s">
        <v>341</v>
      </c>
      <c r="K4956" s="12" t="s">
        <v>199</v>
      </c>
      <c r="L4956" s="14"/>
      <c r="M4956" s="12" t="s">
        <v>43</v>
      </c>
      <c r="N4956" s="12" t="s">
        <v>44</v>
      </c>
      <c r="O4956" s="12" t="s">
        <v>17308</v>
      </c>
      <c r="P4956" s="12" t="s">
        <v>46</v>
      </c>
      <c r="Q4956" s="12" t="s">
        <v>47</v>
      </c>
      <c r="R4956" s="12" t="s">
        <v>343</v>
      </c>
      <c r="S4956" s="13">
        <v>197643186502</v>
      </c>
      <c r="T4956" s="12" t="s">
        <v>49</v>
      </c>
      <c r="U4956" s="13">
        <v>39</v>
      </c>
      <c r="V4956" s="12" t="s">
        <v>50</v>
      </c>
      <c r="W4956" s="12" t="s">
        <v>262</v>
      </c>
      <c r="X4956" s="14"/>
      <c r="Y4956" s="12" t="s">
        <v>91</v>
      </c>
      <c r="Z4956" s="12" t="s">
        <v>344</v>
      </c>
      <c r="AA4956" s="14"/>
      <c r="AB4956" s="14"/>
      <c r="AC4956" s="15">
        <v>45.5</v>
      </c>
      <c r="AD4956" s="15">
        <f>AC4956*AG4956</f>
        <v>45.5</v>
      </c>
      <c r="AE4956" s="15">
        <v>100</v>
      </c>
      <c r="AF4956" s="15">
        <f>AE4956*AG4956</f>
        <v>100</v>
      </c>
      <c r="AG4956" s="16">
        <v>1</v>
      </c>
    </row>
    <row r="4957" spans="1:33" ht="15" customHeight="1" x14ac:dyDescent="0.2">
      <c r="A4957" s="11" t="str">
        <f t="shared" si="1512"/>
        <v>VN000D3RSQ51</v>
      </c>
      <c r="B4957" s="12" t="s">
        <v>17309</v>
      </c>
      <c r="C4957" s="12" t="s">
        <v>17302</v>
      </c>
      <c r="D4957" s="12" t="s">
        <v>17306</v>
      </c>
      <c r="E4957" s="12" t="s">
        <v>17310</v>
      </c>
      <c r="F4957" s="13">
        <v>80</v>
      </c>
      <c r="G4957" s="14"/>
      <c r="H4957" s="12" t="s">
        <v>38</v>
      </c>
      <c r="I4957" s="12" t="s">
        <v>159</v>
      </c>
      <c r="J4957" s="12" t="s">
        <v>341</v>
      </c>
      <c r="K4957" s="12" t="s">
        <v>199</v>
      </c>
      <c r="L4957" s="14"/>
      <c r="M4957" s="12" t="s">
        <v>43</v>
      </c>
      <c r="N4957" s="12" t="s">
        <v>44</v>
      </c>
      <c r="O4957" s="12" t="s">
        <v>17311</v>
      </c>
      <c r="P4957" s="12" t="s">
        <v>46</v>
      </c>
      <c r="Q4957" s="12" t="s">
        <v>47</v>
      </c>
      <c r="R4957" s="12" t="s">
        <v>343</v>
      </c>
      <c r="S4957" s="13">
        <v>197643186595</v>
      </c>
      <c r="T4957" s="12" t="s">
        <v>49</v>
      </c>
      <c r="U4957" s="13">
        <v>40.5</v>
      </c>
      <c r="V4957" s="12" t="s">
        <v>50</v>
      </c>
      <c r="W4957" s="12" t="s">
        <v>262</v>
      </c>
      <c r="X4957" s="14"/>
      <c r="Y4957" s="12" t="s">
        <v>91</v>
      </c>
      <c r="Z4957" s="12" t="s">
        <v>344</v>
      </c>
      <c r="AA4957" s="14"/>
      <c r="AB4957" s="14"/>
      <c r="AC4957" s="15">
        <v>45.5</v>
      </c>
      <c r="AD4957" s="15">
        <f>AC4957*AG4957</f>
        <v>45.5</v>
      </c>
      <c r="AE4957" s="15">
        <v>100</v>
      </c>
      <c r="AF4957" s="15">
        <f>AE4957*AG4957</f>
        <v>100</v>
      </c>
      <c r="AG4957" s="16">
        <v>1</v>
      </c>
    </row>
    <row r="4958" spans="1:33" ht="15" customHeight="1" x14ac:dyDescent="0.2">
      <c r="A4958" s="11" t="str">
        <f t="shared" ref="A4958:A4961" si="1513">HYPERLINK("https://assets.vans.eu/images/VN000D3UZBF-HERO/1","VN000D3UZBF1")</f>
        <v>VN000D3UZBF1</v>
      </c>
      <c r="B4958" s="12" t="s">
        <v>17312</v>
      </c>
      <c r="C4958" s="12" t="s">
        <v>17313</v>
      </c>
      <c r="D4958" s="12" t="s">
        <v>680</v>
      </c>
      <c r="E4958" s="12" t="s">
        <v>17314</v>
      </c>
      <c r="F4958" s="13">
        <v>85</v>
      </c>
      <c r="G4958" s="14"/>
      <c r="H4958" s="12" t="s">
        <v>38</v>
      </c>
      <c r="I4958" s="12" t="s">
        <v>159</v>
      </c>
      <c r="J4958" s="12" t="s">
        <v>341</v>
      </c>
      <c r="K4958" s="12" t="s">
        <v>199</v>
      </c>
      <c r="L4958" s="14"/>
      <c r="M4958" s="12" t="s">
        <v>43</v>
      </c>
      <c r="N4958" s="12" t="s">
        <v>84</v>
      </c>
      <c r="O4958" s="12" t="s">
        <v>17315</v>
      </c>
      <c r="P4958" s="12" t="s">
        <v>46</v>
      </c>
      <c r="Q4958" s="12" t="s">
        <v>47</v>
      </c>
      <c r="R4958" s="12" t="s">
        <v>163</v>
      </c>
      <c r="S4958" s="13">
        <v>197804529247</v>
      </c>
      <c r="T4958" s="12" t="s">
        <v>49</v>
      </c>
      <c r="U4958" s="13">
        <v>41</v>
      </c>
      <c r="V4958" s="12" t="s">
        <v>50</v>
      </c>
      <c r="W4958" s="12" t="s">
        <v>118</v>
      </c>
      <c r="X4958" s="14"/>
      <c r="Y4958" s="14"/>
      <c r="Z4958" s="14"/>
      <c r="AA4958" s="14"/>
      <c r="AB4958" s="14"/>
      <c r="AC4958" s="15">
        <v>43.2</v>
      </c>
      <c r="AD4958" s="15">
        <f>AC4958*AG4958</f>
        <v>43.2</v>
      </c>
      <c r="AE4958" s="15">
        <v>95</v>
      </c>
      <c r="AF4958" s="15">
        <f>AE4958*AG4958</f>
        <v>95</v>
      </c>
      <c r="AG4958" s="16">
        <v>1</v>
      </c>
    </row>
    <row r="4959" spans="1:33" ht="15" customHeight="1" x14ac:dyDescent="0.2">
      <c r="A4959" s="11" t="str">
        <f t="shared" si="1513"/>
        <v>VN000D3UZBF1</v>
      </c>
      <c r="B4959" s="12" t="s">
        <v>17316</v>
      </c>
      <c r="C4959" s="12" t="s">
        <v>17313</v>
      </c>
      <c r="D4959" s="12" t="s">
        <v>680</v>
      </c>
      <c r="E4959" s="12" t="s">
        <v>17317</v>
      </c>
      <c r="F4959" s="13">
        <v>90</v>
      </c>
      <c r="G4959" s="14"/>
      <c r="H4959" s="12" t="s">
        <v>38</v>
      </c>
      <c r="I4959" s="12" t="s">
        <v>159</v>
      </c>
      <c r="J4959" s="12" t="s">
        <v>341</v>
      </c>
      <c r="K4959" s="12" t="s">
        <v>199</v>
      </c>
      <c r="L4959" s="14"/>
      <c r="M4959" s="12" t="s">
        <v>43</v>
      </c>
      <c r="N4959" s="12" t="s">
        <v>84</v>
      </c>
      <c r="O4959" s="12" t="s">
        <v>17318</v>
      </c>
      <c r="P4959" s="12" t="s">
        <v>46</v>
      </c>
      <c r="Q4959" s="12" t="s">
        <v>47</v>
      </c>
      <c r="R4959" s="12" t="s">
        <v>163</v>
      </c>
      <c r="S4959" s="13">
        <v>197804529292</v>
      </c>
      <c r="T4959" s="12" t="s">
        <v>49</v>
      </c>
      <c r="U4959" s="13">
        <v>42</v>
      </c>
      <c r="V4959" s="12" t="s">
        <v>50</v>
      </c>
      <c r="W4959" s="12" t="s">
        <v>118</v>
      </c>
      <c r="X4959" s="14"/>
      <c r="Y4959" s="14"/>
      <c r="Z4959" s="14"/>
      <c r="AA4959" s="14"/>
      <c r="AB4959" s="14"/>
      <c r="AC4959" s="15">
        <v>43.2</v>
      </c>
      <c r="AD4959" s="15">
        <f>AC4959*AG4959</f>
        <v>43.2</v>
      </c>
      <c r="AE4959" s="15">
        <v>95</v>
      </c>
      <c r="AF4959" s="15">
        <f>AE4959*AG4959</f>
        <v>95</v>
      </c>
      <c r="AG4959" s="16">
        <v>1</v>
      </c>
    </row>
    <row r="4960" spans="1:33" ht="15" customHeight="1" x14ac:dyDescent="0.2">
      <c r="A4960" s="11" t="str">
        <f t="shared" si="1513"/>
        <v>VN000D3UZBF1</v>
      </c>
      <c r="B4960" s="12" t="s">
        <v>17319</v>
      </c>
      <c r="C4960" s="12" t="s">
        <v>17313</v>
      </c>
      <c r="D4960" s="12" t="s">
        <v>680</v>
      </c>
      <c r="E4960" s="12" t="s">
        <v>17320</v>
      </c>
      <c r="F4960" s="13">
        <v>105</v>
      </c>
      <c r="G4960" s="14"/>
      <c r="H4960" s="12" t="s">
        <v>38</v>
      </c>
      <c r="I4960" s="12" t="s">
        <v>159</v>
      </c>
      <c r="J4960" s="12" t="s">
        <v>341</v>
      </c>
      <c r="K4960" s="12" t="s">
        <v>199</v>
      </c>
      <c r="L4960" s="14"/>
      <c r="M4960" s="12" t="s">
        <v>43</v>
      </c>
      <c r="N4960" s="12" t="s">
        <v>84</v>
      </c>
      <c r="O4960" s="12" t="s">
        <v>17321</v>
      </c>
      <c r="P4960" s="12" t="s">
        <v>46</v>
      </c>
      <c r="Q4960" s="12" t="s">
        <v>47</v>
      </c>
      <c r="R4960" s="12" t="s">
        <v>163</v>
      </c>
      <c r="S4960" s="13">
        <v>197804529759</v>
      </c>
      <c r="T4960" s="12" t="s">
        <v>49</v>
      </c>
      <c r="U4960" s="13">
        <v>44</v>
      </c>
      <c r="V4960" s="12" t="s">
        <v>50</v>
      </c>
      <c r="W4960" s="12" t="s">
        <v>118</v>
      </c>
      <c r="X4960" s="14"/>
      <c r="Y4960" s="14"/>
      <c r="Z4960" s="14"/>
      <c r="AA4960" s="14"/>
      <c r="AB4960" s="14"/>
      <c r="AC4960" s="15">
        <v>43.2</v>
      </c>
      <c r="AD4960" s="15">
        <f>AC4960*AG4960</f>
        <v>43.2</v>
      </c>
      <c r="AE4960" s="15">
        <v>95</v>
      </c>
      <c r="AF4960" s="15">
        <f>AE4960*AG4960</f>
        <v>95</v>
      </c>
      <c r="AG4960" s="16">
        <v>1</v>
      </c>
    </row>
    <row r="4961" spans="1:33" ht="15" customHeight="1" x14ac:dyDescent="0.2">
      <c r="A4961" s="11" t="str">
        <f t="shared" si="1513"/>
        <v>VN000D3UZBF1</v>
      </c>
      <c r="B4961" s="12" t="s">
        <v>17322</v>
      </c>
      <c r="C4961" s="12" t="s">
        <v>17313</v>
      </c>
      <c r="D4961" s="12" t="s">
        <v>680</v>
      </c>
      <c r="E4961" s="12" t="s">
        <v>17323</v>
      </c>
      <c r="F4961" s="13">
        <v>115</v>
      </c>
      <c r="G4961" s="14"/>
      <c r="H4961" s="12" t="s">
        <v>38</v>
      </c>
      <c r="I4961" s="12" t="s">
        <v>159</v>
      </c>
      <c r="J4961" s="12" t="s">
        <v>341</v>
      </c>
      <c r="K4961" s="12" t="s">
        <v>199</v>
      </c>
      <c r="L4961" s="14"/>
      <c r="M4961" s="12" t="s">
        <v>43</v>
      </c>
      <c r="N4961" s="12" t="s">
        <v>84</v>
      </c>
      <c r="O4961" s="12" t="s">
        <v>17324</v>
      </c>
      <c r="P4961" s="12" t="s">
        <v>46</v>
      </c>
      <c r="Q4961" s="12" t="s">
        <v>47</v>
      </c>
      <c r="R4961" s="12" t="s">
        <v>163</v>
      </c>
      <c r="S4961" s="13">
        <v>197804529971</v>
      </c>
      <c r="T4961" s="12" t="s">
        <v>49</v>
      </c>
      <c r="U4961" s="13">
        <v>45</v>
      </c>
      <c r="V4961" s="12" t="s">
        <v>50</v>
      </c>
      <c r="W4961" s="12" t="s">
        <v>118</v>
      </c>
      <c r="X4961" s="14"/>
      <c r="Y4961" s="14"/>
      <c r="Z4961" s="14"/>
      <c r="AA4961" s="14"/>
      <c r="AB4961" s="14"/>
      <c r="AC4961" s="15">
        <v>43.2</v>
      </c>
      <c r="AD4961" s="15">
        <f>AC4961*AG4961</f>
        <v>43.2</v>
      </c>
      <c r="AE4961" s="15">
        <v>95</v>
      </c>
      <c r="AF4961" s="15">
        <f>AE4961*AG4961</f>
        <v>95</v>
      </c>
      <c r="AG4961" s="16">
        <v>1</v>
      </c>
    </row>
    <row r="4962" spans="1:33" ht="15" customHeight="1" x14ac:dyDescent="0.2">
      <c r="A4962" s="11" t="str">
        <f>HYPERLINK("https://assets.vans.eu/images/VN000D5DBRO-HERO/1","VN000D5DBRO1")</f>
        <v>VN000D5DBRO1</v>
      </c>
      <c r="B4962" s="12" t="s">
        <v>17325</v>
      </c>
      <c r="C4962" s="12" t="s">
        <v>2592</v>
      </c>
      <c r="D4962" s="12" t="s">
        <v>1471</v>
      </c>
      <c r="E4962" s="12" t="s">
        <v>17326</v>
      </c>
      <c r="F4962" s="13">
        <v>80</v>
      </c>
      <c r="G4962" s="14"/>
      <c r="H4962" s="12" t="s">
        <v>38</v>
      </c>
      <c r="I4962" s="12" t="s">
        <v>159</v>
      </c>
      <c r="J4962" s="12" t="s">
        <v>341</v>
      </c>
      <c r="K4962" s="12" t="s">
        <v>199</v>
      </c>
      <c r="L4962" s="14"/>
      <c r="M4962" s="12" t="s">
        <v>43</v>
      </c>
      <c r="N4962" s="12" t="s">
        <v>44</v>
      </c>
      <c r="O4962" s="12" t="s">
        <v>17327</v>
      </c>
      <c r="P4962" s="12" t="s">
        <v>46</v>
      </c>
      <c r="Q4962" s="12" t="s">
        <v>47</v>
      </c>
      <c r="R4962" s="12" t="s">
        <v>163</v>
      </c>
      <c r="S4962" s="13">
        <v>197643278122</v>
      </c>
      <c r="T4962" s="12" t="s">
        <v>49</v>
      </c>
      <c r="U4962" s="13">
        <v>40.5</v>
      </c>
      <c r="V4962" s="12" t="s">
        <v>50</v>
      </c>
      <c r="W4962" s="12" t="s">
        <v>186</v>
      </c>
      <c r="X4962" s="14"/>
      <c r="Y4962" s="12" t="s">
        <v>91</v>
      </c>
      <c r="Z4962" s="12" t="s">
        <v>344</v>
      </c>
      <c r="AA4962" s="14"/>
      <c r="AB4962" s="14"/>
      <c r="AC4962" s="15">
        <v>45.5</v>
      </c>
      <c r="AD4962" s="15">
        <f>AC4962*AG4962</f>
        <v>45.5</v>
      </c>
      <c r="AE4962" s="15">
        <v>100</v>
      </c>
      <c r="AF4962" s="15">
        <f>AE4962*AG4962</f>
        <v>100</v>
      </c>
      <c r="AG4962" s="16">
        <v>1</v>
      </c>
    </row>
    <row r="4963" spans="1:33" ht="15" customHeight="1" x14ac:dyDescent="0.2">
      <c r="A4963" s="11" t="str">
        <f>HYPERLINK("https://assets.vans.eu/images/VN000D5DWHT-HERO/1","VN000D5DWHT1")</f>
        <v>VN000D5DWHT1</v>
      </c>
      <c r="B4963" s="12" t="s">
        <v>17328</v>
      </c>
      <c r="C4963" s="12" t="s">
        <v>2592</v>
      </c>
      <c r="D4963" s="12" t="s">
        <v>168</v>
      </c>
      <c r="E4963" s="12" t="s">
        <v>17329</v>
      </c>
      <c r="F4963" s="13">
        <v>70</v>
      </c>
      <c r="G4963" s="14"/>
      <c r="H4963" s="12" t="s">
        <v>38</v>
      </c>
      <c r="I4963" s="12" t="s">
        <v>159</v>
      </c>
      <c r="J4963" s="12" t="s">
        <v>341</v>
      </c>
      <c r="K4963" s="12" t="s">
        <v>199</v>
      </c>
      <c r="L4963" s="14"/>
      <c r="M4963" s="12" t="s">
        <v>43</v>
      </c>
      <c r="N4963" s="12" t="s">
        <v>44</v>
      </c>
      <c r="O4963" s="12" t="s">
        <v>17330</v>
      </c>
      <c r="P4963" s="12" t="s">
        <v>46</v>
      </c>
      <c r="Q4963" s="12" t="s">
        <v>47</v>
      </c>
      <c r="R4963" s="12" t="s">
        <v>163</v>
      </c>
      <c r="S4963" s="13">
        <v>197643277699</v>
      </c>
      <c r="T4963" s="12" t="s">
        <v>49</v>
      </c>
      <c r="U4963" s="13">
        <v>39</v>
      </c>
      <c r="V4963" s="12" t="s">
        <v>50</v>
      </c>
      <c r="W4963" s="12" t="s">
        <v>175</v>
      </c>
      <c r="X4963" s="14"/>
      <c r="Y4963" s="12" t="s">
        <v>91</v>
      </c>
      <c r="Z4963" s="12" t="s">
        <v>344</v>
      </c>
      <c r="AA4963" s="14"/>
      <c r="AB4963" s="14"/>
      <c r="AC4963" s="15">
        <v>45.5</v>
      </c>
      <c r="AD4963" s="15">
        <f>AC4963*AG4963</f>
        <v>45.5</v>
      </c>
      <c r="AE4963" s="15">
        <v>100</v>
      </c>
      <c r="AF4963" s="15">
        <f>AE4963*AG4963</f>
        <v>100</v>
      </c>
      <c r="AG4963" s="16">
        <v>1</v>
      </c>
    </row>
    <row r="4964" spans="1:33" ht="15" customHeight="1" x14ac:dyDescent="0.2">
      <c r="A4964" s="11" t="str">
        <f>HYPERLINK("https://assets.vans.eu/images/VN000D5RHT3-HERO/1","VN000D5RHT31")</f>
        <v>VN000D5RHT31</v>
      </c>
      <c r="B4964" s="12" t="s">
        <v>17331</v>
      </c>
      <c r="C4964" s="12" t="s">
        <v>5867</v>
      </c>
      <c r="D4964" s="12" t="s">
        <v>17332</v>
      </c>
      <c r="E4964" s="12" t="s">
        <v>17333</v>
      </c>
      <c r="F4964" s="13">
        <v>70</v>
      </c>
      <c r="G4964" s="14"/>
      <c r="H4964" s="12" t="s">
        <v>38</v>
      </c>
      <c r="I4964" s="12" t="s">
        <v>159</v>
      </c>
      <c r="J4964" s="12" t="s">
        <v>341</v>
      </c>
      <c r="K4964" s="12" t="s">
        <v>199</v>
      </c>
      <c r="L4964" s="14"/>
      <c r="M4964" s="12" t="s">
        <v>43</v>
      </c>
      <c r="N4964" s="12" t="s">
        <v>44</v>
      </c>
      <c r="O4964" s="12" t="s">
        <v>17334</v>
      </c>
      <c r="P4964" s="12" t="s">
        <v>46</v>
      </c>
      <c r="Q4964" s="12" t="s">
        <v>47</v>
      </c>
      <c r="R4964" s="12" t="s">
        <v>163</v>
      </c>
      <c r="S4964" s="13">
        <v>197643280439</v>
      </c>
      <c r="T4964" s="12" t="s">
        <v>49</v>
      </c>
      <c r="U4964" s="13">
        <v>39</v>
      </c>
      <c r="V4964" s="12" t="s">
        <v>50</v>
      </c>
      <c r="W4964" s="12" t="s">
        <v>51</v>
      </c>
      <c r="X4964" s="14"/>
      <c r="Y4964" s="12" t="s">
        <v>53</v>
      </c>
      <c r="Z4964" s="12" t="s">
        <v>344</v>
      </c>
      <c r="AA4964" s="14"/>
      <c r="AB4964" s="14"/>
      <c r="AC4964" s="15">
        <v>38.65</v>
      </c>
      <c r="AD4964" s="15">
        <f>AC4964*AG4964</f>
        <v>38.65</v>
      </c>
      <c r="AE4964" s="15">
        <v>85</v>
      </c>
      <c r="AF4964" s="15">
        <f>AE4964*AG4964</f>
        <v>85</v>
      </c>
      <c r="AG4964" s="16">
        <v>1</v>
      </c>
    </row>
    <row r="4965" spans="1:33" ht="15" customHeight="1" x14ac:dyDescent="0.2">
      <c r="A4965" s="11" t="str">
        <f t="shared" si="1479"/>
        <v>VN000D5RZHJ1</v>
      </c>
      <c r="B4965" s="12" t="s">
        <v>17335</v>
      </c>
      <c r="C4965" s="12" t="s">
        <v>5867</v>
      </c>
      <c r="D4965" s="12" t="s">
        <v>16833</v>
      </c>
      <c r="E4965" s="12" t="s">
        <v>17336</v>
      </c>
      <c r="F4965" s="13">
        <v>35</v>
      </c>
      <c r="G4965" s="14"/>
      <c r="H4965" s="12" t="s">
        <v>38</v>
      </c>
      <c r="I4965" s="12" t="s">
        <v>159</v>
      </c>
      <c r="J4965" s="12" t="s">
        <v>341</v>
      </c>
      <c r="K4965" s="12" t="s">
        <v>199</v>
      </c>
      <c r="L4965" s="14"/>
      <c r="M4965" s="12" t="s">
        <v>43</v>
      </c>
      <c r="N4965" s="12" t="s">
        <v>84</v>
      </c>
      <c r="O4965" s="12" t="s">
        <v>17337</v>
      </c>
      <c r="P4965" s="12" t="s">
        <v>46</v>
      </c>
      <c r="Q4965" s="12" t="s">
        <v>47</v>
      </c>
      <c r="R4965" s="12" t="s">
        <v>163</v>
      </c>
      <c r="S4965" s="13">
        <v>197643280569</v>
      </c>
      <c r="T4965" s="12" t="s">
        <v>49</v>
      </c>
      <c r="U4965" s="13">
        <v>34.5</v>
      </c>
      <c r="V4965" s="12" t="s">
        <v>50</v>
      </c>
      <c r="W4965" s="12" t="s">
        <v>175</v>
      </c>
      <c r="X4965" s="14"/>
      <c r="Y4965" s="12" t="s">
        <v>53</v>
      </c>
      <c r="Z4965" s="12" t="s">
        <v>344</v>
      </c>
      <c r="AA4965" s="14"/>
      <c r="AB4965" s="14"/>
      <c r="AC4965" s="15">
        <v>38.65</v>
      </c>
      <c r="AD4965" s="15">
        <f>AC4965*AG4965</f>
        <v>38.65</v>
      </c>
      <c r="AE4965" s="15">
        <v>85</v>
      </c>
      <c r="AF4965" s="15">
        <f>AE4965*AG4965</f>
        <v>85</v>
      </c>
      <c r="AG4965" s="16">
        <v>1</v>
      </c>
    </row>
    <row r="4966" spans="1:33" ht="15" customHeight="1" x14ac:dyDescent="0.2">
      <c r="A4966" s="11" t="str">
        <f t="shared" si="1479"/>
        <v>VN000D5RZHJ1</v>
      </c>
      <c r="B4966" s="12" t="s">
        <v>17338</v>
      </c>
      <c r="C4966" s="12" t="s">
        <v>5867</v>
      </c>
      <c r="D4966" s="12" t="s">
        <v>16833</v>
      </c>
      <c r="E4966" s="12" t="s">
        <v>17339</v>
      </c>
      <c r="F4966" s="13">
        <v>90</v>
      </c>
      <c r="G4966" s="14"/>
      <c r="H4966" s="12" t="s">
        <v>38</v>
      </c>
      <c r="I4966" s="12" t="s">
        <v>159</v>
      </c>
      <c r="J4966" s="12" t="s">
        <v>341</v>
      </c>
      <c r="K4966" s="12" t="s">
        <v>199</v>
      </c>
      <c r="L4966" s="14"/>
      <c r="M4966" s="12" t="s">
        <v>43</v>
      </c>
      <c r="N4966" s="12" t="s">
        <v>84</v>
      </c>
      <c r="O4966" s="12" t="s">
        <v>17340</v>
      </c>
      <c r="P4966" s="12" t="s">
        <v>46</v>
      </c>
      <c r="Q4966" s="12" t="s">
        <v>47</v>
      </c>
      <c r="R4966" s="12" t="s">
        <v>163</v>
      </c>
      <c r="S4966" s="13">
        <v>197643281436</v>
      </c>
      <c r="T4966" s="12" t="s">
        <v>49</v>
      </c>
      <c r="U4966" s="13">
        <v>42</v>
      </c>
      <c r="V4966" s="12" t="s">
        <v>50</v>
      </c>
      <c r="W4966" s="12" t="s">
        <v>175</v>
      </c>
      <c r="X4966" s="14"/>
      <c r="Y4966" s="12" t="s">
        <v>53</v>
      </c>
      <c r="Z4966" s="12" t="s">
        <v>344</v>
      </c>
      <c r="AA4966" s="14"/>
      <c r="AB4966" s="14"/>
      <c r="AC4966" s="15">
        <v>38.65</v>
      </c>
      <c r="AD4966" s="15">
        <f>AC4966*AG4966</f>
        <v>38.65</v>
      </c>
      <c r="AE4966" s="15">
        <v>85</v>
      </c>
      <c r="AF4966" s="15">
        <f>AE4966*AG4966</f>
        <v>85</v>
      </c>
      <c r="AG4966" s="16">
        <v>1</v>
      </c>
    </row>
    <row r="4967" spans="1:33" ht="15" customHeight="1" x14ac:dyDescent="0.2">
      <c r="A4967" s="11" t="str">
        <f t="shared" si="1479"/>
        <v>VN000D5RZHJ1</v>
      </c>
      <c r="B4967" s="12" t="s">
        <v>17341</v>
      </c>
      <c r="C4967" s="12" t="s">
        <v>5867</v>
      </c>
      <c r="D4967" s="12" t="s">
        <v>16833</v>
      </c>
      <c r="E4967" s="12" t="s">
        <v>17342</v>
      </c>
      <c r="F4967" s="13">
        <v>105</v>
      </c>
      <c r="G4967" s="14"/>
      <c r="H4967" s="12" t="s">
        <v>38</v>
      </c>
      <c r="I4967" s="12" t="s">
        <v>159</v>
      </c>
      <c r="J4967" s="12" t="s">
        <v>341</v>
      </c>
      <c r="K4967" s="12" t="s">
        <v>199</v>
      </c>
      <c r="L4967" s="14"/>
      <c r="M4967" s="12" t="s">
        <v>43</v>
      </c>
      <c r="N4967" s="12" t="s">
        <v>84</v>
      </c>
      <c r="O4967" s="12" t="s">
        <v>17343</v>
      </c>
      <c r="P4967" s="12" t="s">
        <v>46</v>
      </c>
      <c r="Q4967" s="12" t="s">
        <v>47</v>
      </c>
      <c r="R4967" s="12" t="s">
        <v>163</v>
      </c>
      <c r="S4967" s="13">
        <v>197643281870</v>
      </c>
      <c r="T4967" s="12" t="s">
        <v>49</v>
      </c>
      <c r="U4967" s="13">
        <v>44</v>
      </c>
      <c r="V4967" s="12" t="s">
        <v>50</v>
      </c>
      <c r="W4967" s="12" t="s">
        <v>175</v>
      </c>
      <c r="X4967" s="14"/>
      <c r="Y4967" s="12" t="s">
        <v>53</v>
      </c>
      <c r="Z4967" s="12" t="s">
        <v>344</v>
      </c>
      <c r="AA4967" s="14"/>
      <c r="AB4967" s="14"/>
      <c r="AC4967" s="15">
        <v>38.65</v>
      </c>
      <c r="AD4967" s="15">
        <f>AC4967*AG4967</f>
        <v>38.65</v>
      </c>
      <c r="AE4967" s="15">
        <v>85</v>
      </c>
      <c r="AF4967" s="15">
        <f>AE4967*AG4967</f>
        <v>85</v>
      </c>
      <c r="AG4967" s="16">
        <v>1</v>
      </c>
    </row>
    <row r="4968" spans="1:33" ht="15" customHeight="1" x14ac:dyDescent="0.2">
      <c r="A4968" s="11" t="str">
        <f t="shared" si="1479"/>
        <v>VN000D5RZHJ1</v>
      </c>
      <c r="B4968" s="12" t="s">
        <v>17344</v>
      </c>
      <c r="C4968" s="12" t="s">
        <v>5867</v>
      </c>
      <c r="D4968" s="12" t="s">
        <v>16833</v>
      </c>
      <c r="E4968" s="12" t="s">
        <v>17345</v>
      </c>
      <c r="F4968" s="13">
        <v>110</v>
      </c>
      <c r="G4968" s="14"/>
      <c r="H4968" s="12" t="s">
        <v>38</v>
      </c>
      <c r="I4968" s="12" t="s">
        <v>159</v>
      </c>
      <c r="J4968" s="12" t="s">
        <v>341</v>
      </c>
      <c r="K4968" s="12" t="s">
        <v>199</v>
      </c>
      <c r="L4968" s="14"/>
      <c r="M4968" s="12" t="s">
        <v>43</v>
      </c>
      <c r="N4968" s="12" t="s">
        <v>84</v>
      </c>
      <c r="O4968" s="12" t="s">
        <v>17346</v>
      </c>
      <c r="P4968" s="12" t="s">
        <v>46</v>
      </c>
      <c r="Q4968" s="12" t="s">
        <v>47</v>
      </c>
      <c r="R4968" s="12" t="s">
        <v>163</v>
      </c>
      <c r="S4968" s="13">
        <v>197643282020</v>
      </c>
      <c r="T4968" s="12" t="s">
        <v>49</v>
      </c>
      <c r="U4968" s="13">
        <v>44.5</v>
      </c>
      <c r="V4968" s="12" t="s">
        <v>50</v>
      </c>
      <c r="W4968" s="12" t="s">
        <v>175</v>
      </c>
      <c r="X4968" s="14"/>
      <c r="Y4968" s="12" t="s">
        <v>53</v>
      </c>
      <c r="Z4968" s="12" t="s">
        <v>344</v>
      </c>
      <c r="AA4968" s="14"/>
      <c r="AB4968" s="14"/>
      <c r="AC4968" s="15">
        <v>38.65</v>
      </c>
      <c r="AD4968" s="15">
        <f>AC4968*AG4968</f>
        <v>38.65</v>
      </c>
      <c r="AE4968" s="15">
        <v>85</v>
      </c>
      <c r="AF4968" s="15">
        <f>AE4968*AG4968</f>
        <v>85</v>
      </c>
      <c r="AG4968" s="16">
        <v>1</v>
      </c>
    </row>
    <row r="4969" spans="1:33" ht="15" customHeight="1" x14ac:dyDescent="0.2">
      <c r="A4969" s="11" t="str">
        <f t="shared" si="1479"/>
        <v>VN000D5RZHJ1</v>
      </c>
      <c r="B4969" s="12" t="s">
        <v>17347</v>
      </c>
      <c r="C4969" s="12" t="s">
        <v>5867</v>
      </c>
      <c r="D4969" s="12" t="s">
        <v>16833</v>
      </c>
      <c r="E4969" s="12" t="s">
        <v>17348</v>
      </c>
      <c r="F4969" s="13">
        <v>115</v>
      </c>
      <c r="G4969" s="14"/>
      <c r="H4969" s="12" t="s">
        <v>38</v>
      </c>
      <c r="I4969" s="12" t="s">
        <v>159</v>
      </c>
      <c r="J4969" s="12" t="s">
        <v>341</v>
      </c>
      <c r="K4969" s="12" t="s">
        <v>199</v>
      </c>
      <c r="L4969" s="14"/>
      <c r="M4969" s="12" t="s">
        <v>43</v>
      </c>
      <c r="N4969" s="12" t="s">
        <v>84</v>
      </c>
      <c r="O4969" s="12" t="s">
        <v>17349</v>
      </c>
      <c r="P4969" s="12" t="s">
        <v>46</v>
      </c>
      <c r="Q4969" s="12" t="s">
        <v>47</v>
      </c>
      <c r="R4969" s="12" t="s">
        <v>163</v>
      </c>
      <c r="S4969" s="13">
        <v>197643282082</v>
      </c>
      <c r="T4969" s="12" t="s">
        <v>49</v>
      </c>
      <c r="U4969" s="13">
        <v>45</v>
      </c>
      <c r="V4969" s="12" t="s">
        <v>50</v>
      </c>
      <c r="W4969" s="12" t="s">
        <v>175</v>
      </c>
      <c r="X4969" s="14"/>
      <c r="Y4969" s="12" t="s">
        <v>53</v>
      </c>
      <c r="Z4969" s="12" t="s">
        <v>344</v>
      </c>
      <c r="AA4969" s="14"/>
      <c r="AB4969" s="14"/>
      <c r="AC4969" s="15">
        <v>38.65</v>
      </c>
      <c r="AD4969" s="15">
        <f>AC4969*AG4969</f>
        <v>38.65</v>
      </c>
      <c r="AE4969" s="15">
        <v>85</v>
      </c>
      <c r="AF4969" s="15">
        <f>AE4969*AG4969</f>
        <v>85</v>
      </c>
      <c r="AG4969" s="16">
        <v>1</v>
      </c>
    </row>
    <row r="4970" spans="1:33" ht="15" customHeight="1" x14ac:dyDescent="0.2">
      <c r="A4970" s="11" t="str">
        <f t="shared" si="1479"/>
        <v>VN000D5RZHJ1</v>
      </c>
      <c r="B4970" s="12" t="s">
        <v>17350</v>
      </c>
      <c r="C4970" s="12" t="s">
        <v>5867</v>
      </c>
      <c r="D4970" s="12" t="s">
        <v>16833</v>
      </c>
      <c r="E4970" s="12" t="s">
        <v>17351</v>
      </c>
      <c r="F4970" s="13">
        <v>120</v>
      </c>
      <c r="G4970" s="14"/>
      <c r="H4970" s="12" t="s">
        <v>38</v>
      </c>
      <c r="I4970" s="12" t="s">
        <v>159</v>
      </c>
      <c r="J4970" s="12" t="s">
        <v>341</v>
      </c>
      <c r="K4970" s="12" t="s">
        <v>199</v>
      </c>
      <c r="L4970" s="14"/>
      <c r="M4970" s="12" t="s">
        <v>43</v>
      </c>
      <c r="N4970" s="12" t="s">
        <v>84</v>
      </c>
      <c r="O4970" s="12" t="s">
        <v>17352</v>
      </c>
      <c r="P4970" s="12" t="s">
        <v>46</v>
      </c>
      <c r="Q4970" s="12" t="s">
        <v>47</v>
      </c>
      <c r="R4970" s="12" t="s">
        <v>163</v>
      </c>
      <c r="S4970" s="13">
        <v>197643282341</v>
      </c>
      <c r="T4970" s="12" t="s">
        <v>49</v>
      </c>
      <c r="U4970" s="13">
        <v>46</v>
      </c>
      <c r="V4970" s="12" t="s">
        <v>50</v>
      </c>
      <c r="W4970" s="12" t="s">
        <v>175</v>
      </c>
      <c r="X4970" s="14"/>
      <c r="Y4970" s="12" t="s">
        <v>53</v>
      </c>
      <c r="Z4970" s="12" t="s">
        <v>344</v>
      </c>
      <c r="AA4970" s="14"/>
      <c r="AB4970" s="14"/>
      <c r="AC4970" s="15">
        <v>38.65</v>
      </c>
      <c r="AD4970" s="15">
        <f>AC4970*AG4970</f>
        <v>38.65</v>
      </c>
      <c r="AE4970" s="15">
        <v>85</v>
      </c>
      <c r="AF4970" s="15">
        <f>AE4970*AG4970</f>
        <v>85</v>
      </c>
      <c r="AG4970" s="16">
        <v>1</v>
      </c>
    </row>
    <row r="4971" spans="1:33" ht="15" customHeight="1" x14ac:dyDescent="0.2">
      <c r="A4971" s="11" t="str">
        <f t="shared" si="1483"/>
        <v>VN000D85GRY1</v>
      </c>
      <c r="B4971" s="12" t="s">
        <v>17353</v>
      </c>
      <c r="C4971" s="12" t="s">
        <v>5919</v>
      </c>
      <c r="D4971" s="12" t="s">
        <v>13536</v>
      </c>
      <c r="E4971" s="12" t="s">
        <v>17354</v>
      </c>
      <c r="F4971" s="13">
        <v>75</v>
      </c>
      <c r="G4971" s="14"/>
      <c r="H4971" s="12" t="s">
        <v>38</v>
      </c>
      <c r="I4971" s="12" t="s">
        <v>159</v>
      </c>
      <c r="J4971" s="12" t="s">
        <v>341</v>
      </c>
      <c r="K4971" s="12" t="s">
        <v>199</v>
      </c>
      <c r="L4971" s="14"/>
      <c r="M4971" s="12" t="s">
        <v>43</v>
      </c>
      <c r="N4971" s="12" t="s">
        <v>44</v>
      </c>
      <c r="O4971" s="12" t="s">
        <v>17355</v>
      </c>
      <c r="P4971" s="12" t="s">
        <v>46</v>
      </c>
      <c r="Q4971" s="12" t="s">
        <v>47</v>
      </c>
      <c r="R4971" s="12" t="s">
        <v>163</v>
      </c>
      <c r="S4971" s="13">
        <v>197643298670</v>
      </c>
      <c r="T4971" s="12" t="s">
        <v>49</v>
      </c>
      <c r="U4971" s="13">
        <v>40</v>
      </c>
      <c r="V4971" s="12" t="s">
        <v>50</v>
      </c>
      <c r="W4971" s="12" t="s">
        <v>455</v>
      </c>
      <c r="X4971" s="14"/>
      <c r="Y4971" s="12" t="s">
        <v>91</v>
      </c>
      <c r="Z4971" s="12" t="s">
        <v>344</v>
      </c>
      <c r="AA4971" s="14"/>
      <c r="AB4971" s="14"/>
      <c r="AC4971" s="15">
        <v>40.950000000000003</v>
      </c>
      <c r="AD4971" s="15">
        <f>AC4971*AG4971</f>
        <v>40.950000000000003</v>
      </c>
      <c r="AE4971" s="15">
        <v>90</v>
      </c>
      <c r="AF4971" s="15">
        <f>AE4971*AG4971</f>
        <v>90</v>
      </c>
      <c r="AG4971" s="16">
        <v>1</v>
      </c>
    </row>
    <row r="4972" spans="1:33" ht="15" customHeight="1" x14ac:dyDescent="0.2">
      <c r="A4972" s="11" t="str">
        <f t="shared" si="1483"/>
        <v>VN000D85GRY1</v>
      </c>
      <c r="B4972" s="12" t="s">
        <v>17356</v>
      </c>
      <c r="C4972" s="12" t="s">
        <v>5919</v>
      </c>
      <c r="D4972" s="12" t="s">
        <v>13536</v>
      </c>
      <c r="E4972" s="12" t="s">
        <v>17357</v>
      </c>
      <c r="F4972" s="13">
        <v>90</v>
      </c>
      <c r="G4972" s="14"/>
      <c r="H4972" s="12" t="s">
        <v>38</v>
      </c>
      <c r="I4972" s="12" t="s">
        <v>159</v>
      </c>
      <c r="J4972" s="12" t="s">
        <v>341</v>
      </c>
      <c r="K4972" s="12" t="s">
        <v>199</v>
      </c>
      <c r="L4972" s="14"/>
      <c r="M4972" s="12" t="s">
        <v>43</v>
      </c>
      <c r="N4972" s="12" t="s">
        <v>44</v>
      </c>
      <c r="O4972" s="12" t="s">
        <v>17358</v>
      </c>
      <c r="P4972" s="12" t="s">
        <v>46</v>
      </c>
      <c r="Q4972" s="12" t="s">
        <v>47</v>
      </c>
      <c r="R4972" s="12" t="s">
        <v>163</v>
      </c>
      <c r="S4972" s="13">
        <v>197643298984</v>
      </c>
      <c r="T4972" s="12" t="s">
        <v>49</v>
      </c>
      <c r="U4972" s="13">
        <v>42</v>
      </c>
      <c r="V4972" s="12" t="s">
        <v>50</v>
      </c>
      <c r="W4972" s="12" t="s">
        <v>455</v>
      </c>
      <c r="X4972" s="14"/>
      <c r="Y4972" s="12" t="s">
        <v>91</v>
      </c>
      <c r="Z4972" s="12" t="s">
        <v>344</v>
      </c>
      <c r="AA4972" s="14"/>
      <c r="AB4972" s="14"/>
      <c r="AC4972" s="15">
        <v>40.950000000000003</v>
      </c>
      <c r="AD4972" s="15">
        <f>AC4972*AG4972</f>
        <v>40.950000000000003</v>
      </c>
      <c r="AE4972" s="15">
        <v>90</v>
      </c>
      <c r="AF4972" s="15">
        <f>AE4972*AG4972</f>
        <v>90</v>
      </c>
      <c r="AG4972" s="16">
        <v>1</v>
      </c>
    </row>
    <row r="4973" spans="1:33" ht="15" customHeight="1" x14ac:dyDescent="0.2">
      <c r="A4973" s="11" t="str">
        <f t="shared" si="1483"/>
        <v>VN000D85GRY1</v>
      </c>
      <c r="B4973" s="12" t="s">
        <v>17359</v>
      </c>
      <c r="C4973" s="12" t="s">
        <v>5919</v>
      </c>
      <c r="D4973" s="12" t="s">
        <v>13536</v>
      </c>
      <c r="E4973" s="12" t="s">
        <v>17360</v>
      </c>
      <c r="F4973" s="13">
        <v>95</v>
      </c>
      <c r="G4973" s="14"/>
      <c r="H4973" s="12" t="s">
        <v>38</v>
      </c>
      <c r="I4973" s="12" t="s">
        <v>159</v>
      </c>
      <c r="J4973" s="12" t="s">
        <v>341</v>
      </c>
      <c r="K4973" s="12" t="s">
        <v>199</v>
      </c>
      <c r="L4973" s="14"/>
      <c r="M4973" s="12" t="s">
        <v>43</v>
      </c>
      <c r="N4973" s="12" t="s">
        <v>44</v>
      </c>
      <c r="O4973" s="12" t="s">
        <v>17361</v>
      </c>
      <c r="P4973" s="12" t="s">
        <v>46</v>
      </c>
      <c r="Q4973" s="12" t="s">
        <v>47</v>
      </c>
      <c r="R4973" s="12" t="s">
        <v>163</v>
      </c>
      <c r="S4973" s="13">
        <v>197643299219</v>
      </c>
      <c r="T4973" s="12" t="s">
        <v>49</v>
      </c>
      <c r="U4973" s="13">
        <v>42.5</v>
      </c>
      <c r="V4973" s="12" t="s">
        <v>50</v>
      </c>
      <c r="W4973" s="12" t="s">
        <v>455</v>
      </c>
      <c r="X4973" s="14"/>
      <c r="Y4973" s="12" t="s">
        <v>91</v>
      </c>
      <c r="Z4973" s="12" t="s">
        <v>344</v>
      </c>
      <c r="AA4973" s="14"/>
      <c r="AB4973" s="14"/>
      <c r="AC4973" s="15">
        <v>40.950000000000003</v>
      </c>
      <c r="AD4973" s="15">
        <f>AC4973*AG4973</f>
        <v>40.950000000000003</v>
      </c>
      <c r="AE4973" s="15">
        <v>90</v>
      </c>
      <c r="AF4973" s="15">
        <f>AE4973*AG4973</f>
        <v>90</v>
      </c>
      <c r="AG4973" s="16">
        <v>1</v>
      </c>
    </row>
    <row r="4974" spans="1:33" ht="15" customHeight="1" x14ac:dyDescent="0.2">
      <c r="A4974" s="11" t="str">
        <f t="shared" si="1483"/>
        <v>VN000D85GRY1</v>
      </c>
      <c r="B4974" s="12" t="s">
        <v>17362</v>
      </c>
      <c r="C4974" s="12" t="s">
        <v>5919</v>
      </c>
      <c r="D4974" s="12" t="s">
        <v>13536</v>
      </c>
      <c r="E4974" s="12" t="s">
        <v>17363</v>
      </c>
      <c r="F4974" s="13">
        <v>110</v>
      </c>
      <c r="G4974" s="14"/>
      <c r="H4974" s="12" t="s">
        <v>38</v>
      </c>
      <c r="I4974" s="12" t="s">
        <v>159</v>
      </c>
      <c r="J4974" s="12" t="s">
        <v>341</v>
      </c>
      <c r="K4974" s="12" t="s">
        <v>199</v>
      </c>
      <c r="L4974" s="14"/>
      <c r="M4974" s="12" t="s">
        <v>43</v>
      </c>
      <c r="N4974" s="12" t="s">
        <v>44</v>
      </c>
      <c r="O4974" s="12" t="s">
        <v>17364</v>
      </c>
      <c r="P4974" s="12" t="s">
        <v>46</v>
      </c>
      <c r="Q4974" s="12" t="s">
        <v>47</v>
      </c>
      <c r="R4974" s="12" t="s">
        <v>163</v>
      </c>
      <c r="S4974" s="13">
        <v>197643299424</v>
      </c>
      <c r="T4974" s="12" t="s">
        <v>49</v>
      </c>
      <c r="U4974" s="13">
        <v>44.5</v>
      </c>
      <c r="V4974" s="12" t="s">
        <v>50</v>
      </c>
      <c r="W4974" s="12" t="s">
        <v>455</v>
      </c>
      <c r="X4974" s="14"/>
      <c r="Y4974" s="12" t="s">
        <v>91</v>
      </c>
      <c r="Z4974" s="12" t="s">
        <v>344</v>
      </c>
      <c r="AA4974" s="14"/>
      <c r="AB4974" s="14"/>
      <c r="AC4974" s="15">
        <v>40.950000000000003</v>
      </c>
      <c r="AD4974" s="15">
        <f>AC4974*AG4974</f>
        <v>40.950000000000003</v>
      </c>
      <c r="AE4974" s="15">
        <v>90</v>
      </c>
      <c r="AF4974" s="15">
        <f>AE4974*AG4974</f>
        <v>90</v>
      </c>
      <c r="AG4974" s="16">
        <v>1</v>
      </c>
    </row>
    <row r="4975" spans="1:33" ht="15" customHeight="1" x14ac:dyDescent="0.2">
      <c r="A4975" s="11" t="str">
        <f t="shared" ref="A4975:A4977" si="1514">HYPERLINK("https://assets.vans.eu/images/VN000D85Y52-HERO/1","VN000D85Y521")</f>
        <v>VN000D85Y521</v>
      </c>
      <c r="B4975" s="12" t="s">
        <v>17365</v>
      </c>
      <c r="C4975" s="12" t="s">
        <v>5919</v>
      </c>
      <c r="D4975" s="12" t="s">
        <v>9700</v>
      </c>
      <c r="E4975" s="12" t="s">
        <v>17366</v>
      </c>
      <c r="F4975" s="13">
        <v>75</v>
      </c>
      <c r="G4975" s="14"/>
      <c r="H4975" s="12" t="s">
        <v>38</v>
      </c>
      <c r="I4975" s="12" t="s">
        <v>159</v>
      </c>
      <c r="J4975" s="12" t="s">
        <v>341</v>
      </c>
      <c r="K4975" s="12" t="s">
        <v>199</v>
      </c>
      <c r="L4975" s="14"/>
      <c r="M4975" s="12" t="s">
        <v>43</v>
      </c>
      <c r="N4975" s="12" t="s">
        <v>44</v>
      </c>
      <c r="O4975" s="12" t="s">
        <v>17367</v>
      </c>
      <c r="P4975" s="12" t="s">
        <v>46</v>
      </c>
      <c r="Q4975" s="12" t="s">
        <v>47</v>
      </c>
      <c r="R4975" s="12" t="s">
        <v>163</v>
      </c>
      <c r="S4975" s="13">
        <v>197643298878</v>
      </c>
      <c r="T4975" s="12" t="s">
        <v>49</v>
      </c>
      <c r="U4975" s="13">
        <v>40</v>
      </c>
      <c r="V4975" s="12" t="s">
        <v>209</v>
      </c>
      <c r="W4975" s="12" t="s">
        <v>262</v>
      </c>
      <c r="X4975" s="14"/>
      <c r="Y4975" s="12" t="s">
        <v>91</v>
      </c>
      <c r="Z4975" s="12" t="s">
        <v>344</v>
      </c>
      <c r="AA4975" s="14"/>
      <c r="AB4975" s="14"/>
      <c r="AC4975" s="15">
        <v>40.950000000000003</v>
      </c>
      <c r="AD4975" s="15">
        <f>AC4975*AG4975</f>
        <v>40.950000000000003</v>
      </c>
      <c r="AE4975" s="15">
        <v>90</v>
      </c>
      <c r="AF4975" s="15">
        <f>AE4975*AG4975</f>
        <v>90</v>
      </c>
      <c r="AG4975" s="16">
        <v>1</v>
      </c>
    </row>
    <row r="4976" spans="1:33" ht="15" customHeight="1" x14ac:dyDescent="0.2">
      <c r="A4976" s="11" t="str">
        <f t="shared" si="1514"/>
        <v>VN000D85Y521</v>
      </c>
      <c r="B4976" s="12" t="s">
        <v>17368</v>
      </c>
      <c r="C4976" s="12" t="s">
        <v>5919</v>
      </c>
      <c r="D4976" s="12" t="s">
        <v>9700</v>
      </c>
      <c r="E4976" s="12" t="s">
        <v>17369</v>
      </c>
      <c r="F4976" s="13">
        <v>105</v>
      </c>
      <c r="G4976" s="14"/>
      <c r="H4976" s="12" t="s">
        <v>38</v>
      </c>
      <c r="I4976" s="12" t="s">
        <v>159</v>
      </c>
      <c r="J4976" s="12" t="s">
        <v>341</v>
      </c>
      <c r="K4976" s="12" t="s">
        <v>199</v>
      </c>
      <c r="L4976" s="14"/>
      <c r="M4976" s="12" t="s">
        <v>43</v>
      </c>
      <c r="N4976" s="12" t="s">
        <v>44</v>
      </c>
      <c r="O4976" s="12" t="s">
        <v>17370</v>
      </c>
      <c r="P4976" s="12" t="s">
        <v>46</v>
      </c>
      <c r="Q4976" s="12" t="s">
        <v>47</v>
      </c>
      <c r="R4976" s="12" t="s">
        <v>163</v>
      </c>
      <c r="S4976" s="13">
        <v>197643299394</v>
      </c>
      <c r="T4976" s="12" t="s">
        <v>49</v>
      </c>
      <c r="U4976" s="13">
        <v>44</v>
      </c>
      <c r="V4976" s="12" t="s">
        <v>209</v>
      </c>
      <c r="W4976" s="12" t="s">
        <v>262</v>
      </c>
      <c r="X4976" s="14"/>
      <c r="Y4976" s="12" t="s">
        <v>91</v>
      </c>
      <c r="Z4976" s="12" t="s">
        <v>344</v>
      </c>
      <c r="AA4976" s="14"/>
      <c r="AB4976" s="14"/>
      <c r="AC4976" s="15">
        <v>40.950000000000003</v>
      </c>
      <c r="AD4976" s="15">
        <f>AC4976*AG4976</f>
        <v>40.950000000000003</v>
      </c>
      <c r="AE4976" s="15">
        <v>90</v>
      </c>
      <c r="AF4976" s="15">
        <f>AE4976*AG4976</f>
        <v>90</v>
      </c>
      <c r="AG4976" s="16">
        <v>1</v>
      </c>
    </row>
    <row r="4977" spans="1:33" ht="15" customHeight="1" x14ac:dyDescent="0.2">
      <c r="A4977" s="11" t="str">
        <f t="shared" si="1514"/>
        <v>VN000D85Y521</v>
      </c>
      <c r="B4977" s="12" t="s">
        <v>17371</v>
      </c>
      <c r="C4977" s="12" t="s">
        <v>5919</v>
      </c>
      <c r="D4977" s="12" t="s">
        <v>9700</v>
      </c>
      <c r="E4977" s="12" t="s">
        <v>17372</v>
      </c>
      <c r="F4977" s="13">
        <v>115</v>
      </c>
      <c r="G4977" s="14"/>
      <c r="H4977" s="12" t="s">
        <v>38</v>
      </c>
      <c r="I4977" s="12" t="s">
        <v>159</v>
      </c>
      <c r="J4977" s="12" t="s">
        <v>341</v>
      </c>
      <c r="K4977" s="12" t="s">
        <v>199</v>
      </c>
      <c r="L4977" s="14"/>
      <c r="M4977" s="12" t="s">
        <v>43</v>
      </c>
      <c r="N4977" s="12" t="s">
        <v>44</v>
      </c>
      <c r="O4977" s="12" t="s">
        <v>17373</v>
      </c>
      <c r="P4977" s="12" t="s">
        <v>46</v>
      </c>
      <c r="Q4977" s="12" t="s">
        <v>47</v>
      </c>
      <c r="R4977" s="12" t="s">
        <v>163</v>
      </c>
      <c r="S4977" s="13">
        <v>197643299554</v>
      </c>
      <c r="T4977" s="12" t="s">
        <v>49</v>
      </c>
      <c r="U4977" s="13">
        <v>45</v>
      </c>
      <c r="V4977" s="12" t="s">
        <v>209</v>
      </c>
      <c r="W4977" s="12" t="s">
        <v>262</v>
      </c>
      <c r="X4977" s="14"/>
      <c r="Y4977" s="12" t="s">
        <v>91</v>
      </c>
      <c r="Z4977" s="12" t="s">
        <v>344</v>
      </c>
      <c r="AA4977" s="14"/>
      <c r="AB4977" s="14"/>
      <c r="AC4977" s="15">
        <v>40.950000000000003</v>
      </c>
      <c r="AD4977" s="15">
        <f>AC4977*AG4977</f>
        <v>40.950000000000003</v>
      </c>
      <c r="AE4977" s="15">
        <v>90</v>
      </c>
      <c r="AF4977" s="15">
        <f>AE4977*AG4977</f>
        <v>90</v>
      </c>
      <c r="AG4977" s="16">
        <v>1</v>
      </c>
    </row>
    <row r="4978" spans="1:33" ht="15" customHeight="1" x14ac:dyDescent="0.2">
      <c r="A4978" s="11" t="str">
        <f t="shared" si="1493"/>
        <v>VN000D9ZRBG1</v>
      </c>
      <c r="B4978" s="12" t="s">
        <v>17374</v>
      </c>
      <c r="C4978" s="12" t="s">
        <v>9975</v>
      </c>
      <c r="D4978" s="12" t="s">
        <v>16983</v>
      </c>
      <c r="E4978" s="12" t="s">
        <v>17375</v>
      </c>
      <c r="F4978" s="13">
        <v>45</v>
      </c>
      <c r="G4978" s="14"/>
      <c r="H4978" s="12" t="s">
        <v>38</v>
      </c>
      <c r="I4978" s="12" t="s">
        <v>159</v>
      </c>
      <c r="J4978" s="12" t="s">
        <v>341</v>
      </c>
      <c r="K4978" s="12" t="s">
        <v>199</v>
      </c>
      <c r="L4978" s="14"/>
      <c r="M4978" s="12" t="s">
        <v>43</v>
      </c>
      <c r="N4978" s="12" t="s">
        <v>84</v>
      </c>
      <c r="O4978" s="12" t="s">
        <v>17376</v>
      </c>
      <c r="P4978" s="12" t="s">
        <v>46</v>
      </c>
      <c r="Q4978" s="12" t="s">
        <v>47</v>
      </c>
      <c r="R4978" s="12" t="s">
        <v>343</v>
      </c>
      <c r="S4978" s="13">
        <v>197804551729</v>
      </c>
      <c r="T4978" s="12" t="s">
        <v>49</v>
      </c>
      <c r="U4978" s="13">
        <v>36</v>
      </c>
      <c r="V4978" s="12" t="s">
        <v>50</v>
      </c>
      <c r="W4978" s="12" t="s">
        <v>262</v>
      </c>
      <c r="X4978" s="14"/>
      <c r="Y4978" s="14"/>
      <c r="Z4978" s="14"/>
      <c r="AA4978" s="14"/>
      <c r="AB4978" s="14"/>
      <c r="AC4978" s="15">
        <v>45.5</v>
      </c>
      <c r="AD4978" s="15">
        <f>AC4978*AG4978</f>
        <v>45.5</v>
      </c>
      <c r="AE4978" s="15">
        <v>100</v>
      </c>
      <c r="AF4978" s="15">
        <f>AE4978*AG4978</f>
        <v>100</v>
      </c>
      <c r="AG4978" s="16">
        <v>1</v>
      </c>
    </row>
    <row r="4979" spans="1:33" ht="15" customHeight="1" x14ac:dyDescent="0.2">
      <c r="A4979" s="11" t="str">
        <f t="shared" si="1493"/>
        <v>VN000D9ZRBG1</v>
      </c>
      <c r="B4979" s="12" t="s">
        <v>17377</v>
      </c>
      <c r="C4979" s="12" t="s">
        <v>9975</v>
      </c>
      <c r="D4979" s="12" t="s">
        <v>16983</v>
      </c>
      <c r="E4979" s="12" t="s">
        <v>17378</v>
      </c>
      <c r="F4979" s="13">
        <v>50</v>
      </c>
      <c r="G4979" s="14"/>
      <c r="H4979" s="12" t="s">
        <v>38</v>
      </c>
      <c r="I4979" s="12" t="s">
        <v>159</v>
      </c>
      <c r="J4979" s="12" t="s">
        <v>341</v>
      </c>
      <c r="K4979" s="12" t="s">
        <v>199</v>
      </c>
      <c r="L4979" s="14"/>
      <c r="M4979" s="12" t="s">
        <v>43</v>
      </c>
      <c r="N4979" s="12" t="s">
        <v>84</v>
      </c>
      <c r="O4979" s="12" t="s">
        <v>17379</v>
      </c>
      <c r="P4979" s="12" t="s">
        <v>46</v>
      </c>
      <c r="Q4979" s="12" t="s">
        <v>47</v>
      </c>
      <c r="R4979" s="12" t="s">
        <v>343</v>
      </c>
      <c r="S4979" s="13">
        <v>197804551811</v>
      </c>
      <c r="T4979" s="12" t="s">
        <v>49</v>
      </c>
      <c r="U4979" s="13">
        <v>36.5</v>
      </c>
      <c r="V4979" s="12" t="s">
        <v>50</v>
      </c>
      <c r="W4979" s="12" t="s">
        <v>262</v>
      </c>
      <c r="X4979" s="14"/>
      <c r="Y4979" s="14"/>
      <c r="Z4979" s="14"/>
      <c r="AA4979" s="14"/>
      <c r="AB4979" s="14"/>
      <c r="AC4979" s="15">
        <v>45.5</v>
      </c>
      <c r="AD4979" s="15">
        <f>AC4979*AG4979</f>
        <v>45.5</v>
      </c>
      <c r="AE4979" s="15">
        <v>100</v>
      </c>
      <c r="AF4979" s="15">
        <f>AE4979*AG4979</f>
        <v>100</v>
      </c>
      <c r="AG4979" s="16">
        <v>1</v>
      </c>
    </row>
    <row r="4980" spans="1:33" ht="15" customHeight="1" x14ac:dyDescent="0.2">
      <c r="A4980" s="11" t="str">
        <f t="shared" si="1493"/>
        <v>VN000D9ZRBG1</v>
      </c>
      <c r="B4980" s="12" t="s">
        <v>17380</v>
      </c>
      <c r="C4980" s="12" t="s">
        <v>9975</v>
      </c>
      <c r="D4980" s="12" t="s">
        <v>16983</v>
      </c>
      <c r="E4980" s="12" t="s">
        <v>17381</v>
      </c>
      <c r="F4980" s="13">
        <v>60</v>
      </c>
      <c r="G4980" s="14"/>
      <c r="H4980" s="12" t="s">
        <v>38</v>
      </c>
      <c r="I4980" s="12" t="s">
        <v>159</v>
      </c>
      <c r="J4980" s="12" t="s">
        <v>341</v>
      </c>
      <c r="K4980" s="12" t="s">
        <v>199</v>
      </c>
      <c r="L4980" s="14"/>
      <c r="M4980" s="12" t="s">
        <v>43</v>
      </c>
      <c r="N4980" s="12" t="s">
        <v>84</v>
      </c>
      <c r="O4980" s="12" t="s">
        <v>17382</v>
      </c>
      <c r="P4980" s="12" t="s">
        <v>46</v>
      </c>
      <c r="Q4980" s="12" t="s">
        <v>47</v>
      </c>
      <c r="R4980" s="12" t="s">
        <v>343</v>
      </c>
      <c r="S4980" s="13">
        <v>197804552146</v>
      </c>
      <c r="T4980" s="12" t="s">
        <v>49</v>
      </c>
      <c r="U4980" s="13">
        <v>38</v>
      </c>
      <c r="V4980" s="12" t="s">
        <v>50</v>
      </c>
      <c r="W4980" s="12" t="s">
        <v>262</v>
      </c>
      <c r="X4980" s="14"/>
      <c r="Y4980" s="14"/>
      <c r="Z4980" s="14"/>
      <c r="AA4980" s="14"/>
      <c r="AB4980" s="14"/>
      <c r="AC4980" s="15">
        <v>45.5</v>
      </c>
      <c r="AD4980" s="15">
        <f>AC4980*AG4980</f>
        <v>45.5</v>
      </c>
      <c r="AE4980" s="15">
        <v>100</v>
      </c>
      <c r="AF4980" s="15">
        <f>AE4980*AG4980</f>
        <v>100</v>
      </c>
      <c r="AG4980" s="16">
        <v>1</v>
      </c>
    </row>
    <row r="4981" spans="1:33" ht="15" customHeight="1" x14ac:dyDescent="0.2">
      <c r="A4981" s="11" t="str">
        <f t="shared" si="1493"/>
        <v>VN000D9ZRBG1</v>
      </c>
      <c r="B4981" s="12" t="s">
        <v>17383</v>
      </c>
      <c r="C4981" s="12" t="s">
        <v>9975</v>
      </c>
      <c r="D4981" s="12" t="s">
        <v>16983</v>
      </c>
      <c r="E4981" s="12" t="s">
        <v>17384</v>
      </c>
      <c r="F4981" s="13">
        <v>90</v>
      </c>
      <c r="G4981" s="14"/>
      <c r="H4981" s="12" t="s">
        <v>38</v>
      </c>
      <c r="I4981" s="12" t="s">
        <v>159</v>
      </c>
      <c r="J4981" s="12" t="s">
        <v>341</v>
      </c>
      <c r="K4981" s="12" t="s">
        <v>199</v>
      </c>
      <c r="L4981" s="14"/>
      <c r="M4981" s="12" t="s">
        <v>43</v>
      </c>
      <c r="N4981" s="12" t="s">
        <v>84</v>
      </c>
      <c r="O4981" s="12" t="s">
        <v>17385</v>
      </c>
      <c r="P4981" s="12" t="s">
        <v>46</v>
      </c>
      <c r="Q4981" s="12" t="s">
        <v>47</v>
      </c>
      <c r="R4981" s="12" t="s">
        <v>343</v>
      </c>
      <c r="S4981" s="13">
        <v>197804553037</v>
      </c>
      <c r="T4981" s="12" t="s">
        <v>49</v>
      </c>
      <c r="U4981" s="13">
        <v>42</v>
      </c>
      <c r="V4981" s="12" t="s">
        <v>50</v>
      </c>
      <c r="W4981" s="12" t="s">
        <v>262</v>
      </c>
      <c r="X4981" s="14"/>
      <c r="Y4981" s="14"/>
      <c r="Z4981" s="14"/>
      <c r="AA4981" s="14"/>
      <c r="AB4981" s="14"/>
      <c r="AC4981" s="15">
        <v>45.5</v>
      </c>
      <c r="AD4981" s="15">
        <f>AC4981*AG4981</f>
        <v>45.5</v>
      </c>
      <c r="AE4981" s="15">
        <v>100</v>
      </c>
      <c r="AF4981" s="15">
        <f>AE4981*AG4981</f>
        <v>100</v>
      </c>
      <c r="AG4981" s="16">
        <v>1</v>
      </c>
    </row>
    <row r="4982" spans="1:33" ht="15" customHeight="1" x14ac:dyDescent="0.2">
      <c r="A4982" s="11" t="str">
        <f t="shared" si="1493"/>
        <v>VN000D9ZRBG1</v>
      </c>
      <c r="B4982" s="12" t="s">
        <v>17386</v>
      </c>
      <c r="C4982" s="12" t="s">
        <v>9975</v>
      </c>
      <c r="D4982" s="12" t="s">
        <v>16983</v>
      </c>
      <c r="E4982" s="12" t="s">
        <v>17387</v>
      </c>
      <c r="F4982" s="13">
        <v>95</v>
      </c>
      <c r="G4982" s="14"/>
      <c r="H4982" s="12" t="s">
        <v>38</v>
      </c>
      <c r="I4982" s="12" t="s">
        <v>159</v>
      </c>
      <c r="J4982" s="12" t="s">
        <v>341</v>
      </c>
      <c r="K4982" s="12" t="s">
        <v>199</v>
      </c>
      <c r="L4982" s="14"/>
      <c r="M4982" s="12" t="s">
        <v>43</v>
      </c>
      <c r="N4982" s="12" t="s">
        <v>84</v>
      </c>
      <c r="O4982" s="12" t="s">
        <v>17388</v>
      </c>
      <c r="P4982" s="12" t="s">
        <v>46</v>
      </c>
      <c r="Q4982" s="12" t="s">
        <v>47</v>
      </c>
      <c r="R4982" s="12" t="s">
        <v>343</v>
      </c>
      <c r="S4982" s="13">
        <v>197804553211</v>
      </c>
      <c r="T4982" s="12" t="s">
        <v>49</v>
      </c>
      <c r="U4982" s="13">
        <v>42.5</v>
      </c>
      <c r="V4982" s="12" t="s">
        <v>50</v>
      </c>
      <c r="W4982" s="12" t="s">
        <v>262</v>
      </c>
      <c r="X4982" s="14"/>
      <c r="Y4982" s="14"/>
      <c r="Z4982" s="14"/>
      <c r="AA4982" s="14"/>
      <c r="AB4982" s="14"/>
      <c r="AC4982" s="15">
        <v>45.5</v>
      </c>
      <c r="AD4982" s="15">
        <f>AC4982*AG4982</f>
        <v>45.5</v>
      </c>
      <c r="AE4982" s="15">
        <v>100</v>
      </c>
      <c r="AF4982" s="15">
        <f>AE4982*AG4982</f>
        <v>100</v>
      </c>
      <c r="AG4982" s="16">
        <v>1</v>
      </c>
    </row>
    <row r="4983" spans="1:33" ht="15" customHeight="1" x14ac:dyDescent="0.2">
      <c r="A4983" s="11" t="str">
        <f t="shared" si="1493"/>
        <v>VN000D9ZRBG1</v>
      </c>
      <c r="B4983" s="12" t="s">
        <v>17389</v>
      </c>
      <c r="C4983" s="12" t="s">
        <v>9975</v>
      </c>
      <c r="D4983" s="12" t="s">
        <v>16983</v>
      </c>
      <c r="E4983" s="12" t="s">
        <v>17390</v>
      </c>
      <c r="F4983" s="13">
        <v>100</v>
      </c>
      <c r="G4983" s="14"/>
      <c r="H4983" s="12" t="s">
        <v>38</v>
      </c>
      <c r="I4983" s="12" t="s">
        <v>159</v>
      </c>
      <c r="J4983" s="12" t="s">
        <v>341</v>
      </c>
      <c r="K4983" s="12" t="s">
        <v>199</v>
      </c>
      <c r="L4983" s="14"/>
      <c r="M4983" s="12" t="s">
        <v>43</v>
      </c>
      <c r="N4983" s="12" t="s">
        <v>84</v>
      </c>
      <c r="O4983" s="12" t="s">
        <v>17391</v>
      </c>
      <c r="P4983" s="12" t="s">
        <v>46</v>
      </c>
      <c r="Q4983" s="12" t="s">
        <v>47</v>
      </c>
      <c r="R4983" s="12" t="s">
        <v>343</v>
      </c>
      <c r="S4983" s="13">
        <v>197804553310</v>
      </c>
      <c r="T4983" s="12" t="s">
        <v>49</v>
      </c>
      <c r="U4983" s="13">
        <v>43</v>
      </c>
      <c r="V4983" s="12" t="s">
        <v>50</v>
      </c>
      <c r="W4983" s="12" t="s">
        <v>262</v>
      </c>
      <c r="X4983" s="14"/>
      <c r="Y4983" s="14"/>
      <c r="Z4983" s="14"/>
      <c r="AA4983" s="14"/>
      <c r="AB4983" s="14"/>
      <c r="AC4983" s="15">
        <v>45.5</v>
      </c>
      <c r="AD4983" s="15">
        <f>AC4983*AG4983</f>
        <v>45.5</v>
      </c>
      <c r="AE4983" s="15">
        <v>100</v>
      </c>
      <c r="AF4983" s="15">
        <f>AE4983*AG4983</f>
        <v>100</v>
      </c>
      <c r="AG4983" s="16">
        <v>1</v>
      </c>
    </row>
    <row r="4984" spans="1:33" ht="15" customHeight="1" x14ac:dyDescent="0.2">
      <c r="A4984" s="11" t="str">
        <f t="shared" si="1493"/>
        <v>VN000D9ZRBG1</v>
      </c>
      <c r="B4984" s="12" t="s">
        <v>17392</v>
      </c>
      <c r="C4984" s="12" t="s">
        <v>9975</v>
      </c>
      <c r="D4984" s="12" t="s">
        <v>16983</v>
      </c>
      <c r="E4984" s="12" t="s">
        <v>17393</v>
      </c>
      <c r="F4984" s="13">
        <v>110</v>
      </c>
      <c r="G4984" s="14"/>
      <c r="H4984" s="12" t="s">
        <v>38</v>
      </c>
      <c r="I4984" s="12" t="s">
        <v>159</v>
      </c>
      <c r="J4984" s="12" t="s">
        <v>341</v>
      </c>
      <c r="K4984" s="12" t="s">
        <v>199</v>
      </c>
      <c r="L4984" s="14"/>
      <c r="M4984" s="12" t="s">
        <v>43</v>
      </c>
      <c r="N4984" s="12" t="s">
        <v>84</v>
      </c>
      <c r="O4984" s="12" t="s">
        <v>17394</v>
      </c>
      <c r="P4984" s="12" t="s">
        <v>46</v>
      </c>
      <c r="Q4984" s="12" t="s">
        <v>47</v>
      </c>
      <c r="R4984" s="12" t="s">
        <v>343</v>
      </c>
      <c r="S4984" s="13">
        <v>197804553617</v>
      </c>
      <c r="T4984" s="12" t="s">
        <v>49</v>
      </c>
      <c r="U4984" s="13">
        <v>44.5</v>
      </c>
      <c r="V4984" s="12" t="s">
        <v>50</v>
      </c>
      <c r="W4984" s="12" t="s">
        <v>262</v>
      </c>
      <c r="X4984" s="14"/>
      <c r="Y4984" s="14"/>
      <c r="Z4984" s="14"/>
      <c r="AA4984" s="14"/>
      <c r="AB4984" s="14"/>
      <c r="AC4984" s="15">
        <v>45.5</v>
      </c>
      <c r="AD4984" s="15">
        <f>AC4984*AG4984</f>
        <v>45.5</v>
      </c>
      <c r="AE4984" s="15">
        <v>100</v>
      </c>
      <c r="AF4984" s="15">
        <f>AE4984*AG4984</f>
        <v>100</v>
      </c>
      <c r="AG4984" s="16">
        <v>1</v>
      </c>
    </row>
    <row r="4985" spans="1:33" ht="15" customHeight="1" x14ac:dyDescent="0.2">
      <c r="A4985" s="11" t="str">
        <f t="shared" si="1493"/>
        <v>VN000D9ZRBG1</v>
      </c>
      <c r="B4985" s="12" t="s">
        <v>17395</v>
      </c>
      <c r="C4985" s="12" t="s">
        <v>9975</v>
      </c>
      <c r="D4985" s="12" t="s">
        <v>16983</v>
      </c>
      <c r="E4985" s="12" t="s">
        <v>17396</v>
      </c>
      <c r="F4985" s="13">
        <v>115</v>
      </c>
      <c r="G4985" s="14"/>
      <c r="H4985" s="12" t="s">
        <v>38</v>
      </c>
      <c r="I4985" s="12" t="s">
        <v>159</v>
      </c>
      <c r="J4985" s="12" t="s">
        <v>341</v>
      </c>
      <c r="K4985" s="12" t="s">
        <v>199</v>
      </c>
      <c r="L4985" s="14"/>
      <c r="M4985" s="12" t="s">
        <v>43</v>
      </c>
      <c r="N4985" s="12" t="s">
        <v>84</v>
      </c>
      <c r="O4985" s="12" t="s">
        <v>17397</v>
      </c>
      <c r="P4985" s="12" t="s">
        <v>46</v>
      </c>
      <c r="Q4985" s="12" t="s">
        <v>47</v>
      </c>
      <c r="R4985" s="12" t="s">
        <v>343</v>
      </c>
      <c r="S4985" s="13">
        <v>197804553693</v>
      </c>
      <c r="T4985" s="12" t="s">
        <v>49</v>
      </c>
      <c r="U4985" s="13">
        <v>45</v>
      </c>
      <c r="V4985" s="12" t="s">
        <v>50</v>
      </c>
      <c r="W4985" s="12" t="s">
        <v>262</v>
      </c>
      <c r="X4985" s="14"/>
      <c r="Y4985" s="14"/>
      <c r="Z4985" s="14"/>
      <c r="AA4985" s="14"/>
      <c r="AB4985" s="14"/>
      <c r="AC4985" s="15">
        <v>45.5</v>
      </c>
      <c r="AD4985" s="15">
        <f>AC4985*AG4985</f>
        <v>45.5</v>
      </c>
      <c r="AE4985" s="15">
        <v>100</v>
      </c>
      <c r="AF4985" s="15">
        <f>AE4985*AG4985</f>
        <v>100</v>
      </c>
      <c r="AG4985" s="16">
        <v>1</v>
      </c>
    </row>
    <row r="4986" spans="1:33" ht="15" customHeight="1" x14ac:dyDescent="0.2">
      <c r="A4986" s="11" t="str">
        <f t="shared" si="1493"/>
        <v>VN000D9ZRBG1</v>
      </c>
      <c r="B4986" s="12" t="s">
        <v>17398</v>
      </c>
      <c r="C4986" s="12" t="s">
        <v>9975</v>
      </c>
      <c r="D4986" s="12" t="s">
        <v>16983</v>
      </c>
      <c r="E4986" s="12" t="s">
        <v>17399</v>
      </c>
      <c r="F4986" s="13">
        <v>130</v>
      </c>
      <c r="G4986" s="14"/>
      <c r="H4986" s="12" t="s">
        <v>38</v>
      </c>
      <c r="I4986" s="12" t="s">
        <v>159</v>
      </c>
      <c r="J4986" s="12" t="s">
        <v>341</v>
      </c>
      <c r="K4986" s="12" t="s">
        <v>199</v>
      </c>
      <c r="L4986" s="14"/>
      <c r="M4986" s="12" t="s">
        <v>43</v>
      </c>
      <c r="N4986" s="12" t="s">
        <v>84</v>
      </c>
      <c r="O4986" s="12" t="s">
        <v>17400</v>
      </c>
      <c r="P4986" s="12" t="s">
        <v>46</v>
      </c>
      <c r="Q4986" s="12" t="s">
        <v>47</v>
      </c>
      <c r="R4986" s="12" t="s">
        <v>343</v>
      </c>
      <c r="S4986" s="13">
        <v>197804553846</v>
      </c>
      <c r="T4986" s="12" t="s">
        <v>49</v>
      </c>
      <c r="U4986" s="13">
        <v>47</v>
      </c>
      <c r="V4986" s="12" t="s">
        <v>50</v>
      </c>
      <c r="W4986" s="12" t="s">
        <v>262</v>
      </c>
      <c r="X4986" s="14"/>
      <c r="Y4986" s="14"/>
      <c r="Z4986" s="14"/>
      <c r="AA4986" s="14"/>
      <c r="AB4986" s="14"/>
      <c r="AC4986" s="15">
        <v>45.5</v>
      </c>
      <c r="AD4986" s="15">
        <f>AC4986*AG4986</f>
        <v>45.5</v>
      </c>
      <c r="AE4986" s="15">
        <v>100</v>
      </c>
      <c r="AF4986" s="15">
        <f>AE4986*AG4986</f>
        <v>100</v>
      </c>
      <c r="AG4986" s="16">
        <v>1</v>
      </c>
    </row>
    <row r="4987" spans="1:33" ht="15" customHeight="1" x14ac:dyDescent="0.2">
      <c r="A4987" s="11" t="str">
        <f t="shared" si="1494"/>
        <v>VN000DA4PNK1</v>
      </c>
      <c r="B4987" s="12" t="s">
        <v>17401</v>
      </c>
      <c r="C4987" s="12" t="s">
        <v>7401</v>
      </c>
      <c r="D4987" s="12" t="s">
        <v>3984</v>
      </c>
      <c r="E4987" s="12" t="s">
        <v>17402</v>
      </c>
      <c r="F4987" s="13">
        <v>35</v>
      </c>
      <c r="G4987" s="14"/>
      <c r="H4987" s="12" t="s">
        <v>38</v>
      </c>
      <c r="I4987" s="12" t="s">
        <v>159</v>
      </c>
      <c r="J4987" s="12" t="s">
        <v>341</v>
      </c>
      <c r="K4987" s="12" t="s">
        <v>199</v>
      </c>
      <c r="L4987" s="14"/>
      <c r="M4987" s="12" t="s">
        <v>43</v>
      </c>
      <c r="N4987" s="12" t="s">
        <v>84</v>
      </c>
      <c r="O4987" s="12" t="s">
        <v>17403</v>
      </c>
      <c r="P4987" s="12" t="s">
        <v>46</v>
      </c>
      <c r="Q4987" s="12" t="s">
        <v>47</v>
      </c>
      <c r="R4987" s="12" t="s">
        <v>163</v>
      </c>
      <c r="S4987" s="13">
        <v>197804555017</v>
      </c>
      <c r="T4987" s="12" t="s">
        <v>49</v>
      </c>
      <c r="U4987" s="13">
        <v>34.5</v>
      </c>
      <c r="V4987" s="12" t="s">
        <v>50</v>
      </c>
      <c r="W4987" s="12" t="s">
        <v>299</v>
      </c>
      <c r="X4987" s="14"/>
      <c r="Y4987" s="14"/>
      <c r="Z4987" s="14"/>
      <c r="AA4987" s="14"/>
      <c r="AB4987" s="14"/>
      <c r="AC4987" s="15">
        <v>43.2</v>
      </c>
      <c r="AD4987" s="15">
        <f>AC4987*AG4987</f>
        <v>43.2</v>
      </c>
      <c r="AE4987" s="15">
        <v>95</v>
      </c>
      <c r="AF4987" s="15">
        <f>AE4987*AG4987</f>
        <v>95</v>
      </c>
      <c r="AG4987" s="16">
        <v>1</v>
      </c>
    </row>
    <row r="4988" spans="1:33" ht="15" customHeight="1" x14ac:dyDescent="0.2">
      <c r="A4988" s="11" t="str">
        <f t="shared" si="1494"/>
        <v>VN000DA4PNK1</v>
      </c>
      <c r="B4988" s="12" t="s">
        <v>17404</v>
      </c>
      <c r="C4988" s="12" t="s">
        <v>7401</v>
      </c>
      <c r="D4988" s="12" t="s">
        <v>3984</v>
      </c>
      <c r="E4988" s="12" t="s">
        <v>17405</v>
      </c>
      <c r="F4988" s="13">
        <v>40</v>
      </c>
      <c r="G4988" s="14"/>
      <c r="H4988" s="12" t="s">
        <v>38</v>
      </c>
      <c r="I4988" s="12" t="s">
        <v>159</v>
      </c>
      <c r="J4988" s="12" t="s">
        <v>341</v>
      </c>
      <c r="K4988" s="12" t="s">
        <v>199</v>
      </c>
      <c r="L4988" s="14"/>
      <c r="M4988" s="12" t="s">
        <v>43</v>
      </c>
      <c r="N4988" s="12" t="s">
        <v>84</v>
      </c>
      <c r="O4988" s="12" t="s">
        <v>17406</v>
      </c>
      <c r="P4988" s="12" t="s">
        <v>46</v>
      </c>
      <c r="Q4988" s="12" t="s">
        <v>47</v>
      </c>
      <c r="R4988" s="12" t="s">
        <v>163</v>
      </c>
      <c r="S4988" s="13">
        <v>197804555086</v>
      </c>
      <c r="T4988" s="12" t="s">
        <v>49</v>
      </c>
      <c r="U4988" s="13">
        <v>35</v>
      </c>
      <c r="V4988" s="12" t="s">
        <v>50</v>
      </c>
      <c r="W4988" s="12" t="s">
        <v>299</v>
      </c>
      <c r="X4988" s="14"/>
      <c r="Y4988" s="14"/>
      <c r="Z4988" s="14"/>
      <c r="AA4988" s="14"/>
      <c r="AB4988" s="14"/>
      <c r="AC4988" s="15">
        <v>43.2</v>
      </c>
      <c r="AD4988" s="15">
        <f>AC4988*AG4988</f>
        <v>43.2</v>
      </c>
      <c r="AE4988" s="15">
        <v>95</v>
      </c>
      <c r="AF4988" s="15">
        <f>AE4988*AG4988</f>
        <v>95</v>
      </c>
      <c r="AG4988" s="16">
        <v>1</v>
      </c>
    </row>
    <row r="4989" spans="1:33" ht="15" customHeight="1" x14ac:dyDescent="0.2">
      <c r="A4989" s="11" t="str">
        <f t="shared" si="1494"/>
        <v>VN000DA4PNK1</v>
      </c>
      <c r="B4989" s="12" t="s">
        <v>17407</v>
      </c>
      <c r="C4989" s="12" t="s">
        <v>7401</v>
      </c>
      <c r="D4989" s="12" t="s">
        <v>3984</v>
      </c>
      <c r="E4989" s="12" t="s">
        <v>17408</v>
      </c>
      <c r="F4989" s="13">
        <v>95</v>
      </c>
      <c r="G4989" s="14"/>
      <c r="H4989" s="12" t="s">
        <v>38</v>
      </c>
      <c r="I4989" s="12" t="s">
        <v>159</v>
      </c>
      <c r="J4989" s="12" t="s">
        <v>341</v>
      </c>
      <c r="K4989" s="12" t="s">
        <v>199</v>
      </c>
      <c r="L4989" s="14"/>
      <c r="M4989" s="12" t="s">
        <v>43</v>
      </c>
      <c r="N4989" s="12" t="s">
        <v>84</v>
      </c>
      <c r="O4989" s="12" t="s">
        <v>17409</v>
      </c>
      <c r="P4989" s="12" t="s">
        <v>46</v>
      </c>
      <c r="Q4989" s="12" t="s">
        <v>47</v>
      </c>
      <c r="R4989" s="12" t="s">
        <v>163</v>
      </c>
      <c r="S4989" s="13">
        <v>197804556724</v>
      </c>
      <c r="T4989" s="12" t="s">
        <v>49</v>
      </c>
      <c r="U4989" s="13">
        <v>42.5</v>
      </c>
      <c r="V4989" s="12" t="s">
        <v>50</v>
      </c>
      <c r="W4989" s="12" t="s">
        <v>299</v>
      </c>
      <c r="X4989" s="14"/>
      <c r="Y4989" s="14"/>
      <c r="Z4989" s="14"/>
      <c r="AA4989" s="14"/>
      <c r="AB4989" s="14"/>
      <c r="AC4989" s="15">
        <v>43.2</v>
      </c>
      <c r="AD4989" s="15">
        <f>AC4989*AG4989</f>
        <v>43.2</v>
      </c>
      <c r="AE4989" s="15">
        <v>95</v>
      </c>
      <c r="AF4989" s="15">
        <f>AE4989*AG4989</f>
        <v>95</v>
      </c>
      <c r="AG4989" s="16">
        <v>1</v>
      </c>
    </row>
    <row r="4990" spans="1:33" ht="15" customHeight="1" x14ac:dyDescent="0.2">
      <c r="A4990" s="11" t="str">
        <f>HYPERLINK("https://assets.vans.eu/images/VN000E23CQ0-HERO/1","VN000E23CQ01")</f>
        <v>VN000E23CQ01</v>
      </c>
      <c r="B4990" s="12" t="s">
        <v>17410</v>
      </c>
      <c r="C4990" s="12" t="s">
        <v>16993</v>
      </c>
      <c r="D4990" s="12" t="s">
        <v>17411</v>
      </c>
      <c r="E4990" s="12" t="s">
        <v>17412</v>
      </c>
      <c r="F4990" s="13">
        <v>70</v>
      </c>
      <c r="G4990" s="14"/>
      <c r="H4990" s="12" t="s">
        <v>38</v>
      </c>
      <c r="I4990" s="12" t="s">
        <v>159</v>
      </c>
      <c r="J4990" s="12" t="s">
        <v>341</v>
      </c>
      <c r="K4990" s="12" t="s">
        <v>199</v>
      </c>
      <c r="L4990" s="12" t="s">
        <v>16996</v>
      </c>
      <c r="M4990" s="12" t="s">
        <v>43</v>
      </c>
      <c r="N4990" s="12" t="s">
        <v>274</v>
      </c>
      <c r="O4990" s="12" t="s">
        <v>17413</v>
      </c>
      <c r="P4990" s="12" t="s">
        <v>46</v>
      </c>
      <c r="Q4990" s="12" t="s">
        <v>47</v>
      </c>
      <c r="R4990" s="12" t="s">
        <v>163</v>
      </c>
      <c r="S4990" s="13">
        <v>196575091014</v>
      </c>
      <c r="T4990" s="12" t="s">
        <v>49</v>
      </c>
      <c r="U4990" s="13">
        <v>39</v>
      </c>
      <c r="V4990" s="12" t="s">
        <v>50</v>
      </c>
      <c r="W4990" s="12" t="s">
        <v>284</v>
      </c>
      <c r="X4990" s="14"/>
      <c r="Y4990" s="12" t="s">
        <v>1011</v>
      </c>
      <c r="Z4990" s="12" t="s">
        <v>13844</v>
      </c>
      <c r="AA4990" s="12" t="s">
        <v>73</v>
      </c>
      <c r="AB4990" s="12" t="s">
        <v>16998</v>
      </c>
      <c r="AC4990" s="15">
        <v>45.5</v>
      </c>
      <c r="AD4990" s="15">
        <f>AC4990*AG4990</f>
        <v>45.5</v>
      </c>
      <c r="AE4990" s="15">
        <v>100</v>
      </c>
      <c r="AF4990" s="15">
        <f>AE4990*AG4990</f>
        <v>100</v>
      </c>
      <c r="AG4990" s="16">
        <v>1</v>
      </c>
    </row>
    <row r="4991" spans="1:33" ht="15" customHeight="1" x14ac:dyDescent="0.2">
      <c r="A4991" s="11" t="str">
        <f>HYPERLINK("https://assets.vans.eu/images/VN000E23CQ0-HERO/1","VN000E23CQ01")</f>
        <v>VN000E23CQ01</v>
      </c>
      <c r="B4991" s="12" t="s">
        <v>17414</v>
      </c>
      <c r="C4991" s="12" t="s">
        <v>16993</v>
      </c>
      <c r="D4991" s="12" t="s">
        <v>17411</v>
      </c>
      <c r="E4991" s="12" t="s">
        <v>17415</v>
      </c>
      <c r="F4991" s="13">
        <v>90</v>
      </c>
      <c r="G4991" s="14"/>
      <c r="H4991" s="12" t="s">
        <v>38</v>
      </c>
      <c r="I4991" s="12" t="s">
        <v>159</v>
      </c>
      <c r="J4991" s="12" t="s">
        <v>341</v>
      </c>
      <c r="K4991" s="12" t="s">
        <v>199</v>
      </c>
      <c r="L4991" s="12" t="s">
        <v>16996</v>
      </c>
      <c r="M4991" s="12" t="s">
        <v>43</v>
      </c>
      <c r="N4991" s="12" t="s">
        <v>274</v>
      </c>
      <c r="O4991" s="12" t="s">
        <v>17416</v>
      </c>
      <c r="P4991" s="12" t="s">
        <v>46</v>
      </c>
      <c r="Q4991" s="12" t="s">
        <v>47</v>
      </c>
      <c r="R4991" s="12" t="s">
        <v>163</v>
      </c>
      <c r="S4991" s="13">
        <v>196575091724</v>
      </c>
      <c r="T4991" s="12" t="s">
        <v>49</v>
      </c>
      <c r="U4991" s="13">
        <v>42</v>
      </c>
      <c r="V4991" s="12" t="s">
        <v>50</v>
      </c>
      <c r="W4991" s="12" t="s">
        <v>284</v>
      </c>
      <c r="X4991" s="14"/>
      <c r="Y4991" s="12" t="s">
        <v>1011</v>
      </c>
      <c r="Z4991" s="12" t="s">
        <v>13844</v>
      </c>
      <c r="AA4991" s="12" t="s">
        <v>73</v>
      </c>
      <c r="AB4991" s="12" t="s">
        <v>16998</v>
      </c>
      <c r="AC4991" s="15">
        <v>45.5</v>
      </c>
      <c r="AD4991" s="15">
        <f>AC4991*AG4991</f>
        <v>45.5</v>
      </c>
      <c r="AE4991" s="15">
        <v>100</v>
      </c>
      <c r="AF4991" s="15">
        <f>AE4991*AG4991</f>
        <v>100</v>
      </c>
      <c r="AG4991" s="16">
        <v>1</v>
      </c>
    </row>
    <row r="4992" spans="1:33" ht="15" customHeight="1" x14ac:dyDescent="0.2">
      <c r="A4992" s="11" t="str">
        <f>HYPERLINK("https://assets.vans.eu/images/VN000E23CQ0-HERO/1","VN000E23CQ01")</f>
        <v>VN000E23CQ01</v>
      </c>
      <c r="B4992" s="12" t="s">
        <v>17417</v>
      </c>
      <c r="C4992" s="12" t="s">
        <v>16993</v>
      </c>
      <c r="D4992" s="12" t="s">
        <v>17411</v>
      </c>
      <c r="E4992" s="12" t="s">
        <v>17418</v>
      </c>
      <c r="F4992" s="13">
        <v>120</v>
      </c>
      <c r="G4992" s="14"/>
      <c r="H4992" s="12" t="s">
        <v>38</v>
      </c>
      <c r="I4992" s="12" t="s">
        <v>159</v>
      </c>
      <c r="J4992" s="12" t="s">
        <v>341</v>
      </c>
      <c r="K4992" s="12" t="s">
        <v>199</v>
      </c>
      <c r="L4992" s="12" t="s">
        <v>16996</v>
      </c>
      <c r="M4992" s="12" t="s">
        <v>43</v>
      </c>
      <c r="N4992" s="12" t="s">
        <v>274</v>
      </c>
      <c r="O4992" s="12" t="s">
        <v>17419</v>
      </c>
      <c r="P4992" s="12" t="s">
        <v>46</v>
      </c>
      <c r="Q4992" s="12" t="s">
        <v>47</v>
      </c>
      <c r="R4992" s="12" t="s">
        <v>163</v>
      </c>
      <c r="S4992" s="13">
        <v>196575092745</v>
      </c>
      <c r="T4992" s="12" t="s">
        <v>49</v>
      </c>
      <c r="U4992" s="13">
        <v>46</v>
      </c>
      <c r="V4992" s="12" t="s">
        <v>50</v>
      </c>
      <c r="W4992" s="12" t="s">
        <v>284</v>
      </c>
      <c r="X4992" s="14"/>
      <c r="Y4992" s="12" t="s">
        <v>1011</v>
      </c>
      <c r="Z4992" s="12" t="s">
        <v>13844</v>
      </c>
      <c r="AA4992" s="12" t="s">
        <v>73</v>
      </c>
      <c r="AB4992" s="12" t="s">
        <v>16998</v>
      </c>
      <c r="AC4992" s="15">
        <v>45.5</v>
      </c>
      <c r="AD4992" s="15">
        <f>AC4992*AG4992</f>
        <v>45.5</v>
      </c>
      <c r="AE4992" s="15">
        <v>100</v>
      </c>
      <c r="AF4992" s="15">
        <f>AE4992*AG4992</f>
        <v>100</v>
      </c>
      <c r="AG4992" s="16">
        <v>1</v>
      </c>
    </row>
    <row r="4993" spans="1:33" ht="15" customHeight="1" x14ac:dyDescent="0.2">
      <c r="A4993" s="11" t="str">
        <f t="shared" si="1495"/>
        <v>VN000E23L381</v>
      </c>
      <c r="B4993" s="12" t="s">
        <v>17420</v>
      </c>
      <c r="C4993" s="12" t="s">
        <v>16993</v>
      </c>
      <c r="D4993" s="12" t="s">
        <v>16994</v>
      </c>
      <c r="E4993" s="12" t="s">
        <v>17421</v>
      </c>
      <c r="F4993" s="13">
        <v>105</v>
      </c>
      <c r="G4993" s="14"/>
      <c r="H4993" s="12" t="s">
        <v>38</v>
      </c>
      <c r="I4993" s="12" t="s">
        <v>159</v>
      </c>
      <c r="J4993" s="12" t="s">
        <v>341</v>
      </c>
      <c r="K4993" s="12" t="s">
        <v>199</v>
      </c>
      <c r="L4993" s="12" t="s">
        <v>16996</v>
      </c>
      <c r="M4993" s="12" t="s">
        <v>43</v>
      </c>
      <c r="N4993" s="12" t="s">
        <v>274</v>
      </c>
      <c r="O4993" s="12" t="s">
        <v>17422</v>
      </c>
      <c r="P4993" s="12" t="s">
        <v>46</v>
      </c>
      <c r="Q4993" s="12" t="s">
        <v>47</v>
      </c>
      <c r="R4993" s="12" t="s">
        <v>163</v>
      </c>
      <c r="S4993" s="13">
        <v>196575148947</v>
      </c>
      <c r="T4993" s="12" t="s">
        <v>49</v>
      </c>
      <c r="U4993" s="13">
        <v>44</v>
      </c>
      <c r="V4993" s="12" t="s">
        <v>50</v>
      </c>
      <c r="W4993" s="12" t="s">
        <v>175</v>
      </c>
      <c r="X4993" s="14"/>
      <c r="Y4993" s="12" t="s">
        <v>1011</v>
      </c>
      <c r="Z4993" s="12" t="s">
        <v>13844</v>
      </c>
      <c r="AA4993" s="12" t="s">
        <v>73</v>
      </c>
      <c r="AB4993" s="12" t="s">
        <v>16998</v>
      </c>
      <c r="AC4993" s="15">
        <v>50</v>
      </c>
      <c r="AD4993" s="15">
        <f>AC4993*AG4993</f>
        <v>50</v>
      </c>
      <c r="AE4993" s="15">
        <v>110</v>
      </c>
      <c r="AF4993" s="15">
        <f>AE4993*AG4993</f>
        <v>110</v>
      </c>
      <c r="AG4993" s="16">
        <v>1</v>
      </c>
    </row>
    <row r="4994" spans="1:33" ht="15" customHeight="1" x14ac:dyDescent="0.2">
      <c r="A4994" s="11" t="str">
        <f t="shared" si="1495"/>
        <v>VN000E23L381</v>
      </c>
      <c r="B4994" s="12" t="s">
        <v>17423</v>
      </c>
      <c r="C4994" s="12" t="s">
        <v>16993</v>
      </c>
      <c r="D4994" s="12" t="s">
        <v>16994</v>
      </c>
      <c r="E4994" s="12" t="s">
        <v>17424</v>
      </c>
      <c r="F4994" s="13">
        <v>120</v>
      </c>
      <c r="G4994" s="14"/>
      <c r="H4994" s="12" t="s">
        <v>38</v>
      </c>
      <c r="I4994" s="12" t="s">
        <v>159</v>
      </c>
      <c r="J4994" s="12" t="s">
        <v>341</v>
      </c>
      <c r="K4994" s="12" t="s">
        <v>199</v>
      </c>
      <c r="L4994" s="12" t="s">
        <v>16996</v>
      </c>
      <c r="M4994" s="12" t="s">
        <v>43</v>
      </c>
      <c r="N4994" s="12" t="s">
        <v>274</v>
      </c>
      <c r="O4994" s="12" t="s">
        <v>17425</v>
      </c>
      <c r="P4994" s="12" t="s">
        <v>46</v>
      </c>
      <c r="Q4994" s="12" t="s">
        <v>47</v>
      </c>
      <c r="R4994" s="12" t="s">
        <v>163</v>
      </c>
      <c r="S4994" s="13">
        <v>196575149395</v>
      </c>
      <c r="T4994" s="12" t="s">
        <v>49</v>
      </c>
      <c r="U4994" s="13">
        <v>46</v>
      </c>
      <c r="V4994" s="12" t="s">
        <v>50</v>
      </c>
      <c r="W4994" s="12" t="s">
        <v>175</v>
      </c>
      <c r="X4994" s="14"/>
      <c r="Y4994" s="12" t="s">
        <v>1011</v>
      </c>
      <c r="Z4994" s="12" t="s">
        <v>13844</v>
      </c>
      <c r="AA4994" s="12" t="s">
        <v>73</v>
      </c>
      <c r="AB4994" s="12" t="s">
        <v>16998</v>
      </c>
      <c r="AC4994" s="15">
        <v>50</v>
      </c>
      <c r="AD4994" s="15">
        <f>AC4994*AG4994</f>
        <v>50</v>
      </c>
      <c r="AE4994" s="15">
        <v>110</v>
      </c>
      <c r="AF4994" s="15">
        <f>AE4994*AG4994</f>
        <v>110</v>
      </c>
      <c r="AG4994" s="16">
        <v>1</v>
      </c>
    </row>
    <row r="4995" spans="1:33" ht="15" customHeight="1" x14ac:dyDescent="0.2">
      <c r="A4995" s="11" t="str">
        <f>HYPERLINK("https://assets.vans.eu/images/VN000E9NBPT-HERO/1","VN000E9NBPT1")</f>
        <v>VN000E9NBPT1</v>
      </c>
      <c r="B4995" s="12" t="s">
        <v>17426</v>
      </c>
      <c r="C4995" s="12" t="s">
        <v>17427</v>
      </c>
      <c r="D4995" s="12" t="s">
        <v>16746</v>
      </c>
      <c r="E4995" s="12" t="s">
        <v>17428</v>
      </c>
      <c r="F4995" s="13">
        <v>115</v>
      </c>
      <c r="G4995" s="14"/>
      <c r="H4995" s="12" t="s">
        <v>38</v>
      </c>
      <c r="I4995" s="12" t="s">
        <v>159</v>
      </c>
      <c r="J4995" s="12" t="s">
        <v>255</v>
      </c>
      <c r="K4995" s="12" t="s">
        <v>82</v>
      </c>
      <c r="L4995" s="12" t="s">
        <v>115</v>
      </c>
      <c r="M4995" s="12" t="s">
        <v>43</v>
      </c>
      <c r="N4995" s="12" t="s">
        <v>84</v>
      </c>
      <c r="O4995" s="12" t="s">
        <v>17429</v>
      </c>
      <c r="P4995" s="12" t="s">
        <v>46</v>
      </c>
      <c r="Q4995" s="12" t="s">
        <v>2432</v>
      </c>
      <c r="R4995" s="12" t="s">
        <v>17430</v>
      </c>
      <c r="S4995" s="13">
        <v>197805953393</v>
      </c>
      <c r="T4995" s="12" t="s">
        <v>49</v>
      </c>
      <c r="U4995" s="13">
        <v>45</v>
      </c>
      <c r="V4995" s="12" t="s">
        <v>50</v>
      </c>
      <c r="W4995" s="12" t="s">
        <v>51</v>
      </c>
      <c r="X4995" s="14"/>
      <c r="Y4995" s="14"/>
      <c r="Z4995" s="14"/>
      <c r="AA4995" s="14"/>
      <c r="AB4995" s="14"/>
      <c r="AC4995" s="15">
        <v>54.55</v>
      </c>
      <c r="AD4995" s="15">
        <f>AC4995*AG4995</f>
        <v>54.55</v>
      </c>
      <c r="AE4995" s="15">
        <v>120</v>
      </c>
      <c r="AF4995" s="15">
        <f>AE4995*AG4995</f>
        <v>120</v>
      </c>
      <c r="AG4995" s="16">
        <v>1</v>
      </c>
    </row>
    <row r="4996" spans="1:33" ht="15" customHeight="1" x14ac:dyDescent="0.2">
      <c r="A4996" s="11" t="str">
        <f t="shared" si="1484"/>
        <v>VN000EB4CCZ1</v>
      </c>
      <c r="B4996" s="12" t="s">
        <v>17431</v>
      </c>
      <c r="C4996" s="12" t="s">
        <v>6009</v>
      </c>
      <c r="D4996" s="12" t="s">
        <v>1104</v>
      </c>
      <c r="E4996" s="12" t="s">
        <v>17432</v>
      </c>
      <c r="F4996" s="13">
        <v>85</v>
      </c>
      <c r="G4996" s="14"/>
      <c r="H4996" s="12" t="s">
        <v>38</v>
      </c>
      <c r="I4996" s="12" t="s">
        <v>113</v>
      </c>
      <c r="J4996" s="12" t="s">
        <v>114</v>
      </c>
      <c r="K4996" s="12" t="s">
        <v>82</v>
      </c>
      <c r="L4996" s="12" t="s">
        <v>42</v>
      </c>
      <c r="M4996" s="12" t="s">
        <v>43</v>
      </c>
      <c r="N4996" s="12" t="s">
        <v>84</v>
      </c>
      <c r="O4996" s="12" t="s">
        <v>17433</v>
      </c>
      <c r="P4996" s="12" t="s">
        <v>46</v>
      </c>
      <c r="Q4996" s="12" t="s">
        <v>47</v>
      </c>
      <c r="R4996" s="12" t="s">
        <v>948</v>
      </c>
      <c r="S4996" s="13">
        <v>197804566051</v>
      </c>
      <c r="T4996" s="12" t="s">
        <v>49</v>
      </c>
      <c r="U4996" s="13">
        <v>41</v>
      </c>
      <c r="V4996" s="12" t="s">
        <v>50</v>
      </c>
      <c r="W4996" s="12" t="s">
        <v>175</v>
      </c>
      <c r="X4996" s="14"/>
      <c r="Y4996" s="14"/>
      <c r="Z4996" s="14"/>
      <c r="AA4996" s="14"/>
      <c r="AB4996" s="14"/>
      <c r="AC4996" s="15">
        <v>54.55</v>
      </c>
      <c r="AD4996" s="15">
        <f>AC4996*AG4996</f>
        <v>54.55</v>
      </c>
      <c r="AE4996" s="15">
        <v>120</v>
      </c>
      <c r="AF4996" s="15">
        <f>AE4996*AG4996</f>
        <v>120</v>
      </c>
      <c r="AG4996" s="16">
        <v>1</v>
      </c>
    </row>
    <row r="4997" spans="1:33" ht="15" customHeight="1" x14ac:dyDescent="0.2">
      <c r="A4997" s="11" t="str">
        <f t="shared" si="1484"/>
        <v>VN000EB4CCZ1</v>
      </c>
      <c r="B4997" s="12" t="s">
        <v>17434</v>
      </c>
      <c r="C4997" s="12" t="s">
        <v>6009</v>
      </c>
      <c r="D4997" s="12" t="s">
        <v>1104</v>
      </c>
      <c r="E4997" s="12" t="s">
        <v>17435</v>
      </c>
      <c r="F4997" s="13">
        <v>130</v>
      </c>
      <c r="G4997" s="14"/>
      <c r="H4997" s="12" t="s">
        <v>38</v>
      </c>
      <c r="I4997" s="12" t="s">
        <v>113</v>
      </c>
      <c r="J4997" s="12" t="s">
        <v>114</v>
      </c>
      <c r="K4997" s="12" t="s">
        <v>82</v>
      </c>
      <c r="L4997" s="12" t="s">
        <v>42</v>
      </c>
      <c r="M4997" s="12" t="s">
        <v>43</v>
      </c>
      <c r="N4997" s="12" t="s">
        <v>84</v>
      </c>
      <c r="O4997" s="12" t="s">
        <v>17436</v>
      </c>
      <c r="P4997" s="12" t="s">
        <v>46</v>
      </c>
      <c r="Q4997" s="12" t="s">
        <v>47</v>
      </c>
      <c r="R4997" s="12" t="s">
        <v>948</v>
      </c>
      <c r="S4997" s="13">
        <v>197804567010</v>
      </c>
      <c r="T4997" s="12" t="s">
        <v>49</v>
      </c>
      <c r="U4997" s="13">
        <v>47</v>
      </c>
      <c r="V4997" s="12" t="s">
        <v>50</v>
      </c>
      <c r="W4997" s="12" t="s">
        <v>175</v>
      </c>
      <c r="X4997" s="14"/>
      <c r="Y4997" s="14"/>
      <c r="Z4997" s="14"/>
      <c r="AA4997" s="14"/>
      <c r="AB4997" s="14"/>
      <c r="AC4997" s="15">
        <v>54.55</v>
      </c>
      <c r="AD4997" s="15">
        <f>AC4997*AG4997</f>
        <v>54.55</v>
      </c>
      <c r="AE4997" s="15">
        <v>120</v>
      </c>
      <c r="AF4997" s="15">
        <f>AE4997*AG4997</f>
        <v>120</v>
      </c>
      <c r="AG4997" s="16">
        <v>1</v>
      </c>
    </row>
    <row r="4998" spans="1:33" ht="15" customHeight="1" x14ac:dyDescent="0.2">
      <c r="A4998" s="11" t="str">
        <f t="shared" si="1496"/>
        <v>VN000EDNBJB1</v>
      </c>
      <c r="B4998" s="12" t="s">
        <v>17437</v>
      </c>
      <c r="C4998" s="12" t="s">
        <v>996</v>
      </c>
      <c r="D4998" s="12" t="s">
        <v>17000</v>
      </c>
      <c r="E4998" s="12" t="s">
        <v>17438</v>
      </c>
      <c r="F4998" s="13">
        <v>65</v>
      </c>
      <c r="G4998" s="14"/>
      <c r="H4998" s="12" t="s">
        <v>38</v>
      </c>
      <c r="I4998" s="12" t="s">
        <v>159</v>
      </c>
      <c r="J4998" s="12" t="s">
        <v>341</v>
      </c>
      <c r="K4998" s="12" t="s">
        <v>199</v>
      </c>
      <c r="L4998" s="14"/>
      <c r="M4998" s="12" t="s">
        <v>43</v>
      </c>
      <c r="N4998" s="12" t="s">
        <v>84</v>
      </c>
      <c r="O4998" s="12" t="s">
        <v>17439</v>
      </c>
      <c r="P4998" s="12" t="s">
        <v>46</v>
      </c>
      <c r="Q4998" s="12" t="s">
        <v>47</v>
      </c>
      <c r="R4998" s="12" t="s">
        <v>163</v>
      </c>
      <c r="S4998" s="13">
        <v>197804567355</v>
      </c>
      <c r="T4998" s="12" t="s">
        <v>49</v>
      </c>
      <c r="U4998" s="13">
        <v>38.5</v>
      </c>
      <c r="V4998" s="12" t="s">
        <v>209</v>
      </c>
      <c r="W4998" s="12" t="s">
        <v>284</v>
      </c>
      <c r="X4998" s="14"/>
      <c r="Y4998" s="14"/>
      <c r="Z4998" s="14"/>
      <c r="AA4998" s="14"/>
      <c r="AB4998" s="14"/>
      <c r="AC4998" s="15">
        <v>38.65</v>
      </c>
      <c r="AD4998" s="15">
        <f>AC4998*AG4998</f>
        <v>38.65</v>
      </c>
      <c r="AE4998" s="15">
        <v>85</v>
      </c>
      <c r="AF4998" s="15">
        <f>AE4998*AG4998</f>
        <v>85</v>
      </c>
      <c r="AG4998" s="16">
        <v>1</v>
      </c>
    </row>
    <row r="4999" spans="1:33" ht="15" customHeight="1" x14ac:dyDescent="0.2">
      <c r="A4999" s="11" t="str">
        <f t="shared" si="1496"/>
        <v>VN000EDNBJB1</v>
      </c>
      <c r="B4999" s="12" t="s">
        <v>17440</v>
      </c>
      <c r="C4999" s="12" t="s">
        <v>996</v>
      </c>
      <c r="D4999" s="12" t="s">
        <v>17000</v>
      </c>
      <c r="E4999" s="12" t="s">
        <v>17441</v>
      </c>
      <c r="F4999" s="13">
        <v>75</v>
      </c>
      <c r="G4999" s="14"/>
      <c r="H4999" s="12" t="s">
        <v>38</v>
      </c>
      <c r="I4999" s="12" t="s">
        <v>159</v>
      </c>
      <c r="J4999" s="12" t="s">
        <v>341</v>
      </c>
      <c r="K4999" s="12" t="s">
        <v>199</v>
      </c>
      <c r="L4999" s="14"/>
      <c r="M4999" s="12" t="s">
        <v>43</v>
      </c>
      <c r="N4999" s="12" t="s">
        <v>84</v>
      </c>
      <c r="O4999" s="12" t="s">
        <v>17442</v>
      </c>
      <c r="P4999" s="12" t="s">
        <v>46</v>
      </c>
      <c r="Q4999" s="12" t="s">
        <v>47</v>
      </c>
      <c r="R4999" s="12" t="s">
        <v>163</v>
      </c>
      <c r="S4999" s="13">
        <v>197804567539</v>
      </c>
      <c r="T4999" s="12" t="s">
        <v>49</v>
      </c>
      <c r="U4999" s="13">
        <v>40</v>
      </c>
      <c r="V4999" s="12" t="s">
        <v>209</v>
      </c>
      <c r="W4999" s="12" t="s">
        <v>284</v>
      </c>
      <c r="X4999" s="14"/>
      <c r="Y4999" s="14"/>
      <c r="Z4999" s="14"/>
      <c r="AA4999" s="14"/>
      <c r="AB4999" s="14"/>
      <c r="AC4999" s="15">
        <v>38.65</v>
      </c>
      <c r="AD4999" s="15">
        <f>AC4999*AG4999</f>
        <v>38.65</v>
      </c>
      <c r="AE4999" s="15">
        <v>85</v>
      </c>
      <c r="AF4999" s="15">
        <f>AE4999*AG4999</f>
        <v>85</v>
      </c>
      <c r="AG4999" s="16">
        <v>1</v>
      </c>
    </row>
    <row r="5000" spans="1:33" ht="15" customHeight="1" x14ac:dyDescent="0.2">
      <c r="A5000" s="11" t="str">
        <f t="shared" si="1496"/>
        <v>VN000EDNBJB1</v>
      </c>
      <c r="B5000" s="12" t="s">
        <v>17443</v>
      </c>
      <c r="C5000" s="12" t="s">
        <v>996</v>
      </c>
      <c r="D5000" s="12" t="s">
        <v>17000</v>
      </c>
      <c r="E5000" s="12" t="s">
        <v>17444</v>
      </c>
      <c r="F5000" s="13">
        <v>85</v>
      </c>
      <c r="G5000" s="14"/>
      <c r="H5000" s="12" t="s">
        <v>38</v>
      </c>
      <c r="I5000" s="12" t="s">
        <v>159</v>
      </c>
      <c r="J5000" s="12" t="s">
        <v>341</v>
      </c>
      <c r="K5000" s="12" t="s">
        <v>199</v>
      </c>
      <c r="L5000" s="14"/>
      <c r="M5000" s="12" t="s">
        <v>43</v>
      </c>
      <c r="N5000" s="12" t="s">
        <v>84</v>
      </c>
      <c r="O5000" s="12" t="s">
        <v>17445</v>
      </c>
      <c r="P5000" s="12" t="s">
        <v>46</v>
      </c>
      <c r="Q5000" s="12" t="s">
        <v>47</v>
      </c>
      <c r="R5000" s="12" t="s">
        <v>163</v>
      </c>
      <c r="S5000" s="13">
        <v>197804567591</v>
      </c>
      <c r="T5000" s="12" t="s">
        <v>49</v>
      </c>
      <c r="U5000" s="13">
        <v>41</v>
      </c>
      <c r="V5000" s="12" t="s">
        <v>209</v>
      </c>
      <c r="W5000" s="12" t="s">
        <v>284</v>
      </c>
      <c r="X5000" s="14"/>
      <c r="Y5000" s="14"/>
      <c r="Z5000" s="14"/>
      <c r="AA5000" s="14"/>
      <c r="AB5000" s="14"/>
      <c r="AC5000" s="15">
        <v>38.65</v>
      </c>
      <c r="AD5000" s="15">
        <f>AC5000*AG5000</f>
        <v>38.65</v>
      </c>
      <c r="AE5000" s="15">
        <v>85</v>
      </c>
      <c r="AF5000" s="15">
        <f>AE5000*AG5000</f>
        <v>85</v>
      </c>
      <c r="AG5000" s="16">
        <v>1</v>
      </c>
    </row>
    <row r="5001" spans="1:33" ht="15" customHeight="1" x14ac:dyDescent="0.2">
      <c r="A5001" s="11" t="str">
        <f t="shared" si="1496"/>
        <v>VN000EDNBJB1</v>
      </c>
      <c r="B5001" s="12" t="s">
        <v>17446</v>
      </c>
      <c r="C5001" s="12" t="s">
        <v>996</v>
      </c>
      <c r="D5001" s="12" t="s">
        <v>17000</v>
      </c>
      <c r="E5001" s="12" t="s">
        <v>17447</v>
      </c>
      <c r="F5001" s="13">
        <v>95</v>
      </c>
      <c r="G5001" s="14"/>
      <c r="H5001" s="12" t="s">
        <v>38</v>
      </c>
      <c r="I5001" s="12" t="s">
        <v>159</v>
      </c>
      <c r="J5001" s="12" t="s">
        <v>341</v>
      </c>
      <c r="K5001" s="12" t="s">
        <v>199</v>
      </c>
      <c r="L5001" s="14"/>
      <c r="M5001" s="12" t="s">
        <v>43</v>
      </c>
      <c r="N5001" s="12" t="s">
        <v>84</v>
      </c>
      <c r="O5001" s="12" t="s">
        <v>17448</v>
      </c>
      <c r="P5001" s="12" t="s">
        <v>46</v>
      </c>
      <c r="Q5001" s="12" t="s">
        <v>47</v>
      </c>
      <c r="R5001" s="12" t="s">
        <v>163</v>
      </c>
      <c r="S5001" s="13">
        <v>197804567874</v>
      </c>
      <c r="T5001" s="12" t="s">
        <v>49</v>
      </c>
      <c r="U5001" s="13">
        <v>42.5</v>
      </c>
      <c r="V5001" s="12" t="s">
        <v>209</v>
      </c>
      <c r="W5001" s="12" t="s">
        <v>284</v>
      </c>
      <c r="X5001" s="14"/>
      <c r="Y5001" s="14"/>
      <c r="Z5001" s="14"/>
      <c r="AA5001" s="14"/>
      <c r="AB5001" s="14"/>
      <c r="AC5001" s="15">
        <v>38.65</v>
      </c>
      <c r="AD5001" s="15">
        <f>AC5001*AG5001</f>
        <v>38.65</v>
      </c>
      <c r="AE5001" s="15">
        <v>85</v>
      </c>
      <c r="AF5001" s="15">
        <f>AE5001*AG5001</f>
        <v>85</v>
      </c>
      <c r="AG5001" s="16">
        <v>1</v>
      </c>
    </row>
    <row r="5002" spans="1:33" ht="15" customHeight="1" x14ac:dyDescent="0.2">
      <c r="A5002" s="11" t="str">
        <f t="shared" si="1475"/>
        <v>VN000EEBBO51</v>
      </c>
      <c r="B5002" s="12" t="s">
        <v>17449</v>
      </c>
      <c r="C5002" s="12" t="s">
        <v>16796</v>
      </c>
      <c r="D5002" s="12" t="s">
        <v>2835</v>
      </c>
      <c r="E5002" s="12" t="s">
        <v>17450</v>
      </c>
      <c r="F5002" s="13">
        <v>60</v>
      </c>
      <c r="G5002" s="14"/>
      <c r="H5002" s="12" t="s">
        <v>38</v>
      </c>
      <c r="I5002" s="12" t="s">
        <v>113</v>
      </c>
      <c r="J5002" s="12" t="s">
        <v>529</v>
      </c>
      <c r="K5002" s="12" t="s">
        <v>82</v>
      </c>
      <c r="L5002" s="12" t="s">
        <v>115</v>
      </c>
      <c r="M5002" s="12" t="s">
        <v>43</v>
      </c>
      <c r="N5002" s="12" t="s">
        <v>84</v>
      </c>
      <c r="O5002" s="12" t="s">
        <v>17451</v>
      </c>
      <c r="P5002" s="12" t="s">
        <v>46</v>
      </c>
      <c r="Q5002" s="12" t="s">
        <v>47</v>
      </c>
      <c r="R5002" s="12" t="s">
        <v>117</v>
      </c>
      <c r="S5002" s="13">
        <v>197805786625</v>
      </c>
      <c r="T5002" s="12" t="s">
        <v>105</v>
      </c>
      <c r="U5002" s="13">
        <v>38</v>
      </c>
      <c r="V5002" s="12" t="s">
        <v>50</v>
      </c>
      <c r="W5002" s="12" t="s">
        <v>598</v>
      </c>
      <c r="X5002" s="14"/>
      <c r="Y5002" s="14"/>
      <c r="Z5002" s="14"/>
      <c r="AA5002" s="14"/>
      <c r="AB5002" s="14"/>
      <c r="AC5002" s="15">
        <v>59.1</v>
      </c>
      <c r="AD5002" s="15">
        <f>AC5002*AG5002</f>
        <v>59.1</v>
      </c>
      <c r="AE5002" s="15">
        <v>130</v>
      </c>
      <c r="AF5002" s="15">
        <f>AE5002*AG5002</f>
        <v>130</v>
      </c>
      <c r="AG5002" s="16">
        <v>1</v>
      </c>
    </row>
    <row r="5003" spans="1:33" ht="15" customHeight="1" x14ac:dyDescent="0.2">
      <c r="A5003" s="11" t="str">
        <f t="shared" si="1475"/>
        <v>VN000EEBBO51</v>
      </c>
      <c r="B5003" s="12" t="s">
        <v>17452</v>
      </c>
      <c r="C5003" s="12" t="s">
        <v>16796</v>
      </c>
      <c r="D5003" s="12" t="s">
        <v>2835</v>
      </c>
      <c r="E5003" s="12" t="s">
        <v>17453</v>
      </c>
      <c r="F5003" s="13">
        <v>95</v>
      </c>
      <c r="G5003" s="14"/>
      <c r="H5003" s="12" t="s">
        <v>38</v>
      </c>
      <c r="I5003" s="12" t="s">
        <v>113</v>
      </c>
      <c r="J5003" s="12" t="s">
        <v>529</v>
      </c>
      <c r="K5003" s="12" t="s">
        <v>82</v>
      </c>
      <c r="L5003" s="12" t="s">
        <v>115</v>
      </c>
      <c r="M5003" s="12" t="s">
        <v>43</v>
      </c>
      <c r="N5003" s="12" t="s">
        <v>84</v>
      </c>
      <c r="O5003" s="12" t="s">
        <v>17454</v>
      </c>
      <c r="P5003" s="12" t="s">
        <v>46</v>
      </c>
      <c r="Q5003" s="12" t="s">
        <v>47</v>
      </c>
      <c r="R5003" s="12" t="s">
        <v>117</v>
      </c>
      <c r="S5003" s="13">
        <v>197805787622</v>
      </c>
      <c r="T5003" s="12" t="s">
        <v>105</v>
      </c>
      <c r="U5003" s="13">
        <v>42.5</v>
      </c>
      <c r="V5003" s="12" t="s">
        <v>50</v>
      </c>
      <c r="W5003" s="12" t="s">
        <v>598</v>
      </c>
      <c r="X5003" s="14"/>
      <c r="Y5003" s="14"/>
      <c r="Z5003" s="14"/>
      <c r="AA5003" s="14"/>
      <c r="AB5003" s="14"/>
      <c r="AC5003" s="15">
        <v>59.1</v>
      </c>
      <c r="AD5003" s="15">
        <f>AC5003*AG5003</f>
        <v>59.1</v>
      </c>
      <c r="AE5003" s="15">
        <v>130</v>
      </c>
      <c r="AF5003" s="15">
        <f>AE5003*AG5003</f>
        <v>130</v>
      </c>
      <c r="AG5003" s="16">
        <v>1</v>
      </c>
    </row>
    <row r="5004" spans="1:33" ht="15" customHeight="1" x14ac:dyDescent="0.2">
      <c r="A5004" s="11" t="str">
        <f t="shared" si="1475"/>
        <v>VN000EEBBO51</v>
      </c>
      <c r="B5004" s="12" t="s">
        <v>17455</v>
      </c>
      <c r="C5004" s="12" t="s">
        <v>16796</v>
      </c>
      <c r="D5004" s="12" t="s">
        <v>2835</v>
      </c>
      <c r="E5004" s="12" t="s">
        <v>17456</v>
      </c>
      <c r="F5004" s="13">
        <v>110</v>
      </c>
      <c r="G5004" s="14"/>
      <c r="H5004" s="12" t="s">
        <v>38</v>
      </c>
      <c r="I5004" s="12" t="s">
        <v>113</v>
      </c>
      <c r="J5004" s="12" t="s">
        <v>529</v>
      </c>
      <c r="K5004" s="12" t="s">
        <v>82</v>
      </c>
      <c r="L5004" s="12" t="s">
        <v>115</v>
      </c>
      <c r="M5004" s="12" t="s">
        <v>43</v>
      </c>
      <c r="N5004" s="12" t="s">
        <v>84</v>
      </c>
      <c r="O5004" s="12" t="s">
        <v>17457</v>
      </c>
      <c r="P5004" s="12" t="s">
        <v>46</v>
      </c>
      <c r="Q5004" s="12" t="s">
        <v>47</v>
      </c>
      <c r="R5004" s="12" t="s">
        <v>117</v>
      </c>
      <c r="S5004" s="13">
        <v>197805787943</v>
      </c>
      <c r="T5004" s="12" t="s">
        <v>105</v>
      </c>
      <c r="U5004" s="13">
        <v>44.5</v>
      </c>
      <c r="V5004" s="12" t="s">
        <v>50</v>
      </c>
      <c r="W5004" s="12" t="s">
        <v>598</v>
      </c>
      <c r="X5004" s="14"/>
      <c r="Y5004" s="14"/>
      <c r="Z5004" s="14"/>
      <c r="AA5004" s="14"/>
      <c r="AB5004" s="14"/>
      <c r="AC5004" s="15">
        <v>59.1</v>
      </c>
      <c r="AD5004" s="15">
        <f>AC5004*AG5004</f>
        <v>59.1</v>
      </c>
      <c r="AE5004" s="15">
        <v>130</v>
      </c>
      <c r="AF5004" s="15">
        <f>AE5004*AG5004</f>
        <v>130</v>
      </c>
      <c r="AG5004" s="16">
        <v>1</v>
      </c>
    </row>
    <row r="5005" spans="1:33" ht="15" customHeight="1" x14ac:dyDescent="0.2">
      <c r="A5005" s="11" t="str">
        <f t="shared" si="1475"/>
        <v>VN000EEBBO51</v>
      </c>
      <c r="B5005" s="12" t="s">
        <v>17458</v>
      </c>
      <c r="C5005" s="12" t="s">
        <v>16796</v>
      </c>
      <c r="D5005" s="12" t="s">
        <v>2835</v>
      </c>
      <c r="E5005" s="12" t="s">
        <v>17459</v>
      </c>
      <c r="F5005" s="13">
        <v>130</v>
      </c>
      <c r="G5005" s="14"/>
      <c r="H5005" s="12" t="s">
        <v>38</v>
      </c>
      <c r="I5005" s="12" t="s">
        <v>113</v>
      </c>
      <c r="J5005" s="12" t="s">
        <v>529</v>
      </c>
      <c r="K5005" s="12" t="s">
        <v>82</v>
      </c>
      <c r="L5005" s="12" t="s">
        <v>115</v>
      </c>
      <c r="M5005" s="12" t="s">
        <v>43</v>
      </c>
      <c r="N5005" s="12" t="s">
        <v>84</v>
      </c>
      <c r="O5005" s="12" t="s">
        <v>17460</v>
      </c>
      <c r="P5005" s="12" t="s">
        <v>46</v>
      </c>
      <c r="Q5005" s="12" t="s">
        <v>47</v>
      </c>
      <c r="R5005" s="12" t="s">
        <v>117</v>
      </c>
      <c r="S5005" s="13">
        <v>197805788285</v>
      </c>
      <c r="T5005" s="12" t="s">
        <v>105</v>
      </c>
      <c r="U5005" s="13">
        <v>47</v>
      </c>
      <c r="V5005" s="12" t="s">
        <v>50</v>
      </c>
      <c r="W5005" s="12" t="s">
        <v>598</v>
      </c>
      <c r="X5005" s="14"/>
      <c r="Y5005" s="14"/>
      <c r="Z5005" s="14"/>
      <c r="AA5005" s="14"/>
      <c r="AB5005" s="14"/>
      <c r="AC5005" s="15">
        <v>59.1</v>
      </c>
      <c r="AD5005" s="15">
        <f>AC5005*AG5005</f>
        <v>59.1</v>
      </c>
      <c r="AE5005" s="15">
        <v>130</v>
      </c>
      <c r="AF5005" s="15">
        <f>AE5005*AG5005</f>
        <v>130</v>
      </c>
      <c r="AG5005" s="16">
        <v>1</v>
      </c>
    </row>
    <row r="5006" spans="1:33" ht="15" customHeight="1" x14ac:dyDescent="0.2">
      <c r="A5006" s="11" t="str">
        <f t="shared" si="1476"/>
        <v>VN000EJTTC41</v>
      </c>
      <c r="B5006" s="12" t="s">
        <v>17461</v>
      </c>
      <c r="C5006" s="12" t="s">
        <v>16812</v>
      </c>
      <c r="D5006" s="12" t="s">
        <v>3291</v>
      </c>
      <c r="E5006" s="12" t="s">
        <v>17462</v>
      </c>
      <c r="F5006" s="13">
        <v>55</v>
      </c>
      <c r="G5006" s="14"/>
      <c r="H5006" s="12" t="s">
        <v>38</v>
      </c>
      <c r="I5006" s="12" t="s">
        <v>159</v>
      </c>
      <c r="J5006" s="12" t="s">
        <v>255</v>
      </c>
      <c r="K5006" s="12" t="s">
        <v>82</v>
      </c>
      <c r="L5006" s="12" t="s">
        <v>115</v>
      </c>
      <c r="M5006" s="12" t="s">
        <v>43</v>
      </c>
      <c r="N5006" s="12" t="s">
        <v>84</v>
      </c>
      <c r="O5006" s="12" t="s">
        <v>17463</v>
      </c>
      <c r="P5006" s="12" t="s">
        <v>46</v>
      </c>
      <c r="Q5006" s="12" t="s">
        <v>47</v>
      </c>
      <c r="R5006" s="12" t="s">
        <v>343</v>
      </c>
      <c r="S5006" s="13">
        <v>197805906740</v>
      </c>
      <c r="T5006" s="12" t="s">
        <v>49</v>
      </c>
      <c r="U5006" s="13">
        <v>37</v>
      </c>
      <c r="V5006" s="12" t="s">
        <v>278</v>
      </c>
      <c r="W5006" s="12" t="s">
        <v>455</v>
      </c>
      <c r="X5006" s="14"/>
      <c r="Y5006" s="14"/>
      <c r="Z5006" s="14"/>
      <c r="AA5006" s="14"/>
      <c r="AB5006" s="14"/>
      <c r="AC5006" s="15">
        <v>63.65</v>
      </c>
      <c r="AD5006" s="15">
        <f>AC5006*AG5006</f>
        <v>63.65</v>
      </c>
      <c r="AE5006" s="15">
        <v>140</v>
      </c>
      <c r="AF5006" s="15">
        <f>AE5006*AG5006</f>
        <v>140</v>
      </c>
      <c r="AG5006" s="16">
        <v>1</v>
      </c>
    </row>
    <row r="5007" spans="1:33" ht="15" customHeight="1" x14ac:dyDescent="0.2">
      <c r="A5007" s="11" t="str">
        <f t="shared" si="1502"/>
        <v>VN000EKUBKA1</v>
      </c>
      <c r="B5007" s="12" t="s">
        <v>17464</v>
      </c>
      <c r="C5007" s="12" t="s">
        <v>17106</v>
      </c>
      <c r="D5007" s="12" t="s">
        <v>252</v>
      </c>
      <c r="E5007" s="12" t="s">
        <v>17465</v>
      </c>
      <c r="F5007" s="13">
        <v>80</v>
      </c>
      <c r="G5007" s="14"/>
      <c r="H5007" s="12" t="s">
        <v>38</v>
      </c>
      <c r="I5007" s="12" t="s">
        <v>159</v>
      </c>
      <c r="J5007" s="12" t="s">
        <v>341</v>
      </c>
      <c r="K5007" s="12" t="s">
        <v>82</v>
      </c>
      <c r="L5007" s="12" t="s">
        <v>16914</v>
      </c>
      <c r="M5007" s="12" t="s">
        <v>43</v>
      </c>
      <c r="N5007" s="12" t="s">
        <v>44</v>
      </c>
      <c r="O5007" s="12" t="s">
        <v>17466</v>
      </c>
      <c r="P5007" s="12" t="s">
        <v>46</v>
      </c>
      <c r="Q5007" s="12" t="s">
        <v>47</v>
      </c>
      <c r="R5007" s="12" t="s">
        <v>163</v>
      </c>
      <c r="S5007" s="13">
        <v>197804931255</v>
      </c>
      <c r="T5007" s="12" t="s">
        <v>49</v>
      </c>
      <c r="U5007" s="13">
        <v>40.5</v>
      </c>
      <c r="V5007" s="12" t="s">
        <v>50</v>
      </c>
      <c r="W5007" s="12" t="s">
        <v>51</v>
      </c>
      <c r="X5007" s="14"/>
      <c r="Y5007" s="12" t="s">
        <v>91</v>
      </c>
      <c r="Z5007" s="12" t="s">
        <v>344</v>
      </c>
      <c r="AA5007" s="14"/>
      <c r="AB5007" s="12" t="s">
        <v>6081</v>
      </c>
      <c r="AC5007" s="15">
        <v>43.2</v>
      </c>
      <c r="AD5007" s="15">
        <f>AC5007*AG5007</f>
        <v>43.2</v>
      </c>
      <c r="AE5007" s="15">
        <v>95</v>
      </c>
      <c r="AF5007" s="15">
        <f>AE5007*AG5007</f>
        <v>95</v>
      </c>
      <c r="AG5007" s="16">
        <v>1</v>
      </c>
    </row>
    <row r="5008" spans="1:33" ht="15" customHeight="1" x14ac:dyDescent="0.2">
      <c r="A5008" s="11" t="str">
        <f t="shared" si="1502"/>
        <v>VN000EKUBKA1</v>
      </c>
      <c r="B5008" s="12" t="s">
        <v>17467</v>
      </c>
      <c r="C5008" s="12" t="s">
        <v>17106</v>
      </c>
      <c r="D5008" s="12" t="s">
        <v>252</v>
      </c>
      <c r="E5008" s="12" t="s">
        <v>17468</v>
      </c>
      <c r="F5008" s="13">
        <v>85</v>
      </c>
      <c r="G5008" s="14"/>
      <c r="H5008" s="12" t="s">
        <v>38</v>
      </c>
      <c r="I5008" s="12" t="s">
        <v>159</v>
      </c>
      <c r="J5008" s="12" t="s">
        <v>341</v>
      </c>
      <c r="K5008" s="12" t="s">
        <v>82</v>
      </c>
      <c r="L5008" s="12" t="s">
        <v>16914</v>
      </c>
      <c r="M5008" s="12" t="s">
        <v>43</v>
      </c>
      <c r="N5008" s="12" t="s">
        <v>44</v>
      </c>
      <c r="O5008" s="12" t="s">
        <v>17469</v>
      </c>
      <c r="P5008" s="12" t="s">
        <v>46</v>
      </c>
      <c r="Q5008" s="12" t="s">
        <v>47</v>
      </c>
      <c r="R5008" s="12" t="s">
        <v>163</v>
      </c>
      <c r="S5008" s="13">
        <v>197804931507</v>
      </c>
      <c r="T5008" s="12" t="s">
        <v>49</v>
      </c>
      <c r="U5008" s="13">
        <v>41</v>
      </c>
      <c r="V5008" s="12" t="s">
        <v>50</v>
      </c>
      <c r="W5008" s="12" t="s">
        <v>51</v>
      </c>
      <c r="X5008" s="14"/>
      <c r="Y5008" s="12" t="s">
        <v>91</v>
      </c>
      <c r="Z5008" s="12" t="s">
        <v>344</v>
      </c>
      <c r="AA5008" s="14"/>
      <c r="AB5008" s="12" t="s">
        <v>6081</v>
      </c>
      <c r="AC5008" s="15">
        <v>43.2</v>
      </c>
      <c r="AD5008" s="15">
        <f>AC5008*AG5008</f>
        <v>43.2</v>
      </c>
      <c r="AE5008" s="15">
        <v>95</v>
      </c>
      <c r="AF5008" s="15">
        <f>AE5008*AG5008</f>
        <v>95</v>
      </c>
      <c r="AG5008" s="16">
        <v>1</v>
      </c>
    </row>
    <row r="5009" spans="1:33" ht="15" customHeight="1" x14ac:dyDescent="0.2">
      <c r="A5009" s="11" t="str">
        <f t="shared" si="1502"/>
        <v>VN000EKUBKA1</v>
      </c>
      <c r="B5009" s="12" t="s">
        <v>17470</v>
      </c>
      <c r="C5009" s="12" t="s">
        <v>17106</v>
      </c>
      <c r="D5009" s="12" t="s">
        <v>252</v>
      </c>
      <c r="E5009" s="12" t="s">
        <v>17471</v>
      </c>
      <c r="F5009" s="13">
        <v>100</v>
      </c>
      <c r="G5009" s="14"/>
      <c r="H5009" s="12" t="s">
        <v>38</v>
      </c>
      <c r="I5009" s="12" t="s">
        <v>159</v>
      </c>
      <c r="J5009" s="12" t="s">
        <v>341</v>
      </c>
      <c r="K5009" s="12" t="s">
        <v>82</v>
      </c>
      <c r="L5009" s="12" t="s">
        <v>16914</v>
      </c>
      <c r="M5009" s="12" t="s">
        <v>43</v>
      </c>
      <c r="N5009" s="12" t="s">
        <v>44</v>
      </c>
      <c r="O5009" s="12" t="s">
        <v>17472</v>
      </c>
      <c r="P5009" s="12" t="s">
        <v>46</v>
      </c>
      <c r="Q5009" s="12" t="s">
        <v>47</v>
      </c>
      <c r="R5009" s="12" t="s">
        <v>163</v>
      </c>
      <c r="S5009" s="13">
        <v>197804931729</v>
      </c>
      <c r="T5009" s="12" t="s">
        <v>49</v>
      </c>
      <c r="U5009" s="13">
        <v>43</v>
      </c>
      <c r="V5009" s="12" t="s">
        <v>50</v>
      </c>
      <c r="W5009" s="12" t="s">
        <v>51</v>
      </c>
      <c r="X5009" s="14"/>
      <c r="Y5009" s="12" t="s">
        <v>91</v>
      </c>
      <c r="Z5009" s="12" t="s">
        <v>344</v>
      </c>
      <c r="AA5009" s="14"/>
      <c r="AB5009" s="12" t="s">
        <v>6081</v>
      </c>
      <c r="AC5009" s="15">
        <v>43.2</v>
      </c>
      <c r="AD5009" s="15">
        <f>AC5009*AG5009</f>
        <v>43.2</v>
      </c>
      <c r="AE5009" s="15">
        <v>95</v>
      </c>
      <c r="AF5009" s="15">
        <f>AE5009*AG5009</f>
        <v>95</v>
      </c>
      <c r="AG5009" s="16">
        <v>1</v>
      </c>
    </row>
    <row r="5010" spans="1:33" ht="15" customHeight="1" x14ac:dyDescent="0.2">
      <c r="A5010" s="11" t="str">
        <f t="shared" si="1502"/>
        <v>VN000EKUBKA1</v>
      </c>
      <c r="B5010" s="12" t="s">
        <v>17473</v>
      </c>
      <c r="C5010" s="12" t="s">
        <v>17106</v>
      </c>
      <c r="D5010" s="12" t="s">
        <v>252</v>
      </c>
      <c r="E5010" s="12" t="s">
        <v>17474</v>
      </c>
      <c r="F5010" s="13">
        <v>110</v>
      </c>
      <c r="G5010" s="14"/>
      <c r="H5010" s="12" t="s">
        <v>38</v>
      </c>
      <c r="I5010" s="12" t="s">
        <v>159</v>
      </c>
      <c r="J5010" s="12" t="s">
        <v>341</v>
      </c>
      <c r="K5010" s="12" t="s">
        <v>82</v>
      </c>
      <c r="L5010" s="12" t="s">
        <v>16914</v>
      </c>
      <c r="M5010" s="12" t="s">
        <v>43</v>
      </c>
      <c r="N5010" s="12" t="s">
        <v>44</v>
      </c>
      <c r="O5010" s="12" t="s">
        <v>17475</v>
      </c>
      <c r="P5010" s="12" t="s">
        <v>46</v>
      </c>
      <c r="Q5010" s="12" t="s">
        <v>47</v>
      </c>
      <c r="R5010" s="12" t="s">
        <v>163</v>
      </c>
      <c r="S5010" s="13">
        <v>197804931804</v>
      </c>
      <c r="T5010" s="12" t="s">
        <v>49</v>
      </c>
      <c r="U5010" s="13">
        <v>44.5</v>
      </c>
      <c r="V5010" s="12" t="s">
        <v>50</v>
      </c>
      <c r="W5010" s="12" t="s">
        <v>51</v>
      </c>
      <c r="X5010" s="14"/>
      <c r="Y5010" s="12" t="s">
        <v>91</v>
      </c>
      <c r="Z5010" s="12" t="s">
        <v>344</v>
      </c>
      <c r="AA5010" s="14"/>
      <c r="AB5010" s="12" t="s">
        <v>6081</v>
      </c>
      <c r="AC5010" s="15">
        <v>43.2</v>
      </c>
      <c r="AD5010" s="15">
        <f>AC5010*AG5010</f>
        <v>43.2</v>
      </c>
      <c r="AE5010" s="15">
        <v>95</v>
      </c>
      <c r="AF5010" s="15">
        <f>AE5010*AG5010</f>
        <v>95</v>
      </c>
      <c r="AG5010" s="16">
        <v>1</v>
      </c>
    </row>
    <row r="5011" spans="1:33" ht="15" customHeight="1" x14ac:dyDescent="0.2">
      <c r="A5011" s="11" t="str">
        <f t="shared" si="1502"/>
        <v>VN000EKUBKA1</v>
      </c>
      <c r="B5011" s="12" t="s">
        <v>17476</v>
      </c>
      <c r="C5011" s="12" t="s">
        <v>17106</v>
      </c>
      <c r="D5011" s="12" t="s">
        <v>252</v>
      </c>
      <c r="E5011" s="12" t="s">
        <v>17477</v>
      </c>
      <c r="F5011" s="13">
        <v>115</v>
      </c>
      <c r="G5011" s="14"/>
      <c r="H5011" s="12" t="s">
        <v>38</v>
      </c>
      <c r="I5011" s="12" t="s">
        <v>159</v>
      </c>
      <c r="J5011" s="12" t="s">
        <v>341</v>
      </c>
      <c r="K5011" s="12" t="s">
        <v>82</v>
      </c>
      <c r="L5011" s="12" t="s">
        <v>16914</v>
      </c>
      <c r="M5011" s="12" t="s">
        <v>43</v>
      </c>
      <c r="N5011" s="12" t="s">
        <v>44</v>
      </c>
      <c r="O5011" s="12" t="s">
        <v>17478</v>
      </c>
      <c r="P5011" s="12" t="s">
        <v>46</v>
      </c>
      <c r="Q5011" s="12" t="s">
        <v>47</v>
      </c>
      <c r="R5011" s="12" t="s">
        <v>163</v>
      </c>
      <c r="S5011" s="13">
        <v>197804931835</v>
      </c>
      <c r="T5011" s="12" t="s">
        <v>49</v>
      </c>
      <c r="U5011" s="13">
        <v>45</v>
      </c>
      <c r="V5011" s="12" t="s">
        <v>50</v>
      </c>
      <c r="W5011" s="12" t="s">
        <v>51</v>
      </c>
      <c r="X5011" s="14"/>
      <c r="Y5011" s="12" t="s">
        <v>91</v>
      </c>
      <c r="Z5011" s="12" t="s">
        <v>344</v>
      </c>
      <c r="AA5011" s="14"/>
      <c r="AB5011" s="12" t="s">
        <v>6081</v>
      </c>
      <c r="AC5011" s="15">
        <v>43.2</v>
      </c>
      <c r="AD5011" s="15">
        <f>AC5011*AG5011</f>
        <v>43.2</v>
      </c>
      <c r="AE5011" s="15">
        <v>95</v>
      </c>
      <c r="AF5011" s="15">
        <f>AE5011*AG5011</f>
        <v>95</v>
      </c>
      <c r="AG5011" s="16">
        <v>1</v>
      </c>
    </row>
    <row r="5012" spans="1:33" ht="15" customHeight="1" x14ac:dyDescent="0.2">
      <c r="A5012" s="11" t="str">
        <f t="shared" si="1503"/>
        <v>VN000MRJYQX1</v>
      </c>
      <c r="B5012" s="12" t="s">
        <v>17479</v>
      </c>
      <c r="C5012" s="12" t="s">
        <v>17110</v>
      </c>
      <c r="D5012" s="12" t="s">
        <v>17111</v>
      </c>
      <c r="E5012" s="12" t="s">
        <v>17480</v>
      </c>
      <c r="F5012" s="13">
        <v>110</v>
      </c>
      <c r="G5012" s="14"/>
      <c r="H5012" s="12" t="s">
        <v>38</v>
      </c>
      <c r="I5012" s="12" t="s">
        <v>159</v>
      </c>
      <c r="J5012" s="12" t="s">
        <v>341</v>
      </c>
      <c r="K5012" s="12" t="s">
        <v>199</v>
      </c>
      <c r="L5012" s="14"/>
      <c r="M5012" s="12" t="s">
        <v>43</v>
      </c>
      <c r="N5012" s="12" t="s">
        <v>274</v>
      </c>
      <c r="O5012" s="12" t="s">
        <v>17481</v>
      </c>
      <c r="P5012" s="12" t="s">
        <v>46</v>
      </c>
      <c r="Q5012" s="12" t="s">
        <v>47</v>
      </c>
      <c r="R5012" s="12" t="s">
        <v>163</v>
      </c>
      <c r="S5012" s="13">
        <v>197063784005</v>
      </c>
      <c r="T5012" s="12" t="s">
        <v>49</v>
      </c>
      <c r="U5012" s="13">
        <v>44.5</v>
      </c>
      <c r="V5012" s="12" t="s">
        <v>50</v>
      </c>
      <c r="W5012" s="12" t="s">
        <v>118</v>
      </c>
      <c r="X5012" s="14"/>
      <c r="Y5012" s="12" t="s">
        <v>53</v>
      </c>
      <c r="Z5012" s="12" t="s">
        <v>344</v>
      </c>
      <c r="AA5012" s="14"/>
      <c r="AB5012" s="14"/>
      <c r="AC5012" s="15">
        <v>45.5</v>
      </c>
      <c r="AD5012" s="15">
        <f>AC5012*AG5012</f>
        <v>45.5</v>
      </c>
      <c r="AE5012" s="15">
        <v>100</v>
      </c>
      <c r="AF5012" s="15">
        <f>AE5012*AG5012</f>
        <v>100</v>
      </c>
      <c r="AG5012" s="16">
        <v>1</v>
      </c>
    </row>
    <row r="5013" spans="1:33" ht="15" customHeight="1" x14ac:dyDescent="0.2">
      <c r="A5013" s="11" t="str">
        <f t="shared" si="1504"/>
        <v>VN0A2Z32Y451</v>
      </c>
      <c r="B5013" s="12" t="s">
        <v>17482</v>
      </c>
      <c r="C5013" s="12" t="s">
        <v>996</v>
      </c>
      <c r="D5013" s="12" t="s">
        <v>17115</v>
      </c>
      <c r="E5013" s="12" t="s">
        <v>17483</v>
      </c>
      <c r="F5013" s="13">
        <v>50</v>
      </c>
      <c r="G5013" s="12" t="s">
        <v>16940</v>
      </c>
      <c r="H5013" s="12" t="s">
        <v>38</v>
      </c>
      <c r="I5013" s="12" t="s">
        <v>159</v>
      </c>
      <c r="J5013" s="12" t="s">
        <v>341</v>
      </c>
      <c r="K5013" s="12" t="s">
        <v>199</v>
      </c>
      <c r="L5013" s="14"/>
      <c r="M5013" s="12" t="s">
        <v>43</v>
      </c>
      <c r="N5013" s="12" t="s">
        <v>44</v>
      </c>
      <c r="O5013" s="12" t="s">
        <v>17484</v>
      </c>
      <c r="P5013" s="12" t="s">
        <v>46</v>
      </c>
      <c r="Q5013" s="12" t="s">
        <v>47</v>
      </c>
      <c r="R5013" s="12" t="s">
        <v>163</v>
      </c>
      <c r="S5013" s="13">
        <v>197643304814</v>
      </c>
      <c r="T5013" s="12" t="s">
        <v>49</v>
      </c>
      <c r="U5013" s="13">
        <v>36.5</v>
      </c>
      <c r="V5013" s="12" t="s">
        <v>50</v>
      </c>
      <c r="W5013" s="12" t="s">
        <v>51</v>
      </c>
      <c r="X5013" s="14"/>
      <c r="Y5013" s="12" t="s">
        <v>91</v>
      </c>
      <c r="Z5013" s="12" t="s">
        <v>344</v>
      </c>
      <c r="AA5013" s="14"/>
      <c r="AB5013" s="14"/>
      <c r="AC5013" s="15">
        <v>38.65</v>
      </c>
      <c r="AD5013" s="15">
        <f>AC5013*AG5013</f>
        <v>38.65</v>
      </c>
      <c r="AE5013" s="15">
        <v>85</v>
      </c>
      <c r="AF5013" s="15">
        <f>AE5013*AG5013</f>
        <v>85</v>
      </c>
      <c r="AG5013" s="16">
        <v>1</v>
      </c>
    </row>
    <row r="5014" spans="1:33" ht="15" customHeight="1" x14ac:dyDescent="0.2">
      <c r="A5014" s="11" t="str">
        <f t="shared" si="1504"/>
        <v>VN0A2Z32Y451</v>
      </c>
      <c r="B5014" s="12" t="s">
        <v>17485</v>
      </c>
      <c r="C5014" s="12" t="s">
        <v>996</v>
      </c>
      <c r="D5014" s="12" t="s">
        <v>17115</v>
      </c>
      <c r="E5014" s="12" t="s">
        <v>17486</v>
      </c>
      <c r="F5014" s="13">
        <v>55</v>
      </c>
      <c r="G5014" s="12" t="s">
        <v>16940</v>
      </c>
      <c r="H5014" s="12" t="s">
        <v>38</v>
      </c>
      <c r="I5014" s="12" t="s">
        <v>159</v>
      </c>
      <c r="J5014" s="12" t="s">
        <v>341</v>
      </c>
      <c r="K5014" s="12" t="s">
        <v>199</v>
      </c>
      <c r="L5014" s="14"/>
      <c r="M5014" s="12" t="s">
        <v>43</v>
      </c>
      <c r="N5014" s="12" t="s">
        <v>44</v>
      </c>
      <c r="O5014" s="12" t="s">
        <v>17487</v>
      </c>
      <c r="P5014" s="12" t="s">
        <v>46</v>
      </c>
      <c r="Q5014" s="12" t="s">
        <v>47</v>
      </c>
      <c r="R5014" s="12" t="s">
        <v>163</v>
      </c>
      <c r="S5014" s="13">
        <v>197643304944</v>
      </c>
      <c r="T5014" s="12" t="s">
        <v>49</v>
      </c>
      <c r="U5014" s="13">
        <v>37</v>
      </c>
      <c r="V5014" s="12" t="s">
        <v>50</v>
      </c>
      <c r="W5014" s="12" t="s">
        <v>51</v>
      </c>
      <c r="X5014" s="14"/>
      <c r="Y5014" s="12" t="s">
        <v>91</v>
      </c>
      <c r="Z5014" s="12" t="s">
        <v>344</v>
      </c>
      <c r="AA5014" s="14"/>
      <c r="AB5014" s="14"/>
      <c r="AC5014" s="15">
        <v>38.65</v>
      </c>
      <c r="AD5014" s="15">
        <f>AC5014*AG5014</f>
        <v>38.65</v>
      </c>
      <c r="AE5014" s="15">
        <v>85</v>
      </c>
      <c r="AF5014" s="15">
        <f>AE5014*AG5014</f>
        <v>85</v>
      </c>
      <c r="AG5014" s="16">
        <v>1</v>
      </c>
    </row>
    <row r="5015" spans="1:33" ht="15" customHeight="1" x14ac:dyDescent="0.2">
      <c r="A5015" s="11" t="str">
        <f t="shared" si="1504"/>
        <v>VN0A2Z32Y451</v>
      </c>
      <c r="B5015" s="12" t="s">
        <v>17488</v>
      </c>
      <c r="C5015" s="12" t="s">
        <v>996</v>
      </c>
      <c r="D5015" s="12" t="s">
        <v>17115</v>
      </c>
      <c r="E5015" s="12" t="s">
        <v>17489</v>
      </c>
      <c r="F5015" s="13">
        <v>60</v>
      </c>
      <c r="G5015" s="12" t="s">
        <v>16940</v>
      </c>
      <c r="H5015" s="12" t="s">
        <v>38</v>
      </c>
      <c r="I5015" s="12" t="s">
        <v>159</v>
      </c>
      <c r="J5015" s="12" t="s">
        <v>341</v>
      </c>
      <c r="K5015" s="12" t="s">
        <v>199</v>
      </c>
      <c r="L5015" s="14"/>
      <c r="M5015" s="12" t="s">
        <v>43</v>
      </c>
      <c r="N5015" s="12" t="s">
        <v>44</v>
      </c>
      <c r="O5015" s="12" t="s">
        <v>17490</v>
      </c>
      <c r="P5015" s="12" t="s">
        <v>46</v>
      </c>
      <c r="Q5015" s="12" t="s">
        <v>47</v>
      </c>
      <c r="R5015" s="12" t="s">
        <v>163</v>
      </c>
      <c r="S5015" s="13">
        <v>197643305132</v>
      </c>
      <c r="T5015" s="12" t="s">
        <v>49</v>
      </c>
      <c r="U5015" s="13">
        <v>38</v>
      </c>
      <c r="V5015" s="12" t="s">
        <v>50</v>
      </c>
      <c r="W5015" s="12" t="s">
        <v>51</v>
      </c>
      <c r="X5015" s="14"/>
      <c r="Y5015" s="12" t="s">
        <v>91</v>
      </c>
      <c r="Z5015" s="12" t="s">
        <v>344</v>
      </c>
      <c r="AA5015" s="14"/>
      <c r="AB5015" s="14"/>
      <c r="AC5015" s="15">
        <v>38.65</v>
      </c>
      <c r="AD5015" s="15">
        <f>AC5015*AG5015</f>
        <v>38.65</v>
      </c>
      <c r="AE5015" s="15">
        <v>85</v>
      </c>
      <c r="AF5015" s="15">
        <f>AE5015*AG5015</f>
        <v>85</v>
      </c>
      <c r="AG5015" s="16">
        <v>1</v>
      </c>
    </row>
    <row r="5016" spans="1:33" ht="15" customHeight="1" x14ac:dyDescent="0.2">
      <c r="A5016" s="11" t="str">
        <f t="shared" si="1504"/>
        <v>VN0A2Z32Y451</v>
      </c>
      <c r="B5016" s="12" t="s">
        <v>17491</v>
      </c>
      <c r="C5016" s="12" t="s">
        <v>996</v>
      </c>
      <c r="D5016" s="12" t="s">
        <v>17115</v>
      </c>
      <c r="E5016" s="12" t="s">
        <v>17492</v>
      </c>
      <c r="F5016" s="13">
        <v>80</v>
      </c>
      <c r="G5016" s="12" t="s">
        <v>16940</v>
      </c>
      <c r="H5016" s="12" t="s">
        <v>38</v>
      </c>
      <c r="I5016" s="12" t="s">
        <v>159</v>
      </c>
      <c r="J5016" s="12" t="s">
        <v>341</v>
      </c>
      <c r="K5016" s="12" t="s">
        <v>199</v>
      </c>
      <c r="L5016" s="14"/>
      <c r="M5016" s="12" t="s">
        <v>43</v>
      </c>
      <c r="N5016" s="12" t="s">
        <v>44</v>
      </c>
      <c r="O5016" s="12" t="s">
        <v>17493</v>
      </c>
      <c r="P5016" s="12" t="s">
        <v>46</v>
      </c>
      <c r="Q5016" s="12" t="s">
        <v>47</v>
      </c>
      <c r="R5016" s="12" t="s">
        <v>163</v>
      </c>
      <c r="S5016" s="13">
        <v>197643305743</v>
      </c>
      <c r="T5016" s="12" t="s">
        <v>49</v>
      </c>
      <c r="U5016" s="13">
        <v>40.5</v>
      </c>
      <c r="V5016" s="12" t="s">
        <v>50</v>
      </c>
      <c r="W5016" s="12" t="s">
        <v>51</v>
      </c>
      <c r="X5016" s="14"/>
      <c r="Y5016" s="12" t="s">
        <v>91</v>
      </c>
      <c r="Z5016" s="12" t="s">
        <v>344</v>
      </c>
      <c r="AA5016" s="14"/>
      <c r="AB5016" s="14"/>
      <c r="AC5016" s="15">
        <v>38.65</v>
      </c>
      <c r="AD5016" s="15">
        <f>AC5016*AG5016</f>
        <v>38.65</v>
      </c>
      <c r="AE5016" s="15">
        <v>85</v>
      </c>
      <c r="AF5016" s="15">
        <f>AE5016*AG5016</f>
        <v>85</v>
      </c>
      <c r="AG5016" s="16">
        <v>1</v>
      </c>
    </row>
    <row r="5017" spans="1:33" ht="15" customHeight="1" x14ac:dyDescent="0.2">
      <c r="A5017" s="11" t="str">
        <f t="shared" si="1504"/>
        <v>VN0A2Z32Y451</v>
      </c>
      <c r="B5017" s="12" t="s">
        <v>17494</v>
      </c>
      <c r="C5017" s="12" t="s">
        <v>996</v>
      </c>
      <c r="D5017" s="12" t="s">
        <v>17115</v>
      </c>
      <c r="E5017" s="12" t="s">
        <v>17495</v>
      </c>
      <c r="F5017" s="13">
        <v>95</v>
      </c>
      <c r="G5017" s="12" t="s">
        <v>16940</v>
      </c>
      <c r="H5017" s="12" t="s">
        <v>38</v>
      </c>
      <c r="I5017" s="12" t="s">
        <v>159</v>
      </c>
      <c r="J5017" s="12" t="s">
        <v>341</v>
      </c>
      <c r="K5017" s="12" t="s">
        <v>199</v>
      </c>
      <c r="L5017" s="14"/>
      <c r="M5017" s="12" t="s">
        <v>43</v>
      </c>
      <c r="N5017" s="12" t="s">
        <v>44</v>
      </c>
      <c r="O5017" s="12" t="s">
        <v>17496</v>
      </c>
      <c r="P5017" s="12" t="s">
        <v>46</v>
      </c>
      <c r="Q5017" s="12" t="s">
        <v>47</v>
      </c>
      <c r="R5017" s="12" t="s">
        <v>163</v>
      </c>
      <c r="S5017" s="13">
        <v>197643306047</v>
      </c>
      <c r="T5017" s="12" t="s">
        <v>49</v>
      </c>
      <c r="U5017" s="13">
        <v>42.5</v>
      </c>
      <c r="V5017" s="12" t="s">
        <v>50</v>
      </c>
      <c r="W5017" s="12" t="s">
        <v>51</v>
      </c>
      <c r="X5017" s="14"/>
      <c r="Y5017" s="12" t="s">
        <v>91</v>
      </c>
      <c r="Z5017" s="12" t="s">
        <v>344</v>
      </c>
      <c r="AA5017" s="14"/>
      <c r="AB5017" s="14"/>
      <c r="AC5017" s="15">
        <v>38.65</v>
      </c>
      <c r="AD5017" s="15">
        <f>AC5017*AG5017</f>
        <v>38.65</v>
      </c>
      <c r="AE5017" s="15">
        <v>85</v>
      </c>
      <c r="AF5017" s="15">
        <f>AE5017*AG5017</f>
        <v>85</v>
      </c>
      <c r="AG5017" s="16">
        <v>1</v>
      </c>
    </row>
    <row r="5018" spans="1:33" ht="15" customHeight="1" x14ac:dyDescent="0.2">
      <c r="A5018" s="11" t="str">
        <f t="shared" si="1505"/>
        <v>VN0A2Z348YG1</v>
      </c>
      <c r="B5018" s="12" t="s">
        <v>17497</v>
      </c>
      <c r="C5018" s="12" t="s">
        <v>7568</v>
      </c>
      <c r="D5018" s="12" t="s">
        <v>17119</v>
      </c>
      <c r="E5018" s="12" t="s">
        <v>17498</v>
      </c>
      <c r="F5018" s="13">
        <v>85</v>
      </c>
      <c r="G5018" s="14"/>
      <c r="H5018" s="12" t="s">
        <v>38</v>
      </c>
      <c r="I5018" s="12" t="s">
        <v>159</v>
      </c>
      <c r="J5018" s="12" t="s">
        <v>341</v>
      </c>
      <c r="K5018" s="12" t="s">
        <v>199</v>
      </c>
      <c r="L5018" s="14"/>
      <c r="M5018" s="12" t="s">
        <v>43</v>
      </c>
      <c r="N5018" s="12" t="s">
        <v>44</v>
      </c>
      <c r="O5018" s="12" t="s">
        <v>17499</v>
      </c>
      <c r="P5018" s="12" t="s">
        <v>46</v>
      </c>
      <c r="Q5018" s="12" t="s">
        <v>47</v>
      </c>
      <c r="R5018" s="12" t="s">
        <v>343</v>
      </c>
      <c r="S5018" s="13">
        <v>197643306276</v>
      </c>
      <c r="T5018" s="12" t="s">
        <v>49</v>
      </c>
      <c r="U5018" s="13">
        <v>41</v>
      </c>
      <c r="V5018" s="12" t="s">
        <v>50</v>
      </c>
      <c r="W5018" s="12" t="s">
        <v>175</v>
      </c>
      <c r="X5018" s="14"/>
      <c r="Y5018" s="12" t="s">
        <v>91</v>
      </c>
      <c r="Z5018" s="12" t="s">
        <v>344</v>
      </c>
      <c r="AA5018" s="14"/>
      <c r="AB5018" s="14"/>
      <c r="AC5018" s="15">
        <v>43.2</v>
      </c>
      <c r="AD5018" s="15">
        <f>AC5018*AG5018</f>
        <v>43.2</v>
      </c>
      <c r="AE5018" s="15">
        <v>95</v>
      </c>
      <c r="AF5018" s="15">
        <f>AE5018*AG5018</f>
        <v>95</v>
      </c>
      <c r="AG5018" s="16">
        <v>1</v>
      </c>
    </row>
    <row r="5019" spans="1:33" ht="15" customHeight="1" x14ac:dyDescent="0.2">
      <c r="A5019" s="11" t="str">
        <f t="shared" ref="A5019:A5022" si="1515">HYPERLINK("https://assets.vans.eu/images/VN0A2Z34AFJ-HERO/1","VN0A2Z34AFJ1")</f>
        <v>VN0A2Z34AFJ1</v>
      </c>
      <c r="B5019" s="12" t="s">
        <v>17500</v>
      </c>
      <c r="C5019" s="12" t="s">
        <v>7568</v>
      </c>
      <c r="D5019" s="12" t="s">
        <v>17501</v>
      </c>
      <c r="E5019" s="12" t="s">
        <v>17502</v>
      </c>
      <c r="F5019" s="13">
        <v>75</v>
      </c>
      <c r="G5019" s="12" t="s">
        <v>528</v>
      </c>
      <c r="H5019" s="12" t="s">
        <v>38</v>
      </c>
      <c r="I5019" s="12" t="s">
        <v>159</v>
      </c>
      <c r="J5019" s="12" t="s">
        <v>341</v>
      </c>
      <c r="K5019" s="12" t="s">
        <v>199</v>
      </c>
      <c r="L5019" s="14"/>
      <c r="M5019" s="12" t="s">
        <v>43</v>
      </c>
      <c r="N5019" s="12" t="s">
        <v>44</v>
      </c>
      <c r="O5019" s="12" t="s">
        <v>17503</v>
      </c>
      <c r="P5019" s="12" t="s">
        <v>46</v>
      </c>
      <c r="Q5019" s="12" t="s">
        <v>47</v>
      </c>
      <c r="R5019" s="12" t="s">
        <v>343</v>
      </c>
      <c r="S5019" s="13">
        <v>197643306955</v>
      </c>
      <c r="T5019" s="12" t="s">
        <v>49</v>
      </c>
      <c r="U5019" s="13">
        <v>40</v>
      </c>
      <c r="V5019" s="12" t="s">
        <v>50</v>
      </c>
      <c r="W5019" s="12" t="s">
        <v>299</v>
      </c>
      <c r="X5019" s="14"/>
      <c r="Y5019" s="12" t="s">
        <v>91</v>
      </c>
      <c r="Z5019" s="12" t="s">
        <v>344</v>
      </c>
      <c r="AA5019" s="14"/>
      <c r="AB5019" s="14"/>
      <c r="AC5019" s="15">
        <v>43.2</v>
      </c>
      <c r="AD5019" s="15">
        <f>AC5019*AG5019</f>
        <v>43.2</v>
      </c>
      <c r="AE5019" s="15">
        <v>95</v>
      </c>
      <c r="AF5019" s="15">
        <f>AE5019*AG5019</f>
        <v>95</v>
      </c>
      <c r="AG5019" s="16">
        <v>1</v>
      </c>
    </row>
    <row r="5020" spans="1:33" ht="15" customHeight="1" x14ac:dyDescent="0.2">
      <c r="A5020" s="11" t="str">
        <f t="shared" si="1515"/>
        <v>VN0A2Z34AFJ1</v>
      </c>
      <c r="B5020" s="12" t="s">
        <v>17504</v>
      </c>
      <c r="C5020" s="12" t="s">
        <v>7568</v>
      </c>
      <c r="D5020" s="12" t="s">
        <v>17501</v>
      </c>
      <c r="E5020" s="12" t="s">
        <v>17505</v>
      </c>
      <c r="F5020" s="13">
        <v>90</v>
      </c>
      <c r="G5020" s="12" t="s">
        <v>528</v>
      </c>
      <c r="H5020" s="12" t="s">
        <v>38</v>
      </c>
      <c r="I5020" s="12" t="s">
        <v>159</v>
      </c>
      <c r="J5020" s="12" t="s">
        <v>341</v>
      </c>
      <c r="K5020" s="12" t="s">
        <v>199</v>
      </c>
      <c r="L5020" s="14"/>
      <c r="M5020" s="12" t="s">
        <v>43</v>
      </c>
      <c r="N5020" s="12" t="s">
        <v>44</v>
      </c>
      <c r="O5020" s="12" t="s">
        <v>17506</v>
      </c>
      <c r="P5020" s="12" t="s">
        <v>46</v>
      </c>
      <c r="Q5020" s="12" t="s">
        <v>47</v>
      </c>
      <c r="R5020" s="12" t="s">
        <v>343</v>
      </c>
      <c r="S5020" s="13">
        <v>197643307358</v>
      </c>
      <c r="T5020" s="12" t="s">
        <v>49</v>
      </c>
      <c r="U5020" s="13">
        <v>42</v>
      </c>
      <c r="V5020" s="12" t="s">
        <v>50</v>
      </c>
      <c r="W5020" s="12" t="s">
        <v>299</v>
      </c>
      <c r="X5020" s="14"/>
      <c r="Y5020" s="12" t="s">
        <v>91</v>
      </c>
      <c r="Z5020" s="12" t="s">
        <v>344</v>
      </c>
      <c r="AA5020" s="14"/>
      <c r="AB5020" s="14"/>
      <c r="AC5020" s="15">
        <v>43.2</v>
      </c>
      <c r="AD5020" s="15">
        <f>AC5020*AG5020</f>
        <v>43.2</v>
      </c>
      <c r="AE5020" s="15">
        <v>95</v>
      </c>
      <c r="AF5020" s="15">
        <f>AE5020*AG5020</f>
        <v>95</v>
      </c>
      <c r="AG5020" s="16">
        <v>1</v>
      </c>
    </row>
    <row r="5021" spans="1:33" ht="15" customHeight="1" x14ac:dyDescent="0.2">
      <c r="A5021" s="11" t="str">
        <f t="shared" si="1515"/>
        <v>VN0A2Z34AFJ1</v>
      </c>
      <c r="B5021" s="12" t="s">
        <v>17507</v>
      </c>
      <c r="C5021" s="12" t="s">
        <v>7568</v>
      </c>
      <c r="D5021" s="12" t="s">
        <v>17501</v>
      </c>
      <c r="E5021" s="12" t="s">
        <v>17508</v>
      </c>
      <c r="F5021" s="13">
        <v>105</v>
      </c>
      <c r="G5021" s="12" t="s">
        <v>528</v>
      </c>
      <c r="H5021" s="12" t="s">
        <v>38</v>
      </c>
      <c r="I5021" s="12" t="s">
        <v>159</v>
      </c>
      <c r="J5021" s="12" t="s">
        <v>341</v>
      </c>
      <c r="K5021" s="12" t="s">
        <v>199</v>
      </c>
      <c r="L5021" s="14"/>
      <c r="M5021" s="12" t="s">
        <v>43</v>
      </c>
      <c r="N5021" s="12" t="s">
        <v>44</v>
      </c>
      <c r="O5021" s="12" t="s">
        <v>17509</v>
      </c>
      <c r="P5021" s="12" t="s">
        <v>46</v>
      </c>
      <c r="Q5021" s="12" t="s">
        <v>47</v>
      </c>
      <c r="R5021" s="12" t="s">
        <v>343</v>
      </c>
      <c r="S5021" s="13">
        <v>197643307761</v>
      </c>
      <c r="T5021" s="12" t="s">
        <v>49</v>
      </c>
      <c r="U5021" s="13">
        <v>44</v>
      </c>
      <c r="V5021" s="12" t="s">
        <v>50</v>
      </c>
      <c r="W5021" s="12" t="s">
        <v>299</v>
      </c>
      <c r="X5021" s="14"/>
      <c r="Y5021" s="12" t="s">
        <v>91</v>
      </c>
      <c r="Z5021" s="12" t="s">
        <v>344</v>
      </c>
      <c r="AA5021" s="14"/>
      <c r="AB5021" s="14"/>
      <c r="AC5021" s="15">
        <v>43.2</v>
      </c>
      <c r="AD5021" s="15">
        <f>AC5021*AG5021</f>
        <v>43.2</v>
      </c>
      <c r="AE5021" s="15">
        <v>95</v>
      </c>
      <c r="AF5021" s="15">
        <f>AE5021*AG5021</f>
        <v>95</v>
      </c>
      <c r="AG5021" s="16">
        <v>1</v>
      </c>
    </row>
    <row r="5022" spans="1:33" ht="15" customHeight="1" x14ac:dyDescent="0.2">
      <c r="A5022" s="11" t="str">
        <f t="shared" si="1515"/>
        <v>VN0A2Z34AFJ1</v>
      </c>
      <c r="B5022" s="12" t="s">
        <v>17510</v>
      </c>
      <c r="C5022" s="12" t="s">
        <v>7568</v>
      </c>
      <c r="D5022" s="12" t="s">
        <v>17501</v>
      </c>
      <c r="E5022" s="12" t="s">
        <v>17511</v>
      </c>
      <c r="F5022" s="13">
        <v>115</v>
      </c>
      <c r="G5022" s="12" t="s">
        <v>528</v>
      </c>
      <c r="H5022" s="12" t="s">
        <v>38</v>
      </c>
      <c r="I5022" s="12" t="s">
        <v>159</v>
      </c>
      <c r="J5022" s="12" t="s">
        <v>341</v>
      </c>
      <c r="K5022" s="12" t="s">
        <v>199</v>
      </c>
      <c r="L5022" s="14"/>
      <c r="M5022" s="12" t="s">
        <v>43</v>
      </c>
      <c r="N5022" s="12" t="s">
        <v>44</v>
      </c>
      <c r="O5022" s="12" t="s">
        <v>17512</v>
      </c>
      <c r="P5022" s="12" t="s">
        <v>46</v>
      </c>
      <c r="Q5022" s="12" t="s">
        <v>47</v>
      </c>
      <c r="R5022" s="12" t="s">
        <v>343</v>
      </c>
      <c r="S5022" s="13">
        <v>197643307983</v>
      </c>
      <c r="T5022" s="12" t="s">
        <v>49</v>
      </c>
      <c r="U5022" s="13">
        <v>45</v>
      </c>
      <c r="V5022" s="12" t="s">
        <v>50</v>
      </c>
      <c r="W5022" s="12" t="s">
        <v>299</v>
      </c>
      <c r="X5022" s="14"/>
      <c r="Y5022" s="12" t="s">
        <v>91</v>
      </c>
      <c r="Z5022" s="12" t="s">
        <v>344</v>
      </c>
      <c r="AA5022" s="14"/>
      <c r="AB5022" s="14"/>
      <c r="AC5022" s="15">
        <v>43.2</v>
      </c>
      <c r="AD5022" s="15">
        <f>AC5022*AG5022</f>
        <v>43.2</v>
      </c>
      <c r="AE5022" s="15">
        <v>95</v>
      </c>
      <c r="AF5022" s="15">
        <f>AE5022*AG5022</f>
        <v>95</v>
      </c>
      <c r="AG5022" s="16">
        <v>1</v>
      </c>
    </row>
    <row r="5023" spans="1:33" ht="15" customHeight="1" x14ac:dyDescent="0.2">
      <c r="A5023" s="11" t="str">
        <f t="shared" si="1488"/>
        <v>VN0A2Z34B0Z1</v>
      </c>
      <c r="B5023" s="12" t="s">
        <v>17513</v>
      </c>
      <c r="C5023" s="12" t="s">
        <v>7568</v>
      </c>
      <c r="D5023" s="12" t="s">
        <v>16938</v>
      </c>
      <c r="E5023" s="12" t="s">
        <v>17514</v>
      </c>
      <c r="F5023" s="13">
        <v>40</v>
      </c>
      <c r="G5023" s="12" t="s">
        <v>16940</v>
      </c>
      <c r="H5023" s="12" t="s">
        <v>38</v>
      </c>
      <c r="I5023" s="12" t="s">
        <v>159</v>
      </c>
      <c r="J5023" s="12" t="s">
        <v>341</v>
      </c>
      <c r="K5023" s="12" t="s">
        <v>199</v>
      </c>
      <c r="L5023" s="14"/>
      <c r="M5023" s="12" t="s">
        <v>43</v>
      </c>
      <c r="N5023" s="12" t="s">
        <v>44</v>
      </c>
      <c r="O5023" s="12" t="s">
        <v>17515</v>
      </c>
      <c r="P5023" s="12" t="s">
        <v>46</v>
      </c>
      <c r="Q5023" s="12" t="s">
        <v>47</v>
      </c>
      <c r="R5023" s="12" t="s">
        <v>343</v>
      </c>
      <c r="S5023" s="13">
        <v>197643306566</v>
      </c>
      <c r="T5023" s="12" t="s">
        <v>49</v>
      </c>
      <c r="U5023" s="13">
        <v>35</v>
      </c>
      <c r="V5023" s="12" t="s">
        <v>50</v>
      </c>
      <c r="W5023" s="12" t="s">
        <v>625</v>
      </c>
      <c r="X5023" s="14"/>
      <c r="Y5023" s="12" t="s">
        <v>91</v>
      </c>
      <c r="Z5023" s="12" t="s">
        <v>344</v>
      </c>
      <c r="AA5023" s="14"/>
      <c r="AB5023" s="14"/>
      <c r="AC5023" s="15">
        <v>43.2</v>
      </c>
      <c r="AD5023" s="15">
        <f>AC5023*AG5023</f>
        <v>43.2</v>
      </c>
      <c r="AE5023" s="15">
        <v>95</v>
      </c>
      <c r="AF5023" s="15">
        <f>AE5023*AG5023</f>
        <v>95</v>
      </c>
      <c r="AG5023" s="16">
        <v>1</v>
      </c>
    </row>
    <row r="5024" spans="1:33" ht="15" customHeight="1" x14ac:dyDescent="0.2">
      <c r="A5024" s="11" t="str">
        <f t="shared" si="1488"/>
        <v>VN0A2Z34B0Z1</v>
      </c>
      <c r="B5024" s="12" t="s">
        <v>17516</v>
      </c>
      <c r="C5024" s="12" t="s">
        <v>7568</v>
      </c>
      <c r="D5024" s="12" t="s">
        <v>16938</v>
      </c>
      <c r="E5024" s="12" t="s">
        <v>17517</v>
      </c>
      <c r="F5024" s="13">
        <v>45</v>
      </c>
      <c r="G5024" s="12" t="s">
        <v>16940</v>
      </c>
      <c r="H5024" s="12" t="s">
        <v>38</v>
      </c>
      <c r="I5024" s="12" t="s">
        <v>159</v>
      </c>
      <c r="J5024" s="12" t="s">
        <v>341</v>
      </c>
      <c r="K5024" s="12" t="s">
        <v>199</v>
      </c>
      <c r="L5024" s="14"/>
      <c r="M5024" s="12" t="s">
        <v>43</v>
      </c>
      <c r="N5024" s="12" t="s">
        <v>44</v>
      </c>
      <c r="O5024" s="12" t="s">
        <v>17518</v>
      </c>
      <c r="P5024" s="12" t="s">
        <v>46</v>
      </c>
      <c r="Q5024" s="12" t="s">
        <v>47</v>
      </c>
      <c r="R5024" s="12" t="s">
        <v>343</v>
      </c>
      <c r="S5024" s="13">
        <v>197643306580</v>
      </c>
      <c r="T5024" s="12" t="s">
        <v>49</v>
      </c>
      <c r="U5024" s="13">
        <v>36</v>
      </c>
      <c r="V5024" s="12" t="s">
        <v>50</v>
      </c>
      <c r="W5024" s="12" t="s">
        <v>625</v>
      </c>
      <c r="X5024" s="14"/>
      <c r="Y5024" s="12" t="s">
        <v>91</v>
      </c>
      <c r="Z5024" s="12" t="s">
        <v>344</v>
      </c>
      <c r="AA5024" s="14"/>
      <c r="AB5024" s="14"/>
      <c r="AC5024" s="15">
        <v>43.2</v>
      </c>
      <c r="AD5024" s="15">
        <f>AC5024*AG5024</f>
        <v>43.2</v>
      </c>
      <c r="AE5024" s="15">
        <v>95</v>
      </c>
      <c r="AF5024" s="15">
        <f>AE5024*AG5024</f>
        <v>95</v>
      </c>
      <c r="AG5024" s="16">
        <v>1</v>
      </c>
    </row>
    <row r="5025" spans="1:33" ht="15" customHeight="1" x14ac:dyDescent="0.2">
      <c r="A5025" s="11" t="str">
        <f t="shared" si="1488"/>
        <v>VN0A2Z34B0Z1</v>
      </c>
      <c r="B5025" s="12" t="s">
        <v>17519</v>
      </c>
      <c r="C5025" s="12" t="s">
        <v>7568</v>
      </c>
      <c r="D5025" s="12" t="s">
        <v>16938</v>
      </c>
      <c r="E5025" s="12" t="s">
        <v>17520</v>
      </c>
      <c r="F5025" s="13">
        <v>50</v>
      </c>
      <c r="G5025" s="12" t="s">
        <v>16940</v>
      </c>
      <c r="H5025" s="12" t="s">
        <v>38</v>
      </c>
      <c r="I5025" s="12" t="s">
        <v>159</v>
      </c>
      <c r="J5025" s="12" t="s">
        <v>341</v>
      </c>
      <c r="K5025" s="12" t="s">
        <v>199</v>
      </c>
      <c r="L5025" s="14"/>
      <c r="M5025" s="12" t="s">
        <v>43</v>
      </c>
      <c r="N5025" s="12" t="s">
        <v>44</v>
      </c>
      <c r="O5025" s="12" t="s">
        <v>17521</v>
      </c>
      <c r="P5025" s="12" t="s">
        <v>46</v>
      </c>
      <c r="Q5025" s="12" t="s">
        <v>47</v>
      </c>
      <c r="R5025" s="12" t="s">
        <v>343</v>
      </c>
      <c r="S5025" s="13">
        <v>197643306726</v>
      </c>
      <c r="T5025" s="12" t="s">
        <v>49</v>
      </c>
      <c r="U5025" s="13">
        <v>36.5</v>
      </c>
      <c r="V5025" s="12" t="s">
        <v>50</v>
      </c>
      <c r="W5025" s="12" t="s">
        <v>625</v>
      </c>
      <c r="X5025" s="14"/>
      <c r="Y5025" s="12" t="s">
        <v>91</v>
      </c>
      <c r="Z5025" s="12" t="s">
        <v>344</v>
      </c>
      <c r="AA5025" s="14"/>
      <c r="AB5025" s="14"/>
      <c r="AC5025" s="15">
        <v>43.2</v>
      </c>
      <c r="AD5025" s="15">
        <f>AC5025*AG5025</f>
        <v>43.2</v>
      </c>
      <c r="AE5025" s="15">
        <v>95</v>
      </c>
      <c r="AF5025" s="15">
        <f>AE5025*AG5025</f>
        <v>95</v>
      </c>
      <c r="AG5025" s="16">
        <v>1</v>
      </c>
    </row>
    <row r="5026" spans="1:33" ht="15" customHeight="1" x14ac:dyDescent="0.2">
      <c r="A5026" s="11" t="str">
        <f t="shared" si="1488"/>
        <v>VN0A2Z34B0Z1</v>
      </c>
      <c r="B5026" s="12" t="s">
        <v>17522</v>
      </c>
      <c r="C5026" s="12" t="s">
        <v>7568</v>
      </c>
      <c r="D5026" s="12" t="s">
        <v>16938</v>
      </c>
      <c r="E5026" s="12" t="s">
        <v>17523</v>
      </c>
      <c r="F5026" s="13">
        <v>70</v>
      </c>
      <c r="G5026" s="12" t="s">
        <v>16940</v>
      </c>
      <c r="H5026" s="12" t="s">
        <v>38</v>
      </c>
      <c r="I5026" s="12" t="s">
        <v>159</v>
      </c>
      <c r="J5026" s="12" t="s">
        <v>341</v>
      </c>
      <c r="K5026" s="12" t="s">
        <v>199</v>
      </c>
      <c r="L5026" s="14"/>
      <c r="M5026" s="12" t="s">
        <v>43</v>
      </c>
      <c r="N5026" s="12" t="s">
        <v>44</v>
      </c>
      <c r="O5026" s="12" t="s">
        <v>17524</v>
      </c>
      <c r="P5026" s="12" t="s">
        <v>46</v>
      </c>
      <c r="Q5026" s="12" t="s">
        <v>47</v>
      </c>
      <c r="R5026" s="12" t="s">
        <v>343</v>
      </c>
      <c r="S5026" s="13">
        <v>197643307099</v>
      </c>
      <c r="T5026" s="12" t="s">
        <v>49</v>
      </c>
      <c r="U5026" s="13">
        <v>39</v>
      </c>
      <c r="V5026" s="12" t="s">
        <v>50</v>
      </c>
      <c r="W5026" s="12" t="s">
        <v>625</v>
      </c>
      <c r="X5026" s="14"/>
      <c r="Y5026" s="12" t="s">
        <v>91</v>
      </c>
      <c r="Z5026" s="12" t="s">
        <v>344</v>
      </c>
      <c r="AA5026" s="14"/>
      <c r="AB5026" s="14"/>
      <c r="AC5026" s="15">
        <v>43.2</v>
      </c>
      <c r="AD5026" s="15">
        <f>AC5026*AG5026</f>
        <v>43.2</v>
      </c>
      <c r="AE5026" s="15">
        <v>95</v>
      </c>
      <c r="AF5026" s="15">
        <f>AE5026*AG5026</f>
        <v>95</v>
      </c>
      <c r="AG5026" s="16">
        <v>1</v>
      </c>
    </row>
    <row r="5027" spans="1:33" ht="15" customHeight="1" x14ac:dyDescent="0.2">
      <c r="A5027" s="11" t="str">
        <f t="shared" ref="A5027:A5030" si="1516">HYPERLINK("https://assets.vans.eu/images/VN0A2Z34BLG-HERO/1","VN0A2Z34BLG1")</f>
        <v>VN0A2Z34BLG1</v>
      </c>
      <c r="B5027" s="12" t="s">
        <v>17525</v>
      </c>
      <c r="C5027" s="12" t="s">
        <v>7568</v>
      </c>
      <c r="D5027" s="12" t="s">
        <v>17526</v>
      </c>
      <c r="E5027" s="12" t="s">
        <v>17527</v>
      </c>
      <c r="F5027" s="13">
        <v>95</v>
      </c>
      <c r="G5027" s="12" t="s">
        <v>17528</v>
      </c>
      <c r="H5027" s="12" t="s">
        <v>38</v>
      </c>
      <c r="I5027" s="12" t="s">
        <v>159</v>
      </c>
      <c r="J5027" s="12" t="s">
        <v>341</v>
      </c>
      <c r="K5027" s="12" t="s">
        <v>199</v>
      </c>
      <c r="L5027" s="14"/>
      <c r="M5027" s="12" t="s">
        <v>43</v>
      </c>
      <c r="N5027" s="12" t="s">
        <v>44</v>
      </c>
      <c r="O5027" s="12" t="s">
        <v>17529</v>
      </c>
      <c r="P5027" s="12" t="s">
        <v>46</v>
      </c>
      <c r="Q5027" s="12" t="s">
        <v>47</v>
      </c>
      <c r="R5027" s="12" t="s">
        <v>343</v>
      </c>
      <c r="S5027" s="13">
        <v>197643307969</v>
      </c>
      <c r="T5027" s="12" t="s">
        <v>49</v>
      </c>
      <c r="U5027" s="13">
        <v>42.5</v>
      </c>
      <c r="V5027" s="12" t="s">
        <v>50</v>
      </c>
      <c r="W5027" s="12" t="s">
        <v>284</v>
      </c>
      <c r="X5027" s="14"/>
      <c r="Y5027" s="12" t="s">
        <v>91</v>
      </c>
      <c r="Z5027" s="12" t="s">
        <v>344</v>
      </c>
      <c r="AA5027" s="14"/>
      <c r="AB5027" s="14"/>
      <c r="AC5027" s="15">
        <v>43.2</v>
      </c>
      <c r="AD5027" s="15">
        <f>AC5027*AG5027</f>
        <v>43.2</v>
      </c>
      <c r="AE5027" s="15">
        <v>95</v>
      </c>
      <c r="AF5027" s="15">
        <f>AE5027*AG5027</f>
        <v>95</v>
      </c>
      <c r="AG5027" s="16">
        <v>1</v>
      </c>
    </row>
    <row r="5028" spans="1:33" ht="15" customHeight="1" x14ac:dyDescent="0.2">
      <c r="A5028" s="11" t="str">
        <f t="shared" si="1516"/>
        <v>VN0A2Z34BLG1</v>
      </c>
      <c r="B5028" s="12" t="s">
        <v>17530</v>
      </c>
      <c r="C5028" s="12" t="s">
        <v>7568</v>
      </c>
      <c r="D5028" s="12" t="s">
        <v>17526</v>
      </c>
      <c r="E5028" s="12" t="s">
        <v>17531</v>
      </c>
      <c r="F5028" s="13">
        <v>100</v>
      </c>
      <c r="G5028" s="12" t="s">
        <v>17528</v>
      </c>
      <c r="H5028" s="12" t="s">
        <v>38</v>
      </c>
      <c r="I5028" s="12" t="s">
        <v>159</v>
      </c>
      <c r="J5028" s="12" t="s">
        <v>341</v>
      </c>
      <c r="K5028" s="12" t="s">
        <v>199</v>
      </c>
      <c r="L5028" s="14"/>
      <c r="M5028" s="12" t="s">
        <v>43</v>
      </c>
      <c r="N5028" s="12" t="s">
        <v>44</v>
      </c>
      <c r="O5028" s="12" t="s">
        <v>17532</v>
      </c>
      <c r="P5028" s="12" t="s">
        <v>46</v>
      </c>
      <c r="Q5028" s="12" t="s">
        <v>47</v>
      </c>
      <c r="R5028" s="12" t="s">
        <v>343</v>
      </c>
      <c r="S5028" s="13">
        <v>197643308140</v>
      </c>
      <c r="T5028" s="12" t="s">
        <v>49</v>
      </c>
      <c r="U5028" s="13">
        <v>43</v>
      </c>
      <c r="V5028" s="12" t="s">
        <v>50</v>
      </c>
      <c r="W5028" s="12" t="s">
        <v>284</v>
      </c>
      <c r="X5028" s="14"/>
      <c r="Y5028" s="12" t="s">
        <v>91</v>
      </c>
      <c r="Z5028" s="12" t="s">
        <v>344</v>
      </c>
      <c r="AA5028" s="14"/>
      <c r="AB5028" s="14"/>
      <c r="AC5028" s="15">
        <v>43.2</v>
      </c>
      <c r="AD5028" s="15">
        <f>AC5028*AG5028</f>
        <v>43.2</v>
      </c>
      <c r="AE5028" s="15">
        <v>95</v>
      </c>
      <c r="AF5028" s="15">
        <f>AE5028*AG5028</f>
        <v>95</v>
      </c>
      <c r="AG5028" s="16">
        <v>1</v>
      </c>
    </row>
    <row r="5029" spans="1:33" ht="15" customHeight="1" x14ac:dyDescent="0.2">
      <c r="A5029" s="11" t="str">
        <f t="shared" si="1516"/>
        <v>VN0A2Z34BLG1</v>
      </c>
      <c r="B5029" s="12" t="s">
        <v>17533</v>
      </c>
      <c r="C5029" s="12" t="s">
        <v>7568</v>
      </c>
      <c r="D5029" s="12" t="s">
        <v>17526</v>
      </c>
      <c r="E5029" s="12" t="s">
        <v>17534</v>
      </c>
      <c r="F5029" s="13">
        <v>105</v>
      </c>
      <c r="G5029" s="12" t="s">
        <v>17528</v>
      </c>
      <c r="H5029" s="12" t="s">
        <v>38</v>
      </c>
      <c r="I5029" s="12" t="s">
        <v>159</v>
      </c>
      <c r="J5029" s="12" t="s">
        <v>341</v>
      </c>
      <c r="K5029" s="12" t="s">
        <v>199</v>
      </c>
      <c r="L5029" s="14"/>
      <c r="M5029" s="12" t="s">
        <v>43</v>
      </c>
      <c r="N5029" s="12" t="s">
        <v>44</v>
      </c>
      <c r="O5029" s="12" t="s">
        <v>17535</v>
      </c>
      <c r="P5029" s="12" t="s">
        <v>46</v>
      </c>
      <c r="Q5029" s="12" t="s">
        <v>47</v>
      </c>
      <c r="R5029" s="12" t="s">
        <v>343</v>
      </c>
      <c r="S5029" s="13">
        <v>197643308355</v>
      </c>
      <c r="T5029" s="12" t="s">
        <v>49</v>
      </c>
      <c r="U5029" s="13">
        <v>44</v>
      </c>
      <c r="V5029" s="12" t="s">
        <v>50</v>
      </c>
      <c r="W5029" s="12" t="s">
        <v>284</v>
      </c>
      <c r="X5029" s="14"/>
      <c r="Y5029" s="12" t="s">
        <v>91</v>
      </c>
      <c r="Z5029" s="12" t="s">
        <v>344</v>
      </c>
      <c r="AA5029" s="14"/>
      <c r="AB5029" s="14"/>
      <c r="AC5029" s="15">
        <v>43.2</v>
      </c>
      <c r="AD5029" s="15">
        <f>AC5029*AG5029</f>
        <v>43.2</v>
      </c>
      <c r="AE5029" s="15">
        <v>95</v>
      </c>
      <c r="AF5029" s="15">
        <f>AE5029*AG5029</f>
        <v>95</v>
      </c>
      <c r="AG5029" s="16">
        <v>1</v>
      </c>
    </row>
    <row r="5030" spans="1:33" ht="15" customHeight="1" x14ac:dyDescent="0.2">
      <c r="A5030" s="11" t="str">
        <f t="shared" si="1516"/>
        <v>VN0A2Z34BLG1</v>
      </c>
      <c r="B5030" s="12" t="s">
        <v>17536</v>
      </c>
      <c r="C5030" s="12" t="s">
        <v>7568</v>
      </c>
      <c r="D5030" s="12" t="s">
        <v>17526</v>
      </c>
      <c r="E5030" s="12" t="s">
        <v>17537</v>
      </c>
      <c r="F5030" s="13">
        <v>110</v>
      </c>
      <c r="G5030" s="12" t="s">
        <v>17528</v>
      </c>
      <c r="H5030" s="12" t="s">
        <v>38</v>
      </c>
      <c r="I5030" s="12" t="s">
        <v>159</v>
      </c>
      <c r="J5030" s="12" t="s">
        <v>341</v>
      </c>
      <c r="K5030" s="12" t="s">
        <v>199</v>
      </c>
      <c r="L5030" s="14"/>
      <c r="M5030" s="12" t="s">
        <v>43</v>
      </c>
      <c r="N5030" s="12" t="s">
        <v>44</v>
      </c>
      <c r="O5030" s="12" t="s">
        <v>17538</v>
      </c>
      <c r="P5030" s="12" t="s">
        <v>46</v>
      </c>
      <c r="Q5030" s="12" t="s">
        <v>47</v>
      </c>
      <c r="R5030" s="12" t="s">
        <v>343</v>
      </c>
      <c r="S5030" s="13">
        <v>197643308447</v>
      </c>
      <c r="T5030" s="12" t="s">
        <v>49</v>
      </c>
      <c r="U5030" s="13">
        <v>44.5</v>
      </c>
      <c r="V5030" s="12" t="s">
        <v>50</v>
      </c>
      <c r="W5030" s="12" t="s">
        <v>284</v>
      </c>
      <c r="X5030" s="14"/>
      <c r="Y5030" s="12" t="s">
        <v>91</v>
      </c>
      <c r="Z5030" s="12" t="s">
        <v>344</v>
      </c>
      <c r="AA5030" s="14"/>
      <c r="AB5030" s="14"/>
      <c r="AC5030" s="15">
        <v>43.2</v>
      </c>
      <c r="AD5030" s="15">
        <f>AC5030*AG5030</f>
        <v>43.2</v>
      </c>
      <c r="AE5030" s="15">
        <v>95</v>
      </c>
      <c r="AF5030" s="15">
        <f>AE5030*AG5030</f>
        <v>95</v>
      </c>
      <c r="AG5030" s="16">
        <v>1</v>
      </c>
    </row>
    <row r="5031" spans="1:33" ht="15" customHeight="1" x14ac:dyDescent="0.2">
      <c r="A5031" s="11" t="str">
        <f>HYPERLINK("https://assets.vans.eu/images/VN0A2Z34CMA-HERO/1","VN0A2Z34CMA1")</f>
        <v>VN0A2Z34CMA1</v>
      </c>
      <c r="B5031" s="12" t="s">
        <v>17539</v>
      </c>
      <c r="C5031" s="12" t="s">
        <v>7568</v>
      </c>
      <c r="D5031" s="12" t="s">
        <v>17540</v>
      </c>
      <c r="E5031" s="12" t="s">
        <v>17541</v>
      </c>
      <c r="F5031" s="13">
        <v>75</v>
      </c>
      <c r="G5031" s="12" t="s">
        <v>17542</v>
      </c>
      <c r="H5031" s="12" t="s">
        <v>38</v>
      </c>
      <c r="I5031" s="12" t="s">
        <v>159</v>
      </c>
      <c r="J5031" s="12" t="s">
        <v>341</v>
      </c>
      <c r="K5031" s="12" t="s">
        <v>199</v>
      </c>
      <c r="L5031" s="14"/>
      <c r="M5031" s="12" t="s">
        <v>43</v>
      </c>
      <c r="N5031" s="12" t="s">
        <v>161</v>
      </c>
      <c r="O5031" s="12" t="s">
        <v>17543</v>
      </c>
      <c r="P5031" s="12" t="s">
        <v>46</v>
      </c>
      <c r="Q5031" s="12" t="s">
        <v>47</v>
      </c>
      <c r="R5031" s="12" t="s">
        <v>343</v>
      </c>
      <c r="S5031" s="13">
        <v>197642429488</v>
      </c>
      <c r="T5031" s="12" t="s">
        <v>49</v>
      </c>
      <c r="U5031" s="13">
        <v>40</v>
      </c>
      <c r="V5031" s="12" t="s">
        <v>50</v>
      </c>
      <c r="W5031" s="12" t="s">
        <v>580</v>
      </c>
      <c r="X5031" s="14"/>
      <c r="Y5031" s="12" t="s">
        <v>91</v>
      </c>
      <c r="Z5031" s="12" t="s">
        <v>344</v>
      </c>
      <c r="AA5031" s="14"/>
      <c r="AB5031" s="14"/>
      <c r="AC5031" s="15">
        <v>45.5</v>
      </c>
      <c r="AD5031" s="15">
        <f>AC5031*AG5031</f>
        <v>45.5</v>
      </c>
      <c r="AE5031" s="15">
        <v>100</v>
      </c>
      <c r="AF5031" s="15">
        <f>AE5031*AG5031</f>
        <v>100</v>
      </c>
      <c r="AG5031" s="16">
        <v>1</v>
      </c>
    </row>
    <row r="5032" spans="1:33" ht="15" customHeight="1" x14ac:dyDescent="0.2">
      <c r="A5032" s="11" t="str">
        <f t="shared" ref="A5032:A5034" si="1517">HYPERLINK("https://assets.vans.eu/images/VN0A2Z34REB-HERO/1","VN0A2Z34REB1")</f>
        <v>VN0A2Z34REB1</v>
      </c>
      <c r="B5032" s="12" t="s">
        <v>17544</v>
      </c>
      <c r="C5032" s="12" t="s">
        <v>7568</v>
      </c>
      <c r="D5032" s="12" t="s">
        <v>4892</v>
      </c>
      <c r="E5032" s="12" t="s">
        <v>17545</v>
      </c>
      <c r="F5032" s="13">
        <v>50</v>
      </c>
      <c r="G5032" s="12" t="s">
        <v>9803</v>
      </c>
      <c r="H5032" s="12" t="s">
        <v>38</v>
      </c>
      <c r="I5032" s="12" t="s">
        <v>159</v>
      </c>
      <c r="J5032" s="12" t="s">
        <v>341</v>
      </c>
      <c r="K5032" s="12" t="s">
        <v>199</v>
      </c>
      <c r="L5032" s="14"/>
      <c r="M5032" s="12" t="s">
        <v>43</v>
      </c>
      <c r="N5032" s="12" t="s">
        <v>44</v>
      </c>
      <c r="O5032" s="12" t="s">
        <v>17546</v>
      </c>
      <c r="P5032" s="12" t="s">
        <v>46</v>
      </c>
      <c r="Q5032" s="12" t="s">
        <v>47</v>
      </c>
      <c r="R5032" s="12" t="s">
        <v>343</v>
      </c>
      <c r="S5032" s="13">
        <v>197643307020</v>
      </c>
      <c r="T5032" s="12" t="s">
        <v>49</v>
      </c>
      <c r="U5032" s="13">
        <v>36.5</v>
      </c>
      <c r="V5032" s="12" t="s">
        <v>50</v>
      </c>
      <c r="W5032" s="12" t="s">
        <v>262</v>
      </c>
      <c r="X5032" s="14"/>
      <c r="Y5032" s="12" t="s">
        <v>91</v>
      </c>
      <c r="Z5032" s="12" t="s">
        <v>344</v>
      </c>
      <c r="AA5032" s="14"/>
      <c r="AB5032" s="14"/>
      <c r="AC5032" s="15">
        <v>43.2</v>
      </c>
      <c r="AD5032" s="15">
        <f>AC5032*AG5032</f>
        <v>43.2</v>
      </c>
      <c r="AE5032" s="15">
        <v>95</v>
      </c>
      <c r="AF5032" s="15">
        <f>AE5032*AG5032</f>
        <v>95</v>
      </c>
      <c r="AG5032" s="16">
        <v>1</v>
      </c>
    </row>
    <row r="5033" spans="1:33" ht="15" customHeight="1" x14ac:dyDescent="0.2">
      <c r="A5033" s="11" t="str">
        <f t="shared" si="1517"/>
        <v>VN0A2Z34REB1</v>
      </c>
      <c r="B5033" s="12" t="s">
        <v>17547</v>
      </c>
      <c r="C5033" s="12" t="s">
        <v>7568</v>
      </c>
      <c r="D5033" s="12" t="s">
        <v>4892</v>
      </c>
      <c r="E5033" s="12" t="s">
        <v>17548</v>
      </c>
      <c r="F5033" s="13">
        <v>65</v>
      </c>
      <c r="G5033" s="12" t="s">
        <v>9803</v>
      </c>
      <c r="H5033" s="12" t="s">
        <v>38</v>
      </c>
      <c r="I5033" s="12" t="s">
        <v>159</v>
      </c>
      <c r="J5033" s="12" t="s">
        <v>341</v>
      </c>
      <c r="K5033" s="12" t="s">
        <v>199</v>
      </c>
      <c r="L5033" s="14"/>
      <c r="M5033" s="12" t="s">
        <v>43</v>
      </c>
      <c r="N5033" s="12" t="s">
        <v>44</v>
      </c>
      <c r="O5033" s="12" t="s">
        <v>17549</v>
      </c>
      <c r="P5033" s="12" t="s">
        <v>46</v>
      </c>
      <c r="Q5033" s="12" t="s">
        <v>47</v>
      </c>
      <c r="R5033" s="12" t="s">
        <v>343</v>
      </c>
      <c r="S5033" s="13">
        <v>197643307259</v>
      </c>
      <c r="T5033" s="12" t="s">
        <v>49</v>
      </c>
      <c r="U5033" s="13">
        <v>38.5</v>
      </c>
      <c r="V5033" s="12" t="s">
        <v>50</v>
      </c>
      <c r="W5033" s="12" t="s">
        <v>262</v>
      </c>
      <c r="X5033" s="14"/>
      <c r="Y5033" s="12" t="s">
        <v>91</v>
      </c>
      <c r="Z5033" s="12" t="s">
        <v>344</v>
      </c>
      <c r="AA5033" s="14"/>
      <c r="AB5033" s="14"/>
      <c r="AC5033" s="15">
        <v>43.2</v>
      </c>
      <c r="AD5033" s="15">
        <f>AC5033*AG5033</f>
        <v>43.2</v>
      </c>
      <c r="AE5033" s="15">
        <v>95</v>
      </c>
      <c r="AF5033" s="15">
        <f>AE5033*AG5033</f>
        <v>95</v>
      </c>
      <c r="AG5033" s="16">
        <v>1</v>
      </c>
    </row>
    <row r="5034" spans="1:33" ht="15" customHeight="1" x14ac:dyDescent="0.2">
      <c r="A5034" s="11" t="str">
        <f t="shared" si="1517"/>
        <v>VN0A2Z34REB1</v>
      </c>
      <c r="B5034" s="12" t="s">
        <v>17550</v>
      </c>
      <c r="C5034" s="12" t="s">
        <v>7568</v>
      </c>
      <c r="D5034" s="12" t="s">
        <v>4892</v>
      </c>
      <c r="E5034" s="12" t="s">
        <v>17551</v>
      </c>
      <c r="F5034" s="13">
        <v>75</v>
      </c>
      <c r="G5034" s="12" t="s">
        <v>9803</v>
      </c>
      <c r="H5034" s="12" t="s">
        <v>38</v>
      </c>
      <c r="I5034" s="12" t="s">
        <v>159</v>
      </c>
      <c r="J5034" s="12" t="s">
        <v>341</v>
      </c>
      <c r="K5034" s="12" t="s">
        <v>199</v>
      </c>
      <c r="L5034" s="14"/>
      <c r="M5034" s="12" t="s">
        <v>43</v>
      </c>
      <c r="N5034" s="12" t="s">
        <v>44</v>
      </c>
      <c r="O5034" s="12" t="s">
        <v>17552</v>
      </c>
      <c r="P5034" s="12" t="s">
        <v>46</v>
      </c>
      <c r="Q5034" s="12" t="s">
        <v>47</v>
      </c>
      <c r="R5034" s="12" t="s">
        <v>343</v>
      </c>
      <c r="S5034" s="13">
        <v>197643307488</v>
      </c>
      <c r="T5034" s="12" t="s">
        <v>49</v>
      </c>
      <c r="U5034" s="13">
        <v>40</v>
      </c>
      <c r="V5034" s="12" t="s">
        <v>50</v>
      </c>
      <c r="W5034" s="12" t="s">
        <v>262</v>
      </c>
      <c r="X5034" s="14"/>
      <c r="Y5034" s="12" t="s">
        <v>91</v>
      </c>
      <c r="Z5034" s="12" t="s">
        <v>344</v>
      </c>
      <c r="AA5034" s="14"/>
      <c r="AB5034" s="14"/>
      <c r="AC5034" s="15">
        <v>43.2</v>
      </c>
      <c r="AD5034" s="15">
        <f>AC5034*AG5034</f>
        <v>43.2</v>
      </c>
      <c r="AE5034" s="15">
        <v>95</v>
      </c>
      <c r="AF5034" s="15">
        <f>AE5034*AG5034</f>
        <v>95</v>
      </c>
      <c r="AG5034" s="16">
        <v>1</v>
      </c>
    </row>
    <row r="5035" spans="1:33" ht="15" customHeight="1" x14ac:dyDescent="0.2">
      <c r="A5035" s="11" t="str">
        <f t="shared" si="1506"/>
        <v>VN0A2Z35BFA1</v>
      </c>
      <c r="B5035" s="12" t="s">
        <v>17553</v>
      </c>
      <c r="C5035" s="12" t="s">
        <v>17123</v>
      </c>
      <c r="D5035" s="12" t="s">
        <v>1432</v>
      </c>
      <c r="E5035" s="12" t="s">
        <v>17554</v>
      </c>
      <c r="F5035" s="13">
        <v>95</v>
      </c>
      <c r="G5035" s="14"/>
      <c r="H5035" s="12" t="s">
        <v>38</v>
      </c>
      <c r="I5035" s="12" t="s">
        <v>159</v>
      </c>
      <c r="J5035" s="12" t="s">
        <v>341</v>
      </c>
      <c r="K5035" s="12" t="s">
        <v>199</v>
      </c>
      <c r="L5035" s="14"/>
      <c r="M5035" s="12" t="s">
        <v>43</v>
      </c>
      <c r="N5035" s="12" t="s">
        <v>274</v>
      </c>
      <c r="O5035" s="12" t="s">
        <v>17555</v>
      </c>
      <c r="P5035" s="12" t="s">
        <v>46</v>
      </c>
      <c r="Q5035" s="12" t="s">
        <v>47</v>
      </c>
      <c r="R5035" s="12" t="s">
        <v>343</v>
      </c>
      <c r="S5035" s="13">
        <v>197063765530</v>
      </c>
      <c r="T5035" s="12" t="s">
        <v>49</v>
      </c>
      <c r="U5035" s="13">
        <v>42.5</v>
      </c>
      <c r="V5035" s="12" t="s">
        <v>50</v>
      </c>
      <c r="W5035" s="12" t="s">
        <v>186</v>
      </c>
      <c r="X5035" s="14"/>
      <c r="Y5035" s="12" t="s">
        <v>1011</v>
      </c>
      <c r="Z5035" s="12" t="s">
        <v>13844</v>
      </c>
      <c r="AA5035" s="14"/>
      <c r="AB5035" s="14"/>
      <c r="AC5035" s="15">
        <v>45.5</v>
      </c>
      <c r="AD5035" s="15">
        <f>AC5035*AG5035</f>
        <v>45.5</v>
      </c>
      <c r="AE5035" s="15">
        <v>100</v>
      </c>
      <c r="AF5035" s="15">
        <f>AE5035*AG5035</f>
        <v>100</v>
      </c>
      <c r="AG5035" s="16">
        <v>1</v>
      </c>
    </row>
    <row r="5036" spans="1:33" ht="15" customHeight="1" x14ac:dyDescent="0.2">
      <c r="A5036" s="11" t="str">
        <f t="shared" si="1507"/>
        <v>VN0A2Z3H1OU1</v>
      </c>
      <c r="B5036" s="12" t="s">
        <v>17556</v>
      </c>
      <c r="C5036" s="12" t="s">
        <v>5946</v>
      </c>
      <c r="D5036" s="12" t="s">
        <v>17130</v>
      </c>
      <c r="E5036" s="12" t="s">
        <v>17557</v>
      </c>
      <c r="F5036" s="13">
        <v>90</v>
      </c>
      <c r="G5036" s="14"/>
      <c r="H5036" s="12" t="s">
        <v>38</v>
      </c>
      <c r="I5036" s="12" t="s">
        <v>159</v>
      </c>
      <c r="J5036" s="12" t="s">
        <v>341</v>
      </c>
      <c r="K5036" s="12" t="s">
        <v>199</v>
      </c>
      <c r="L5036" s="14"/>
      <c r="M5036" s="12" t="s">
        <v>43</v>
      </c>
      <c r="N5036" s="12" t="s">
        <v>161</v>
      </c>
      <c r="O5036" s="12" t="s">
        <v>17558</v>
      </c>
      <c r="P5036" s="12" t="s">
        <v>46</v>
      </c>
      <c r="Q5036" s="12" t="s">
        <v>47</v>
      </c>
      <c r="R5036" s="12" t="s">
        <v>163</v>
      </c>
      <c r="S5036" s="13">
        <v>197065698126</v>
      </c>
      <c r="T5036" s="12" t="s">
        <v>49</v>
      </c>
      <c r="U5036" s="13">
        <v>42</v>
      </c>
      <c r="V5036" s="12" t="s">
        <v>50</v>
      </c>
      <c r="W5036" s="12" t="s">
        <v>186</v>
      </c>
      <c r="X5036" s="14"/>
      <c r="Y5036" s="12" t="s">
        <v>91</v>
      </c>
      <c r="Z5036" s="12" t="s">
        <v>344</v>
      </c>
      <c r="AA5036" s="14"/>
      <c r="AB5036" s="14"/>
      <c r="AC5036" s="15">
        <v>54.55</v>
      </c>
      <c r="AD5036" s="15">
        <f>AC5036*AG5036</f>
        <v>54.55</v>
      </c>
      <c r="AE5036" s="15">
        <v>120</v>
      </c>
      <c r="AF5036" s="15">
        <f>AE5036*AG5036</f>
        <v>120</v>
      </c>
      <c r="AG5036" s="16">
        <v>1</v>
      </c>
    </row>
    <row r="5037" spans="1:33" ht="15" customHeight="1" x14ac:dyDescent="0.2">
      <c r="A5037" s="11" t="str">
        <f t="shared" si="1507"/>
        <v>VN0A2Z3H1OU1</v>
      </c>
      <c r="B5037" s="12" t="s">
        <v>17559</v>
      </c>
      <c r="C5037" s="12" t="s">
        <v>5946</v>
      </c>
      <c r="D5037" s="12" t="s">
        <v>17130</v>
      </c>
      <c r="E5037" s="12" t="s">
        <v>17560</v>
      </c>
      <c r="F5037" s="13">
        <v>110</v>
      </c>
      <c r="G5037" s="14"/>
      <c r="H5037" s="12" t="s">
        <v>38</v>
      </c>
      <c r="I5037" s="12" t="s">
        <v>159</v>
      </c>
      <c r="J5037" s="12" t="s">
        <v>341</v>
      </c>
      <c r="K5037" s="12" t="s">
        <v>199</v>
      </c>
      <c r="L5037" s="14"/>
      <c r="M5037" s="12" t="s">
        <v>43</v>
      </c>
      <c r="N5037" s="12" t="s">
        <v>161</v>
      </c>
      <c r="O5037" s="12" t="s">
        <v>17561</v>
      </c>
      <c r="P5037" s="12" t="s">
        <v>46</v>
      </c>
      <c r="Q5037" s="12" t="s">
        <v>47</v>
      </c>
      <c r="R5037" s="12" t="s">
        <v>163</v>
      </c>
      <c r="S5037" s="13">
        <v>197065698812</v>
      </c>
      <c r="T5037" s="12" t="s">
        <v>49</v>
      </c>
      <c r="U5037" s="13">
        <v>44.5</v>
      </c>
      <c r="V5037" s="12" t="s">
        <v>50</v>
      </c>
      <c r="W5037" s="12" t="s">
        <v>186</v>
      </c>
      <c r="X5037" s="14"/>
      <c r="Y5037" s="12" t="s">
        <v>91</v>
      </c>
      <c r="Z5037" s="12" t="s">
        <v>344</v>
      </c>
      <c r="AA5037" s="14"/>
      <c r="AB5037" s="14"/>
      <c r="AC5037" s="15">
        <v>54.55</v>
      </c>
      <c r="AD5037" s="15">
        <f>AC5037*AG5037</f>
        <v>54.55</v>
      </c>
      <c r="AE5037" s="15">
        <v>120</v>
      </c>
      <c r="AF5037" s="15">
        <f>AE5037*AG5037</f>
        <v>120</v>
      </c>
      <c r="AG5037" s="16">
        <v>1</v>
      </c>
    </row>
    <row r="5038" spans="1:33" ht="15" customHeight="1" x14ac:dyDescent="0.2">
      <c r="A5038" s="11" t="str">
        <f>HYPERLINK("https://assets.vans.eu/images/VN0A2Z3H6RJ-HERO/1","VN0A2Z3H6RJ1")</f>
        <v>VN0A2Z3H6RJ1</v>
      </c>
      <c r="B5038" s="12" t="s">
        <v>17562</v>
      </c>
      <c r="C5038" s="12" t="s">
        <v>5946</v>
      </c>
      <c r="D5038" s="12" t="s">
        <v>17563</v>
      </c>
      <c r="E5038" s="12" t="s">
        <v>17564</v>
      </c>
      <c r="F5038" s="13">
        <v>75</v>
      </c>
      <c r="G5038" s="14"/>
      <c r="H5038" s="12" t="s">
        <v>38</v>
      </c>
      <c r="I5038" s="12" t="s">
        <v>159</v>
      </c>
      <c r="J5038" s="12" t="s">
        <v>341</v>
      </c>
      <c r="K5038" s="12" t="s">
        <v>82</v>
      </c>
      <c r="L5038" s="14"/>
      <c r="M5038" s="12" t="s">
        <v>43</v>
      </c>
      <c r="N5038" s="12" t="s">
        <v>161</v>
      </c>
      <c r="O5038" s="12" t="s">
        <v>17565</v>
      </c>
      <c r="P5038" s="12" t="s">
        <v>46</v>
      </c>
      <c r="Q5038" s="12" t="s">
        <v>47</v>
      </c>
      <c r="R5038" s="12" t="s">
        <v>163</v>
      </c>
      <c r="S5038" s="13">
        <v>197065806408</v>
      </c>
      <c r="T5038" s="12" t="s">
        <v>49</v>
      </c>
      <c r="U5038" s="13">
        <v>40</v>
      </c>
      <c r="V5038" s="12" t="s">
        <v>50</v>
      </c>
      <c r="W5038" s="12" t="s">
        <v>51</v>
      </c>
      <c r="X5038" s="14"/>
      <c r="Y5038" s="12" t="s">
        <v>91</v>
      </c>
      <c r="Z5038" s="12" t="s">
        <v>344</v>
      </c>
      <c r="AA5038" s="14"/>
      <c r="AB5038" s="14"/>
      <c r="AC5038" s="15">
        <v>54.55</v>
      </c>
      <c r="AD5038" s="15">
        <f>AC5038*AG5038</f>
        <v>54.55</v>
      </c>
      <c r="AE5038" s="15">
        <v>120</v>
      </c>
      <c r="AF5038" s="15">
        <f>AE5038*AG5038</f>
        <v>120</v>
      </c>
      <c r="AG5038" s="16">
        <v>1</v>
      </c>
    </row>
    <row r="5039" spans="1:33" ht="15" customHeight="1" x14ac:dyDescent="0.2">
      <c r="A5039" s="11" t="str">
        <f t="shared" ref="A5039:A5040" si="1518">HYPERLINK("https://assets.vans.eu/images/VN0A2Z3HOUO-HERO/1","VN0A2Z3HOUO1")</f>
        <v>VN0A2Z3HOUO1</v>
      </c>
      <c r="B5039" s="12" t="s">
        <v>17566</v>
      </c>
      <c r="C5039" s="12" t="s">
        <v>5946</v>
      </c>
      <c r="D5039" s="12" t="s">
        <v>17567</v>
      </c>
      <c r="E5039" s="12" t="s">
        <v>17568</v>
      </c>
      <c r="F5039" s="13">
        <v>35</v>
      </c>
      <c r="G5039" s="14"/>
      <c r="H5039" s="12" t="s">
        <v>38</v>
      </c>
      <c r="I5039" s="12" t="s">
        <v>159</v>
      </c>
      <c r="J5039" s="12" t="s">
        <v>341</v>
      </c>
      <c r="K5039" s="12" t="s">
        <v>199</v>
      </c>
      <c r="L5039" s="14"/>
      <c r="M5039" s="12" t="s">
        <v>43</v>
      </c>
      <c r="N5039" s="12" t="s">
        <v>44</v>
      </c>
      <c r="O5039" s="12" t="s">
        <v>17569</v>
      </c>
      <c r="P5039" s="12" t="s">
        <v>46</v>
      </c>
      <c r="Q5039" s="12" t="s">
        <v>47</v>
      </c>
      <c r="R5039" s="12" t="s">
        <v>163</v>
      </c>
      <c r="S5039" s="13">
        <v>197643306887</v>
      </c>
      <c r="T5039" s="12" t="s">
        <v>49</v>
      </c>
      <c r="U5039" s="13">
        <v>34.5</v>
      </c>
      <c r="V5039" s="12" t="s">
        <v>50</v>
      </c>
      <c r="W5039" s="12" t="s">
        <v>175</v>
      </c>
      <c r="X5039" s="14"/>
      <c r="Y5039" s="12" t="s">
        <v>91</v>
      </c>
      <c r="Z5039" s="12" t="s">
        <v>344</v>
      </c>
      <c r="AA5039" s="14"/>
      <c r="AB5039" s="14"/>
      <c r="AC5039" s="15">
        <v>54.55</v>
      </c>
      <c r="AD5039" s="15">
        <f>AC5039*AG5039</f>
        <v>54.55</v>
      </c>
      <c r="AE5039" s="15">
        <v>120</v>
      </c>
      <c r="AF5039" s="15">
        <f>AE5039*AG5039</f>
        <v>120</v>
      </c>
      <c r="AG5039" s="16">
        <v>1</v>
      </c>
    </row>
    <row r="5040" spans="1:33" ht="15" customHeight="1" x14ac:dyDescent="0.2">
      <c r="A5040" s="11" t="str">
        <f t="shared" si="1518"/>
        <v>VN0A2Z3HOUO1</v>
      </c>
      <c r="B5040" s="12" t="s">
        <v>17570</v>
      </c>
      <c r="C5040" s="12" t="s">
        <v>5946</v>
      </c>
      <c r="D5040" s="12" t="s">
        <v>17567</v>
      </c>
      <c r="E5040" s="12" t="s">
        <v>17571</v>
      </c>
      <c r="F5040" s="13">
        <v>40</v>
      </c>
      <c r="G5040" s="14"/>
      <c r="H5040" s="12" t="s">
        <v>38</v>
      </c>
      <c r="I5040" s="12" t="s">
        <v>159</v>
      </c>
      <c r="J5040" s="12" t="s">
        <v>341</v>
      </c>
      <c r="K5040" s="12" t="s">
        <v>199</v>
      </c>
      <c r="L5040" s="14"/>
      <c r="M5040" s="12" t="s">
        <v>43</v>
      </c>
      <c r="N5040" s="12" t="s">
        <v>44</v>
      </c>
      <c r="O5040" s="12" t="s">
        <v>17572</v>
      </c>
      <c r="P5040" s="12" t="s">
        <v>46</v>
      </c>
      <c r="Q5040" s="12" t="s">
        <v>47</v>
      </c>
      <c r="R5040" s="12" t="s">
        <v>163</v>
      </c>
      <c r="S5040" s="13">
        <v>197643306948</v>
      </c>
      <c r="T5040" s="12" t="s">
        <v>49</v>
      </c>
      <c r="U5040" s="13">
        <v>35</v>
      </c>
      <c r="V5040" s="12" t="s">
        <v>50</v>
      </c>
      <c r="W5040" s="12" t="s">
        <v>175</v>
      </c>
      <c r="X5040" s="14"/>
      <c r="Y5040" s="12" t="s">
        <v>91</v>
      </c>
      <c r="Z5040" s="12" t="s">
        <v>344</v>
      </c>
      <c r="AA5040" s="14"/>
      <c r="AB5040" s="14"/>
      <c r="AC5040" s="15">
        <v>54.55</v>
      </c>
      <c r="AD5040" s="15">
        <f>AC5040*AG5040</f>
        <v>54.55</v>
      </c>
      <c r="AE5040" s="15">
        <v>120</v>
      </c>
      <c r="AF5040" s="15">
        <f>AE5040*AG5040</f>
        <v>120</v>
      </c>
      <c r="AG5040" s="16">
        <v>1</v>
      </c>
    </row>
    <row r="5041" spans="1:33" ht="15" customHeight="1" x14ac:dyDescent="0.2">
      <c r="A5041" s="11" t="str">
        <f>HYPERLINK("https://assets.vans.eu/images/VN0A2Z3HYHI-HERO/1","VN0A2Z3HYHI1")</f>
        <v>VN0A2Z3HYHI1</v>
      </c>
      <c r="B5041" s="12" t="s">
        <v>17573</v>
      </c>
      <c r="C5041" s="12" t="s">
        <v>5946</v>
      </c>
      <c r="D5041" s="12" t="s">
        <v>17574</v>
      </c>
      <c r="E5041" s="12" t="s">
        <v>17575</v>
      </c>
      <c r="F5041" s="13">
        <v>100</v>
      </c>
      <c r="G5041" s="14"/>
      <c r="H5041" s="12" t="s">
        <v>38</v>
      </c>
      <c r="I5041" s="12" t="s">
        <v>159</v>
      </c>
      <c r="J5041" s="12" t="s">
        <v>341</v>
      </c>
      <c r="K5041" s="12" t="s">
        <v>82</v>
      </c>
      <c r="L5041" s="14"/>
      <c r="M5041" s="12" t="s">
        <v>43</v>
      </c>
      <c r="N5041" s="12" t="s">
        <v>161</v>
      </c>
      <c r="O5041" s="12" t="s">
        <v>17576</v>
      </c>
      <c r="P5041" s="12" t="s">
        <v>46</v>
      </c>
      <c r="Q5041" s="12" t="s">
        <v>47</v>
      </c>
      <c r="R5041" s="12" t="s">
        <v>163</v>
      </c>
      <c r="S5041" s="13">
        <v>197065806910</v>
      </c>
      <c r="T5041" s="12" t="s">
        <v>49</v>
      </c>
      <c r="U5041" s="13">
        <v>43</v>
      </c>
      <c r="V5041" s="12" t="s">
        <v>50</v>
      </c>
      <c r="W5041" s="12" t="s">
        <v>107</v>
      </c>
      <c r="X5041" s="14"/>
      <c r="Y5041" s="12" t="s">
        <v>91</v>
      </c>
      <c r="Z5041" s="12" t="s">
        <v>344</v>
      </c>
      <c r="AA5041" s="14"/>
      <c r="AB5041" s="14"/>
      <c r="AC5041" s="15">
        <v>54.55</v>
      </c>
      <c r="AD5041" s="15">
        <f>AC5041*AG5041</f>
        <v>54.55</v>
      </c>
      <c r="AE5041" s="15">
        <v>120</v>
      </c>
      <c r="AF5041" s="15">
        <f>AE5041*AG5041</f>
        <v>120</v>
      </c>
      <c r="AG5041" s="16">
        <v>1</v>
      </c>
    </row>
    <row r="5042" spans="1:33" ht="15" customHeight="1" x14ac:dyDescent="0.2">
      <c r="A5042" s="11" t="str">
        <f>HYPERLINK("https://assets.vans.eu/images/VN0A2Z3IBYB-HERO/1","VN0A2Z3IBYB1")</f>
        <v>VN0A2Z3IBYB1</v>
      </c>
      <c r="B5042" s="12" t="s">
        <v>17577</v>
      </c>
      <c r="C5042" s="12" t="s">
        <v>16397</v>
      </c>
      <c r="D5042" s="12" t="s">
        <v>17578</v>
      </c>
      <c r="E5042" s="12" t="s">
        <v>17579</v>
      </c>
      <c r="F5042" s="13">
        <v>75</v>
      </c>
      <c r="G5042" s="14"/>
      <c r="H5042" s="12" t="s">
        <v>38</v>
      </c>
      <c r="I5042" s="12" t="s">
        <v>159</v>
      </c>
      <c r="J5042" s="12" t="s">
        <v>341</v>
      </c>
      <c r="K5042" s="12" t="s">
        <v>199</v>
      </c>
      <c r="L5042" s="14"/>
      <c r="M5042" s="12" t="s">
        <v>43</v>
      </c>
      <c r="N5042" s="12" t="s">
        <v>161</v>
      </c>
      <c r="O5042" s="12" t="s">
        <v>17580</v>
      </c>
      <c r="P5042" s="12" t="s">
        <v>46</v>
      </c>
      <c r="Q5042" s="12" t="s">
        <v>47</v>
      </c>
      <c r="R5042" s="12" t="s">
        <v>163</v>
      </c>
      <c r="S5042" s="13">
        <v>197065698881</v>
      </c>
      <c r="T5042" s="12" t="s">
        <v>49</v>
      </c>
      <c r="U5042" s="13">
        <v>40</v>
      </c>
      <c r="V5042" s="12" t="s">
        <v>50</v>
      </c>
      <c r="W5042" s="12" t="s">
        <v>51</v>
      </c>
      <c r="X5042" s="14"/>
      <c r="Y5042" s="12" t="s">
        <v>91</v>
      </c>
      <c r="Z5042" s="12" t="s">
        <v>344</v>
      </c>
      <c r="AA5042" s="14"/>
      <c r="AB5042" s="14"/>
      <c r="AC5042" s="15">
        <v>50</v>
      </c>
      <c r="AD5042" s="15">
        <f>AC5042*AG5042</f>
        <v>50</v>
      </c>
      <c r="AE5042" s="15">
        <v>110</v>
      </c>
      <c r="AF5042" s="15">
        <f>AE5042*AG5042</f>
        <v>110</v>
      </c>
      <c r="AG5042" s="16">
        <v>1</v>
      </c>
    </row>
    <row r="5043" spans="1:33" ht="15" customHeight="1" x14ac:dyDescent="0.2">
      <c r="A5043" s="11" t="str">
        <f>HYPERLINK("https://assets.vans.eu/images/VN0A2Z3IY52-HERO/1","VN0A2Z3IY521")</f>
        <v>VN0A2Z3IY521</v>
      </c>
      <c r="B5043" s="12" t="s">
        <v>17581</v>
      </c>
      <c r="C5043" s="12" t="s">
        <v>16397</v>
      </c>
      <c r="D5043" s="12" t="s">
        <v>9700</v>
      </c>
      <c r="E5043" s="12" t="s">
        <v>17582</v>
      </c>
      <c r="F5043" s="13">
        <v>80</v>
      </c>
      <c r="G5043" s="14"/>
      <c r="H5043" s="12" t="s">
        <v>38</v>
      </c>
      <c r="I5043" s="12" t="s">
        <v>159</v>
      </c>
      <c r="J5043" s="12" t="s">
        <v>341</v>
      </c>
      <c r="K5043" s="12" t="s">
        <v>199</v>
      </c>
      <c r="L5043" s="14"/>
      <c r="M5043" s="12" t="s">
        <v>43</v>
      </c>
      <c r="N5043" s="12" t="s">
        <v>274</v>
      </c>
      <c r="O5043" s="12" t="s">
        <v>17583</v>
      </c>
      <c r="P5043" s="12" t="s">
        <v>46</v>
      </c>
      <c r="Q5043" s="12" t="s">
        <v>47</v>
      </c>
      <c r="R5043" s="12" t="s">
        <v>163</v>
      </c>
      <c r="S5043" s="13">
        <v>197063765172</v>
      </c>
      <c r="T5043" s="12" t="s">
        <v>49</v>
      </c>
      <c r="U5043" s="13">
        <v>40.5</v>
      </c>
      <c r="V5043" s="12" t="s">
        <v>50</v>
      </c>
      <c r="W5043" s="12" t="s">
        <v>262</v>
      </c>
      <c r="X5043" s="14"/>
      <c r="Y5043" s="12" t="s">
        <v>91</v>
      </c>
      <c r="Z5043" s="12" t="s">
        <v>344</v>
      </c>
      <c r="AA5043" s="14"/>
      <c r="AB5043" s="14"/>
      <c r="AC5043" s="15">
        <v>50</v>
      </c>
      <c r="AD5043" s="15">
        <f>AC5043*AG5043</f>
        <v>50</v>
      </c>
      <c r="AE5043" s="15">
        <v>110</v>
      </c>
      <c r="AF5043" s="15">
        <f>AE5043*AG5043</f>
        <v>110</v>
      </c>
      <c r="AG5043" s="16">
        <v>1</v>
      </c>
    </row>
    <row r="5044" spans="1:33" ht="15" customHeight="1" x14ac:dyDescent="0.2">
      <c r="A5044" s="11" t="str">
        <f>HYPERLINK("https://assets.vans.eu/images/VN0A2Z3KLTG-HERO/1","VN0A2Z3KLTG1")</f>
        <v>VN0A2Z3KLTG1</v>
      </c>
      <c r="B5044" s="12" t="s">
        <v>17584</v>
      </c>
      <c r="C5044" s="12" t="s">
        <v>17585</v>
      </c>
      <c r="D5044" s="12" t="s">
        <v>17586</v>
      </c>
      <c r="E5044" s="12" t="s">
        <v>17587</v>
      </c>
      <c r="F5044" s="13">
        <v>85</v>
      </c>
      <c r="G5044" s="14"/>
      <c r="H5044" s="12" t="s">
        <v>38</v>
      </c>
      <c r="I5044" s="12" t="s">
        <v>159</v>
      </c>
      <c r="J5044" s="12" t="s">
        <v>341</v>
      </c>
      <c r="K5044" s="12" t="s">
        <v>82</v>
      </c>
      <c r="L5044" s="14"/>
      <c r="M5044" s="12" t="s">
        <v>43</v>
      </c>
      <c r="N5044" s="12" t="s">
        <v>161</v>
      </c>
      <c r="O5044" s="12" t="s">
        <v>17588</v>
      </c>
      <c r="P5044" s="12" t="s">
        <v>46</v>
      </c>
      <c r="Q5044" s="12" t="s">
        <v>47</v>
      </c>
      <c r="R5044" s="12" t="s">
        <v>163</v>
      </c>
      <c r="S5044" s="13">
        <v>197065808051</v>
      </c>
      <c r="T5044" s="12" t="s">
        <v>49</v>
      </c>
      <c r="U5044" s="13">
        <v>41</v>
      </c>
      <c r="V5044" s="12" t="s">
        <v>50</v>
      </c>
      <c r="W5044" s="12" t="s">
        <v>455</v>
      </c>
      <c r="X5044" s="14"/>
      <c r="Y5044" s="12" t="s">
        <v>91</v>
      </c>
      <c r="Z5044" s="12" t="s">
        <v>344</v>
      </c>
      <c r="AA5044" s="14"/>
      <c r="AB5044" s="14"/>
      <c r="AC5044" s="15">
        <v>43.2</v>
      </c>
      <c r="AD5044" s="15">
        <f>AC5044*AG5044</f>
        <v>43.2</v>
      </c>
      <c r="AE5044" s="15">
        <v>95</v>
      </c>
      <c r="AF5044" s="15">
        <f>AE5044*AG5044</f>
        <v>95</v>
      </c>
      <c r="AG5044" s="16">
        <v>1</v>
      </c>
    </row>
    <row r="5045" spans="1:33" ht="15" customHeight="1" x14ac:dyDescent="0.2">
      <c r="A5045" s="11" t="str">
        <f t="shared" si="1508"/>
        <v>VN0A2Z3NY401</v>
      </c>
      <c r="B5045" s="12" t="s">
        <v>17589</v>
      </c>
      <c r="C5045" s="12" t="s">
        <v>17145</v>
      </c>
      <c r="D5045" s="12" t="s">
        <v>5955</v>
      </c>
      <c r="E5045" s="12" t="s">
        <v>17590</v>
      </c>
      <c r="F5045" s="13">
        <v>80</v>
      </c>
      <c r="G5045" s="12" t="s">
        <v>17147</v>
      </c>
      <c r="H5045" s="12" t="s">
        <v>38</v>
      </c>
      <c r="I5045" s="12" t="s">
        <v>159</v>
      </c>
      <c r="J5045" s="12" t="s">
        <v>341</v>
      </c>
      <c r="K5045" s="12" t="s">
        <v>199</v>
      </c>
      <c r="L5045" s="14"/>
      <c r="M5045" s="12" t="s">
        <v>43</v>
      </c>
      <c r="N5045" s="12" t="s">
        <v>161</v>
      </c>
      <c r="O5045" s="12" t="s">
        <v>17591</v>
      </c>
      <c r="P5045" s="12" t="s">
        <v>46</v>
      </c>
      <c r="Q5045" s="12" t="s">
        <v>47</v>
      </c>
      <c r="R5045" s="12" t="s">
        <v>1660</v>
      </c>
      <c r="S5045" s="13">
        <v>197065768690</v>
      </c>
      <c r="T5045" s="12" t="s">
        <v>49</v>
      </c>
      <c r="U5045" s="13">
        <v>40.5</v>
      </c>
      <c r="V5045" s="12" t="s">
        <v>209</v>
      </c>
      <c r="W5045" s="12" t="s">
        <v>284</v>
      </c>
      <c r="X5045" s="14"/>
      <c r="Y5045" s="12" t="s">
        <v>53</v>
      </c>
      <c r="Z5045" s="12" t="s">
        <v>13844</v>
      </c>
      <c r="AA5045" s="14"/>
      <c r="AB5045" s="14"/>
      <c r="AC5045" s="15">
        <v>45.5</v>
      </c>
      <c r="AD5045" s="15">
        <f>AC5045*AG5045</f>
        <v>45.5</v>
      </c>
      <c r="AE5045" s="15">
        <v>100</v>
      </c>
      <c r="AF5045" s="15">
        <f>AE5045*AG5045</f>
        <v>100</v>
      </c>
      <c r="AG5045" s="16">
        <v>1</v>
      </c>
    </row>
    <row r="5046" spans="1:33" ht="15" customHeight="1" x14ac:dyDescent="0.2">
      <c r="A5046" s="11" t="str">
        <f t="shared" si="1508"/>
        <v>VN0A2Z3NY401</v>
      </c>
      <c r="B5046" s="12" t="s">
        <v>17592</v>
      </c>
      <c r="C5046" s="12" t="s">
        <v>17145</v>
      </c>
      <c r="D5046" s="12" t="s">
        <v>5955</v>
      </c>
      <c r="E5046" s="12" t="s">
        <v>17593</v>
      </c>
      <c r="F5046" s="13">
        <v>85</v>
      </c>
      <c r="G5046" s="12" t="s">
        <v>17147</v>
      </c>
      <c r="H5046" s="12" t="s">
        <v>38</v>
      </c>
      <c r="I5046" s="12" t="s">
        <v>159</v>
      </c>
      <c r="J5046" s="12" t="s">
        <v>341</v>
      </c>
      <c r="K5046" s="12" t="s">
        <v>199</v>
      </c>
      <c r="L5046" s="14"/>
      <c r="M5046" s="12" t="s">
        <v>43</v>
      </c>
      <c r="N5046" s="12" t="s">
        <v>161</v>
      </c>
      <c r="O5046" s="12" t="s">
        <v>17594</v>
      </c>
      <c r="P5046" s="12" t="s">
        <v>46</v>
      </c>
      <c r="Q5046" s="12" t="s">
        <v>47</v>
      </c>
      <c r="R5046" s="12" t="s">
        <v>1660</v>
      </c>
      <c r="S5046" s="13">
        <v>197065768720</v>
      </c>
      <c r="T5046" s="12" t="s">
        <v>49</v>
      </c>
      <c r="U5046" s="13">
        <v>41</v>
      </c>
      <c r="V5046" s="12" t="s">
        <v>209</v>
      </c>
      <c r="W5046" s="12" t="s">
        <v>284</v>
      </c>
      <c r="X5046" s="14"/>
      <c r="Y5046" s="12" t="s">
        <v>53</v>
      </c>
      <c r="Z5046" s="12" t="s">
        <v>13844</v>
      </c>
      <c r="AA5046" s="14"/>
      <c r="AB5046" s="14"/>
      <c r="AC5046" s="15">
        <v>45.5</v>
      </c>
      <c r="AD5046" s="15">
        <f>AC5046*AG5046</f>
        <v>45.5</v>
      </c>
      <c r="AE5046" s="15">
        <v>100</v>
      </c>
      <c r="AF5046" s="15">
        <f>AE5046*AG5046</f>
        <v>100</v>
      </c>
      <c r="AG5046" s="16">
        <v>1</v>
      </c>
    </row>
    <row r="5047" spans="1:33" ht="15" customHeight="1" x14ac:dyDescent="0.2">
      <c r="A5047" s="11" t="str">
        <f t="shared" si="1508"/>
        <v>VN0A2Z3NY401</v>
      </c>
      <c r="B5047" s="12" t="s">
        <v>17595</v>
      </c>
      <c r="C5047" s="12" t="s">
        <v>17145</v>
      </c>
      <c r="D5047" s="12" t="s">
        <v>5955</v>
      </c>
      <c r="E5047" s="12" t="s">
        <v>17596</v>
      </c>
      <c r="F5047" s="13">
        <v>95</v>
      </c>
      <c r="G5047" s="12" t="s">
        <v>17147</v>
      </c>
      <c r="H5047" s="12" t="s">
        <v>38</v>
      </c>
      <c r="I5047" s="12" t="s">
        <v>159</v>
      </c>
      <c r="J5047" s="12" t="s">
        <v>341</v>
      </c>
      <c r="K5047" s="12" t="s">
        <v>199</v>
      </c>
      <c r="L5047" s="14"/>
      <c r="M5047" s="12" t="s">
        <v>43</v>
      </c>
      <c r="N5047" s="12" t="s">
        <v>161</v>
      </c>
      <c r="O5047" s="12" t="s">
        <v>17597</v>
      </c>
      <c r="P5047" s="12" t="s">
        <v>46</v>
      </c>
      <c r="Q5047" s="12" t="s">
        <v>47</v>
      </c>
      <c r="R5047" s="12" t="s">
        <v>1660</v>
      </c>
      <c r="S5047" s="13">
        <v>197065768911</v>
      </c>
      <c r="T5047" s="12" t="s">
        <v>49</v>
      </c>
      <c r="U5047" s="13">
        <v>42.5</v>
      </c>
      <c r="V5047" s="12" t="s">
        <v>209</v>
      </c>
      <c r="W5047" s="12" t="s">
        <v>284</v>
      </c>
      <c r="X5047" s="14"/>
      <c r="Y5047" s="12" t="s">
        <v>53</v>
      </c>
      <c r="Z5047" s="12" t="s">
        <v>13844</v>
      </c>
      <c r="AA5047" s="14"/>
      <c r="AB5047" s="14"/>
      <c r="AC5047" s="15">
        <v>45.5</v>
      </c>
      <c r="AD5047" s="15">
        <f>AC5047*AG5047</f>
        <v>45.5</v>
      </c>
      <c r="AE5047" s="15">
        <v>100</v>
      </c>
      <c r="AF5047" s="15">
        <f>AE5047*AG5047</f>
        <v>100</v>
      </c>
      <c r="AG5047" s="16">
        <v>1</v>
      </c>
    </row>
    <row r="5048" spans="1:33" ht="15" customHeight="1" x14ac:dyDescent="0.2">
      <c r="A5048" s="11" t="str">
        <f t="shared" si="1508"/>
        <v>VN0A2Z3NY401</v>
      </c>
      <c r="B5048" s="12" t="s">
        <v>17598</v>
      </c>
      <c r="C5048" s="12" t="s">
        <v>17145</v>
      </c>
      <c r="D5048" s="12" t="s">
        <v>5955</v>
      </c>
      <c r="E5048" s="12" t="s">
        <v>17599</v>
      </c>
      <c r="F5048" s="13">
        <v>100</v>
      </c>
      <c r="G5048" s="12" t="s">
        <v>17147</v>
      </c>
      <c r="H5048" s="12" t="s">
        <v>38</v>
      </c>
      <c r="I5048" s="12" t="s">
        <v>159</v>
      </c>
      <c r="J5048" s="12" t="s">
        <v>341</v>
      </c>
      <c r="K5048" s="12" t="s">
        <v>199</v>
      </c>
      <c r="L5048" s="14"/>
      <c r="M5048" s="12" t="s">
        <v>43</v>
      </c>
      <c r="N5048" s="12" t="s">
        <v>161</v>
      </c>
      <c r="O5048" s="12" t="s">
        <v>17600</v>
      </c>
      <c r="P5048" s="12" t="s">
        <v>46</v>
      </c>
      <c r="Q5048" s="12" t="s">
        <v>47</v>
      </c>
      <c r="R5048" s="12" t="s">
        <v>1660</v>
      </c>
      <c r="S5048" s="13">
        <v>197065768959</v>
      </c>
      <c r="T5048" s="12" t="s">
        <v>49</v>
      </c>
      <c r="U5048" s="13">
        <v>43</v>
      </c>
      <c r="V5048" s="12" t="s">
        <v>209</v>
      </c>
      <c r="W5048" s="12" t="s">
        <v>284</v>
      </c>
      <c r="X5048" s="14"/>
      <c r="Y5048" s="12" t="s">
        <v>53</v>
      </c>
      <c r="Z5048" s="12" t="s">
        <v>13844</v>
      </c>
      <c r="AA5048" s="14"/>
      <c r="AB5048" s="14"/>
      <c r="AC5048" s="15">
        <v>45.5</v>
      </c>
      <c r="AD5048" s="15">
        <f>AC5048*AG5048</f>
        <v>45.5</v>
      </c>
      <c r="AE5048" s="15">
        <v>100</v>
      </c>
      <c r="AF5048" s="15">
        <f>AE5048*AG5048</f>
        <v>100</v>
      </c>
      <c r="AG5048" s="16">
        <v>1</v>
      </c>
    </row>
    <row r="5049" spans="1:33" ht="15" customHeight="1" x14ac:dyDescent="0.2">
      <c r="A5049" s="11" t="str">
        <f t="shared" si="1508"/>
        <v>VN0A2Z3NY401</v>
      </c>
      <c r="B5049" s="12" t="s">
        <v>17601</v>
      </c>
      <c r="C5049" s="12" t="s">
        <v>17145</v>
      </c>
      <c r="D5049" s="12" t="s">
        <v>5955</v>
      </c>
      <c r="E5049" s="12" t="s">
        <v>17602</v>
      </c>
      <c r="F5049" s="13">
        <v>105</v>
      </c>
      <c r="G5049" s="12" t="s">
        <v>17147</v>
      </c>
      <c r="H5049" s="12" t="s">
        <v>38</v>
      </c>
      <c r="I5049" s="12" t="s">
        <v>159</v>
      </c>
      <c r="J5049" s="12" t="s">
        <v>341</v>
      </c>
      <c r="K5049" s="12" t="s">
        <v>199</v>
      </c>
      <c r="L5049" s="14"/>
      <c r="M5049" s="12" t="s">
        <v>43</v>
      </c>
      <c r="N5049" s="12" t="s">
        <v>161</v>
      </c>
      <c r="O5049" s="12" t="s">
        <v>17603</v>
      </c>
      <c r="P5049" s="12" t="s">
        <v>46</v>
      </c>
      <c r="Q5049" s="12" t="s">
        <v>47</v>
      </c>
      <c r="R5049" s="12" t="s">
        <v>1660</v>
      </c>
      <c r="S5049" s="13">
        <v>197065768980</v>
      </c>
      <c r="T5049" s="12" t="s">
        <v>49</v>
      </c>
      <c r="U5049" s="13">
        <v>44</v>
      </c>
      <c r="V5049" s="12" t="s">
        <v>209</v>
      </c>
      <c r="W5049" s="12" t="s">
        <v>284</v>
      </c>
      <c r="X5049" s="14"/>
      <c r="Y5049" s="12" t="s">
        <v>53</v>
      </c>
      <c r="Z5049" s="12" t="s">
        <v>13844</v>
      </c>
      <c r="AA5049" s="14"/>
      <c r="AB5049" s="14"/>
      <c r="AC5049" s="15">
        <v>45.5</v>
      </c>
      <c r="AD5049" s="15">
        <f>AC5049*AG5049</f>
        <v>45.5</v>
      </c>
      <c r="AE5049" s="15">
        <v>100</v>
      </c>
      <c r="AF5049" s="15">
        <f>AE5049*AG5049</f>
        <v>100</v>
      </c>
      <c r="AG5049" s="16">
        <v>1</v>
      </c>
    </row>
    <row r="5050" spans="1:33" ht="15" customHeight="1" x14ac:dyDescent="0.2">
      <c r="A5050" s="11" t="str">
        <f t="shared" si="1508"/>
        <v>VN0A2Z3NY401</v>
      </c>
      <c r="B5050" s="12" t="s">
        <v>17604</v>
      </c>
      <c r="C5050" s="12" t="s">
        <v>17145</v>
      </c>
      <c r="D5050" s="12" t="s">
        <v>5955</v>
      </c>
      <c r="E5050" s="12" t="s">
        <v>17605</v>
      </c>
      <c r="F5050" s="13">
        <v>110</v>
      </c>
      <c r="G5050" s="12" t="s">
        <v>17147</v>
      </c>
      <c r="H5050" s="12" t="s">
        <v>38</v>
      </c>
      <c r="I5050" s="12" t="s">
        <v>159</v>
      </c>
      <c r="J5050" s="12" t="s">
        <v>341</v>
      </c>
      <c r="K5050" s="12" t="s">
        <v>199</v>
      </c>
      <c r="L5050" s="14"/>
      <c r="M5050" s="12" t="s">
        <v>43</v>
      </c>
      <c r="N5050" s="12" t="s">
        <v>161</v>
      </c>
      <c r="O5050" s="12" t="s">
        <v>17606</v>
      </c>
      <c r="P5050" s="12" t="s">
        <v>46</v>
      </c>
      <c r="Q5050" s="12" t="s">
        <v>47</v>
      </c>
      <c r="R5050" s="12" t="s">
        <v>1660</v>
      </c>
      <c r="S5050" s="13">
        <v>197065769130</v>
      </c>
      <c r="T5050" s="12" t="s">
        <v>49</v>
      </c>
      <c r="U5050" s="13">
        <v>44.5</v>
      </c>
      <c r="V5050" s="12" t="s">
        <v>209</v>
      </c>
      <c r="W5050" s="12" t="s">
        <v>284</v>
      </c>
      <c r="X5050" s="14"/>
      <c r="Y5050" s="12" t="s">
        <v>53</v>
      </c>
      <c r="Z5050" s="12" t="s">
        <v>13844</v>
      </c>
      <c r="AA5050" s="14"/>
      <c r="AB5050" s="14"/>
      <c r="AC5050" s="15">
        <v>45.5</v>
      </c>
      <c r="AD5050" s="15">
        <f>AC5050*AG5050</f>
        <v>45.5</v>
      </c>
      <c r="AE5050" s="15">
        <v>100</v>
      </c>
      <c r="AF5050" s="15">
        <f>AE5050*AG5050</f>
        <v>100</v>
      </c>
      <c r="AG5050" s="16">
        <v>1</v>
      </c>
    </row>
    <row r="5051" spans="1:33" ht="15" customHeight="1" x14ac:dyDescent="0.2">
      <c r="A5051" s="11" t="str">
        <f t="shared" ref="A5051:A5054" si="1519">HYPERLINK("https://assets.vans.eu/images/VN0A2Z3TWTM-HERO/1","VN0A2Z3TWTM1")</f>
        <v>VN0A2Z3TWTM1</v>
      </c>
      <c r="B5051" s="12" t="s">
        <v>17607</v>
      </c>
      <c r="C5051" s="12" t="s">
        <v>17184</v>
      </c>
      <c r="D5051" s="12" t="s">
        <v>7196</v>
      </c>
      <c r="E5051" s="12" t="s">
        <v>17608</v>
      </c>
      <c r="F5051" s="13">
        <v>70</v>
      </c>
      <c r="G5051" s="12" t="s">
        <v>17609</v>
      </c>
      <c r="H5051" s="12" t="s">
        <v>38</v>
      </c>
      <c r="I5051" s="12" t="s">
        <v>159</v>
      </c>
      <c r="J5051" s="12" t="s">
        <v>341</v>
      </c>
      <c r="K5051" s="12" t="s">
        <v>82</v>
      </c>
      <c r="L5051" s="14"/>
      <c r="M5051" s="12" t="s">
        <v>43</v>
      </c>
      <c r="N5051" s="12" t="s">
        <v>161</v>
      </c>
      <c r="O5051" s="12" t="s">
        <v>17610</v>
      </c>
      <c r="P5051" s="12" t="s">
        <v>46</v>
      </c>
      <c r="Q5051" s="12" t="s">
        <v>47</v>
      </c>
      <c r="R5051" s="12" t="s">
        <v>343</v>
      </c>
      <c r="S5051" s="13">
        <v>197065771096</v>
      </c>
      <c r="T5051" s="12" t="s">
        <v>49</v>
      </c>
      <c r="U5051" s="13">
        <v>39</v>
      </c>
      <c r="V5051" s="12" t="s">
        <v>50</v>
      </c>
      <c r="W5051" s="12" t="s">
        <v>175</v>
      </c>
      <c r="X5051" s="14"/>
      <c r="Y5051" s="12" t="s">
        <v>91</v>
      </c>
      <c r="Z5051" s="12" t="s">
        <v>344</v>
      </c>
      <c r="AA5051" s="14"/>
      <c r="AB5051" s="14"/>
      <c r="AC5051" s="15">
        <v>52.3</v>
      </c>
      <c r="AD5051" s="15">
        <f>AC5051*AG5051</f>
        <v>52.3</v>
      </c>
      <c r="AE5051" s="15">
        <v>115</v>
      </c>
      <c r="AF5051" s="15">
        <f>AE5051*AG5051</f>
        <v>115</v>
      </c>
      <c r="AG5051" s="16">
        <v>1</v>
      </c>
    </row>
    <row r="5052" spans="1:33" ht="15" customHeight="1" x14ac:dyDescent="0.2">
      <c r="A5052" s="11" t="str">
        <f t="shared" si="1519"/>
        <v>VN0A2Z3TWTM1</v>
      </c>
      <c r="B5052" s="12" t="s">
        <v>17611</v>
      </c>
      <c r="C5052" s="12" t="s">
        <v>17184</v>
      </c>
      <c r="D5052" s="12" t="s">
        <v>7196</v>
      </c>
      <c r="E5052" s="12" t="s">
        <v>17612</v>
      </c>
      <c r="F5052" s="13">
        <v>75</v>
      </c>
      <c r="G5052" s="12" t="s">
        <v>17609</v>
      </c>
      <c r="H5052" s="12" t="s">
        <v>38</v>
      </c>
      <c r="I5052" s="12" t="s">
        <v>159</v>
      </c>
      <c r="J5052" s="12" t="s">
        <v>341</v>
      </c>
      <c r="K5052" s="12" t="s">
        <v>82</v>
      </c>
      <c r="L5052" s="14"/>
      <c r="M5052" s="12" t="s">
        <v>43</v>
      </c>
      <c r="N5052" s="12" t="s">
        <v>161</v>
      </c>
      <c r="O5052" s="12" t="s">
        <v>17613</v>
      </c>
      <c r="P5052" s="12" t="s">
        <v>46</v>
      </c>
      <c r="Q5052" s="12" t="s">
        <v>47</v>
      </c>
      <c r="R5052" s="12" t="s">
        <v>343</v>
      </c>
      <c r="S5052" s="13">
        <v>197065771249</v>
      </c>
      <c r="T5052" s="12" t="s">
        <v>49</v>
      </c>
      <c r="U5052" s="13">
        <v>40</v>
      </c>
      <c r="V5052" s="12" t="s">
        <v>50</v>
      </c>
      <c r="W5052" s="12" t="s">
        <v>175</v>
      </c>
      <c r="X5052" s="14"/>
      <c r="Y5052" s="12" t="s">
        <v>91</v>
      </c>
      <c r="Z5052" s="12" t="s">
        <v>344</v>
      </c>
      <c r="AA5052" s="14"/>
      <c r="AB5052" s="14"/>
      <c r="AC5052" s="15">
        <v>52.3</v>
      </c>
      <c r="AD5052" s="15">
        <f>AC5052*AG5052</f>
        <v>52.3</v>
      </c>
      <c r="AE5052" s="15">
        <v>115</v>
      </c>
      <c r="AF5052" s="15">
        <f>AE5052*AG5052</f>
        <v>115</v>
      </c>
      <c r="AG5052" s="16">
        <v>1</v>
      </c>
    </row>
    <row r="5053" spans="1:33" ht="15" customHeight="1" x14ac:dyDescent="0.2">
      <c r="A5053" s="11" t="str">
        <f t="shared" si="1519"/>
        <v>VN0A2Z3TWTM1</v>
      </c>
      <c r="B5053" s="12" t="s">
        <v>17614</v>
      </c>
      <c r="C5053" s="12" t="s">
        <v>17184</v>
      </c>
      <c r="D5053" s="12" t="s">
        <v>7196</v>
      </c>
      <c r="E5053" s="12" t="s">
        <v>17615</v>
      </c>
      <c r="F5053" s="13">
        <v>80</v>
      </c>
      <c r="G5053" s="12" t="s">
        <v>17609</v>
      </c>
      <c r="H5053" s="12" t="s">
        <v>38</v>
      </c>
      <c r="I5053" s="12" t="s">
        <v>159</v>
      </c>
      <c r="J5053" s="12" t="s">
        <v>341</v>
      </c>
      <c r="K5053" s="12" t="s">
        <v>82</v>
      </c>
      <c r="L5053" s="14"/>
      <c r="M5053" s="12" t="s">
        <v>43</v>
      </c>
      <c r="N5053" s="12" t="s">
        <v>161</v>
      </c>
      <c r="O5053" s="12" t="s">
        <v>17616</v>
      </c>
      <c r="P5053" s="12" t="s">
        <v>46</v>
      </c>
      <c r="Q5053" s="12" t="s">
        <v>47</v>
      </c>
      <c r="R5053" s="12" t="s">
        <v>343</v>
      </c>
      <c r="S5053" s="13">
        <v>197065771416</v>
      </c>
      <c r="T5053" s="12" t="s">
        <v>49</v>
      </c>
      <c r="U5053" s="13">
        <v>40.5</v>
      </c>
      <c r="V5053" s="12" t="s">
        <v>50</v>
      </c>
      <c r="W5053" s="12" t="s">
        <v>175</v>
      </c>
      <c r="X5053" s="14"/>
      <c r="Y5053" s="12" t="s">
        <v>91</v>
      </c>
      <c r="Z5053" s="12" t="s">
        <v>344</v>
      </c>
      <c r="AA5053" s="14"/>
      <c r="AB5053" s="14"/>
      <c r="AC5053" s="15">
        <v>52.3</v>
      </c>
      <c r="AD5053" s="15">
        <f>AC5053*AG5053</f>
        <v>52.3</v>
      </c>
      <c r="AE5053" s="15">
        <v>115</v>
      </c>
      <c r="AF5053" s="15">
        <f>AE5053*AG5053</f>
        <v>115</v>
      </c>
      <c r="AG5053" s="16">
        <v>1</v>
      </c>
    </row>
    <row r="5054" spans="1:33" ht="15" customHeight="1" x14ac:dyDescent="0.2">
      <c r="A5054" s="11" t="str">
        <f t="shared" si="1519"/>
        <v>VN0A2Z3TWTM1</v>
      </c>
      <c r="B5054" s="12" t="s">
        <v>17617</v>
      </c>
      <c r="C5054" s="12" t="s">
        <v>17184</v>
      </c>
      <c r="D5054" s="12" t="s">
        <v>7196</v>
      </c>
      <c r="E5054" s="12" t="s">
        <v>17618</v>
      </c>
      <c r="F5054" s="13">
        <v>90</v>
      </c>
      <c r="G5054" s="12" t="s">
        <v>17609</v>
      </c>
      <c r="H5054" s="12" t="s">
        <v>38</v>
      </c>
      <c r="I5054" s="12" t="s">
        <v>159</v>
      </c>
      <c r="J5054" s="12" t="s">
        <v>341</v>
      </c>
      <c r="K5054" s="12" t="s">
        <v>82</v>
      </c>
      <c r="L5054" s="14"/>
      <c r="M5054" s="12" t="s">
        <v>43</v>
      </c>
      <c r="N5054" s="12" t="s">
        <v>161</v>
      </c>
      <c r="O5054" s="12" t="s">
        <v>17619</v>
      </c>
      <c r="P5054" s="12" t="s">
        <v>46</v>
      </c>
      <c r="Q5054" s="12" t="s">
        <v>47</v>
      </c>
      <c r="R5054" s="12" t="s">
        <v>343</v>
      </c>
      <c r="S5054" s="13">
        <v>197065771638</v>
      </c>
      <c r="T5054" s="12" t="s">
        <v>49</v>
      </c>
      <c r="U5054" s="13">
        <v>42</v>
      </c>
      <c r="V5054" s="12" t="s">
        <v>50</v>
      </c>
      <c r="W5054" s="12" t="s">
        <v>175</v>
      </c>
      <c r="X5054" s="14"/>
      <c r="Y5054" s="12" t="s">
        <v>91</v>
      </c>
      <c r="Z5054" s="12" t="s">
        <v>344</v>
      </c>
      <c r="AA5054" s="14"/>
      <c r="AB5054" s="14"/>
      <c r="AC5054" s="15">
        <v>52.3</v>
      </c>
      <c r="AD5054" s="15">
        <f>AC5054*AG5054</f>
        <v>52.3</v>
      </c>
      <c r="AE5054" s="15">
        <v>115</v>
      </c>
      <c r="AF5054" s="15">
        <f>AE5054*AG5054</f>
        <v>115</v>
      </c>
      <c r="AG5054" s="16">
        <v>1</v>
      </c>
    </row>
    <row r="5055" spans="1:33" ht="15" customHeight="1" x14ac:dyDescent="0.2">
      <c r="A5055" s="11" t="str">
        <f t="shared" si="1509"/>
        <v>VN0A2Z3UCX61</v>
      </c>
      <c r="B5055" s="12" t="s">
        <v>17620</v>
      </c>
      <c r="C5055" s="12" t="s">
        <v>16975</v>
      </c>
      <c r="D5055" s="12" t="s">
        <v>7055</v>
      </c>
      <c r="E5055" s="12" t="s">
        <v>17621</v>
      </c>
      <c r="F5055" s="13">
        <v>80</v>
      </c>
      <c r="G5055" s="14"/>
      <c r="H5055" s="12" t="s">
        <v>38</v>
      </c>
      <c r="I5055" s="12" t="s">
        <v>159</v>
      </c>
      <c r="J5055" s="12" t="s">
        <v>341</v>
      </c>
      <c r="K5055" s="12" t="s">
        <v>199</v>
      </c>
      <c r="L5055" s="14"/>
      <c r="M5055" s="12" t="s">
        <v>43</v>
      </c>
      <c r="N5055" s="12" t="s">
        <v>274</v>
      </c>
      <c r="O5055" s="12" t="s">
        <v>17622</v>
      </c>
      <c r="P5055" s="12" t="s">
        <v>46</v>
      </c>
      <c r="Q5055" s="12" t="s">
        <v>47</v>
      </c>
      <c r="R5055" s="12" t="s">
        <v>163</v>
      </c>
      <c r="S5055" s="13">
        <v>197063765165</v>
      </c>
      <c r="T5055" s="12" t="s">
        <v>49</v>
      </c>
      <c r="U5055" s="13">
        <v>40.5</v>
      </c>
      <c r="V5055" s="12" t="s">
        <v>50</v>
      </c>
      <c r="W5055" s="12" t="s">
        <v>118</v>
      </c>
      <c r="X5055" s="14"/>
      <c r="Y5055" s="12" t="s">
        <v>91</v>
      </c>
      <c r="Z5055" s="12" t="s">
        <v>344</v>
      </c>
      <c r="AA5055" s="14"/>
      <c r="AB5055" s="14"/>
      <c r="AC5055" s="15">
        <v>54.55</v>
      </c>
      <c r="AD5055" s="15">
        <f>AC5055*AG5055</f>
        <v>54.55</v>
      </c>
      <c r="AE5055" s="15">
        <v>120</v>
      </c>
      <c r="AF5055" s="15">
        <f>AE5055*AG5055</f>
        <v>120</v>
      </c>
      <c r="AG5055" s="16">
        <v>1</v>
      </c>
    </row>
    <row r="5056" spans="1:33" ht="15" customHeight="1" x14ac:dyDescent="0.2">
      <c r="A5056" s="11" t="str">
        <f t="shared" si="1509"/>
        <v>VN0A2Z3UCX61</v>
      </c>
      <c r="B5056" s="12" t="s">
        <v>17623</v>
      </c>
      <c r="C5056" s="12" t="s">
        <v>16975</v>
      </c>
      <c r="D5056" s="12" t="s">
        <v>7055</v>
      </c>
      <c r="E5056" s="12" t="s">
        <v>17624</v>
      </c>
      <c r="F5056" s="13">
        <v>90</v>
      </c>
      <c r="G5056" s="14"/>
      <c r="H5056" s="12" t="s">
        <v>38</v>
      </c>
      <c r="I5056" s="12" t="s">
        <v>159</v>
      </c>
      <c r="J5056" s="12" t="s">
        <v>341</v>
      </c>
      <c r="K5056" s="12" t="s">
        <v>199</v>
      </c>
      <c r="L5056" s="14"/>
      <c r="M5056" s="12" t="s">
        <v>43</v>
      </c>
      <c r="N5056" s="12" t="s">
        <v>274</v>
      </c>
      <c r="O5056" s="12" t="s">
        <v>17625</v>
      </c>
      <c r="P5056" s="12" t="s">
        <v>46</v>
      </c>
      <c r="Q5056" s="12" t="s">
        <v>47</v>
      </c>
      <c r="R5056" s="12" t="s">
        <v>163</v>
      </c>
      <c r="S5056" s="13">
        <v>197063765561</v>
      </c>
      <c r="T5056" s="12" t="s">
        <v>49</v>
      </c>
      <c r="U5056" s="13">
        <v>42</v>
      </c>
      <c r="V5056" s="12" t="s">
        <v>50</v>
      </c>
      <c r="W5056" s="12" t="s">
        <v>118</v>
      </c>
      <c r="X5056" s="14"/>
      <c r="Y5056" s="12" t="s">
        <v>91</v>
      </c>
      <c r="Z5056" s="12" t="s">
        <v>344</v>
      </c>
      <c r="AA5056" s="14"/>
      <c r="AB5056" s="14"/>
      <c r="AC5056" s="15">
        <v>54.55</v>
      </c>
      <c r="AD5056" s="15">
        <f>AC5056*AG5056</f>
        <v>54.55</v>
      </c>
      <c r="AE5056" s="15">
        <v>120</v>
      </c>
      <c r="AF5056" s="15">
        <f>AE5056*AG5056</f>
        <v>120</v>
      </c>
      <c r="AG5056" s="16">
        <v>1</v>
      </c>
    </row>
    <row r="5057" spans="1:33" ht="15" customHeight="1" x14ac:dyDescent="0.2">
      <c r="A5057" s="11" t="str">
        <f t="shared" si="1509"/>
        <v>VN0A2Z3UCX61</v>
      </c>
      <c r="B5057" s="12" t="s">
        <v>17626</v>
      </c>
      <c r="C5057" s="12" t="s">
        <v>16975</v>
      </c>
      <c r="D5057" s="12" t="s">
        <v>7055</v>
      </c>
      <c r="E5057" s="12" t="s">
        <v>17627</v>
      </c>
      <c r="F5057" s="13">
        <v>130</v>
      </c>
      <c r="G5057" s="14"/>
      <c r="H5057" s="12" t="s">
        <v>38</v>
      </c>
      <c r="I5057" s="12" t="s">
        <v>159</v>
      </c>
      <c r="J5057" s="12" t="s">
        <v>341</v>
      </c>
      <c r="K5057" s="12" t="s">
        <v>199</v>
      </c>
      <c r="L5057" s="14"/>
      <c r="M5057" s="12" t="s">
        <v>43</v>
      </c>
      <c r="N5057" s="12" t="s">
        <v>274</v>
      </c>
      <c r="O5057" s="12" t="s">
        <v>17628</v>
      </c>
      <c r="P5057" s="12" t="s">
        <v>46</v>
      </c>
      <c r="Q5057" s="12" t="s">
        <v>47</v>
      </c>
      <c r="R5057" s="12" t="s">
        <v>163</v>
      </c>
      <c r="S5057" s="13">
        <v>197063766698</v>
      </c>
      <c r="T5057" s="12" t="s">
        <v>49</v>
      </c>
      <c r="U5057" s="13">
        <v>47</v>
      </c>
      <c r="V5057" s="12" t="s">
        <v>50</v>
      </c>
      <c r="W5057" s="12" t="s">
        <v>118</v>
      </c>
      <c r="X5057" s="14"/>
      <c r="Y5057" s="12" t="s">
        <v>91</v>
      </c>
      <c r="Z5057" s="12" t="s">
        <v>344</v>
      </c>
      <c r="AA5057" s="14"/>
      <c r="AB5057" s="14"/>
      <c r="AC5057" s="15">
        <v>54.55</v>
      </c>
      <c r="AD5057" s="15">
        <f>AC5057*AG5057</f>
        <v>54.55</v>
      </c>
      <c r="AE5057" s="15">
        <v>120</v>
      </c>
      <c r="AF5057" s="15">
        <f>AE5057*AG5057</f>
        <v>120</v>
      </c>
      <c r="AG5057" s="16">
        <v>1</v>
      </c>
    </row>
    <row r="5058" spans="1:33" ht="15" customHeight="1" x14ac:dyDescent="0.2">
      <c r="A5058" s="11" t="str">
        <f>HYPERLINK("https://assets.vans.eu/images/VN0A4BX1LKK-HERO/1","VN0A4BX1LKK1")</f>
        <v>VN0A4BX1LKK1</v>
      </c>
      <c r="B5058" s="12" t="s">
        <v>17629</v>
      </c>
      <c r="C5058" s="12" t="s">
        <v>17630</v>
      </c>
      <c r="D5058" s="12" t="s">
        <v>17631</v>
      </c>
      <c r="E5058" s="12" t="s">
        <v>17632</v>
      </c>
      <c r="F5058" s="13">
        <v>105</v>
      </c>
      <c r="G5058" s="14"/>
      <c r="H5058" s="12" t="s">
        <v>38</v>
      </c>
      <c r="I5058" s="12" t="s">
        <v>159</v>
      </c>
      <c r="J5058" s="12" t="s">
        <v>341</v>
      </c>
      <c r="K5058" s="12" t="s">
        <v>82</v>
      </c>
      <c r="L5058" s="14"/>
      <c r="M5058" s="12" t="s">
        <v>43</v>
      </c>
      <c r="N5058" s="12" t="s">
        <v>467</v>
      </c>
      <c r="O5058" s="12" t="s">
        <v>17633</v>
      </c>
      <c r="P5058" s="12" t="s">
        <v>46</v>
      </c>
      <c r="Q5058" s="12" t="s">
        <v>47</v>
      </c>
      <c r="R5058" s="12" t="s">
        <v>163</v>
      </c>
      <c r="S5058" s="13">
        <v>196571295379</v>
      </c>
      <c r="T5058" s="12" t="s">
        <v>143</v>
      </c>
      <c r="U5058" s="13">
        <v>44</v>
      </c>
      <c r="V5058" s="12" t="s">
        <v>50</v>
      </c>
      <c r="W5058" s="12" t="s">
        <v>186</v>
      </c>
      <c r="X5058" s="14"/>
      <c r="Y5058" s="12" t="s">
        <v>91</v>
      </c>
      <c r="Z5058" s="12" t="s">
        <v>344</v>
      </c>
      <c r="AA5058" s="14"/>
      <c r="AB5058" s="14"/>
      <c r="AC5058" s="15">
        <v>43.2</v>
      </c>
      <c r="AD5058" s="15">
        <f>AC5058*AG5058</f>
        <v>43.2</v>
      </c>
      <c r="AE5058" s="15">
        <v>95</v>
      </c>
      <c r="AF5058" s="15">
        <f>AE5058*AG5058</f>
        <v>95</v>
      </c>
      <c r="AG5058" s="16">
        <v>1</v>
      </c>
    </row>
    <row r="5059" spans="1:33" ht="15" customHeight="1" x14ac:dyDescent="0.2">
      <c r="A5059" s="11" t="str">
        <f>HYPERLINK("https://assets.vans.eu/images/VN0A4BXL39L-HERO/1","VN0A4BXL39L1")</f>
        <v>VN0A4BXL39L1</v>
      </c>
      <c r="B5059" s="12" t="s">
        <v>17634</v>
      </c>
      <c r="C5059" s="12" t="s">
        <v>17302</v>
      </c>
      <c r="D5059" s="12" t="s">
        <v>16688</v>
      </c>
      <c r="E5059" s="12" t="s">
        <v>17635</v>
      </c>
      <c r="F5059" s="13">
        <v>40</v>
      </c>
      <c r="G5059" s="14"/>
      <c r="H5059" s="12" t="s">
        <v>38</v>
      </c>
      <c r="I5059" s="12" t="s">
        <v>159</v>
      </c>
      <c r="J5059" s="12" t="s">
        <v>341</v>
      </c>
      <c r="K5059" s="12" t="s">
        <v>199</v>
      </c>
      <c r="L5059" s="14"/>
      <c r="M5059" s="12" t="s">
        <v>43</v>
      </c>
      <c r="N5059" s="12" t="s">
        <v>274</v>
      </c>
      <c r="O5059" s="12" t="s">
        <v>17636</v>
      </c>
      <c r="P5059" s="12" t="s">
        <v>46</v>
      </c>
      <c r="Q5059" s="12" t="s">
        <v>47</v>
      </c>
      <c r="R5059" s="12" t="s">
        <v>343</v>
      </c>
      <c r="S5059" s="13">
        <v>197063310761</v>
      </c>
      <c r="T5059" s="12" t="s">
        <v>105</v>
      </c>
      <c r="U5059" s="13">
        <v>35</v>
      </c>
      <c r="V5059" s="12" t="s">
        <v>50</v>
      </c>
      <c r="W5059" s="12" t="s">
        <v>51</v>
      </c>
      <c r="X5059" s="14"/>
      <c r="Y5059" s="12" t="s">
        <v>91</v>
      </c>
      <c r="Z5059" s="12" t="s">
        <v>344</v>
      </c>
      <c r="AA5059" s="14"/>
      <c r="AB5059" s="14"/>
      <c r="AC5059" s="15">
        <v>45.5</v>
      </c>
      <c r="AD5059" s="15">
        <f>AC5059*AG5059</f>
        <v>45.5</v>
      </c>
      <c r="AE5059" s="15">
        <v>100</v>
      </c>
      <c r="AF5059" s="15">
        <f>AE5059*AG5059</f>
        <v>100</v>
      </c>
      <c r="AG5059" s="16">
        <v>1</v>
      </c>
    </row>
    <row r="5060" spans="1:33" ht="15" customHeight="1" x14ac:dyDescent="0.2">
      <c r="A5060" s="11" t="str">
        <f>HYPERLINK("https://assets.vans.eu/images/VN0A4U1KJCN-HERO/1","VN0A4U1KJCN1")</f>
        <v>VN0A4U1KJCN1</v>
      </c>
      <c r="B5060" s="12" t="s">
        <v>17637</v>
      </c>
      <c r="C5060" s="12" t="s">
        <v>1016</v>
      </c>
      <c r="D5060" s="12" t="s">
        <v>13203</v>
      </c>
      <c r="E5060" s="12" t="s">
        <v>17638</v>
      </c>
      <c r="F5060" s="13">
        <v>90</v>
      </c>
      <c r="G5060" s="14"/>
      <c r="H5060" s="12" t="s">
        <v>38</v>
      </c>
      <c r="I5060" s="12" t="s">
        <v>159</v>
      </c>
      <c r="J5060" s="12" t="s">
        <v>255</v>
      </c>
      <c r="K5060" s="12" t="s">
        <v>82</v>
      </c>
      <c r="L5060" s="12" t="s">
        <v>42</v>
      </c>
      <c r="M5060" s="12" t="s">
        <v>43</v>
      </c>
      <c r="N5060" s="12" t="s">
        <v>101</v>
      </c>
      <c r="O5060" s="12" t="s">
        <v>17639</v>
      </c>
      <c r="P5060" s="12" t="s">
        <v>46</v>
      </c>
      <c r="Q5060" s="12" t="s">
        <v>47</v>
      </c>
      <c r="R5060" s="12" t="s">
        <v>163</v>
      </c>
      <c r="S5060" s="13">
        <v>196573453258</v>
      </c>
      <c r="T5060" s="12" t="s">
        <v>49</v>
      </c>
      <c r="U5060" s="13">
        <v>42</v>
      </c>
      <c r="V5060" s="12" t="s">
        <v>278</v>
      </c>
      <c r="W5060" s="12" t="s">
        <v>284</v>
      </c>
      <c r="X5060" s="14"/>
      <c r="Y5060" s="12" t="s">
        <v>91</v>
      </c>
      <c r="Z5060" s="12" t="s">
        <v>92</v>
      </c>
      <c r="AA5060" s="12" t="s">
        <v>3224</v>
      </c>
      <c r="AB5060" s="12" t="s">
        <v>55</v>
      </c>
      <c r="AC5060" s="15">
        <v>52.3</v>
      </c>
      <c r="AD5060" s="15">
        <f>AC5060*AG5060</f>
        <v>52.3</v>
      </c>
      <c r="AE5060" s="15">
        <v>115</v>
      </c>
      <c r="AF5060" s="15">
        <f>AE5060*AG5060</f>
        <v>115</v>
      </c>
      <c r="AG5060" s="16">
        <v>1</v>
      </c>
    </row>
    <row r="5061" spans="1:33" ht="15" customHeight="1" x14ac:dyDescent="0.2">
      <c r="A5061" s="11" t="str">
        <f>HYPERLINK("https://assets.vans.eu/images/VN0A5AODENR-HERO/1","VN0A5AODENR1")</f>
        <v>VN0A5AODENR1</v>
      </c>
      <c r="B5061" s="12" t="s">
        <v>17640</v>
      </c>
      <c r="C5061" s="12" t="s">
        <v>17641</v>
      </c>
      <c r="D5061" s="12" t="s">
        <v>17642</v>
      </c>
      <c r="E5061" s="12" t="s">
        <v>17643</v>
      </c>
      <c r="F5061" s="13">
        <v>120</v>
      </c>
      <c r="G5061" s="14"/>
      <c r="H5061" s="12" t="s">
        <v>38</v>
      </c>
      <c r="I5061" s="12" t="s">
        <v>159</v>
      </c>
      <c r="J5061" s="12" t="s">
        <v>341</v>
      </c>
      <c r="K5061" s="12" t="s">
        <v>82</v>
      </c>
      <c r="L5061" s="14"/>
      <c r="M5061" s="12" t="s">
        <v>43</v>
      </c>
      <c r="N5061" s="12" t="s">
        <v>2457</v>
      </c>
      <c r="O5061" s="12" t="s">
        <v>17644</v>
      </c>
      <c r="P5061" s="12" t="s">
        <v>46</v>
      </c>
      <c r="Q5061" s="12" t="s">
        <v>2432</v>
      </c>
      <c r="R5061" s="12" t="s">
        <v>10109</v>
      </c>
      <c r="S5061" s="13">
        <v>194905289148</v>
      </c>
      <c r="T5061" s="12" t="s">
        <v>143</v>
      </c>
      <c r="U5061" s="13">
        <v>46</v>
      </c>
      <c r="V5061" s="12" t="s">
        <v>278</v>
      </c>
      <c r="W5061" s="12" t="s">
        <v>51</v>
      </c>
      <c r="X5061" s="14"/>
      <c r="Y5061" s="12" t="s">
        <v>91</v>
      </c>
      <c r="Z5061" s="12" t="s">
        <v>344</v>
      </c>
      <c r="AA5061" s="14"/>
      <c r="AB5061" s="14"/>
      <c r="AC5061" s="15">
        <v>45.5</v>
      </c>
      <c r="AD5061" s="15">
        <f>AC5061*AG5061</f>
        <v>45.5</v>
      </c>
      <c r="AE5061" s="15">
        <v>100</v>
      </c>
      <c r="AF5061" s="15">
        <f>AE5061*AG5061</f>
        <v>100</v>
      </c>
      <c r="AG5061" s="16">
        <v>1</v>
      </c>
    </row>
    <row r="5062" spans="1:33" ht="15" customHeight="1" x14ac:dyDescent="0.2">
      <c r="A5062" s="11" t="str">
        <f t="shared" ref="A5062:A5064" si="1520">HYPERLINK("https://assets.vans.eu/images/VN0A5FCCBJB-HERO/1","VN0A5FCCBJB1")</f>
        <v>VN0A5FCCBJB1</v>
      </c>
      <c r="B5062" s="12" t="s">
        <v>17645</v>
      </c>
      <c r="C5062" s="12" t="s">
        <v>338</v>
      </c>
      <c r="D5062" s="12" t="s">
        <v>17000</v>
      </c>
      <c r="E5062" s="12" t="s">
        <v>17646</v>
      </c>
      <c r="F5062" s="13">
        <v>60</v>
      </c>
      <c r="G5062" s="14"/>
      <c r="H5062" s="12" t="s">
        <v>38</v>
      </c>
      <c r="I5062" s="12" t="s">
        <v>159</v>
      </c>
      <c r="J5062" s="12" t="s">
        <v>341</v>
      </c>
      <c r="K5062" s="12" t="s">
        <v>199</v>
      </c>
      <c r="L5062" s="14"/>
      <c r="M5062" s="12" t="s">
        <v>43</v>
      </c>
      <c r="N5062" s="12" t="s">
        <v>84</v>
      </c>
      <c r="O5062" s="12" t="s">
        <v>17647</v>
      </c>
      <c r="P5062" s="12" t="s">
        <v>46</v>
      </c>
      <c r="Q5062" s="12" t="s">
        <v>47</v>
      </c>
      <c r="R5062" s="12" t="s">
        <v>343</v>
      </c>
      <c r="S5062" s="13">
        <v>197804574179</v>
      </c>
      <c r="T5062" s="12" t="s">
        <v>49</v>
      </c>
      <c r="U5062" s="13">
        <v>38</v>
      </c>
      <c r="V5062" s="12" t="s">
        <v>209</v>
      </c>
      <c r="W5062" s="12" t="s">
        <v>284</v>
      </c>
      <c r="X5062" s="14"/>
      <c r="Y5062" s="14"/>
      <c r="Z5062" s="14"/>
      <c r="AA5062" s="14"/>
      <c r="AB5062" s="14"/>
      <c r="AC5062" s="15">
        <v>43.2</v>
      </c>
      <c r="AD5062" s="15">
        <f>AC5062*AG5062</f>
        <v>43.2</v>
      </c>
      <c r="AE5062" s="15">
        <v>95</v>
      </c>
      <c r="AF5062" s="15">
        <f>AE5062*AG5062</f>
        <v>95</v>
      </c>
      <c r="AG5062" s="16">
        <v>1</v>
      </c>
    </row>
    <row r="5063" spans="1:33" ht="15" customHeight="1" x14ac:dyDescent="0.2">
      <c r="A5063" s="11" t="str">
        <f t="shared" si="1520"/>
        <v>VN0A5FCCBJB1</v>
      </c>
      <c r="B5063" s="12" t="s">
        <v>17648</v>
      </c>
      <c r="C5063" s="12" t="s">
        <v>338</v>
      </c>
      <c r="D5063" s="12" t="s">
        <v>17000</v>
      </c>
      <c r="E5063" s="12" t="s">
        <v>17649</v>
      </c>
      <c r="F5063" s="13">
        <v>100</v>
      </c>
      <c r="G5063" s="14"/>
      <c r="H5063" s="12" t="s">
        <v>38</v>
      </c>
      <c r="I5063" s="12" t="s">
        <v>159</v>
      </c>
      <c r="J5063" s="12" t="s">
        <v>341</v>
      </c>
      <c r="K5063" s="12" t="s">
        <v>199</v>
      </c>
      <c r="L5063" s="14"/>
      <c r="M5063" s="12" t="s">
        <v>43</v>
      </c>
      <c r="N5063" s="12" t="s">
        <v>84</v>
      </c>
      <c r="O5063" s="12" t="s">
        <v>17650</v>
      </c>
      <c r="P5063" s="12" t="s">
        <v>46</v>
      </c>
      <c r="Q5063" s="12" t="s">
        <v>47</v>
      </c>
      <c r="R5063" s="12" t="s">
        <v>343</v>
      </c>
      <c r="S5063" s="13">
        <v>197804575022</v>
      </c>
      <c r="T5063" s="12" t="s">
        <v>49</v>
      </c>
      <c r="U5063" s="13">
        <v>43</v>
      </c>
      <c r="V5063" s="12" t="s">
        <v>209</v>
      </c>
      <c r="W5063" s="12" t="s">
        <v>284</v>
      </c>
      <c r="X5063" s="14"/>
      <c r="Y5063" s="14"/>
      <c r="Z5063" s="14"/>
      <c r="AA5063" s="14"/>
      <c r="AB5063" s="14"/>
      <c r="AC5063" s="15">
        <v>43.2</v>
      </c>
      <c r="AD5063" s="15">
        <f>AC5063*AG5063</f>
        <v>43.2</v>
      </c>
      <c r="AE5063" s="15">
        <v>95</v>
      </c>
      <c r="AF5063" s="15">
        <f>AE5063*AG5063</f>
        <v>95</v>
      </c>
      <c r="AG5063" s="16">
        <v>1</v>
      </c>
    </row>
    <row r="5064" spans="1:33" ht="15" customHeight="1" x14ac:dyDescent="0.2">
      <c r="A5064" s="11" t="str">
        <f t="shared" si="1520"/>
        <v>VN0A5FCCBJB1</v>
      </c>
      <c r="B5064" s="12" t="s">
        <v>17651</v>
      </c>
      <c r="C5064" s="12" t="s">
        <v>338</v>
      </c>
      <c r="D5064" s="12" t="s">
        <v>17000</v>
      </c>
      <c r="E5064" s="12" t="s">
        <v>17652</v>
      </c>
      <c r="F5064" s="13">
        <v>130</v>
      </c>
      <c r="G5064" s="14"/>
      <c r="H5064" s="12" t="s">
        <v>38</v>
      </c>
      <c r="I5064" s="12" t="s">
        <v>159</v>
      </c>
      <c r="J5064" s="12" t="s">
        <v>341</v>
      </c>
      <c r="K5064" s="12" t="s">
        <v>199</v>
      </c>
      <c r="L5064" s="14"/>
      <c r="M5064" s="12" t="s">
        <v>43</v>
      </c>
      <c r="N5064" s="12" t="s">
        <v>84</v>
      </c>
      <c r="O5064" s="12" t="s">
        <v>17653</v>
      </c>
      <c r="P5064" s="12" t="s">
        <v>46</v>
      </c>
      <c r="Q5064" s="12" t="s">
        <v>47</v>
      </c>
      <c r="R5064" s="12" t="s">
        <v>343</v>
      </c>
      <c r="S5064" s="13">
        <v>197804575565</v>
      </c>
      <c r="T5064" s="12" t="s">
        <v>49</v>
      </c>
      <c r="U5064" s="13">
        <v>47</v>
      </c>
      <c r="V5064" s="12" t="s">
        <v>209</v>
      </c>
      <c r="W5064" s="12" t="s">
        <v>284</v>
      </c>
      <c r="X5064" s="14"/>
      <c r="Y5064" s="14"/>
      <c r="Z5064" s="14"/>
      <c r="AA5064" s="14"/>
      <c r="AB5064" s="14"/>
      <c r="AC5064" s="15">
        <v>43.2</v>
      </c>
      <c r="AD5064" s="15">
        <f>AC5064*AG5064</f>
        <v>43.2</v>
      </c>
      <c r="AE5064" s="15">
        <v>95</v>
      </c>
      <c r="AF5064" s="15">
        <f>AE5064*AG5064</f>
        <v>95</v>
      </c>
      <c r="AG5064" s="16">
        <v>1</v>
      </c>
    </row>
    <row r="5065" spans="1:33" ht="15" customHeight="1" x14ac:dyDescent="0.2">
      <c r="A5065" s="11" t="str">
        <f>HYPERLINK("https://assets.vans.eu/images/VN0A5FCDYW9-HERO/1","VN0A5FCDYW91")</f>
        <v>VN0A5FCDYW91</v>
      </c>
      <c r="B5065" s="12" t="s">
        <v>17654</v>
      </c>
      <c r="C5065" s="12" t="s">
        <v>7568</v>
      </c>
      <c r="D5065" s="12" t="s">
        <v>17655</v>
      </c>
      <c r="E5065" s="12" t="s">
        <v>17656</v>
      </c>
      <c r="F5065" s="13">
        <v>65</v>
      </c>
      <c r="G5065" s="14"/>
      <c r="H5065" s="12" t="s">
        <v>38</v>
      </c>
      <c r="I5065" s="12" t="s">
        <v>159</v>
      </c>
      <c r="J5065" s="12" t="s">
        <v>341</v>
      </c>
      <c r="K5065" s="12" t="s">
        <v>199</v>
      </c>
      <c r="L5065" s="14"/>
      <c r="M5065" s="12" t="s">
        <v>43</v>
      </c>
      <c r="N5065" s="12" t="s">
        <v>84</v>
      </c>
      <c r="O5065" s="12" t="s">
        <v>17657</v>
      </c>
      <c r="P5065" s="12" t="s">
        <v>46</v>
      </c>
      <c r="Q5065" s="12" t="s">
        <v>47</v>
      </c>
      <c r="R5065" s="12" t="s">
        <v>343</v>
      </c>
      <c r="S5065" s="13">
        <v>197804574681</v>
      </c>
      <c r="T5065" s="12" t="s">
        <v>49</v>
      </c>
      <c r="U5065" s="13">
        <v>38.5</v>
      </c>
      <c r="V5065" s="12" t="s">
        <v>50</v>
      </c>
      <c r="W5065" s="12" t="s">
        <v>262</v>
      </c>
      <c r="X5065" s="14"/>
      <c r="Y5065" s="14"/>
      <c r="Z5065" s="14"/>
      <c r="AA5065" s="14"/>
      <c r="AB5065" s="14"/>
      <c r="AC5065" s="15">
        <v>43.2</v>
      </c>
      <c r="AD5065" s="15">
        <f>AC5065*AG5065</f>
        <v>43.2</v>
      </c>
      <c r="AE5065" s="15">
        <v>95</v>
      </c>
      <c r="AF5065" s="15">
        <f>AE5065*AG5065</f>
        <v>95</v>
      </c>
      <c r="AG5065" s="16">
        <v>1</v>
      </c>
    </row>
    <row r="5066" spans="1:33" ht="15" customHeight="1" x14ac:dyDescent="0.2">
      <c r="A5066" s="11" t="str">
        <f t="shared" ref="A5066:A5070" si="1521">HYPERLINK("https://assets.vans.eu/images/VN0A5HF8PWT-HERO/1","VN0A5HF8PWT1")</f>
        <v>VN0A5HF8PWT1</v>
      </c>
      <c r="B5066" s="12" t="s">
        <v>17658</v>
      </c>
      <c r="C5066" s="12" t="s">
        <v>272</v>
      </c>
      <c r="D5066" s="12" t="s">
        <v>2289</v>
      </c>
      <c r="E5066" s="12" t="s">
        <v>17659</v>
      </c>
      <c r="F5066" s="13">
        <v>60</v>
      </c>
      <c r="G5066" s="14"/>
      <c r="H5066" s="12" t="s">
        <v>38</v>
      </c>
      <c r="I5066" s="12" t="s">
        <v>159</v>
      </c>
      <c r="J5066" s="12" t="s">
        <v>255</v>
      </c>
      <c r="K5066" s="12" t="s">
        <v>82</v>
      </c>
      <c r="L5066" s="14"/>
      <c r="M5066" s="12" t="s">
        <v>43</v>
      </c>
      <c r="N5066" s="12" t="s">
        <v>467</v>
      </c>
      <c r="O5066" s="12" t="s">
        <v>17660</v>
      </c>
      <c r="P5066" s="12" t="s">
        <v>46</v>
      </c>
      <c r="Q5066" s="12" t="s">
        <v>276</v>
      </c>
      <c r="R5066" s="12" t="s">
        <v>277</v>
      </c>
      <c r="S5066" s="13">
        <v>195440326534</v>
      </c>
      <c r="T5066" s="12" t="s">
        <v>143</v>
      </c>
      <c r="U5066" s="13">
        <v>38</v>
      </c>
      <c r="V5066" s="12" t="s">
        <v>278</v>
      </c>
      <c r="W5066" s="12" t="s">
        <v>455</v>
      </c>
      <c r="X5066" s="14"/>
      <c r="Y5066" s="12" t="s">
        <v>91</v>
      </c>
      <c r="Z5066" s="12" t="s">
        <v>344</v>
      </c>
      <c r="AA5066" s="14"/>
      <c r="AB5066" s="14"/>
      <c r="AC5066" s="15">
        <v>27.3</v>
      </c>
      <c r="AD5066" s="15">
        <f>AC5066*AG5066</f>
        <v>27.3</v>
      </c>
      <c r="AE5066" s="15">
        <v>60</v>
      </c>
      <c r="AF5066" s="15">
        <f>AE5066*AG5066</f>
        <v>60</v>
      </c>
      <c r="AG5066" s="16">
        <v>1</v>
      </c>
    </row>
    <row r="5067" spans="1:33" ht="15" customHeight="1" x14ac:dyDescent="0.2">
      <c r="A5067" s="11" t="str">
        <f t="shared" si="1521"/>
        <v>VN0A5HF8PWT1</v>
      </c>
      <c r="B5067" s="12" t="s">
        <v>17661</v>
      </c>
      <c r="C5067" s="12" t="s">
        <v>272</v>
      </c>
      <c r="D5067" s="12" t="s">
        <v>2289</v>
      </c>
      <c r="E5067" s="12" t="s">
        <v>17662</v>
      </c>
      <c r="F5067" s="13">
        <v>70</v>
      </c>
      <c r="G5067" s="14"/>
      <c r="H5067" s="12" t="s">
        <v>38</v>
      </c>
      <c r="I5067" s="12" t="s">
        <v>159</v>
      </c>
      <c r="J5067" s="12" t="s">
        <v>255</v>
      </c>
      <c r="K5067" s="12" t="s">
        <v>82</v>
      </c>
      <c r="L5067" s="14"/>
      <c r="M5067" s="12" t="s">
        <v>43</v>
      </c>
      <c r="N5067" s="12" t="s">
        <v>467</v>
      </c>
      <c r="O5067" s="12" t="s">
        <v>17663</v>
      </c>
      <c r="P5067" s="12" t="s">
        <v>46</v>
      </c>
      <c r="Q5067" s="12" t="s">
        <v>276</v>
      </c>
      <c r="R5067" s="12" t="s">
        <v>277</v>
      </c>
      <c r="S5067" s="13">
        <v>195440326633</v>
      </c>
      <c r="T5067" s="12" t="s">
        <v>143</v>
      </c>
      <c r="U5067" s="13">
        <v>39</v>
      </c>
      <c r="V5067" s="12" t="s">
        <v>278</v>
      </c>
      <c r="W5067" s="12" t="s">
        <v>455</v>
      </c>
      <c r="X5067" s="14"/>
      <c r="Y5067" s="12" t="s">
        <v>91</v>
      </c>
      <c r="Z5067" s="12" t="s">
        <v>344</v>
      </c>
      <c r="AA5067" s="14"/>
      <c r="AB5067" s="14"/>
      <c r="AC5067" s="15">
        <v>27.3</v>
      </c>
      <c r="AD5067" s="15">
        <f>AC5067*AG5067</f>
        <v>27.3</v>
      </c>
      <c r="AE5067" s="15">
        <v>60</v>
      </c>
      <c r="AF5067" s="15">
        <f>AE5067*AG5067</f>
        <v>60</v>
      </c>
      <c r="AG5067" s="16">
        <v>1</v>
      </c>
    </row>
    <row r="5068" spans="1:33" ht="15" customHeight="1" x14ac:dyDescent="0.2">
      <c r="A5068" s="11" t="str">
        <f t="shared" si="1521"/>
        <v>VN0A5HF8PWT1</v>
      </c>
      <c r="B5068" s="12" t="s">
        <v>17664</v>
      </c>
      <c r="C5068" s="12" t="s">
        <v>272</v>
      </c>
      <c r="D5068" s="12" t="s">
        <v>2289</v>
      </c>
      <c r="E5068" s="12" t="s">
        <v>17665</v>
      </c>
      <c r="F5068" s="13">
        <v>80</v>
      </c>
      <c r="G5068" s="14"/>
      <c r="H5068" s="12" t="s">
        <v>38</v>
      </c>
      <c r="I5068" s="12" t="s">
        <v>159</v>
      </c>
      <c r="J5068" s="12" t="s">
        <v>255</v>
      </c>
      <c r="K5068" s="12" t="s">
        <v>82</v>
      </c>
      <c r="L5068" s="14"/>
      <c r="M5068" s="12" t="s">
        <v>43</v>
      </c>
      <c r="N5068" s="12" t="s">
        <v>467</v>
      </c>
      <c r="O5068" s="12" t="s">
        <v>17666</v>
      </c>
      <c r="P5068" s="12" t="s">
        <v>46</v>
      </c>
      <c r="Q5068" s="12" t="s">
        <v>276</v>
      </c>
      <c r="R5068" s="12" t="s">
        <v>277</v>
      </c>
      <c r="S5068" s="13">
        <v>195440326725</v>
      </c>
      <c r="T5068" s="12" t="s">
        <v>143</v>
      </c>
      <c r="U5068" s="13">
        <v>40.5</v>
      </c>
      <c r="V5068" s="12" t="s">
        <v>278</v>
      </c>
      <c r="W5068" s="12" t="s">
        <v>455</v>
      </c>
      <c r="X5068" s="14"/>
      <c r="Y5068" s="12" t="s">
        <v>91</v>
      </c>
      <c r="Z5068" s="12" t="s">
        <v>344</v>
      </c>
      <c r="AA5068" s="14"/>
      <c r="AB5068" s="14"/>
      <c r="AC5068" s="15">
        <v>27.3</v>
      </c>
      <c r="AD5068" s="15">
        <f>AC5068*AG5068</f>
        <v>27.3</v>
      </c>
      <c r="AE5068" s="15">
        <v>60</v>
      </c>
      <c r="AF5068" s="15">
        <f>AE5068*AG5068</f>
        <v>60</v>
      </c>
      <c r="AG5068" s="16">
        <v>1</v>
      </c>
    </row>
    <row r="5069" spans="1:33" ht="15" customHeight="1" x14ac:dyDescent="0.2">
      <c r="A5069" s="11" t="str">
        <f t="shared" si="1521"/>
        <v>VN0A5HF8PWT1</v>
      </c>
      <c r="B5069" s="12" t="s">
        <v>17667</v>
      </c>
      <c r="C5069" s="12" t="s">
        <v>272</v>
      </c>
      <c r="D5069" s="12" t="s">
        <v>2289</v>
      </c>
      <c r="E5069" s="12" t="s">
        <v>17668</v>
      </c>
      <c r="F5069" s="13">
        <v>110</v>
      </c>
      <c r="G5069" s="14"/>
      <c r="H5069" s="12" t="s">
        <v>38</v>
      </c>
      <c r="I5069" s="12" t="s">
        <v>159</v>
      </c>
      <c r="J5069" s="12" t="s">
        <v>255</v>
      </c>
      <c r="K5069" s="12" t="s">
        <v>82</v>
      </c>
      <c r="L5069" s="14"/>
      <c r="M5069" s="12" t="s">
        <v>43</v>
      </c>
      <c r="N5069" s="12" t="s">
        <v>467</v>
      </c>
      <c r="O5069" s="12" t="s">
        <v>17669</v>
      </c>
      <c r="P5069" s="12" t="s">
        <v>46</v>
      </c>
      <c r="Q5069" s="12" t="s">
        <v>276</v>
      </c>
      <c r="R5069" s="12" t="s">
        <v>277</v>
      </c>
      <c r="S5069" s="13">
        <v>195440327081</v>
      </c>
      <c r="T5069" s="12" t="s">
        <v>143</v>
      </c>
      <c r="U5069" s="13">
        <v>44.5</v>
      </c>
      <c r="V5069" s="12" t="s">
        <v>278</v>
      </c>
      <c r="W5069" s="12" t="s">
        <v>455</v>
      </c>
      <c r="X5069" s="14"/>
      <c r="Y5069" s="12" t="s">
        <v>91</v>
      </c>
      <c r="Z5069" s="12" t="s">
        <v>344</v>
      </c>
      <c r="AA5069" s="14"/>
      <c r="AB5069" s="14"/>
      <c r="AC5069" s="15">
        <v>27.3</v>
      </c>
      <c r="AD5069" s="15">
        <f>AC5069*AG5069</f>
        <v>27.3</v>
      </c>
      <c r="AE5069" s="15">
        <v>60</v>
      </c>
      <c r="AF5069" s="15">
        <f>AE5069*AG5069</f>
        <v>60</v>
      </c>
      <c r="AG5069" s="16">
        <v>1</v>
      </c>
    </row>
    <row r="5070" spans="1:33" ht="15" customHeight="1" x14ac:dyDescent="0.2">
      <c r="A5070" s="11" t="str">
        <f t="shared" si="1521"/>
        <v>VN0A5HF8PWT1</v>
      </c>
      <c r="B5070" s="12" t="s">
        <v>17670</v>
      </c>
      <c r="C5070" s="12" t="s">
        <v>272</v>
      </c>
      <c r="D5070" s="12" t="s">
        <v>2289</v>
      </c>
      <c r="E5070" s="12" t="s">
        <v>17671</v>
      </c>
      <c r="F5070" s="13">
        <v>120</v>
      </c>
      <c r="G5070" s="14"/>
      <c r="H5070" s="12" t="s">
        <v>38</v>
      </c>
      <c r="I5070" s="12" t="s">
        <v>159</v>
      </c>
      <c r="J5070" s="12" t="s">
        <v>255</v>
      </c>
      <c r="K5070" s="12" t="s">
        <v>82</v>
      </c>
      <c r="L5070" s="14"/>
      <c r="M5070" s="12" t="s">
        <v>43</v>
      </c>
      <c r="N5070" s="12" t="s">
        <v>467</v>
      </c>
      <c r="O5070" s="12" t="s">
        <v>17672</v>
      </c>
      <c r="P5070" s="12" t="s">
        <v>46</v>
      </c>
      <c r="Q5070" s="12" t="s">
        <v>276</v>
      </c>
      <c r="R5070" s="12" t="s">
        <v>277</v>
      </c>
      <c r="S5070" s="13">
        <v>195440327180</v>
      </c>
      <c r="T5070" s="12" t="s">
        <v>143</v>
      </c>
      <c r="U5070" s="13">
        <v>46</v>
      </c>
      <c r="V5070" s="12" t="s">
        <v>278</v>
      </c>
      <c r="W5070" s="12" t="s">
        <v>455</v>
      </c>
      <c r="X5070" s="14"/>
      <c r="Y5070" s="12" t="s">
        <v>91</v>
      </c>
      <c r="Z5070" s="12" t="s">
        <v>344</v>
      </c>
      <c r="AA5070" s="14"/>
      <c r="AB5070" s="14"/>
      <c r="AC5070" s="15">
        <v>27.3</v>
      </c>
      <c r="AD5070" s="15">
        <f>AC5070*AG5070</f>
        <v>27.3</v>
      </c>
      <c r="AE5070" s="15">
        <v>60</v>
      </c>
      <c r="AF5070" s="15">
        <f>AE5070*AG5070</f>
        <v>60</v>
      </c>
      <c r="AG5070" s="16">
        <v>1</v>
      </c>
    </row>
    <row r="5071" spans="1:33" ht="15" customHeight="1" x14ac:dyDescent="0.2">
      <c r="A5071" s="11" t="str">
        <f>HYPERLINK("https://assets.vans.eu/images/VN0A5JIAY04-HERO/1","VN0A5JIAY041")</f>
        <v>VN0A5JIAY041</v>
      </c>
      <c r="B5071" s="12" t="s">
        <v>17673</v>
      </c>
      <c r="C5071" s="12" t="s">
        <v>16410</v>
      </c>
      <c r="D5071" s="12" t="s">
        <v>17674</v>
      </c>
      <c r="E5071" s="12" t="s">
        <v>17675</v>
      </c>
      <c r="F5071" s="13">
        <v>105</v>
      </c>
      <c r="G5071" s="14"/>
      <c r="H5071" s="12" t="s">
        <v>38</v>
      </c>
      <c r="I5071" s="12" t="s">
        <v>159</v>
      </c>
      <c r="J5071" s="12" t="s">
        <v>341</v>
      </c>
      <c r="K5071" s="12" t="s">
        <v>199</v>
      </c>
      <c r="L5071" s="14"/>
      <c r="M5071" s="12" t="s">
        <v>43</v>
      </c>
      <c r="N5071" s="12" t="s">
        <v>274</v>
      </c>
      <c r="O5071" s="12" t="s">
        <v>17676</v>
      </c>
      <c r="P5071" s="12" t="s">
        <v>46</v>
      </c>
      <c r="Q5071" s="12" t="s">
        <v>47</v>
      </c>
      <c r="R5071" s="12" t="s">
        <v>163</v>
      </c>
      <c r="S5071" s="13">
        <v>197063318101</v>
      </c>
      <c r="T5071" s="12" t="s">
        <v>49</v>
      </c>
      <c r="U5071" s="13">
        <v>44</v>
      </c>
      <c r="V5071" s="12" t="s">
        <v>50</v>
      </c>
      <c r="W5071" s="12" t="s">
        <v>455</v>
      </c>
      <c r="X5071" s="14"/>
      <c r="Y5071" s="12" t="s">
        <v>91</v>
      </c>
      <c r="Z5071" s="12" t="s">
        <v>344</v>
      </c>
      <c r="AA5071" s="14"/>
      <c r="AB5071" s="14"/>
      <c r="AC5071" s="15">
        <v>45.5</v>
      </c>
      <c r="AD5071" s="15">
        <f>AC5071*AG5071</f>
        <v>45.5</v>
      </c>
      <c r="AE5071" s="15">
        <v>100</v>
      </c>
      <c r="AF5071" s="15">
        <f>AE5071*AG5071</f>
        <v>100</v>
      </c>
      <c r="AG5071" s="16">
        <v>1</v>
      </c>
    </row>
    <row r="5072" spans="1:33" ht="15" customHeight="1" x14ac:dyDescent="0.2">
      <c r="A5072" s="11" t="str">
        <f t="shared" ref="A5072:A5074" si="1522">HYPERLINK("https://assets.vans.eu/images/VN0A5JIE1OJ-HERO/1","VN0A5JIE1OJ1")</f>
        <v>VN0A5JIE1OJ1</v>
      </c>
      <c r="B5072" s="12" t="s">
        <v>17677</v>
      </c>
      <c r="C5072" s="12" t="s">
        <v>17585</v>
      </c>
      <c r="D5072" s="12" t="s">
        <v>9223</v>
      </c>
      <c r="E5072" s="12" t="s">
        <v>17678</v>
      </c>
      <c r="F5072" s="13">
        <v>40</v>
      </c>
      <c r="G5072" s="14"/>
      <c r="H5072" s="12" t="s">
        <v>38</v>
      </c>
      <c r="I5072" s="12" t="s">
        <v>159</v>
      </c>
      <c r="J5072" s="12" t="s">
        <v>341</v>
      </c>
      <c r="K5072" s="12" t="s">
        <v>199</v>
      </c>
      <c r="L5072" s="14"/>
      <c r="M5072" s="12" t="s">
        <v>43</v>
      </c>
      <c r="N5072" s="12" t="s">
        <v>44</v>
      </c>
      <c r="O5072" s="12" t="s">
        <v>17679</v>
      </c>
      <c r="P5072" s="12" t="s">
        <v>46</v>
      </c>
      <c r="Q5072" s="12" t="s">
        <v>47</v>
      </c>
      <c r="R5072" s="12" t="s">
        <v>163</v>
      </c>
      <c r="S5072" s="13">
        <v>195438325334</v>
      </c>
      <c r="T5072" s="12" t="s">
        <v>49</v>
      </c>
      <c r="U5072" s="13">
        <v>35</v>
      </c>
      <c r="V5072" s="12" t="s">
        <v>50</v>
      </c>
      <c r="W5072" s="12" t="s">
        <v>51</v>
      </c>
      <c r="X5072" s="14"/>
      <c r="Y5072" s="12" t="s">
        <v>91</v>
      </c>
      <c r="Z5072" s="12" t="s">
        <v>344</v>
      </c>
      <c r="AA5072" s="14"/>
      <c r="AB5072" s="14"/>
      <c r="AC5072" s="15">
        <v>43.2</v>
      </c>
      <c r="AD5072" s="15">
        <f>AC5072*AG5072</f>
        <v>43.2</v>
      </c>
      <c r="AE5072" s="15">
        <v>95</v>
      </c>
      <c r="AF5072" s="15">
        <f>AE5072*AG5072</f>
        <v>95</v>
      </c>
      <c r="AG5072" s="16">
        <v>1</v>
      </c>
    </row>
    <row r="5073" spans="1:33" ht="15" customHeight="1" x14ac:dyDescent="0.2">
      <c r="A5073" s="11" t="str">
        <f t="shared" si="1522"/>
        <v>VN0A5JIE1OJ1</v>
      </c>
      <c r="B5073" s="12" t="s">
        <v>17680</v>
      </c>
      <c r="C5073" s="12" t="s">
        <v>17585</v>
      </c>
      <c r="D5073" s="12" t="s">
        <v>9223</v>
      </c>
      <c r="E5073" s="12" t="s">
        <v>17681</v>
      </c>
      <c r="F5073" s="13">
        <v>45</v>
      </c>
      <c r="G5073" s="14"/>
      <c r="H5073" s="12" t="s">
        <v>38</v>
      </c>
      <c r="I5073" s="12" t="s">
        <v>159</v>
      </c>
      <c r="J5073" s="12" t="s">
        <v>341</v>
      </c>
      <c r="K5073" s="12" t="s">
        <v>199</v>
      </c>
      <c r="L5073" s="14"/>
      <c r="M5073" s="12" t="s">
        <v>43</v>
      </c>
      <c r="N5073" s="12" t="s">
        <v>44</v>
      </c>
      <c r="O5073" s="12" t="s">
        <v>17682</v>
      </c>
      <c r="P5073" s="12" t="s">
        <v>46</v>
      </c>
      <c r="Q5073" s="12" t="s">
        <v>47</v>
      </c>
      <c r="R5073" s="12" t="s">
        <v>163</v>
      </c>
      <c r="S5073" s="13">
        <v>195438325433</v>
      </c>
      <c r="T5073" s="12" t="s">
        <v>49</v>
      </c>
      <c r="U5073" s="13">
        <v>36</v>
      </c>
      <c r="V5073" s="12" t="s">
        <v>50</v>
      </c>
      <c r="W5073" s="12" t="s">
        <v>51</v>
      </c>
      <c r="X5073" s="14"/>
      <c r="Y5073" s="12" t="s">
        <v>91</v>
      </c>
      <c r="Z5073" s="12" t="s">
        <v>344</v>
      </c>
      <c r="AA5073" s="14"/>
      <c r="AB5073" s="14"/>
      <c r="AC5073" s="15">
        <v>43.2</v>
      </c>
      <c r="AD5073" s="15">
        <f>AC5073*AG5073</f>
        <v>43.2</v>
      </c>
      <c r="AE5073" s="15">
        <v>95</v>
      </c>
      <c r="AF5073" s="15">
        <f>AE5073*AG5073</f>
        <v>95</v>
      </c>
      <c r="AG5073" s="16">
        <v>1</v>
      </c>
    </row>
    <row r="5074" spans="1:33" ht="15" customHeight="1" x14ac:dyDescent="0.2">
      <c r="A5074" s="11" t="str">
        <f t="shared" si="1522"/>
        <v>VN0A5JIE1OJ1</v>
      </c>
      <c r="B5074" s="12" t="s">
        <v>17683</v>
      </c>
      <c r="C5074" s="12" t="s">
        <v>17585</v>
      </c>
      <c r="D5074" s="12" t="s">
        <v>9223</v>
      </c>
      <c r="E5074" s="12" t="s">
        <v>17684</v>
      </c>
      <c r="F5074" s="13">
        <v>65</v>
      </c>
      <c r="G5074" s="14"/>
      <c r="H5074" s="12" t="s">
        <v>38</v>
      </c>
      <c r="I5074" s="12" t="s">
        <v>159</v>
      </c>
      <c r="J5074" s="12" t="s">
        <v>341</v>
      </c>
      <c r="K5074" s="12" t="s">
        <v>199</v>
      </c>
      <c r="L5074" s="14"/>
      <c r="M5074" s="12" t="s">
        <v>43</v>
      </c>
      <c r="N5074" s="12" t="s">
        <v>44</v>
      </c>
      <c r="O5074" s="12" t="s">
        <v>17685</v>
      </c>
      <c r="P5074" s="12" t="s">
        <v>46</v>
      </c>
      <c r="Q5074" s="12" t="s">
        <v>47</v>
      </c>
      <c r="R5074" s="12" t="s">
        <v>163</v>
      </c>
      <c r="S5074" s="13">
        <v>195438325839</v>
      </c>
      <c r="T5074" s="12" t="s">
        <v>49</v>
      </c>
      <c r="U5074" s="13">
        <v>38.5</v>
      </c>
      <c r="V5074" s="12" t="s">
        <v>50</v>
      </c>
      <c r="W5074" s="12" t="s">
        <v>51</v>
      </c>
      <c r="X5074" s="14"/>
      <c r="Y5074" s="12" t="s">
        <v>91</v>
      </c>
      <c r="Z5074" s="12" t="s">
        <v>344</v>
      </c>
      <c r="AA5074" s="14"/>
      <c r="AB5074" s="14"/>
      <c r="AC5074" s="15">
        <v>43.2</v>
      </c>
      <c r="AD5074" s="15">
        <f>AC5074*AG5074</f>
        <v>43.2</v>
      </c>
      <c r="AE5074" s="15">
        <v>95</v>
      </c>
      <c r="AF5074" s="15">
        <f>AE5074*AG5074</f>
        <v>95</v>
      </c>
      <c r="AG5074" s="16">
        <v>1</v>
      </c>
    </row>
    <row r="5075" spans="1:33" ht="15" customHeight="1" x14ac:dyDescent="0.2">
      <c r="A5075" s="11" t="str">
        <f t="shared" si="1490"/>
        <v>VN0A5KQZYY41</v>
      </c>
      <c r="B5075" s="12" t="s">
        <v>17686</v>
      </c>
      <c r="C5075" s="12" t="s">
        <v>16947</v>
      </c>
      <c r="D5075" s="12" t="s">
        <v>16948</v>
      </c>
      <c r="E5075" s="12" t="s">
        <v>17687</v>
      </c>
      <c r="F5075" s="13">
        <v>90</v>
      </c>
      <c r="G5075" s="14"/>
      <c r="H5075" s="12" t="s">
        <v>38</v>
      </c>
      <c r="I5075" s="12" t="s">
        <v>159</v>
      </c>
      <c r="J5075" s="12" t="s">
        <v>341</v>
      </c>
      <c r="K5075" s="12" t="s">
        <v>199</v>
      </c>
      <c r="L5075" s="14"/>
      <c r="M5075" s="12" t="s">
        <v>43</v>
      </c>
      <c r="N5075" s="12" t="s">
        <v>84</v>
      </c>
      <c r="O5075" s="12" t="s">
        <v>17688</v>
      </c>
      <c r="P5075" s="12" t="s">
        <v>46</v>
      </c>
      <c r="Q5075" s="12" t="s">
        <v>47</v>
      </c>
      <c r="R5075" s="12" t="s">
        <v>163</v>
      </c>
      <c r="S5075" s="13">
        <v>197804575893</v>
      </c>
      <c r="T5075" s="12" t="s">
        <v>49</v>
      </c>
      <c r="U5075" s="13">
        <v>42</v>
      </c>
      <c r="V5075" s="12" t="s">
        <v>50</v>
      </c>
      <c r="W5075" s="12" t="s">
        <v>186</v>
      </c>
      <c r="X5075" s="14"/>
      <c r="Y5075" s="14"/>
      <c r="Z5075" s="14"/>
      <c r="AA5075" s="14"/>
      <c r="AB5075" s="14"/>
      <c r="AC5075" s="15">
        <v>34.1</v>
      </c>
      <c r="AD5075" s="15">
        <f>AC5075*AG5075</f>
        <v>34.1</v>
      </c>
      <c r="AE5075" s="15">
        <v>75</v>
      </c>
      <c r="AF5075" s="15">
        <f>AE5075*AG5075</f>
        <v>75</v>
      </c>
      <c r="AG5075" s="16">
        <v>1</v>
      </c>
    </row>
    <row r="5076" spans="1:33" ht="15" customHeight="1" x14ac:dyDescent="0.2">
      <c r="A5076" s="11" t="str">
        <f t="shared" si="1490"/>
        <v>VN0A5KQZYY41</v>
      </c>
      <c r="B5076" s="12" t="s">
        <v>17689</v>
      </c>
      <c r="C5076" s="12" t="s">
        <v>16947</v>
      </c>
      <c r="D5076" s="12" t="s">
        <v>16948</v>
      </c>
      <c r="E5076" s="12" t="s">
        <v>17690</v>
      </c>
      <c r="F5076" s="13">
        <v>95</v>
      </c>
      <c r="G5076" s="14"/>
      <c r="H5076" s="12" t="s">
        <v>38</v>
      </c>
      <c r="I5076" s="12" t="s">
        <v>159</v>
      </c>
      <c r="J5076" s="12" t="s">
        <v>341</v>
      </c>
      <c r="K5076" s="12" t="s">
        <v>199</v>
      </c>
      <c r="L5076" s="14"/>
      <c r="M5076" s="12" t="s">
        <v>43</v>
      </c>
      <c r="N5076" s="12" t="s">
        <v>84</v>
      </c>
      <c r="O5076" s="12" t="s">
        <v>17691</v>
      </c>
      <c r="P5076" s="12" t="s">
        <v>46</v>
      </c>
      <c r="Q5076" s="12" t="s">
        <v>47</v>
      </c>
      <c r="R5076" s="12" t="s">
        <v>163</v>
      </c>
      <c r="S5076" s="13">
        <v>197804576036</v>
      </c>
      <c r="T5076" s="12" t="s">
        <v>49</v>
      </c>
      <c r="U5076" s="13">
        <v>42.5</v>
      </c>
      <c r="V5076" s="12" t="s">
        <v>50</v>
      </c>
      <c r="W5076" s="12" t="s">
        <v>186</v>
      </c>
      <c r="X5076" s="14"/>
      <c r="Y5076" s="14"/>
      <c r="Z5076" s="14"/>
      <c r="AA5076" s="14"/>
      <c r="AB5076" s="14"/>
      <c r="AC5076" s="15">
        <v>34.1</v>
      </c>
      <c r="AD5076" s="15">
        <f>AC5076*AG5076</f>
        <v>34.1</v>
      </c>
      <c r="AE5076" s="15">
        <v>75</v>
      </c>
      <c r="AF5076" s="15">
        <f>AE5076*AG5076</f>
        <v>75</v>
      </c>
      <c r="AG5076" s="16">
        <v>1</v>
      </c>
    </row>
    <row r="5077" spans="1:33" ht="15" customHeight="1" x14ac:dyDescent="0.2">
      <c r="A5077" s="11" t="str">
        <f t="shared" si="1490"/>
        <v>VN0A5KQZYY41</v>
      </c>
      <c r="B5077" s="12" t="s">
        <v>17692</v>
      </c>
      <c r="C5077" s="12" t="s">
        <v>16947</v>
      </c>
      <c r="D5077" s="12" t="s">
        <v>16948</v>
      </c>
      <c r="E5077" s="12" t="s">
        <v>17693</v>
      </c>
      <c r="F5077" s="13">
        <v>105</v>
      </c>
      <c r="G5077" s="14"/>
      <c r="H5077" s="12" t="s">
        <v>38</v>
      </c>
      <c r="I5077" s="12" t="s">
        <v>159</v>
      </c>
      <c r="J5077" s="12" t="s">
        <v>341</v>
      </c>
      <c r="K5077" s="12" t="s">
        <v>199</v>
      </c>
      <c r="L5077" s="14"/>
      <c r="M5077" s="12" t="s">
        <v>43</v>
      </c>
      <c r="N5077" s="12" t="s">
        <v>84</v>
      </c>
      <c r="O5077" s="12" t="s">
        <v>17694</v>
      </c>
      <c r="P5077" s="12" t="s">
        <v>46</v>
      </c>
      <c r="Q5077" s="12" t="s">
        <v>47</v>
      </c>
      <c r="R5077" s="12" t="s">
        <v>163</v>
      </c>
      <c r="S5077" s="13">
        <v>197804576128</v>
      </c>
      <c r="T5077" s="12" t="s">
        <v>49</v>
      </c>
      <c r="U5077" s="13">
        <v>44</v>
      </c>
      <c r="V5077" s="12" t="s">
        <v>50</v>
      </c>
      <c r="W5077" s="12" t="s">
        <v>186</v>
      </c>
      <c r="X5077" s="14"/>
      <c r="Y5077" s="14"/>
      <c r="Z5077" s="14"/>
      <c r="AA5077" s="14"/>
      <c r="AB5077" s="14"/>
      <c r="AC5077" s="15">
        <v>34.1</v>
      </c>
      <c r="AD5077" s="15">
        <f>AC5077*AG5077</f>
        <v>34.1</v>
      </c>
      <c r="AE5077" s="15">
        <v>75</v>
      </c>
      <c r="AF5077" s="15">
        <f>AE5077*AG5077</f>
        <v>75</v>
      </c>
      <c r="AG5077" s="16">
        <v>1</v>
      </c>
    </row>
    <row r="5078" spans="1:33" ht="15" customHeight="1" x14ac:dyDescent="0.2">
      <c r="A5078" s="11" t="str">
        <f t="shared" si="1490"/>
        <v>VN0A5KQZYY41</v>
      </c>
      <c r="B5078" s="12" t="s">
        <v>17695</v>
      </c>
      <c r="C5078" s="12" t="s">
        <v>16947</v>
      </c>
      <c r="D5078" s="12" t="s">
        <v>16948</v>
      </c>
      <c r="E5078" s="12" t="s">
        <v>17696</v>
      </c>
      <c r="F5078" s="13">
        <v>115</v>
      </c>
      <c r="G5078" s="14"/>
      <c r="H5078" s="12" t="s">
        <v>38</v>
      </c>
      <c r="I5078" s="12" t="s">
        <v>159</v>
      </c>
      <c r="J5078" s="12" t="s">
        <v>341</v>
      </c>
      <c r="K5078" s="12" t="s">
        <v>199</v>
      </c>
      <c r="L5078" s="14"/>
      <c r="M5078" s="12" t="s">
        <v>43</v>
      </c>
      <c r="N5078" s="12" t="s">
        <v>84</v>
      </c>
      <c r="O5078" s="12" t="s">
        <v>17697</v>
      </c>
      <c r="P5078" s="12" t="s">
        <v>46</v>
      </c>
      <c r="Q5078" s="12" t="s">
        <v>47</v>
      </c>
      <c r="R5078" s="12" t="s">
        <v>163</v>
      </c>
      <c r="S5078" s="13">
        <v>197804576197</v>
      </c>
      <c r="T5078" s="12" t="s">
        <v>49</v>
      </c>
      <c r="U5078" s="13">
        <v>45</v>
      </c>
      <c r="V5078" s="12" t="s">
        <v>50</v>
      </c>
      <c r="W5078" s="12" t="s">
        <v>186</v>
      </c>
      <c r="X5078" s="14"/>
      <c r="Y5078" s="14"/>
      <c r="Z5078" s="14"/>
      <c r="AA5078" s="14"/>
      <c r="AB5078" s="14"/>
      <c r="AC5078" s="15">
        <v>34.1</v>
      </c>
      <c r="AD5078" s="15">
        <f>AC5078*AG5078</f>
        <v>34.1</v>
      </c>
      <c r="AE5078" s="15">
        <v>75</v>
      </c>
      <c r="AF5078" s="15">
        <f>AE5078*AG5078</f>
        <v>75</v>
      </c>
      <c r="AG5078" s="16">
        <v>1</v>
      </c>
    </row>
    <row r="5079" spans="1:33" ht="15" customHeight="1" x14ac:dyDescent="0.2">
      <c r="A5079" s="11" t="str">
        <f t="shared" si="1490"/>
        <v>VN0A5KQZYY41</v>
      </c>
      <c r="B5079" s="12" t="s">
        <v>17698</v>
      </c>
      <c r="C5079" s="12" t="s">
        <v>16947</v>
      </c>
      <c r="D5079" s="12" t="s">
        <v>16948</v>
      </c>
      <c r="E5079" s="12" t="s">
        <v>17699</v>
      </c>
      <c r="F5079" s="13">
        <v>120</v>
      </c>
      <c r="G5079" s="14"/>
      <c r="H5079" s="12" t="s">
        <v>38</v>
      </c>
      <c r="I5079" s="12" t="s">
        <v>159</v>
      </c>
      <c r="J5079" s="12" t="s">
        <v>341</v>
      </c>
      <c r="K5079" s="12" t="s">
        <v>199</v>
      </c>
      <c r="L5079" s="14"/>
      <c r="M5079" s="12" t="s">
        <v>43</v>
      </c>
      <c r="N5079" s="12" t="s">
        <v>84</v>
      </c>
      <c r="O5079" s="12" t="s">
        <v>17700</v>
      </c>
      <c r="P5079" s="12" t="s">
        <v>46</v>
      </c>
      <c r="Q5079" s="12" t="s">
        <v>47</v>
      </c>
      <c r="R5079" s="12" t="s">
        <v>163</v>
      </c>
      <c r="S5079" s="13">
        <v>197804576210</v>
      </c>
      <c r="T5079" s="12" t="s">
        <v>49</v>
      </c>
      <c r="U5079" s="13">
        <v>46</v>
      </c>
      <c r="V5079" s="12" t="s">
        <v>50</v>
      </c>
      <c r="W5079" s="12" t="s">
        <v>186</v>
      </c>
      <c r="X5079" s="14"/>
      <c r="Y5079" s="14"/>
      <c r="Z5079" s="14"/>
      <c r="AA5079" s="14"/>
      <c r="AB5079" s="14"/>
      <c r="AC5079" s="15">
        <v>34.1</v>
      </c>
      <c r="AD5079" s="15">
        <f>AC5079*AG5079</f>
        <v>34.1</v>
      </c>
      <c r="AE5079" s="15">
        <v>75</v>
      </c>
      <c r="AF5079" s="15">
        <f>AE5079*AG5079</f>
        <v>75</v>
      </c>
      <c r="AG5079" s="16">
        <v>1</v>
      </c>
    </row>
    <row r="5080" spans="1:33" ht="15" customHeight="1" x14ac:dyDescent="0.2">
      <c r="A5080" s="11" t="str">
        <f t="shared" si="1490"/>
        <v>VN0A5KQZYY41</v>
      </c>
      <c r="B5080" s="12" t="s">
        <v>17701</v>
      </c>
      <c r="C5080" s="12" t="s">
        <v>16947</v>
      </c>
      <c r="D5080" s="12" t="s">
        <v>16948</v>
      </c>
      <c r="E5080" s="12" t="s">
        <v>17702</v>
      </c>
      <c r="F5080" s="13">
        <v>130</v>
      </c>
      <c r="G5080" s="14"/>
      <c r="H5080" s="12" t="s">
        <v>38</v>
      </c>
      <c r="I5080" s="12" t="s">
        <v>159</v>
      </c>
      <c r="J5080" s="12" t="s">
        <v>341</v>
      </c>
      <c r="K5080" s="12" t="s">
        <v>199</v>
      </c>
      <c r="L5080" s="14"/>
      <c r="M5080" s="12" t="s">
        <v>43</v>
      </c>
      <c r="N5080" s="12" t="s">
        <v>84</v>
      </c>
      <c r="O5080" s="12" t="s">
        <v>17703</v>
      </c>
      <c r="P5080" s="12" t="s">
        <v>46</v>
      </c>
      <c r="Q5080" s="12" t="s">
        <v>47</v>
      </c>
      <c r="R5080" s="12" t="s">
        <v>163</v>
      </c>
      <c r="S5080" s="13">
        <v>197804576227</v>
      </c>
      <c r="T5080" s="12" t="s">
        <v>49</v>
      </c>
      <c r="U5080" s="13">
        <v>47</v>
      </c>
      <c r="V5080" s="12" t="s">
        <v>50</v>
      </c>
      <c r="W5080" s="12" t="s">
        <v>186</v>
      </c>
      <c r="X5080" s="14"/>
      <c r="Y5080" s="14"/>
      <c r="Z5080" s="14"/>
      <c r="AA5080" s="14"/>
      <c r="AB5080" s="14"/>
      <c r="AC5080" s="15">
        <v>34.1</v>
      </c>
      <c r="AD5080" s="15">
        <f>AC5080*AG5080</f>
        <v>34.1</v>
      </c>
      <c r="AE5080" s="15">
        <v>75</v>
      </c>
      <c r="AF5080" s="15">
        <f>AE5080*AG5080</f>
        <v>75</v>
      </c>
      <c r="AG5080" s="16">
        <v>1</v>
      </c>
    </row>
  </sheetData>
  <hyperlinks>
    <hyperlink ref="A3" r:id="rId1" display="VN0A38HBPQZ1"/>
    <hyperlink ref="A4" r:id="rId2" display="VN0A7Y47Y281"/>
    <hyperlink ref="A5" r:id="rId3" display="VN000JT2BLK1"/>
    <hyperlink ref="A6" r:id="rId4" display="VN000UFHC8B1"/>
    <hyperlink ref="A7" r:id="rId5" display="VN000E9XIVG1"/>
    <hyperlink ref="A8" r:id="rId6" display="VN000Q1KBFM1"/>
    <hyperlink ref="A9" r:id="rId7" display="VN000E9XIVG1"/>
    <hyperlink ref="A10" r:id="rId8" display="VN000R32BFM1"/>
    <hyperlink ref="A11" r:id="rId9" display="VN000Q92EMW1"/>
    <hyperlink ref="A12" r:id="rId10" display="VN000R32BFM1"/>
    <hyperlink ref="A13" r:id="rId11" display="VN0A38G1PHN1"/>
    <hyperlink ref="A14" r:id="rId12" display="VN000R10WHT1"/>
    <hyperlink ref="A15" r:id="rId13" display="VN000QB8BLK1"/>
    <hyperlink ref="A16" r:id="rId14" display="VN000UFHBYP1"/>
    <hyperlink ref="A17" r:id="rId15" display="VN000QCFEN61"/>
    <hyperlink ref="A18" r:id="rId16" display="VN000Y5XBLK1"/>
    <hyperlink ref="A19" r:id="rId17" display="VN000ECUB5P1"/>
    <hyperlink ref="A20" r:id="rId18" display="VN000Y5WBLK1"/>
    <hyperlink ref="A21" r:id="rId19" display="VN000XZYWHT1"/>
    <hyperlink ref="A22" r:id="rId20" display="VN000Y5WWHT1"/>
    <hyperlink ref="A23" r:id="rId21" display="VN0007BHDAJ1"/>
    <hyperlink ref="A24" r:id="rId22" display="VN0A5FJXBLK1"/>
    <hyperlink ref="A25" r:id="rId23" display="VN000D3YFS81"/>
    <hyperlink ref="A26" r:id="rId24" display="VN0A38G1PHN1"/>
    <hyperlink ref="A27" r:id="rId25" display="VN000D8NBKA1"/>
    <hyperlink ref="A28" r:id="rId26" display="VN000D75BOP1"/>
    <hyperlink ref="A29" r:id="rId27" display="VN000XUJB9P1"/>
    <hyperlink ref="A30" r:id="rId28" display="VN0A5HF8BLK1"/>
    <hyperlink ref="A31" r:id="rId29" display="VN000R32ENA1"/>
    <hyperlink ref="A32" r:id="rId30" display="VN000RW9BLK1"/>
    <hyperlink ref="A33" r:id="rId31" display="VN000R32EN71"/>
    <hyperlink ref="A34" r:id="rId32" display="VN000E9XIVG1"/>
    <hyperlink ref="A35" r:id="rId33" display="VN000QBGWHT1"/>
    <hyperlink ref="A36" r:id="rId34" display="VN000V68Y611"/>
    <hyperlink ref="A37" r:id="rId35" display="VN000Q94BLK1"/>
    <hyperlink ref="A38" r:id="rId36" display="VN000Q94BLK1"/>
    <hyperlink ref="A39" r:id="rId37" display="VN000ECUB5P1"/>
    <hyperlink ref="A40" r:id="rId38" display="VN000V68Y611"/>
    <hyperlink ref="A41" r:id="rId39" display="VN000V68Y611"/>
    <hyperlink ref="A42" r:id="rId40" display="VN000QBM7UG1"/>
    <hyperlink ref="A43" r:id="rId41" display="VN0A5FCCB9M1"/>
    <hyperlink ref="A44" r:id="rId42" display="VN0A5GPLQID1"/>
    <hyperlink ref="A45" r:id="rId43" display="VN000HZBYEH1"/>
    <hyperlink ref="A46" r:id="rId44" display="VN000QBPWHT1"/>
    <hyperlink ref="A47" r:id="rId45" display="VN000KI51861"/>
    <hyperlink ref="A48" r:id="rId46" display="VN0A5FCCB9M1"/>
    <hyperlink ref="A49" r:id="rId47" display="VN000QBGBLK1"/>
    <hyperlink ref="A50" r:id="rId48" display="VN000V68B5P1"/>
    <hyperlink ref="A51" r:id="rId49" display="VN000J4Y7WM1"/>
    <hyperlink ref="A52" r:id="rId50" display="VN000HZBYEH1"/>
    <hyperlink ref="A53" r:id="rId51" display="VN000V68Y611"/>
    <hyperlink ref="A54" r:id="rId52" display="VN000QB8BLK1"/>
    <hyperlink ref="A55" r:id="rId53" display="VN000QB8BLK1"/>
    <hyperlink ref="A56" r:id="rId54" display="VN000QCGWHT1"/>
    <hyperlink ref="A57" r:id="rId55" display="VN000D75Y281"/>
    <hyperlink ref="A58" r:id="rId56" display="VN000RG4BLK1"/>
    <hyperlink ref="A59" r:id="rId57" display="VN000XUJB9P1"/>
    <hyperlink ref="A60" r:id="rId58" display="VN000XZYBLK1"/>
    <hyperlink ref="A61" r:id="rId59" display="VN000RD4WHT1"/>
    <hyperlink ref="A62" r:id="rId60" display="VN000XZYM741"/>
    <hyperlink ref="A63" r:id="rId61" display="VN000MNNBLK1"/>
    <hyperlink ref="A64" r:id="rId62" display="VN000Q1GHTG1"/>
    <hyperlink ref="A65" r:id="rId63" display="VN000QBKYLZ1"/>
    <hyperlink ref="A66" r:id="rId64" display="VN0A5HVCJBW1"/>
    <hyperlink ref="A67" r:id="rId65" display="VN000Q1XBLK1"/>
    <hyperlink ref="A68" r:id="rId66" display="VN000R32EN71"/>
    <hyperlink ref="A69" r:id="rId67" display="VN000QBWEN71"/>
    <hyperlink ref="A70" r:id="rId68" display="VN000D8NBKA1"/>
    <hyperlink ref="A71" r:id="rId69" display="VN000QCEBLK1"/>
    <hyperlink ref="A72" r:id="rId70" display="VN000M4CBR11"/>
    <hyperlink ref="A73" r:id="rId71" display="VN000EA7HFV1"/>
    <hyperlink ref="A74" r:id="rId72" display="VN000R32ENA1"/>
    <hyperlink ref="A75" r:id="rId73" display="VN0A5FJXDZ91"/>
    <hyperlink ref="A76" r:id="rId74" display="VN000EZ5WHT1"/>
    <hyperlink ref="A77" r:id="rId75" display="VN000K9YBHH1"/>
    <hyperlink ref="A78" r:id="rId76" display="VN000D1JPRP1"/>
    <hyperlink ref="A79" r:id="rId77" display="VN0A38G1PHN1"/>
    <hyperlink ref="A80" r:id="rId78" display="VN0001TTWHT1"/>
    <hyperlink ref="A81" r:id="rId79" display="VN000Y5XHU01"/>
    <hyperlink ref="A82" r:id="rId80" display="VN000EZ5BLK1"/>
    <hyperlink ref="A83" r:id="rId81" display="VN000Y5XWHT1"/>
    <hyperlink ref="A84" r:id="rId82" display="VN000D26EWR1"/>
    <hyperlink ref="A85" r:id="rId83" display="VN0008KUBML1"/>
    <hyperlink ref="A86" r:id="rId84" display="VN000HZBYEH1"/>
    <hyperlink ref="A87" r:id="rId85" display="VN000R99BLK1"/>
    <hyperlink ref="A88" r:id="rId86" display="VN000IVFENA1"/>
    <hyperlink ref="A89" r:id="rId87" display="VN000E9XTUP1"/>
    <hyperlink ref="A90" r:id="rId88" display="VN0A5HF8BLK1"/>
    <hyperlink ref="A91" r:id="rId89" display="VN000Q1TBLK1"/>
    <hyperlink ref="A92" r:id="rId90" display="VN000QB4BRD1"/>
    <hyperlink ref="A93" r:id="rId91" display="VN000Y5XRNC1"/>
    <hyperlink ref="A94" r:id="rId92" display="VN000Q1XBLK1"/>
    <hyperlink ref="A95" r:id="rId93" display="VN000HZBYEH1"/>
    <hyperlink ref="A96" r:id="rId94" display="VN0A45NMGL41"/>
    <hyperlink ref="A97" r:id="rId95" display="VN000JK5BLK1"/>
    <hyperlink ref="A98" r:id="rId96" display="VN000RATE301"/>
    <hyperlink ref="A99" r:id="rId97" display="VN000D220VW1"/>
    <hyperlink ref="A100" r:id="rId98" display="VN000D3YFS81"/>
    <hyperlink ref="A101" r:id="rId99" display="VN000RD61O71"/>
    <hyperlink ref="A102" r:id="rId100" display="VN000CTG7VF1"/>
    <hyperlink ref="A103" r:id="rId101" display="VN000KRSJ0Z1"/>
    <hyperlink ref="A104" r:id="rId102" display="VN000QBGBLK1"/>
    <hyperlink ref="A105" r:id="rId103" display="VN000RATE301"/>
    <hyperlink ref="A106" r:id="rId104" display="VN0A5JHJTBN1"/>
    <hyperlink ref="A107" r:id="rId105" display="VN000MNCD3X1"/>
    <hyperlink ref="A108" r:id="rId106" display="VN000Q1TBLK1"/>
    <hyperlink ref="A109" r:id="rId107" display="VN000KI51861"/>
    <hyperlink ref="A110" r:id="rId108" display="VN000M6ZZBF1"/>
    <hyperlink ref="A111" r:id="rId109" display="VN000M8EBL21"/>
    <hyperlink ref="A112" r:id="rId110" display="VN000CS02W01"/>
    <hyperlink ref="A113" r:id="rId111" display="VN0A5HZK9BY1"/>
    <hyperlink ref="A114" r:id="rId112" display="VN000HZBBLK1"/>
    <hyperlink ref="A115" r:id="rId113" display="VN000Q35EMP1"/>
    <hyperlink ref="A116" r:id="rId114" display="VN000LC0PA91"/>
    <hyperlink ref="A117" r:id="rId115" display="VN000M8EBL21"/>
    <hyperlink ref="A118" r:id="rId116" display="VN000RW9UUI1"/>
    <hyperlink ref="A119" r:id="rId117" display="VN000SN1BLK1"/>
    <hyperlink ref="A120" r:id="rId118" display="VN000D3YFS81"/>
    <hyperlink ref="A121" r:id="rId119" display="VN000D8NBKA1"/>
    <hyperlink ref="A122" r:id="rId120" display="VN000KXMY7U1"/>
    <hyperlink ref="A123" r:id="rId121" display="VN000CV4O3N1"/>
    <hyperlink ref="A124" r:id="rId122" display="VN000D3YFS81"/>
    <hyperlink ref="A125" r:id="rId123" display="VN000D3YFS81"/>
    <hyperlink ref="A126" r:id="rId124" display="VN000JTRCIC1"/>
    <hyperlink ref="A127" r:id="rId125" display="VN000P7ECDX1"/>
    <hyperlink ref="A128" r:id="rId126" display="VN000H4WEMJ1"/>
    <hyperlink ref="A129" r:id="rId127" display="VN000CRVEN71"/>
    <hyperlink ref="A130" r:id="rId128" display="VN000P2A1NU1"/>
    <hyperlink ref="A131" r:id="rId129" display="VN000M8EBL21"/>
    <hyperlink ref="A132" r:id="rId130" display="VN000D1JPRP1"/>
    <hyperlink ref="A133" r:id="rId131" display="VN000V68B5P1"/>
    <hyperlink ref="A134" r:id="rId132" display="VN000GMNWHT1"/>
    <hyperlink ref="A135" r:id="rId133" display="VN000Q1REMW1"/>
    <hyperlink ref="A136" r:id="rId134" display="VN000QB9EMP1"/>
    <hyperlink ref="A137" r:id="rId135" display="VN000HZBYEH1"/>
    <hyperlink ref="A138" r:id="rId136" display="VN000M3GJDU1"/>
    <hyperlink ref="A139" r:id="rId137" display="VN000P7ECDX1"/>
    <hyperlink ref="A140" r:id="rId138" display="VN000JTRDBC1"/>
    <hyperlink ref="A141" r:id="rId139" display="VN000HZBYEH1"/>
    <hyperlink ref="A142" r:id="rId140" display="VN000CS5PIB1"/>
    <hyperlink ref="A143" r:id="rId141" display="VN000D3YFS81"/>
    <hyperlink ref="A144" r:id="rId142" display="VN000GMYCLH1"/>
    <hyperlink ref="A145" r:id="rId143" display="VN000Q1TWHT1"/>
    <hyperlink ref="A146" r:id="rId144" display="VN000Q92EMW1"/>
    <hyperlink ref="A147" r:id="rId145" display="VN000HZBBLK1"/>
    <hyperlink ref="A148" r:id="rId146" display="VN000QCEBLK1"/>
    <hyperlink ref="A149" r:id="rId147" display="VN000P8A02F1"/>
    <hyperlink ref="A150" r:id="rId148" display="VN00104UEMS1"/>
    <hyperlink ref="A151" r:id="rId149" display="VN00069GNOA1"/>
    <hyperlink ref="A152" r:id="rId150" display="VN000CS02W01"/>
    <hyperlink ref="A153" r:id="rId151" display="VN0A5JM21CI1"/>
    <hyperlink ref="A154" r:id="rId152" display="VN000GMYC9L1"/>
    <hyperlink ref="A155" r:id="rId153" display="VN000ND7FS81"/>
    <hyperlink ref="A156" r:id="rId154" display="VN000HUP7WM1"/>
    <hyperlink ref="A157" r:id="rId155" display="VN000HZBBLK1"/>
    <hyperlink ref="A158" r:id="rId156" display="VN000P5DBLK1"/>
    <hyperlink ref="A159" r:id="rId157" display="VN000PBRWHT1"/>
    <hyperlink ref="A160" r:id="rId158" display="VN000CQ6CJK1"/>
    <hyperlink ref="A161" r:id="rId159" display="VN000E9ZYF51"/>
    <hyperlink ref="A162" r:id="rId160" display="VN000ND652K1"/>
    <hyperlink ref="A163" r:id="rId161" display="VN000Q1TWHT1"/>
    <hyperlink ref="A164" r:id="rId162" display="VN000KXMY7U1"/>
    <hyperlink ref="A165" r:id="rId163" display="VN000CTG7VF1"/>
    <hyperlink ref="A166" r:id="rId164" display="VN000CVTWHP1"/>
    <hyperlink ref="A167" r:id="rId165" display="VN000D7UTTN1"/>
    <hyperlink ref="A168" r:id="rId166" display="VN000E8JQPT1"/>
    <hyperlink ref="A169" r:id="rId167" display="VN000QA5DDN1"/>
    <hyperlink ref="A170" r:id="rId168" display="VN000QBGWHT1"/>
    <hyperlink ref="A171" r:id="rId169" display="VN000MJJCDX1"/>
    <hyperlink ref="A172" r:id="rId170" display="VN000PDREN71"/>
    <hyperlink ref="A173" r:id="rId171" display="VN000PK2EN91"/>
    <hyperlink ref="A174" r:id="rId172" display="VN0010J9WHT1"/>
    <hyperlink ref="A175" r:id="rId173" display="VN0A5FJX1O71"/>
    <hyperlink ref="A176" r:id="rId174" display="VN0A5FCBB9M1"/>
    <hyperlink ref="A177" r:id="rId175" display="VN0001TTBLK1"/>
    <hyperlink ref="A178" r:id="rId176" display="VN000CVTWHP1"/>
    <hyperlink ref="A179" r:id="rId177" display="VN000D5VN431"/>
    <hyperlink ref="A180" r:id="rId178" display="VN000E9ZYF51"/>
    <hyperlink ref="A181" r:id="rId179" display="VN0A4U1KWHT1"/>
    <hyperlink ref="A182" r:id="rId180" display="VN000MEPJDU1"/>
    <hyperlink ref="A183" r:id="rId181" display="VN000PXSWHT1"/>
    <hyperlink ref="A184" r:id="rId182" display="VN000D22BH71"/>
    <hyperlink ref="A185" r:id="rId183" display="VN000E9XIVG1"/>
    <hyperlink ref="A186" r:id="rId184" display="VN000R10WHT1"/>
    <hyperlink ref="A187" r:id="rId185" display="VN000HGKBLK1"/>
    <hyperlink ref="A188" r:id="rId186" display="VN000HZBYEH1"/>
    <hyperlink ref="A189" r:id="rId187" display="VN000M4CBR11"/>
    <hyperlink ref="A190" r:id="rId188" display="VN000MBCWHT1"/>
    <hyperlink ref="A191" r:id="rId189" display="VN000RG44QU1"/>
    <hyperlink ref="A192" r:id="rId190" display="VN000SPAMTR1"/>
    <hyperlink ref="A193" r:id="rId191" display="VN0A5HNPBLK1"/>
    <hyperlink ref="A194" r:id="rId192" display="VN000Q981O71"/>
    <hyperlink ref="A195" r:id="rId193" display="VN000QA1BRD1"/>
    <hyperlink ref="A196" r:id="rId194" display="VN000QB42N11"/>
    <hyperlink ref="A197" r:id="rId195" display="VN000M3GJDU1"/>
    <hyperlink ref="A198" r:id="rId196" display="VN000PXG02F1"/>
    <hyperlink ref="A199" r:id="rId197" display="VN0A5LMECR21"/>
    <hyperlink ref="A200" r:id="rId198" display="VN000H4WBLK1"/>
    <hyperlink ref="A201" r:id="rId199" display="VN000BCECCZ1"/>
    <hyperlink ref="A202" r:id="rId200" display="VN000D0HKCZ1"/>
    <hyperlink ref="A203" r:id="rId201" display="VN000D61BOC1"/>
    <hyperlink ref="A204" r:id="rId202" display="VN000E9YBGP1"/>
    <hyperlink ref="A205" r:id="rId203" display="VN000QA7BLK1"/>
    <hyperlink ref="A206" r:id="rId204" display="VN0A5KK9ZJY1"/>
    <hyperlink ref="A207" r:id="rId205" display="VN000KXMY7U1"/>
    <hyperlink ref="A208" r:id="rId206" display="VN000PF7YB21"/>
    <hyperlink ref="A209" r:id="rId207" display="VN000RCEFCT1"/>
    <hyperlink ref="A210" r:id="rId208" display="VN000D0H11E1"/>
    <hyperlink ref="A211" r:id="rId209" display="VN000D0HKCZ1"/>
    <hyperlink ref="A212" r:id="rId210" display="VN000D2VEMY1"/>
    <hyperlink ref="A213" r:id="rId211" display="VN000E9YBGP1"/>
    <hyperlink ref="A214" r:id="rId212" display="VN0A5FCBB9M1"/>
    <hyperlink ref="A215" r:id="rId213" display="VN000HTDBLK1"/>
    <hyperlink ref="A216" r:id="rId214" display="VN000QAD7WM1"/>
    <hyperlink ref="A217" r:id="rId215" display="VN0A4TQBBWU1"/>
    <hyperlink ref="A218" r:id="rId216" display="VN0A7YTTBM51"/>
    <hyperlink ref="A219" r:id="rId217" display="VN000G75BL21"/>
    <hyperlink ref="A220" r:id="rId218" display="VN000M3GJDU1"/>
    <hyperlink ref="A221" r:id="rId219" display="VN000R3UU201"/>
    <hyperlink ref="A222" r:id="rId220" display="VN000XCUWHT1"/>
    <hyperlink ref="A223" r:id="rId221" display="VN000EFBYY61"/>
    <hyperlink ref="A224" r:id="rId222" display="VN000J58LKZ1"/>
    <hyperlink ref="A225" r:id="rId223" display="VN000QA27UG1"/>
    <hyperlink ref="A226" r:id="rId224" display="VN000QA7EN91"/>
    <hyperlink ref="A227" r:id="rId225" display="VN000XZYE111"/>
    <hyperlink ref="A228" r:id="rId226" display="VN000HJV7D61"/>
    <hyperlink ref="A229" r:id="rId227" display="VN000HZBBLK1"/>
    <hyperlink ref="A230" r:id="rId228" display="VN000RD71O71"/>
    <hyperlink ref="A231" r:id="rId229" display="VN0A7Y3X6OG1"/>
    <hyperlink ref="A232" r:id="rId230" display="VN000CWE8871"/>
    <hyperlink ref="A233" r:id="rId231" display="VN000D0H11E1"/>
    <hyperlink ref="A234" r:id="rId232" display="VN000D4SCFL1"/>
    <hyperlink ref="A235" r:id="rId233" display="VN000E9XIVG1"/>
    <hyperlink ref="A236" r:id="rId234" display="VN000HTHBLK1"/>
    <hyperlink ref="A237" r:id="rId235" display="VN000Q94EN71"/>
    <hyperlink ref="A238" r:id="rId236" display="VN000QCFY281"/>
    <hyperlink ref="A239" r:id="rId237" display="VN000G75D6Z1"/>
    <hyperlink ref="A240" r:id="rId238" display="VN000PHDEMF1"/>
    <hyperlink ref="A241" r:id="rId239" display="VN0A7Y3X6OG1"/>
    <hyperlink ref="A242" r:id="rId240" display="VN000Q9DBLK1"/>
    <hyperlink ref="A243" r:id="rId241" display="VN0007P9CL21"/>
    <hyperlink ref="A244" r:id="rId242" display="VN000CTGYJ71"/>
    <hyperlink ref="A245" r:id="rId243" display="VN000CWE4QU1"/>
    <hyperlink ref="A246" r:id="rId244" display="VN000CYAYLZ1"/>
    <hyperlink ref="A247" r:id="rId245" display="VN000D1JY231"/>
    <hyperlink ref="A248" r:id="rId246" display="VN000E9ZYF51"/>
    <hyperlink ref="A249" r:id="rId247" display="VN000QB8EMU1"/>
    <hyperlink ref="A250" r:id="rId248" display="VN0A7PQZEN71"/>
    <hyperlink ref="A251" r:id="rId249" display="VN000G75D6Z1"/>
    <hyperlink ref="A252" r:id="rId250" display="VN000G75D6Z1"/>
    <hyperlink ref="A253" r:id="rId251" display="VN000K3NBLK1"/>
    <hyperlink ref="A254" r:id="rId252" display="VN000MFWUUI1"/>
    <hyperlink ref="A255" r:id="rId253" display="VN000PX3EN61"/>
    <hyperlink ref="A256" r:id="rId254" display="VN000D0HKCZ1"/>
    <hyperlink ref="A257" r:id="rId255" display="VN000D1JY231"/>
    <hyperlink ref="A258" r:id="rId256" display="VN000E9F5TU1"/>
    <hyperlink ref="A259" r:id="rId257" display="VN000ECUB5P1"/>
    <hyperlink ref="A260" r:id="rId258" display="VN000Q1RHTG1"/>
    <hyperlink ref="A261" r:id="rId259" display="VN000G75D6Z1"/>
    <hyperlink ref="A262" r:id="rId260" display="VN000M6ZZBF1"/>
    <hyperlink ref="A263" r:id="rId261" display="VN000MN07WM1"/>
    <hyperlink ref="A264" r:id="rId262" display="VN000PDRBLK1"/>
    <hyperlink ref="A265" r:id="rId263" display="VN000RG2BLK1"/>
    <hyperlink ref="A266" r:id="rId264" display="VN000RG4BLK1"/>
    <hyperlink ref="A267" r:id="rId265" display="VN0A5LMECR21"/>
    <hyperlink ref="A268" r:id="rId266" display="VN000D26EWR1"/>
    <hyperlink ref="A269" r:id="rId267" display="VN0A5HF8BLK1"/>
    <hyperlink ref="A270" r:id="rId268" display="VN000BHXBLK1"/>
    <hyperlink ref="A271" r:id="rId269" display="VN000PKT1NU1"/>
    <hyperlink ref="A272" r:id="rId270" display="VN000HJV7D61"/>
    <hyperlink ref="A273" r:id="rId271" display="VN000HZABLK1"/>
    <hyperlink ref="A274" r:id="rId272" display="VN000NTSD6Z1"/>
    <hyperlink ref="A275" r:id="rId273" display="VN000CQ0O331"/>
    <hyperlink ref="A276" r:id="rId274" display="VN000CS5RV21"/>
    <hyperlink ref="A277" r:id="rId275" display="VN000CWEBFA1"/>
    <hyperlink ref="A278" r:id="rId276" display="VN000CWEYX21"/>
    <hyperlink ref="A279" r:id="rId277" display="VN000CYAYLZ1"/>
    <hyperlink ref="A280" r:id="rId278" display="VN000D1JY231"/>
    <hyperlink ref="A281" r:id="rId279" display="VN000ED891K1"/>
    <hyperlink ref="A282" r:id="rId280" display="VN000HJV7D61"/>
    <hyperlink ref="A283" r:id="rId281" display="VN000M39D4C1"/>
    <hyperlink ref="A284" r:id="rId282" display="VN000CQRO3N1"/>
    <hyperlink ref="A285" r:id="rId283" display="VN000CTNBP61"/>
    <hyperlink ref="A286" r:id="rId284" display="VN000D60BRO1"/>
    <hyperlink ref="A287" r:id="rId285" display="VN00046QE2W1"/>
    <hyperlink ref="A288" r:id="rId286" display="VN0008KUBML1"/>
    <hyperlink ref="A289" r:id="rId287" display="VN0008KUJDU1"/>
    <hyperlink ref="A290" r:id="rId288" display="VN000HDVM8I1"/>
    <hyperlink ref="A291" r:id="rId289" display="VN000KXMY7U1"/>
    <hyperlink ref="A292" r:id="rId290" display="VN000M12IYR1"/>
    <hyperlink ref="A293" r:id="rId291" display="VN000MBCWHT1"/>
    <hyperlink ref="A294" r:id="rId292" display="VN000NWP1O71"/>
    <hyperlink ref="A295" r:id="rId293" display="VN000QF32N11"/>
    <hyperlink ref="A296" r:id="rId294" display="VN0A3WF1H3G1"/>
    <hyperlink ref="A297" r:id="rId295" display="VN0A7YUTWHT1"/>
    <hyperlink ref="A298" r:id="rId296" display="VN000BCECCZ1"/>
    <hyperlink ref="A299" r:id="rId297" display="VN000E9XIVG1"/>
    <hyperlink ref="A300" r:id="rId298" display="VN000J5UBLK1"/>
    <hyperlink ref="A301" r:id="rId299" display="VN000Q1FBRD1"/>
    <hyperlink ref="A302" r:id="rId300" display="VN000Q20ZJY1"/>
    <hyperlink ref="A303" r:id="rId301" display="VN000QBEF0E1"/>
    <hyperlink ref="A304" r:id="rId302" display="VN000QCMBLK1"/>
    <hyperlink ref="A305" r:id="rId303" display="VN000QQWFLM1"/>
    <hyperlink ref="A306" r:id="rId304" display="VN0A7YTTBM51"/>
    <hyperlink ref="A307" r:id="rId305" display="VN0008KUBML1"/>
    <hyperlink ref="A308" r:id="rId306" display="VN000G75BL21"/>
    <hyperlink ref="A309" r:id="rId307" display="VN000HZCBLK1"/>
    <hyperlink ref="A310" r:id="rId308" display="VN000KMZNAV1"/>
    <hyperlink ref="A311" r:id="rId309" display="VN000M27CFL1"/>
    <hyperlink ref="A312" r:id="rId310" display="VN000MBEE301"/>
    <hyperlink ref="A313" r:id="rId311" display="VN000PDREN71"/>
    <hyperlink ref="A314" r:id="rId312" display="VN000PFBEMU1"/>
    <hyperlink ref="A315" r:id="rId313" display="VN000RG21QI1"/>
    <hyperlink ref="A316" r:id="rId314" display="VN0010J9BLK1"/>
    <hyperlink ref="A317" r:id="rId315" display="VN000CQ0O331"/>
    <hyperlink ref="A318" r:id="rId316" display="VN000CQ0O331"/>
    <hyperlink ref="A319" r:id="rId317" display="VN000CTGYLZ1"/>
    <hyperlink ref="A320" r:id="rId318" display="VN000D4M2391"/>
    <hyperlink ref="A321" r:id="rId319" display="VN000D70CHG1"/>
    <hyperlink ref="A322" r:id="rId320" display="VN000E9YBGP1"/>
    <hyperlink ref="A323" r:id="rId321" display="VN000BHXWHT1"/>
    <hyperlink ref="A324" r:id="rId322" display="VN000QAQEMU1"/>
    <hyperlink ref="A325" r:id="rId323" display="VN000R51WHT1"/>
    <hyperlink ref="A326" r:id="rId324" display="VN000K3MBLK1"/>
    <hyperlink ref="A327" r:id="rId325" display="VN000M3GJDU1"/>
    <hyperlink ref="A328" r:id="rId326" display="VN000M3GJDU1"/>
    <hyperlink ref="A329" r:id="rId327" display="VN000MJJCDX1"/>
    <hyperlink ref="A330" r:id="rId328" display="VN000PPMBLK1"/>
    <hyperlink ref="A331" r:id="rId329" display="VN0007P9CL21"/>
    <hyperlink ref="A332" r:id="rId330" display="VN000CMXN1Z1"/>
    <hyperlink ref="A333" r:id="rId331" display="VN000CTG7VF1"/>
    <hyperlink ref="A334" r:id="rId332" display="VN000D0HKCZ1"/>
    <hyperlink ref="A335" r:id="rId333" display="VN000D1JY231"/>
    <hyperlink ref="A336" r:id="rId334" display="VN0A38JNLLC1"/>
    <hyperlink ref="A337" r:id="rId335" display="VN0001TTHU01"/>
    <hyperlink ref="A338" r:id="rId336" display="VN000A92Y281"/>
    <hyperlink ref="A339" r:id="rId337" display="VN000PKNEN61"/>
    <hyperlink ref="A340" r:id="rId338" display="VN000Q9ZBLK1"/>
    <hyperlink ref="A341" r:id="rId339" display="VN000QA1EMJ1"/>
    <hyperlink ref="A342" r:id="rId340" display="VN000QA55TU1"/>
    <hyperlink ref="A343" r:id="rId341" display="VN000QAV7UG1"/>
    <hyperlink ref="A344" r:id="rId342" display="VN000UOUJ5F1"/>
    <hyperlink ref="A345" r:id="rId343" display="VN000G4MBLK1"/>
    <hyperlink ref="A346" r:id="rId344" display="VN000G75D6Z1"/>
    <hyperlink ref="A347" r:id="rId345" display="VN000G75D6Z1"/>
    <hyperlink ref="A348" r:id="rId346" display="VN000HJV7D61"/>
    <hyperlink ref="A349" r:id="rId347" display="VN000HZBBLK1"/>
    <hyperlink ref="A350" r:id="rId348" display="VN000JBRZBF1"/>
    <hyperlink ref="A351" r:id="rId349" display="VN000KYXBLK1"/>
    <hyperlink ref="A352" r:id="rId350" display="VN000M1KBLK1"/>
    <hyperlink ref="A353" r:id="rId351" display="VN000MFWUUI1"/>
    <hyperlink ref="A354" r:id="rId352" display="VN000PE7WHT1"/>
    <hyperlink ref="A355" r:id="rId353" display="VN000Q09GC61"/>
    <hyperlink ref="A356" r:id="rId354" display="VN000R3UU201"/>
    <hyperlink ref="A357" r:id="rId355" display="VN000RG4WHT1"/>
    <hyperlink ref="A358" r:id="rId356" display="VN000BCE2N11"/>
    <hyperlink ref="A359" r:id="rId357" display="VN000CWEWHP1"/>
    <hyperlink ref="A360" r:id="rId358" display="VN000D0HKCZ1"/>
    <hyperlink ref="A361" r:id="rId359" display="VN000D0MBZW1"/>
    <hyperlink ref="A362" r:id="rId360" display="VN000D26EWR1"/>
    <hyperlink ref="A363" r:id="rId361" display="VN000NBQFS81"/>
    <hyperlink ref="A364" r:id="rId362" display="VN000PKJBLK1"/>
    <hyperlink ref="A365" r:id="rId363" display="VN000HQ3M8I1"/>
    <hyperlink ref="A366" r:id="rId364" display="VN000HUP7WM1"/>
    <hyperlink ref="A367" r:id="rId365" display="VN000J79BLK1"/>
    <hyperlink ref="A368" r:id="rId366" display="VN000M39DZ91"/>
    <hyperlink ref="A369" r:id="rId367" display="VN000M77Y7U1"/>
    <hyperlink ref="A370" r:id="rId368" display="VN000MBCWHT1"/>
    <hyperlink ref="A371" r:id="rId369" display="VN000NDGBLK1"/>
    <hyperlink ref="A372" r:id="rId370" display="VN000P73Y281"/>
    <hyperlink ref="A373" r:id="rId371" display="VN000PBRBLK1"/>
    <hyperlink ref="A374" r:id="rId372" display="VN000Q09GC61"/>
    <hyperlink ref="A375" r:id="rId373" display="VN000RCB1O71"/>
    <hyperlink ref="A376" r:id="rId374" display="VN000RG41QI1"/>
    <hyperlink ref="A377" r:id="rId375" display="VN0A4MQ35TU1"/>
    <hyperlink ref="A378" r:id="rId376" display="VN000F0CBLK1"/>
    <hyperlink ref="A379" r:id="rId377" display="VN0007P9CL21"/>
    <hyperlink ref="A380" r:id="rId378" display="VN000BCE2N11"/>
    <hyperlink ref="A381" r:id="rId379" display="VN000BCEBA21"/>
    <hyperlink ref="A382" r:id="rId380" display="VN000CQ0O331"/>
    <hyperlink ref="A383" r:id="rId381" display="VN000CQRYLZ1"/>
    <hyperlink ref="A384" r:id="rId382" display="VN000CS5PIB1"/>
    <hyperlink ref="A385" r:id="rId383" display="VN000CTGYLZ1"/>
    <hyperlink ref="A386" r:id="rId384" display="VN000D1H8871"/>
    <hyperlink ref="A387" r:id="rId385" display="VN000D4SCFL1"/>
    <hyperlink ref="A388" r:id="rId386" display="VN000E9YBGP1"/>
    <hyperlink ref="A389" r:id="rId387" display="VN000Q1UBLK1"/>
    <hyperlink ref="A390" r:id="rId388" display="VN000QCMBLK1"/>
    <hyperlink ref="A391" r:id="rId389" display="VN000G756PH1"/>
    <hyperlink ref="A392" r:id="rId390" display="VN000J79BLK1"/>
    <hyperlink ref="A393" r:id="rId391" display="VN000NDGBLK1"/>
    <hyperlink ref="A394" r:id="rId392" display="VN000P58CHG1"/>
    <hyperlink ref="A395" r:id="rId393" display="VN000P5QO3N1"/>
    <hyperlink ref="A396" r:id="rId394" display="VN000P7AEN61"/>
    <hyperlink ref="A397" r:id="rId395" display="VN000PK1BLK1"/>
    <hyperlink ref="A398" r:id="rId396" display="VN000PK1BLK1"/>
    <hyperlink ref="A399" r:id="rId397" display="VN000PRSEMV1"/>
    <hyperlink ref="A400" r:id="rId398" display="VN000PXXBLK1"/>
    <hyperlink ref="A401" r:id="rId399" display="VN000D0HKCZ1"/>
    <hyperlink ref="A402" r:id="rId400" display="VN000D6WEMU1"/>
    <hyperlink ref="A403" r:id="rId401" display="VN000E9YLBR1"/>
    <hyperlink ref="A404" r:id="rId402" display="VN000EE1I6Y1"/>
    <hyperlink ref="A405" r:id="rId403" display="VN0A2YR714A1"/>
    <hyperlink ref="A406" r:id="rId404" display="VN000HUP7WM1"/>
    <hyperlink ref="A407" r:id="rId405" display="VN000HZBBLK1"/>
    <hyperlink ref="A408" r:id="rId406" display="VN000KTAEMB1"/>
    <hyperlink ref="A409" r:id="rId407" display="VN000KUR7WM1"/>
    <hyperlink ref="A410" r:id="rId408" display="VN000M77Y7U1"/>
    <hyperlink ref="A411" r:id="rId409" display="VN000M9A1O71"/>
    <hyperlink ref="A412" r:id="rId410" display="VN000MBCWHT1"/>
    <hyperlink ref="A413" r:id="rId411" display="VN000MFWUUI1"/>
    <hyperlink ref="A414" r:id="rId412" display="VN000P58EMW1"/>
    <hyperlink ref="A415" r:id="rId413" display="VN000PAZBLK1"/>
    <hyperlink ref="A416" r:id="rId414" display="VN000PFBBRR1"/>
    <hyperlink ref="A417" r:id="rId415" display="VN000PFBEN91"/>
    <hyperlink ref="A418" r:id="rId416" display="VN000PXSBLK1"/>
    <hyperlink ref="A419" r:id="rId417" display="VN000R94FS81"/>
    <hyperlink ref="A420" r:id="rId418" display="VN000C3297I1"/>
    <hyperlink ref="A421" r:id="rId419" display="VN000H4XZRY1"/>
    <hyperlink ref="A422" r:id="rId420" display="VN000CTGZRY1"/>
    <hyperlink ref="A423" r:id="rId421" display="VN000D1H8871"/>
    <hyperlink ref="A424" r:id="rId422" display="VN000D2VEMY1"/>
    <hyperlink ref="A425" r:id="rId423" display="VN000DAJBIY1"/>
    <hyperlink ref="A426" r:id="rId424" display="VN000E9YBGP1"/>
    <hyperlink ref="A427" r:id="rId425" display="VN000E9YBGP1"/>
    <hyperlink ref="A428" r:id="rId426" display="VN000KYE1NU1"/>
    <hyperlink ref="A429" r:id="rId427" display="VN000LC0Y281"/>
    <hyperlink ref="A430" r:id="rId428" display="VN000QAWBRD1"/>
    <hyperlink ref="A431" r:id="rId429" display="VN000QAXFS81"/>
    <hyperlink ref="A432" r:id="rId430" display="VN000QBGBLK1"/>
    <hyperlink ref="A433" r:id="rId431" display="VN0008N6BLK1"/>
    <hyperlink ref="A434" r:id="rId432" display="VN000HUP7WM1"/>
    <hyperlink ref="A435" r:id="rId433" display="VN000HZBBLK1"/>
    <hyperlink ref="A436" r:id="rId434" display="VN000HZCBLK1"/>
    <hyperlink ref="A437" r:id="rId435" display="VN000M6XC9F1"/>
    <hyperlink ref="A438" r:id="rId436" display="VN000MEPJDU1"/>
    <hyperlink ref="A439" r:id="rId437" display="VN000PA6BLK1"/>
    <hyperlink ref="A440" r:id="rId438" display="VN000PFBEN91"/>
    <hyperlink ref="A441" r:id="rId439" display="VN000PK8BLK1"/>
    <hyperlink ref="A442" r:id="rId440" display="VN000PMAEMW1"/>
    <hyperlink ref="A443" r:id="rId441" display="VN000PXXBLK1"/>
    <hyperlink ref="A444" r:id="rId442" display="VN000RFMEMV1"/>
    <hyperlink ref="A445" r:id="rId443" display="VN000SN14OU1"/>
    <hyperlink ref="A446" r:id="rId444" display="VN000SN14OU1"/>
    <hyperlink ref="A447" r:id="rId445" display="VN000SN14OU1"/>
    <hyperlink ref="A448" r:id="rId446" display="VN000SN14OU1"/>
    <hyperlink ref="A449" r:id="rId447" display="VN000SN6EMU1"/>
    <hyperlink ref="A450" r:id="rId448" display="VN000SN6EMU1"/>
    <hyperlink ref="A451" r:id="rId449" display="VN000SN6EMU1"/>
    <hyperlink ref="A452" r:id="rId450" display="VN0A4MQ35TU1"/>
    <hyperlink ref="A453" r:id="rId451" display="VN000MNTBLK1"/>
    <hyperlink ref="A454" r:id="rId452" display="VN0009QCBKA1"/>
    <hyperlink ref="A455" r:id="rId453" display="VN000CRRD3X1"/>
    <hyperlink ref="A456" r:id="rId454" display="VN000CWE8871"/>
    <hyperlink ref="A457" r:id="rId455" display="VN000CYAYLZ1"/>
    <hyperlink ref="A458" r:id="rId456" display="VN000D11N1Z1"/>
    <hyperlink ref="A459" r:id="rId457" display="VN000D8NBKA1"/>
    <hyperlink ref="A460" r:id="rId458" display="VN000D9ACJ71"/>
    <hyperlink ref="A461" r:id="rId459" display="VN000E8WG581"/>
    <hyperlink ref="A462" r:id="rId460" display="VN000E9XIVG1"/>
    <hyperlink ref="A463" r:id="rId461" display="VN000EE1GYG1"/>
    <hyperlink ref="A464" r:id="rId462" display="VN000EE1GYG1"/>
    <hyperlink ref="A465" r:id="rId463" display="VN000EE1GYG1"/>
    <hyperlink ref="A466" r:id="rId464" display="VN000EE1GYG1"/>
    <hyperlink ref="A467" r:id="rId465" display="VN000EE1GYG1"/>
    <hyperlink ref="A468" r:id="rId466" display="VN000EE1GYG1"/>
    <hyperlink ref="A469" r:id="rId467" display="VN0A3TKN6BT1"/>
    <hyperlink ref="A470" r:id="rId468" display="VN0A5FCB1N61"/>
    <hyperlink ref="A471" r:id="rId469" display="VN00061YCBK1"/>
    <hyperlink ref="A472" r:id="rId470" display="VN000GN0BLK1"/>
    <hyperlink ref="A473" r:id="rId471" display="VN000KXWBLK1"/>
    <hyperlink ref="A474" r:id="rId472" display="VN000LC0BLK1"/>
    <hyperlink ref="A475" r:id="rId473" display="VN0008N6BLK1"/>
    <hyperlink ref="A476" r:id="rId474" display="VN000HDVM8I1"/>
    <hyperlink ref="A477" r:id="rId475" display="VN000HQ3M8I1"/>
    <hyperlink ref="A478" r:id="rId476" display="VN000KASBTE1"/>
    <hyperlink ref="A479" r:id="rId477" display="VN000KXMY7U1"/>
    <hyperlink ref="A480" r:id="rId478" display="VN000KYXBLK1"/>
    <hyperlink ref="A481" r:id="rId479" display="VN000M9SBLK1"/>
    <hyperlink ref="A482" r:id="rId480" display="VN000MBX1O71"/>
    <hyperlink ref="A483" r:id="rId481" display="VN000MFWUUI1"/>
    <hyperlink ref="A484" r:id="rId482" display="VN000MGJE4T1"/>
    <hyperlink ref="A485" r:id="rId483" display="VN000PFBEN91"/>
    <hyperlink ref="A486" r:id="rId484" display="VN000PMDEMW1"/>
    <hyperlink ref="A487" r:id="rId485" display="VN000R04EMF1"/>
    <hyperlink ref="A488" r:id="rId486" display="VN000R92EMF1"/>
    <hyperlink ref="A489" r:id="rId487" display="VN0A5FLPBLK1"/>
    <hyperlink ref="A490" r:id="rId488" display="VN0A7YUTBLK1"/>
    <hyperlink ref="A491" r:id="rId489" display="VN000HRJTBB1"/>
    <hyperlink ref="A492" r:id="rId490" display="VN000CTG7VF1"/>
    <hyperlink ref="A493" r:id="rId491" display="VN000CTGEMY1"/>
    <hyperlink ref="A494" r:id="rId492" display="VN000D0HBMV1"/>
    <hyperlink ref="A495" r:id="rId493" display="VN000D0SYJ71"/>
    <hyperlink ref="A496" r:id="rId494" display="VN000D1JBG71"/>
    <hyperlink ref="A497" r:id="rId495" display="VN000D26PWT1"/>
    <hyperlink ref="A498" r:id="rId496" display="VN000D5V6MZ1"/>
    <hyperlink ref="A499" r:id="rId497" display="VN000D61BOC1"/>
    <hyperlink ref="A500" r:id="rId498" display="VN000D6ZO3N1"/>
    <hyperlink ref="A501" r:id="rId499" display="VN000D7JCKP1"/>
    <hyperlink ref="A502" r:id="rId500" display="VN000E8CGMX1"/>
    <hyperlink ref="A503" r:id="rId501" display="VN000E8WG581"/>
    <hyperlink ref="A504" r:id="rId502" display="VN000ECUB5P1"/>
    <hyperlink ref="A505" r:id="rId503" display="VN000EFBYY61"/>
    <hyperlink ref="A506" r:id="rId504" display="VN000GN0WHT1"/>
    <hyperlink ref="A507" r:id="rId505" display="VN000NBPBLK1"/>
    <hyperlink ref="A508" r:id="rId506" display="VN000QB32N11"/>
    <hyperlink ref="A509" r:id="rId507" display="VN000QB9EMP1"/>
    <hyperlink ref="A510" r:id="rId508" display="VN000QBQEN71"/>
    <hyperlink ref="A511" r:id="rId509" display="VN000R51WHT1"/>
    <hyperlink ref="A512" r:id="rId510" display="VN0008KUBML1"/>
    <hyperlink ref="A513" r:id="rId511" display="VN000G75D6Z1"/>
    <hyperlink ref="A514" r:id="rId512" display="VN000HCF7YO1"/>
    <hyperlink ref="A515" r:id="rId513" display="VN000HJV7D61"/>
    <hyperlink ref="A516" r:id="rId514" display="VN000HJV7D61"/>
    <hyperlink ref="A517" r:id="rId515" display="VN000JBRZBF1"/>
    <hyperlink ref="A518" r:id="rId516" display="VN000MEPJDU1"/>
    <hyperlink ref="A519" r:id="rId517" display="VN000MN07WM1"/>
    <hyperlink ref="A520" r:id="rId518" display="VN000P77AFM1"/>
    <hyperlink ref="A521" r:id="rId519" display="VN000PK1EMW1"/>
    <hyperlink ref="A522" r:id="rId520" display="VN000PQR02F1"/>
    <hyperlink ref="A523" r:id="rId521" display="VN000PXTBLK1"/>
    <hyperlink ref="A524" r:id="rId522" display="VN000R04EMF1"/>
    <hyperlink ref="A525" r:id="rId523" display="VN000REFWHT1"/>
    <hyperlink ref="A526" r:id="rId524" display="VN0A3W76EMY1"/>
    <hyperlink ref="A527" r:id="rId525" display="VN0005V8BLK1"/>
    <hyperlink ref="A528" r:id="rId526" display="VN000CS5PIB1"/>
    <hyperlink ref="A529" r:id="rId527" display="VN000CVVKAQ1"/>
    <hyperlink ref="A530" r:id="rId528" display="VN000CZ71NU1"/>
    <hyperlink ref="A531" r:id="rId529" display="VN000D0HEMY1"/>
    <hyperlink ref="A532" r:id="rId530" display="VN000D0HKCZ1"/>
    <hyperlink ref="A533" r:id="rId531" display="VN000D2VZ3R1"/>
    <hyperlink ref="A534" r:id="rId532" display="VN000DCJGRN1"/>
    <hyperlink ref="A535" r:id="rId533" display="VN000E87BA21"/>
    <hyperlink ref="A536" r:id="rId534" display="VN000E9ZYF51"/>
    <hyperlink ref="A537" r:id="rId535" display="VN000EE1I6Y1"/>
    <hyperlink ref="A538" r:id="rId536" display="VN0A5HF8BLK1"/>
    <hyperlink ref="A539" r:id="rId537" display="VN0A5HYWYOH1"/>
    <hyperlink ref="A540" r:id="rId538" display="VN000F5TLKZ1"/>
    <hyperlink ref="A541" r:id="rId539" display="VN000HTUM8I1"/>
    <hyperlink ref="A542" r:id="rId540" display="VN000PT612Q1"/>
    <hyperlink ref="A543" r:id="rId541" display="VN000Q1FEMU1"/>
    <hyperlink ref="A544" r:id="rId542" display="VN000QB3EMJ1"/>
    <hyperlink ref="A545" r:id="rId543" display="VN0008NACDX1"/>
    <hyperlink ref="A546" r:id="rId544" display="VN000FVHFS81"/>
    <hyperlink ref="A547" r:id="rId545" display="VN000HZABLK1"/>
    <hyperlink ref="A548" r:id="rId546" display="VN000HZBYEH1"/>
    <hyperlink ref="A549" r:id="rId547" display="VN000HZBYEH1"/>
    <hyperlink ref="A550" r:id="rId548" display="VN000KMZH7Q1"/>
    <hyperlink ref="A551" r:id="rId549" display="VN000KYUCI21"/>
    <hyperlink ref="A552" r:id="rId550" display="VN000M12IYR1"/>
    <hyperlink ref="A553" r:id="rId551" display="VN000M8EKCZ1"/>
    <hyperlink ref="A554" r:id="rId552" display="VN000MGTBL21"/>
    <hyperlink ref="A555" r:id="rId553" display="VN000MMTBLK1"/>
    <hyperlink ref="A556" r:id="rId554" display="VN000NWP1O71"/>
    <hyperlink ref="A557" r:id="rId555" display="VN000PBRBLK1"/>
    <hyperlink ref="A558" r:id="rId556" display="VN000PDREN71"/>
    <hyperlink ref="A559" r:id="rId557" display="VN000PEYNAV1"/>
    <hyperlink ref="A560" r:id="rId558" display="VN000PGJEMF1"/>
    <hyperlink ref="A561" r:id="rId559" display="VN000PK8BLK1"/>
    <hyperlink ref="A562" r:id="rId560" display="VN000PXSBLK1"/>
    <hyperlink ref="A563" r:id="rId561" display="VN000Q39EN91"/>
    <hyperlink ref="A564" r:id="rId562" display="VN000QDFWHT1"/>
    <hyperlink ref="A565" r:id="rId563" display="VN000R3UU201"/>
    <hyperlink ref="A566" r:id="rId564" display="VN000R742N11"/>
    <hyperlink ref="A567" r:id="rId565" display="VN000RG41QI1"/>
    <hyperlink ref="A568" r:id="rId566" display="VN0A5FLPBLK1"/>
    <hyperlink ref="A569" r:id="rId567" display="VN0A5FLPBLK1"/>
    <hyperlink ref="A570" r:id="rId568" display="VN000H4ZE2W1"/>
    <hyperlink ref="A571" r:id="rId569" display="VN000CVTWHP1"/>
    <hyperlink ref="A572" r:id="rId570" display="VN000CWEZ5D1"/>
    <hyperlink ref="A573" r:id="rId571" display="VN000D0H11E1"/>
    <hyperlink ref="A574" r:id="rId572" display="VN000D0SRV21"/>
    <hyperlink ref="A575" r:id="rId573" display="VN000D0SYJ71"/>
    <hyperlink ref="A576" r:id="rId574" display="VN000D1HWWW1"/>
    <hyperlink ref="A577" r:id="rId575" display="VN000D5D17P1"/>
    <hyperlink ref="A578" r:id="rId576" display="VN000D6SBKA1"/>
    <hyperlink ref="A579" r:id="rId577" display="VN000D70CHG1"/>
    <hyperlink ref="A580" r:id="rId578" display="VN000D70CHG1"/>
    <hyperlink ref="A581" r:id="rId579" display="VN000D8NBKA1"/>
    <hyperlink ref="A582" r:id="rId580" display="VN000DAJBIY1"/>
    <hyperlink ref="A583" r:id="rId581" display="VN000E8CGMX1"/>
    <hyperlink ref="A584" r:id="rId582" display="VN000E8CGMX1"/>
    <hyperlink ref="A585" r:id="rId583" display="VN000E9YLBR1"/>
    <hyperlink ref="A586" r:id="rId584" display="VN000EA9BA21"/>
    <hyperlink ref="A587" r:id="rId585" display="VN000XUJB9P1"/>
    <hyperlink ref="A588" r:id="rId586" display="VN000ZUVC4R1"/>
    <hyperlink ref="A589" r:id="rId587" display="VN00066X6PH1"/>
    <hyperlink ref="A590" r:id="rId588" display="VN000JTRBLK1"/>
    <hyperlink ref="A591" r:id="rId589" display="VN000JTRLVB1"/>
    <hyperlink ref="A592" r:id="rId590" display="VN000K9Y7VJ1"/>
    <hyperlink ref="A593" r:id="rId591" display="VN000MPD7WM1"/>
    <hyperlink ref="A594" r:id="rId592" display="VN000QB4FLM1"/>
    <hyperlink ref="A595" r:id="rId593" display="VN000QB4Y7X1"/>
    <hyperlink ref="A596" r:id="rId594" display="VN0A31J6DRB1"/>
    <hyperlink ref="A597" r:id="rId595" display="VN0A7PQZZX11"/>
    <hyperlink ref="A598" r:id="rId596" display="VN000G75BL21"/>
    <hyperlink ref="A599" r:id="rId597" display="VN000HZCBLK1"/>
    <hyperlink ref="A600" r:id="rId598" display="VN000J79BLK1"/>
    <hyperlink ref="A601" r:id="rId599" display="VN000KASFBI1"/>
    <hyperlink ref="A602" r:id="rId600" display="VN000KYXBLK1"/>
    <hyperlink ref="A603" r:id="rId601" display="VN000M47BLK1"/>
    <hyperlink ref="A604" r:id="rId602" display="VN000M9KEB21"/>
    <hyperlink ref="A605" r:id="rId603" display="VN000MEPJDU1"/>
    <hyperlink ref="A606" r:id="rId604" display="VN000MFWUUI1"/>
    <hyperlink ref="A607" r:id="rId605" display="VN000MN07WM1"/>
    <hyperlink ref="A608" r:id="rId606" display="VN000P1PCLH1"/>
    <hyperlink ref="A609" r:id="rId607" display="VN000P8WPWT1"/>
    <hyperlink ref="A610" r:id="rId608" display="VN000P8WPWT1"/>
    <hyperlink ref="A611" r:id="rId609" display="VN000PA6BLK1"/>
    <hyperlink ref="A612" r:id="rId610" display="VN000PK1EMW1"/>
    <hyperlink ref="A613" r:id="rId611" display="VN000PMAEMW1"/>
    <hyperlink ref="A614" r:id="rId612" display="VN000PMDEMW1"/>
    <hyperlink ref="A615" r:id="rId613" display="VN000PXEEMS1"/>
    <hyperlink ref="A616" r:id="rId614" display="VN000PXS6JL1"/>
    <hyperlink ref="A617" r:id="rId615" display="VN000Q0PEMP1"/>
    <hyperlink ref="A618" r:id="rId616" display="VN000R03WHT1"/>
    <hyperlink ref="A619" r:id="rId617" display="VN000R04BLK1"/>
    <hyperlink ref="A620" r:id="rId618" display="VN000R7AYB21"/>
    <hyperlink ref="A621" r:id="rId619" display="VN000RD5EMP1"/>
    <hyperlink ref="A622" r:id="rId620" display="VN000RG4BLK1"/>
    <hyperlink ref="A623" r:id="rId621" display="VN001098NVY1"/>
    <hyperlink ref="A624" r:id="rId622" display="VN0A2ZXXLVB1"/>
    <hyperlink ref="A625" r:id="rId623" display="VN000BCE2N11"/>
    <hyperlink ref="A626" r:id="rId624" display="VN000BCEBA21"/>
    <hyperlink ref="A627" r:id="rId625" display="VN000CQRYLZ1"/>
    <hyperlink ref="A628" r:id="rId626" display="VN000CR5FS81"/>
    <hyperlink ref="A629" r:id="rId627" display="VN000CWDCRM1"/>
    <hyperlink ref="A630" r:id="rId628" display="VN000CWELZZ1"/>
    <hyperlink ref="A631" r:id="rId629" display="VN000D0HBMV1"/>
    <hyperlink ref="A632" r:id="rId630" display="VN000D2VEMY1"/>
    <hyperlink ref="A633" r:id="rId631" display="VN000D2VEMY1"/>
    <hyperlink ref="A634" r:id="rId632" display="VN000D4MYB21"/>
    <hyperlink ref="A635" r:id="rId633" display="VN000D4SCFL1"/>
    <hyperlink ref="A636" r:id="rId634" display="VN000D6WEMG1"/>
    <hyperlink ref="A637" r:id="rId635" display="VN000D7UGWT1"/>
    <hyperlink ref="A638" r:id="rId636" display="VN000DAQ1MG1"/>
    <hyperlink ref="A639" r:id="rId637" display="VN000E86BA21"/>
    <hyperlink ref="A640" r:id="rId638" display="VN000E9YLBR1"/>
    <hyperlink ref="A641" r:id="rId639" display="VN000EC4DJR1"/>
    <hyperlink ref="A642" r:id="rId640" display="VN000EK9BO51"/>
    <hyperlink ref="A643" r:id="rId641" display="VN0A5FCB1N61"/>
    <hyperlink ref="A644" r:id="rId642" display="VN000HSUF0U1"/>
    <hyperlink ref="A645" r:id="rId643" display="VN000JRK97I1"/>
    <hyperlink ref="A646" r:id="rId644" display="VN000KYHBLK1"/>
    <hyperlink ref="A647" r:id="rId645" display="VN000PNVBLK1"/>
    <hyperlink ref="A648" r:id="rId646" display="VN00000D1LE1"/>
    <hyperlink ref="A649" r:id="rId647" display="VN000G75BL21"/>
    <hyperlink ref="A650" r:id="rId648" display="VN000H2AEN61"/>
    <hyperlink ref="A651" r:id="rId649" display="VN000HNAC9J1"/>
    <hyperlink ref="A652" r:id="rId650" display="VN000HZCBLK1"/>
    <hyperlink ref="A653" r:id="rId651" display="VN000J79BLK1"/>
    <hyperlink ref="A654" r:id="rId652" display="VN000KUR7WM1"/>
    <hyperlink ref="A655" r:id="rId653" display="VN000M77Y7U1"/>
    <hyperlink ref="A656" r:id="rId654" display="VN000M8EBL21"/>
    <hyperlink ref="A657" r:id="rId655" display="VN000M8EBL21"/>
    <hyperlink ref="A658" r:id="rId656" display="VN000MC0ZUJ1"/>
    <hyperlink ref="A659" r:id="rId657" display="VN000MJJCDX1"/>
    <hyperlink ref="A660" r:id="rId658" display="VN000MMTBLK1"/>
    <hyperlink ref="A661" r:id="rId659" display="VN000PHHLVB1"/>
    <hyperlink ref="A662" r:id="rId660" display="VN000PK1EMZ1"/>
    <hyperlink ref="A663" r:id="rId661" display="VN000PMHENB1"/>
    <hyperlink ref="A664" r:id="rId662" display="VN000PQHE901"/>
    <hyperlink ref="A665" r:id="rId663" display="VN000PR3EN91"/>
    <hyperlink ref="A666" r:id="rId664" display="VN000PX3BLK1"/>
    <hyperlink ref="A667" r:id="rId665" display="VN000PXG02F1"/>
    <hyperlink ref="A668" r:id="rId666" display="VN000QDEY281"/>
    <hyperlink ref="A669" r:id="rId667" display="VN000R03WHT1"/>
    <hyperlink ref="A670" r:id="rId668" display="VN000RARFS81"/>
    <hyperlink ref="A671" r:id="rId669" display="VN000RCHWHT1"/>
    <hyperlink ref="A672" r:id="rId670" display="VN000RG0EMS1"/>
    <hyperlink ref="A673" r:id="rId671" display="VN000XCUWHT1"/>
    <hyperlink ref="A674" r:id="rId672" display="VN0A5FJJ3N11"/>
    <hyperlink ref="A675" r:id="rId673" display="VN0A7YUTWHT1"/>
    <hyperlink ref="A676" r:id="rId674" display="VN000HRJEMX1"/>
    <hyperlink ref="A677" r:id="rId675" display="VN0007P9CL21"/>
    <hyperlink ref="A678" r:id="rId676" display="VN0007P9EN91"/>
    <hyperlink ref="A679" r:id="rId677" display="VN000CQRYLW1"/>
    <hyperlink ref="A680" r:id="rId678" display="VN000CTNJBW1"/>
    <hyperlink ref="A681" r:id="rId679" display="VN000CVTWHP1"/>
    <hyperlink ref="A682" r:id="rId680" display="VN000CVUOLV1"/>
    <hyperlink ref="A683" r:id="rId681" display="VN000CYUEN61"/>
    <hyperlink ref="A684" r:id="rId682" display="VN000CYVENA1"/>
    <hyperlink ref="A685" r:id="rId683" display="VN000D0HBZW1"/>
    <hyperlink ref="A686" r:id="rId684" display="VN000D0MKCZ1"/>
    <hyperlink ref="A687" r:id="rId685" display="VN000D0MKCZ1"/>
    <hyperlink ref="A688" r:id="rId686" display="VN000D1JBO91"/>
    <hyperlink ref="A689" r:id="rId687" display="VN000D2VEMY1"/>
    <hyperlink ref="A690" r:id="rId688" display="VN000D6W2031"/>
    <hyperlink ref="A691" r:id="rId689" display="VN000D6ZO3N1"/>
    <hyperlink ref="A692" r:id="rId690" display="VN000D7J52K1"/>
    <hyperlink ref="A693" r:id="rId691" display="VN000DA2YY01"/>
    <hyperlink ref="A694" r:id="rId692" display="VN000DAQ1MG1"/>
    <hyperlink ref="A695" r:id="rId693" display="VN000DCJGRN1"/>
    <hyperlink ref="A696" r:id="rId694" display="VN000E8CGMU1"/>
    <hyperlink ref="A697" r:id="rId695" display="VN000E8JQPT1"/>
    <hyperlink ref="A698" r:id="rId696" display="VN000KI51861"/>
    <hyperlink ref="A699" r:id="rId697" display="VN0A2Z4CEL71"/>
    <hyperlink ref="A700" r:id="rId698" display="VN0A54F4BD51"/>
    <hyperlink ref="A701" r:id="rId699" display="VN000KYCBLK1"/>
    <hyperlink ref="A702" r:id="rId700" display="VN000LC0CVQ1"/>
    <hyperlink ref="A703" r:id="rId701" display="VN000QAQEMU1"/>
    <hyperlink ref="A704" r:id="rId702" display="VN000QAWBLK1"/>
    <hyperlink ref="A705" r:id="rId703" display="VN000QBFEN61"/>
    <hyperlink ref="A706" r:id="rId704" display="VN000QCMBLK1"/>
    <hyperlink ref="A707" r:id="rId705" display="VN0A31J6DRB1"/>
    <hyperlink ref="A708" r:id="rId706" display="VN000G75D6Z1"/>
    <hyperlink ref="A709" r:id="rId707" display="VN000GGGYB21"/>
    <hyperlink ref="A710" r:id="rId708" display="VN000HZABLK1"/>
    <hyperlink ref="A711" r:id="rId709" display="VN000HZBBLK1"/>
    <hyperlink ref="A712" r:id="rId710" display="VN000M99CFL1"/>
    <hyperlink ref="A713" r:id="rId711" display="VN000M9SBLK1"/>
    <hyperlink ref="A714" r:id="rId712" display="VN000MB2EB21"/>
    <hyperlink ref="A715" r:id="rId713" display="VN000MC0WHT1"/>
    <hyperlink ref="A716" r:id="rId714" display="VN000MK1WHT1"/>
    <hyperlink ref="A717" r:id="rId715" display="VN000MN07WM1"/>
    <hyperlink ref="A718" r:id="rId716" display="VN000P1PEML1"/>
    <hyperlink ref="A719" r:id="rId717" display="VN000P5WCFL1"/>
    <hyperlink ref="A720" r:id="rId718" display="VN000P8WPWT1"/>
    <hyperlink ref="A721" r:id="rId719" display="VN000PAUBLK1"/>
    <hyperlink ref="A722" r:id="rId720" display="VN000PJU7WM1"/>
    <hyperlink ref="A723" r:id="rId721" display="VN000PK1BLK1"/>
    <hyperlink ref="A724" r:id="rId722" display="VN000PMFEB21"/>
    <hyperlink ref="A725" r:id="rId723" display="VN000PPMBLK1"/>
    <hyperlink ref="A726" r:id="rId724" display="VN000PR3EN91"/>
    <hyperlink ref="A727" r:id="rId725" display="VN000PR3EN91"/>
    <hyperlink ref="A728" r:id="rId726" display="VN000PXSBLK1"/>
    <hyperlink ref="A729" r:id="rId727" display="VN000PXWWHT1"/>
    <hyperlink ref="A730" r:id="rId728" display="VN000PY4WHT1"/>
    <hyperlink ref="A731" r:id="rId729" display="VN000Q0PEMP1"/>
    <hyperlink ref="A732" r:id="rId730" display="VN000Q33EMF1"/>
    <hyperlink ref="A733" r:id="rId731" display="VN000R04EMF1"/>
    <hyperlink ref="A734" r:id="rId732" display="VN000R05WHT1"/>
    <hyperlink ref="A735" r:id="rId733" display="VN000R4Z7D61"/>
    <hyperlink ref="A736" r:id="rId734" display="VN000R4Z7D61"/>
    <hyperlink ref="A737" r:id="rId735" display="VN000R4Z7D61"/>
    <hyperlink ref="A738" r:id="rId736" display="VN000R742N11"/>
    <hyperlink ref="A739" r:id="rId737" display="VN000RBCEML1"/>
    <hyperlink ref="A740" r:id="rId738" display="VN000RDFBLK1"/>
    <hyperlink ref="A741" r:id="rId739" display="VN000REMBLK1"/>
    <hyperlink ref="A742" r:id="rId740" display="VN0A5FNVBLK1"/>
    <hyperlink ref="A743" r:id="rId741" display="VN000MP6EMJ1"/>
    <hyperlink ref="A744" r:id="rId742" display="VN000BVXKAQ1"/>
    <hyperlink ref="A745" r:id="rId743" display="VN000CQRB9M1"/>
    <hyperlink ref="A746" r:id="rId744" display="VN000CQRYLZ1"/>
    <hyperlink ref="A747" r:id="rId745" display="VN000CTG7VF1"/>
    <hyperlink ref="A748" r:id="rId746" display="VN000CTG7VF1"/>
    <hyperlink ref="A749" r:id="rId747" display="VN000CVV1O71"/>
    <hyperlink ref="A750" r:id="rId748" display="VN000CYUEN61"/>
    <hyperlink ref="A751" r:id="rId749" display="VN000D0CY331"/>
    <hyperlink ref="A752" r:id="rId750" display="VN000D0HBMV1"/>
    <hyperlink ref="A753" r:id="rId751" display="VN000D0HEMY1"/>
    <hyperlink ref="A754" r:id="rId752" display="VN000D0M11E1"/>
    <hyperlink ref="A755" r:id="rId753" display="VN000D0MBZW1"/>
    <hyperlink ref="A756" r:id="rId754" display="VN000D0MKCZ1"/>
    <hyperlink ref="A757" r:id="rId755" display="VN000D0SYJ71"/>
    <hyperlink ref="A758" r:id="rId756" display="VN000D11N1Z1"/>
    <hyperlink ref="A759" r:id="rId757" display="VN000D1JO3N1"/>
    <hyperlink ref="A760" r:id="rId758" display="VN000D1PDJR1"/>
    <hyperlink ref="A761" r:id="rId759" display="VN000D2VZ3R1"/>
    <hyperlink ref="A762" r:id="rId760" display="VN000D4SCFL1"/>
    <hyperlink ref="A763" r:id="rId761" display="VN000D7JCKP1"/>
    <hyperlink ref="A764" r:id="rId762" display="VN000D9ACJ71"/>
    <hyperlink ref="A765" r:id="rId763" display="VN000D9ACJ71"/>
    <hyperlink ref="A766" r:id="rId764" display="VN000E7UTC41"/>
    <hyperlink ref="A767" r:id="rId765" display="VN000E9XCJK1"/>
    <hyperlink ref="A768" r:id="rId766" display="VN000E9XCJK1"/>
    <hyperlink ref="A769" r:id="rId767" display="VN000E9YBGP1"/>
    <hyperlink ref="A770" r:id="rId768" display="VN000E9ZYF51"/>
    <hyperlink ref="A771" r:id="rId769" display="VN000EE1I6Y1"/>
    <hyperlink ref="A772" r:id="rId770" display="VN000EF3RAS1"/>
    <hyperlink ref="A773" r:id="rId771" display="VN0A5JLGWHT1"/>
    <hyperlink ref="A774" r:id="rId772" display="VN0008NNLKZ1"/>
    <hyperlink ref="A775" r:id="rId773" display="VN000EZ1BLK1"/>
    <hyperlink ref="A776" r:id="rId774" display="VN000F0U5QJ1"/>
    <hyperlink ref="A777" r:id="rId775" display="VN000HSMVVL1"/>
    <hyperlink ref="A778" r:id="rId776" display="VN000JEPBLK1"/>
    <hyperlink ref="A779" r:id="rId777" display="VN000ND7BLK1"/>
    <hyperlink ref="A780" r:id="rId778" display="VN000QABEMU1"/>
    <hyperlink ref="A781" r:id="rId779" display="VN000QB9LKZ1"/>
    <hyperlink ref="A782" r:id="rId780" display="VN000QBQWHT1"/>
    <hyperlink ref="A783" r:id="rId781" display="VN0A31J6DRB1"/>
    <hyperlink ref="A784" r:id="rId782" display="VN00046QE2W1"/>
    <hyperlink ref="A785" r:id="rId783" display="VN000GFFWHT1"/>
    <hyperlink ref="A786" r:id="rId784" display="VN000GGGY281"/>
    <hyperlink ref="A787" r:id="rId785" display="VN000H2AEN61"/>
    <hyperlink ref="A788" r:id="rId786" display="VN000HZBYEH1"/>
    <hyperlink ref="A789" r:id="rId787" display="VN000JBMENA1"/>
    <hyperlink ref="A790" r:id="rId788" display="VN000KXMY7U1"/>
    <hyperlink ref="A791" r:id="rId789" display="VN000M26CDX1"/>
    <hyperlink ref="A792" r:id="rId790" display="VN000M371O71"/>
    <hyperlink ref="A793" r:id="rId791" display="VN000M9RWHT1"/>
    <hyperlink ref="A794" r:id="rId792" display="VN000MEPJDU1"/>
    <hyperlink ref="A795" r:id="rId793" display="VN000MJJCDX1"/>
    <hyperlink ref="A796" r:id="rId794" display="VN000MK6WHT1"/>
    <hyperlink ref="A797" r:id="rId795" display="VN000MMTBLK1"/>
    <hyperlink ref="A798" r:id="rId796" display="VN000NWQWHT1"/>
    <hyperlink ref="A799" r:id="rId797" display="VN000P1PEML1"/>
    <hyperlink ref="A800" r:id="rId798" display="VN000P59E2Z1"/>
    <hyperlink ref="A801" r:id="rId799" display="VN000P5GBLK1"/>
    <hyperlink ref="A802" r:id="rId800" display="VN000P5QC9L1"/>
    <hyperlink ref="A803" r:id="rId801" display="VN000P5QO3N1"/>
    <hyperlink ref="A804" r:id="rId802" display="VN000P78BLK1"/>
    <hyperlink ref="A805" r:id="rId803" display="VN000PFBEMU1"/>
    <hyperlink ref="A806" r:id="rId804" display="VN000PK1BLK1"/>
    <hyperlink ref="A807" r:id="rId805" display="VN000PK8BLK1"/>
    <hyperlink ref="A808" r:id="rId806" display="VN000PMABLK1"/>
    <hyperlink ref="A809" r:id="rId807" display="VN000PMFENB1"/>
    <hyperlink ref="A810" r:id="rId808" display="VN000PMHENB1"/>
    <hyperlink ref="A811" r:id="rId809" display="VN000PN9ZX71"/>
    <hyperlink ref="A812" r:id="rId810" display="VN000PPJ02F1"/>
    <hyperlink ref="A813" r:id="rId811" display="VN000PR3EN91"/>
    <hyperlink ref="A814" r:id="rId812" display="VN000PXEEMS1"/>
    <hyperlink ref="A815" r:id="rId813" display="VN000Q30BLK1"/>
    <hyperlink ref="A816" r:id="rId814" display="VN000QDEY281"/>
    <hyperlink ref="A817" r:id="rId815" display="VN000QDFBLK1"/>
    <hyperlink ref="A818" r:id="rId816" display="VN000QF32N11"/>
    <hyperlink ref="A819" r:id="rId817" display="VN000R04BLK1"/>
    <hyperlink ref="A820" r:id="rId818" display="VN000R3UU201"/>
    <hyperlink ref="A821" r:id="rId819" display="VN000R8XBLK1"/>
    <hyperlink ref="A822" r:id="rId820" display="VN000R92FBG1"/>
    <hyperlink ref="A823" r:id="rId821" display="VN000RARFS81"/>
    <hyperlink ref="A824" r:id="rId822" display="VN000RCHWHT1"/>
    <hyperlink ref="A825" r:id="rId823" display="VN000RFMEMV1"/>
    <hyperlink ref="A826" r:id="rId824" display="VN000RFUWHT1"/>
    <hyperlink ref="A827" r:id="rId825" display="VN000RFUWHT1"/>
    <hyperlink ref="A828" r:id="rId826" display="VN000RPJ7D61"/>
    <hyperlink ref="A829" r:id="rId827" display="VN000SPARU01"/>
    <hyperlink ref="A830" r:id="rId828" display="VN00104UWHT1"/>
    <hyperlink ref="A831" r:id="rId829" display="VN0010J9WHT1"/>
    <hyperlink ref="A832" r:id="rId830" display="VN000HRFBLK1"/>
    <hyperlink ref="A833" r:id="rId831" display="VN000BCECCZ1"/>
    <hyperlink ref="A834" r:id="rId832" display="VN000CQRBZW1"/>
    <hyperlink ref="A835" r:id="rId833" display="VN000CQRBZW1"/>
    <hyperlink ref="A836" r:id="rId834" display="VN000CTGYJ71"/>
    <hyperlink ref="A837" r:id="rId835" display="VN000CVTWHP1"/>
    <hyperlink ref="A838" r:id="rId836" display="VN000CVV50K1"/>
    <hyperlink ref="A839" r:id="rId837" display="VN000CYAYLZ1"/>
    <hyperlink ref="A840" r:id="rId838" display="VN000CYUEN61"/>
    <hyperlink ref="A841" r:id="rId839" display="VN000CYVEMY1"/>
    <hyperlink ref="A842" r:id="rId840" display="VN000CYVENA1"/>
    <hyperlink ref="A843" r:id="rId841" display="VN000D0HEMY1"/>
    <hyperlink ref="A844" r:id="rId842" display="VN000D10N1Z1"/>
    <hyperlink ref="A845" r:id="rId843" display="VN000D1BEMU1"/>
    <hyperlink ref="A846" r:id="rId844" display="VN000D26EWR1"/>
    <hyperlink ref="A847" r:id="rId845" display="VN000D2VZ3R1"/>
    <hyperlink ref="A848" r:id="rId846" display="VN000D4SCFL1"/>
    <hyperlink ref="A849" r:id="rId847" display="VN000D5PUUI1"/>
    <hyperlink ref="A850" r:id="rId848" display="VN000D61BOC1"/>
    <hyperlink ref="A851" r:id="rId849" display="VN000D6NBR11"/>
    <hyperlink ref="A852" r:id="rId850" display="VN000D6W2031"/>
    <hyperlink ref="A853" r:id="rId851" display="VN000D6WYY61"/>
    <hyperlink ref="A854" r:id="rId852" display="VN000D6YEZI1"/>
    <hyperlink ref="A855" r:id="rId853" display="VN000D7J52K1"/>
    <hyperlink ref="A856" r:id="rId854" display="VN000D83O3N1"/>
    <hyperlink ref="A857" r:id="rId855" display="VN000D9ACJ71"/>
    <hyperlink ref="A858" r:id="rId856" display="VN000D9ACJ71"/>
    <hyperlink ref="A859" r:id="rId857" display="VN000E9YLBR1"/>
    <hyperlink ref="A860" r:id="rId858" display="VN000E9YLBR1"/>
    <hyperlink ref="A861" r:id="rId859" display="VN000E9YLBR1"/>
    <hyperlink ref="A862" r:id="rId860" display="VN000ED891K1"/>
    <hyperlink ref="A863" r:id="rId861" display="VN000EDNAH91"/>
    <hyperlink ref="A864" r:id="rId862" display="VN000KI51861"/>
    <hyperlink ref="A865" r:id="rId863" display="VN000ZUVC4R1"/>
    <hyperlink ref="A866" r:id="rId864" display="VN0A5FCB1N61"/>
    <hyperlink ref="A867" r:id="rId865" display="VN0A5HYWYOH1"/>
    <hyperlink ref="A868" r:id="rId866" display="VN000A96C891"/>
    <hyperlink ref="A869" r:id="rId867" display="VN000R51BLK1"/>
    <hyperlink ref="A870" r:id="rId868" display="VN000R51BLK1"/>
    <hyperlink ref="A871" r:id="rId869" display="VN0A7PR1BLK1"/>
    <hyperlink ref="A872" r:id="rId870" display="VN0008NACDX1"/>
    <hyperlink ref="A873" r:id="rId871" display="VN000FYHBLH1"/>
    <hyperlink ref="A874" r:id="rId872" display="VN000GGGYB21"/>
    <hyperlink ref="A875" r:id="rId873" display="VN000HZBEMP1"/>
    <hyperlink ref="A876" r:id="rId874" display="VN000JBH11E1"/>
    <hyperlink ref="A877" r:id="rId875" display="VN000JUABLK1"/>
    <hyperlink ref="A878" r:id="rId876" display="VN000K420411"/>
    <hyperlink ref="A879" r:id="rId877" display="VN000M60FLB1"/>
    <hyperlink ref="A880" r:id="rId878" display="VN000M98ZBF1"/>
    <hyperlink ref="A881" r:id="rId879" display="VN000M9GJDU1"/>
    <hyperlink ref="A882" r:id="rId880" display="VN000M9KEB21"/>
    <hyperlink ref="A883" r:id="rId881" display="VN000M9SRV21"/>
    <hyperlink ref="A884" r:id="rId882" display="VN000MA2EMF1"/>
    <hyperlink ref="A885" r:id="rId883" display="VN000MB2EB21"/>
    <hyperlink ref="A886" r:id="rId884" display="VN000MB2EB21"/>
    <hyperlink ref="A887" r:id="rId885" display="VN000MBCWHT1"/>
    <hyperlink ref="A888" r:id="rId886" display="VN000P1PEML1"/>
    <hyperlink ref="A889" r:id="rId887" display="VN000P21JDU1"/>
    <hyperlink ref="A890" r:id="rId888" display="VN000P59E2Z1"/>
    <hyperlink ref="A891" r:id="rId889" display="VN000P78BLK1"/>
    <hyperlink ref="A892" r:id="rId890" display="VN000PA7BLK1"/>
    <hyperlink ref="A893" r:id="rId891" display="VN000PB5EMP1"/>
    <hyperlink ref="A894" r:id="rId892" display="VN000PDREN71"/>
    <hyperlink ref="A895" r:id="rId893" display="VN000PDYWHT1"/>
    <hyperlink ref="A896" r:id="rId894" display="VN000PF7YB21"/>
    <hyperlink ref="A897" r:id="rId895" display="VN000PFBEN91"/>
    <hyperlink ref="A898" r:id="rId896" display="VN000PGMEMU1"/>
    <hyperlink ref="A899" r:id="rId897" display="VN000PHDEMF1"/>
    <hyperlink ref="A900" r:id="rId898" display="VN000PHPAFM1"/>
    <hyperlink ref="A901" r:id="rId899" display="VN000PMABLK1"/>
    <hyperlink ref="A902" r:id="rId900" display="VN000PMDEMW1"/>
    <hyperlink ref="A903" r:id="rId901" display="VN000PXEEMS1"/>
    <hyperlink ref="A904" r:id="rId902" display="VN000PXS6JL1"/>
    <hyperlink ref="A905" r:id="rId903" display="VN000Q0VEMS1"/>
    <hyperlink ref="A906" r:id="rId904" display="VN000Q67EMX1"/>
    <hyperlink ref="A907" r:id="rId905" display="VN000QDFBLK1"/>
    <hyperlink ref="A908" r:id="rId906" display="VN000R02WHT1"/>
    <hyperlink ref="A909" r:id="rId907" display="VN000R03EN71"/>
    <hyperlink ref="A910" r:id="rId908" display="VN000R04BLK1"/>
    <hyperlink ref="A911" r:id="rId909" display="VN000R05WHT1"/>
    <hyperlink ref="A912" r:id="rId910" display="VN000R05WHT1"/>
    <hyperlink ref="A913" r:id="rId911" display="VN000R05WHT1"/>
    <hyperlink ref="A914" r:id="rId912" display="VN000R4Z7D61"/>
    <hyperlink ref="A915" r:id="rId913" display="VN000R742N11"/>
    <hyperlink ref="A916" r:id="rId914" display="VN000R92FBG1"/>
    <hyperlink ref="A917" r:id="rId915" display="VN000R92FBG1"/>
    <hyperlink ref="A918" r:id="rId916" display="VN000R94FS81"/>
    <hyperlink ref="A919" r:id="rId917" display="VN000RBCEML1"/>
    <hyperlink ref="A920" r:id="rId918" display="VN000RBCEML1"/>
    <hyperlink ref="A921" r:id="rId919" display="VN000REFWHT1"/>
    <hyperlink ref="A922" r:id="rId920" display="VN000RFUWHT1"/>
    <hyperlink ref="A923" r:id="rId921" display="VN000RG0EML1"/>
    <hyperlink ref="A924" r:id="rId922" display="VN000U2CWHT1"/>
    <hyperlink ref="A925" r:id="rId923" display="VN0A3CZEY281"/>
    <hyperlink ref="A926" r:id="rId924" display="VN0A3W76EMY1"/>
    <hyperlink ref="A927" r:id="rId925" display="VN0A4MQ35TU1"/>
    <hyperlink ref="A928" r:id="rId926" display="VN0A4MQ35TU1"/>
    <hyperlink ref="A929" r:id="rId927" display="VN000H56ENA1"/>
    <hyperlink ref="A930" r:id="rId928" display="VN000M7MBLK1"/>
    <hyperlink ref="A931" r:id="rId929" display="VN000M7MEMJ1"/>
    <hyperlink ref="A932" r:id="rId930" display="VN000CMXN1Z1"/>
    <hyperlink ref="A933" r:id="rId931" display="VN000CQRBO51"/>
    <hyperlink ref="A934" r:id="rId932" display="VN000CRRBJ41"/>
    <hyperlink ref="A935" r:id="rId933" display="VN000CRRCJJ1"/>
    <hyperlink ref="A936" r:id="rId934" display="VN000CS0CX21"/>
    <hyperlink ref="A937" r:id="rId935" display="VN000CTG4481"/>
    <hyperlink ref="A938" r:id="rId936" display="VN000CVVYZO1"/>
    <hyperlink ref="A939" r:id="rId937" display="VN000CWECRM1"/>
    <hyperlink ref="A940" r:id="rId938" display="VN000CYA7VF1"/>
    <hyperlink ref="A941" r:id="rId939" display="VN000CZ7RV21"/>
    <hyperlink ref="A942" r:id="rId940" display="VN000CZHPRM1"/>
    <hyperlink ref="A943" r:id="rId941" display="VN000D0HBZW1"/>
    <hyperlink ref="A944" r:id="rId942" display="VN000D0HKCZ1"/>
    <hyperlink ref="A945" r:id="rId943" display="VN000D0MBZW1"/>
    <hyperlink ref="A946" r:id="rId944" display="VN000D0MKCZ1"/>
    <hyperlink ref="A947" r:id="rId945" display="VN000D0MKCZ1"/>
    <hyperlink ref="A948" r:id="rId946" display="VN000D0MKCZ1"/>
    <hyperlink ref="A949" r:id="rId947" display="VN000D0SYLZ1"/>
    <hyperlink ref="A950" r:id="rId948" display="VN000D111KP1"/>
    <hyperlink ref="A951" r:id="rId949" display="VN000D11N1Z1"/>
    <hyperlink ref="A952" r:id="rId950" display="VN000D1HWWW1"/>
    <hyperlink ref="A953" r:id="rId951" display="VN000D1JBO91"/>
    <hyperlink ref="A954" r:id="rId952" display="VN000D26Y611"/>
    <hyperlink ref="A955" r:id="rId953" display="VN000D2VEMY1"/>
    <hyperlink ref="A956" r:id="rId954" display="VN000D4NKCZ1"/>
    <hyperlink ref="A957" r:id="rId955" display="VN000D4SCFL1"/>
    <hyperlink ref="A958" r:id="rId956" display="VN000D5VBYS1"/>
    <hyperlink ref="A959" r:id="rId957" display="VN000D6W2031"/>
    <hyperlink ref="A960" r:id="rId958" display="VN000D6WCJK1"/>
    <hyperlink ref="A961" r:id="rId959" display="VN000D6WYY61"/>
    <hyperlink ref="A962" r:id="rId960" display="VN000D6YEZI1"/>
    <hyperlink ref="A963" r:id="rId961" display="VN000D6ZPNK1"/>
    <hyperlink ref="A964" r:id="rId962" display="VN000D70CHG1"/>
    <hyperlink ref="A965" r:id="rId963" display="VN000D9ACJ71"/>
    <hyperlink ref="A966" r:id="rId964" display="VN000D9ACJ71"/>
    <hyperlink ref="A967" r:id="rId965" display="VN000D9ACJ71"/>
    <hyperlink ref="A968" r:id="rId966" display="VN000DAZF881"/>
    <hyperlink ref="A969" r:id="rId967" display="VN000E89OXS1"/>
    <hyperlink ref="A970" r:id="rId968" display="VN000E8CGMX1"/>
    <hyperlink ref="A971" r:id="rId969" display="VN000E8WG581"/>
    <hyperlink ref="A972" r:id="rId970" display="VN000EA9BA21"/>
    <hyperlink ref="A973" r:id="rId971" display="VN000EC4B5T1"/>
    <hyperlink ref="A974" r:id="rId972" display="VN000EC4DJR1"/>
    <hyperlink ref="A975" r:id="rId973" display="VN000EC4RV21"/>
    <hyperlink ref="A976" r:id="rId974" display="VN000S65ZS61"/>
    <hyperlink ref="A977" r:id="rId975" display="VN0A5FCB1N61"/>
    <hyperlink ref="A978" r:id="rId976" display="VN0A5KR5YJ71"/>
    <hyperlink ref="A979" r:id="rId977" display="VN000EZ1CG41"/>
    <hyperlink ref="A980" r:id="rId978" display="VN000F9HBSM1"/>
    <hyperlink ref="A981" r:id="rId979" display="VN000GMZ1RE1"/>
    <hyperlink ref="A982" r:id="rId980" display="VN000HSXEMX1"/>
    <hyperlink ref="A983" r:id="rId981" display="VN000JQ7WHT1"/>
    <hyperlink ref="A984" r:id="rId982" display="VN000ND7SLV1"/>
    <hyperlink ref="A985" r:id="rId983" display="VN000PKHBLK1"/>
    <hyperlink ref="A986" r:id="rId984" display="VN000Q1GEN71"/>
    <hyperlink ref="A987" r:id="rId985" display="VN000QBQWHT1"/>
    <hyperlink ref="A988" r:id="rId986" display="VN000R50BLK1"/>
    <hyperlink ref="A989" r:id="rId987" display="VN000Y5XBA51"/>
    <hyperlink ref="A990" r:id="rId988" display="VN0A31J6DRB1"/>
    <hyperlink ref="A991" r:id="rId989" display="VN0008KUBML1"/>
    <hyperlink ref="A992" r:id="rId990" display="VN0008NACDX1"/>
    <hyperlink ref="A993" r:id="rId991" display="VN000HHEC9J1"/>
    <hyperlink ref="A994" r:id="rId992" display="VN000HJQBLK1"/>
    <hyperlink ref="A995" r:id="rId993" display="VN000HPFFS81"/>
    <hyperlink ref="A996" r:id="rId994" display="VN000HU0BLK1"/>
    <hyperlink ref="A997" r:id="rId995" display="VN000IVEBLK1"/>
    <hyperlink ref="A998" r:id="rId996" display="VN000M12IYR1"/>
    <hyperlink ref="A999" r:id="rId997" display="VN000M1KBLK1"/>
    <hyperlink ref="A1000" r:id="rId998" display="VN000M27CFL1"/>
    <hyperlink ref="A1001" r:id="rId999" display="VN000M2P1O71"/>
    <hyperlink ref="A1002" r:id="rId1000" display="VN000M6XC9F1"/>
    <hyperlink ref="A1003" r:id="rId1001" display="VN000M6XEMW1"/>
    <hyperlink ref="A1004" r:id="rId1002" display="VN000M6ZZBF1"/>
    <hyperlink ref="A1005" r:id="rId1003" display="VN000M77Y7U1"/>
    <hyperlink ref="A1006" r:id="rId1004" display="VN000M9KEB21"/>
    <hyperlink ref="A1007" r:id="rId1005" display="VN000M9KEB21"/>
    <hyperlink ref="A1008" r:id="rId1006" display="VN000MAND4C1"/>
    <hyperlink ref="A1009" r:id="rId1007" display="VN000MB5Y7J1"/>
    <hyperlink ref="A1010" r:id="rId1008" display="VN000MBX1O71"/>
    <hyperlink ref="A1011" r:id="rId1009" display="VN000MN2BR11"/>
    <hyperlink ref="A1012" r:id="rId1010" display="VN000NUYO3N1"/>
    <hyperlink ref="A1013" r:id="rId1011" display="VN000P1P6JL1"/>
    <hyperlink ref="A1014" r:id="rId1012" display="VN000P20EMU1"/>
    <hyperlink ref="A1015" r:id="rId1013" display="VN000P78EMP1"/>
    <hyperlink ref="A1016" r:id="rId1014" display="VN000P88BLK1"/>
    <hyperlink ref="A1017" r:id="rId1015" display="VN000P8MEMW1"/>
    <hyperlink ref="A1018" r:id="rId1016" display="VN000PBXWHT1"/>
    <hyperlink ref="A1019" r:id="rId1017" display="VN000PFBBRR1"/>
    <hyperlink ref="A1020" r:id="rId1018" display="VN000PGJEMF1"/>
    <hyperlink ref="A1021" r:id="rId1019" display="VN000PGJEMF1"/>
    <hyperlink ref="A1022" r:id="rId1020" display="VN000PHDEMF1"/>
    <hyperlink ref="A1023" r:id="rId1021" display="VN000PM3BLK1"/>
    <hyperlink ref="A1024" r:id="rId1022" display="VN000PMDBLK1"/>
    <hyperlink ref="A1025" r:id="rId1023" display="VN000PMFENB1"/>
    <hyperlink ref="A1026" r:id="rId1024" display="VN000PMHENB1"/>
    <hyperlink ref="A1027" r:id="rId1025" display="VN000PNKEMJ1"/>
    <hyperlink ref="A1028" r:id="rId1026" display="VN000PTBF0W1"/>
    <hyperlink ref="A1029" r:id="rId1027" display="VN000PXSWHT1"/>
    <hyperlink ref="A1030" r:id="rId1028" display="VN000PY4WHT1"/>
    <hyperlink ref="A1031" r:id="rId1029" display="VN000Q09GC61"/>
    <hyperlink ref="A1032" r:id="rId1030" display="VN000Q35EMP1"/>
    <hyperlink ref="A1033" r:id="rId1031" display="VN000Q35EMP1"/>
    <hyperlink ref="A1034" r:id="rId1032" display="VN000Q35RV21"/>
    <hyperlink ref="A1035" r:id="rId1033" display="VN000Q67EMX1"/>
    <hyperlink ref="A1036" r:id="rId1034" display="VN000QDFWHT1"/>
    <hyperlink ref="A1037" r:id="rId1035" display="VN000R38EN61"/>
    <hyperlink ref="A1038" r:id="rId1036" display="VN000R742N11"/>
    <hyperlink ref="A1039" r:id="rId1037" display="VN000R74EMS1"/>
    <hyperlink ref="A1040" r:id="rId1038" display="VN000R7AYB21"/>
    <hyperlink ref="A1041" r:id="rId1039" display="VN000RD1EMW1"/>
    <hyperlink ref="A1042" r:id="rId1040" display="VN000RD27D61"/>
    <hyperlink ref="A1043" r:id="rId1041" display="VN000RD6ZRY1"/>
    <hyperlink ref="A1044" r:id="rId1042" display="VN000RD71O71"/>
    <hyperlink ref="A1045" r:id="rId1043" display="VN000RDFBLK1"/>
    <hyperlink ref="A1046" r:id="rId1044" display="VN000RG0EML1"/>
    <hyperlink ref="A1047" r:id="rId1045" display="VN000RG0EMS1"/>
    <hyperlink ref="A1048" r:id="rId1046" display="VN000RG41QI1"/>
    <hyperlink ref="A1049" r:id="rId1047" display="VN000U2CWHT1"/>
    <hyperlink ref="A1050" r:id="rId1048" display="VN000XBZIZQ1"/>
    <hyperlink ref="A1051" r:id="rId1049" display="VN00104UWHT1"/>
    <hyperlink ref="A1052" r:id="rId1050" display="VN0A4CZ1BLK1"/>
    <hyperlink ref="A1053" r:id="rId1051" display="VN0A5JHIBLK1"/>
    <hyperlink ref="A1054" r:id="rId1052" display="VN0A7Y3X6OG1"/>
    <hyperlink ref="A1055" r:id="rId1053" display="VN000H4WZRY1"/>
    <hyperlink ref="A1056" r:id="rId1054" display="VN000HRGBLK1"/>
    <hyperlink ref="A1057" r:id="rId1055" display="VN0007P9CL21"/>
    <hyperlink ref="A1058" r:id="rId1056" display="VN0007P9CL21"/>
    <hyperlink ref="A1059" r:id="rId1057" display="VN000CMXN1Z1"/>
    <hyperlink ref="A1060" r:id="rId1058" display="VN000CQRBO51"/>
    <hyperlink ref="A1061" r:id="rId1059" display="VN000CQRYLZ1"/>
    <hyperlink ref="A1062" r:id="rId1060" display="VN000CTG4481"/>
    <hyperlink ref="A1063" r:id="rId1061" display="VN000CTNJBW1"/>
    <hyperlink ref="A1064" r:id="rId1062" display="VN000CVVBA21"/>
    <hyperlink ref="A1065" r:id="rId1063" display="VN000CVVYZO1"/>
    <hyperlink ref="A1066" r:id="rId1064" display="VN000CWDCRM1"/>
    <hyperlink ref="A1067" r:id="rId1065" display="VN000CWEEEI1"/>
    <hyperlink ref="A1068" r:id="rId1066" display="VN000CYAYJ71"/>
    <hyperlink ref="A1069" r:id="rId1067" display="VN000CZHCFB1"/>
    <hyperlink ref="A1070" r:id="rId1068" display="VN000D0HBMV1"/>
    <hyperlink ref="A1071" r:id="rId1069" display="VN000D26GWT1"/>
    <hyperlink ref="A1072" r:id="rId1070" display="VN000D2T0V71"/>
    <hyperlink ref="A1073" r:id="rId1071" display="VN000D2T0V71"/>
    <hyperlink ref="A1074" r:id="rId1072" display="VN000D2VZ3R1"/>
    <hyperlink ref="A1075" r:id="rId1073" display="VN000D4N2B61"/>
    <hyperlink ref="A1076" r:id="rId1074" display="VN000D5D17P1"/>
    <hyperlink ref="A1077" r:id="rId1075" display="VN000D61BKA1"/>
    <hyperlink ref="A1078" r:id="rId1076" display="VN000D61EMP1"/>
    <hyperlink ref="A1079" r:id="rId1077" display="VN000D6ZEMW1"/>
    <hyperlink ref="A1080" r:id="rId1078" display="VN000D75O3N1"/>
    <hyperlink ref="A1081" r:id="rId1079" display="VN000D7ZY7U1"/>
    <hyperlink ref="A1082" r:id="rId1080" display="VN000DA2YY01"/>
    <hyperlink ref="A1083" r:id="rId1081" display="VN000DAQTWH1"/>
    <hyperlink ref="A1084" r:id="rId1082" display="VN000DARC9F1"/>
    <hyperlink ref="A1085" r:id="rId1083" display="VN000E9RG581"/>
    <hyperlink ref="A1086" r:id="rId1084" display="VN000E9RG581"/>
    <hyperlink ref="A1087" r:id="rId1085" display="VN000E9ZYF51"/>
    <hyperlink ref="A1088" r:id="rId1086" display="VN000EDNAH91"/>
    <hyperlink ref="A1089" r:id="rId1087" display="VN000EE1I6Y1"/>
    <hyperlink ref="A1090" r:id="rId1088" display="VN000EFBYY61"/>
    <hyperlink ref="A1091" r:id="rId1089" display="VN000EG59X11"/>
    <hyperlink ref="A1092" r:id="rId1090" display="VN000EG59X11"/>
    <hyperlink ref="A1093" r:id="rId1091" display="VN000ZUVFM51"/>
    <hyperlink ref="A1094" r:id="rId1092" display="VN0A4BTTPWT1"/>
    <hyperlink ref="A1095" r:id="rId1093" display="VN0A4BVSBKA1"/>
    <hyperlink ref="A1096" r:id="rId1094" display="VN0A4U1KWHT1"/>
    <hyperlink ref="A1097" r:id="rId1095" display="VN0A5KR52391"/>
    <hyperlink ref="A1098" r:id="rId1096" display="VN0A5KS5BMV1"/>
    <hyperlink ref="A1099" r:id="rId1097" display="VN0007A8BLK1"/>
    <hyperlink ref="A1100" r:id="rId1098" display="VN000GNKWHT1"/>
    <hyperlink ref="A1101" r:id="rId1099" display="VN000HSQKOU1"/>
    <hyperlink ref="A1102" r:id="rId1100" display="VN000HSUY7X1"/>
    <hyperlink ref="A1103" r:id="rId1101" display="VN000HSXHTG1"/>
    <hyperlink ref="A1104" r:id="rId1102" display="VN000HT39JC1"/>
    <hyperlink ref="A1105" r:id="rId1103" display="VN000PNTEMP1"/>
    <hyperlink ref="A1106" r:id="rId1104" display="VN000Q1UWHT1"/>
    <hyperlink ref="A1107" r:id="rId1105" display="VN000QAGBLK1"/>
    <hyperlink ref="A1108" r:id="rId1106" display="VN000QAXEN71"/>
    <hyperlink ref="A1109" r:id="rId1107" display="VN000QB6EN71"/>
    <hyperlink ref="A1110" r:id="rId1108" display="VN000QBQEN71"/>
    <hyperlink ref="A1111" r:id="rId1109" display="VN000QCMY281"/>
    <hyperlink ref="A1112" r:id="rId1110" display="VN0A31J6BLK1"/>
    <hyperlink ref="A1113" r:id="rId1111" display="VN0A48HDD451"/>
    <hyperlink ref="A1114" r:id="rId1112" display="VN00046QE2W1"/>
    <hyperlink ref="A1115" r:id="rId1113" display="VN0008N6BLK1"/>
    <hyperlink ref="A1116" r:id="rId1114" display="VN0008NACDX1"/>
    <hyperlink ref="A1117" r:id="rId1115" display="VN000G75D6Z1"/>
    <hyperlink ref="A1118" r:id="rId1116" display="VN000G75D6Z1"/>
    <hyperlink ref="A1119" r:id="rId1117" display="VN000GGGY281"/>
    <hyperlink ref="A1120" r:id="rId1118" display="VN000HGJFS81"/>
    <hyperlink ref="A1121" r:id="rId1119" display="VN000HHAM8I1"/>
    <hyperlink ref="A1122" r:id="rId1120" display="VN000HHEC9J1"/>
    <hyperlink ref="A1123" r:id="rId1121" display="VN000HZABLK1"/>
    <hyperlink ref="A1124" r:id="rId1122" display="VN000HZBYEH1"/>
    <hyperlink ref="A1125" r:id="rId1123" display="VN000IVF7WM1"/>
    <hyperlink ref="A1126" r:id="rId1124" display="VN000JBRZBF1"/>
    <hyperlink ref="A1127" r:id="rId1125" display="VN000JF5BLK1"/>
    <hyperlink ref="A1128" r:id="rId1126" display="VN000JUABLK1"/>
    <hyperlink ref="A1129" r:id="rId1127" display="VN000KTBCI21"/>
    <hyperlink ref="A1130" r:id="rId1128" display="VN000KTBCI21"/>
    <hyperlink ref="A1131" r:id="rId1129" display="VN000KUEJDU1"/>
    <hyperlink ref="A1132" r:id="rId1130" display="VN000M0XKCZ1"/>
    <hyperlink ref="A1133" r:id="rId1131" display="VN000M330E01"/>
    <hyperlink ref="A1134" r:id="rId1132" display="VN000M6XC9F1"/>
    <hyperlink ref="A1135" r:id="rId1133" display="VN000M77Y7U1"/>
    <hyperlink ref="A1136" r:id="rId1134" display="VN000M84FS81"/>
    <hyperlink ref="A1137" r:id="rId1135" display="VN000M8JY281"/>
    <hyperlink ref="A1138" r:id="rId1136" display="VN000M97WHT1"/>
    <hyperlink ref="A1139" r:id="rId1137" display="VN000M9SEMJ1"/>
    <hyperlink ref="A1140" r:id="rId1138" display="VN000MA9ZBF1"/>
    <hyperlink ref="A1141" r:id="rId1139" display="VN000MBAE301"/>
    <hyperlink ref="A1142" r:id="rId1140" display="VN000MBCWHT1"/>
    <hyperlink ref="A1143" r:id="rId1141" display="VN000MBCWHT1"/>
    <hyperlink ref="A1144" r:id="rId1142" display="VN000MBEE301"/>
    <hyperlink ref="A1145" r:id="rId1143" display="VN000MBEFS81"/>
    <hyperlink ref="A1146" r:id="rId1144" display="VN000MC0WHT1"/>
    <hyperlink ref="A1147" r:id="rId1145" display="VN000MCMBLK1"/>
    <hyperlink ref="A1148" r:id="rId1146" display="VN000MGTBL21"/>
    <hyperlink ref="A1149" r:id="rId1147" display="VN000MK9WHT1"/>
    <hyperlink ref="A1150" r:id="rId1148" display="VN000MMTBLK1"/>
    <hyperlink ref="A1151" r:id="rId1149" display="VN000MN2BR11"/>
    <hyperlink ref="A1152" r:id="rId1150" display="VN000NY1C9L1"/>
    <hyperlink ref="A1153" r:id="rId1151" display="VN000P1PRNE1"/>
    <hyperlink ref="A1154" r:id="rId1152" display="VN000P21EMU1"/>
    <hyperlink ref="A1155" r:id="rId1153" display="VN000P50EMW1"/>
    <hyperlink ref="A1156" r:id="rId1154" display="VN000P58CHG1"/>
    <hyperlink ref="A1157" r:id="rId1155" display="VN000P73Y281"/>
    <hyperlink ref="A1158" r:id="rId1156" display="VN000P73Y281"/>
    <hyperlink ref="A1159" r:id="rId1157" display="VN000P78BLK1"/>
    <hyperlink ref="A1160" r:id="rId1158" display="VN000P7AEN61"/>
    <hyperlink ref="A1161" r:id="rId1159" display="VN000PAUBLK1"/>
    <hyperlink ref="A1162" r:id="rId1160" display="VN000PBRWHT1"/>
    <hyperlink ref="A1163" r:id="rId1161" display="VN000PDR6JL1"/>
    <hyperlink ref="A1164" r:id="rId1162" display="VN000PDREMS1"/>
    <hyperlink ref="A1165" r:id="rId1163" display="VN000PDYWHT1"/>
    <hyperlink ref="A1166" r:id="rId1164" display="VN000PFBBRR1"/>
    <hyperlink ref="A1167" r:id="rId1165" display="VN000PFF2B61"/>
    <hyperlink ref="A1168" r:id="rId1166" display="VN000PFF2B61"/>
    <hyperlink ref="A1169" r:id="rId1167" display="VN000PGJEMF1"/>
    <hyperlink ref="A1170" r:id="rId1168" display="VN000PH6IYR1"/>
    <hyperlink ref="A1171" r:id="rId1169" display="VN000PH6IYR1"/>
    <hyperlink ref="A1172" r:id="rId1170" display="VN000PJSD3Z1"/>
    <hyperlink ref="A1173" r:id="rId1171" display="VN000PK1BLK1"/>
    <hyperlink ref="A1174" r:id="rId1172" display="VN000PK1BLK1"/>
    <hyperlink ref="A1175" r:id="rId1173" display="VN000PK1EMZ1"/>
    <hyperlink ref="A1176" r:id="rId1174" display="VN000PK2EN91"/>
    <hyperlink ref="A1177" r:id="rId1175" display="VN000PK5BLK1"/>
    <hyperlink ref="A1178" r:id="rId1176" display="VN000PM3BLK1"/>
    <hyperlink ref="A1179" r:id="rId1177" display="VN000PM3BLK1"/>
    <hyperlink ref="A1180" r:id="rId1178" display="VN000PMA9JC1"/>
    <hyperlink ref="A1181" r:id="rId1179" display="VN000PMDEMW1"/>
    <hyperlink ref="A1182" r:id="rId1180" display="VN000PMNEMP1"/>
    <hyperlink ref="A1183" r:id="rId1181" display="VN000PMNEMP1"/>
    <hyperlink ref="A1184" r:id="rId1182" display="VN000PN9ZX71"/>
    <hyperlink ref="A1185" r:id="rId1183" display="VN000PNKEMJ1"/>
    <hyperlink ref="A1186" r:id="rId1184" display="VN000PQWBLK1"/>
    <hyperlink ref="A1187" r:id="rId1185" display="VN000PR3BLK1"/>
    <hyperlink ref="A1188" r:id="rId1186" display="VN000PR485T1"/>
    <hyperlink ref="A1189" r:id="rId1187" display="VN000PXSBLK1"/>
    <hyperlink ref="A1190" r:id="rId1188" display="VN000PXXWHT1"/>
    <hyperlink ref="A1191" r:id="rId1189" display="VN000Q7712Q1"/>
    <hyperlink ref="A1192" r:id="rId1190" display="VN000QDFWHT1"/>
    <hyperlink ref="A1193" r:id="rId1191" display="VN000QXUEN71"/>
    <hyperlink ref="A1194" r:id="rId1192" display="VN000R03WHT1"/>
    <hyperlink ref="A1195" r:id="rId1193" display="VN000R04BLK1"/>
    <hyperlink ref="A1196" r:id="rId1194" display="VN000R04EMF1"/>
    <hyperlink ref="A1197" r:id="rId1195" display="VN000R742N11"/>
    <hyperlink ref="A1198" r:id="rId1196" display="VN000RAPE2Z1"/>
    <hyperlink ref="A1199" r:id="rId1197" display="VN000RC1O8W1"/>
    <hyperlink ref="A1200" r:id="rId1198" display="VN000RD1O321"/>
    <hyperlink ref="A1201" r:id="rId1199" display="VN000RDFBLK1"/>
    <hyperlink ref="A1202" r:id="rId1200" display="VN000REMBLK1"/>
    <hyperlink ref="A1203" r:id="rId1201" display="VN000RFR1QI1"/>
    <hyperlink ref="A1204" r:id="rId1202" display="VN000RK6EMW1"/>
    <hyperlink ref="A1205" r:id="rId1203" display="VN000U2CWHT1"/>
    <hyperlink ref="A1206" r:id="rId1204" display="VN000W4GCI21"/>
    <hyperlink ref="A1207" r:id="rId1205" display="VN0A5JPN7051"/>
    <hyperlink ref="A1208" r:id="rId1206" display="VN0A7YUTBLK1"/>
    <hyperlink ref="A1209" r:id="rId1207" display="VN0007Q3BGK1"/>
    <hyperlink ref="A1210" r:id="rId1208" display="VN0007Q3EMY1"/>
    <hyperlink ref="A1211" r:id="rId1209" display="VN000BCEBA21"/>
    <hyperlink ref="A1212" r:id="rId1210" display="VN000BCEBKA1"/>
    <hyperlink ref="A1213" r:id="rId1211" display="VN000BCELLC1"/>
    <hyperlink ref="A1214" r:id="rId1212" display="VN000CQR6PH1"/>
    <hyperlink ref="A1215" r:id="rId1213" display="VN000CQRYLZ1"/>
    <hyperlink ref="A1216" r:id="rId1214" display="VN000CR5FS81"/>
    <hyperlink ref="A1217" r:id="rId1215" display="VN000CR5FS81"/>
    <hyperlink ref="A1218" r:id="rId1216" display="VN000CRRCJJ1"/>
    <hyperlink ref="A1219" r:id="rId1217" display="VN000CRRD3X1"/>
    <hyperlink ref="A1220" r:id="rId1218" display="VN000CT8HCZ1"/>
    <hyperlink ref="A1221" r:id="rId1219" display="VN000CTG4481"/>
    <hyperlink ref="A1222" r:id="rId1220" display="VN000CTGREB1"/>
    <hyperlink ref="A1223" r:id="rId1221" display="VN000CTGYLZ1"/>
    <hyperlink ref="A1224" r:id="rId1222" display="VN000CVTBGF1"/>
    <hyperlink ref="A1225" r:id="rId1223" display="VN000CVUPRP1"/>
    <hyperlink ref="A1226" r:id="rId1224" display="VN000CWC4481"/>
    <hyperlink ref="A1227" r:id="rId1225" display="VN000CWEBLU1"/>
    <hyperlink ref="A1228" r:id="rId1226" display="VN000CYABMC1"/>
    <hyperlink ref="A1229" r:id="rId1227" display="VN000CYAEMY1"/>
    <hyperlink ref="A1230" r:id="rId1228" display="VN000CYAEMY1"/>
    <hyperlink ref="A1231" r:id="rId1229" display="VN000CYU4Y41"/>
    <hyperlink ref="A1232" r:id="rId1230" display="VN000CYU4Y41"/>
    <hyperlink ref="A1233" r:id="rId1231" display="VN000CYU4Y41"/>
    <hyperlink ref="A1234" r:id="rId1232" display="VN000CYU4Y41"/>
    <hyperlink ref="A1235" r:id="rId1233" display="VN000CYU4Y41"/>
    <hyperlink ref="A1236" r:id="rId1234" display="VN000CYU4Y41"/>
    <hyperlink ref="A1237" r:id="rId1235" display="VN000CYUEN61"/>
    <hyperlink ref="A1238" r:id="rId1236" display="VN000CZ7BLA1"/>
    <hyperlink ref="A1239" r:id="rId1237" display="VN000CZ7RV21"/>
    <hyperlink ref="A1240" r:id="rId1238" display="VN000CZHCFB1"/>
    <hyperlink ref="A1241" r:id="rId1239" display="VN000D0HBZW1"/>
    <hyperlink ref="A1242" r:id="rId1240" display="VN000D0S1NU1"/>
    <hyperlink ref="A1243" r:id="rId1241" display="VN000D0SYJ71"/>
    <hyperlink ref="A1244" r:id="rId1242" display="VN000D111KP1"/>
    <hyperlink ref="A1245" r:id="rId1243" display="VN000D11N1Z1"/>
    <hyperlink ref="A1246" r:id="rId1244" display="VN000D1J4C61"/>
    <hyperlink ref="A1247" r:id="rId1245" display="VN000D1JBYS1"/>
    <hyperlink ref="A1248" r:id="rId1246" display="VN000D1JCFL1"/>
    <hyperlink ref="A1249" r:id="rId1247" display="VN000D1JOVM1"/>
    <hyperlink ref="A1250" r:id="rId1248" display="VN000D1JY231"/>
    <hyperlink ref="A1251" r:id="rId1249" display="VN000D26GWT1"/>
    <hyperlink ref="A1252" r:id="rId1250" display="VN000D26PWT1"/>
    <hyperlink ref="A1253" r:id="rId1251" display="VN000D4N2081"/>
    <hyperlink ref="A1254" r:id="rId1252" display="VN000D4NBZW1"/>
    <hyperlink ref="A1255" r:id="rId1253" display="VN000D4SCFL1"/>
    <hyperlink ref="A1256" r:id="rId1254" display="VN000D4SCFL1"/>
    <hyperlink ref="A1257" r:id="rId1255" display="VN000D5PZCF1"/>
    <hyperlink ref="A1258" r:id="rId1256" display="VN000D5VN431"/>
    <hyperlink ref="A1259" r:id="rId1257" display="VN000D610VW1"/>
    <hyperlink ref="A1260" r:id="rId1258" display="VN000D6CCI21"/>
    <hyperlink ref="A1261" r:id="rId1259" display="VN000D6W7WM1"/>
    <hyperlink ref="A1262" r:id="rId1260" display="VN000D6WEMW1"/>
    <hyperlink ref="A1263" r:id="rId1261" display="VN000D6WY281"/>
    <hyperlink ref="A1264" r:id="rId1262" display="VN000D6YEZI1"/>
    <hyperlink ref="A1265" r:id="rId1263" display="VN000D6ZEMY1"/>
    <hyperlink ref="A1266" r:id="rId1264" display="VN000D70E2Y1"/>
    <hyperlink ref="A1267" r:id="rId1265" display="VN000D75O3N1"/>
    <hyperlink ref="A1268" r:id="rId1266" display="VN000D75Y281"/>
    <hyperlink ref="A1269" r:id="rId1267" display="VN000D7Z0BP1"/>
    <hyperlink ref="A1270" r:id="rId1268" display="VN000D81O3N1"/>
    <hyperlink ref="A1271" r:id="rId1269" display="VN000D9Y0CS1"/>
    <hyperlink ref="A1272" r:id="rId1270" display="VN000D9YTUP1"/>
    <hyperlink ref="A1273" r:id="rId1271" display="VN000D9YTUP1"/>
    <hyperlink ref="A1274" r:id="rId1272" display="VN000DA2YY01"/>
    <hyperlink ref="A1275" r:id="rId1273" display="VN000DAJKL41"/>
    <hyperlink ref="A1276" r:id="rId1274" display="VN000DCFEMF1"/>
    <hyperlink ref="A1277" r:id="rId1275" display="VN000E9RG581"/>
    <hyperlink ref="A1278" r:id="rId1276" display="VN000E9YBGP1"/>
    <hyperlink ref="A1279" r:id="rId1277" display="VN000EA7HFV1"/>
    <hyperlink ref="A1280" r:id="rId1278" display="VN000EDN7D61"/>
    <hyperlink ref="A1281" r:id="rId1279" display="VN000EDNAH91"/>
    <hyperlink ref="A1282" r:id="rId1280" display="VN000EE1I6Y1"/>
    <hyperlink ref="A1283" r:id="rId1281" display="VN000SF4JDU1"/>
    <hyperlink ref="A1284" r:id="rId1282" display="VN000VOB4K11"/>
    <hyperlink ref="A1285" r:id="rId1283" display="VN0A4U16ASX1"/>
    <hyperlink ref="A1286" r:id="rId1284" display="VN0A5FCB1N61"/>
    <hyperlink ref="A1287" r:id="rId1285" display="VN0008NMJDU1"/>
    <hyperlink ref="A1288" r:id="rId1286" display="VN000A9HBLK1"/>
    <hyperlink ref="A1289" r:id="rId1287" display="VN000EZBBLK1"/>
    <hyperlink ref="A1290" r:id="rId1288" display="VN000F10BLK1"/>
    <hyperlink ref="A1291" r:id="rId1289" display="VN000GMNFS81"/>
    <hyperlink ref="A1292" r:id="rId1290" display="VN000HSMVVL1"/>
    <hyperlink ref="A1293" r:id="rId1291" display="VN000HSQ1RE1"/>
    <hyperlink ref="A1294" r:id="rId1292" display="VN000JEQBLK1"/>
    <hyperlink ref="A1295" r:id="rId1293" display="VN000Q18JDU1"/>
    <hyperlink ref="A1296" r:id="rId1294" display="VN000QB3EMT1"/>
    <hyperlink ref="A1297" r:id="rId1295" display="VN000QB8EMU1"/>
    <hyperlink ref="A1298" r:id="rId1296" display="VN000QBPWHT1"/>
    <hyperlink ref="A1299" r:id="rId1297" display="VN000R10EN61"/>
    <hyperlink ref="A1300" r:id="rId1298" display="VN000R51WHT1"/>
    <hyperlink ref="A1301" r:id="rId1299" display="VN0A31J6BLK1"/>
    <hyperlink ref="A1302" r:id="rId1300" display="VN0A34GRC8B1"/>
    <hyperlink ref="A1303" r:id="rId1301" display="VN0A36IU1M71"/>
    <hyperlink ref="A1304" r:id="rId1302" display="VN0A36S8HNB1"/>
    <hyperlink ref="A1305" r:id="rId1303" display="VN0A3HZJBLK1"/>
    <hyperlink ref="A1306" r:id="rId1304" display="VN00000D1LE1"/>
    <hyperlink ref="A1307" r:id="rId1305" display="VN000462CHJ1"/>
    <hyperlink ref="A1308" r:id="rId1306" display="VN00077VM8I1"/>
    <hyperlink ref="A1309" r:id="rId1307" display="VN0008KUJDU1"/>
    <hyperlink ref="A1310" r:id="rId1308" display="VN000C9VFS81"/>
    <hyperlink ref="A1311" r:id="rId1309" display="VN000G75D6Z1"/>
    <hyperlink ref="A1312" r:id="rId1310" display="VN000GGGEAY1"/>
    <hyperlink ref="A1313" r:id="rId1311" display="VN000GGGY281"/>
    <hyperlink ref="A1314" r:id="rId1312" display="VN000GGGYB21"/>
    <hyperlink ref="A1315" r:id="rId1313" display="VN000HNTDAD1"/>
    <hyperlink ref="A1316" r:id="rId1314" display="VN000HZADZ91"/>
    <hyperlink ref="A1317" r:id="rId1315" display="VN000IVEBLK1"/>
    <hyperlink ref="A1318" r:id="rId1316" display="VN000J9JZR61"/>
    <hyperlink ref="A1319" r:id="rId1317" display="VN000JF5BLK1"/>
    <hyperlink ref="A1320" r:id="rId1318" display="VN000JUABLK1"/>
    <hyperlink ref="A1321" r:id="rId1319" display="VN000K0ULVB1"/>
    <hyperlink ref="A1322" r:id="rId1320" display="VN000K3NCFL1"/>
    <hyperlink ref="A1323" r:id="rId1321" display="VN000K420411"/>
    <hyperlink ref="A1324" r:id="rId1322" display="VN000K4XCDX1"/>
    <hyperlink ref="A1325" r:id="rId1323" display="VN000KASFS81"/>
    <hyperlink ref="A1326" r:id="rId1324" display="VN000KURBLK1"/>
    <hyperlink ref="A1327" r:id="rId1325" display="VN000KURBLK1"/>
    <hyperlink ref="A1328" r:id="rId1326" display="VN000M1KBLK1"/>
    <hyperlink ref="A1329" r:id="rId1327" display="VN000M2ABLK1"/>
    <hyperlink ref="A1330" r:id="rId1328" display="VN000M39DZ91"/>
    <hyperlink ref="A1331" r:id="rId1329" display="VN000M5FCLH1"/>
    <hyperlink ref="A1332" r:id="rId1330" display="VN000M5G6PH1"/>
    <hyperlink ref="A1333" r:id="rId1331" display="VN000M6DBLK1"/>
    <hyperlink ref="A1334" r:id="rId1332" display="VN000M6XEMW1"/>
    <hyperlink ref="A1335" r:id="rId1333" display="VN000M71HCZ1"/>
    <hyperlink ref="A1336" r:id="rId1334" display="VN000M77Y7U1"/>
    <hyperlink ref="A1337" r:id="rId1335" display="VN000M77Y7U1"/>
    <hyperlink ref="A1338" r:id="rId1336" display="VN000M8G1O71"/>
    <hyperlink ref="A1339" r:id="rId1337" display="VN000M8JY281"/>
    <hyperlink ref="A1340" r:id="rId1338" display="VN000M8UBLK1"/>
    <hyperlink ref="A1341" r:id="rId1339" display="VN000M9DBLK1"/>
    <hyperlink ref="A1342" r:id="rId1340" display="VN000M9MZUJ1"/>
    <hyperlink ref="A1343" r:id="rId1341" display="VN000M9MZUJ1"/>
    <hyperlink ref="A1344" r:id="rId1342" display="VN000M9SBLK1"/>
    <hyperlink ref="A1345" r:id="rId1343" display="VN000M9SEMJ1"/>
    <hyperlink ref="A1346" r:id="rId1344" display="VN000MAB1O71"/>
    <hyperlink ref="A1347" r:id="rId1345" display="VN000MB2EB21"/>
    <hyperlink ref="A1348" r:id="rId1346" display="VN000MC0ZUJ1"/>
    <hyperlink ref="A1349" r:id="rId1347" display="VN000MK6C9L1"/>
    <hyperlink ref="A1350" r:id="rId1348" display="VN000NTSD6Z1"/>
    <hyperlink ref="A1351" r:id="rId1349" display="VN000NWQWHT1"/>
    <hyperlink ref="A1352" r:id="rId1350" display="VN000P1PEML1"/>
    <hyperlink ref="A1353" r:id="rId1351" display="VN000P51EMS1"/>
    <hyperlink ref="A1354" r:id="rId1352" display="VN000P51EMS1"/>
    <hyperlink ref="A1355" r:id="rId1353" display="VN000P51EMS1"/>
    <hyperlink ref="A1356" r:id="rId1354" display="VN000P58EMW1"/>
    <hyperlink ref="A1357" r:id="rId1355" display="VN000P59E2Z1"/>
    <hyperlink ref="A1358" r:id="rId1356" display="VN000P59E2Z1"/>
    <hyperlink ref="A1359" r:id="rId1357" display="VN000P5GBLK1"/>
    <hyperlink ref="A1360" r:id="rId1358" display="VN000P5S14A1"/>
    <hyperlink ref="A1361" r:id="rId1359" display="VN000P5SEMW1"/>
    <hyperlink ref="A1362" r:id="rId1360" display="VN000P5T5TU1"/>
    <hyperlink ref="A1363" r:id="rId1361" display="VN000P5WCFL1"/>
    <hyperlink ref="A1364" r:id="rId1362" display="VN000P5WCFL1"/>
    <hyperlink ref="A1365" r:id="rId1363" display="VN000P77AFM1"/>
    <hyperlink ref="A1366" r:id="rId1364" display="VN000P7AEN61"/>
    <hyperlink ref="A1367" r:id="rId1365" display="VN000P7DCDX1"/>
    <hyperlink ref="A1368" r:id="rId1366" display="VN000P7ECDX1"/>
    <hyperlink ref="A1369" r:id="rId1367" display="VN000P8GBLK1"/>
    <hyperlink ref="A1370" r:id="rId1368" display="VN000PE7WHT1"/>
    <hyperlink ref="A1371" r:id="rId1369" display="VN000PFBEMU1"/>
    <hyperlink ref="A1372" r:id="rId1370" display="VN000PFBEN91"/>
    <hyperlink ref="A1373" r:id="rId1371" display="VN000PFF2B61"/>
    <hyperlink ref="A1374" r:id="rId1372" display="VN000PGKFS81"/>
    <hyperlink ref="A1375" r:id="rId1373" display="VN000PH6IYR1"/>
    <hyperlink ref="A1376" r:id="rId1374" display="VN000PJMBLK1"/>
    <hyperlink ref="A1377" r:id="rId1375" display="VN000PJMBLK1"/>
    <hyperlink ref="A1378" r:id="rId1376" display="VN000PJMZBF1"/>
    <hyperlink ref="A1379" r:id="rId1377" display="VN000PJSD3Z1"/>
    <hyperlink ref="A1380" r:id="rId1378" display="VN000PJSD3Z1"/>
    <hyperlink ref="A1381" r:id="rId1379" display="VN000PJSD3Z1"/>
    <hyperlink ref="A1382" r:id="rId1380" display="VN000PK3BLK1"/>
    <hyperlink ref="A1383" r:id="rId1381" display="VN000PM39JC1"/>
    <hyperlink ref="A1384" r:id="rId1382" display="VN000PMABLK1"/>
    <hyperlink ref="A1385" r:id="rId1383" display="VN000PMDBLK1"/>
    <hyperlink ref="A1386" r:id="rId1384" display="VN000PMFEB21"/>
    <hyperlink ref="A1387" r:id="rId1385" display="VN000PMFENB1"/>
    <hyperlink ref="A1388" r:id="rId1386" display="VN000PMNEMP1"/>
    <hyperlink ref="A1389" r:id="rId1387" display="VN000PMXEMU1"/>
    <hyperlink ref="A1390" r:id="rId1388" display="VN000PN9ZX71"/>
    <hyperlink ref="A1391" r:id="rId1389" display="VN000PQWBLK1"/>
    <hyperlink ref="A1392" r:id="rId1390" display="VN000PREEMW1"/>
    <hyperlink ref="A1393" r:id="rId1391" display="VN000PTGEN71"/>
    <hyperlink ref="A1394" r:id="rId1392" display="VN000PUEFS81"/>
    <hyperlink ref="A1395" r:id="rId1393" display="VN000PXSWHT1"/>
    <hyperlink ref="A1396" r:id="rId1394" display="VN000PXSWHT1"/>
    <hyperlink ref="A1397" r:id="rId1395" display="VN000PXWWHT1"/>
    <hyperlink ref="A1398" r:id="rId1396" display="VN000PY4BLK1"/>
    <hyperlink ref="A1399" r:id="rId1397" display="VN000PY8EMF1"/>
    <hyperlink ref="A1400" r:id="rId1398" display="VN000Q08BLK1"/>
    <hyperlink ref="A1401" r:id="rId1399" display="VN000Q0PEMP1"/>
    <hyperlink ref="A1402" r:id="rId1400" display="VN000Q30BLK1"/>
    <hyperlink ref="A1403" r:id="rId1401" display="VN000Q35EMP1"/>
    <hyperlink ref="A1404" r:id="rId1402" display="VN000Q35EMP1"/>
    <hyperlink ref="A1405" r:id="rId1403" display="VN000Q39EN91"/>
    <hyperlink ref="A1406" r:id="rId1404" display="VN000Q39EN91"/>
    <hyperlink ref="A1407" r:id="rId1405" display="VN000Q53EMS1"/>
    <hyperlink ref="A1408" r:id="rId1406" display="VN000Q67EMX1"/>
    <hyperlink ref="A1409" r:id="rId1407" display="VN000Q67EMX1"/>
    <hyperlink ref="A1410" r:id="rId1408" display="VN000Q74EN61"/>
    <hyperlink ref="A1411" r:id="rId1409" display="VN000Q77BLK1"/>
    <hyperlink ref="A1412" r:id="rId1410" display="VN000R02WHT1"/>
    <hyperlink ref="A1413" r:id="rId1411" display="VN000R38EN61"/>
    <hyperlink ref="A1414" r:id="rId1412" display="VN000R4Z7D61"/>
    <hyperlink ref="A1415" r:id="rId1413" display="VN000R8XBLK1"/>
    <hyperlink ref="A1416" r:id="rId1414" display="VN000RAPFS81"/>
    <hyperlink ref="A1417" r:id="rId1415" display="VN000RBYY7U1"/>
    <hyperlink ref="A1418" r:id="rId1416" display="VN000RC1O8W1"/>
    <hyperlink ref="A1419" r:id="rId1417" display="VN000RCHWHT1"/>
    <hyperlink ref="A1420" r:id="rId1418" display="VN000RD71O71"/>
    <hyperlink ref="A1421" r:id="rId1419" display="VN000REFWHT1"/>
    <hyperlink ref="A1422" r:id="rId1420" display="VN000RFMEMV1"/>
    <hyperlink ref="A1423" r:id="rId1421" display="VN000RG0EML1"/>
    <hyperlink ref="A1424" r:id="rId1422" display="VN000RG0EMS1"/>
    <hyperlink ref="A1425" r:id="rId1423" display="VN000RG4WHT1"/>
    <hyperlink ref="A1426" r:id="rId1424" display="VN000RG4WHT1"/>
    <hyperlink ref="A1427" r:id="rId1425" display="VN000SN1BLK1"/>
    <hyperlink ref="A1428" r:id="rId1426" display="VN000XBZIZQ1"/>
    <hyperlink ref="A1429" r:id="rId1427" display="VN0A3CZEC9L1"/>
    <hyperlink ref="A1430" r:id="rId1428" display="VN0A3CZEY281"/>
    <hyperlink ref="A1431" r:id="rId1429" display="VN0A5FJJ1RE1"/>
    <hyperlink ref="A1432" r:id="rId1430" display="VN0A5FLPD4C1"/>
    <hyperlink ref="A1433" r:id="rId1431" display="VN0A5JHIBLK1"/>
    <hyperlink ref="A1434" r:id="rId1432" display="VN0A7S4SE901"/>
    <hyperlink ref="A1435" r:id="rId1433" display="VN0A7YUTBLK1"/>
    <hyperlink ref="A1436" r:id="rId1434" display="VN0A7YUTBLK1"/>
    <hyperlink ref="A1437" r:id="rId1435" display="VN0A7YUTBLK1"/>
    <hyperlink ref="A1438" r:id="rId1436" display="VN000H4YD3Z1"/>
    <hyperlink ref="A1439" r:id="rId1437" display="VN000Q9829B1"/>
    <hyperlink ref="A1440" r:id="rId1438" display="VN000BCE2N11"/>
    <hyperlink ref="A1441" r:id="rId1439" display="VN000BCEBA21"/>
    <hyperlink ref="A1442" r:id="rId1440" display="VN000BCEBA21"/>
    <hyperlink ref="A1443" r:id="rId1441" display="VN000BVXKAQ1"/>
    <hyperlink ref="A1444" r:id="rId1442" display="VN000BVZ2391"/>
    <hyperlink ref="A1445" r:id="rId1443" display="VN000CQ04C31"/>
    <hyperlink ref="A1446" r:id="rId1444" display="VN000CQ04C31"/>
    <hyperlink ref="A1447" r:id="rId1445" display="VN000CQR52K1"/>
    <hyperlink ref="A1448" r:id="rId1446" display="VN000CQR6PH1"/>
    <hyperlink ref="A1449" r:id="rId1447" display="VN000CQRBO51"/>
    <hyperlink ref="A1450" r:id="rId1448" display="VN000CQRBO51"/>
    <hyperlink ref="A1451" r:id="rId1449" display="VN000CQRO3N1"/>
    <hyperlink ref="A1452" r:id="rId1450" display="VN000CQRYLW1"/>
    <hyperlink ref="A1453" r:id="rId1451" display="VN000CRRBJ41"/>
    <hyperlink ref="A1454" r:id="rId1452" display="VN000CRRBJ41"/>
    <hyperlink ref="A1455" r:id="rId1453" display="VN000CRRBJ41"/>
    <hyperlink ref="A1456" r:id="rId1454" display="VN000CRRBJ41"/>
    <hyperlink ref="A1457" r:id="rId1455" display="VN000CRRCCZ1"/>
    <hyperlink ref="A1458" r:id="rId1456" display="VN000CRRD3X1"/>
    <hyperlink ref="A1459" r:id="rId1457" display="VN000CS0D4C1"/>
    <hyperlink ref="A1460" r:id="rId1458" display="VN000CTG4481"/>
    <hyperlink ref="A1461" r:id="rId1459" display="VN000CTG4481"/>
    <hyperlink ref="A1462" r:id="rId1460" display="VN000CTG7VF1"/>
    <hyperlink ref="A1463" r:id="rId1461" display="VN000CTG7VF1"/>
    <hyperlink ref="A1464" r:id="rId1462" display="VN000CTGYJ71"/>
    <hyperlink ref="A1465" r:id="rId1463" display="VN000CTGYJ71"/>
    <hyperlink ref="A1466" r:id="rId1464" display="VN000CTGYJ71"/>
    <hyperlink ref="A1467" r:id="rId1465" display="VN000CV4EMR1"/>
    <hyperlink ref="A1468" r:id="rId1466" display="VN000CV4WWW1"/>
    <hyperlink ref="A1469" r:id="rId1467" display="VN000CVM7YO1"/>
    <hyperlink ref="A1470" r:id="rId1468" display="VN000CVTGRN1"/>
    <hyperlink ref="A1471" r:id="rId1469" display="VN000CVUBLK1"/>
    <hyperlink ref="A1472" r:id="rId1470" display="VN000CWCY491"/>
    <hyperlink ref="A1473" r:id="rId1471" display="VN000CWDCRM1"/>
    <hyperlink ref="A1474" r:id="rId1472" display="VN000CWE9JC1"/>
    <hyperlink ref="A1475" r:id="rId1473" display="VN000CWEBLU1"/>
    <hyperlink ref="A1476" r:id="rId1474" display="VN000CYABMC1"/>
    <hyperlink ref="A1477" r:id="rId1475" display="VN000CYARV21"/>
    <hyperlink ref="A1478" r:id="rId1476" display="VN000CYAYJ71"/>
    <hyperlink ref="A1479" r:id="rId1477" display="VN000CYVENA1"/>
    <hyperlink ref="A1480" r:id="rId1478" display="VN000CZ7BLA1"/>
    <hyperlink ref="A1481" r:id="rId1479" display="VN000D0H11E1"/>
    <hyperlink ref="A1482" r:id="rId1480" display="VN000D0HBMV1"/>
    <hyperlink ref="A1483" r:id="rId1481" display="VN000D0HBZW1"/>
    <hyperlink ref="A1484" r:id="rId1482" display="VN000D0HEMY1"/>
    <hyperlink ref="A1485" r:id="rId1483" display="VN000D0KEN61"/>
    <hyperlink ref="A1486" r:id="rId1484" display="VN000D0MKCZ1"/>
    <hyperlink ref="A1487" r:id="rId1485" display="VN000D0MKCZ1"/>
    <hyperlink ref="A1488" r:id="rId1486" display="VN000D0MKCZ1"/>
    <hyperlink ref="A1489" r:id="rId1487" display="VN000D0SYJ71"/>
    <hyperlink ref="A1490" r:id="rId1488" display="VN000D0SYLZ1"/>
    <hyperlink ref="A1491" r:id="rId1489" display="VN000D11N1Z1"/>
    <hyperlink ref="A1492" r:id="rId1490" display="VN000D11N1Z1"/>
    <hyperlink ref="A1493" r:id="rId1491" display="VN000D11N1Z1"/>
    <hyperlink ref="A1494" r:id="rId1492" display="VN000D1HWWW1"/>
    <hyperlink ref="A1495" r:id="rId1493" display="VN000D1J4VT1"/>
    <hyperlink ref="A1496" r:id="rId1494" display="VN000D1JBO91"/>
    <hyperlink ref="A1497" r:id="rId1495" display="VN000D1JOVM1"/>
    <hyperlink ref="A1498" r:id="rId1496" display="VN000D1JOVM1"/>
    <hyperlink ref="A1499" r:id="rId1497" display="VN000D1PDJR1"/>
    <hyperlink ref="A1500" r:id="rId1498" display="VN000D26DFN1"/>
    <hyperlink ref="A1501" r:id="rId1499" display="VN000D26EWR1"/>
    <hyperlink ref="A1502" r:id="rId1500" display="VN000D26GWT1"/>
    <hyperlink ref="A1503" r:id="rId1501" display="VN000D2YBKA1"/>
    <hyperlink ref="A1504" r:id="rId1502" display="VN000D3212S1"/>
    <hyperlink ref="A1505" r:id="rId1503" display="VN000D4MKCZ1"/>
    <hyperlink ref="A1506" r:id="rId1504" display="VN000D4MKCZ1"/>
    <hyperlink ref="A1507" r:id="rId1505" display="VN000D4NDJR1"/>
    <hyperlink ref="A1508" r:id="rId1506" display="VN000D4NDJR1"/>
    <hyperlink ref="A1509" r:id="rId1507" display="VN000D4NDJR1"/>
    <hyperlink ref="A1510" r:id="rId1508" display="VN000D4SCFL1"/>
    <hyperlink ref="A1511" r:id="rId1509" display="VN000D4SCFL1"/>
    <hyperlink ref="A1512" r:id="rId1510" display="VN000D5NWHT1"/>
    <hyperlink ref="A1513" r:id="rId1511" display="VN000D5RBRG1"/>
    <hyperlink ref="A1514" r:id="rId1512" display="VN000D60O3N1"/>
    <hyperlink ref="A1515" r:id="rId1513" display="VN000D6WEMG1"/>
    <hyperlink ref="A1516" r:id="rId1514" display="VN000D6WRPK1"/>
    <hyperlink ref="A1517" r:id="rId1515" display="VN000D6YEMH1"/>
    <hyperlink ref="A1518" r:id="rId1516" display="VN000D6YEMY1"/>
    <hyperlink ref="A1519" r:id="rId1517" display="VN000D6YEMY1"/>
    <hyperlink ref="A1520" r:id="rId1518" display="VN000D6ZE2S1"/>
    <hyperlink ref="A1521" r:id="rId1519" display="VN000D6ZO3N1"/>
    <hyperlink ref="A1522" r:id="rId1520" display="VN000D6ZORA1"/>
    <hyperlink ref="A1523" r:id="rId1521" display="VN000D75Y281"/>
    <hyperlink ref="A1524" r:id="rId1522" display="VN000D80BF01"/>
    <hyperlink ref="A1525" r:id="rId1523" display="VN000D80BF01"/>
    <hyperlink ref="A1526" r:id="rId1524" display="VN000D83SQ71"/>
    <hyperlink ref="A1527" r:id="rId1525" display="VN000D85EME1"/>
    <hyperlink ref="A1528" r:id="rId1526" display="VN000D85EME1"/>
    <hyperlink ref="A1529" r:id="rId1527" display="VN000D9ACJ71"/>
    <hyperlink ref="A1530" r:id="rId1528" display="VN000D9ACJ71"/>
    <hyperlink ref="A1531" r:id="rId1529" display="VN000D9ACJ71"/>
    <hyperlink ref="A1532" r:id="rId1530" display="VN000D9YRWZ1"/>
    <hyperlink ref="A1533" r:id="rId1531" display="VN000D9YTUP1"/>
    <hyperlink ref="A1534" r:id="rId1532" display="VN000D9YTUP1"/>
    <hyperlink ref="A1535" r:id="rId1533" display="VN000DA1Z341"/>
    <hyperlink ref="A1536" r:id="rId1534" display="VN000DA2B9M1"/>
    <hyperlink ref="A1537" r:id="rId1535" display="VN000DAHY401"/>
    <hyperlink ref="A1538" r:id="rId1536" display="VN000DAMLM31"/>
    <hyperlink ref="A1539" r:id="rId1537" display="VN000DAQRPK1"/>
    <hyperlink ref="A1540" r:id="rId1538" display="VN000DARBKL1"/>
    <hyperlink ref="A1541" r:id="rId1539" display="VN000DARC9F1"/>
    <hyperlink ref="A1542" r:id="rId1540" display="VN000DAZSTN1"/>
    <hyperlink ref="A1543" r:id="rId1541" display="VN000DAZSTN1"/>
    <hyperlink ref="A1544" r:id="rId1542" display="VN000DB3Y231"/>
    <hyperlink ref="A1545" r:id="rId1543" display="VN000DCBYJ71"/>
    <hyperlink ref="A1546" r:id="rId1544" display="VN000DCE2VZ1"/>
    <hyperlink ref="A1547" r:id="rId1545" display="VN000DCEBRD1"/>
    <hyperlink ref="A1548" r:id="rId1546" display="VN000DCEBRD1"/>
    <hyperlink ref="A1549" r:id="rId1547" display="VN000DCJGRN1"/>
    <hyperlink ref="A1550" r:id="rId1548" display="VN000E89YG41"/>
    <hyperlink ref="A1551" r:id="rId1549" display="VN000E9RG581"/>
    <hyperlink ref="A1552" r:id="rId1550" display="VN000EB4BRO1"/>
    <hyperlink ref="A1553" r:id="rId1551" display="VN000EB4KAQ1"/>
    <hyperlink ref="A1554" r:id="rId1552" display="VN000EFBCJK1"/>
    <hyperlink ref="A1555" r:id="rId1553" display="VN000EG8B5T1"/>
    <hyperlink ref="A1556" r:id="rId1554" display="VN000KI51861"/>
    <hyperlink ref="A1557" r:id="rId1555" display="VN000SF4N3U1"/>
    <hyperlink ref="A1558" r:id="rId1556" display="VN000VO44K11"/>
    <hyperlink ref="A1559" r:id="rId1557" display="VN000VOB4K11"/>
    <hyperlink ref="A1560" r:id="rId1558" display="VN000Y12YS51"/>
    <hyperlink ref="A1561" r:id="rId1559" display="VN0A347ZDDU1"/>
    <hyperlink ref="A1562" r:id="rId1560" display="VN0A4UWM2QL1"/>
    <hyperlink ref="A1563" r:id="rId1561" display="VN0A5FCAPIB1"/>
    <hyperlink ref="A1564" r:id="rId1562" display="VN0A5FCAPIB1"/>
    <hyperlink ref="A1565" r:id="rId1563" display="VN0A5FCB1N61"/>
    <hyperlink ref="A1566" r:id="rId1564" display="VN0A5HZY6J61"/>
    <hyperlink ref="A1567" r:id="rId1565" display="VN0A5JICNUT1"/>
    <hyperlink ref="A1568" r:id="rId1566" display="VN0A5JLTJBW1"/>
    <hyperlink ref="A1569" r:id="rId1567" display="VN0A5JLTJBW1"/>
    <hyperlink ref="A1570" r:id="rId1568" display="VN0A5KY9BRO1"/>
    <hyperlink ref="A1571" r:id="rId1569" display="VN000EZ1BZ01"/>
    <hyperlink ref="A1572" r:id="rId1570" display="VN000EZ1OC21"/>
    <hyperlink ref="A1573" r:id="rId1571" display="VN000EZ4YB21"/>
    <hyperlink ref="A1574" r:id="rId1572" display="VN000F0GZCF1"/>
    <hyperlink ref="A1575" r:id="rId1573" display="VN000FTEBLK1"/>
    <hyperlink ref="A1576" r:id="rId1574" display="VN000GM0BLK1"/>
    <hyperlink ref="A1577" r:id="rId1575" display="VN000GMTCHN1"/>
    <hyperlink ref="A1578" r:id="rId1576" display="VN000GMZWHT1"/>
    <hyperlink ref="A1579" r:id="rId1577" display="VN000GNDBLK1"/>
    <hyperlink ref="A1580" r:id="rId1578" display="VN000HEARNE1"/>
    <hyperlink ref="A1581" r:id="rId1579" display="VN000HMSE8A1"/>
    <hyperlink ref="A1582" r:id="rId1580" display="VN000J4VRV21"/>
    <hyperlink ref="A1583" r:id="rId1581" display="VN000J4ZDAB1"/>
    <hyperlink ref="A1584" r:id="rId1582" display="VN000K61BLK1"/>
    <hyperlink ref="A1585" r:id="rId1583" display="VN000KYE1NU1"/>
    <hyperlink ref="A1586" r:id="rId1584" display="VN000LC0C9L1"/>
    <hyperlink ref="A1587" r:id="rId1585" display="VN000MNFO3N1"/>
    <hyperlink ref="A1588" r:id="rId1586" display="VN000Q1F7WM1"/>
    <hyperlink ref="A1589" r:id="rId1587" display="VN000QBEF0E1"/>
    <hyperlink ref="A1590" r:id="rId1588" display="VN000QBKYLZ1"/>
    <hyperlink ref="A1591" r:id="rId1589" display="VN000QBM7UG1"/>
    <hyperlink ref="A1592" r:id="rId1590" display="VN000QBWEN71"/>
    <hyperlink ref="A1593" r:id="rId1591" display="VN000UOUYEH1"/>
    <hyperlink ref="A1594" r:id="rId1592" display="VN000V3HCRO1"/>
    <hyperlink ref="A1595" r:id="rId1593" display="VN000XZY4QU1"/>
    <hyperlink ref="A1596" r:id="rId1594" display="VN000XZYKCZ1"/>
    <hyperlink ref="A1597" r:id="rId1595" display="VN000YBSWHT1"/>
    <hyperlink ref="A1598" r:id="rId1596" display="VN0A3I5L2N11"/>
    <hyperlink ref="A1599" r:id="rId1597" display="VN0A48HI4481"/>
    <hyperlink ref="A1600" r:id="rId1598" display="VN0A7PTC85W1"/>
    <hyperlink ref="A1601" r:id="rId1599" display="VN0A7S96D6Z1"/>
    <hyperlink ref="A1602" r:id="rId1600" display="VN0A7SCBOC21"/>
    <hyperlink ref="A1603" r:id="rId1601" display="VN00000D1LE1"/>
    <hyperlink ref="A1604" r:id="rId1602" display="VN0007VBG5O1"/>
    <hyperlink ref="A1605" r:id="rId1603" display="VN0008N5CR61"/>
    <hyperlink ref="A1606" r:id="rId1604" display="VN0008N6BLK1"/>
    <hyperlink ref="A1607" r:id="rId1605" display="VN0008TKD021"/>
    <hyperlink ref="A1608" r:id="rId1606" display="VN000A7DCDC1"/>
    <hyperlink ref="A1609" r:id="rId1607" display="VN000EUMDSB1"/>
    <hyperlink ref="A1610" r:id="rId1608" display="VN000G8MEHC1"/>
    <hyperlink ref="A1611" r:id="rId1609" display="VN000GA0DJR1"/>
    <hyperlink ref="A1612" r:id="rId1610" display="VN000GBECJL1"/>
    <hyperlink ref="A1613" r:id="rId1611" display="VN000GDCBLK1"/>
    <hyperlink ref="A1614" r:id="rId1612" display="VN000GDFBLK1"/>
    <hyperlink ref="A1615" r:id="rId1613" display="VN000GDGWHT1"/>
    <hyperlink ref="A1616" r:id="rId1614" display="VN000GGC15P1"/>
    <hyperlink ref="A1617" r:id="rId1615" display="VN000GGGEAY1"/>
    <hyperlink ref="A1618" r:id="rId1616" display="VN000GGGYB21"/>
    <hyperlink ref="A1619" r:id="rId1617" display="VN000GWNBLK1"/>
    <hyperlink ref="A1620" r:id="rId1618" display="VN000H5EFS81"/>
    <hyperlink ref="A1621" r:id="rId1619" display="VN000HAWBLK1"/>
    <hyperlink ref="A1622" r:id="rId1620" display="VN000HGJFS81"/>
    <hyperlink ref="A1623" r:id="rId1621" display="VN000HHEC9J1"/>
    <hyperlink ref="A1624" r:id="rId1622" display="VN000HMQ1CI1"/>
    <hyperlink ref="A1625" r:id="rId1623" display="VN000HNE2LN1"/>
    <hyperlink ref="A1626" r:id="rId1624" display="VN000HQ3M8I1"/>
    <hyperlink ref="A1627" r:id="rId1625" display="VN000HZABLK1"/>
    <hyperlink ref="A1628" r:id="rId1626" display="VN000HZBBLK1"/>
    <hyperlink ref="A1629" r:id="rId1627" display="VN000HZBEMP1"/>
    <hyperlink ref="A1630" r:id="rId1628" display="VN000HZBYEH1"/>
    <hyperlink ref="A1631" r:id="rId1629" display="VN000HZCBLK1"/>
    <hyperlink ref="A1632" r:id="rId1630" display="VN000IVEBLK1"/>
    <hyperlink ref="A1633" r:id="rId1631" display="VN000IVEWHT1"/>
    <hyperlink ref="A1634" r:id="rId1632" display="VN000J9JZR61"/>
    <hyperlink ref="A1635" r:id="rId1633" display="VN000JB5JDU1"/>
    <hyperlink ref="A1636" r:id="rId1634" display="VN000JBEBLK1"/>
    <hyperlink ref="A1637" r:id="rId1635" display="VN000JBK02F1"/>
    <hyperlink ref="A1638" r:id="rId1636" display="VN000JBRBR11"/>
    <hyperlink ref="A1639" r:id="rId1637" display="VN000JC5LKZ1"/>
    <hyperlink ref="A1640" r:id="rId1638" display="VN000JGPBLK1"/>
    <hyperlink ref="A1641" r:id="rId1639" display="VN000JGPBLK1"/>
    <hyperlink ref="A1642" r:id="rId1640" display="VN000K0DDBC1"/>
    <hyperlink ref="A1643" r:id="rId1641" display="VN000K420411"/>
    <hyperlink ref="A1644" r:id="rId1642" display="VN000K9ABLK1"/>
    <hyperlink ref="A1645" r:id="rId1643" display="VN000KASFS81"/>
    <hyperlink ref="A1646" r:id="rId1644" display="VN000KTBCI21"/>
    <hyperlink ref="A1647" r:id="rId1645" display="VN000KTBEMF1"/>
    <hyperlink ref="A1648" r:id="rId1646" display="VN000KV1EMW1"/>
    <hyperlink ref="A1649" r:id="rId1647" display="VN000KVEBLK1"/>
    <hyperlink ref="A1650" r:id="rId1648" display="VN000M07BLK1"/>
    <hyperlink ref="A1651" r:id="rId1649" display="VN000M1ABML1"/>
    <hyperlink ref="A1652" r:id="rId1650" display="VN000M37ZBF1"/>
    <hyperlink ref="A1653" r:id="rId1651" display="VN000M4W4SS1"/>
    <hyperlink ref="A1654" r:id="rId1652" display="VN000M5G6PH1"/>
    <hyperlink ref="A1655" r:id="rId1653" display="VN000M60EMU1"/>
    <hyperlink ref="A1656" r:id="rId1654" display="VN000M6XEMW1"/>
    <hyperlink ref="A1657" r:id="rId1655" display="VN000M8EKCZ1"/>
    <hyperlink ref="A1658" r:id="rId1656" display="VN000M8G1O71"/>
    <hyperlink ref="A1659" r:id="rId1657" display="VN000M8JY281"/>
    <hyperlink ref="A1660" r:id="rId1658" display="VN000M8NUUI1"/>
    <hyperlink ref="A1661" r:id="rId1659" display="VN000M9DZBF1"/>
    <hyperlink ref="A1662" r:id="rId1660" display="VN000M9MZUJ1"/>
    <hyperlink ref="A1663" r:id="rId1661" display="VN000MA2CLH1"/>
    <hyperlink ref="A1664" r:id="rId1662" display="VN000MA2EMF1"/>
    <hyperlink ref="A1665" r:id="rId1663" display="VN000MAT7WM1"/>
    <hyperlink ref="A1666" r:id="rId1664" display="VN000MBEFS81"/>
    <hyperlink ref="A1667" r:id="rId1665" display="VN000MBHC9L1"/>
    <hyperlink ref="A1668" r:id="rId1666" display="VN000MBX1O71"/>
    <hyperlink ref="A1669" r:id="rId1667" display="VN000MC06PH1"/>
    <hyperlink ref="A1670" r:id="rId1668" display="VN000MC0WHT1"/>
    <hyperlink ref="A1671" r:id="rId1669" display="VN000MCRBLK1"/>
    <hyperlink ref="A1672" r:id="rId1670" display="VN000MDSYB21"/>
    <hyperlink ref="A1673" r:id="rId1671" display="VN000ME602F1"/>
    <hyperlink ref="A1674" r:id="rId1672" display="VN000MJVDZ91"/>
    <hyperlink ref="A1675" r:id="rId1673" display="VN000MK2BL21"/>
    <hyperlink ref="A1676" r:id="rId1674" display="VN000MKQFS81"/>
    <hyperlink ref="A1677" r:id="rId1675" display="VN000MKXRNE1"/>
    <hyperlink ref="A1678" r:id="rId1676" display="VN000MM1WHT1"/>
    <hyperlink ref="A1679" r:id="rId1677" display="VN000MMMBLK1"/>
    <hyperlink ref="A1680" r:id="rId1678" display="VN000MMTBLK1"/>
    <hyperlink ref="A1681" r:id="rId1679" display="VN000MMTBLK1"/>
    <hyperlink ref="A1682" r:id="rId1680" display="VN000MN2BR11"/>
    <hyperlink ref="A1683" r:id="rId1681" display="VN000NDNCUQ1"/>
    <hyperlink ref="A1684" r:id="rId1682" display="VN000NDUBLK1"/>
    <hyperlink ref="A1685" r:id="rId1683" display="VN000NKS02F1"/>
    <hyperlink ref="A1686" r:id="rId1684" display="VN000NTSD6Z1"/>
    <hyperlink ref="A1687" r:id="rId1685" display="VN000NWQWHT1"/>
    <hyperlink ref="A1688" r:id="rId1686" display="VN000P1P12Q1"/>
    <hyperlink ref="A1689" r:id="rId1687" display="VN000P1PEML1"/>
    <hyperlink ref="A1690" r:id="rId1688" display="VN000P1PEMU1"/>
    <hyperlink ref="A1691" r:id="rId1689" display="VN000P1S1QI1"/>
    <hyperlink ref="A1692" r:id="rId1690" display="VN000P21EMU1"/>
    <hyperlink ref="A1693" r:id="rId1691" display="VN000P50EMF1"/>
    <hyperlink ref="A1694" r:id="rId1692" display="VN000P51EMS1"/>
    <hyperlink ref="A1695" r:id="rId1693" display="VN000P51EMS1"/>
    <hyperlink ref="A1696" r:id="rId1694" display="VN000P51O321"/>
    <hyperlink ref="A1697" r:id="rId1695" display="VN000P52Y281"/>
    <hyperlink ref="A1698" r:id="rId1696" display="VN000P56EMW1"/>
    <hyperlink ref="A1699" r:id="rId1697" display="VN000P58O3N1"/>
    <hyperlink ref="A1700" r:id="rId1698" display="VN000P5S14A1"/>
    <hyperlink ref="A1701" r:id="rId1699" display="VN000P5S14A1"/>
    <hyperlink ref="A1702" r:id="rId1700" display="VN000P5SEMW1"/>
    <hyperlink ref="A1703" r:id="rId1701" display="VN000P5SEMW1"/>
    <hyperlink ref="A1704" r:id="rId1702" display="VN000P73Y281"/>
    <hyperlink ref="A1705" r:id="rId1703" display="VN000P8A02F1"/>
    <hyperlink ref="A1706" r:id="rId1704" display="VN000P8A02F1"/>
    <hyperlink ref="A1707" r:id="rId1705" display="VN000P8GBLK1"/>
    <hyperlink ref="A1708" r:id="rId1706" display="VN000P93EMT1"/>
    <hyperlink ref="A1709" r:id="rId1707" display="VN000PAUBLK1"/>
    <hyperlink ref="A1710" r:id="rId1708" display="VN000PAZBLK1"/>
    <hyperlink ref="A1711" r:id="rId1709" display="VN000PBX6JL1"/>
    <hyperlink ref="A1712" r:id="rId1710" display="VN000PCXEMS1"/>
    <hyperlink ref="A1713" r:id="rId1711" display="VN000PDREMS1"/>
    <hyperlink ref="A1714" r:id="rId1712" display="VN000PEYF0D1"/>
    <hyperlink ref="A1715" r:id="rId1713" display="VN000PGKFS81"/>
    <hyperlink ref="A1716" r:id="rId1714" display="VN000PGKFS81"/>
    <hyperlink ref="A1717" r:id="rId1715" display="VN000PH6IYR1"/>
    <hyperlink ref="A1718" r:id="rId1716" display="VN000PHPAFM1"/>
    <hyperlink ref="A1719" r:id="rId1717" display="VN000PJ7BLK1"/>
    <hyperlink ref="A1720" r:id="rId1718" display="VN000PJMBLK1"/>
    <hyperlink ref="A1721" r:id="rId1719" display="VN000PJMZBF1"/>
    <hyperlink ref="A1722" r:id="rId1720" display="VN000PJSBLK1"/>
    <hyperlink ref="A1723" r:id="rId1721" display="VN000PJSD3Z1"/>
    <hyperlink ref="A1724" r:id="rId1722" display="VN000PKEEN61"/>
    <hyperlink ref="A1725" r:id="rId1723" display="VN000PMABLK1"/>
    <hyperlink ref="A1726" r:id="rId1724" display="VN000PMAEMW1"/>
    <hyperlink ref="A1727" r:id="rId1725" display="VN000PMFEB21"/>
    <hyperlink ref="A1728" r:id="rId1726" display="VN000PMHEB21"/>
    <hyperlink ref="A1729" r:id="rId1727" display="VN000PMHENB1"/>
    <hyperlink ref="A1730" r:id="rId1728" display="VN000PMNEMP1"/>
    <hyperlink ref="A1731" r:id="rId1729" display="VN000PMNEMP1"/>
    <hyperlink ref="A1732" r:id="rId1730" display="VN000PMXEMU1"/>
    <hyperlink ref="A1733" r:id="rId1731" display="VN000PMXEMU1"/>
    <hyperlink ref="A1734" r:id="rId1732" display="VN000PN9ZX71"/>
    <hyperlink ref="A1735" r:id="rId1733" display="VN000PNABLK1"/>
    <hyperlink ref="A1736" r:id="rId1734" display="VN000PNCRKZ1"/>
    <hyperlink ref="A1737" r:id="rId1735" display="VN000PNCRKZ1"/>
    <hyperlink ref="A1738" r:id="rId1736" display="VN000PPJ02F1"/>
    <hyperlink ref="A1739" r:id="rId1737" display="VN000PPUEN71"/>
    <hyperlink ref="A1740" r:id="rId1738" display="VN000PQWBLK1"/>
    <hyperlink ref="A1741" r:id="rId1739" display="VN000PQWEMF1"/>
    <hyperlink ref="A1742" r:id="rId1740" display="VN000PQWEMF1"/>
    <hyperlink ref="A1743" r:id="rId1741" display="VN000PQWEMF1"/>
    <hyperlink ref="A1744" r:id="rId1742" display="VN000PR2BLK1"/>
    <hyperlink ref="A1745" r:id="rId1743" display="VN000PR3BLK1"/>
    <hyperlink ref="A1746" r:id="rId1744" display="VN000PR3EN91"/>
    <hyperlink ref="A1747" r:id="rId1745" display="VN000PR485T1"/>
    <hyperlink ref="A1748" r:id="rId1746" display="VN000PR485T1"/>
    <hyperlink ref="A1749" r:id="rId1747" display="VN000PREEMW1"/>
    <hyperlink ref="A1750" r:id="rId1748" display="VN000PTBF0W1"/>
    <hyperlink ref="A1751" r:id="rId1749" display="VN000PWQGRH1"/>
    <hyperlink ref="A1752" r:id="rId1750" display="VN000PWVEMW1"/>
    <hyperlink ref="A1753" r:id="rId1751" display="VN000PWVEMW1"/>
    <hyperlink ref="A1754" r:id="rId1752" display="VN000PWVEMW1"/>
    <hyperlink ref="A1755" r:id="rId1753" display="VN000PWXBLK1"/>
    <hyperlink ref="A1756" r:id="rId1754" display="VN000PX2EMP1"/>
    <hyperlink ref="A1757" r:id="rId1755" display="VN000PX3EN61"/>
    <hyperlink ref="A1758" r:id="rId1756" display="VN000PX3EN61"/>
    <hyperlink ref="A1759" r:id="rId1757" display="VN000PX9RV21"/>
    <hyperlink ref="A1760" r:id="rId1758" display="VN000PX9RV21"/>
    <hyperlink ref="A1761" r:id="rId1759" display="VN000PXG02F1"/>
    <hyperlink ref="A1762" r:id="rId1760" display="VN000PXG02F1"/>
    <hyperlink ref="A1763" r:id="rId1761" display="VN000PXMCDX1"/>
    <hyperlink ref="A1764" r:id="rId1762" display="VN000PXTRV21"/>
    <hyperlink ref="A1765" r:id="rId1763" display="VN000PXWWHT1"/>
    <hyperlink ref="A1766" r:id="rId1764" display="VN000PXXBLK1"/>
    <hyperlink ref="A1767" r:id="rId1765" display="VN000PXXWHT1"/>
    <hyperlink ref="A1768" r:id="rId1766" display="VN000PY4WHT1"/>
    <hyperlink ref="A1769" r:id="rId1767" display="VN000PYXJDU1"/>
    <hyperlink ref="A1770" r:id="rId1768" display="VN000Q09GC61"/>
    <hyperlink ref="A1771" r:id="rId1769" display="VN000Q0ACDX1"/>
    <hyperlink ref="A1772" r:id="rId1770" display="VN000Q0PEMP1"/>
    <hyperlink ref="A1773" r:id="rId1771" display="VN000Q0VEMS1"/>
    <hyperlink ref="A1774" r:id="rId1772" display="VN000Q3002F1"/>
    <hyperlink ref="A1775" r:id="rId1773" display="VN000Q39EN91"/>
    <hyperlink ref="A1776" r:id="rId1774" display="VN000Q74EN61"/>
    <hyperlink ref="A1777" r:id="rId1775" display="VN000Q74EN61"/>
    <hyperlink ref="A1778" r:id="rId1776" display="VN000Q7712Q1"/>
    <hyperlink ref="A1779" r:id="rId1777" display="VN000QF3BLK1"/>
    <hyperlink ref="A1780" r:id="rId1778" display="VN000QFGDJR1"/>
    <hyperlink ref="A1781" r:id="rId1779" display="VN000QN8Y281"/>
    <hyperlink ref="A1782" r:id="rId1780" display="VN000QN8Y281"/>
    <hyperlink ref="A1783" r:id="rId1781" display="VN000R03EN71"/>
    <hyperlink ref="A1784" r:id="rId1782" display="VN000R05ATH1"/>
    <hyperlink ref="A1785" r:id="rId1783" display="VN000R4Z7D61"/>
    <hyperlink ref="A1786" r:id="rId1784" display="VN000R4ZEMP1"/>
    <hyperlink ref="A1787" r:id="rId1785" display="VN000R52FS81"/>
    <hyperlink ref="A1788" r:id="rId1786" display="VN000R8XBLK1"/>
    <hyperlink ref="A1789" r:id="rId1787" display="VN000R8XBLK1"/>
    <hyperlink ref="A1790" r:id="rId1788" display="VN000R90EMV1"/>
    <hyperlink ref="A1791" r:id="rId1789" display="VN000R92EMF1"/>
    <hyperlink ref="A1792" r:id="rId1790" display="VN000R92EMF1"/>
    <hyperlink ref="A1793" r:id="rId1791" display="VN000R92EMF1"/>
    <hyperlink ref="A1794" r:id="rId1792" display="VN000R92FBG1"/>
    <hyperlink ref="A1795" r:id="rId1793" display="VN000R92FBG1"/>
    <hyperlink ref="A1796" r:id="rId1794" display="VN000R95EMV1"/>
    <hyperlink ref="A1797" r:id="rId1795" display="VN000R95EMV1"/>
    <hyperlink ref="A1798" r:id="rId1796" display="VN000RAPFS81"/>
    <hyperlink ref="A1799" r:id="rId1797" display="VN000RC0Y7U1"/>
    <hyperlink ref="A1800" r:id="rId1798" display="VN000RFR1QI1"/>
    <hyperlink ref="A1801" r:id="rId1799" display="VN000RG0EML1"/>
    <hyperlink ref="A1802" r:id="rId1800" display="VN000RG0EMS1"/>
    <hyperlink ref="A1803" r:id="rId1801" display="VN000XBZIZQ1"/>
    <hyperlink ref="A1804" r:id="rId1802" display="VN000Y8VY281"/>
    <hyperlink ref="A1805" r:id="rId1803" display="VN00104UEMS1"/>
    <hyperlink ref="A1806" r:id="rId1804" display="VN0A3CZENAV1"/>
    <hyperlink ref="A1807" r:id="rId1805" display="VN0A3CZEYB21"/>
    <hyperlink ref="A1808" r:id="rId1806" display="VN0A3HWCBLK1"/>
    <hyperlink ref="A1809" r:id="rId1807" display="VN0A5FJJ1RE1"/>
    <hyperlink ref="A1810" r:id="rId1808" display="VN000H4ZZX71"/>
    <hyperlink ref="A1811" r:id="rId1809" display="VN000Q9F29B1"/>
    <hyperlink ref="A1812" r:id="rId1810" display="VN0005UF6QU1"/>
    <hyperlink ref="A1813" r:id="rId1811" display="VN0007P9KAQ1"/>
    <hyperlink ref="A1814" r:id="rId1812" display="VN0009Q7YY61"/>
    <hyperlink ref="A1815" r:id="rId1813" display="VN000BCEBA21"/>
    <hyperlink ref="A1816" r:id="rId1814" display="VN000BCELLC1"/>
    <hyperlink ref="A1817" r:id="rId1815" display="VN000BCELLC1"/>
    <hyperlink ref="A1818" r:id="rId1816" display="VN000BVS1M71"/>
    <hyperlink ref="A1819" r:id="rId1817" display="VN000BVXKAQ1"/>
    <hyperlink ref="A1820" r:id="rId1818" display="VN000BVZ2391"/>
    <hyperlink ref="A1821" r:id="rId1819" display="VN000CP6BXC1"/>
    <hyperlink ref="A1822" r:id="rId1820" display="VN000CQR5QJ1"/>
    <hyperlink ref="A1823" r:id="rId1821" display="VN000CR5FS81"/>
    <hyperlink ref="A1824" r:id="rId1822" display="VN000CRPKHK1"/>
    <hyperlink ref="A1825" r:id="rId1823" display="VN000CRRBJ41"/>
    <hyperlink ref="A1826" r:id="rId1824" display="VN000CRRBJ41"/>
    <hyperlink ref="A1827" r:id="rId1825" display="VN000CRRD3X1"/>
    <hyperlink ref="A1828" r:id="rId1826" display="VN000CRVEN71"/>
    <hyperlink ref="A1829" r:id="rId1827" display="VN000CS0BRO1"/>
    <hyperlink ref="A1830" r:id="rId1828" display="VN000CS0BRO1"/>
    <hyperlink ref="A1831" r:id="rId1829" display="VN000CS3ULE1"/>
    <hyperlink ref="A1832" r:id="rId1830" display="VN000CS5PIB1"/>
    <hyperlink ref="A1833" r:id="rId1831" display="VN000CTG1NU1"/>
    <hyperlink ref="A1834" r:id="rId1832" display="VN000CTG4481"/>
    <hyperlink ref="A1835" r:id="rId1833" display="VN000CTG4481"/>
    <hyperlink ref="A1836" r:id="rId1834" display="VN000CTGEMY1"/>
    <hyperlink ref="A1837" r:id="rId1835" display="VN000CTGPIB1"/>
    <hyperlink ref="A1838" r:id="rId1836" display="VN000CTGRV21"/>
    <hyperlink ref="A1839" r:id="rId1837" display="VN000CTGY091"/>
    <hyperlink ref="A1840" r:id="rId1838" display="VN000CTGYJ71"/>
    <hyperlink ref="A1841" r:id="rId1839" display="VN000CVS4MG1"/>
    <hyperlink ref="A1842" r:id="rId1840" display="VN000CVTCX61"/>
    <hyperlink ref="A1843" r:id="rId1841" display="VN000CVTUOV1"/>
    <hyperlink ref="A1844" r:id="rId1842" display="VN000CVU85T1"/>
    <hyperlink ref="A1845" r:id="rId1843" display="VN000CVUN1Z1"/>
    <hyperlink ref="A1846" r:id="rId1844" display="VN000CVUPRP1"/>
    <hyperlink ref="A1847" r:id="rId1845" display="VN000CVUPRP1"/>
    <hyperlink ref="A1848" r:id="rId1846" display="VN000CVVKAQ1"/>
    <hyperlink ref="A1849" r:id="rId1847" display="VN000CWEBER1"/>
    <hyperlink ref="A1850" r:id="rId1848" display="VN000CWEBLU1"/>
    <hyperlink ref="A1851" r:id="rId1849" display="VN000CWEN1Z1"/>
    <hyperlink ref="A1852" r:id="rId1850" display="VN000CYKEN71"/>
    <hyperlink ref="A1853" r:id="rId1851" display="VN000CYUE2T1"/>
    <hyperlink ref="A1854" r:id="rId1852" display="VN000CYUEN61"/>
    <hyperlink ref="A1855" r:id="rId1853" display="VN000CYVENA1"/>
    <hyperlink ref="A1856" r:id="rId1854" display="VN000CZ7BLA1"/>
    <hyperlink ref="A1857" r:id="rId1855" display="VN000CZ7BLA1"/>
    <hyperlink ref="A1858" r:id="rId1856" display="VN000CZ7O331"/>
    <hyperlink ref="A1859" r:id="rId1857" display="VN000D0CY331"/>
    <hyperlink ref="A1860" r:id="rId1858" display="VN000D0HBZW1"/>
    <hyperlink ref="A1861" r:id="rId1859" display="VN000D0HEMY1"/>
    <hyperlink ref="A1862" r:id="rId1860" display="VN000D0HEMY1"/>
    <hyperlink ref="A1863" r:id="rId1861" display="VN000D0HEMY1"/>
    <hyperlink ref="A1864" r:id="rId1862" display="VN000D0JRV21"/>
    <hyperlink ref="A1865" r:id="rId1863" display="VN000D0KEN61"/>
    <hyperlink ref="A1866" r:id="rId1864" display="VN000D0KEN61"/>
    <hyperlink ref="A1867" r:id="rId1865" display="VN000D0MBZW1"/>
    <hyperlink ref="A1868" r:id="rId1866" display="VN000D0MBZW1"/>
    <hyperlink ref="A1869" r:id="rId1867" display="VN000D0S1NU1"/>
    <hyperlink ref="A1870" r:id="rId1868" display="VN000D1111E1"/>
    <hyperlink ref="A1871" r:id="rId1869" display="VN000D111KP1"/>
    <hyperlink ref="A1872" r:id="rId1870" display="VN000D11N1Z1"/>
    <hyperlink ref="A1873" r:id="rId1871" display="VN000D11N1Z1"/>
    <hyperlink ref="A1874" r:id="rId1872" display="VN000D1H7VF1"/>
    <hyperlink ref="A1875" r:id="rId1873" display="VN000D1J6891"/>
    <hyperlink ref="A1876" r:id="rId1874" display="VN000D1JJ4C1"/>
    <hyperlink ref="A1877" r:id="rId1875" display="VN000D1JPBQ1"/>
    <hyperlink ref="A1878" r:id="rId1876" display="VN000D1JV0N1"/>
    <hyperlink ref="A1879" r:id="rId1877" display="VN000D1JV0N1"/>
    <hyperlink ref="A1880" r:id="rId1878" display="VN000D26E2Z1"/>
    <hyperlink ref="A1881" r:id="rId1879" display="VN000D26GWT1"/>
    <hyperlink ref="A1882" r:id="rId1880" display="VN000D26KGR1"/>
    <hyperlink ref="A1883" r:id="rId1881" display="VN000D26PWT1"/>
    <hyperlink ref="A1884" r:id="rId1882" display="VN000D26WGR1"/>
    <hyperlink ref="A1885" r:id="rId1883" display="VN000D32WTM1"/>
    <hyperlink ref="A1886" r:id="rId1884" display="VN000D45EMY1"/>
    <hyperlink ref="A1887" r:id="rId1885" display="VN000D45NWH1"/>
    <hyperlink ref="A1888" r:id="rId1886" display="VN000D4MNVY1"/>
    <hyperlink ref="A1889" r:id="rId1887" display="VN000D4N2081"/>
    <hyperlink ref="A1890" r:id="rId1888" display="VN000D4N2B61"/>
    <hyperlink ref="A1891" r:id="rId1889" display="VN000D4NBKA1"/>
    <hyperlink ref="A1892" r:id="rId1890" display="VN000D4NBZW1"/>
    <hyperlink ref="A1893" r:id="rId1891" display="VN000D4NBZW1"/>
    <hyperlink ref="A1894" r:id="rId1892" display="VN000D4NBZW1"/>
    <hyperlink ref="A1895" r:id="rId1893" display="VN000D4NBZW1"/>
    <hyperlink ref="A1896" r:id="rId1894" display="VN000D4NDJR1"/>
    <hyperlink ref="A1897" r:id="rId1895" display="VN000D4NDJR1"/>
    <hyperlink ref="A1898" r:id="rId1896" display="VN000D4NKCZ1"/>
    <hyperlink ref="A1899" r:id="rId1897" display="VN000D4PIY71"/>
    <hyperlink ref="A1900" r:id="rId1898" display="VN000D4SCFL1"/>
    <hyperlink ref="A1901" r:id="rId1899" display="VN000D4SCFL1"/>
    <hyperlink ref="A1902" r:id="rId1900" display="VN000D4SCFL1"/>
    <hyperlink ref="A1903" r:id="rId1901" display="VN000D5D17P1"/>
    <hyperlink ref="A1904" r:id="rId1902" display="VN000D5DDUF1"/>
    <hyperlink ref="A1905" r:id="rId1903" display="VN000D5IBKA1"/>
    <hyperlink ref="A1906" r:id="rId1904" display="VN000D5PCJA1"/>
    <hyperlink ref="A1907" r:id="rId1905" display="VN000D5RBRG1"/>
    <hyperlink ref="A1908" r:id="rId1906" display="VN000D5RBRG1"/>
    <hyperlink ref="A1909" r:id="rId1907" display="VN000D60RV21"/>
    <hyperlink ref="A1910" r:id="rId1908" display="VN000D60RV21"/>
    <hyperlink ref="A1911" r:id="rId1909" display="VN000D60RV21"/>
    <hyperlink ref="A1912" r:id="rId1910" display="VN000D610VW1"/>
    <hyperlink ref="A1913" r:id="rId1911" display="VN000D6F2391"/>
    <hyperlink ref="A1914" r:id="rId1912" display="VN000D6FLKZ1"/>
    <hyperlink ref="A1915" r:id="rId1913" display="VN000D6SBM81"/>
    <hyperlink ref="A1916" r:id="rId1914" display="VN000D6W11E1"/>
    <hyperlink ref="A1917" r:id="rId1915" display="VN000D6W52K1"/>
    <hyperlink ref="A1918" r:id="rId1916" display="VN000D6W7WM1"/>
    <hyperlink ref="A1919" r:id="rId1917" display="VN000D6WCJJ1"/>
    <hyperlink ref="A1920" r:id="rId1918" display="VN000D6WCJK1"/>
    <hyperlink ref="A1921" r:id="rId1919" display="VN000D6WEMW1"/>
    <hyperlink ref="A1922" r:id="rId1920" display="VN000D6WEMW1"/>
    <hyperlink ref="A1923" r:id="rId1921" display="VN000D6WRPK1"/>
    <hyperlink ref="A1924" r:id="rId1922" display="VN000D6WRPK1"/>
    <hyperlink ref="A1925" r:id="rId1923" display="VN000D6WRPK1"/>
    <hyperlink ref="A1926" r:id="rId1924" display="VN000D6YEMH1"/>
    <hyperlink ref="A1927" r:id="rId1925" display="VN000D6YEMY1"/>
    <hyperlink ref="A1928" r:id="rId1926" display="VN000D6YEZI1"/>
    <hyperlink ref="A1929" r:id="rId1927" display="VN000D6YEZI1"/>
    <hyperlink ref="A1930" r:id="rId1928" display="VN000D6YEZI1"/>
    <hyperlink ref="A1931" r:id="rId1929" display="VN000D6ZEZI1"/>
    <hyperlink ref="A1932" r:id="rId1930" display="VN000D6ZO3N1"/>
    <hyperlink ref="A1933" r:id="rId1931" display="VN000D70E2Y1"/>
    <hyperlink ref="A1934" r:id="rId1932" display="VN000D70ZRY1"/>
    <hyperlink ref="A1935" r:id="rId1933" display="VN000D750CK1"/>
    <hyperlink ref="A1936" r:id="rId1934" display="VN000D7U4QU1"/>
    <hyperlink ref="A1937" r:id="rId1935" display="VN000D7Z6N01"/>
    <hyperlink ref="A1938" r:id="rId1936" display="VN000D7ZJDU1"/>
    <hyperlink ref="A1939" r:id="rId1937" display="VN000D83O3N1"/>
    <hyperlink ref="A1940" r:id="rId1938" display="VN000D83SQ71"/>
    <hyperlink ref="A1941" r:id="rId1939" display="VN000D8NZ5D1"/>
    <hyperlink ref="A1942" r:id="rId1940" display="VN000D9ABLA1"/>
    <hyperlink ref="A1943" r:id="rId1941" display="VN000D9ACJ71"/>
    <hyperlink ref="A1944" r:id="rId1942" display="VN000D9ACJ71"/>
    <hyperlink ref="A1945" r:id="rId1943" display="VN000D9YRWZ1"/>
    <hyperlink ref="A1946" r:id="rId1944" display="VN000D9YRWZ1"/>
    <hyperlink ref="A1947" r:id="rId1945" display="VN000DA1Z341"/>
    <hyperlink ref="A1948" r:id="rId1946" display="VN000DA1Z341"/>
    <hyperlink ref="A1949" r:id="rId1947" display="VN000DA2B9M1"/>
    <hyperlink ref="A1950" r:id="rId1948" display="VN000DA4D7U1"/>
    <hyperlink ref="A1951" r:id="rId1949" display="VN000DAH7UG1"/>
    <hyperlink ref="A1952" r:id="rId1950" display="VN000DAJYJ71"/>
    <hyperlink ref="A1953" r:id="rId1951" display="VN000DAMLM31"/>
    <hyperlink ref="A1954" r:id="rId1952" display="VN000DAQ02Y1"/>
    <hyperlink ref="A1955" r:id="rId1953" display="VN000DAQ02Y1"/>
    <hyperlink ref="A1956" r:id="rId1954" display="VN000DAQ02Y1"/>
    <hyperlink ref="A1957" r:id="rId1955" display="VN000DAQ02Y1"/>
    <hyperlink ref="A1958" r:id="rId1956" display="VN000DAQ1MG1"/>
    <hyperlink ref="A1959" r:id="rId1957" display="VN000DAQTWH1"/>
    <hyperlink ref="A1960" r:id="rId1958" display="VN000DARBKL1"/>
    <hyperlink ref="A1961" r:id="rId1959" display="VN000DARC9F1"/>
    <hyperlink ref="A1962" r:id="rId1960" display="VN000DAZF881"/>
    <hyperlink ref="A1963" r:id="rId1961" display="VN000DB3D3X1"/>
    <hyperlink ref="A1964" r:id="rId1962" display="VN000E7UTC41"/>
    <hyperlink ref="A1965" r:id="rId1963" display="VN000E897WM1"/>
    <hyperlink ref="A1966" r:id="rId1964" display="VN000E89OXS1"/>
    <hyperlink ref="A1967" r:id="rId1965" display="VN000E89YG41"/>
    <hyperlink ref="A1968" r:id="rId1966" display="VN000E8WIZQ1"/>
    <hyperlink ref="A1969" r:id="rId1967" display="VN000E9RG581"/>
    <hyperlink ref="A1970" r:id="rId1968" display="VN000E9RZ3R1"/>
    <hyperlink ref="A1971" r:id="rId1969" display="VN000E9RZ3R1"/>
    <hyperlink ref="A1972" r:id="rId1970" display="VN000E9YLBR1"/>
    <hyperlink ref="A1973" r:id="rId1971" display="VN000EB4TAN1"/>
    <hyperlink ref="A1974" r:id="rId1972" display="VN000EDN7D61"/>
    <hyperlink ref="A1975" r:id="rId1973" display="VN000EDN9X11"/>
    <hyperlink ref="A1976" r:id="rId1974" display="VN000EDN9X11"/>
    <hyperlink ref="A1977" r:id="rId1975" display="VN000EDNAH91"/>
    <hyperlink ref="A1978" r:id="rId1976" display="VN000EF37VF1"/>
    <hyperlink ref="A1979" r:id="rId1977" display="VN000EG59X11"/>
    <hyperlink ref="A1980" r:id="rId1978" display="VN000V25B5T1"/>
    <hyperlink ref="A1981" r:id="rId1979" display="VN000V68Y611"/>
    <hyperlink ref="A1982" r:id="rId1980" display="VN000V8EGUG1"/>
    <hyperlink ref="A1983" r:id="rId1981" display="VN000VB4CJK1"/>
    <hyperlink ref="A1984" r:id="rId1982" display="VN000VO44K11"/>
    <hyperlink ref="A1985" r:id="rId1983" display="VN000VO44K11"/>
    <hyperlink ref="A1986" r:id="rId1984" display="VN000VOB4WV1"/>
    <hyperlink ref="A1987" r:id="rId1985" display="VN000VOB4WV1"/>
    <hyperlink ref="A1988" r:id="rId1986" display="VN000W9T9AL1"/>
    <hyperlink ref="A1989" r:id="rId1987" display="VN000ZSRGQ01"/>
    <hyperlink ref="A1990" r:id="rId1988" display="VN000ZSRGQ01"/>
    <hyperlink ref="A1991" r:id="rId1989" display="VN000ZSRGQ01"/>
    <hyperlink ref="A1992" r:id="rId1990" display="VN0A2Z4CEL71"/>
    <hyperlink ref="A1993" r:id="rId1991" display="VN0A347ZDDU1"/>
    <hyperlink ref="A1994" r:id="rId1992" display="VN0A3TKN6BT1"/>
    <hyperlink ref="A1995" r:id="rId1993" display="VN0A3TKN6BT1"/>
    <hyperlink ref="A1996" r:id="rId1994" display="VN0A4BVSBKA1"/>
    <hyperlink ref="A1997" r:id="rId1995" display="VN0A5FCB1N61"/>
    <hyperlink ref="A1998" r:id="rId1996" display="VN0A5FCB1N61"/>
    <hyperlink ref="A1999" r:id="rId1997" display="VN0A5FCB1N61"/>
    <hyperlink ref="A2000" r:id="rId1998" display="VN0A5FCB1N61"/>
    <hyperlink ref="A2001" r:id="rId1999" display="VN0A5FCDGPE1"/>
    <hyperlink ref="A2002" r:id="rId2000" display="VN0A5HYWA3I1"/>
    <hyperlink ref="A2003" r:id="rId2001" display="VN000EZ26M31"/>
    <hyperlink ref="A2004" r:id="rId2002" display="VN000F0SY281"/>
    <hyperlink ref="A2005" r:id="rId2003" display="VN000F0XCLH1"/>
    <hyperlink ref="A2006" r:id="rId2004" display="VN000FN8BED1"/>
    <hyperlink ref="A2007" r:id="rId2005" display="VN000GKMCHJ1"/>
    <hyperlink ref="A2008" r:id="rId2006" display="VN000GMQEHC1"/>
    <hyperlink ref="A2009" r:id="rId2007" display="VN000HSR2N11"/>
    <hyperlink ref="A2010" r:id="rId2008" display="VN000HSZFS81"/>
    <hyperlink ref="A2011" r:id="rId2009" display="VN000HT0CIF1"/>
    <hyperlink ref="A2012" r:id="rId2010" display="VN000HT1LKZ1"/>
    <hyperlink ref="A2013" r:id="rId2011" display="VN000J4TBLK1"/>
    <hyperlink ref="A2014" r:id="rId2012" display="VN000M7UZBF1"/>
    <hyperlink ref="A2015" r:id="rId2013" display="VN000NBRBLK1"/>
    <hyperlink ref="A2016" r:id="rId2014" display="VN000Q1ABRD1"/>
    <hyperlink ref="A2017" r:id="rId2015" display="VN000Q94EN71"/>
    <hyperlink ref="A2018" r:id="rId2016" display="VN000QAGLVB1"/>
    <hyperlink ref="A2019" r:id="rId2017" display="VN000QAREN61"/>
    <hyperlink ref="A2020" r:id="rId2018" display="VN000QB2EMP1"/>
    <hyperlink ref="A2021" r:id="rId2019" display="VN000QB9EMP1"/>
    <hyperlink ref="A2022" r:id="rId2020" display="VN000QBEF0E1"/>
    <hyperlink ref="A2023" r:id="rId2021" display="VN000QBQEN71"/>
    <hyperlink ref="A2024" r:id="rId2022" display="VN000QBSBLK1"/>
    <hyperlink ref="A2025" r:id="rId2023" display="VN000QCKBLK1"/>
    <hyperlink ref="A2026" r:id="rId2024" display="VN000XS9IZH1"/>
    <hyperlink ref="A2027" r:id="rId2025" display="VN0A3I5LBHH1"/>
    <hyperlink ref="A2028" r:id="rId2026" display="VN0A48HCYB21"/>
    <hyperlink ref="A2029" r:id="rId2027" display="VN0A7PR496O1"/>
    <hyperlink ref="A2030" r:id="rId2028" display="VN0A7S9EZMK1"/>
    <hyperlink ref="A2031" r:id="rId2029" display="VN0A7S9FZMK1"/>
    <hyperlink ref="A2032" r:id="rId2030" display="VN0002QQYB21"/>
    <hyperlink ref="A2033" r:id="rId2031" display="VN000389BQC1"/>
    <hyperlink ref="A2034" r:id="rId2032" display="VN000395WHT1"/>
    <hyperlink ref="A2035" r:id="rId2033" display="VN0003P3YB21"/>
    <hyperlink ref="A2036" r:id="rId2034" display="VN0003P3YB21"/>
    <hyperlink ref="A2037" r:id="rId2035" display="VN00074M4QU1"/>
    <hyperlink ref="A2038" r:id="rId2036" display="VN0007ZBBML1"/>
    <hyperlink ref="A2039" r:id="rId2037" display="VN0007ZCBLK1"/>
    <hyperlink ref="A2040" r:id="rId2038" display="VN0008KKCR61"/>
    <hyperlink ref="A2041" r:id="rId2039" display="VN0008KUJDU1"/>
    <hyperlink ref="A2042" r:id="rId2040" display="VN0008N6BLK1"/>
    <hyperlink ref="A2043" r:id="rId2041" display="VN0008N6EMU1"/>
    <hyperlink ref="A2044" r:id="rId2042" display="VN0008NAE901"/>
    <hyperlink ref="A2045" r:id="rId2043" display="VN0008NAE901"/>
    <hyperlink ref="A2046" r:id="rId2044" display="VN000G6MBDX1"/>
    <hyperlink ref="A2047" r:id="rId2045" display="VN000G75D6Z1"/>
    <hyperlink ref="A2048" r:id="rId2046" display="VN000G81BLK1"/>
    <hyperlink ref="A2049" r:id="rId2047" display="VN000GA0BLK1"/>
    <hyperlink ref="A2050" r:id="rId2048" display="VN000GA0D3Z1"/>
    <hyperlink ref="A2051" r:id="rId2049" display="VN000GCHLKZ1"/>
    <hyperlink ref="A2052" r:id="rId2050" display="VN000GDFBLK1"/>
    <hyperlink ref="A2053" r:id="rId2051" display="VN000GF8WHT1"/>
    <hyperlink ref="A2054" r:id="rId2052" display="VN000GGC15P1"/>
    <hyperlink ref="A2055" r:id="rId2053" display="VN000GH8BLK1"/>
    <hyperlink ref="A2056" r:id="rId2054" display="VN000GJ6BLK1"/>
    <hyperlink ref="A2057" r:id="rId2055" display="VN000HANCDX1"/>
    <hyperlink ref="A2058" r:id="rId2056" display="VN000HDZKOU1"/>
    <hyperlink ref="A2059" r:id="rId2057" display="VN000HMFWHT1"/>
    <hyperlink ref="A2060" r:id="rId2058" display="VN000HMQF0E1"/>
    <hyperlink ref="A2061" r:id="rId2059" display="VN000HMQJDU1"/>
    <hyperlink ref="A2062" r:id="rId2060" display="VN000HN197I1"/>
    <hyperlink ref="A2063" r:id="rId2061" display="VN000HN9DRJ1"/>
    <hyperlink ref="A2064" r:id="rId2062" display="VN000HNFD401"/>
    <hyperlink ref="A2065" r:id="rId2063" display="VN000HU0QID1"/>
    <hyperlink ref="A2066" r:id="rId2064" display="VN000HZBBLK1"/>
    <hyperlink ref="A2067" r:id="rId2065" display="VN000HZBKCZ1"/>
    <hyperlink ref="A2068" r:id="rId2066" display="VN000HZCBLK1"/>
    <hyperlink ref="A2069" r:id="rId2067" display="VN000IVEZX71"/>
    <hyperlink ref="A2070" r:id="rId2068" display="VN000IVFBRD1"/>
    <hyperlink ref="A2071" r:id="rId2069" display="VN000J9JZR61"/>
    <hyperlink ref="A2072" r:id="rId2070" display="VN000JBDDBC1"/>
    <hyperlink ref="A2073" r:id="rId2071" display="VN000JBK02F1"/>
    <hyperlink ref="A2074" r:id="rId2072" display="VN000JBK02F1"/>
    <hyperlink ref="A2075" r:id="rId2073" display="VN000JBMCIB1"/>
    <hyperlink ref="A2076" r:id="rId2074" display="VN000JBRBR11"/>
    <hyperlink ref="A2077" r:id="rId2075" display="VN000JC0J5F1"/>
    <hyperlink ref="A2078" r:id="rId2076" display="VN000JC5LKZ1"/>
    <hyperlink ref="A2079" r:id="rId2077" display="VN000JCXWHT1"/>
    <hyperlink ref="A2080" r:id="rId2078" display="VN000JF5BLK1"/>
    <hyperlink ref="A2081" r:id="rId2079" display="VN000JF5BLK1"/>
    <hyperlink ref="A2082" r:id="rId2080" display="VN000JQP7YO1"/>
    <hyperlink ref="A2083" r:id="rId2081" display="VN000JT37W61"/>
    <hyperlink ref="A2084" r:id="rId2082" display="VN000JT37W61"/>
    <hyperlink ref="A2085" r:id="rId2083" display="VN000JY412S1"/>
    <hyperlink ref="A2086" r:id="rId2084" display="VN000JY4BLK1"/>
    <hyperlink ref="A2087" r:id="rId2085" display="VN000JYD14A1"/>
    <hyperlink ref="A2088" r:id="rId2086" display="VN000JYD14A1"/>
    <hyperlink ref="A2089" r:id="rId2087" display="VN000K0DDBC1"/>
    <hyperlink ref="A2090" r:id="rId2088" display="VN000K42D451"/>
    <hyperlink ref="A2091" r:id="rId2089" display="VN000K42E2Z1"/>
    <hyperlink ref="A2092" r:id="rId2090" display="VN000K8WBLK1"/>
    <hyperlink ref="A2093" r:id="rId2091" display="VN000K98BLK1"/>
    <hyperlink ref="A2094" r:id="rId2092" display="VN000K98EN61"/>
    <hyperlink ref="A2095" r:id="rId2093" display="VN000KTAEMB1"/>
    <hyperlink ref="A2096" r:id="rId2094" display="VN000KUE02F1"/>
    <hyperlink ref="A2097" r:id="rId2095" display="VN000KV2JDU1"/>
    <hyperlink ref="A2098" r:id="rId2096" display="VN000KV2JDU1"/>
    <hyperlink ref="A2099" r:id="rId2097" display="VN000KVEBLK1"/>
    <hyperlink ref="A2100" r:id="rId2098" display="VN000M10ZUJ1"/>
    <hyperlink ref="A2101" r:id="rId2099" display="VN000M10ZUJ1"/>
    <hyperlink ref="A2102" r:id="rId2100" display="VN000M10ZUJ1"/>
    <hyperlink ref="A2103" r:id="rId2101" display="VN000M1PC9L1"/>
    <hyperlink ref="A2104" r:id="rId2102" display="VN000M1PC9L1"/>
    <hyperlink ref="A2105" r:id="rId2103" display="VN000M1PC9L1"/>
    <hyperlink ref="A2106" r:id="rId2104" display="VN000M27CFL1"/>
    <hyperlink ref="A2107" r:id="rId2105" display="VN000M29DDN1"/>
    <hyperlink ref="A2108" r:id="rId2106" display="VN000M2P1O71"/>
    <hyperlink ref="A2109" r:id="rId2107" display="VN000M37ZBF1"/>
    <hyperlink ref="A2110" r:id="rId2108" display="VN000M39D4C1"/>
    <hyperlink ref="A2111" r:id="rId2109" display="VN000M3AZBF1"/>
    <hyperlink ref="A2112" r:id="rId2110" display="VN000M3GJDU1"/>
    <hyperlink ref="A2113" r:id="rId2111" display="VN000M3VBLK1"/>
    <hyperlink ref="A2114" r:id="rId2112" display="VN000M4W4SS1"/>
    <hyperlink ref="A2115" r:id="rId2113" display="VN000M5FCLH1"/>
    <hyperlink ref="A2116" r:id="rId2114" display="VN000M6ZZBF1"/>
    <hyperlink ref="A2117" r:id="rId2115" display="VN000M8EBL21"/>
    <hyperlink ref="A2118" r:id="rId2116" display="VN000M8G1O71"/>
    <hyperlink ref="A2119" r:id="rId2117" display="VN000M8G1O71"/>
    <hyperlink ref="A2120" r:id="rId2118" display="VN000M8HZBF1"/>
    <hyperlink ref="A2121" r:id="rId2119" display="VN000M8JY281"/>
    <hyperlink ref="A2122" r:id="rId2120" display="VN000M8UBLK1"/>
    <hyperlink ref="A2123" r:id="rId2121" display="VN000M8UBLK1"/>
    <hyperlink ref="A2124" r:id="rId2122" display="VN000M8UWHT1"/>
    <hyperlink ref="A2125" r:id="rId2123" display="VN000M99CFL1"/>
    <hyperlink ref="A2126" r:id="rId2124" display="VN000M9DBLK1"/>
    <hyperlink ref="A2127" r:id="rId2125" display="VN000M9MZUJ1"/>
    <hyperlink ref="A2128" r:id="rId2126" display="VN000M9MZUJ1"/>
    <hyperlink ref="A2129" r:id="rId2127" display="VN000M9SBLK1"/>
    <hyperlink ref="A2130" r:id="rId2128" display="VN000M9SEMJ1"/>
    <hyperlink ref="A2131" r:id="rId2129" display="VN000M9SRV21"/>
    <hyperlink ref="A2132" r:id="rId2130" display="VN000M9SRV21"/>
    <hyperlink ref="A2133" r:id="rId2131" display="VN000M9SRV21"/>
    <hyperlink ref="A2134" r:id="rId2132" display="VN000MA21O71"/>
    <hyperlink ref="A2135" r:id="rId2133" display="VN000MA21O71"/>
    <hyperlink ref="A2136" r:id="rId2134" display="VN000MA2EMF1"/>
    <hyperlink ref="A2137" r:id="rId2135" display="VN000MA2EMF1"/>
    <hyperlink ref="A2138" r:id="rId2136" display="VN000MAEBLK1"/>
    <hyperlink ref="A2139" r:id="rId2137" display="VN000MAME2W1"/>
    <hyperlink ref="A2140" r:id="rId2138" display="VN000MAT7WM1"/>
    <hyperlink ref="A2141" r:id="rId2139" display="VN000MB3ZBF1"/>
    <hyperlink ref="A2142" r:id="rId2140" display="VN000MB3ZBF1"/>
    <hyperlink ref="A2143" r:id="rId2141" display="VN000MBEFS81"/>
    <hyperlink ref="A2144" r:id="rId2142" display="VN000MBHC9L1"/>
    <hyperlink ref="A2145" r:id="rId2143" display="VN000MBHC9L1"/>
    <hyperlink ref="A2146" r:id="rId2144" display="VN000MBHC9L1"/>
    <hyperlink ref="A2147" r:id="rId2145" display="VN000MBXFS81"/>
    <hyperlink ref="A2148" r:id="rId2146" display="VN000MC0ZUJ1"/>
    <hyperlink ref="A2149" r:id="rId2147" display="VN000MC8E301"/>
    <hyperlink ref="A2150" r:id="rId2148" display="VN000MEMZBF1"/>
    <hyperlink ref="A2151" r:id="rId2149" display="VN000MFWUUI1"/>
    <hyperlink ref="A2152" r:id="rId2150" display="VN000MG8UUI1"/>
    <hyperlink ref="A2153" r:id="rId2151" display="VN000MGGBLK1"/>
    <hyperlink ref="A2154" r:id="rId2152" display="VN000MH702F1"/>
    <hyperlink ref="A2155" r:id="rId2153" display="VN000MH9BLK1"/>
    <hyperlink ref="A2156" r:id="rId2154" display="VN000MJ6BLK1"/>
    <hyperlink ref="A2157" r:id="rId2155" display="VN000MK8BLK1"/>
    <hyperlink ref="A2158" r:id="rId2156" display="VN000MK8BLK1"/>
    <hyperlink ref="A2159" r:id="rId2157" display="VN000MK8BLK1"/>
    <hyperlink ref="A2160" r:id="rId2158" display="VN000MKU6PH1"/>
    <hyperlink ref="A2161" r:id="rId2159" display="VN000MKYBLK1"/>
    <hyperlink ref="A2162" r:id="rId2160" display="VN000MMC7WM1"/>
    <hyperlink ref="A2163" r:id="rId2161" display="VN000MMC7WM1"/>
    <hyperlink ref="A2164" r:id="rId2162" display="VN000ND8JDU1"/>
    <hyperlink ref="A2165" r:id="rId2163" display="VN000NDQBLK1"/>
    <hyperlink ref="A2166" r:id="rId2164" display="VN000NU0WHT1"/>
    <hyperlink ref="A2167" r:id="rId2165" display="VN000NUYO3N1"/>
    <hyperlink ref="A2168" r:id="rId2166" display="VN000NWBCFL1"/>
    <hyperlink ref="A2169" r:id="rId2167" display="VN000NWGCLH1"/>
    <hyperlink ref="A2170" r:id="rId2168" display="VN000NZDC9L1"/>
    <hyperlink ref="A2171" r:id="rId2169" display="VN000NZDC9L1"/>
    <hyperlink ref="A2172" r:id="rId2170" display="VN000P1P4MG1"/>
    <hyperlink ref="A2173" r:id="rId2171" display="VN000P1P6JL1"/>
    <hyperlink ref="A2174" r:id="rId2172" display="VN000P1PBR11"/>
    <hyperlink ref="A2175" r:id="rId2173" display="VN000P1PBR11"/>
    <hyperlink ref="A2176" r:id="rId2174" display="VN000P1PEMU1"/>
    <hyperlink ref="A2177" r:id="rId2175" display="VN000P20EMU1"/>
    <hyperlink ref="A2178" r:id="rId2176" display="VN000P20EMU1"/>
    <hyperlink ref="A2179" r:id="rId2177" display="VN000P20ZRY1"/>
    <hyperlink ref="A2180" r:id="rId2178" display="VN000P20ZRY1"/>
    <hyperlink ref="A2181" r:id="rId2179" display="VN000P21EMU1"/>
    <hyperlink ref="A2182" r:id="rId2180" display="VN000P21JDU1"/>
    <hyperlink ref="A2183" r:id="rId2181" display="VN000P21JDU1"/>
    <hyperlink ref="A2184" r:id="rId2182" display="VN000P4YC9L1"/>
    <hyperlink ref="A2185" r:id="rId2183" display="VN000P50EMF1"/>
    <hyperlink ref="A2186" r:id="rId2184" display="VN000P50EMW1"/>
    <hyperlink ref="A2187" r:id="rId2185" display="VN000P50EMW1"/>
    <hyperlink ref="A2188" r:id="rId2186" display="VN000P50YB21"/>
    <hyperlink ref="A2189" r:id="rId2187" display="VN000P51Y281"/>
    <hyperlink ref="A2190" r:id="rId2188" display="VN000P51Y281"/>
    <hyperlink ref="A2191" r:id="rId2189" display="VN000P52Y281"/>
    <hyperlink ref="A2192" r:id="rId2190" display="VN000P56EMW1"/>
    <hyperlink ref="A2193" r:id="rId2191" display="VN000P58E2Z1"/>
    <hyperlink ref="A2194" r:id="rId2192" display="VN000P58EMW1"/>
    <hyperlink ref="A2195" r:id="rId2193" display="VN000P59E2Z1"/>
    <hyperlink ref="A2196" r:id="rId2194" display="VN000P5D02F1"/>
    <hyperlink ref="A2197" r:id="rId2195" display="VN000P5GBLK1"/>
    <hyperlink ref="A2198" r:id="rId2196" display="VN000P5RO3N1"/>
    <hyperlink ref="A2199" r:id="rId2197" display="VN000P5T5TU1"/>
    <hyperlink ref="A2200" r:id="rId2198" display="VN000P5T5TU1"/>
    <hyperlink ref="A2201" r:id="rId2199" display="VN000P78BLK1"/>
    <hyperlink ref="A2202" r:id="rId2200" display="VN000P7U2N11"/>
    <hyperlink ref="A2203" r:id="rId2201" display="VN000P7UJDU1"/>
    <hyperlink ref="A2204" r:id="rId2202" display="VN000P86F0V1"/>
    <hyperlink ref="A2205" r:id="rId2203" display="VN000P86F0V1"/>
    <hyperlink ref="A2206" r:id="rId2204" display="VN000P88BLK1"/>
    <hyperlink ref="A2207" r:id="rId2205" display="VN000P8CJDU1"/>
    <hyperlink ref="A2208" r:id="rId2206" display="VN000PA6BLK1"/>
    <hyperlink ref="A2209" r:id="rId2207" display="VN000PAABLK1"/>
    <hyperlink ref="A2210" r:id="rId2208" display="VN000PAABLK1"/>
    <hyperlink ref="A2211" r:id="rId2209" display="VN000PAABLK1"/>
    <hyperlink ref="A2212" r:id="rId2210" display="VN000PAHEN71"/>
    <hyperlink ref="A2213" r:id="rId2211" display="VN000PAZBLK1"/>
    <hyperlink ref="A2214" r:id="rId2212" display="VN000PBRBLK1"/>
    <hyperlink ref="A2215" r:id="rId2213" display="VN000PCAWHT1"/>
    <hyperlink ref="A2216" r:id="rId2214" display="VN000PCWEMT1"/>
    <hyperlink ref="A2217" r:id="rId2215" display="VN000PCWEMT1"/>
    <hyperlink ref="A2218" r:id="rId2216" display="VN000PCXEMS1"/>
    <hyperlink ref="A2219" r:id="rId2217" display="VN000PCXEMS1"/>
    <hyperlink ref="A2220" r:id="rId2218" display="VN000PCYWHT1"/>
    <hyperlink ref="A2221" r:id="rId2219" display="VN000PD7EMS1"/>
    <hyperlink ref="A2222" r:id="rId2220" display="VN000PDABLK1"/>
    <hyperlink ref="A2223" r:id="rId2221" display="VN000PDABLK1"/>
    <hyperlink ref="A2224" r:id="rId2222" display="VN000PDREMS1"/>
    <hyperlink ref="A2225" r:id="rId2223" display="VN000PDREMS1"/>
    <hyperlink ref="A2226" r:id="rId2224" display="VN000PDREN71"/>
    <hyperlink ref="A2227" r:id="rId2225" display="VN000PDYEMP1"/>
    <hyperlink ref="A2228" r:id="rId2226" display="VN000PDYWHT1"/>
    <hyperlink ref="A2229" r:id="rId2227" display="VN000PE7BLK1"/>
    <hyperlink ref="A2230" r:id="rId2228" display="VN000PE7BLK1"/>
    <hyperlink ref="A2231" r:id="rId2229" display="VN000PEWEMU1"/>
    <hyperlink ref="A2232" r:id="rId2230" display="VN000PEWEMU1"/>
    <hyperlink ref="A2233" r:id="rId2231" display="VN000PEWEMU1"/>
    <hyperlink ref="A2234" r:id="rId2232" display="VN000PFBF2L1"/>
    <hyperlink ref="A2235" r:id="rId2233" display="VN000PFF2B61"/>
    <hyperlink ref="A2236" r:id="rId2234" display="VN000PGMEMU1"/>
    <hyperlink ref="A2237" r:id="rId2235" display="VN000PGMEMU1"/>
    <hyperlink ref="A2238" r:id="rId2236" display="VN000PGMY281"/>
    <hyperlink ref="A2239" r:id="rId2237" display="VN000PH6IYR1"/>
    <hyperlink ref="A2240" r:id="rId2238" display="VN000PH6IYR1"/>
    <hyperlink ref="A2241" r:id="rId2239" display="VN000PH8CDX1"/>
    <hyperlink ref="A2242" r:id="rId2240" display="VN000PH8CDX1"/>
    <hyperlink ref="A2243" r:id="rId2241" display="VN000PH8CDX1"/>
    <hyperlink ref="A2244" r:id="rId2242" display="VN000PH8CDX1"/>
    <hyperlink ref="A2245" r:id="rId2243" display="VN000PHPAFM1"/>
    <hyperlink ref="A2246" r:id="rId2244" display="VN000PJ7BLK1"/>
    <hyperlink ref="A2247" r:id="rId2245" display="VN000PJ7BLK1"/>
    <hyperlink ref="A2248" r:id="rId2246" display="VN000PJ7BLK1"/>
    <hyperlink ref="A2249" r:id="rId2247" display="VN000PJ7KCZ1"/>
    <hyperlink ref="A2250" r:id="rId2248" display="VN000PJHLKZ1"/>
    <hyperlink ref="A2251" r:id="rId2249" display="VN000PJMZBF1"/>
    <hyperlink ref="A2252" r:id="rId2250" display="VN000PJMZBF1"/>
    <hyperlink ref="A2253" r:id="rId2251" display="VN000PJMZBF1"/>
    <hyperlink ref="A2254" r:id="rId2252" display="VN000PJR3N11"/>
    <hyperlink ref="A2255" r:id="rId2253" display="VN000PJSBLK1"/>
    <hyperlink ref="A2256" r:id="rId2254" display="VN000PJSD3Z1"/>
    <hyperlink ref="A2257" r:id="rId2255" display="VN000PJTC9F1"/>
    <hyperlink ref="A2258" r:id="rId2256" display="VN000PJU7WM1"/>
    <hyperlink ref="A2259" r:id="rId2257" display="VN000PJU7WM1"/>
    <hyperlink ref="A2260" r:id="rId2258" display="VN000PJU7WM1"/>
    <hyperlink ref="A2261" r:id="rId2259" display="VN000PJU7WM1"/>
    <hyperlink ref="A2262" r:id="rId2260" display="VN000PK0ZRY1"/>
    <hyperlink ref="A2263" r:id="rId2261" display="VN000PK8BLK1"/>
    <hyperlink ref="A2264" r:id="rId2262" display="VN000PKEEN61"/>
    <hyperlink ref="A2265" r:id="rId2263" display="VN000PM39JC1"/>
    <hyperlink ref="A2266" r:id="rId2264" display="VN000PMA9JC1"/>
    <hyperlink ref="A2267" r:id="rId2265" display="VN000PMABLK1"/>
    <hyperlink ref="A2268" r:id="rId2266" display="VN000PMDBLK1"/>
    <hyperlink ref="A2269" r:id="rId2267" display="VN000PMDEMW1"/>
    <hyperlink ref="A2270" r:id="rId2268" display="VN000PMDEMW1"/>
    <hyperlink ref="A2271" r:id="rId2269" display="VN000PMFEB21"/>
    <hyperlink ref="A2272" r:id="rId2270" display="VN000PMFENB1"/>
    <hyperlink ref="A2273" r:id="rId2271" display="VN000PMHEB21"/>
    <hyperlink ref="A2274" r:id="rId2272" display="VN000PMHEB21"/>
    <hyperlink ref="A2275" r:id="rId2273" display="VN000PMHENB1"/>
    <hyperlink ref="A2276" r:id="rId2274" display="VN000PMXEMU1"/>
    <hyperlink ref="A2277" r:id="rId2275" display="VN000PMXEMU1"/>
    <hyperlink ref="A2278" r:id="rId2276" display="VN000PN9ZX71"/>
    <hyperlink ref="A2279" r:id="rId2277" display="VN000PNCRKZ1"/>
    <hyperlink ref="A2280" r:id="rId2278" display="VN000PNGEMV1"/>
    <hyperlink ref="A2281" r:id="rId2279" display="VN000PPJ02F1"/>
    <hyperlink ref="A2282" r:id="rId2280" display="VN000PPKEMP1"/>
    <hyperlink ref="A2283" r:id="rId2281" display="VN000PPUEN71"/>
    <hyperlink ref="A2284" r:id="rId2282" display="VN000PPUEN71"/>
    <hyperlink ref="A2285" r:id="rId2283" display="VN000PQHE901"/>
    <hyperlink ref="A2286" r:id="rId2284" display="VN000PR2BLK1"/>
    <hyperlink ref="A2287" r:id="rId2285" display="VN000PR3BLK1"/>
    <hyperlink ref="A2288" r:id="rId2286" display="VN000PR485T1"/>
    <hyperlink ref="A2289" r:id="rId2287" display="VN000PR485T1"/>
    <hyperlink ref="A2290" r:id="rId2288" display="VN000PR4EMV1"/>
    <hyperlink ref="A2291" r:id="rId2289" display="VN000PR4EMV1"/>
    <hyperlink ref="A2292" r:id="rId2290" display="VN000PR4EMV1"/>
    <hyperlink ref="A2293" r:id="rId2291" display="VN000PREEMW1"/>
    <hyperlink ref="A2294" r:id="rId2292" display="VN000PREEMW1"/>
    <hyperlink ref="A2295" r:id="rId2293" display="VN000PRKEN91"/>
    <hyperlink ref="A2296" r:id="rId2294" display="VN000PRKEN91"/>
    <hyperlink ref="A2297" r:id="rId2295" display="VN000PRKRV21"/>
    <hyperlink ref="A2298" r:id="rId2296" display="VN000PTBF0W1"/>
    <hyperlink ref="A2299" r:id="rId2297" display="VN000PTBF0W1"/>
    <hyperlink ref="A2300" r:id="rId2298" display="VN000PTTBRD1"/>
    <hyperlink ref="A2301" r:id="rId2299" display="VN000PTTBRD1"/>
    <hyperlink ref="A2302" r:id="rId2300" display="VN000PWXBLK1"/>
    <hyperlink ref="A2303" r:id="rId2301" display="VN000PWXEMW1"/>
    <hyperlink ref="A2304" r:id="rId2302" display="VN000PWXEMW1"/>
    <hyperlink ref="A2305" r:id="rId2303" display="VN000PX2EMP1"/>
    <hyperlink ref="A2306" r:id="rId2304" display="VN000PX3BLK1"/>
    <hyperlink ref="A2307" r:id="rId2305" display="VN000PX3BLK1"/>
    <hyperlink ref="A2308" r:id="rId2306" display="VN000PX9RV21"/>
    <hyperlink ref="A2309" r:id="rId2307" display="VN000PXMCDX1"/>
    <hyperlink ref="A2310" r:id="rId2308" display="VN000PXNJDU1"/>
    <hyperlink ref="A2311" r:id="rId2309" display="VN000PXS6JL1"/>
    <hyperlink ref="A2312" r:id="rId2310" display="VN000PXXWHT1"/>
    <hyperlink ref="A2313" r:id="rId2311" display="VN000PY4BLK1"/>
    <hyperlink ref="A2314" r:id="rId2312" display="VN000PY4BLK1"/>
    <hyperlink ref="A2315" r:id="rId2313" display="VN000PY4WHT1"/>
    <hyperlink ref="A2316" r:id="rId2314" display="VN000PYXJDU1"/>
    <hyperlink ref="A2317" r:id="rId2315" display="VN000Q07BLK1"/>
    <hyperlink ref="A2318" r:id="rId2316" display="VN000Q09GC61"/>
    <hyperlink ref="A2319" r:id="rId2317" display="VN000Q0ACDX1"/>
    <hyperlink ref="A2320" r:id="rId2318" display="VN000Q39EN91"/>
    <hyperlink ref="A2321" r:id="rId2319" display="VN000Q43JDU1"/>
    <hyperlink ref="A2322" r:id="rId2320" display="VN000Q49BLK1"/>
    <hyperlink ref="A2323" r:id="rId2321" display="VN000Q49BLK1"/>
    <hyperlink ref="A2324" r:id="rId2322" display="VN000Q7429B1"/>
    <hyperlink ref="A2325" r:id="rId2323" display="VN000Q74EN61"/>
    <hyperlink ref="A2326" r:id="rId2324" display="VN000Q74EN61"/>
    <hyperlink ref="A2327" r:id="rId2325" display="VN000QDFBLK1"/>
    <hyperlink ref="A2328" r:id="rId2326" display="VN000R02WHT1"/>
    <hyperlink ref="A2329" r:id="rId2327" display="VN000R03EN71"/>
    <hyperlink ref="A2330" r:id="rId2328" display="VN000R03WHT1"/>
    <hyperlink ref="A2331" r:id="rId2329" display="VN000R05ATH1"/>
    <hyperlink ref="A2332" r:id="rId2330" display="VN000R15EML1"/>
    <hyperlink ref="A2333" r:id="rId2331" display="VN000R15FS81"/>
    <hyperlink ref="A2334" r:id="rId2332" display="VN000R4ZEMP1"/>
    <hyperlink ref="A2335" r:id="rId2333" display="VN000R742N11"/>
    <hyperlink ref="A2336" r:id="rId2334" display="VN000R74EMS1"/>
    <hyperlink ref="A2337" r:id="rId2335" display="VN000R7AY281"/>
    <hyperlink ref="A2338" r:id="rId2336" display="VN000R8XBLK1"/>
    <hyperlink ref="A2339" r:id="rId2337" display="VN000R8ZBLK1"/>
    <hyperlink ref="A2340" r:id="rId2338" display="VN000R95EMV1"/>
    <hyperlink ref="A2341" r:id="rId2339" display="VN000RAPFS81"/>
    <hyperlink ref="A2342" r:id="rId2340" display="VN000RBYY7U1"/>
    <hyperlink ref="A2343" r:id="rId2341" display="VN000RC1O8W1"/>
    <hyperlink ref="A2344" r:id="rId2342" display="VN000RC1O8W1"/>
    <hyperlink ref="A2345" r:id="rId2343" display="VN000RCHWHT1"/>
    <hyperlink ref="A2346" r:id="rId2344" display="VN000RD1EMW1"/>
    <hyperlink ref="A2347" r:id="rId2345" display="VN000RD1O321"/>
    <hyperlink ref="A2348" r:id="rId2346" display="VN000RD1O321"/>
    <hyperlink ref="A2349" r:id="rId2347" display="VN000RD4EMP1"/>
    <hyperlink ref="A2350" r:id="rId2348" display="VN000RD4EN91"/>
    <hyperlink ref="A2351" r:id="rId2349" display="VN000RD4EN91"/>
    <hyperlink ref="A2352" r:id="rId2350" display="VN000REFWHT1"/>
    <hyperlink ref="A2353" r:id="rId2351" display="VN000REFWHT1"/>
    <hyperlink ref="A2354" r:id="rId2352" display="VN000REMBLK1"/>
    <hyperlink ref="A2355" r:id="rId2353" display="VN000RFR1QI1"/>
    <hyperlink ref="A2356" r:id="rId2354" display="VN000RFR1QI1"/>
    <hyperlink ref="A2357" r:id="rId2355" display="VN000RFRBLK1"/>
    <hyperlink ref="A2358" r:id="rId2356" display="VN000RFUBLK1"/>
    <hyperlink ref="A2359" r:id="rId2357" display="VN000RFUBLK1"/>
    <hyperlink ref="A2360" r:id="rId2358" display="VN000RG2BLK1"/>
    <hyperlink ref="A2361" r:id="rId2359" display="VN000RG44QU1"/>
    <hyperlink ref="A2362" r:id="rId2360" display="VN000RJYPWT1"/>
    <hyperlink ref="A2363" r:id="rId2361" display="VN000RJYPWT1"/>
    <hyperlink ref="A2364" r:id="rId2362" display="VN000WBBBLK1"/>
    <hyperlink ref="A2365" r:id="rId2363" display="VN000XBZIZQ1"/>
    <hyperlink ref="A2366" r:id="rId2364" display="VN000XOIY281"/>
    <hyperlink ref="A2367" r:id="rId2365" display="VN000XR4FS81"/>
    <hyperlink ref="A2368" r:id="rId2366" display="VN000XR62N11"/>
    <hyperlink ref="A2369" r:id="rId2367" display="VN000XR62N11"/>
    <hyperlink ref="A2370" r:id="rId2368" display="VN000Y8VY281"/>
    <hyperlink ref="A2371" r:id="rId2369" display="VN000Y8VYB21"/>
    <hyperlink ref="A2372" r:id="rId2370" display="VN001096WHT1"/>
    <hyperlink ref="A2373" r:id="rId2371" display="VN0010J9BLK1"/>
    <hyperlink ref="A2374" r:id="rId2372" display="VN0A3CZEY281"/>
    <hyperlink ref="A2375" r:id="rId2373" display="VN0A3UDDWHT1"/>
    <hyperlink ref="A2376" r:id="rId2374" display="VN0A3W76BLK1"/>
    <hyperlink ref="A2377" r:id="rId2375" display="VN0A3W76EMY1"/>
    <hyperlink ref="A2378" r:id="rId2376" display="VN0A49MUY281"/>
    <hyperlink ref="A2379" r:id="rId2377" display="VN0A49OYBLK1"/>
    <hyperlink ref="A2380" r:id="rId2378" display="VN0A49OYBLK1"/>
    <hyperlink ref="A2381" r:id="rId2379" display="VN0A4CYYWHT1"/>
    <hyperlink ref="A2382" r:id="rId2380" display="VN0A54YJBLK1"/>
    <hyperlink ref="A2383" r:id="rId2381" display="VN0A5AUBDSB1"/>
    <hyperlink ref="A2384" r:id="rId2382" display="VN0A5FJ7DZ91"/>
    <hyperlink ref="A2385" r:id="rId2383" display="VN0A5FJX1O71"/>
    <hyperlink ref="A2386" r:id="rId2384" display="VN0A5FLPBLK1"/>
    <hyperlink ref="A2387" r:id="rId2385" display="VN0A5JHIBLK1"/>
    <hyperlink ref="A2388" r:id="rId2386" display="VN0A5KEZBLK1"/>
    <hyperlink ref="A2389" r:id="rId2387" display="VN0A7RMDDJR1"/>
    <hyperlink ref="A2390" r:id="rId2388" display="VN0A7U7KCHN1"/>
    <hyperlink ref="A2391" r:id="rId2389" display="VN0A7U7KCHN1"/>
    <hyperlink ref="A2392" r:id="rId2390" display="VN0A7U7KCHN1"/>
    <hyperlink ref="A2393" r:id="rId2391" display="VN0A7Y4RLKZ1"/>
    <hyperlink ref="A2394" r:id="rId2392" display="VN0A7YUTBLK1"/>
    <hyperlink ref="A2395" r:id="rId2393" display="VN0A7YUTWHT1"/>
    <hyperlink ref="A2396" r:id="rId2394" display="VN000H58ENA1"/>
    <hyperlink ref="A2397" r:id="rId2395" display="VN000HDDE2W1"/>
    <hyperlink ref="A2398" r:id="rId2396" display="VN000HRFEN61"/>
    <hyperlink ref="A2399" r:id="rId2397" display="VN000HRJ6PH1"/>
    <hyperlink ref="A2400" r:id="rId2398" display="VN000KYJBLK1"/>
    <hyperlink ref="A2401" r:id="rId2399" display="VN000M7MZBF1"/>
    <hyperlink ref="A2402" r:id="rId2400" display="VN000Q99Y7X1"/>
    <hyperlink ref="A2403" r:id="rId2401" display="VN0005UFBLL1"/>
    <hyperlink ref="A2404" r:id="rId2402" display="VN0005UFBLL1"/>
    <hyperlink ref="A2405" r:id="rId2403" display="VN0005UFBLL1"/>
    <hyperlink ref="A2406" r:id="rId2404" display="VN0005UFBLL1"/>
    <hyperlink ref="A2407" r:id="rId2405" display="VN0005W8BLU1"/>
    <hyperlink ref="A2408" r:id="rId2406" display="VN0007NK3N11"/>
    <hyperlink ref="A2409" r:id="rId2407" display="VN0007NK4581"/>
    <hyperlink ref="A2410" r:id="rId2408" display="VN0007NKBKA1"/>
    <hyperlink ref="A2411" r:id="rId2409" display="VN0007NSBY11"/>
    <hyperlink ref="A2412" r:id="rId2410" display="VN0007NSRED1"/>
    <hyperlink ref="A2413" r:id="rId2411" display="VN0007P9EN91"/>
    <hyperlink ref="A2414" r:id="rId2412" display="VN0007Q3DJR1"/>
    <hyperlink ref="A2415" r:id="rId2413" display="VN0009PZDRV1"/>
    <hyperlink ref="A2416" r:id="rId2414" display="VN0009Q0BGF1"/>
    <hyperlink ref="A2417" r:id="rId2415" display="VN0009QCCJI1"/>
    <hyperlink ref="A2418" r:id="rId2416" display="VN0009QMBLA1"/>
    <hyperlink ref="A2419" r:id="rId2417" display="VN000BCEBMV1"/>
    <hyperlink ref="A2420" r:id="rId2418" display="VN000BCECCZ1"/>
    <hyperlink ref="A2421" r:id="rId2419" display="VN000BCECCZ1"/>
    <hyperlink ref="A2422" r:id="rId2420" display="VN000BCELLC1"/>
    <hyperlink ref="A2423" r:id="rId2421" display="VN000BCELZZ1"/>
    <hyperlink ref="A2424" r:id="rId2422" display="VN000BCERV21"/>
    <hyperlink ref="A2425" r:id="rId2423" display="VN000BVZ1NU1"/>
    <hyperlink ref="A2426" r:id="rId2424" display="VN000BVZ1NU1"/>
    <hyperlink ref="A2427" r:id="rId2425" display="VN000BVZ2391"/>
    <hyperlink ref="A2428" r:id="rId2426" display="VN000BVZ2391"/>
    <hyperlink ref="A2429" r:id="rId2427" display="VN000BVZ2391"/>
    <hyperlink ref="A2430" r:id="rId2428" display="VN000BVZCJL1"/>
    <hyperlink ref="A2431" r:id="rId2429" display="VN000BW7B7G1"/>
    <hyperlink ref="A2432" r:id="rId2430" display="VN000BW7RV21"/>
    <hyperlink ref="A2433" r:id="rId2431" display="VN000BWB0VW1"/>
    <hyperlink ref="A2434" r:id="rId2432" display="VN000CN1E301"/>
    <hyperlink ref="A2435" r:id="rId2433" display="VN000CP5BMC1"/>
    <hyperlink ref="A2436" r:id="rId2434" display="VN000CP5BMC1"/>
    <hyperlink ref="A2437" r:id="rId2435" display="VN000CPZC2R1"/>
    <hyperlink ref="A2438" r:id="rId2436" display="VN000CQ04C31"/>
    <hyperlink ref="A2439" r:id="rId2437" display="VN000CQ04C31"/>
    <hyperlink ref="A2440" r:id="rId2438" display="VN000CQ04C31"/>
    <hyperlink ref="A2441" r:id="rId2439" display="VN000CQ04C31"/>
    <hyperlink ref="A2442" r:id="rId2440" display="VN000CQ04C31"/>
    <hyperlink ref="A2443" r:id="rId2441" display="VN000CQ0BLK1"/>
    <hyperlink ref="A2444" r:id="rId2442" display="VN000CQ0BLK1"/>
    <hyperlink ref="A2445" r:id="rId2443" display="VN000CQ0BLK1"/>
    <hyperlink ref="A2446" r:id="rId2444" display="VN000CQ0BMW1"/>
    <hyperlink ref="A2447" r:id="rId2445" display="VN000CQ0BRO1"/>
    <hyperlink ref="A2448" r:id="rId2446" display="VN000CQ0EMY1"/>
    <hyperlink ref="A2449" r:id="rId2447" display="VN000CQ0EMY1"/>
    <hyperlink ref="A2450" r:id="rId2448" display="VN000CQ0EMY1"/>
    <hyperlink ref="A2451" r:id="rId2449" display="VN000CQ0Y091"/>
    <hyperlink ref="A2452" r:id="rId2450" display="VN000CQ0Y091"/>
    <hyperlink ref="A2453" r:id="rId2451" display="VN000CQ0Y091"/>
    <hyperlink ref="A2454" r:id="rId2452" display="VN000CQ0Y091"/>
    <hyperlink ref="A2455" r:id="rId2453" display="VN000CQ0Y091"/>
    <hyperlink ref="A2456" r:id="rId2454" display="VN000CQ0Y091"/>
    <hyperlink ref="A2457" r:id="rId2455" display="VN000CQF2VM1"/>
    <hyperlink ref="A2458" r:id="rId2456" display="VN000CQFBL21"/>
    <hyperlink ref="A2459" r:id="rId2457" display="VN000CQRCFL1"/>
    <hyperlink ref="A2460" r:id="rId2458" display="VN000CQRYLZ1"/>
    <hyperlink ref="A2461" r:id="rId2459" display="VN000CR5EPO1"/>
    <hyperlink ref="A2462" r:id="rId2460" display="VN000CRRBJ41"/>
    <hyperlink ref="A2463" r:id="rId2461" display="VN000CRRBJ41"/>
    <hyperlink ref="A2464" r:id="rId2462" display="VN000CS0BRO1"/>
    <hyperlink ref="A2465" r:id="rId2463" display="VN000CS0D4C1"/>
    <hyperlink ref="A2466" r:id="rId2464" display="VN000CS3ULE1"/>
    <hyperlink ref="A2467" r:id="rId2465" display="VN000CT8HCZ1"/>
    <hyperlink ref="A2468" r:id="rId2466" display="VN000CT8HCZ1"/>
    <hyperlink ref="A2469" r:id="rId2467" display="VN000CTG1NU1"/>
    <hyperlink ref="A2470" r:id="rId2468" display="VN000CTG1NU1"/>
    <hyperlink ref="A2471" r:id="rId2469" display="VN000CTG4481"/>
    <hyperlink ref="A2472" r:id="rId2470" display="VN000CTG7VF1"/>
    <hyperlink ref="A2473" r:id="rId2471" display="VN000CTG7VF1"/>
    <hyperlink ref="A2474" r:id="rId2472" display="VN000CTGPIB1"/>
    <hyperlink ref="A2475" r:id="rId2473" display="VN000CTGPIB1"/>
    <hyperlink ref="A2476" r:id="rId2474" display="VN000CTGPIB1"/>
    <hyperlink ref="A2477" r:id="rId2475" display="VN000CTGREB1"/>
    <hyperlink ref="A2478" r:id="rId2476" display="VN000CTGRV21"/>
    <hyperlink ref="A2479" r:id="rId2477" display="VN000CTMYY21"/>
    <hyperlink ref="A2480" r:id="rId2478" display="VN000CVR2PR1"/>
    <hyperlink ref="A2481" r:id="rId2479" display="VN000CVRN1Z1"/>
    <hyperlink ref="A2482" r:id="rId2480" display="VN000CVS1OJ1"/>
    <hyperlink ref="A2483" r:id="rId2481" display="VN000CVT7YO1"/>
    <hyperlink ref="A2484" r:id="rId2482" display="VN000CVT7YO1"/>
    <hyperlink ref="A2485" r:id="rId2483" display="VN000CVU1LO1"/>
    <hyperlink ref="A2486" r:id="rId2484" display="VN000CVU85T1"/>
    <hyperlink ref="A2487" r:id="rId2485" display="VN000CVUBLK1"/>
    <hyperlink ref="A2488" r:id="rId2486" display="VN000CVUBLK1"/>
    <hyperlink ref="A2489" r:id="rId2487" display="VN000CVUBLK1"/>
    <hyperlink ref="A2490" r:id="rId2488" display="VN000CVUBLK1"/>
    <hyperlink ref="A2491" r:id="rId2489" display="VN000CVUBLK1"/>
    <hyperlink ref="A2492" r:id="rId2490" display="VN000CVUBLK1"/>
    <hyperlink ref="A2493" r:id="rId2491" display="VN000CVUBLU1"/>
    <hyperlink ref="A2494" r:id="rId2492" display="VN000CVUBLU1"/>
    <hyperlink ref="A2495" r:id="rId2493" display="VN000CVUCRM1"/>
    <hyperlink ref="A2496" r:id="rId2494" display="VN000CVUDRB1"/>
    <hyperlink ref="A2497" r:id="rId2495" display="VN000CVUDRB1"/>
    <hyperlink ref="A2498" r:id="rId2496" display="VN000CVUDRB1"/>
    <hyperlink ref="A2499" r:id="rId2497" display="VN000CVUE2V1"/>
    <hyperlink ref="A2500" r:id="rId2498" display="VN000CVULKZ1"/>
    <hyperlink ref="A2501" r:id="rId2499" display="VN000CVUOLV1"/>
    <hyperlink ref="A2502" r:id="rId2500" display="VN000CVUOLV1"/>
    <hyperlink ref="A2503" r:id="rId2501" display="VN000CVURPK1"/>
    <hyperlink ref="A2504" r:id="rId2502" display="VN000CVV7YO1"/>
    <hyperlink ref="A2505" r:id="rId2503" display="VN000CVVBA21"/>
    <hyperlink ref="A2506" r:id="rId2504" display="VN000CVVCRM1"/>
    <hyperlink ref="A2507" r:id="rId2505" display="VN000CVVN1Z1"/>
    <hyperlink ref="A2508" r:id="rId2506" display="VN000CVVOLV1"/>
    <hyperlink ref="A2509" r:id="rId2507" display="VN000CWDCRM1"/>
    <hyperlink ref="A2510" r:id="rId2508" display="VN000CWEBLU1"/>
    <hyperlink ref="A2511" r:id="rId2509" display="VN000CWEKKK1"/>
    <hyperlink ref="A2512" r:id="rId2510" display="VN000CWESQ71"/>
    <hyperlink ref="A2513" r:id="rId2511" display="VN000CWF11H1"/>
    <hyperlink ref="A2514" r:id="rId2512" display="VN000CWF9JC1"/>
    <hyperlink ref="A2515" r:id="rId2513" display="VN000CXVOVI1"/>
    <hyperlink ref="A2516" r:id="rId2514" display="VN000CYAEMY1"/>
    <hyperlink ref="A2517" r:id="rId2515" display="VN000CYAEMY1"/>
    <hyperlink ref="A2518" r:id="rId2516" display="VN000CYARV21"/>
    <hyperlink ref="A2519" r:id="rId2517" display="VN000CYEEMY1"/>
    <hyperlink ref="A2520" r:id="rId2518" display="VN000CYPBML1"/>
    <hyperlink ref="A2521" r:id="rId2519" display="VN000CYU4QU1"/>
    <hyperlink ref="A2522" r:id="rId2520" display="VN000CYU4QU1"/>
    <hyperlink ref="A2523" r:id="rId2521" display="VN000CYU4QU1"/>
    <hyperlink ref="A2524" r:id="rId2522" display="VN000CYUE2T1"/>
    <hyperlink ref="A2525" r:id="rId2523" display="VN000CYUEN61"/>
    <hyperlink ref="A2526" r:id="rId2524" display="VN000CYVENA1"/>
    <hyperlink ref="A2527" r:id="rId2525" display="VN000CZ7BLA1"/>
    <hyperlink ref="A2528" r:id="rId2526" display="VN000CZ7EMW1"/>
    <hyperlink ref="A2529" r:id="rId2527" display="VN000CZ7EMW1"/>
    <hyperlink ref="A2530" r:id="rId2528" display="VN000CZ7EMW1"/>
    <hyperlink ref="A2531" r:id="rId2529" display="VN000CZ7EMW1"/>
    <hyperlink ref="A2532" r:id="rId2530" display="VN000CZ7EMW1"/>
    <hyperlink ref="A2533" r:id="rId2531" display="VN000CZ7RV21"/>
    <hyperlink ref="A2534" r:id="rId2532" display="VN000D07L371"/>
    <hyperlink ref="A2535" r:id="rId2533" display="VN000D07YB21"/>
    <hyperlink ref="A2536" r:id="rId2534" display="VN000D0ENGM1"/>
    <hyperlink ref="A2537" r:id="rId2535" display="VN000D0HBMV1"/>
    <hyperlink ref="A2538" r:id="rId2536" display="VN000D0HBZW1"/>
    <hyperlink ref="A2539" r:id="rId2537" display="VN000D0HBZW1"/>
    <hyperlink ref="A2540" r:id="rId2538" display="VN000D0HEMY1"/>
    <hyperlink ref="A2541" r:id="rId2539" display="VN000D0HEMY1"/>
    <hyperlink ref="A2542" r:id="rId2540" display="VN000D0HEMY1"/>
    <hyperlink ref="A2543" r:id="rId2541" display="VN000D0HKCZ1"/>
    <hyperlink ref="A2544" r:id="rId2542" display="VN000D0HKCZ1"/>
    <hyperlink ref="A2545" r:id="rId2543" display="VN000D0JYJ71"/>
    <hyperlink ref="A2546" r:id="rId2544" display="VN000D0KEN61"/>
    <hyperlink ref="A2547" r:id="rId2545" display="VN000D0KEN61"/>
    <hyperlink ref="A2548" r:id="rId2546" display="VN000D0KEN61"/>
    <hyperlink ref="A2549" r:id="rId2547" display="VN000D0KEN61"/>
    <hyperlink ref="A2550" r:id="rId2548" display="VN000D0M11E1"/>
    <hyperlink ref="A2551" r:id="rId2549" display="VN000D0M11E1"/>
    <hyperlink ref="A2552" r:id="rId2550" display="VN000D0MBZW1"/>
    <hyperlink ref="A2553" r:id="rId2551" display="VN000D0MBZW1"/>
    <hyperlink ref="A2554" r:id="rId2552" display="VN000D0MBZW1"/>
    <hyperlink ref="A2555" r:id="rId2553" display="VN000D0MKCZ1"/>
    <hyperlink ref="A2556" r:id="rId2554" display="VN000D0MKCZ1"/>
    <hyperlink ref="A2557" r:id="rId2555" display="VN000D0MKCZ1"/>
    <hyperlink ref="A2558" r:id="rId2556" display="VN000D0MKCZ1"/>
    <hyperlink ref="A2559" r:id="rId2557" display="VN000D0MKCZ1"/>
    <hyperlink ref="A2560" r:id="rId2558" display="VN000D0PEMW1"/>
    <hyperlink ref="A2561" r:id="rId2559" display="VN000D0S1NU1"/>
    <hyperlink ref="A2562" r:id="rId2560" display="VN000D0S7051"/>
    <hyperlink ref="A2563" r:id="rId2561" display="VN000D0SYJ71"/>
    <hyperlink ref="A2564" r:id="rId2562" display="VN000D0SYJ71"/>
    <hyperlink ref="A2565" r:id="rId2563" display="VN000D0SYJ71"/>
    <hyperlink ref="A2566" r:id="rId2564" display="VN000D1011E1"/>
    <hyperlink ref="A2567" r:id="rId2565" display="VN000D1011E1"/>
    <hyperlink ref="A2568" r:id="rId2566" display="VN000D1011E1"/>
    <hyperlink ref="A2569" r:id="rId2567" display="VN000D10N1Z1"/>
    <hyperlink ref="A2570" r:id="rId2568" display="VN000D10N1Z1"/>
    <hyperlink ref="A2571" r:id="rId2569" display="VN000D1111E1"/>
    <hyperlink ref="A2572" r:id="rId2570" display="VN000D111KP1"/>
    <hyperlink ref="A2573" r:id="rId2571" display="VN000D111KP1"/>
    <hyperlink ref="A2574" r:id="rId2572" display="VN000D111KP1"/>
    <hyperlink ref="A2575" r:id="rId2573" display="VN000D11N1Z1"/>
    <hyperlink ref="A2576" r:id="rId2574" display="VN000D12BIY1"/>
    <hyperlink ref="A2577" r:id="rId2575" display="VN000D1BEMU1"/>
    <hyperlink ref="A2578" r:id="rId2576" display="VN000D1BEMU1"/>
    <hyperlink ref="A2579" r:id="rId2577" display="VN000D1BEMU1"/>
    <hyperlink ref="A2580" r:id="rId2578" display="VN000D1HBXC1"/>
    <hyperlink ref="A2581" r:id="rId2579" display="VN000D1HO3N1"/>
    <hyperlink ref="A2582" r:id="rId2580" display="VN000D1J4C61"/>
    <hyperlink ref="A2583" r:id="rId2581" display="VN000D1J7D61"/>
    <hyperlink ref="A2584" r:id="rId2582" display="VN000D1JBRO1"/>
    <hyperlink ref="A2585" r:id="rId2583" display="VN000D1JV0N1"/>
    <hyperlink ref="A2586" r:id="rId2584" display="VN000D1JV0N1"/>
    <hyperlink ref="A2587" r:id="rId2585" display="VN000D1JY231"/>
    <hyperlink ref="A2588" r:id="rId2586" display="VN000D1P89F1"/>
    <hyperlink ref="A2589" r:id="rId2587" display="VN000D1PDJR1"/>
    <hyperlink ref="A2590" r:id="rId2588" display="VN000D1PDJR1"/>
    <hyperlink ref="A2591" r:id="rId2589" display="VN000D221NU1"/>
    <hyperlink ref="A2592" r:id="rId2590" display="VN000D22B9P1"/>
    <hyperlink ref="A2593" r:id="rId2591" display="VN000D22BGG1"/>
    <hyperlink ref="A2594" r:id="rId2592" display="VN000D22BGG1"/>
    <hyperlink ref="A2595" r:id="rId2593" display="VN000D22EMU1"/>
    <hyperlink ref="A2596" r:id="rId2594" display="VN000D22WTM1"/>
    <hyperlink ref="A2597" r:id="rId2595" display="VN000D26CJG1"/>
    <hyperlink ref="A2598" r:id="rId2596" display="VN000D26CJG1"/>
    <hyperlink ref="A2599" r:id="rId2597" display="VN000D26DFN1"/>
    <hyperlink ref="A2600" r:id="rId2598" display="VN000D26GWT1"/>
    <hyperlink ref="A2601" r:id="rId2599" display="VN000D26GWT1"/>
    <hyperlink ref="A2602" r:id="rId2600" display="VN000D26PWT1"/>
    <hyperlink ref="A2603" r:id="rId2601" display="VN000D26Y611"/>
    <hyperlink ref="A2604" r:id="rId2602" display="VN000D281OJ1"/>
    <hyperlink ref="A2605" r:id="rId2603" display="VN000D2DEMF1"/>
    <hyperlink ref="A2606" r:id="rId2604" display="VN000D2VBLA1"/>
    <hyperlink ref="A2607" r:id="rId2605" display="VN000D3QEMP1"/>
    <hyperlink ref="A2608" r:id="rId2606" display="VN000D45EMY1"/>
    <hyperlink ref="A2609" r:id="rId2607" display="VN000D4MKCZ1"/>
    <hyperlink ref="A2610" r:id="rId2608" display="VN000D4MKCZ1"/>
    <hyperlink ref="A2611" r:id="rId2609" display="VN000D4MKCZ1"/>
    <hyperlink ref="A2612" r:id="rId2610" display="VN000D4MNVY1"/>
    <hyperlink ref="A2613" r:id="rId2611" display="VN000D4MNVY1"/>
    <hyperlink ref="A2614" r:id="rId2612" display="VN000D4MYB21"/>
    <hyperlink ref="A2615" r:id="rId2613" display="VN000D4N2B61"/>
    <hyperlink ref="A2616" r:id="rId2614" display="VN000D4N2B61"/>
    <hyperlink ref="A2617" r:id="rId2615" display="VN000D4NBKA1"/>
    <hyperlink ref="A2618" r:id="rId2616" display="VN000D4NBZW1"/>
    <hyperlink ref="A2619" r:id="rId2617" display="VN000D4NBZW1"/>
    <hyperlink ref="A2620" r:id="rId2618" display="VN000D4NBZW1"/>
    <hyperlink ref="A2621" r:id="rId2619" display="VN000D4SCFL1"/>
    <hyperlink ref="A2622" r:id="rId2620" display="VN000D5D17P1"/>
    <hyperlink ref="A2623" r:id="rId2621" display="VN000D5D17P1"/>
    <hyperlink ref="A2624" r:id="rId2622" display="VN000D5D17P1"/>
    <hyperlink ref="A2625" r:id="rId2623" display="VN000D5DDUF1"/>
    <hyperlink ref="A2626" r:id="rId2624" display="VN000D5R11U1"/>
    <hyperlink ref="A2627" r:id="rId2625" display="VN000D5R9DH1"/>
    <hyperlink ref="A2628" r:id="rId2626" display="VN000D5RBRG1"/>
    <hyperlink ref="A2629" r:id="rId2627" display="VN000D5RBRG1"/>
    <hyperlink ref="A2630" r:id="rId2628" display="VN000D5RBRG1"/>
    <hyperlink ref="A2631" r:id="rId2629" display="VN000D5RBRG1"/>
    <hyperlink ref="A2632" r:id="rId2630" display="VN000D5RY521"/>
    <hyperlink ref="A2633" r:id="rId2631" display="VN000D5VBH71"/>
    <hyperlink ref="A2634" r:id="rId2632" display="VN000D5VDRB1"/>
    <hyperlink ref="A2635" r:id="rId2633" display="VN000D5VZRY1"/>
    <hyperlink ref="A2636" r:id="rId2634" display="VN000D5VZRY1"/>
    <hyperlink ref="A2637" r:id="rId2635" display="VN000D60CRM1"/>
    <hyperlink ref="A2638" r:id="rId2636" display="VN000D60CRM1"/>
    <hyperlink ref="A2639" r:id="rId2637" display="VN000D60EMW1"/>
    <hyperlink ref="A2640" r:id="rId2638" display="VN000D60EMW1"/>
    <hyperlink ref="A2641" r:id="rId2639" display="VN000D60EMW1"/>
    <hyperlink ref="A2642" r:id="rId2640" display="VN000D60RV21"/>
    <hyperlink ref="A2643" r:id="rId2641" display="VN000D60RV21"/>
    <hyperlink ref="A2644" r:id="rId2642" display="VN000D60RV21"/>
    <hyperlink ref="A2645" r:id="rId2643" display="VN000D610VW1"/>
    <hyperlink ref="A2646" r:id="rId2644" display="VN000D610VW1"/>
    <hyperlink ref="A2647" r:id="rId2645" display="VN000D610VW1"/>
    <hyperlink ref="A2648" r:id="rId2646" display="VN000D610VW1"/>
    <hyperlink ref="A2649" r:id="rId2647" display="VN000D610VW1"/>
    <hyperlink ref="A2650" r:id="rId2648" display="VN000D61EMP1"/>
    <hyperlink ref="A2651" r:id="rId2649" display="VN000D61TBN1"/>
    <hyperlink ref="A2652" r:id="rId2650" display="VN000D6CCI21"/>
    <hyperlink ref="A2653" r:id="rId2651" display="VN000D6CFCJ1"/>
    <hyperlink ref="A2654" r:id="rId2652" display="VN000D6F2391"/>
    <hyperlink ref="A2655" r:id="rId2653" display="VN000D6F2391"/>
    <hyperlink ref="A2656" r:id="rId2654" display="VN000D6F2391"/>
    <hyperlink ref="A2657" r:id="rId2655" display="VN000D6F2391"/>
    <hyperlink ref="A2658" r:id="rId2656" display="VN000D6FBF01"/>
    <hyperlink ref="A2659" r:id="rId2657" display="VN000D6FBGK1"/>
    <hyperlink ref="A2660" r:id="rId2658" display="VN000D6FEME1"/>
    <hyperlink ref="A2661" r:id="rId2659" display="VN000D6FEME1"/>
    <hyperlink ref="A2662" r:id="rId2660" display="VN000D6FY491"/>
    <hyperlink ref="A2663" r:id="rId2661" display="VN000D6FY7U1"/>
    <hyperlink ref="A2664" r:id="rId2662" display="VN000D6N24O1"/>
    <hyperlink ref="A2665" r:id="rId2663" display="VN000D6SCJA1"/>
    <hyperlink ref="A2666" r:id="rId2664" display="VN000D6SCJA1"/>
    <hyperlink ref="A2667" r:id="rId2665" display="VN000D6SYW31"/>
    <hyperlink ref="A2668" r:id="rId2666" display="VN000D6W11E1"/>
    <hyperlink ref="A2669" r:id="rId2667" display="VN000D6W2031"/>
    <hyperlink ref="A2670" r:id="rId2668" display="VN000D6W2031"/>
    <hyperlink ref="A2671" r:id="rId2669" display="VN000D6W7D61"/>
    <hyperlink ref="A2672" r:id="rId2670" display="VN000D6WEMG1"/>
    <hyperlink ref="A2673" r:id="rId2671" display="VN000D6WEMG1"/>
    <hyperlink ref="A2674" r:id="rId2672" display="VN000D6WEMG1"/>
    <hyperlink ref="A2675" r:id="rId2673" display="VN000D6WEMG1"/>
    <hyperlink ref="A2676" r:id="rId2674" display="VN000D6WEMU1"/>
    <hyperlink ref="A2677" r:id="rId2675" display="VN000D6WEMU1"/>
    <hyperlink ref="A2678" r:id="rId2676" display="VN000D6WEMW1"/>
    <hyperlink ref="A2679" r:id="rId2677" display="VN000D6WEMW1"/>
    <hyperlink ref="A2680" r:id="rId2678" display="VN000D6WEMW1"/>
    <hyperlink ref="A2681" r:id="rId2679" display="VN000D6WRPK1"/>
    <hyperlink ref="A2682" r:id="rId2680" display="VN000D6WY7U1"/>
    <hyperlink ref="A2683" r:id="rId2681" display="VN000D6YEMH1"/>
    <hyperlink ref="A2684" r:id="rId2682" display="VN000D6YEMY1"/>
    <hyperlink ref="A2685" r:id="rId2683" display="VN000D6YEZI1"/>
    <hyperlink ref="A2686" r:id="rId2684" display="VN000D6YEZI1"/>
    <hyperlink ref="A2687" r:id="rId2685" display="VN000D6YIZQ1"/>
    <hyperlink ref="A2688" r:id="rId2686" display="VN000D6ZEMT1"/>
    <hyperlink ref="A2689" r:id="rId2687" display="VN000D6ZEMY1"/>
    <hyperlink ref="A2690" r:id="rId2688" display="VN000D6ZEZI1"/>
    <hyperlink ref="A2691" r:id="rId2689" display="VN000D6ZEZI1"/>
    <hyperlink ref="A2692" r:id="rId2690" display="VN000D6ZEZI1"/>
    <hyperlink ref="A2693" r:id="rId2691" display="VN000D6ZORA1"/>
    <hyperlink ref="A2694" r:id="rId2692" display="VN000D6ZORA1"/>
    <hyperlink ref="A2695" r:id="rId2693" display="VN000D6ZORA1"/>
    <hyperlink ref="A2696" r:id="rId2694" display="VN000D6ZORA1"/>
    <hyperlink ref="A2697" r:id="rId2695" display="VN000D6ZORA1"/>
    <hyperlink ref="A2698" r:id="rId2696" display="VN000D6ZTTN1"/>
    <hyperlink ref="A2699" r:id="rId2697" display="VN000D70BM81"/>
    <hyperlink ref="A2700" r:id="rId2698" display="VN000D7ABKA1"/>
    <hyperlink ref="A2701" r:id="rId2699" display="VN000D7G29B1"/>
    <hyperlink ref="A2702" r:id="rId2700" display="VN000D7JCKP1"/>
    <hyperlink ref="A2703" r:id="rId2701" display="VN000D7Z1NU1"/>
    <hyperlink ref="A2704" r:id="rId2702" display="VN000D7Z6N01"/>
    <hyperlink ref="A2705" r:id="rId2703" display="VN000D7Z6N01"/>
    <hyperlink ref="A2706" r:id="rId2704" display="VN000D7ZM8I1"/>
    <hyperlink ref="A2707" r:id="rId2705" display="VN000D7ZM8I1"/>
    <hyperlink ref="A2708" r:id="rId2706" display="VN000D80BF01"/>
    <hyperlink ref="A2709" r:id="rId2707" display="VN000D83RNE1"/>
    <hyperlink ref="A2710" r:id="rId2708" display="VN000D85EME1"/>
    <hyperlink ref="A2711" r:id="rId2709" display="VN000D8X6PH1"/>
    <hyperlink ref="A2712" r:id="rId2710" display="VN000D9ACJ71"/>
    <hyperlink ref="A2713" r:id="rId2711" display="VN000D9Y0CS1"/>
    <hyperlink ref="A2714" r:id="rId2712" display="VN000D9YBGK1"/>
    <hyperlink ref="A2715" r:id="rId2713" display="VN000D9YBX91"/>
    <hyperlink ref="A2716" r:id="rId2714" display="VN000D9YRV21"/>
    <hyperlink ref="A2717" r:id="rId2715" display="VN000D9YTUP1"/>
    <hyperlink ref="A2718" r:id="rId2716" display="VN000D9YTUP1"/>
    <hyperlink ref="A2719" r:id="rId2717" display="VN000D9YTUP1"/>
    <hyperlink ref="A2720" r:id="rId2718" display="VN000D9ZKOU1"/>
    <hyperlink ref="A2721" r:id="rId2719" display="VN000D9ZKOU1"/>
    <hyperlink ref="A2722" r:id="rId2720" display="VN000D9ZYB21"/>
    <hyperlink ref="A2723" r:id="rId2721" display="VN000D9ZYB21"/>
    <hyperlink ref="A2724" r:id="rId2722" display="VN000DA18DX1"/>
    <hyperlink ref="A2725" r:id="rId2723" display="VN000DA18DX1"/>
    <hyperlink ref="A2726" r:id="rId2724" display="VN000DA18DX1"/>
    <hyperlink ref="A2727" r:id="rId2725" display="VN000DA1Z341"/>
    <hyperlink ref="A2728" r:id="rId2726" display="VN000DA2B9M1"/>
    <hyperlink ref="A2729" r:id="rId2727" display="VN000DA2B9M1"/>
    <hyperlink ref="A2730" r:id="rId2728" display="VN000DAH7UG1"/>
    <hyperlink ref="A2731" r:id="rId2729" display="VN000DAHRV21"/>
    <hyperlink ref="A2732" r:id="rId2730" display="VN000DAHRV21"/>
    <hyperlink ref="A2733" r:id="rId2731" display="VN000DAHRV21"/>
    <hyperlink ref="A2734" r:id="rId2732" display="VN000DAHY401"/>
    <hyperlink ref="A2735" r:id="rId2733" display="VN000DAHY401"/>
    <hyperlink ref="A2736" r:id="rId2734" display="VN000DAHY401"/>
    <hyperlink ref="A2737" r:id="rId2735" display="VN000DAHY401"/>
    <hyperlink ref="A2738" r:id="rId2736" display="VN000DAMLM31"/>
    <hyperlink ref="A2739" r:id="rId2737" display="VN000DAMRMO1"/>
    <hyperlink ref="A2740" r:id="rId2738" display="VN000DAQ02Y1"/>
    <hyperlink ref="A2741" r:id="rId2739" display="VN000DAQ02Y1"/>
    <hyperlink ref="A2742" r:id="rId2740" display="VN000DAQ02Y1"/>
    <hyperlink ref="A2743" r:id="rId2741" display="VN000DAQ1MG1"/>
    <hyperlink ref="A2744" r:id="rId2742" display="VN000DAQ1MG1"/>
    <hyperlink ref="A2745" r:id="rId2743" display="VN000DAQ1MG1"/>
    <hyperlink ref="A2746" r:id="rId2744" display="VN000DAQ1MG1"/>
    <hyperlink ref="A2747" r:id="rId2745" display="VN000DAQ91K1"/>
    <hyperlink ref="A2748" r:id="rId2746" display="VN000DAQ9DH1"/>
    <hyperlink ref="A2749" r:id="rId2747" display="VN000DAQRPK1"/>
    <hyperlink ref="A2750" r:id="rId2748" display="VN000DAQRV21"/>
    <hyperlink ref="A2751" r:id="rId2749" display="VN000DAQTWH1"/>
    <hyperlink ref="A2752" r:id="rId2750" display="VN000DAQTWH1"/>
    <hyperlink ref="A2753" r:id="rId2751" display="VN000DAQY491"/>
    <hyperlink ref="A2754" r:id="rId2752" display="VN000DAQZO21"/>
    <hyperlink ref="A2755" r:id="rId2753" display="VN000DAQZO21"/>
    <hyperlink ref="A2756" r:id="rId2754" display="VN000DARBKL1"/>
    <hyperlink ref="A2757" r:id="rId2755" display="VN000DARBKL1"/>
    <hyperlink ref="A2758" r:id="rId2756" display="VN000DARC9F1"/>
    <hyperlink ref="A2759" r:id="rId2757" display="VN000DARC9F1"/>
    <hyperlink ref="A2760" r:id="rId2758" display="VN000DARC9F1"/>
    <hyperlink ref="A2761" r:id="rId2759" display="VN000DARF871"/>
    <hyperlink ref="A2762" r:id="rId2760" display="VN000DAYF871"/>
    <hyperlink ref="A2763" r:id="rId2761" display="VN000DAZSTN1"/>
    <hyperlink ref="A2764" r:id="rId2762" display="VN000DAZSTN1"/>
    <hyperlink ref="A2765" r:id="rId2763" display="VN000DAZSTN1"/>
    <hyperlink ref="A2766" r:id="rId2764" display="VN000DAZSTN1"/>
    <hyperlink ref="A2767" r:id="rId2765" display="VN000DAZSTN1"/>
    <hyperlink ref="A2768" r:id="rId2766" display="VN000DCBYJ71"/>
    <hyperlink ref="A2769" r:id="rId2767" display="VN000DCBYJ71"/>
    <hyperlink ref="A2770" r:id="rId2768" display="VN000DCE2VZ1"/>
    <hyperlink ref="A2771" r:id="rId2769" display="VN000DCEBRD1"/>
    <hyperlink ref="A2772" r:id="rId2770" display="VN000DCJGRN1"/>
    <hyperlink ref="A2773" r:id="rId2771" display="VN000E7UTC41"/>
    <hyperlink ref="A2774" r:id="rId2772" display="VN000E7UTC41"/>
    <hyperlink ref="A2775" r:id="rId2773" display="VN000E89OXS1"/>
    <hyperlink ref="A2776" r:id="rId2774" display="VN000E89YG41"/>
    <hyperlink ref="A2777" r:id="rId2775" display="VN000E89YG41"/>
    <hyperlink ref="A2778" r:id="rId2776" display="VN000E8CGMU1"/>
    <hyperlink ref="A2779" r:id="rId2777" display="VN000E8WBGF1"/>
    <hyperlink ref="A2780" r:id="rId2778" display="VN000E8WBRD1"/>
    <hyperlink ref="A2781" r:id="rId2779" display="VN000E8WBRD1"/>
    <hyperlink ref="A2782" r:id="rId2780" display="VN000E8WBRD1"/>
    <hyperlink ref="A2783" r:id="rId2781" display="VN000E8WCCZ1"/>
    <hyperlink ref="A2784" r:id="rId2782" display="VN000E8WIZQ1"/>
    <hyperlink ref="A2785" r:id="rId2783" display="VN000E8WYS51"/>
    <hyperlink ref="A2786" r:id="rId2784" display="VN000E91BA51"/>
    <hyperlink ref="A2787" r:id="rId2785" display="VN000EA9BA21"/>
    <hyperlink ref="A2788" r:id="rId2786" display="VN000EA9BA21"/>
    <hyperlink ref="A2789" r:id="rId2787" display="VN000EB4KAQ1"/>
    <hyperlink ref="A2790" r:id="rId2788" display="VN000EB4TAN1"/>
    <hyperlink ref="A2791" r:id="rId2789" display="VN000EB4TAN1"/>
    <hyperlink ref="A2792" r:id="rId2790" display="VN000EBAQPT1"/>
    <hyperlink ref="A2793" r:id="rId2791" display="VN000EBAQPT1"/>
    <hyperlink ref="A2794" r:id="rId2792" display="VN000EC4RV21"/>
    <hyperlink ref="A2795" r:id="rId2793" display="VN000EC4RV21"/>
    <hyperlink ref="A2796" r:id="rId2794" display="VN000EC4RV21"/>
    <hyperlink ref="A2797" r:id="rId2795" display="VN000ECGBFC1"/>
    <hyperlink ref="A2798" r:id="rId2796" display="VN000ECGBFC1"/>
    <hyperlink ref="A2799" r:id="rId2797" display="VN000ECUB5P1"/>
    <hyperlink ref="A2800" r:id="rId2798" display="VN000ED2YS51"/>
    <hyperlink ref="A2801" r:id="rId2799" display="VN000ED891K1"/>
    <hyperlink ref="A2802" r:id="rId2800" display="VN000EDN7D61"/>
    <hyperlink ref="A2803" r:id="rId2801" display="VN000EDN7D61"/>
    <hyperlink ref="A2804" r:id="rId2802" display="VN000EDN7D61"/>
    <hyperlink ref="A2805" r:id="rId2803" display="VN000EDN7D61"/>
    <hyperlink ref="A2806" r:id="rId2804" display="VN000EDN9X11"/>
    <hyperlink ref="A2807" r:id="rId2805" display="VN000EDN9X11"/>
    <hyperlink ref="A2808" r:id="rId2806" display="VN000EDN9X11"/>
    <hyperlink ref="A2809" r:id="rId2807" display="VN000EDNAH91"/>
    <hyperlink ref="A2810" r:id="rId2808" display="VN000EFBCJK1"/>
    <hyperlink ref="A2811" r:id="rId2809" display="VN000EFBYY61"/>
    <hyperlink ref="A2812" r:id="rId2810" display="VN000EG59X11"/>
    <hyperlink ref="A2813" r:id="rId2811" display="VN000EG59X11"/>
    <hyperlink ref="A2814" r:id="rId2812" display="VN000EG59X11"/>
    <hyperlink ref="A2815" r:id="rId2813" display="VN000EG59X11"/>
    <hyperlink ref="A2816" r:id="rId2814" display="VN000EG59X11"/>
    <hyperlink ref="A2817" r:id="rId2815" display="VN000V160E01"/>
    <hyperlink ref="A2818" r:id="rId2816" display="VN000V16EMT1"/>
    <hyperlink ref="A2819" r:id="rId2817" display="VN000V68B5P1"/>
    <hyperlink ref="A2820" r:id="rId2818" display="VN000VO44K11"/>
    <hyperlink ref="A2821" r:id="rId2819" display="VN000ZUVC4R1"/>
    <hyperlink ref="A2822" r:id="rId2820" display="VN0A2Z42BMA1"/>
    <hyperlink ref="A2823" r:id="rId2821" display="VN0A347ZDDU1"/>
    <hyperlink ref="A2824" r:id="rId2822" display="VN0A3B3UW001"/>
    <hyperlink ref="A2825" r:id="rId2823" display="VN0A3D29OIU1"/>
    <hyperlink ref="A2826" r:id="rId2824" display="VN0A3TKN6BT1"/>
    <hyperlink ref="A2827" r:id="rId2825" display="VN0A3TKN6BT1"/>
    <hyperlink ref="A2828" r:id="rId2826" display="VN0A4BVSBKA1"/>
    <hyperlink ref="A2829" r:id="rId2827" display="VN0A4BXBKAQ1"/>
    <hyperlink ref="A2830" r:id="rId2828" display="VN0A4U1K3MZ1"/>
    <hyperlink ref="A2831" r:id="rId2829" display="VN0A4UWM2LN1"/>
    <hyperlink ref="A2832" r:id="rId2830" display="VN0A4UWM2LN1"/>
    <hyperlink ref="A2833" r:id="rId2831" display="VN0A4UWMBP11"/>
    <hyperlink ref="A2834" r:id="rId2832" display="VN0A5FCAPIB1"/>
    <hyperlink ref="A2835" r:id="rId2833" display="VN0A5FCAPIB1"/>
    <hyperlink ref="A2836" r:id="rId2834" display="VN0A5FCAPIB1"/>
    <hyperlink ref="A2837" r:id="rId2835" display="VN0A5FCAPIB1"/>
    <hyperlink ref="A2838" r:id="rId2836" display="VN0A5FCAPIB1"/>
    <hyperlink ref="A2839" r:id="rId2837" display="VN0A5FCB1N61"/>
    <hyperlink ref="A2840" r:id="rId2838" display="VN0A5FCBB9M1"/>
    <hyperlink ref="A2841" r:id="rId2839" display="VN0A5FCDEMW1"/>
    <hyperlink ref="A2842" r:id="rId2840" display="VN0A5FCDGPE1"/>
    <hyperlink ref="A2843" r:id="rId2841" display="VN0A5FCDGPE1"/>
    <hyperlink ref="A2844" r:id="rId2842" display="VN0A5HYWA3I1"/>
    <hyperlink ref="A2845" r:id="rId2843" display="VN0A5HZK1KP1"/>
    <hyperlink ref="A2846" r:id="rId2844" display="VN0A5HZK9BY1"/>
    <hyperlink ref="A2847" r:id="rId2845" display="VN0A5JICNUT1"/>
    <hyperlink ref="A2848" r:id="rId2846" display="VN0A5JICNUT1"/>
    <hyperlink ref="A2849" r:id="rId2847" display="VN0A5KYCPBQ1"/>
    <hyperlink ref="A2850" r:id="rId2848" display="VN0A5KYCZF51"/>
    <hyperlink ref="A2851" r:id="rId2849" display="VN0A7Q5PBKN1"/>
    <hyperlink ref="A2852" r:id="rId2850" display="VN00033QWHT1"/>
    <hyperlink ref="A2853" r:id="rId2851" display="VN000613Y281"/>
    <hyperlink ref="A2854" r:id="rId2852" display="VN000623CBK1"/>
    <hyperlink ref="A2855" r:id="rId2853" display="VN0006760E01"/>
    <hyperlink ref="A2856" r:id="rId2854" display="VN0007A8J3Q1"/>
    <hyperlink ref="A2857" r:id="rId2855" display="VN0008NSLKZ1"/>
    <hyperlink ref="A2858" r:id="rId2856" display="VN0008NSLKZ1"/>
    <hyperlink ref="A2859" r:id="rId2857" display="VN0008P7BLK1"/>
    <hyperlink ref="A2860" r:id="rId2858" display="VN000CAQBLK1"/>
    <hyperlink ref="A2861" r:id="rId2859" display="VN000EZ1J5F1"/>
    <hyperlink ref="A2862" r:id="rId2860" display="VN000EZ47WM1"/>
    <hyperlink ref="A2863" r:id="rId2861" display="VN000F0HZBF1"/>
    <hyperlink ref="A2864" r:id="rId2862" display="VN000F0HZBF1"/>
    <hyperlink ref="A2865" r:id="rId2863" display="VN000F0UJDU1"/>
    <hyperlink ref="A2866" r:id="rId2864" display="VN000F0UJDU1"/>
    <hyperlink ref="A2867" r:id="rId2865" display="VN000F0XBLK1"/>
    <hyperlink ref="A2868" r:id="rId2866" display="VN000F0XBLK1"/>
    <hyperlink ref="A2869" r:id="rId2867" display="VN000F0XWHT1"/>
    <hyperlink ref="A2870" r:id="rId2868" display="VN000GK8BR11"/>
    <hyperlink ref="A2871" r:id="rId2869" display="VN000GM0BLK1"/>
    <hyperlink ref="A2872" r:id="rId2870" display="VN000GMX1611"/>
    <hyperlink ref="A2873" r:id="rId2871" display="VN000GMXEHC1"/>
    <hyperlink ref="A2874" r:id="rId2872" display="VN000GNDBLK1"/>
    <hyperlink ref="A2875" r:id="rId2873" display="VN000GNKCIF1"/>
    <hyperlink ref="A2876" r:id="rId2874" display="VN000HMSE8A1"/>
    <hyperlink ref="A2877" r:id="rId2875" display="VN000HSRLKZ1"/>
    <hyperlink ref="A2878" r:id="rId2876" display="VN000HST9JC1"/>
    <hyperlink ref="A2879" r:id="rId2877" display="VN000HSTBLK1"/>
    <hyperlink ref="A2880" r:id="rId2878" display="VN000HSZD401"/>
    <hyperlink ref="A2881" r:id="rId2879" display="VN000HT2CUQ1"/>
    <hyperlink ref="A2882" r:id="rId2880" display="VN000JEQBLK1"/>
    <hyperlink ref="A2883" r:id="rId2881" display="VN000K9YHTG1"/>
    <hyperlink ref="A2884" r:id="rId2882" display="VN000KXQCI21"/>
    <hyperlink ref="A2885" r:id="rId2883" display="VN000LC0CVS1"/>
    <hyperlink ref="A2886" r:id="rId2884" display="VN000LC0E111"/>
    <hyperlink ref="A2887" r:id="rId2885" display="VN000LC0FZF1"/>
    <hyperlink ref="A2888" r:id="rId2886" display="VN000M7X6PH1"/>
    <hyperlink ref="A2889" r:id="rId2887" display="VN000MPGBLK1"/>
    <hyperlink ref="A2890" r:id="rId2888" display="VN000PKT1NU1"/>
    <hyperlink ref="A2891" r:id="rId2889" display="VN000QA6EN61"/>
    <hyperlink ref="A2892" r:id="rId2890" display="VN000QA8BLK1"/>
    <hyperlink ref="A2893" r:id="rId2891" display="VN000QAFEMP1"/>
    <hyperlink ref="A2894" r:id="rId2892" display="VN000QB27WM1"/>
    <hyperlink ref="A2895" r:id="rId2893" display="VN000QBBBLK1"/>
    <hyperlink ref="A2896" r:id="rId2894" display="VN000QBM7UG1"/>
    <hyperlink ref="A2897" r:id="rId2895" display="VN000QBPWHT1"/>
    <hyperlink ref="A2898" r:id="rId2896" display="VN000QBWJDU1"/>
    <hyperlink ref="A2899" r:id="rId2897" display="VN000R98BLK1"/>
    <hyperlink ref="A2900" r:id="rId2898" display="VN000TL5WHT1"/>
    <hyperlink ref="A2901" r:id="rId2899" display="VN000Y5XPNK1"/>
    <hyperlink ref="A2902" r:id="rId2900" display="VN0A311PBLK1"/>
    <hyperlink ref="A2903" r:id="rId2901" display="VN0A31J6BLK1"/>
    <hyperlink ref="A2904" r:id="rId2902" display="VN0A3H47PNO1"/>
    <hyperlink ref="A2905" r:id="rId2903" display="VN0A47XCBLK1"/>
    <hyperlink ref="A2906" r:id="rId2904" display="VN0A48HJ4481"/>
    <hyperlink ref="A2907" r:id="rId2905" display="VN0A542NRKZ1"/>
    <hyperlink ref="A2908" r:id="rId2906" display="VN0A5LGXDJR1"/>
    <hyperlink ref="A2909" r:id="rId2907" display="VN0A7PQZY281"/>
    <hyperlink ref="A2910" r:id="rId2908" display="VN0A7PR1PA91"/>
    <hyperlink ref="A2911" r:id="rId2909" display="VN0A7S96BLK1"/>
    <hyperlink ref="A2912" r:id="rId2910" display="VN000389BQC1"/>
    <hyperlink ref="A2913" r:id="rId2911" display="VN000389BQC1"/>
    <hyperlink ref="A2914" r:id="rId2912" display="VN000395WHT1"/>
    <hyperlink ref="A2915" r:id="rId2913" display="VN000395WHT1"/>
    <hyperlink ref="A2916" r:id="rId2914" display="VN0003P3ATA1"/>
    <hyperlink ref="A2917" r:id="rId2915" display="VN00045DBQL1"/>
    <hyperlink ref="A2918" r:id="rId2916" display="VN000508BKA1"/>
    <hyperlink ref="A2919" r:id="rId2917" display="VN00065PG5O1"/>
    <hyperlink ref="A2920" r:id="rId2918" display="VN00074MBYP1"/>
    <hyperlink ref="A2921" r:id="rId2919" display="VN0007Z5G5O1"/>
    <hyperlink ref="A2922" r:id="rId2920" display="VN00087WBLK1"/>
    <hyperlink ref="A2923" r:id="rId2921" display="VN0008BJBLK1"/>
    <hyperlink ref="A2924" r:id="rId2922" display="VN0008C65891"/>
    <hyperlink ref="A2925" r:id="rId2923" display="VN0008C7BLK1"/>
    <hyperlink ref="A2926" r:id="rId2924" display="VN0008CABLK1"/>
    <hyperlink ref="A2927" r:id="rId2925" display="VN0008CABLK1"/>
    <hyperlink ref="A2928" r:id="rId2926" display="VN0008HTBLK1"/>
    <hyperlink ref="A2929" r:id="rId2927" display="VN0008J9BZ01"/>
    <hyperlink ref="A2930" r:id="rId2928" display="VN0008KUJDU1"/>
    <hyperlink ref="A2931" r:id="rId2929" display="VN0008KUJDU1"/>
    <hyperlink ref="A2932" r:id="rId2930" display="VN0008N5CR61"/>
    <hyperlink ref="A2933" r:id="rId2931" display="VN0008N6BLK1"/>
    <hyperlink ref="A2934" r:id="rId2932" display="VN0008N6EMU1"/>
    <hyperlink ref="A2935" r:id="rId2933" display="VN0008N6EMU1"/>
    <hyperlink ref="A2936" r:id="rId2934" display="VN0008NAE901"/>
    <hyperlink ref="A2937" r:id="rId2935" display="VN0008NAE901"/>
    <hyperlink ref="A2938" r:id="rId2936" display="VN0008TKATJ1"/>
    <hyperlink ref="A2939" r:id="rId2937" display="VN000AT9BLK1"/>
    <hyperlink ref="A2940" r:id="rId2938" display="VN000EUMDSB1"/>
    <hyperlink ref="A2941" r:id="rId2939" display="VN000FVH4MG1"/>
    <hyperlink ref="A2942" r:id="rId2940" display="VN000FWFCR61"/>
    <hyperlink ref="A2943" r:id="rId2941" display="VN000G3JCHF1"/>
    <hyperlink ref="A2944" r:id="rId2942" display="VN000G3JCR31"/>
    <hyperlink ref="A2945" r:id="rId2943" display="VN000G3JD3Z1"/>
    <hyperlink ref="A2946" r:id="rId2944" display="VN000G3JD3Z1"/>
    <hyperlink ref="A2947" r:id="rId2945" display="VN000G3W1CI1"/>
    <hyperlink ref="A2948" r:id="rId2946" display="VN000G3WBLK1"/>
    <hyperlink ref="A2949" r:id="rId2947" display="VN000G3WWHT1"/>
    <hyperlink ref="A2950" r:id="rId2948" display="VN000G4JFS81"/>
    <hyperlink ref="A2951" r:id="rId2949" display="VN000G56BLK1"/>
    <hyperlink ref="A2952" r:id="rId2950" display="VN000G56FS81"/>
    <hyperlink ref="A2953" r:id="rId2951" display="VN000G6MBDX1"/>
    <hyperlink ref="A2954" r:id="rId2952" display="VN000G6MBDX1"/>
    <hyperlink ref="A2955" r:id="rId2953" display="VN000G756PH1"/>
    <hyperlink ref="A2956" r:id="rId2954" display="VN000G75BLK1"/>
    <hyperlink ref="A2957" r:id="rId2955" display="VN000G7U1O71"/>
    <hyperlink ref="A2958" r:id="rId2956" display="VN000G8AP8X1"/>
    <hyperlink ref="A2959" r:id="rId2957" display="VN000G8CCHN1"/>
    <hyperlink ref="A2960" r:id="rId2958" display="VN000G8DDSB1"/>
    <hyperlink ref="A2961" r:id="rId2959" display="VN000G8ECJL1"/>
    <hyperlink ref="A2962" r:id="rId2960" display="VN000G9S7VJ1"/>
    <hyperlink ref="A2963" r:id="rId2961" display="VN000GA0D3Z1"/>
    <hyperlink ref="A2964" r:id="rId2962" display="VN000GA0D3Z1"/>
    <hyperlink ref="A2965" r:id="rId2963" display="VN000GB4BLK1"/>
    <hyperlink ref="A2966" r:id="rId2964" display="VN000GBKCJL1"/>
    <hyperlink ref="A2967" r:id="rId2965" display="VN000GCBBLK1"/>
    <hyperlink ref="A2968" r:id="rId2966" display="VN000GCECJL1"/>
    <hyperlink ref="A2969" r:id="rId2967" display="VN000GCECJL1"/>
    <hyperlink ref="A2970" r:id="rId2968" display="VN000GCSYJ21"/>
    <hyperlink ref="A2971" r:id="rId2969" display="VN000GDFBLK1"/>
    <hyperlink ref="A2972" r:id="rId2970" display="VN000GDPY281"/>
    <hyperlink ref="A2973" r:id="rId2971" display="VN000GE8BLK1"/>
    <hyperlink ref="A2974" r:id="rId2972" display="VN000GF7WHT1"/>
    <hyperlink ref="A2975" r:id="rId2973" display="VN000GF8WHT1"/>
    <hyperlink ref="A2976" r:id="rId2974" display="VN000GFFWHT1"/>
    <hyperlink ref="A2977" r:id="rId2975" display="VN000GFFWHT1"/>
    <hyperlink ref="A2978" r:id="rId2976" display="VN000GGGEAY1"/>
    <hyperlink ref="A2979" r:id="rId2977" display="VN000GGGY281"/>
    <hyperlink ref="A2980" r:id="rId2978" display="VN000GGGY281"/>
    <hyperlink ref="A2981" r:id="rId2979" display="VN000GJ6BLK1"/>
    <hyperlink ref="A2982" r:id="rId2980" display="VN000GJ6BLK1"/>
    <hyperlink ref="A2983" r:id="rId2981" display="VN000GVF0E01"/>
    <hyperlink ref="A2984" r:id="rId2982" display="VN000GVF0E01"/>
    <hyperlink ref="A2985" r:id="rId2983" display="VN000GWNBLK1"/>
    <hyperlink ref="A2986" r:id="rId2984" display="VN000GX6BLK1"/>
    <hyperlink ref="A2987" r:id="rId2985" display="VN000H2AKF11"/>
    <hyperlink ref="A2988" r:id="rId2986" display="VN000H2AKF11"/>
    <hyperlink ref="A2989" r:id="rId2987" display="VN000HANCDX1"/>
    <hyperlink ref="A2990" r:id="rId2988" display="VN000HAWBLK1"/>
    <hyperlink ref="A2991" r:id="rId2989" display="VN000HDUBLK1"/>
    <hyperlink ref="A2992" r:id="rId2990" display="VN000HDVM8I1"/>
    <hyperlink ref="A2993" r:id="rId2991" display="VN000HE2KOU1"/>
    <hyperlink ref="A2994" r:id="rId2992" display="VN000HEUBLK1"/>
    <hyperlink ref="A2995" r:id="rId2993" display="VN000HEUFS81"/>
    <hyperlink ref="A2996" r:id="rId2994" display="VN000HF6FS81"/>
    <hyperlink ref="A2997" r:id="rId2995" display="VN000HF6FS81"/>
    <hyperlink ref="A2998" r:id="rId2996" display="VN000HGE0E01"/>
    <hyperlink ref="A2999" r:id="rId2997" display="VN000HGKBLK1"/>
    <hyperlink ref="A3000" r:id="rId2998" display="VN000HHNWHT1"/>
    <hyperlink ref="A3001" r:id="rId2999" display="VN000HJF1CI1"/>
    <hyperlink ref="A3002" r:id="rId3000" display="VN000HJRD3Z1"/>
    <hyperlink ref="A3003" r:id="rId3001" display="VN000HJTBLK1"/>
    <hyperlink ref="A3004" r:id="rId3002" display="VN000HMNBLK1"/>
    <hyperlink ref="A3005" r:id="rId3003" display="VN000HMQJDU1"/>
    <hyperlink ref="A3006" r:id="rId3004" display="VN000HMQJDU1"/>
    <hyperlink ref="A3007" r:id="rId3005" display="VN000HMYKCZ1"/>
    <hyperlink ref="A3008" r:id="rId3006" display="VN000HN197I1"/>
    <hyperlink ref="A3009" r:id="rId3007" display="VN000HN7D4C1"/>
    <hyperlink ref="A3010" r:id="rId3008" display="VN000HN9DRJ1"/>
    <hyperlink ref="A3011" r:id="rId3009" display="VN000HNEBLK1"/>
    <hyperlink ref="A3012" r:id="rId3010" display="VN000HNFD401"/>
    <hyperlink ref="A3013" r:id="rId3011" display="VN000HNHDAM1"/>
    <hyperlink ref="A3014" r:id="rId3012" display="VN000HNHDAM1"/>
    <hyperlink ref="A3015" r:id="rId3013" display="VN000HNJDBA1"/>
    <hyperlink ref="A3016" r:id="rId3014" display="VN000HNTDAD1"/>
    <hyperlink ref="A3017" r:id="rId3015" display="VN000HNX4MG1"/>
    <hyperlink ref="A3018" r:id="rId3016" display="VN000HNZBLK1"/>
    <hyperlink ref="A3019" r:id="rId3017" display="VN000HP602F1"/>
    <hyperlink ref="A3020" r:id="rId3018" display="VN000HPABLK1"/>
    <hyperlink ref="A3021" r:id="rId3019" display="VN000HPFFS81"/>
    <hyperlink ref="A3022" r:id="rId3020" display="VN000HPFFS81"/>
    <hyperlink ref="A3023" r:id="rId3021" display="VN000HPQ02F1"/>
    <hyperlink ref="A3024" r:id="rId3022" display="VN000HPQ02F1"/>
    <hyperlink ref="A3025" r:id="rId3023" display="VN000HQC7W61"/>
    <hyperlink ref="A3026" r:id="rId3024" display="VN000HU0QID1"/>
    <hyperlink ref="A3027" r:id="rId3025" display="VN000HUH2N11"/>
    <hyperlink ref="A3028" r:id="rId3026" display="VN000HZADZ91"/>
    <hyperlink ref="A3029" r:id="rId3027" display="VN000HZB0E01"/>
    <hyperlink ref="A3030" r:id="rId3028" display="VN000HZBEMP1"/>
    <hyperlink ref="A3031" r:id="rId3029" display="VN000HZBKCZ1"/>
    <hyperlink ref="A3032" r:id="rId3030" display="VN000HZBKCZ1"/>
    <hyperlink ref="A3033" r:id="rId3031" display="VN000HZBKCZ1"/>
    <hyperlink ref="A3034" r:id="rId3032" display="VN000HZBYEH1"/>
    <hyperlink ref="A3035" r:id="rId3033" display="VN000HZCBLK1"/>
    <hyperlink ref="A3036" r:id="rId3034" display="VN000HZCBLK1"/>
    <hyperlink ref="A3037" r:id="rId3035" display="VN000HZCBLK1"/>
    <hyperlink ref="A3038" r:id="rId3036" display="VN000HZCBLK1"/>
    <hyperlink ref="A3039" r:id="rId3037" display="VN000HZD2N11"/>
    <hyperlink ref="A3040" r:id="rId3038" display="VN000IVEBLK1"/>
    <hyperlink ref="A3041" r:id="rId3039" display="VN000IVECJL1"/>
    <hyperlink ref="A3042" r:id="rId3040" display="VN000IVEWHT1"/>
    <hyperlink ref="A3043" r:id="rId3041" display="VN000IVEWHT1"/>
    <hyperlink ref="A3044" r:id="rId3042" display="VN000IVEY281"/>
    <hyperlink ref="A3045" r:id="rId3043" display="VN000IVEY281"/>
    <hyperlink ref="A3046" r:id="rId3044" display="VN000IVFBL21"/>
    <hyperlink ref="A3047" r:id="rId3045" display="VN000IVFC9L1"/>
    <hyperlink ref="A3048" r:id="rId3046" display="VN000J5VBLK1"/>
    <hyperlink ref="A3049" r:id="rId3047" display="VN000J7GBLK1"/>
    <hyperlink ref="A3050" r:id="rId3048" display="VN000J9JZR61"/>
    <hyperlink ref="A3051" r:id="rId3049" display="VN000JBK02F1"/>
    <hyperlink ref="A3052" r:id="rId3050" display="VN000JBMCIB1"/>
    <hyperlink ref="A3053" r:id="rId3051" display="VN000JBN7WM1"/>
    <hyperlink ref="A3054" r:id="rId3052" display="VN000JBN7WM1"/>
    <hyperlink ref="A3055" r:id="rId3053" display="VN000JBRBR11"/>
    <hyperlink ref="A3056" r:id="rId3054" display="VN000JBRZBF1"/>
    <hyperlink ref="A3057" r:id="rId3055" display="VN000JBWJ5F1"/>
    <hyperlink ref="A3058" r:id="rId3056" display="VN000JC0J5F1"/>
    <hyperlink ref="A3059" r:id="rId3057" display="VN000JC1BLK1"/>
    <hyperlink ref="A3060" r:id="rId3058" display="VN000JC4BLK1"/>
    <hyperlink ref="A3061" r:id="rId3059" display="VN000JC5LKZ1"/>
    <hyperlink ref="A3062" r:id="rId3060" display="VN000JF5BLK1"/>
    <hyperlink ref="A3063" r:id="rId3061" display="VN000JF6CFL1"/>
    <hyperlink ref="A3064" r:id="rId3062" display="VN000JGPD3Z1"/>
    <hyperlink ref="A3065" r:id="rId3063" display="VN000JGPD3Z1"/>
    <hyperlink ref="A3066" r:id="rId3064" display="VN000JGT02F1"/>
    <hyperlink ref="A3067" r:id="rId3065" display="VN000JPNBLK1"/>
    <hyperlink ref="A3068" r:id="rId3066" display="VN000JQ5CCB1"/>
    <hyperlink ref="A3069" r:id="rId3067" display="VN000JQP9JC1"/>
    <hyperlink ref="A3070" r:id="rId3068" display="VN000JQPBLK1"/>
    <hyperlink ref="A3071" r:id="rId3069" display="VN000JQPC9F1"/>
    <hyperlink ref="A3072" r:id="rId3070" display="VN000JSN7YO1"/>
    <hyperlink ref="A3073" r:id="rId3071" display="VN000JT37W61"/>
    <hyperlink ref="A3074" r:id="rId3072" display="VN000JT37W61"/>
    <hyperlink ref="A3075" r:id="rId3073" display="VN000JY1KOU1"/>
    <hyperlink ref="A3076" r:id="rId3074" display="VN000JY412S1"/>
    <hyperlink ref="A3077" r:id="rId3075" display="VN000JY412S1"/>
    <hyperlink ref="A3078" r:id="rId3076" display="VN000JY4BLK1"/>
    <hyperlink ref="A3079" r:id="rId3077" display="VN000JYB4OU1"/>
    <hyperlink ref="A3080" r:id="rId3078" display="VN000JYB4OU1"/>
    <hyperlink ref="A3081" r:id="rId3079" display="VN000JYD14A1"/>
    <hyperlink ref="A3082" r:id="rId3080" display="VN000JYDE2W1"/>
    <hyperlink ref="A3083" r:id="rId3081" display="VN000K04BLK1"/>
    <hyperlink ref="A3084" r:id="rId3082" display="VN000K0BBLK1"/>
    <hyperlink ref="A3085" r:id="rId3083" display="VN000K0C4MG1"/>
    <hyperlink ref="A3086" r:id="rId3084" display="VN000K0VBLK1"/>
    <hyperlink ref="A3087" r:id="rId3085" display="VN000K420411"/>
    <hyperlink ref="A3088" r:id="rId3086" display="VN000K8PFS81"/>
    <hyperlink ref="A3089" r:id="rId3087" display="VN000K98BLK1"/>
    <hyperlink ref="A3090" r:id="rId3088" display="VN000K98BLK1"/>
    <hyperlink ref="A3091" r:id="rId3089" display="VN000K98EN61"/>
    <hyperlink ref="A3092" r:id="rId3090" display="VN000KASBLK1"/>
    <hyperlink ref="A3093" r:id="rId3091" display="VN000KASBN51"/>
    <hyperlink ref="A3094" r:id="rId3092" display="VN000KASBTE1"/>
    <hyperlink ref="A3095" r:id="rId3093" display="VN000KASD3Z1"/>
    <hyperlink ref="A3096" r:id="rId3094" display="VN000KASFS81"/>
    <hyperlink ref="A3097" r:id="rId3095" display="VN000KG6BLK1"/>
    <hyperlink ref="A3098" r:id="rId3096" display="VN000KHN7VJ1"/>
    <hyperlink ref="A3099" r:id="rId3097" display="VN000KHYBLK1"/>
    <hyperlink ref="A3100" r:id="rId3098" display="VN000KTABLK1"/>
    <hyperlink ref="A3101" r:id="rId3099" display="VN000KTBBLK1"/>
    <hyperlink ref="A3102" r:id="rId3100" display="VN000KTBCI21"/>
    <hyperlink ref="A3103" r:id="rId3101" display="VN000KTFM8I1"/>
    <hyperlink ref="A3104" r:id="rId3102" display="VN000KU4BLK1"/>
    <hyperlink ref="A3105" r:id="rId3103" display="VN000KUE02F1"/>
    <hyperlink ref="A3106" r:id="rId3104" display="VN000KUE02F1"/>
    <hyperlink ref="A3107" r:id="rId3105" display="VN000KUEJDU1"/>
    <hyperlink ref="A3108" r:id="rId3106" display="VN000KUQJDU1"/>
    <hyperlink ref="A3109" r:id="rId3107" display="VN000KUR7WM1"/>
    <hyperlink ref="A3110" r:id="rId3108" display="VN000KURBLK1"/>
    <hyperlink ref="A3111" r:id="rId3109" display="VN000KV2JDU1"/>
    <hyperlink ref="A3112" r:id="rId3110" display="VN000KV2JDU1"/>
    <hyperlink ref="A3113" r:id="rId3111" display="VN000KVEBLK1"/>
    <hyperlink ref="A3114" r:id="rId3112" display="VN000KYPBLK1"/>
    <hyperlink ref="A3115" r:id="rId3113" display="VN000KYVBYS1"/>
    <hyperlink ref="A3116" r:id="rId3114" display="VN000KYVBYS1"/>
    <hyperlink ref="A3117" r:id="rId3115" display="VN000M056PH1"/>
    <hyperlink ref="A3118" r:id="rId3116" display="VN000M081NU1"/>
    <hyperlink ref="A3119" r:id="rId3117" display="VN000M0MBLK1"/>
    <hyperlink ref="A3120" r:id="rId3118" display="VN000M0PKCZ1"/>
    <hyperlink ref="A3121" r:id="rId3119" display="VN000M0XKCZ1"/>
    <hyperlink ref="A3122" r:id="rId3120" display="VN000M0XKCZ1"/>
    <hyperlink ref="A3123" r:id="rId3121" display="VN000M15EBF1"/>
    <hyperlink ref="A3124" r:id="rId3122" display="VN000M1ABML1"/>
    <hyperlink ref="A3125" r:id="rId3123" display="VN000M1ABML1"/>
    <hyperlink ref="A3126" r:id="rId3124" display="VN000M1KBLK1"/>
    <hyperlink ref="A3127" r:id="rId3125" display="VN000M1KBLK1"/>
    <hyperlink ref="A3128" r:id="rId3126" display="VN000M27CFL1"/>
    <hyperlink ref="A3129" r:id="rId3127" display="VN000M27CFL1"/>
    <hyperlink ref="A3130" r:id="rId3128" display="VN000M27CFL1"/>
    <hyperlink ref="A3131" r:id="rId3129" display="VN000M28BR11"/>
    <hyperlink ref="A3132" r:id="rId3130" display="VN000M29DDN1"/>
    <hyperlink ref="A3133" r:id="rId3131" display="VN000M2KCI21"/>
    <hyperlink ref="A3134" r:id="rId3132" display="VN000M39DZ91"/>
    <hyperlink ref="A3135" r:id="rId3133" display="VN000M3JC9F1"/>
    <hyperlink ref="A3136" r:id="rId3134" display="VN000M3VBLK1"/>
    <hyperlink ref="A3137" r:id="rId3135" display="VN000M47BLK1"/>
    <hyperlink ref="A3138" r:id="rId3136" display="VN000M4DD6Z1"/>
    <hyperlink ref="A3139" r:id="rId3137" display="VN000M4DJDU1"/>
    <hyperlink ref="A3140" r:id="rId3138" display="VN000M4M4T11"/>
    <hyperlink ref="A3141" r:id="rId3139" display="VN000M4W4SN1"/>
    <hyperlink ref="A3142" r:id="rId3140" display="VN000M5JCLH1"/>
    <hyperlink ref="A3143" r:id="rId3141" display="VN000M6RWHT1"/>
    <hyperlink ref="A3144" r:id="rId3142" display="VN000M6RWHT1"/>
    <hyperlink ref="A3145" r:id="rId3143" display="VN000M6RWHT1"/>
    <hyperlink ref="A3146" r:id="rId3144" display="VN000M6XEMW1"/>
    <hyperlink ref="A3147" r:id="rId3145" display="VN000M6ZZBF1"/>
    <hyperlink ref="A3148" r:id="rId3146" display="VN000M75BLK1"/>
    <hyperlink ref="A3149" r:id="rId3147" display="VN000M77C9F1"/>
    <hyperlink ref="A3150" r:id="rId3148" display="VN000M8EBL21"/>
    <hyperlink ref="A3151" r:id="rId3149" display="VN000M8EKCZ1"/>
    <hyperlink ref="A3152" r:id="rId3150" display="VN000M8FKCZ1"/>
    <hyperlink ref="A3153" r:id="rId3151" display="VN000M8FKCZ1"/>
    <hyperlink ref="A3154" r:id="rId3152" display="VN000M8FKCZ1"/>
    <hyperlink ref="A3155" r:id="rId3153" display="VN000M8G1O71"/>
    <hyperlink ref="A3156" r:id="rId3154" display="VN000M8JY281"/>
    <hyperlink ref="A3157" r:id="rId3155" display="VN000M8NUUI1"/>
    <hyperlink ref="A3158" r:id="rId3156" display="VN000M8Q6PH1"/>
    <hyperlink ref="A3159" r:id="rId3157" display="VN000M8R1NU1"/>
    <hyperlink ref="A3160" r:id="rId3158" display="VN000M8R1NU1"/>
    <hyperlink ref="A3161" r:id="rId3159" display="VN000M8R1NU1"/>
    <hyperlink ref="A3162" r:id="rId3160" display="VN000M8UBLK1"/>
    <hyperlink ref="A3163" r:id="rId3161" display="VN000M9A1O71"/>
    <hyperlink ref="A3164" r:id="rId3162" display="VN000M9DZBF1"/>
    <hyperlink ref="A3165" r:id="rId3163" display="VN000M9HBLK1"/>
    <hyperlink ref="A3166" r:id="rId3164" display="VN000M9HBLK1"/>
    <hyperlink ref="A3167" r:id="rId3165" display="VN000M9HBLK1"/>
    <hyperlink ref="A3168" r:id="rId3166" display="VN000M9HFS81"/>
    <hyperlink ref="A3169" r:id="rId3167" display="VN000M9HFS81"/>
    <hyperlink ref="A3170" r:id="rId3168" display="VN000M9HFS81"/>
    <hyperlink ref="A3171" r:id="rId3169" display="VN000M9HFS81"/>
    <hyperlink ref="A3172" r:id="rId3170" display="VN000M9HFS81"/>
    <hyperlink ref="A3173" r:id="rId3171" display="VN000M9SBLK1"/>
    <hyperlink ref="A3174" r:id="rId3172" display="VN000M9SRV21"/>
    <hyperlink ref="A3175" r:id="rId3173" display="VN000MA21O71"/>
    <hyperlink ref="A3176" r:id="rId3174" display="VN000MA2CLH1"/>
    <hyperlink ref="A3177" r:id="rId3175" display="VN000MA2UUI1"/>
    <hyperlink ref="A3178" r:id="rId3176" display="VN000MA2UUI1"/>
    <hyperlink ref="A3179" r:id="rId3177" display="VN000MA2UUI1"/>
    <hyperlink ref="A3180" r:id="rId3178" display="VN000MA9ZBF1"/>
    <hyperlink ref="A3181" r:id="rId3179" display="VN000MAEBLK1"/>
    <hyperlink ref="A3182" r:id="rId3180" display="VN000MAEBLK1"/>
    <hyperlink ref="A3183" r:id="rId3181" display="VN000MAT7WM1"/>
    <hyperlink ref="A3184" r:id="rId3182" display="VN000MAT7WM1"/>
    <hyperlink ref="A3185" r:id="rId3183" display="VN000MB2EB21"/>
    <hyperlink ref="A3186" r:id="rId3184" display="VN000MB2EB21"/>
    <hyperlink ref="A3187" r:id="rId3185" display="VN000MB2EB21"/>
    <hyperlink ref="A3188" r:id="rId3186" display="VN000MB31O71"/>
    <hyperlink ref="A3189" r:id="rId3187" display="VN000MB3ZBF1"/>
    <hyperlink ref="A3190" r:id="rId3188" display="VN000MB5F2D1"/>
    <hyperlink ref="A3191" r:id="rId3189" display="VN000MBB4MG1"/>
    <hyperlink ref="A3192" r:id="rId3190" display="VN000MBEFS81"/>
    <hyperlink ref="A3193" r:id="rId3191" display="VN000MBX1O71"/>
    <hyperlink ref="A3194" r:id="rId3192" display="VN000MBXFS81"/>
    <hyperlink ref="A3195" r:id="rId3193" display="VN000MC0WHT1"/>
    <hyperlink ref="A3196" r:id="rId3194" display="VN000MC1BLK1"/>
    <hyperlink ref="A3197" r:id="rId3195" display="VN000MCP1O71"/>
    <hyperlink ref="A3198" r:id="rId3196" display="VN000MCRBLK1"/>
    <hyperlink ref="A3199" r:id="rId3197" display="VN000MCU1O71"/>
    <hyperlink ref="A3200" r:id="rId3198" display="VN000MDBBLK1"/>
    <hyperlink ref="A3201" r:id="rId3199" display="VN000MDSYB21"/>
    <hyperlink ref="A3202" r:id="rId3200" display="VN000MEPJDU1"/>
    <hyperlink ref="A3203" r:id="rId3201" display="VN000MEZWHT1"/>
    <hyperlink ref="A3204" r:id="rId3202" display="VN000MF0BLK1"/>
    <hyperlink ref="A3205" r:id="rId3203" display="VN000MG8UUI1"/>
    <hyperlink ref="A3206" r:id="rId3204" display="VN000MGGBLK1"/>
    <hyperlink ref="A3207" r:id="rId3205" display="VN000MGUCI21"/>
    <hyperlink ref="A3208" r:id="rId3206" display="VN000MGUCI21"/>
    <hyperlink ref="A3209" r:id="rId3207" display="VN000MHGBLK1"/>
    <hyperlink ref="A3210" r:id="rId3208" display="VN000MHGBLK1"/>
    <hyperlink ref="A3211" r:id="rId3209" display="VN000MHGBLK1"/>
    <hyperlink ref="A3212" r:id="rId3210" display="VN000MJTLVB1"/>
    <hyperlink ref="A3213" r:id="rId3211" display="VN000MK2BL21"/>
    <hyperlink ref="A3214" r:id="rId3212" display="VN000MK6C9L1"/>
    <hyperlink ref="A3215" r:id="rId3213" display="VN000MK8BR11"/>
    <hyperlink ref="A3216" r:id="rId3214" display="VN000MKEBLK1"/>
    <hyperlink ref="A3217" r:id="rId3215" display="VN000MKGBLK1"/>
    <hyperlink ref="A3218" r:id="rId3216" display="VN000MKPBLK1"/>
    <hyperlink ref="A3219" r:id="rId3217" display="VN000MKUWHT1"/>
    <hyperlink ref="A3220" r:id="rId3218" display="VN000MKYBLK1"/>
    <hyperlink ref="A3221" r:id="rId3219" display="VN000MKYWHT1"/>
    <hyperlink ref="A3222" r:id="rId3220" display="VN000MM1WHT1"/>
    <hyperlink ref="A3223" r:id="rId3221" display="VN000MM1WHT1"/>
    <hyperlink ref="A3224" r:id="rId3222" display="VN000MM4RNE1"/>
    <hyperlink ref="A3225" r:id="rId3223" display="VN000MM5BLK1"/>
    <hyperlink ref="A3226" r:id="rId3224" display="VN000MMD02F1"/>
    <hyperlink ref="A3227" r:id="rId3225" display="VN000MMNCLH1"/>
    <hyperlink ref="A3228" r:id="rId3226" display="VN000MMNCLH1"/>
    <hyperlink ref="A3229" r:id="rId3227" display="VN000MN2BR11"/>
    <hyperlink ref="A3230" r:id="rId3228" display="VN000ND8JDU1"/>
    <hyperlink ref="A3231" r:id="rId3229" display="VN000ND8WHT1"/>
    <hyperlink ref="A3232" r:id="rId3230" display="VN000NDPD451"/>
    <hyperlink ref="A3233" r:id="rId3231" display="VN000NHPBLK1"/>
    <hyperlink ref="A3234" r:id="rId3232" display="VN000NKKBLK1"/>
    <hyperlink ref="A3235" r:id="rId3233" display="VN000NTSD6Z1"/>
    <hyperlink ref="A3236" r:id="rId3234" display="VN000NTSD6Z1"/>
    <hyperlink ref="A3237" r:id="rId3235" display="VN000NVAJDU1"/>
    <hyperlink ref="A3238" r:id="rId3236" display="VN000NWBBLK1"/>
    <hyperlink ref="A3239" r:id="rId3237" display="VN000NWBCFL1"/>
    <hyperlink ref="A3240" r:id="rId3238" display="VN000NWEBLK1"/>
    <hyperlink ref="A3241" r:id="rId3239" display="VN000NWN1O71"/>
    <hyperlink ref="A3242" r:id="rId3240" display="VN000NWNE2Z1"/>
    <hyperlink ref="A3243" r:id="rId3241" display="VN000NWPFS81"/>
    <hyperlink ref="A3244" r:id="rId3242" display="VN000NY1C9L1"/>
    <hyperlink ref="A3245" r:id="rId3243" display="VN000NZDC9L1"/>
    <hyperlink ref="A3246" r:id="rId3244" display="VN000OI0IND1"/>
    <hyperlink ref="A3247" r:id="rId3245" display="VN000P1P12Q1"/>
    <hyperlink ref="A3248" r:id="rId3246" display="VN000P1P6PH1"/>
    <hyperlink ref="A3249" r:id="rId3247" display="VN000P1PBR11"/>
    <hyperlink ref="A3250" r:id="rId3248" display="VN000P1PBR11"/>
    <hyperlink ref="A3251" r:id="rId3249" display="VN000P1PCLH1"/>
    <hyperlink ref="A3252" r:id="rId3250" display="VN000P1PE301"/>
    <hyperlink ref="A3253" r:id="rId3251" display="VN000P1PEML1"/>
    <hyperlink ref="A3254" r:id="rId3252" display="VN000P1PEMU1"/>
    <hyperlink ref="A3255" r:id="rId3253" display="VN000P1PEMU1"/>
    <hyperlink ref="A3256" r:id="rId3254" display="VN000P1PRNE1"/>
    <hyperlink ref="A3257" r:id="rId3255" display="VN000P1PZRY1"/>
    <hyperlink ref="A3258" r:id="rId3256" display="VN000P1S1QI1"/>
    <hyperlink ref="A3259" r:id="rId3257" display="VN000P20EMU1"/>
    <hyperlink ref="A3260" r:id="rId3258" display="VN000P21EMU1"/>
    <hyperlink ref="A3261" r:id="rId3259" display="VN000P21JDU1"/>
    <hyperlink ref="A3262" r:id="rId3260" display="VN000P21JDU1"/>
    <hyperlink ref="A3263" r:id="rId3261" display="VN000P4YBLK1"/>
    <hyperlink ref="A3264" r:id="rId3262" display="VN000P50E301"/>
    <hyperlink ref="A3265" r:id="rId3263" display="VN000P50EMF1"/>
    <hyperlink ref="A3266" r:id="rId3264" display="VN000P50O321"/>
    <hyperlink ref="A3267" r:id="rId3265" display="VN000P50Y281"/>
    <hyperlink ref="A3268" r:id="rId3266" display="VN000P50Y281"/>
    <hyperlink ref="A3269" r:id="rId3267" display="VN000P50Y281"/>
    <hyperlink ref="A3270" r:id="rId3268" display="VN000P50YB21"/>
    <hyperlink ref="A3271" r:id="rId3269" display="VN000P511QI1"/>
    <hyperlink ref="A3272" r:id="rId3270" display="VN000P519JC1"/>
    <hyperlink ref="A3273" r:id="rId3271" display="VN000P51O321"/>
    <hyperlink ref="A3274" r:id="rId3272" display="VN000P51O321"/>
    <hyperlink ref="A3275" r:id="rId3273" display="VN000P51Y281"/>
    <hyperlink ref="A3276" r:id="rId3274" display="VN000P521QI1"/>
    <hyperlink ref="A3277" r:id="rId3275" display="VN000P52EMS1"/>
    <hyperlink ref="A3278" r:id="rId3276" display="VN000P52EMS1"/>
    <hyperlink ref="A3279" r:id="rId3277" display="VN000P52EMS1"/>
    <hyperlink ref="A3280" r:id="rId3278" display="VN000P52Y281"/>
    <hyperlink ref="A3281" r:id="rId3279" display="VN000P54WHT1"/>
    <hyperlink ref="A3282" r:id="rId3280" display="VN000P54WHT1"/>
    <hyperlink ref="A3283" r:id="rId3281" display="VN000P54ZUJ1"/>
    <hyperlink ref="A3284" r:id="rId3282" display="VN000P56CHG1"/>
    <hyperlink ref="A3285" r:id="rId3283" display="VN000P56CHG1"/>
    <hyperlink ref="A3286" r:id="rId3284" display="VN000P56EMW1"/>
    <hyperlink ref="A3287" r:id="rId3285" display="VN000P56EMW1"/>
    <hyperlink ref="A3288" r:id="rId3286" display="VN000P56O3N1"/>
    <hyperlink ref="A3289" r:id="rId3287" display="VN000P56O3N1"/>
    <hyperlink ref="A3290" r:id="rId3288" display="VN000P56O3N1"/>
    <hyperlink ref="A3291" r:id="rId3289" display="VN000P56O3N1"/>
    <hyperlink ref="A3292" r:id="rId3290" display="VN000P58EMW1"/>
    <hyperlink ref="A3293" r:id="rId3291" display="VN000P58EMW1"/>
    <hyperlink ref="A3294" r:id="rId3292" display="VN000P58O3N1"/>
    <hyperlink ref="A3295" r:id="rId3293" display="VN000P58ZUJ1"/>
    <hyperlink ref="A3296" r:id="rId3294" display="VN000P58ZUJ1"/>
    <hyperlink ref="A3297" r:id="rId3295" display="VN000P59E2Z1"/>
    <hyperlink ref="A3298" r:id="rId3296" display="VN000P5ABRD1"/>
    <hyperlink ref="A3299" r:id="rId3297" display="VN000P5ABRD1"/>
    <hyperlink ref="A3300" r:id="rId3298" display="VN000P5C02F1"/>
    <hyperlink ref="A3301" r:id="rId3299" display="VN000P5CBLK1"/>
    <hyperlink ref="A3302" r:id="rId3300" display="VN000P5D02F1"/>
    <hyperlink ref="A3303" r:id="rId3301" display="VN000P5FBLK1"/>
    <hyperlink ref="A3304" r:id="rId3302" display="VN000P5PBRD1"/>
    <hyperlink ref="A3305" r:id="rId3303" display="VN000P5QO3N1"/>
    <hyperlink ref="A3306" r:id="rId3304" display="VN000P5RBLK1"/>
    <hyperlink ref="A3307" r:id="rId3305" display="VN000P5RBLK1"/>
    <hyperlink ref="A3308" r:id="rId3306" display="VN000P5S14A1"/>
    <hyperlink ref="A3309" r:id="rId3307" display="VN000P5SEMW1"/>
    <hyperlink ref="A3310" r:id="rId3308" display="VN000P5WCFL1"/>
    <hyperlink ref="A3311" r:id="rId3309" display="VN000P73Y281"/>
    <hyperlink ref="A3312" r:id="rId3310" display="VN000P77AFM1"/>
    <hyperlink ref="A3313" r:id="rId3311" display="VN000P78BLK1"/>
    <hyperlink ref="A3314" r:id="rId3312" display="VN000P7DCDX1"/>
    <hyperlink ref="A3315" r:id="rId3313" display="VN000P7U2N11"/>
    <hyperlink ref="A3316" r:id="rId3314" display="VN000P7U2N11"/>
    <hyperlink ref="A3317" r:id="rId3315" display="VN000P7UJDU1"/>
    <hyperlink ref="A3318" r:id="rId3316" display="VN000P7ZF0O1"/>
    <hyperlink ref="A3319" r:id="rId3317" display="VN000P84EMV1"/>
    <hyperlink ref="A3320" r:id="rId3318" display="VN000P84EMV1"/>
    <hyperlink ref="A3321" r:id="rId3319" display="VN000P84EMV1"/>
    <hyperlink ref="A3322" r:id="rId3320" display="VN000P86F0V1"/>
    <hyperlink ref="A3323" r:id="rId3321" display="VN000P88BLK1"/>
    <hyperlink ref="A3324" r:id="rId3322" display="VN000P89C9F1"/>
    <hyperlink ref="A3325" r:id="rId3323" display="VN000P89C9F1"/>
    <hyperlink ref="A3326" r:id="rId3324" display="VN000P8A02F1"/>
    <hyperlink ref="A3327" r:id="rId3325" display="VN000P8CJDU1"/>
    <hyperlink ref="A3328" r:id="rId3326" display="VN000P8CJDU1"/>
    <hyperlink ref="A3329" r:id="rId3327" display="VN000P8GBRD1"/>
    <hyperlink ref="A3330" r:id="rId3328" display="VN000P8MEMW1"/>
    <hyperlink ref="A3331" r:id="rId3329" display="VN000P8VBLK1"/>
    <hyperlink ref="A3332" r:id="rId3330" display="VN000P8VBLK1"/>
    <hyperlink ref="A3333" r:id="rId3331" display="VN000P93EMT1"/>
    <hyperlink ref="A3334" r:id="rId3332" display="VN000P94FII1"/>
    <hyperlink ref="A3335" r:id="rId3333" display="VN000P94FII1"/>
    <hyperlink ref="A3336" r:id="rId3334" display="VN000PA9ENA1"/>
    <hyperlink ref="A3337" r:id="rId3335" display="VN000PAABLK1"/>
    <hyperlink ref="A3338" r:id="rId3336" display="VN000PAABLK1"/>
    <hyperlink ref="A3339" r:id="rId3337" display="VN000PAABLK1"/>
    <hyperlink ref="A3340" r:id="rId3338" display="VN000PAUBLK1"/>
    <hyperlink ref="A3341" r:id="rId3339" display="VN000PAUBLK1"/>
    <hyperlink ref="A3342" r:id="rId3340" display="VN000PAUEMW1"/>
    <hyperlink ref="A3343" r:id="rId3341" display="VN000PB9BLK1"/>
    <hyperlink ref="A3344" r:id="rId3342" display="VN000PB9BLK1"/>
    <hyperlink ref="A3345" r:id="rId3343" display="VN000PBSBRD1"/>
    <hyperlink ref="A3346" r:id="rId3344" display="VN000PBSBRD1"/>
    <hyperlink ref="A3347" r:id="rId3345" display="VN000PBSBRD1"/>
    <hyperlink ref="A3348" r:id="rId3346" display="VN000PBTBLK1"/>
    <hyperlink ref="A3349" r:id="rId3347" display="VN000PBVWHT1"/>
    <hyperlink ref="A3350" r:id="rId3348" display="VN000PBVWHT1"/>
    <hyperlink ref="A3351" r:id="rId3349" display="VN000PBVWHT1"/>
    <hyperlink ref="A3352" r:id="rId3350" display="VN000PBX6JL1"/>
    <hyperlink ref="A3353" r:id="rId3351" display="VN000PBX6JL1"/>
    <hyperlink ref="A3354" r:id="rId3352" display="VN000PBX6JL1"/>
    <hyperlink ref="A3355" r:id="rId3353" display="VN000PBXEML1"/>
    <hyperlink ref="A3356" r:id="rId3354" display="VN000PBXEML1"/>
    <hyperlink ref="A3357" r:id="rId3355" display="VN000PBXEMS1"/>
    <hyperlink ref="A3358" r:id="rId3356" display="VN000PBZBLK1"/>
    <hyperlink ref="A3359" r:id="rId3357" display="VN000PC2WHT1"/>
    <hyperlink ref="A3360" r:id="rId3358" display="VN000PCAWHT1"/>
    <hyperlink ref="A3361" r:id="rId3359" display="VN000PCAWHT1"/>
    <hyperlink ref="A3362" r:id="rId3360" display="VN000PCAWHT1"/>
    <hyperlink ref="A3363" r:id="rId3361" display="VN000PCWEMT1"/>
    <hyperlink ref="A3364" r:id="rId3362" display="VN000PCWEMT1"/>
    <hyperlink ref="A3365" r:id="rId3363" display="VN000PCXEMS1"/>
    <hyperlink ref="A3366" r:id="rId3364" display="VN000PCXFS81"/>
    <hyperlink ref="A3367" r:id="rId3365" display="VN000PCXFS81"/>
    <hyperlink ref="A3368" r:id="rId3366" display="VN000PD7EMS1"/>
    <hyperlink ref="A3369" r:id="rId3367" display="VN000PD7EMS1"/>
    <hyperlink ref="A3370" r:id="rId3368" display="VN000PD7EMS1"/>
    <hyperlink ref="A3371" r:id="rId3369" display="VN000PD7EMS1"/>
    <hyperlink ref="A3372" r:id="rId3370" display="VN000PDABLK1"/>
    <hyperlink ref="A3373" r:id="rId3371" display="VN000PDAEMF1"/>
    <hyperlink ref="A3374" r:id="rId3372" display="VN000PDRBLK1"/>
    <hyperlink ref="A3375" r:id="rId3373" display="VN000PDREMS1"/>
    <hyperlink ref="A3376" r:id="rId3374" display="VN000PDREN71"/>
    <hyperlink ref="A3377" r:id="rId3375" display="VN000PDYEMP1"/>
    <hyperlink ref="A3378" r:id="rId3376" display="VN000PDYWHT1"/>
    <hyperlink ref="A3379" r:id="rId3377" display="VN000PDYWHT1"/>
    <hyperlink ref="A3380" r:id="rId3378" display="VN000PDYWHT1"/>
    <hyperlink ref="A3381" r:id="rId3379" display="VN000PE7BLK1"/>
    <hyperlink ref="A3382" r:id="rId3380" display="VN000PE7BLK1"/>
    <hyperlink ref="A3383" r:id="rId3381" display="VN000PE7WHT1"/>
    <hyperlink ref="A3384" r:id="rId3382" display="VN000PEWBLK1"/>
    <hyperlink ref="A3385" r:id="rId3383" display="VN000PEWEMU1"/>
    <hyperlink ref="A3386" r:id="rId3384" display="VN000PEYF0F1"/>
    <hyperlink ref="A3387" r:id="rId3385" display="VN000PEYNAV1"/>
    <hyperlink ref="A3388" r:id="rId3386" display="VN000PEYYB21"/>
    <hyperlink ref="A3389" r:id="rId3387" display="VN000PF7F0D1"/>
    <hyperlink ref="A3390" r:id="rId3388" display="VN000PF7F0D1"/>
    <hyperlink ref="A3391" r:id="rId3389" display="VN000PF7Y281"/>
    <hyperlink ref="A3392" r:id="rId3390" display="VN000PF7Y281"/>
    <hyperlink ref="A3393" r:id="rId3391" display="VN000PFBEMU1"/>
    <hyperlink ref="A3394" r:id="rId3392" display="VN000PFBEMU1"/>
    <hyperlink ref="A3395" r:id="rId3393" display="VN000PFBF2L1"/>
    <hyperlink ref="A3396" r:id="rId3394" display="VN000PFBF2L1"/>
    <hyperlink ref="A3397" r:id="rId3395" display="VN000PGJEMF1"/>
    <hyperlink ref="A3398" r:id="rId3396" display="VN000PGMEMU1"/>
    <hyperlink ref="A3399" r:id="rId3397" display="VN000PH6IYR1"/>
    <hyperlink ref="A3400" r:id="rId3398" display="VN000PH6IYR1"/>
    <hyperlink ref="A3401" r:id="rId3399" display="VN000PH6IYR1"/>
    <hyperlink ref="A3402" r:id="rId3400" display="VN000PH6IYR1"/>
    <hyperlink ref="A3403" r:id="rId3401" display="VN000PH8CDX1"/>
    <hyperlink ref="A3404" r:id="rId3402" display="VN000PH8CDX1"/>
    <hyperlink ref="A3405" r:id="rId3403" display="VN000PH8CDX1"/>
    <hyperlink ref="A3406" r:id="rId3404" display="VN000PHHLVB1"/>
    <hyperlink ref="A3407" r:id="rId3405" display="VN000PHHLVB1"/>
    <hyperlink ref="A3408" r:id="rId3406" display="VN000PHHLVB1"/>
    <hyperlink ref="A3409" r:id="rId3407" display="VN000PHHLVB1"/>
    <hyperlink ref="A3410" r:id="rId3408" display="VN000PJ7LKZ1"/>
    <hyperlink ref="A3411" r:id="rId3409" display="VN000PJ912S1"/>
    <hyperlink ref="A3412" r:id="rId3410" display="VN000PJ912S1"/>
    <hyperlink ref="A3413" r:id="rId3411" display="VN000PJMBLK1"/>
    <hyperlink ref="A3414" r:id="rId3412" display="VN000PJMBLK1"/>
    <hyperlink ref="A3415" r:id="rId3413" display="VN000PJMZBF1"/>
    <hyperlink ref="A3416" r:id="rId3414" display="VN000PJR3N11"/>
    <hyperlink ref="A3417" r:id="rId3415" display="VN000PJR3N11"/>
    <hyperlink ref="A3418" r:id="rId3416" display="VN000PJSBLK1"/>
    <hyperlink ref="A3419" r:id="rId3417" display="VN000PJSBLK1"/>
    <hyperlink ref="A3420" r:id="rId3418" display="VN000PJSBLK1"/>
    <hyperlink ref="A3421" r:id="rId3419" display="VN000PJSBLK1"/>
    <hyperlink ref="A3422" r:id="rId3420" display="VN000PJU7WM1"/>
    <hyperlink ref="A3423" r:id="rId3421" display="VN000PK0ZRY1"/>
    <hyperlink ref="A3424" r:id="rId3422" display="VN000PK1EMZ1"/>
    <hyperlink ref="A3425" r:id="rId3423" display="VN000PK8BLK1"/>
    <hyperlink ref="A3426" r:id="rId3424" display="VN000PKEEN91"/>
    <hyperlink ref="A3427" r:id="rId3425" display="VN000PKEEN91"/>
    <hyperlink ref="A3428" r:id="rId3426" display="VN000PKSBLK1"/>
    <hyperlink ref="A3429" r:id="rId3427" display="VN000PM3BLK1"/>
    <hyperlink ref="A3430" r:id="rId3428" display="VN000PMA9JC1"/>
    <hyperlink ref="A3431" r:id="rId3429" display="VN000PMA9JC1"/>
    <hyperlink ref="A3432" r:id="rId3430" display="VN000PMABLK1"/>
    <hyperlink ref="A3433" r:id="rId3431" display="VN000PMAEMW1"/>
    <hyperlink ref="A3434" r:id="rId3432" display="VN000PMAEMW1"/>
    <hyperlink ref="A3435" r:id="rId3433" display="VN000PMAEMW1"/>
    <hyperlink ref="A3436" r:id="rId3434" display="VN000PMDBLK1"/>
    <hyperlink ref="A3437" r:id="rId3435" display="VN000PMDBLK1"/>
    <hyperlink ref="A3438" r:id="rId3436" display="VN000PMFEB21"/>
    <hyperlink ref="A3439" r:id="rId3437" display="VN000PMFENB1"/>
    <hyperlink ref="A3440" r:id="rId3438" display="VN000PMHEB21"/>
    <hyperlink ref="A3441" r:id="rId3439" display="VN000PMHENB1"/>
    <hyperlink ref="A3442" r:id="rId3440" display="VN000PMNEMP1"/>
    <hyperlink ref="A3443" r:id="rId3441" display="VN000PNCRKZ1"/>
    <hyperlink ref="A3444" r:id="rId3442" display="VN000PNEFS81"/>
    <hyperlink ref="A3445" r:id="rId3443" display="VN000PNEFS81"/>
    <hyperlink ref="A3446" r:id="rId3444" display="VN000PNGEMV1"/>
    <hyperlink ref="A3447" r:id="rId3445" display="VN000PNGEMV1"/>
    <hyperlink ref="A3448" r:id="rId3446" display="VN000PNGEMV1"/>
    <hyperlink ref="A3449" r:id="rId3447" display="VN000PNJFS81"/>
    <hyperlink ref="A3450" r:id="rId3448" display="VN000PNKEMJ1"/>
    <hyperlink ref="A3451" r:id="rId3449" display="VN000PNMEMT1"/>
    <hyperlink ref="A3452" r:id="rId3450" display="VN000PPFEN91"/>
    <hyperlink ref="A3453" r:id="rId3451" display="VN000PPKEMP1"/>
    <hyperlink ref="A3454" r:id="rId3452" display="VN000PPMBLK1"/>
    <hyperlink ref="A3455" r:id="rId3453" display="VN000PPUEN71"/>
    <hyperlink ref="A3456" r:id="rId3454" display="VN000PPZY7J1"/>
    <hyperlink ref="A3457" r:id="rId3455" display="VN000PQHE901"/>
    <hyperlink ref="A3458" r:id="rId3456" display="VN000PQHE901"/>
    <hyperlink ref="A3459" r:id="rId3457" display="VN000PQWBLK1"/>
    <hyperlink ref="A3460" r:id="rId3458" display="VN000PQWEMF1"/>
    <hyperlink ref="A3461" r:id="rId3459" display="VN000PR2BLK1"/>
    <hyperlink ref="A3462" r:id="rId3460" display="VN000PR3BLK1"/>
    <hyperlink ref="A3463" r:id="rId3461" display="VN000PR3EN91"/>
    <hyperlink ref="A3464" r:id="rId3462" display="VN000PR4EMV1"/>
    <hyperlink ref="A3465" r:id="rId3463" display="VN000PR4EMV1"/>
    <hyperlink ref="A3466" r:id="rId3464" display="VN000PTBF0W1"/>
    <hyperlink ref="A3467" r:id="rId3465" display="VN000PTGEN71"/>
    <hyperlink ref="A3468" r:id="rId3466" display="VN000PTHWHT1"/>
    <hyperlink ref="A3469" r:id="rId3467" display="VN000PTHWHT1"/>
    <hyperlink ref="A3470" r:id="rId3468" display="VN000PTHWHT1"/>
    <hyperlink ref="A3471" r:id="rId3469" display="VN000PTHWHT1"/>
    <hyperlink ref="A3472" r:id="rId3470" display="VN000PTTBRD1"/>
    <hyperlink ref="A3473" r:id="rId3471" display="VN000PTTWHT1"/>
    <hyperlink ref="A3474" r:id="rId3472" display="VN000PUEFS81"/>
    <hyperlink ref="A3475" r:id="rId3473" display="VN000PUEFS81"/>
    <hyperlink ref="A3476" r:id="rId3474" display="VN000PWCF0G1"/>
    <hyperlink ref="A3477" r:id="rId3475" display="VN000PWCF0G1"/>
    <hyperlink ref="A3478" r:id="rId3476" display="VN000PWCF0G1"/>
    <hyperlink ref="A3479" r:id="rId3477" display="VN000PWVBLK1"/>
    <hyperlink ref="A3480" r:id="rId3478" display="VN000PWVEMW1"/>
    <hyperlink ref="A3481" r:id="rId3479" display="VN000PWXBLK1"/>
    <hyperlink ref="A3482" r:id="rId3480" display="VN000PX2EMP1"/>
    <hyperlink ref="A3483" r:id="rId3481" display="VN000PX3BLK1"/>
    <hyperlink ref="A3484" r:id="rId3482" display="VN000PX3EN61"/>
    <hyperlink ref="A3485" r:id="rId3483" display="VN000PX8LUT1"/>
    <hyperlink ref="A3486" r:id="rId3484" display="VN000PX8LUT1"/>
    <hyperlink ref="A3487" r:id="rId3485" display="VN000PXBEN71"/>
    <hyperlink ref="A3488" r:id="rId3486" display="VN000PXEEMS1"/>
    <hyperlink ref="A3489" r:id="rId3487" display="VN000PXMCDX1"/>
    <hyperlink ref="A3490" r:id="rId3488" display="VN000PXNJDU1"/>
    <hyperlink ref="A3491" r:id="rId3489" display="VN000PXTBLK1"/>
    <hyperlink ref="A3492" r:id="rId3490" display="VN000PXTBLK1"/>
    <hyperlink ref="A3493" r:id="rId3491" display="VN000PXUBLK1"/>
    <hyperlink ref="A3494" r:id="rId3492" display="VN000PXWWHT1"/>
    <hyperlink ref="A3495" r:id="rId3493" display="VN000PXXWHT1"/>
    <hyperlink ref="A3496" r:id="rId3494" display="VN000PY6BLK1"/>
    <hyperlink ref="A3497" r:id="rId3495" display="VN000Q09GC61"/>
    <hyperlink ref="A3498" r:id="rId3496" display="VN000Q0ACDX1"/>
    <hyperlink ref="A3499" r:id="rId3497" display="VN000Q0ACDX1"/>
    <hyperlink ref="A3500" r:id="rId3498" display="VN000Q0ACDX1"/>
    <hyperlink ref="A3501" r:id="rId3499" display="VN000Q0PEMP1"/>
    <hyperlink ref="A3502" r:id="rId3500" display="VN000Q0PEMP1"/>
    <hyperlink ref="A3503" r:id="rId3501" display="VN000Q0VBLK1"/>
    <hyperlink ref="A3504" r:id="rId3502" display="VN000Q11BLK1"/>
    <hyperlink ref="A3505" r:id="rId3503" display="VN000Q2ABLK1"/>
    <hyperlink ref="A3506" r:id="rId3504" display="VN000Q3002F1"/>
    <hyperlink ref="A3507" r:id="rId3505" display="VN000Q35RV21"/>
    <hyperlink ref="A3508" r:id="rId3506" display="VN000Q35RV21"/>
    <hyperlink ref="A3509" r:id="rId3507" display="VN000Q38BLK1"/>
    <hyperlink ref="A3510" r:id="rId3508" display="VN000Q38BLK1"/>
    <hyperlink ref="A3511" r:id="rId3509" display="VN000Q43EN61"/>
    <hyperlink ref="A3512" r:id="rId3510" display="VN000Q43EN61"/>
    <hyperlink ref="A3513" r:id="rId3511" display="VN000Q43EN61"/>
    <hyperlink ref="A3514" r:id="rId3512" display="VN000Q43EN61"/>
    <hyperlink ref="A3515" r:id="rId3513" display="VN000Q43JDU1"/>
    <hyperlink ref="A3516" r:id="rId3514" display="VN000Q43JDU1"/>
    <hyperlink ref="A3517" r:id="rId3515" display="VN000Q43JDU1"/>
    <hyperlink ref="A3518" r:id="rId3516" display="VN000Q43JDU1"/>
    <hyperlink ref="A3519" r:id="rId3517" display="VN000Q49BLK1"/>
    <hyperlink ref="A3520" r:id="rId3518" display="VN000Q49BLK1"/>
    <hyperlink ref="A3521" r:id="rId3519" display="VN000Q67EMX1"/>
    <hyperlink ref="A3522" r:id="rId3520" display="VN000Q67EMX1"/>
    <hyperlink ref="A3523" r:id="rId3521" display="VN000Q67EMX1"/>
    <hyperlink ref="A3524" r:id="rId3522" display="VN000Q7429B1"/>
    <hyperlink ref="A3525" r:id="rId3523" display="VN000Q7429B1"/>
    <hyperlink ref="A3526" r:id="rId3524" display="VN000Q7429B1"/>
    <hyperlink ref="A3527" r:id="rId3525" display="VN000Q74EN61"/>
    <hyperlink ref="A3528" r:id="rId3526" display="VN000Q74EN61"/>
    <hyperlink ref="A3529" r:id="rId3527" display="VN000Q74EN61"/>
    <hyperlink ref="A3530" r:id="rId3528" display="VN000Q7712Q1"/>
    <hyperlink ref="A3531" r:id="rId3529" display="VN000Q77BLK1"/>
    <hyperlink ref="A3532" r:id="rId3530" display="VN000Q77BLK1"/>
    <hyperlink ref="A3533" r:id="rId3531" display="VN000QF32N11"/>
    <hyperlink ref="A3534" r:id="rId3532" display="VN000QFGDJR1"/>
    <hyperlink ref="A3535" r:id="rId3533" display="VN000QFGDJR1"/>
    <hyperlink ref="A3536" r:id="rId3534" display="VN000QFSBLK1"/>
    <hyperlink ref="A3537" r:id="rId3535" display="VN000QJPWHT1"/>
    <hyperlink ref="A3538" r:id="rId3536" display="VN000QJPWHT1"/>
    <hyperlink ref="A3539" r:id="rId3537" display="VN000QN8Y281"/>
    <hyperlink ref="A3540" r:id="rId3538" display="VN000QN8YB21"/>
    <hyperlink ref="A3541" r:id="rId3539" display="VN000QYB02F1"/>
    <hyperlink ref="A3542" r:id="rId3540" display="VN000R02RV21"/>
    <hyperlink ref="A3543" r:id="rId3541" display="VN000R02WHT1"/>
    <hyperlink ref="A3544" r:id="rId3542" display="VN000R15EML1"/>
    <hyperlink ref="A3545" r:id="rId3543" display="VN000R15EML1"/>
    <hyperlink ref="A3546" r:id="rId3544" display="VN000R15EML1"/>
    <hyperlink ref="A3547" r:id="rId3545" display="VN000R15FS81"/>
    <hyperlink ref="A3548" r:id="rId3546" display="VN000R15FS81"/>
    <hyperlink ref="A3549" r:id="rId3547" display="VN000R3FBLK1"/>
    <hyperlink ref="A3550" r:id="rId3548" display="VN000R3FBLK1"/>
    <hyperlink ref="A3551" r:id="rId3549" display="VN000R4ZEMP1"/>
    <hyperlink ref="A3552" r:id="rId3550" display="VN000R4ZEMP1"/>
    <hyperlink ref="A3553" r:id="rId3551" display="VN000R4ZEMP1"/>
    <hyperlink ref="A3554" r:id="rId3552" display="VN000R74BLK1"/>
    <hyperlink ref="A3555" r:id="rId3553" display="VN000R74BLK1"/>
    <hyperlink ref="A3556" r:id="rId3554" display="VN000R74EMS1"/>
    <hyperlink ref="A3557" r:id="rId3555" display="VN000R7AY281"/>
    <hyperlink ref="A3558" r:id="rId3556" display="VN000R8ZBLK1"/>
    <hyperlink ref="A3559" r:id="rId3557" display="VN000R92EMF1"/>
    <hyperlink ref="A3560" r:id="rId3558" display="VN000R94FS81"/>
    <hyperlink ref="A3561" r:id="rId3559" display="VN000R94FS81"/>
    <hyperlink ref="A3562" r:id="rId3560" display="VN000R95EMV1"/>
    <hyperlink ref="A3563" r:id="rId3561" display="VN000R96FS81"/>
    <hyperlink ref="A3564" r:id="rId3562" display="VN000R97D3A1"/>
    <hyperlink ref="A3565" r:id="rId3563" display="VN000R9YEN71"/>
    <hyperlink ref="A3566" r:id="rId3564" display="VN000RA2WHT1"/>
    <hyperlink ref="A3567" r:id="rId3565" display="VN000RAP5TU1"/>
    <hyperlink ref="A3568" r:id="rId3566" display="VN000RAP5TU1"/>
    <hyperlink ref="A3569" r:id="rId3567" display="VN000RAP5TU1"/>
    <hyperlink ref="A3570" r:id="rId3568" display="VN000RAP5TU1"/>
    <hyperlink ref="A3571" r:id="rId3569" display="VN000RAP7D61"/>
    <hyperlink ref="A3572" r:id="rId3570" display="VN000RAR5TU1"/>
    <hyperlink ref="A3573" r:id="rId3571" display="VN000RAR7D61"/>
    <hyperlink ref="A3574" r:id="rId3572" display="VN000RARFS81"/>
    <hyperlink ref="A3575" r:id="rId3573" display="VN000RATE301"/>
    <hyperlink ref="A3576" r:id="rId3574" display="VN000RCB1O71"/>
    <hyperlink ref="A3577" r:id="rId3575" display="VN000RCB1O71"/>
    <hyperlink ref="A3578" r:id="rId3576" display="VN000RCEFCT1"/>
    <hyperlink ref="A3579" r:id="rId3577" display="VN000RCEFCT1"/>
    <hyperlink ref="A3580" r:id="rId3578" display="VN000RCEYB21"/>
    <hyperlink ref="A3581" r:id="rId3579" display="VN000RCEYB21"/>
    <hyperlink ref="A3582" r:id="rId3580" display="VN000RCEYB21"/>
    <hyperlink ref="A3583" r:id="rId3581" display="VN000RD1O321"/>
    <hyperlink ref="A3584" r:id="rId3582" display="VN000RD4EMP1"/>
    <hyperlink ref="A3585" r:id="rId3583" display="VN000RD4EMP1"/>
    <hyperlink ref="A3586" r:id="rId3584" display="VN000RD4EMP1"/>
    <hyperlink ref="A3587" r:id="rId3585" display="VN000RD4EMP1"/>
    <hyperlink ref="A3588" r:id="rId3586" display="VN000RD4EN91"/>
    <hyperlink ref="A3589" r:id="rId3587" display="VN000RD4EN91"/>
    <hyperlink ref="A3590" r:id="rId3588" display="VN000RD4EN91"/>
    <hyperlink ref="A3591" r:id="rId3589" display="VN000RD5EMP1"/>
    <hyperlink ref="A3592" r:id="rId3590" display="VN000REFWHT1"/>
    <hyperlink ref="A3593" r:id="rId3591" display="VN000REMBLK1"/>
    <hyperlink ref="A3594" r:id="rId3592" display="VN000RFR1QI1"/>
    <hyperlink ref="A3595" r:id="rId3593" display="VN000RFRBLK1"/>
    <hyperlink ref="A3596" r:id="rId3594" display="VN000RFUWHT1"/>
    <hyperlink ref="A3597" r:id="rId3595" display="VN000RG21QI1"/>
    <hyperlink ref="A3598" r:id="rId3596" display="VN000RG2BLK1"/>
    <hyperlink ref="A3599" r:id="rId3597" display="VN000RG2BLK1"/>
    <hyperlink ref="A3600" r:id="rId3598" display="VN000RG44QU1"/>
    <hyperlink ref="A3601" r:id="rId3599" display="VN000RG4BLK1"/>
    <hyperlink ref="A3602" r:id="rId3600" display="VN000RJYPWT1"/>
    <hyperlink ref="A3603" r:id="rId3601" display="VN000RJYPWT1"/>
    <hyperlink ref="A3604" r:id="rId3602" display="VN000RM1AHU1"/>
    <hyperlink ref="A3605" r:id="rId3603" display="VN000RM1AHU1"/>
    <hyperlink ref="A3606" r:id="rId3604" display="VN000SN0JDU1"/>
    <hyperlink ref="A3607" r:id="rId3605" display="VN000SN6BLK1"/>
    <hyperlink ref="A3608" r:id="rId3606" display="VN000SPAZ281"/>
    <hyperlink ref="A3609" r:id="rId3607" display="VN000XOIBLK1"/>
    <hyperlink ref="A3610" r:id="rId3608" display="VN000XOIBLK1"/>
    <hyperlink ref="A3611" r:id="rId3609" display="VN000XOIBLK1"/>
    <hyperlink ref="A3612" r:id="rId3610" display="VN000XOIY281"/>
    <hyperlink ref="A3613" r:id="rId3611" display="VN000XR4FS81"/>
    <hyperlink ref="A3614" r:id="rId3612" display="VN000XR4FS81"/>
    <hyperlink ref="A3615" r:id="rId3613" display="VN000Y8VYB21"/>
    <hyperlink ref="A3616" r:id="rId3614" display="VN000Y8VYB21"/>
    <hyperlink ref="A3617" r:id="rId3615" display="VN00104UEMS1"/>
    <hyperlink ref="A3618" r:id="rId3616" display="VN001096BLK1"/>
    <hyperlink ref="A3619" r:id="rId3617" display="VN0010J9BLK1"/>
    <hyperlink ref="A3620" r:id="rId3618" display="VN0010J9BLK1"/>
    <hyperlink ref="A3621" r:id="rId3619" display="VN0010J9WHT1"/>
    <hyperlink ref="A3622" r:id="rId3620" display="VN0010J9WHT1"/>
    <hyperlink ref="A3623" r:id="rId3621" display="VN0A3189LKZ1"/>
    <hyperlink ref="A3624" r:id="rId3622" display="VN0A36MZADY1"/>
    <hyperlink ref="A3625" r:id="rId3623" display="VN0A3ANBO3R1"/>
    <hyperlink ref="A3626" r:id="rId3624" display="VN0A3CZENAV1"/>
    <hyperlink ref="A3627" r:id="rId3625" display="VN0A3CZENAV1"/>
    <hyperlink ref="A3628" r:id="rId3626" display="VN0A3CZENAV1"/>
    <hyperlink ref="A3629" r:id="rId3627" display="VN0A3CZEYB21"/>
    <hyperlink ref="A3630" r:id="rId3628" display="VN0A3HSCP8X1"/>
    <hyperlink ref="A3631" r:id="rId3629" display="VN0A3HSCP8X1"/>
    <hyperlink ref="A3632" r:id="rId3630" display="VN0A3IJ1BLK1"/>
    <hyperlink ref="A3633" r:id="rId3631" display="VN0A3UDCBLK1"/>
    <hyperlink ref="A3634" r:id="rId3632" display="VN0A3WCW4PV1"/>
    <hyperlink ref="A3635" r:id="rId3633" display="VN0A3WF1BLK1"/>
    <hyperlink ref="A3636" r:id="rId3634" display="VN0A3WF1KCZ1"/>
    <hyperlink ref="A3637" r:id="rId3635" display="VN0A45AGADY1"/>
    <hyperlink ref="A3638" r:id="rId3636" display="VN0A45CMLKZ1"/>
    <hyperlink ref="A3639" r:id="rId3637" display="VN0A45CMLKZ1"/>
    <hyperlink ref="A3640" r:id="rId3638" display="VN0A47TCBLK1"/>
    <hyperlink ref="A3641" r:id="rId3639" display="VN0A49LCYB21"/>
    <hyperlink ref="A3642" r:id="rId3640" display="VN0A49LCYB21"/>
    <hyperlink ref="A3643" r:id="rId3641" display="VN0A49LCYB21"/>
    <hyperlink ref="A3644" r:id="rId3642" display="VN0A49MUY281"/>
    <hyperlink ref="A3645" r:id="rId3643" display="VN0A49OYBDX1"/>
    <hyperlink ref="A3646" r:id="rId3644" display="VN0A49OYBLK1"/>
    <hyperlink ref="A3647" r:id="rId3645" display="VN0A49OYZDS1"/>
    <hyperlink ref="A3648" r:id="rId3646" display="VN0A4CYFBLK1"/>
    <hyperlink ref="A3649" r:id="rId3647" display="VN0A4CYFBLK1"/>
    <hyperlink ref="A3650" r:id="rId3648" display="VN0A4CYYWHT1"/>
    <hyperlink ref="A3651" r:id="rId3649" display="VN0A4CYYWHT1"/>
    <hyperlink ref="A3652" r:id="rId3650" display="VN0A4MQ3BR11"/>
    <hyperlink ref="A3653" r:id="rId3651" display="VN0A4OOO60Q1"/>
    <hyperlink ref="A3654" r:id="rId3652" display="VN0A4Q4BBLK1"/>
    <hyperlink ref="A3655" r:id="rId3653" display="VN0A4R97BLK1"/>
    <hyperlink ref="A3656" r:id="rId3654" display="VN0A4S97BLK1"/>
    <hyperlink ref="A3657" r:id="rId3655" display="VN0A4TURWHT1"/>
    <hyperlink ref="A3658" r:id="rId3656" display="VN0A54YJBLK1"/>
    <hyperlink ref="A3659" r:id="rId3657" display="VN0A5AUBDSB1"/>
    <hyperlink ref="A3660" r:id="rId3658" display="VN0A5FJ7DZ91"/>
    <hyperlink ref="A3661" r:id="rId3659" display="VN0A5FJXBLK1"/>
    <hyperlink ref="A3662" r:id="rId3660" display="VN0A5FKDCFL1"/>
    <hyperlink ref="A3663" r:id="rId3661" display="VN0A5FKDKHK1"/>
    <hyperlink ref="A3664" r:id="rId3662" display="VN0A5FLPBLK1"/>
    <hyperlink ref="A3665" r:id="rId3663" display="VN0A5FLPBLK1"/>
    <hyperlink ref="A3666" r:id="rId3664" display="VN0A5FLPDZ91"/>
    <hyperlink ref="A3667" r:id="rId3665" display="VN0A5FN19JC1"/>
    <hyperlink ref="A3668" r:id="rId3666" display="VN0A5FNVBR11"/>
    <hyperlink ref="A3669" r:id="rId3667" display="VN0A5FNVBR11"/>
    <hyperlink ref="A3670" r:id="rId3668" display="VN0A5JNMZBF1"/>
    <hyperlink ref="A3671" r:id="rId3669" display="VN0A5KEZBLK1"/>
    <hyperlink ref="A3672" r:id="rId3670" display="VN0A5LNVBLK1"/>
    <hyperlink ref="A3673" r:id="rId3671" display="VN0A7RMDDJR1"/>
    <hyperlink ref="A3674" r:id="rId3672" display="VN0A7SHE7051"/>
    <hyperlink ref="A3675" r:id="rId3673" display="VN0A7Y3XJNH1"/>
    <hyperlink ref="A3676" r:id="rId3674" display="VN0A7Y47Z2X1"/>
    <hyperlink ref="A3677" r:id="rId3675" display="VN0A7Y4RJNH1"/>
    <hyperlink ref="A3678" r:id="rId3676" display="VN0A7YK5BLK1"/>
    <hyperlink ref="A3679" r:id="rId3677" display="VN0A7YUTJCN1"/>
    <hyperlink ref="A3680" r:id="rId3678" display="VN00082G9RJ1"/>
    <hyperlink ref="A3681" r:id="rId3679" display="VN000H4XEMW1"/>
    <hyperlink ref="A3682" r:id="rId3680" display="VN000H4YCIC1"/>
    <hyperlink ref="A3683" r:id="rId3681" display="VN000H4YO3N1"/>
    <hyperlink ref="A3684" r:id="rId3682" display="VN000H56CBO1"/>
    <hyperlink ref="A3685" r:id="rId3683" display="VN000H58CBO1"/>
    <hyperlink ref="A3686" r:id="rId3684" display="VN000MNNY7X1"/>
    <hyperlink ref="A3687" r:id="rId3685" display="VN000MNXBLK1"/>
    <hyperlink ref="A3688" r:id="rId3686" display="VN0A7PQE7UG1"/>
    <hyperlink ref="A3689" r:id="rId3687" display="VN0005UFBLL1"/>
    <hyperlink ref="A3690" r:id="rId3688" display="VN0005UFBLL1"/>
    <hyperlink ref="A3691" r:id="rId3689" display="VN0005UFBLL1"/>
    <hyperlink ref="A3692" r:id="rId3690" display="VN0005UFBLL1"/>
    <hyperlink ref="A3693" r:id="rId3691" display="VN0005UFBLL1"/>
    <hyperlink ref="A3694" r:id="rId3692" display="VN0005UFCJL1"/>
    <hyperlink ref="A3695" r:id="rId3693" display="VN0005UKOLO1"/>
    <hyperlink ref="A3696" r:id="rId3694" display="VN0005UKQJM1"/>
    <hyperlink ref="A3697" r:id="rId3695" display="VN0005UKQJM1"/>
    <hyperlink ref="A3698" r:id="rId3696" display="VN0005V81741"/>
    <hyperlink ref="A3699" r:id="rId3697" display="VN0005V81741"/>
    <hyperlink ref="A3700" r:id="rId3698" display="VN0005V8YU21"/>
    <hyperlink ref="A3701" r:id="rId3699" display="VN0007NKBZW1"/>
    <hyperlink ref="A3702" r:id="rId3700" display="VN0007NKYEH1"/>
    <hyperlink ref="A3703" r:id="rId3701" display="VN0007NKYJ71"/>
    <hyperlink ref="A3704" r:id="rId3702" display="VN0007NSBY11"/>
    <hyperlink ref="A3705" r:id="rId3703" display="VN0007NTYB21"/>
    <hyperlink ref="A3706" r:id="rId3704" display="VN0007NTYP01"/>
    <hyperlink ref="A3707" r:id="rId3705" display="VN0007NTYP01"/>
    <hyperlink ref="A3708" r:id="rId3706" display="VN0007P2TWB1"/>
    <hyperlink ref="A3709" r:id="rId3707" display="VN0007P2TWB1"/>
    <hyperlink ref="A3710" r:id="rId3708" display="VN0007Q3BIY1"/>
    <hyperlink ref="A3711" r:id="rId3709" display="VN0007Q3EMY1"/>
    <hyperlink ref="A3712" r:id="rId3710" display="VN0009PZDRV1"/>
    <hyperlink ref="A3713" r:id="rId3711" display="VN0009Q7YY61"/>
    <hyperlink ref="A3714" r:id="rId3712" display="VN0009Q7YY61"/>
    <hyperlink ref="A3715" r:id="rId3713" display="VN0009QCBKA1"/>
    <hyperlink ref="A3716" r:id="rId3714" display="VN0009QCBKA1"/>
    <hyperlink ref="A3717" r:id="rId3715" display="VN0009QCBKA1"/>
    <hyperlink ref="A3718" r:id="rId3716" display="VN0009QCCJI1"/>
    <hyperlink ref="A3719" r:id="rId3717" display="VN0009QCDBS1"/>
    <hyperlink ref="A3720" r:id="rId3718" display="VN0009QCNWH1"/>
    <hyperlink ref="A3721" r:id="rId3719" display="VN0009QCNWH1"/>
    <hyperlink ref="A3722" r:id="rId3720" display="VN0009QDPNK1"/>
    <hyperlink ref="A3723" r:id="rId3721" display="VN0009QJO3N1"/>
    <hyperlink ref="A3724" r:id="rId3722" display="VN0009QMBLA1"/>
    <hyperlink ref="A3725" r:id="rId3723" display="VN0009QMBLA1"/>
    <hyperlink ref="A3726" r:id="rId3724" display="VN0009QMJM91"/>
    <hyperlink ref="A3727" r:id="rId3725" display="VN0009QP4MG1"/>
    <hyperlink ref="A3728" r:id="rId3726" display="VN0009QPBLK1"/>
    <hyperlink ref="A3729" r:id="rId3727" display="VN0009QRCJJ1"/>
    <hyperlink ref="A3730" r:id="rId3728" display="VN0009RCBZW1"/>
    <hyperlink ref="A3731" r:id="rId3729" display="VN0009RCBZW1"/>
    <hyperlink ref="A3732" r:id="rId3730" display="VN0009W3BTX1"/>
    <hyperlink ref="A3733" r:id="rId3731" display="VN0009W3BTX1"/>
    <hyperlink ref="A3734" r:id="rId3732" display="VN0009W3DD81"/>
    <hyperlink ref="A3735" r:id="rId3733" display="VN000BCE0HS1"/>
    <hyperlink ref="A3736" r:id="rId3734" display="VN000BCEBF01"/>
    <hyperlink ref="A3737" r:id="rId3735" display="VN000BCEBIG1"/>
    <hyperlink ref="A3738" r:id="rId3736" display="VN000BCEBIY1"/>
    <hyperlink ref="A3739" r:id="rId3737" display="VN000BCEBIY1"/>
    <hyperlink ref="A3740" r:id="rId3738" display="VN000BCEBJW1"/>
    <hyperlink ref="A3741" r:id="rId3739" display="VN000BCEBMV1"/>
    <hyperlink ref="A3742" r:id="rId3740" display="VN000BCECCZ1"/>
    <hyperlink ref="A3743" r:id="rId3741" display="VN000BCELLC1"/>
    <hyperlink ref="A3744" r:id="rId3742" display="VN000BCELLC1"/>
    <hyperlink ref="A3745" r:id="rId3743" display="VN000BCELLC1"/>
    <hyperlink ref="A3746" r:id="rId3744" display="VN000BCERP91"/>
    <hyperlink ref="A3747" r:id="rId3745" display="VN000BCEW001"/>
    <hyperlink ref="A3748" r:id="rId3746" display="VN000BVS1M71"/>
    <hyperlink ref="A3749" r:id="rId3747" display="VN000BVS6BT1"/>
    <hyperlink ref="A3750" r:id="rId3748" display="VN000BVZ1NU1"/>
    <hyperlink ref="A3751" r:id="rId3749" display="VN000BVZ1NU1"/>
    <hyperlink ref="A3752" r:id="rId3750" display="VN000BVZ1NU1"/>
    <hyperlink ref="A3753" r:id="rId3751" display="VN000BVZ1NU1"/>
    <hyperlink ref="A3754" r:id="rId3752" display="VN000BVZ1NU1"/>
    <hyperlink ref="A3755" r:id="rId3753" display="VN000BVZ1NU1"/>
    <hyperlink ref="A3756" r:id="rId3754" display="VN000BVZ1NU1"/>
    <hyperlink ref="A3757" r:id="rId3755" display="VN000BVZ1NU1"/>
    <hyperlink ref="A3758" r:id="rId3756" display="VN000BVZ1NU1"/>
    <hyperlink ref="A3759" r:id="rId3757" display="VN000BVZ1NU1"/>
    <hyperlink ref="A3760" r:id="rId3758" display="VN000BVZ1NU1"/>
    <hyperlink ref="A3761" r:id="rId3759" display="VN000BVZ2391"/>
    <hyperlink ref="A3762" r:id="rId3760" display="VN000BVZ2391"/>
    <hyperlink ref="A3763" r:id="rId3761" display="VN000BVZFRL1"/>
    <hyperlink ref="A3764" r:id="rId3762" display="VN000BW7EME1"/>
    <hyperlink ref="A3765" r:id="rId3763" display="VN000BWB0VW1"/>
    <hyperlink ref="A3766" r:id="rId3764" display="VN000CMTNGV1"/>
    <hyperlink ref="A3767" r:id="rId3765" display="VN000CMX2391"/>
    <hyperlink ref="A3768" r:id="rId3766" display="VN000CMX9JC1"/>
    <hyperlink ref="A3769" r:id="rId3767" display="VN000CMXM8I1"/>
    <hyperlink ref="A3770" r:id="rId3768" display="VN000CMXN1Z1"/>
    <hyperlink ref="A3771" r:id="rId3769" display="VN000CP67VF1"/>
    <hyperlink ref="A3772" r:id="rId3770" display="VN000CP6BKA1"/>
    <hyperlink ref="A3773" r:id="rId3771" display="VN000CP6BKA1"/>
    <hyperlink ref="A3774" r:id="rId3772" display="VN000CP6BXC1"/>
    <hyperlink ref="A3775" r:id="rId3773" display="VN000CP6GRY1"/>
    <hyperlink ref="A3776" r:id="rId3774" display="VN000CQ0BLK1"/>
    <hyperlink ref="A3777" r:id="rId3775" display="VN000CQ0BMW1"/>
    <hyperlink ref="A3778" r:id="rId3776" display="VN000CQ0BMW1"/>
    <hyperlink ref="A3779" r:id="rId3777" display="VN000CQ0BMW1"/>
    <hyperlink ref="A3780" r:id="rId3778" display="VN000CQ0BMW1"/>
    <hyperlink ref="A3781" r:id="rId3779" display="VN000CQ0BRO1"/>
    <hyperlink ref="A3782" r:id="rId3780" display="VN000CQ0BRO1"/>
    <hyperlink ref="A3783" r:id="rId3781" display="VN000CQ0BRO1"/>
    <hyperlink ref="A3784" r:id="rId3782" display="VN000CQ0BRO1"/>
    <hyperlink ref="A3785" r:id="rId3783" display="VN000CQ0BRO1"/>
    <hyperlink ref="A3786" r:id="rId3784" display="VN000CQ0BRO1"/>
    <hyperlink ref="A3787" r:id="rId3785" display="VN000CQ0BRO1"/>
    <hyperlink ref="A3788" r:id="rId3786" display="VN000CQ0BRO1"/>
    <hyperlink ref="A3789" r:id="rId3787" display="VN000CQ0EMY1"/>
    <hyperlink ref="A3790" r:id="rId3788" display="VN000CQ0EMY1"/>
    <hyperlink ref="A3791" r:id="rId3789" display="VN000CQ0HF91"/>
    <hyperlink ref="A3792" r:id="rId3790" display="VN000CQ0O331"/>
    <hyperlink ref="A3793" r:id="rId3791" display="VN000CQ0O331"/>
    <hyperlink ref="A3794" r:id="rId3792" display="VN000CQ0O331"/>
    <hyperlink ref="A3795" r:id="rId3793" display="VN000CQ0O331"/>
    <hyperlink ref="A3796" r:id="rId3794" display="VN000CQ0O331"/>
    <hyperlink ref="A3797" r:id="rId3795" display="VN000CQ0Y091"/>
    <hyperlink ref="A3798" r:id="rId3796" display="VN000CQ0Y091"/>
    <hyperlink ref="A3799" r:id="rId3797" display="VN000CQ0Y611"/>
    <hyperlink ref="A3800" r:id="rId3798" display="VN000CQ9B8C1"/>
    <hyperlink ref="A3801" r:id="rId3799" display="VN000CQ9BYS1"/>
    <hyperlink ref="A3802" r:id="rId3800" display="VN000CQ9KAQ1"/>
    <hyperlink ref="A3803" r:id="rId3801" display="VN000CQ9KAQ1"/>
    <hyperlink ref="A3804" r:id="rId3802" display="VN000CQ9KAQ1"/>
    <hyperlink ref="A3805" r:id="rId3803" display="VN000CQ9T9T1"/>
    <hyperlink ref="A3806" r:id="rId3804" display="VN000CQFBL21"/>
    <hyperlink ref="A3807" r:id="rId3805" display="VN000CQRBZW1"/>
    <hyperlink ref="A3808" r:id="rId3806" display="VN000CQRBZW1"/>
    <hyperlink ref="A3809" r:id="rId3807" display="VN000CQRCHL1"/>
    <hyperlink ref="A3810" r:id="rId3808" display="VN000CQRO3N1"/>
    <hyperlink ref="A3811" r:id="rId3809" display="VN000CQRO3N1"/>
    <hyperlink ref="A3812" r:id="rId3810" display="VN000CQRYLW1"/>
    <hyperlink ref="A3813" r:id="rId3811" display="VN000CQRYLW1"/>
    <hyperlink ref="A3814" r:id="rId3812" display="VN000CQRYLZ1"/>
    <hyperlink ref="A3815" r:id="rId3813" display="VN000CQRYLZ1"/>
    <hyperlink ref="A3816" r:id="rId3814" display="VN000CQRYLZ1"/>
    <hyperlink ref="A3817" r:id="rId3815" display="VN000CR50ZB1"/>
    <hyperlink ref="A3818" r:id="rId3816" display="VN000CR50ZB1"/>
    <hyperlink ref="A3819" r:id="rId3817" display="VN000CR5BOU1"/>
    <hyperlink ref="A3820" r:id="rId3818" display="VN000CR5EPO1"/>
    <hyperlink ref="A3821" r:id="rId3819" display="VN000CR5WGR1"/>
    <hyperlink ref="A3822" r:id="rId3820" display="VN000CR5WGR1"/>
    <hyperlink ref="A3823" r:id="rId3821" display="VN000CR5WGR1"/>
    <hyperlink ref="A3824" r:id="rId3822" display="VN000CRRBJ41"/>
    <hyperlink ref="A3825" r:id="rId3823" display="VN000CRRBJ41"/>
    <hyperlink ref="A3826" r:id="rId3824" display="VN000CRRD3X1"/>
    <hyperlink ref="A3827" r:id="rId3825" display="VN000CS00ZB1"/>
    <hyperlink ref="A3828" r:id="rId3826" display="VN000CS00ZB1"/>
    <hyperlink ref="A3829" r:id="rId3827" display="VN000CS0BLL1"/>
    <hyperlink ref="A3830" r:id="rId3828" display="VN000CS0BO51"/>
    <hyperlink ref="A3831" r:id="rId3829" display="VN000CS0BRO1"/>
    <hyperlink ref="A3832" r:id="rId3830" display="VN000CS0BRO1"/>
    <hyperlink ref="A3833" r:id="rId3831" display="VN000CS0BRO1"/>
    <hyperlink ref="A3834" r:id="rId3832" display="VN000CS0D4C1"/>
    <hyperlink ref="A3835" r:id="rId3833" display="VN000CS0D4C1"/>
    <hyperlink ref="A3836" r:id="rId3834" display="VN000CT8HCZ1"/>
    <hyperlink ref="A3837" r:id="rId3835" display="VN000CTDBKA1"/>
    <hyperlink ref="A3838" r:id="rId3836" display="VN000CTDY231"/>
    <hyperlink ref="A3839" r:id="rId3837" display="VN000CTDY231"/>
    <hyperlink ref="A3840" r:id="rId3838" display="VN000CTDY231"/>
    <hyperlink ref="A3841" r:id="rId3839" display="VN000CTG1NU1"/>
    <hyperlink ref="A3842" r:id="rId3840" display="VN000CTG1NU1"/>
    <hyperlink ref="A3843" r:id="rId3841" display="VN000CTG1NU1"/>
    <hyperlink ref="A3844" r:id="rId3842" display="VN000CTG1NU1"/>
    <hyperlink ref="A3845" r:id="rId3843" display="VN000CTG7VF1"/>
    <hyperlink ref="A3846" r:id="rId3844" display="VN000CTGEMY1"/>
    <hyperlink ref="A3847" r:id="rId3845" display="VN000CTGEMY1"/>
    <hyperlink ref="A3848" r:id="rId3846" display="VN000CTGEMY1"/>
    <hyperlink ref="A3849" r:id="rId3847" display="VN000CTGPIB1"/>
    <hyperlink ref="A3850" r:id="rId3848" display="VN000CTGPIB1"/>
    <hyperlink ref="A3851" r:id="rId3849" display="VN000CTGRV21"/>
    <hyperlink ref="A3852" r:id="rId3850" display="VN000CTGRV21"/>
    <hyperlink ref="A3853" r:id="rId3851" display="VN000CTGRV21"/>
    <hyperlink ref="A3854" r:id="rId3852" display="VN000CTGY091"/>
    <hyperlink ref="A3855" r:id="rId3853" display="VN000CTGY091"/>
    <hyperlink ref="A3856" r:id="rId3854" display="VN000CTGYLZ1"/>
    <hyperlink ref="A3857" r:id="rId3855" display="VN000CTGZRY1"/>
    <hyperlink ref="A3858" r:id="rId3856" display="VN000CTMBA21"/>
    <hyperlink ref="A3859" r:id="rId3857" display="VN000CTMELW1"/>
    <hyperlink ref="A3860" r:id="rId3858" display="VN000CTMSN01"/>
    <hyperlink ref="A3861" r:id="rId3859" display="VN000CTMYY21"/>
    <hyperlink ref="A3862" r:id="rId3860" display="VN000CTMYY21"/>
    <hyperlink ref="A3863" r:id="rId3861" display="VN000CTN2NC1"/>
    <hyperlink ref="A3864" r:id="rId3862" display="VN000CTN2NC1"/>
    <hyperlink ref="A3865" r:id="rId3863" display="VN000CTN2NC1"/>
    <hyperlink ref="A3866" r:id="rId3864" display="VN000CTNBX91"/>
    <hyperlink ref="A3867" r:id="rId3865" display="VN000CTNCH81"/>
    <hyperlink ref="A3868" r:id="rId3866" display="VN000CUYY301"/>
    <hyperlink ref="A3869" r:id="rId3867" display="VN000CUYY301"/>
    <hyperlink ref="A3870" r:id="rId3868" display="VN000CUYY301"/>
    <hyperlink ref="A3871" r:id="rId3869" display="VN000CUYY301"/>
    <hyperlink ref="A3872" r:id="rId3870" display="VN000CUYY301"/>
    <hyperlink ref="A3873" r:id="rId3871" display="VN000CUYY301"/>
    <hyperlink ref="A3874" r:id="rId3872" display="VN000CVNBH41"/>
    <hyperlink ref="A3875" r:id="rId3873" display="VN000CVNBH41"/>
    <hyperlink ref="A3876" r:id="rId3874" display="VN000CVNBH41"/>
    <hyperlink ref="A3877" r:id="rId3875" display="VN000CVNBH41"/>
    <hyperlink ref="A3878" r:id="rId3876" display="VN000CVNBKA1"/>
    <hyperlink ref="A3879" r:id="rId3877" display="VN000CVNBKA1"/>
    <hyperlink ref="A3880" r:id="rId3878" display="VN000CVNBKA1"/>
    <hyperlink ref="A3881" r:id="rId3879" display="VN000CVRBLK1"/>
    <hyperlink ref="A3882" r:id="rId3880" display="VN000CVRC5F1"/>
    <hyperlink ref="A3883" r:id="rId3881" display="VN000CVRN1Z1"/>
    <hyperlink ref="A3884" r:id="rId3882" display="VN000CVS1OJ1"/>
    <hyperlink ref="A3885" r:id="rId3883" display="VN000CVS1OJ1"/>
    <hyperlink ref="A3886" r:id="rId3884" display="VN000CVT0BU1"/>
    <hyperlink ref="A3887" r:id="rId3885" display="VN000CVT2391"/>
    <hyperlink ref="A3888" r:id="rId3886" display="VN000CVT2391"/>
    <hyperlink ref="A3889" r:id="rId3887" display="VN000CVT2391"/>
    <hyperlink ref="A3890" r:id="rId3888" display="VN000CVT6I71"/>
    <hyperlink ref="A3891" r:id="rId3889" display="VN000CVT6I71"/>
    <hyperlink ref="A3892" r:id="rId3890" display="VN000CVTBD21"/>
    <hyperlink ref="A3893" r:id="rId3891" display="VN000CVTBKA1"/>
    <hyperlink ref="A3894" r:id="rId3892" display="VN000CVTBKA1"/>
    <hyperlink ref="A3895" r:id="rId3893" display="VN000CVTBKA1"/>
    <hyperlink ref="A3896" r:id="rId3894" display="VN000CVTBKA1"/>
    <hyperlink ref="A3897" r:id="rId3895" display="VN000CVTI6Y1"/>
    <hyperlink ref="A3898" r:id="rId3896" display="VN000CVTI6Y1"/>
    <hyperlink ref="A3899" r:id="rId3897" display="VN000CVTTUP1"/>
    <hyperlink ref="A3900" r:id="rId3898" display="VN000CVTTUP1"/>
    <hyperlink ref="A3901" r:id="rId3899" display="VN000CVTTUP1"/>
    <hyperlink ref="A3902" r:id="rId3900" display="VN000CVU1LO1"/>
    <hyperlink ref="A3903" r:id="rId3901" display="VN000CVU1LO1"/>
    <hyperlink ref="A3904" r:id="rId3902" display="VN000CVU1LO1"/>
    <hyperlink ref="A3905" r:id="rId3903" display="VN000CVU1LO1"/>
    <hyperlink ref="A3906" r:id="rId3904" display="VN000CVU1LO1"/>
    <hyperlink ref="A3907" r:id="rId3905" display="VN000CVU7YO1"/>
    <hyperlink ref="A3908" r:id="rId3906" display="VN000CVUBFB1"/>
    <hyperlink ref="A3909" r:id="rId3907" display="VN000CVUBLK1"/>
    <hyperlink ref="A3910" r:id="rId3908" display="VN000CVUBLK1"/>
    <hyperlink ref="A3911" r:id="rId3909" display="VN000CVUDRB1"/>
    <hyperlink ref="A3912" r:id="rId3910" display="VN000CVUDRB1"/>
    <hyperlink ref="A3913" r:id="rId3911" display="VN000CVUDRB1"/>
    <hyperlink ref="A3914" r:id="rId3912" display="VN000CVUDRB1"/>
    <hyperlink ref="A3915" r:id="rId3913" display="VN000CVUE2V1"/>
    <hyperlink ref="A3916" r:id="rId3914" display="VN000CVUE2V1"/>
    <hyperlink ref="A3917" r:id="rId3915" display="VN000CVUKKK1"/>
    <hyperlink ref="A3918" r:id="rId3916" display="VN000CVULBR1"/>
    <hyperlink ref="A3919" r:id="rId3917" display="VN000CVULBR1"/>
    <hyperlink ref="A3920" r:id="rId3918" display="VN000CVULBR1"/>
    <hyperlink ref="A3921" r:id="rId3919" display="VN000CVULKZ1"/>
    <hyperlink ref="A3922" r:id="rId3920" display="VN000CVUY491"/>
    <hyperlink ref="A3923" r:id="rId3921" display="VN000CVV7YO1"/>
    <hyperlink ref="A3924" r:id="rId3922" display="VN000CVV7YO1"/>
    <hyperlink ref="A3925" r:id="rId3923" display="VN000CVV7YO1"/>
    <hyperlink ref="A3926" r:id="rId3924" display="VN000CVV7YO1"/>
    <hyperlink ref="A3927" r:id="rId3925" display="VN000CVVBA21"/>
    <hyperlink ref="A3928" r:id="rId3926" display="VN000CVVBLU1"/>
    <hyperlink ref="A3929" r:id="rId3927" display="VN000CVVCRM1"/>
    <hyperlink ref="A3930" r:id="rId3928" display="VN000CVVCRM1"/>
    <hyperlink ref="A3931" r:id="rId3929" display="VN000CVVEMQ1"/>
    <hyperlink ref="A3932" r:id="rId3930" display="VN000CVVEMQ1"/>
    <hyperlink ref="A3933" r:id="rId3931" display="VN000CVVEMQ1"/>
    <hyperlink ref="A3934" r:id="rId3932" display="VN000CVVEMQ1"/>
    <hyperlink ref="A3935" r:id="rId3933" display="VN000CVVEMQ1"/>
    <hyperlink ref="A3936" r:id="rId3934" display="VN000CVVEMQ1"/>
    <hyperlink ref="A3937" r:id="rId3935" display="VN000CVVEMQ1"/>
    <hyperlink ref="A3938" r:id="rId3936" display="VN000CVVEMQ1"/>
    <hyperlink ref="A3939" r:id="rId3937" display="VN000CVVEMQ1"/>
    <hyperlink ref="A3940" r:id="rId3938" display="VN000CVVEMQ1"/>
    <hyperlink ref="A3941" r:id="rId3939" display="VN000CVVEMQ1"/>
    <hyperlink ref="A3942" r:id="rId3940" display="VN000CVVF871"/>
    <hyperlink ref="A3943" r:id="rId3941" display="VN000CVVF871"/>
    <hyperlink ref="A3944" r:id="rId3942" display="VN000CVVF871"/>
    <hyperlink ref="A3945" r:id="rId3943" display="VN000CVVF871"/>
    <hyperlink ref="A3946" r:id="rId3944" display="VN000CVVF871"/>
    <hyperlink ref="A3947" r:id="rId3945" display="VN000CVVF871"/>
    <hyperlink ref="A3948" r:id="rId3946" display="VN000CVVF871"/>
    <hyperlink ref="A3949" r:id="rId3947" display="VN000CVVF871"/>
    <hyperlink ref="A3950" r:id="rId3948" display="VN000CVVF871"/>
    <hyperlink ref="A3951" r:id="rId3949" display="VN000CVVF871"/>
    <hyperlink ref="A3952" r:id="rId3950" display="VN000CVVN1Z1"/>
    <hyperlink ref="A3953" r:id="rId3951" display="VN000CVVOLV1"/>
    <hyperlink ref="A3954" r:id="rId3952" display="VN000CWC7Z61"/>
    <hyperlink ref="A3955" r:id="rId3953" display="VN000CWD0CL1"/>
    <hyperlink ref="A3956" r:id="rId3954" display="VN000CWDDRB1"/>
    <hyperlink ref="A3957" r:id="rId3955" display="VN000CWE2BO1"/>
    <hyperlink ref="A3958" r:id="rId3956" display="VN000CWE2BO1"/>
    <hyperlink ref="A3959" r:id="rId3957" display="VN000CWE8871"/>
    <hyperlink ref="A3960" r:id="rId3958" display="VN000CWE98L1"/>
    <hyperlink ref="A3961" r:id="rId3959" display="VN000CWEBH11"/>
    <hyperlink ref="A3962" r:id="rId3960" display="VN000CWEBO51"/>
    <hyperlink ref="A3963" r:id="rId3961" display="VN000CWEBO51"/>
    <hyperlink ref="A3964" r:id="rId3962" display="VN000CWEDRK1"/>
    <hyperlink ref="A3965" r:id="rId3963" display="VN000CWEM8I1"/>
    <hyperlink ref="A3966" r:id="rId3964" display="VN000CWEN1Z1"/>
    <hyperlink ref="A3967" r:id="rId3965" display="VN000CWESQ71"/>
    <hyperlink ref="A3968" r:id="rId3966" display="VN000CWESQ71"/>
    <hyperlink ref="A3969" r:id="rId3967" display="VN000CWESQ71"/>
    <hyperlink ref="A3970" r:id="rId3968" display="VN000CWEUUI1"/>
    <hyperlink ref="A3971" r:id="rId3969" display="VN000CWEUUI1"/>
    <hyperlink ref="A3972" r:id="rId3970" display="VN000CWEWHP1"/>
    <hyperlink ref="A3973" r:id="rId3971" display="VN000CWF1P01"/>
    <hyperlink ref="A3974" r:id="rId3972" display="VN000CWF1P01"/>
    <hyperlink ref="A3975" r:id="rId3973" display="VN000CWF1P01"/>
    <hyperlink ref="A3976" r:id="rId3974" display="VN000CWFSKQ1"/>
    <hyperlink ref="A3977" r:id="rId3975" display="VN000CWFSKQ1"/>
    <hyperlink ref="A3978" r:id="rId3976" display="VN000CYA7VF1"/>
    <hyperlink ref="A3979" r:id="rId3977" display="VN000CYA7VF1"/>
    <hyperlink ref="A3980" r:id="rId3978" display="VN000CYABMC1"/>
    <hyperlink ref="A3981" r:id="rId3979" display="VN000CYABMC1"/>
    <hyperlink ref="A3982" r:id="rId3980" display="VN000CYAGRN1"/>
    <hyperlink ref="A3983" r:id="rId3981" display="VN000CYAYLZ1"/>
    <hyperlink ref="A3984" r:id="rId3982" display="VN000CYAYLZ1"/>
    <hyperlink ref="A3985" r:id="rId3983" display="VN000CYCBF21"/>
    <hyperlink ref="A3986" r:id="rId3984" display="VN000CYDBJ11"/>
    <hyperlink ref="A3987" r:id="rId3985" display="VN000CYPBML1"/>
    <hyperlink ref="A3988" r:id="rId3986" display="VN000CYPDJR1"/>
    <hyperlink ref="A3989" r:id="rId3987" display="VN000CYPDJR1"/>
    <hyperlink ref="A3990" r:id="rId3988" display="VN000CYU4QU1"/>
    <hyperlink ref="A3991" r:id="rId3989" display="VN000CYU4QU1"/>
    <hyperlink ref="A3992" r:id="rId3990" display="VN000CYU4QU1"/>
    <hyperlink ref="A3993" r:id="rId3991" display="VN000CYU4Y41"/>
    <hyperlink ref="A3994" r:id="rId3992" display="VN000CYU4Y41"/>
    <hyperlink ref="A3995" r:id="rId3993" display="VN000CYUE2T1"/>
    <hyperlink ref="A3996" r:id="rId3994" display="VN000CYUE2T1"/>
    <hyperlink ref="A3997" r:id="rId3995" display="VN000CYUEN61"/>
    <hyperlink ref="A3998" r:id="rId3996" display="VN000CYUEN61"/>
    <hyperlink ref="A3999" r:id="rId3997" display="VN000CYUEN61"/>
    <hyperlink ref="A4000" r:id="rId3998" display="VN000CYUEN61"/>
    <hyperlink ref="A4001" r:id="rId3999" display="VN000CZ7BLA1"/>
    <hyperlink ref="A4002" r:id="rId4000" display="VN000CZ7EMW1"/>
    <hyperlink ref="A4003" r:id="rId4001" display="VN000CZ7EMW1"/>
    <hyperlink ref="A4004" r:id="rId4002" display="VN000CZ7O331"/>
    <hyperlink ref="A4005" r:id="rId4003" display="VN000CZ7O331"/>
    <hyperlink ref="A4006" r:id="rId4004" display="VN000CZ7O331"/>
    <hyperlink ref="A4007" r:id="rId4005" display="VN000CZ7RV21"/>
    <hyperlink ref="A4008" r:id="rId4006" display="VN000CZ7RV21"/>
    <hyperlink ref="A4009" r:id="rId4007" display="VN000CZ7RV21"/>
    <hyperlink ref="A4010" r:id="rId4008" display="VN000CZ7RV21"/>
    <hyperlink ref="A4011" r:id="rId4009" display="VN000CZ7RV21"/>
    <hyperlink ref="A4012" r:id="rId4010" display="VN000CZ7RV21"/>
    <hyperlink ref="A4013" r:id="rId4011" display="VN000CZHBIL1"/>
    <hyperlink ref="A4014" r:id="rId4012" display="VN000CZHBIL1"/>
    <hyperlink ref="A4015" r:id="rId4013" display="VN000CZHBIL1"/>
    <hyperlink ref="A4016" r:id="rId4014" display="VN000CZHBIL1"/>
    <hyperlink ref="A4017" r:id="rId4015" display="VN000CZHCFB1"/>
    <hyperlink ref="A4018" r:id="rId4016" display="VN000CZHPRM1"/>
    <hyperlink ref="A4019" r:id="rId4017" display="VN000CZUC9F1"/>
    <hyperlink ref="A4020" r:id="rId4018" display="VN000D07L371"/>
    <hyperlink ref="A4021" r:id="rId4019" display="VN000D07L371"/>
    <hyperlink ref="A4022" r:id="rId4020" display="VN000D09BLS1"/>
    <hyperlink ref="A4023" r:id="rId4021" display="VN000D09M8I1"/>
    <hyperlink ref="A4024" r:id="rId4022" display="VN000D0ECI11"/>
    <hyperlink ref="A4025" r:id="rId4023" display="VN000D0ENGM1"/>
    <hyperlink ref="A4026" r:id="rId4024" display="VN000D0HBMV1"/>
    <hyperlink ref="A4027" r:id="rId4025" display="VN000D0HBMV1"/>
    <hyperlink ref="A4028" r:id="rId4026" display="VN000D0HBZW1"/>
    <hyperlink ref="A4029" r:id="rId4027" display="VN000D0HEMY1"/>
    <hyperlink ref="A4030" r:id="rId4028" display="VN000D0HN1Z1"/>
    <hyperlink ref="A4031" r:id="rId4029" display="VN000D0JRV21"/>
    <hyperlink ref="A4032" r:id="rId4030" display="VN000D0JRV21"/>
    <hyperlink ref="A4033" r:id="rId4031" display="VN000D0JRV21"/>
    <hyperlink ref="A4034" r:id="rId4032" display="VN000D0KBES1"/>
    <hyperlink ref="A4035" r:id="rId4033" display="VN000D0KEN61"/>
    <hyperlink ref="A4036" r:id="rId4034" display="VN000D0M11E1"/>
    <hyperlink ref="A4037" r:id="rId4035" display="VN000D0MBZW1"/>
    <hyperlink ref="A4038" r:id="rId4036" display="VN000D0MBZW1"/>
    <hyperlink ref="A4039" r:id="rId4037" display="VN000D0MKCZ1"/>
    <hyperlink ref="A4040" r:id="rId4038" display="VN000D0PEMW1"/>
    <hyperlink ref="A4041" r:id="rId4039" display="VN000D0PEMW1"/>
    <hyperlink ref="A4042" r:id="rId4040" display="VN000D0PEMW1"/>
    <hyperlink ref="A4043" r:id="rId4041" display="VN000D0S1NU1"/>
    <hyperlink ref="A4044" r:id="rId4042" display="VN000D0S1NU1"/>
    <hyperlink ref="A4045" r:id="rId4043" display="VN000D0S1NU1"/>
    <hyperlink ref="A4046" r:id="rId4044" display="VN000D0S7051"/>
    <hyperlink ref="A4047" r:id="rId4045" display="VN000D0S7051"/>
    <hyperlink ref="A4048" r:id="rId4046" display="VN000D0S7051"/>
    <hyperlink ref="A4049" r:id="rId4047" display="VN000D0SYLZ1"/>
    <hyperlink ref="A4050" r:id="rId4048" display="VN000D0SYLZ1"/>
    <hyperlink ref="A4051" r:id="rId4049" display="VN000D1011E1"/>
    <hyperlink ref="A4052" r:id="rId4050" display="VN000D1011E1"/>
    <hyperlink ref="A4053" r:id="rId4051" display="VN000D1011E1"/>
    <hyperlink ref="A4054" r:id="rId4052" display="VN000D1011E1"/>
    <hyperlink ref="A4055" r:id="rId4053" display="VN000D101KP1"/>
    <hyperlink ref="A4056" r:id="rId4054" display="VN000D10BF21"/>
    <hyperlink ref="A4057" r:id="rId4055" display="VN000D10N1Z1"/>
    <hyperlink ref="A4058" r:id="rId4056" display="VN000D10N1Z1"/>
    <hyperlink ref="A4059" r:id="rId4057" display="VN000D10N1Z1"/>
    <hyperlink ref="A4060" r:id="rId4058" display="VN000D10N1Z1"/>
    <hyperlink ref="A4061" r:id="rId4059" display="VN000D1111E1"/>
    <hyperlink ref="A4062" r:id="rId4060" display="VN000D1111E1"/>
    <hyperlink ref="A4063" r:id="rId4061" display="VN000D1111E1"/>
    <hyperlink ref="A4064" r:id="rId4062" display="VN000D1111E1"/>
    <hyperlink ref="A4065" r:id="rId4063" display="VN000D1111E1"/>
    <hyperlink ref="A4066" r:id="rId4064" display="VN000D1111E1"/>
    <hyperlink ref="A4067" r:id="rId4065" display="VN000D1111E1"/>
    <hyperlink ref="A4068" r:id="rId4066" display="VN000D111KP1"/>
    <hyperlink ref="A4069" r:id="rId4067" display="VN000D111KP1"/>
    <hyperlink ref="A4070" r:id="rId4068" display="VN000D11B9P1"/>
    <hyperlink ref="A4071" r:id="rId4069" display="VN000D12BIY1"/>
    <hyperlink ref="A4072" r:id="rId4070" display="VN000D13BGS1"/>
    <hyperlink ref="A4073" r:id="rId4071" display="VN000D1BEMU1"/>
    <hyperlink ref="A4074" r:id="rId4072" display="VN000D1BEMU1"/>
    <hyperlink ref="A4075" r:id="rId4073" display="VN000D1BEMU1"/>
    <hyperlink ref="A4076" r:id="rId4074" display="VN000D1GBA21"/>
    <hyperlink ref="A4077" r:id="rId4075" display="VN000D1GBA21"/>
    <hyperlink ref="A4078" r:id="rId4076" display="VN000D1GBA21"/>
    <hyperlink ref="A4079" r:id="rId4077" display="VN000D1GBA21"/>
    <hyperlink ref="A4080" r:id="rId4078" display="VN000D1H1NU1"/>
    <hyperlink ref="A4081" r:id="rId4079" display="VN000D1H4QU1"/>
    <hyperlink ref="A4082" r:id="rId4080" display="VN000D1H7VF1"/>
    <hyperlink ref="A4083" r:id="rId4081" display="VN000D1H8871"/>
    <hyperlink ref="A4084" r:id="rId4082" display="VN000D1HAMI1"/>
    <hyperlink ref="A4085" r:id="rId4083" display="VN000D1HBXU1"/>
    <hyperlink ref="A4086" r:id="rId4084" display="VN000D1HE2V1"/>
    <hyperlink ref="A4087" r:id="rId4085" display="VN000D1HE2V1"/>
    <hyperlink ref="A4088" r:id="rId4086" display="VN000D1HEEI1"/>
    <hyperlink ref="A4089" r:id="rId4087" display="VN000D1HFUH1"/>
    <hyperlink ref="A4090" r:id="rId4088" display="VN000D1HLIM1"/>
    <hyperlink ref="A4091" r:id="rId4089" display="VN000D1HPRP1"/>
    <hyperlink ref="A4092" r:id="rId4090" display="VN000D1HPRP1"/>
    <hyperlink ref="A4093" r:id="rId4091" display="VN000D1HPRP1"/>
    <hyperlink ref="A4094" r:id="rId4092" display="VN000D1HPRP1"/>
    <hyperlink ref="A4095" r:id="rId4093" display="VN000D1J4C61"/>
    <hyperlink ref="A4096" r:id="rId4094" display="VN000D1J4C61"/>
    <hyperlink ref="A4097" r:id="rId4095" display="VN000D1J4VT1"/>
    <hyperlink ref="A4098" r:id="rId4096" display="VN000D1J4VT1"/>
    <hyperlink ref="A4099" r:id="rId4097" display="VN000D1J4VT1"/>
    <hyperlink ref="A4100" r:id="rId4098" display="VN000D1J4VT1"/>
    <hyperlink ref="A4101" r:id="rId4099" display="VN000D1J4VT1"/>
    <hyperlink ref="A4102" r:id="rId4100" display="VN000D1J7D61"/>
    <hyperlink ref="A4103" r:id="rId4101" display="VN000D1J7D61"/>
    <hyperlink ref="A4104" r:id="rId4102" display="VN000D1J9DH1"/>
    <hyperlink ref="A4105" r:id="rId4103" display="VN000D1JBRO1"/>
    <hyperlink ref="A4106" r:id="rId4104" display="VN000D1JBRO1"/>
    <hyperlink ref="A4107" r:id="rId4105" display="VN000D1JBRO1"/>
    <hyperlink ref="A4108" r:id="rId4106" display="VN000D1JBRO1"/>
    <hyperlink ref="A4109" r:id="rId4107" display="VN000D1JBRO1"/>
    <hyperlink ref="A4110" r:id="rId4108" display="VN000D1JBRO1"/>
    <hyperlink ref="A4111" r:id="rId4109" display="VN000D1JBRO1"/>
    <hyperlink ref="A4112" r:id="rId4110" display="VN000D1JBRO1"/>
    <hyperlink ref="A4113" r:id="rId4111" display="VN000D1JCFL1"/>
    <hyperlink ref="A4114" r:id="rId4112" display="VN000D1JEN71"/>
    <hyperlink ref="A4115" r:id="rId4113" display="VN000D1JEN71"/>
    <hyperlink ref="A4116" r:id="rId4114" display="VN000D1JG2T1"/>
    <hyperlink ref="A4117" r:id="rId4115" display="VN000D1JG2T1"/>
    <hyperlink ref="A4118" r:id="rId4116" display="VN000D1JJDU1"/>
    <hyperlink ref="A4119" r:id="rId4117" display="VN000D1JJDU1"/>
    <hyperlink ref="A4120" r:id="rId4118" display="VN000D1JJDU1"/>
    <hyperlink ref="A4121" r:id="rId4119" display="VN000D1JJDU1"/>
    <hyperlink ref="A4122" r:id="rId4120" display="VN000D1JJDU1"/>
    <hyperlink ref="A4123" r:id="rId4121" display="VN000D1JOVM1"/>
    <hyperlink ref="A4124" r:id="rId4122" display="VN000D1JOVM1"/>
    <hyperlink ref="A4125" r:id="rId4123" display="VN000D1JOVM1"/>
    <hyperlink ref="A4126" r:id="rId4124" display="VN000D1JOVM1"/>
    <hyperlink ref="A4127" r:id="rId4125" display="VN000D1JOVM1"/>
    <hyperlink ref="A4128" r:id="rId4126" display="VN000D1JOVM1"/>
    <hyperlink ref="A4129" r:id="rId4127" display="VN000D1JOVM1"/>
    <hyperlink ref="A4130" r:id="rId4128" display="VN000D1JPCA1"/>
    <hyperlink ref="A4131" r:id="rId4129" display="VN000D1JTUP1"/>
    <hyperlink ref="A4132" r:id="rId4130" display="VN000D1JV0N1"/>
    <hyperlink ref="A4133" r:id="rId4131" display="VN000D1JV0N1"/>
    <hyperlink ref="A4134" r:id="rId4132" display="VN000D1JV0N1"/>
    <hyperlink ref="A4135" r:id="rId4133" display="VN000D1JV0N1"/>
    <hyperlink ref="A4136" r:id="rId4134" display="VN000D1JY231"/>
    <hyperlink ref="A4137" r:id="rId4135" display="VN000D1JY231"/>
    <hyperlink ref="A4138" r:id="rId4136" display="VN000D1JY231"/>
    <hyperlink ref="A4139" r:id="rId4137" display="VN000D1JY231"/>
    <hyperlink ref="A4140" r:id="rId4138" display="VN000D1JY231"/>
    <hyperlink ref="A4141" r:id="rId4139" display="VN000D1JY231"/>
    <hyperlink ref="A4142" r:id="rId4140" display="VN000D1JY231"/>
    <hyperlink ref="A4143" r:id="rId4141" display="VN000D1SEMW1"/>
    <hyperlink ref="A4144" r:id="rId4142" display="VN000D1SEMW1"/>
    <hyperlink ref="A4145" r:id="rId4143" display="VN000D221NU1"/>
    <hyperlink ref="A4146" r:id="rId4144" display="VN000D22B9P1"/>
    <hyperlink ref="A4147" r:id="rId4145" display="VN000D22B9P1"/>
    <hyperlink ref="A4148" r:id="rId4146" display="VN000D22B9P1"/>
    <hyperlink ref="A4149" r:id="rId4147" display="VN000D22B9P1"/>
    <hyperlink ref="A4150" r:id="rId4148" display="VN000D22B9P1"/>
    <hyperlink ref="A4151" r:id="rId4149" display="VN000D22BRD1"/>
    <hyperlink ref="A4152" r:id="rId4150" display="VN000D22BRD1"/>
    <hyperlink ref="A4153" r:id="rId4151" display="VN000D22BRD1"/>
    <hyperlink ref="A4154" r:id="rId4152" display="VN000D22BRD1"/>
    <hyperlink ref="A4155" r:id="rId4153" display="VN000D22BRD1"/>
    <hyperlink ref="A4156" r:id="rId4154" display="VN000D22BRD1"/>
    <hyperlink ref="A4157" r:id="rId4155" display="VN000D22BW21"/>
    <hyperlink ref="A4158" r:id="rId4156" display="VN000D22BZW1"/>
    <hyperlink ref="A4159" r:id="rId4157" display="VN000D22EMB1"/>
    <hyperlink ref="A4160" r:id="rId4158" display="VN000D22EMT1"/>
    <hyperlink ref="A4161" r:id="rId4159" display="VN000D22EMT1"/>
    <hyperlink ref="A4162" r:id="rId4160" display="VN000D22EMU1"/>
    <hyperlink ref="A4163" r:id="rId4161" display="VN000D22EMU1"/>
    <hyperlink ref="A4164" r:id="rId4162" display="VN000D22EMU1"/>
    <hyperlink ref="A4165" r:id="rId4163" display="VN000D22EMU1"/>
    <hyperlink ref="A4166" r:id="rId4164" display="VN000D22EMU1"/>
    <hyperlink ref="A4167" r:id="rId4165" display="VN000D22EMU1"/>
    <hyperlink ref="A4168" r:id="rId4166" display="VN000D22RV21"/>
    <hyperlink ref="A4169" r:id="rId4167" display="VN000D22RV21"/>
    <hyperlink ref="A4170" r:id="rId4168" display="VN000D22W001"/>
    <hyperlink ref="A4171" r:id="rId4169" display="VN000D25OVM1"/>
    <hyperlink ref="A4172" r:id="rId4170" display="VN000D25PWT1"/>
    <hyperlink ref="A4173" r:id="rId4171" display="VN000D25PWT1"/>
    <hyperlink ref="A4174" r:id="rId4172" display="VN000D26BR11"/>
    <hyperlink ref="A4175" r:id="rId4173" display="VN000D26DFN1"/>
    <hyperlink ref="A4176" r:id="rId4174" display="VN000D26GWT1"/>
    <hyperlink ref="A4177" r:id="rId4175" display="VN000D26GWT1"/>
    <hyperlink ref="A4178" r:id="rId4176" display="VN000D26GWT1"/>
    <hyperlink ref="A4179" r:id="rId4177" display="VN000D26GWT1"/>
    <hyperlink ref="A4180" r:id="rId4178" display="VN000D26GWT1"/>
    <hyperlink ref="A4181" r:id="rId4179" display="VN000D26JDU1"/>
    <hyperlink ref="A4182" r:id="rId4180" display="VN000D26JDU1"/>
    <hyperlink ref="A4183" r:id="rId4181" display="VN000D26JDU1"/>
    <hyperlink ref="A4184" r:id="rId4182" display="VN000D26JDU1"/>
    <hyperlink ref="A4185" r:id="rId4183" display="VN000D26JDU1"/>
    <hyperlink ref="A4186" r:id="rId4184" display="VN000D26JDU1"/>
    <hyperlink ref="A4187" r:id="rId4185" display="VN000D26JDU1"/>
    <hyperlink ref="A4188" r:id="rId4186" display="VN000D26JDU1"/>
    <hyperlink ref="A4189" r:id="rId4187" display="VN000D26JDU1"/>
    <hyperlink ref="A4190" r:id="rId4188" display="VN000D26KGR1"/>
    <hyperlink ref="A4191" r:id="rId4189" display="VN000D26NVY1"/>
    <hyperlink ref="A4192" r:id="rId4190" display="VN000D26WGR1"/>
    <hyperlink ref="A4193" r:id="rId4191" display="VN000D26Z5D1"/>
    <hyperlink ref="A4194" r:id="rId4192" display="VN000D281OJ1"/>
    <hyperlink ref="A4195" r:id="rId4193" display="VN000D281OJ1"/>
    <hyperlink ref="A4196" r:id="rId4194" display="VN000D28B7G1"/>
    <hyperlink ref="A4197" r:id="rId4195" display="VN000D28EMF1"/>
    <hyperlink ref="A4198" r:id="rId4196" display="VN000D29EMV1"/>
    <hyperlink ref="A4199" r:id="rId4197" display="VN000D29EMW1"/>
    <hyperlink ref="A4200" r:id="rId4198" display="VN000D29EMW1"/>
    <hyperlink ref="A4201" r:id="rId4199" display="VN000D29F891"/>
    <hyperlink ref="A4202" r:id="rId4200" display="VN000D29F891"/>
    <hyperlink ref="A4203" r:id="rId4201" display="VN000D29Y2B1"/>
    <hyperlink ref="A4204" r:id="rId4202" display="VN000D29Y2B1"/>
    <hyperlink ref="A4205" r:id="rId4203" display="VN000D29Y2B1"/>
    <hyperlink ref="A4206" r:id="rId4204" display="VN000D2A2LH1"/>
    <hyperlink ref="A4207" r:id="rId4205" display="VN000D2CBA21"/>
    <hyperlink ref="A4208" r:id="rId4206" display="VN000D2CBA21"/>
    <hyperlink ref="A4209" r:id="rId4207" display="VN000D2CBA21"/>
    <hyperlink ref="A4210" r:id="rId4208" display="VN000D2CBA21"/>
    <hyperlink ref="A4211" r:id="rId4209" display="VN000D2CEMS1"/>
    <hyperlink ref="A4212" r:id="rId4210" display="VN000D2CEMS1"/>
    <hyperlink ref="A4213" r:id="rId4211" display="VN000D2DBA21"/>
    <hyperlink ref="A4214" r:id="rId4212" display="VN000D2TY311"/>
    <hyperlink ref="A4215" r:id="rId4213" display="VN000D2UBIY1"/>
    <hyperlink ref="A4216" r:id="rId4214" display="VN000D2VBLA1"/>
    <hyperlink ref="A4217" r:id="rId4215" display="VN000D2VBLA1"/>
    <hyperlink ref="A4218" r:id="rId4216" display="VN000D2VBLA1"/>
    <hyperlink ref="A4219" r:id="rId4217" display="VN000D2VO791"/>
    <hyperlink ref="A4220" r:id="rId4218" display="VN000D2YBKA1"/>
    <hyperlink ref="A4221" r:id="rId4219" display="VN000D3212S1"/>
    <hyperlink ref="A4222" r:id="rId4220" display="VN000D32WTM1"/>
    <hyperlink ref="A4223" r:id="rId4221" display="VN000D3MJDU1"/>
    <hyperlink ref="A4224" r:id="rId4222" display="VN000D3MJDU1"/>
    <hyperlink ref="A4225" r:id="rId4223" display="VN000D3MJDU1"/>
    <hyperlink ref="A4226" r:id="rId4224" display="VN000D3QEMP1"/>
    <hyperlink ref="A4227" r:id="rId4225" display="VN000D3QEMP1"/>
    <hyperlink ref="A4228" r:id="rId4226" display="VN000D3QEMP1"/>
    <hyperlink ref="A4229" r:id="rId4227" display="VN000D3QEMP1"/>
    <hyperlink ref="A4230" r:id="rId4228" display="VN000D3QEMP1"/>
    <hyperlink ref="A4231" r:id="rId4229" display="VN000D3SYB21"/>
    <hyperlink ref="A4232" r:id="rId4230" display="VN000D3SYB21"/>
    <hyperlink ref="A4233" r:id="rId4231" display="VN000D45BZW1"/>
    <hyperlink ref="A4234" r:id="rId4232" display="VN000D45EMY1"/>
    <hyperlink ref="A4235" r:id="rId4233" display="VN000D45EMY1"/>
    <hyperlink ref="A4236" r:id="rId4234" display="VN000D45EMY1"/>
    <hyperlink ref="A4237" r:id="rId4235" display="VN000D45EMY1"/>
    <hyperlink ref="A4238" r:id="rId4236" display="VN000D45EMY1"/>
    <hyperlink ref="A4239" r:id="rId4237" display="VN000D45EMY1"/>
    <hyperlink ref="A4240" r:id="rId4238" display="VN000D45NWH1"/>
    <hyperlink ref="A4241" r:id="rId4239" display="VN000D4M2391"/>
    <hyperlink ref="A4242" r:id="rId4240" display="VN000D4MBZW1"/>
    <hyperlink ref="A4243" r:id="rId4241" display="VN000D4MBZW1"/>
    <hyperlink ref="A4244" r:id="rId4242" display="VN000D4MBZW1"/>
    <hyperlink ref="A4245" r:id="rId4243" display="VN000D4MKCZ1"/>
    <hyperlink ref="A4246" r:id="rId4244" display="VN000D4MKCZ1"/>
    <hyperlink ref="A4247" r:id="rId4245" display="VN000D4MNVY1"/>
    <hyperlink ref="A4248" r:id="rId4246" display="VN000D4MY3K1"/>
    <hyperlink ref="A4249" r:id="rId4247" display="VN000D4MY6Z1"/>
    <hyperlink ref="A4250" r:id="rId4248" display="VN000D4N1411"/>
    <hyperlink ref="A4251" r:id="rId4249" display="VN000D4N1411"/>
    <hyperlink ref="A4252" r:id="rId4250" display="VN000D4N2081"/>
    <hyperlink ref="A4253" r:id="rId4251" display="VN000D4N2B61"/>
    <hyperlink ref="A4254" r:id="rId4252" display="VN000D4N2B61"/>
    <hyperlink ref="A4255" r:id="rId4253" display="VN000D4N2B61"/>
    <hyperlink ref="A4256" r:id="rId4254" display="VN000D4N2B61"/>
    <hyperlink ref="A4257" r:id="rId4255" display="VN000D4NBZW1"/>
    <hyperlink ref="A4258" r:id="rId4256" display="VN000D4NBZW1"/>
    <hyperlink ref="A4259" r:id="rId4257" display="VN000D4NDJR1"/>
    <hyperlink ref="A4260" r:id="rId4258" display="VN000D4NDJR1"/>
    <hyperlink ref="A4261" r:id="rId4259" display="VN000D4NKCZ1"/>
    <hyperlink ref="A4262" r:id="rId4260" display="VN000D4NKCZ1"/>
    <hyperlink ref="A4263" r:id="rId4261" display="VN000D4SCFL1"/>
    <hyperlink ref="A4264" r:id="rId4262" display="VN000D4SCFL1"/>
    <hyperlink ref="A4265" r:id="rId4263" display="VN000D5D17P1"/>
    <hyperlink ref="A4266" r:id="rId4264" display="VN000D5DDUF1"/>
    <hyperlink ref="A4267" r:id="rId4265" display="VN000D5DDUF1"/>
    <hyperlink ref="A4268" r:id="rId4266" display="VN000D5DDUF1"/>
    <hyperlink ref="A4269" r:id="rId4267" display="VN000D5IBKA1"/>
    <hyperlink ref="A4270" r:id="rId4268" display="VN000D5IBKA1"/>
    <hyperlink ref="A4271" r:id="rId4269" display="VN000D5IBKA1"/>
    <hyperlink ref="A4272" r:id="rId4270" display="VN000D5IBKA1"/>
    <hyperlink ref="A4273" r:id="rId4271" display="VN000D5PBMA1"/>
    <hyperlink ref="A4274" r:id="rId4272" display="VN000D5PZCF1"/>
    <hyperlink ref="A4275" r:id="rId4273" display="VN000D5R11U1"/>
    <hyperlink ref="A4276" r:id="rId4274" display="VN000D5R11U1"/>
    <hyperlink ref="A4277" r:id="rId4275" display="VN000D5R11U1"/>
    <hyperlink ref="A4278" r:id="rId4276" display="VN000D5R11U1"/>
    <hyperlink ref="A4279" r:id="rId4277" display="VN000D5R9DH1"/>
    <hyperlink ref="A4280" r:id="rId4278" display="VN000D5R9DH1"/>
    <hyperlink ref="A4281" r:id="rId4279" display="VN000D5R9DH1"/>
    <hyperlink ref="A4282" r:id="rId4280" display="VN000D5R9DH1"/>
    <hyperlink ref="A4283" r:id="rId4281" display="VN000D5RBRG1"/>
    <hyperlink ref="A4284" r:id="rId4282" display="VN000D5RBRG1"/>
    <hyperlink ref="A4285" r:id="rId4283" display="VN000D5RBRG1"/>
    <hyperlink ref="A4286" r:id="rId4284" display="VN000D5RBRG1"/>
    <hyperlink ref="A4287" r:id="rId4285" display="VN000D5RY521"/>
    <hyperlink ref="A4288" r:id="rId4286" display="VN000D5VBH71"/>
    <hyperlink ref="A4289" r:id="rId4287" display="VN000D5VBH71"/>
    <hyperlink ref="A4290" r:id="rId4288" display="VN000D5VBH71"/>
    <hyperlink ref="A4291" r:id="rId4289" display="VN000D5VDRB1"/>
    <hyperlink ref="A4292" r:id="rId4290" display="VN000D5VDRB1"/>
    <hyperlink ref="A4293" r:id="rId4291" display="VN000D5VDRK1"/>
    <hyperlink ref="A4294" r:id="rId4292" display="VN000D5VDRK1"/>
    <hyperlink ref="A4295" r:id="rId4293" display="VN000D5VDRK1"/>
    <hyperlink ref="A4296" r:id="rId4294" display="VN000D5VZRY1"/>
    <hyperlink ref="A4297" r:id="rId4295" display="VN000D5VZRY1"/>
    <hyperlink ref="A4298" r:id="rId4296" display="VN000D5VZRY1"/>
    <hyperlink ref="A4299" r:id="rId4297" display="VN000D609JC1"/>
    <hyperlink ref="A4300" r:id="rId4298" display="VN000D609JC1"/>
    <hyperlink ref="A4301" r:id="rId4299" display="VN000D60BRO1"/>
    <hyperlink ref="A4302" r:id="rId4300" display="VN000D60CRM1"/>
    <hyperlink ref="A4303" r:id="rId4301" display="VN000D60EMW1"/>
    <hyperlink ref="A4304" r:id="rId4302" display="VN000D60EMW1"/>
    <hyperlink ref="A4305" r:id="rId4303" display="VN000D60EMW1"/>
    <hyperlink ref="A4306" r:id="rId4304" display="VN000D60JLN1"/>
    <hyperlink ref="A4307" r:id="rId4305" display="VN000D60JLN1"/>
    <hyperlink ref="A4308" r:id="rId4306" display="VN000D60JLN1"/>
    <hyperlink ref="A4309" r:id="rId4307" display="VN000D60RV21"/>
    <hyperlink ref="A4310" r:id="rId4308" display="VN000D60RV21"/>
    <hyperlink ref="A4311" r:id="rId4309" display="VN000D60RV21"/>
    <hyperlink ref="A4312" r:id="rId4310" display="VN000D61BA21"/>
    <hyperlink ref="A4313" r:id="rId4311" display="VN000D61EMP1"/>
    <hyperlink ref="A4314" r:id="rId4312" display="VN000D6CCI21"/>
    <hyperlink ref="A4315" r:id="rId4313" display="VN000D6CCI21"/>
    <hyperlink ref="A4316" r:id="rId4314" display="VN000D6CDFM1"/>
    <hyperlink ref="A4317" r:id="rId4315" display="VN000D6F2391"/>
    <hyperlink ref="A4318" r:id="rId4316" display="VN000D6F2391"/>
    <hyperlink ref="A4319" r:id="rId4317" display="VN000D6F2391"/>
    <hyperlink ref="A4320" r:id="rId4318" display="VN000D6FBF01"/>
    <hyperlink ref="A4321" r:id="rId4319" display="VN000D6FBF01"/>
    <hyperlink ref="A4322" r:id="rId4320" display="VN000D6FBF01"/>
    <hyperlink ref="A4323" r:id="rId4321" display="VN000D6FBF01"/>
    <hyperlink ref="A4324" r:id="rId4322" display="VN000D6FBF01"/>
    <hyperlink ref="A4325" r:id="rId4323" display="VN000D6FBF01"/>
    <hyperlink ref="A4326" r:id="rId4324" display="VN000D6FBF01"/>
    <hyperlink ref="A4327" r:id="rId4325" display="VN000D6FBGK1"/>
    <hyperlink ref="A4328" r:id="rId4326" display="VN000D6FBGK1"/>
    <hyperlink ref="A4329" r:id="rId4327" display="VN000D6FBGK1"/>
    <hyperlink ref="A4330" r:id="rId4328" display="VN000D6FBGK1"/>
    <hyperlink ref="A4331" r:id="rId4329" display="VN000D6FBGK1"/>
    <hyperlink ref="A4332" r:id="rId4330" display="VN000D6FBGK1"/>
    <hyperlink ref="A4333" r:id="rId4331" display="VN000D6FBGK1"/>
    <hyperlink ref="A4334" r:id="rId4332" display="VN000D6FBGK1"/>
    <hyperlink ref="A4335" r:id="rId4333" display="VN000D6FEME1"/>
    <hyperlink ref="A4336" r:id="rId4334" display="VN000D6FEME1"/>
    <hyperlink ref="A4337" r:id="rId4335" display="VN000D6FLKZ1"/>
    <hyperlink ref="A4338" r:id="rId4336" display="VN000D6FY491"/>
    <hyperlink ref="A4339" r:id="rId4337" display="VN000D6FY491"/>
    <hyperlink ref="A4340" r:id="rId4338" display="VN000D6FY7U1"/>
    <hyperlink ref="A4341" r:id="rId4339" display="VN000D6FY7U1"/>
    <hyperlink ref="A4342" r:id="rId4340" display="VN000D6FY7U1"/>
    <hyperlink ref="A4343" r:id="rId4341" display="VN000D6N24O1"/>
    <hyperlink ref="A4344" r:id="rId4342" display="VN000D6N24O1"/>
    <hyperlink ref="A4345" r:id="rId4343" display="VN000D6N24O1"/>
    <hyperlink ref="A4346" r:id="rId4344" display="VN000D6N24O1"/>
    <hyperlink ref="A4347" r:id="rId4345" display="VN000D6N24O1"/>
    <hyperlink ref="A4348" r:id="rId4346" display="VN000D6N24O1"/>
    <hyperlink ref="A4349" r:id="rId4347" display="VN000D6NBGK1"/>
    <hyperlink ref="A4350" r:id="rId4348" display="VN000D6NBGK1"/>
    <hyperlink ref="A4351" r:id="rId4349" display="VN000D6NBGK1"/>
    <hyperlink ref="A4352" r:id="rId4350" display="VN000D6NBGK1"/>
    <hyperlink ref="A4353" r:id="rId4351" display="VN000D6NBGK1"/>
    <hyperlink ref="A4354" r:id="rId4352" display="VN000D6NBGK1"/>
    <hyperlink ref="A4355" r:id="rId4353" display="VN000D6NBGK1"/>
    <hyperlink ref="A4356" r:id="rId4354" display="VN000D6NFTY1"/>
    <hyperlink ref="A4357" r:id="rId4355" display="VN000D6S5SM1"/>
    <hyperlink ref="A4358" r:id="rId4356" display="VN000D6SBH71"/>
    <hyperlink ref="A4359" r:id="rId4357" display="VN000D6SBM81"/>
    <hyperlink ref="A4360" r:id="rId4358" display="VN000D6SCJA1"/>
    <hyperlink ref="A4361" r:id="rId4359" display="VN000D6SCJA1"/>
    <hyperlink ref="A4362" r:id="rId4360" display="VN000D6SCJA1"/>
    <hyperlink ref="A4363" r:id="rId4361" display="VN000D6SYW31"/>
    <hyperlink ref="A4364" r:id="rId4362" display="VN000D6W11E1"/>
    <hyperlink ref="A4365" r:id="rId4363" display="VN000D6W2031"/>
    <hyperlink ref="A4366" r:id="rId4364" display="VN000D6W2031"/>
    <hyperlink ref="A4367" r:id="rId4365" display="VN000D6W2031"/>
    <hyperlink ref="A4368" r:id="rId4366" display="VN000D6W2031"/>
    <hyperlink ref="A4369" r:id="rId4367" display="VN000D6W2031"/>
    <hyperlink ref="A4370" r:id="rId4368" display="VN000D6W2031"/>
    <hyperlink ref="A4371" r:id="rId4369" display="VN000D6W2031"/>
    <hyperlink ref="A4372" r:id="rId4370" display="VN000D6W2031"/>
    <hyperlink ref="A4373" r:id="rId4371" display="VN000D6W7D61"/>
    <hyperlink ref="A4374" r:id="rId4372" display="VN000D6W7WM1"/>
    <hyperlink ref="A4375" r:id="rId4373" display="VN000D6WBOM1"/>
    <hyperlink ref="A4376" r:id="rId4374" display="VN000D6WBOM1"/>
    <hyperlink ref="A4377" r:id="rId4375" display="VN000D6WEMG1"/>
    <hyperlink ref="A4378" r:id="rId4376" display="VN000D6WEMG1"/>
    <hyperlink ref="A4379" r:id="rId4377" display="VN000D6WEMG1"/>
    <hyperlink ref="A4380" r:id="rId4378" display="VN000D6WEMW1"/>
    <hyperlink ref="A4381" r:id="rId4379" display="VN000D6WEMW1"/>
    <hyperlink ref="A4382" r:id="rId4380" display="VN000D6WEMW1"/>
    <hyperlink ref="A4383" r:id="rId4381" display="VN000D6WEMW1"/>
    <hyperlink ref="A4384" r:id="rId4382" display="VN000D6WEMW1"/>
    <hyperlink ref="A4385" r:id="rId4383" display="VN000D6WEMW1"/>
    <hyperlink ref="A4386" r:id="rId4384" display="VN000D6WEMW1"/>
    <hyperlink ref="A4387" r:id="rId4385" display="VN000D6WEMW1"/>
    <hyperlink ref="A4388" r:id="rId4386" display="VN000D6WWHT1"/>
    <hyperlink ref="A4389" r:id="rId4387" display="VN000D6WY281"/>
    <hyperlink ref="A4390" r:id="rId4388" display="VN000D6WYY61"/>
    <hyperlink ref="A4391" r:id="rId4389" display="VN000D6WYY61"/>
    <hyperlink ref="A4392" r:id="rId4390" display="VN000D6WYY61"/>
    <hyperlink ref="A4393" r:id="rId4391" display="VN000D6YE2T1"/>
    <hyperlink ref="A4394" r:id="rId4392" display="VN000D6YEMH1"/>
    <hyperlink ref="A4395" r:id="rId4393" display="VN000D6YEMH1"/>
    <hyperlink ref="A4396" r:id="rId4394" display="VN000D6YEMH1"/>
    <hyperlink ref="A4397" r:id="rId4395" display="VN000D6YEMW1"/>
    <hyperlink ref="A4398" r:id="rId4396" display="VN000D6YEMW1"/>
    <hyperlink ref="A4399" r:id="rId4397" display="VN000D6YEMW1"/>
    <hyperlink ref="A4400" r:id="rId4398" display="VN000D6YEMY1"/>
    <hyperlink ref="A4401" r:id="rId4399" display="VN000D6YEMY1"/>
    <hyperlink ref="A4402" r:id="rId4400" display="VN000D6YEZI1"/>
    <hyperlink ref="A4403" r:id="rId4401" display="VN000D6ZCHW1"/>
    <hyperlink ref="A4404" r:id="rId4402" display="VN000D6ZEMP1"/>
    <hyperlink ref="A4405" r:id="rId4403" display="VN000D6ZEMP1"/>
    <hyperlink ref="A4406" r:id="rId4404" display="VN000D6ZEMP1"/>
    <hyperlink ref="A4407" r:id="rId4405" display="VN000D6ZEMP1"/>
    <hyperlink ref="A4408" r:id="rId4406" display="VN000D6ZEMT1"/>
    <hyperlink ref="A4409" r:id="rId4407" display="VN000D6ZEMT1"/>
    <hyperlink ref="A4410" r:id="rId4408" display="VN000D6ZEMT1"/>
    <hyperlink ref="A4411" r:id="rId4409" display="VN000D6ZEMT1"/>
    <hyperlink ref="A4412" r:id="rId4410" display="VN000D6ZEMT1"/>
    <hyperlink ref="A4413" r:id="rId4411" display="VN000D6ZEMT1"/>
    <hyperlink ref="A4414" r:id="rId4412" display="VN000D6ZEMW1"/>
    <hyperlink ref="A4415" r:id="rId4413" display="VN000D6ZEMY1"/>
    <hyperlink ref="A4416" r:id="rId4414" display="VN000D6ZEMY1"/>
    <hyperlink ref="A4417" r:id="rId4415" display="VN000D6ZEMY1"/>
    <hyperlink ref="A4418" r:id="rId4416" display="VN000D6ZEMY1"/>
    <hyperlink ref="A4419" r:id="rId4417" display="VN000D6ZPNK1"/>
    <hyperlink ref="A4420" r:id="rId4418" display="VN000D6ZTTN1"/>
    <hyperlink ref="A4421" r:id="rId4419" display="VN000D6ZTTN1"/>
    <hyperlink ref="A4422" r:id="rId4420" display="VN000D6ZZ5D1"/>
    <hyperlink ref="A4423" r:id="rId4421" display="VN000D6ZZ5D1"/>
    <hyperlink ref="A4424" r:id="rId4422" display="VN000D7089F1"/>
    <hyperlink ref="A4425" r:id="rId4423" display="VN000D7089F1"/>
    <hyperlink ref="A4426" r:id="rId4424" display="VN000D7ABKA1"/>
    <hyperlink ref="A4427" r:id="rId4425" display="VN000D7G29B1"/>
    <hyperlink ref="A4428" r:id="rId4426" display="VN000D7G29B1"/>
    <hyperlink ref="A4429" r:id="rId4427" display="VN000D7G29B1"/>
    <hyperlink ref="A4430" r:id="rId4428" display="VN000D7G29B1"/>
    <hyperlink ref="A4431" r:id="rId4429" display="VN000D7Z1NU1"/>
    <hyperlink ref="A4432" r:id="rId4430" display="VN000D7Z6N01"/>
    <hyperlink ref="A4433" r:id="rId4431" display="VN000D7ZBTO1"/>
    <hyperlink ref="A4434" r:id="rId4432" display="VN000D7ZBTO1"/>
    <hyperlink ref="A4435" r:id="rId4433" display="VN000D7ZCHS1"/>
    <hyperlink ref="A4436" r:id="rId4434" display="VN000D7ZJDU1"/>
    <hyperlink ref="A4437" r:id="rId4435" display="VN000D7ZM8I1"/>
    <hyperlink ref="A4438" r:id="rId4436" display="VN000D7ZM8I1"/>
    <hyperlink ref="A4439" r:id="rId4437" display="VN000D7ZM8I1"/>
    <hyperlink ref="A4440" r:id="rId4438" display="VN000D7ZM8I1"/>
    <hyperlink ref="A4441" r:id="rId4439" display="VN000D7ZM8I1"/>
    <hyperlink ref="A4442" r:id="rId4440" display="VN000D7ZNUT1"/>
    <hyperlink ref="A4443" r:id="rId4441" display="VN000D7ZY7U1"/>
    <hyperlink ref="A4444" r:id="rId4442" display="VN000D7ZY7U1"/>
    <hyperlink ref="A4445" r:id="rId4443" display="VN000D7ZY7U1"/>
    <hyperlink ref="A4446" r:id="rId4444" display="VN000D7ZYJ71"/>
    <hyperlink ref="A4447" r:id="rId4445" display="VN000D7ZYJ71"/>
    <hyperlink ref="A4448" r:id="rId4446" display="VN000D80BF01"/>
    <hyperlink ref="A4449" r:id="rId4447" display="VN000D80BF01"/>
    <hyperlink ref="A4450" r:id="rId4448" display="VN000D80BF01"/>
    <hyperlink ref="A4451" r:id="rId4449" display="VN000D831NU1"/>
    <hyperlink ref="A4452" r:id="rId4450" display="VN000D831NU1"/>
    <hyperlink ref="A4453" r:id="rId4451" display="VN000D831NU1"/>
    <hyperlink ref="A4454" r:id="rId4452" display="VN000D831NU1"/>
    <hyperlink ref="A4455" r:id="rId4453" display="VN000D83SQ71"/>
    <hyperlink ref="A4456" r:id="rId4454" display="VN000D85EME1"/>
    <hyperlink ref="A4457" r:id="rId4455" display="VN000D85EME1"/>
    <hyperlink ref="A4458" r:id="rId4456" display="VN000D85JVY1"/>
    <hyperlink ref="A4459" r:id="rId4457" display="VN000D88BF01"/>
    <hyperlink ref="A4460" r:id="rId4458" display="VN000D88BF01"/>
    <hyperlink ref="A4461" r:id="rId4459" display="VN000D88BF01"/>
    <hyperlink ref="A4462" r:id="rId4460" display="VN000D88MCG1"/>
    <hyperlink ref="A4463" r:id="rId4461" display="VN000D88WTM1"/>
    <hyperlink ref="A4464" r:id="rId4462" display="VN000D88WTM1"/>
    <hyperlink ref="A4465" r:id="rId4463" display="VN000D8NBKA1"/>
    <hyperlink ref="A4466" r:id="rId4464" display="VN000D8NBKA1"/>
    <hyperlink ref="A4467" r:id="rId4465" display="VN000D8NBKA1"/>
    <hyperlink ref="A4468" r:id="rId4466" display="VN000D8NBKA1"/>
    <hyperlink ref="A4469" r:id="rId4467" display="VN000D8NWWW1"/>
    <hyperlink ref="A4470" r:id="rId4468" display="VN000D8NWWW1"/>
    <hyperlink ref="A4471" r:id="rId4469" display="VN000D8NWWW1"/>
    <hyperlink ref="A4472" r:id="rId4470" display="VN000D8NWWW1"/>
    <hyperlink ref="A4473" r:id="rId4471" display="VN000D8NZ5D1"/>
    <hyperlink ref="A4474" r:id="rId4472" display="VN000D8WE2V1"/>
    <hyperlink ref="A4475" r:id="rId4473" display="VN000D9ACJ71"/>
    <hyperlink ref="A4476" r:id="rId4474" display="VN000D9ACJ71"/>
    <hyperlink ref="A4477" r:id="rId4475" display="VN000D9Y0CS1"/>
    <hyperlink ref="A4478" r:id="rId4476" display="VN000D9YBGK1"/>
    <hyperlink ref="A4479" r:id="rId4477" display="VN000D9YBGK1"/>
    <hyperlink ref="A4480" r:id="rId4478" display="VN000D9YBGK1"/>
    <hyperlink ref="A4481" r:id="rId4479" display="VN000D9YBGK1"/>
    <hyperlink ref="A4482" r:id="rId4480" display="VN000D9YBGP1"/>
    <hyperlink ref="A4483" r:id="rId4481" display="VN000D9YBGP1"/>
    <hyperlink ref="A4484" r:id="rId4482" display="VN000D9YBKA1"/>
    <hyperlink ref="A4485" r:id="rId4483" display="VN000D9YBW21"/>
    <hyperlink ref="A4486" r:id="rId4484" display="VN000D9YBX91"/>
    <hyperlink ref="A4487" r:id="rId4485" display="VN000D9YRV21"/>
    <hyperlink ref="A4488" r:id="rId4486" display="VN000D9YRV21"/>
    <hyperlink ref="A4489" r:id="rId4487" display="VN000D9YRV21"/>
    <hyperlink ref="A4490" r:id="rId4488" display="VN000D9YRV21"/>
    <hyperlink ref="A4491" r:id="rId4489" display="VN000D9YRV21"/>
    <hyperlink ref="A4492" r:id="rId4490" display="VN000D9YTUP1"/>
    <hyperlink ref="A4493" r:id="rId4491" display="VN000D9YTUP1"/>
    <hyperlink ref="A4494" r:id="rId4492" display="VN000D9YY9T1"/>
    <hyperlink ref="A4495" r:id="rId4493" display="VN000D9YYY01"/>
    <hyperlink ref="A4496" r:id="rId4494" display="VN000D9YYY01"/>
    <hyperlink ref="A4497" r:id="rId4495" display="VN000D9ZKOU1"/>
    <hyperlink ref="A4498" r:id="rId4496" display="VN000D9ZKOU1"/>
    <hyperlink ref="A4499" r:id="rId4497" display="VN000D9ZKOU1"/>
    <hyperlink ref="A4500" r:id="rId4498" display="VN000D9ZKOU1"/>
    <hyperlink ref="A4501" r:id="rId4499" display="VN000D9ZY271"/>
    <hyperlink ref="A4502" r:id="rId4500" display="VN000D9ZY271"/>
    <hyperlink ref="A4503" r:id="rId4501" display="VN000D9ZY271"/>
    <hyperlink ref="A4504" r:id="rId4502" display="VN000D9ZYB21"/>
    <hyperlink ref="A4505" r:id="rId4503" display="VN000D9ZYB21"/>
    <hyperlink ref="A4506" r:id="rId4504" display="VN000D9ZYB21"/>
    <hyperlink ref="A4507" r:id="rId4505" display="VN000DA18DX1"/>
    <hyperlink ref="A4508" r:id="rId4506" display="VN000DA18DX1"/>
    <hyperlink ref="A4509" r:id="rId4507" display="VN000DA18DX1"/>
    <hyperlink ref="A4510" r:id="rId4508" display="VN000DA18DX1"/>
    <hyperlink ref="A4511" r:id="rId4509" display="VN000DA18DX1"/>
    <hyperlink ref="A4512" r:id="rId4510" display="VN000DA18DX1"/>
    <hyperlink ref="A4513" r:id="rId4511" display="VN000DA1B5T1"/>
    <hyperlink ref="A4514" r:id="rId4512" display="VN000DA1B5T1"/>
    <hyperlink ref="A4515" r:id="rId4513" display="VN000DA1B5T1"/>
    <hyperlink ref="A4516" r:id="rId4514" display="VN000DA1B5T1"/>
    <hyperlink ref="A4517" r:id="rId4515" display="VN000DA1Z341"/>
    <hyperlink ref="A4518" r:id="rId4516" display="VN000DA1Z341"/>
    <hyperlink ref="A4519" r:id="rId4517" display="VN000DA1Z341"/>
    <hyperlink ref="A4520" r:id="rId4518" display="VN000DA24GO1"/>
    <hyperlink ref="A4521" r:id="rId4519" display="VN000DA2B9M1"/>
    <hyperlink ref="A4522" r:id="rId4520" display="VN000DA2B9M1"/>
    <hyperlink ref="A4523" r:id="rId4521" display="VN000DA2B9M1"/>
    <hyperlink ref="A4524" r:id="rId4522" display="VN000DA4D7U1"/>
    <hyperlink ref="A4525" r:id="rId4523" display="VN000DAH14A1"/>
    <hyperlink ref="A4526" r:id="rId4524" display="VN000DAH7UG1"/>
    <hyperlink ref="A4527" r:id="rId4525" display="VN000DAH7UG1"/>
    <hyperlink ref="A4528" r:id="rId4526" display="VN000DAH7UG1"/>
    <hyperlink ref="A4529" r:id="rId4527" display="VN000DAH7UG1"/>
    <hyperlink ref="A4530" r:id="rId4528" display="VN000DAH7UG1"/>
    <hyperlink ref="A4531" r:id="rId4529" display="VN000DAH7UG1"/>
    <hyperlink ref="A4532" r:id="rId4530" display="VN000DAH7WM1"/>
    <hyperlink ref="A4533" r:id="rId4531" display="VN000DAHRV21"/>
    <hyperlink ref="A4534" r:id="rId4532" display="VN000DAHY401"/>
    <hyperlink ref="A4535" r:id="rId4533" display="VN000DAJBGK1"/>
    <hyperlink ref="A4536" r:id="rId4534" display="VN000DAJKL41"/>
    <hyperlink ref="A4537" r:id="rId4535" display="VN000DAJPWT1"/>
    <hyperlink ref="A4538" r:id="rId4536" display="VN000DAJPWT1"/>
    <hyperlink ref="A4539" r:id="rId4537" display="VN000DAJYJ71"/>
    <hyperlink ref="A4540" r:id="rId4538" display="VN000DAJYJ71"/>
    <hyperlink ref="A4541" r:id="rId4539" display="VN000DAJYJ71"/>
    <hyperlink ref="A4542" r:id="rId4540" display="VN000DAMLM31"/>
    <hyperlink ref="A4543" r:id="rId4541" display="VN000DAMLM31"/>
    <hyperlink ref="A4544" r:id="rId4542" display="VN000DAMRMO1"/>
    <hyperlink ref="A4545" r:id="rId4543" display="VN000DAMRMO1"/>
    <hyperlink ref="A4546" r:id="rId4544" display="VN000DAMRMO1"/>
    <hyperlink ref="A4547" r:id="rId4545" display="VN000DAQ02Y1"/>
    <hyperlink ref="A4548" r:id="rId4546" display="VN000DAQ1MG1"/>
    <hyperlink ref="A4549" r:id="rId4547" display="VN000DAQ2391"/>
    <hyperlink ref="A4550" r:id="rId4548" display="VN000DAQ2391"/>
    <hyperlink ref="A4551" r:id="rId4549" display="VN000DAQ2391"/>
    <hyperlink ref="A4552" r:id="rId4550" display="VN000DAQ9DH1"/>
    <hyperlink ref="A4553" r:id="rId4551" display="VN000DAQ9DH1"/>
    <hyperlink ref="A4554" r:id="rId4552" display="VN000DAQ9DH1"/>
    <hyperlink ref="A4555" r:id="rId4553" display="VN000DAQRPK1"/>
    <hyperlink ref="A4556" r:id="rId4554" display="VN000DAQRPK1"/>
    <hyperlink ref="A4557" r:id="rId4555" display="VN000DAQRPK1"/>
    <hyperlink ref="A4558" r:id="rId4556" display="VN000DAQTWH1"/>
    <hyperlink ref="A4559" r:id="rId4557" display="VN000DAQTWH1"/>
    <hyperlink ref="A4560" r:id="rId4558" display="VN000DAQTWH1"/>
    <hyperlink ref="A4561" r:id="rId4559" display="VN000DAQTWH1"/>
    <hyperlink ref="A4562" r:id="rId4560" display="VN000DAQY491"/>
    <hyperlink ref="A4563" r:id="rId4561" display="VN000DAQY491"/>
    <hyperlink ref="A4564" r:id="rId4562" display="VN000DAQZO21"/>
    <hyperlink ref="A4565" r:id="rId4563" display="VN000DARBKL1"/>
    <hyperlink ref="A4566" r:id="rId4564" display="VN000DARBKL1"/>
    <hyperlink ref="A4567" r:id="rId4565" display="VN000DARBKL1"/>
    <hyperlink ref="A4568" r:id="rId4566" display="VN000DARBKL1"/>
    <hyperlink ref="A4569" r:id="rId4567" display="VN000DARBKL1"/>
    <hyperlink ref="A4570" r:id="rId4568" display="VN000DARC9F1"/>
    <hyperlink ref="A4571" r:id="rId4569" display="VN000DARC9F1"/>
    <hyperlink ref="A4572" r:id="rId4570" display="VN000DARF871"/>
    <hyperlink ref="A4573" r:id="rId4571" display="VN000DARF871"/>
    <hyperlink ref="A4574" r:id="rId4572" display="VN000DARF871"/>
    <hyperlink ref="A4575" r:id="rId4573" display="VN000DAYBKA1"/>
    <hyperlink ref="A4576" r:id="rId4574" display="VN000DAYF871"/>
    <hyperlink ref="A4577" r:id="rId4575" display="VN000DAZB7G1"/>
    <hyperlink ref="A4578" r:id="rId4576" display="VN000DAZF881"/>
    <hyperlink ref="A4579" r:id="rId4577" display="VN000DAZF881"/>
    <hyperlink ref="A4580" r:id="rId4578" display="VN000DAZSTN1"/>
    <hyperlink ref="A4581" r:id="rId4579" display="VN000DAZSTN1"/>
    <hyperlink ref="A4582" r:id="rId4580" display="VN000DAZSTN1"/>
    <hyperlink ref="A4583" r:id="rId4581" display="VN000DB1EMG1"/>
    <hyperlink ref="A4584" r:id="rId4582" display="VN000DB1EMG1"/>
    <hyperlink ref="A4585" r:id="rId4583" display="VN000DB1EMG1"/>
    <hyperlink ref="A4586" r:id="rId4584" display="VN000DB34VT1"/>
    <hyperlink ref="A4587" r:id="rId4585" display="VN000DB3D3X1"/>
    <hyperlink ref="A4588" r:id="rId4586" display="VN000DB3Y231"/>
    <hyperlink ref="A4589" r:id="rId4587" display="VN000DB3Y231"/>
    <hyperlink ref="A4590" r:id="rId4588" display="VN000DB3ZX71"/>
    <hyperlink ref="A4591" r:id="rId4589" display="VN000DC6BRO1"/>
    <hyperlink ref="A4592" r:id="rId4590" display="VN000DCBYJ71"/>
    <hyperlink ref="A4593" r:id="rId4591" display="VN000DCBYJ71"/>
    <hyperlink ref="A4594" r:id="rId4592" display="VN000DCBYJ71"/>
    <hyperlink ref="A4595" r:id="rId4593" display="VN000DCE2VZ1"/>
    <hyperlink ref="A4596" r:id="rId4594" display="VN000DCE2VZ1"/>
    <hyperlink ref="A4597" r:id="rId4595" display="VN000DCEBRD1"/>
    <hyperlink ref="A4598" r:id="rId4596" display="VN000DCH0QR1"/>
    <hyperlink ref="A4599" r:id="rId4597" display="VN000DCHB9M1"/>
    <hyperlink ref="A4600" r:id="rId4598" display="VN000DCHB9M1"/>
    <hyperlink ref="A4601" r:id="rId4599" display="VN000DCJGRN1"/>
    <hyperlink ref="A4602" r:id="rId4600" display="VN000E7UTC41"/>
    <hyperlink ref="A4603" r:id="rId4601" display="VN000E86BA21"/>
    <hyperlink ref="A4604" r:id="rId4602" display="VN000E87BA21"/>
    <hyperlink ref="A4605" r:id="rId4603" display="VN000E897WM1"/>
    <hyperlink ref="A4606" r:id="rId4604" display="VN000E89YG41"/>
    <hyperlink ref="A4607" r:id="rId4605" display="VN000E89YG41"/>
    <hyperlink ref="A4608" r:id="rId4606" display="VN000E89YG41"/>
    <hyperlink ref="A4609" r:id="rId4607" display="VN000E8WBGF1"/>
    <hyperlink ref="A4610" r:id="rId4608" display="VN000E8WBGF1"/>
    <hyperlink ref="A4611" r:id="rId4609" display="VN000E8WBGF1"/>
    <hyperlink ref="A4612" r:id="rId4610" display="VN000E8WBGF1"/>
    <hyperlink ref="A4613" r:id="rId4611" display="VN000E8WBGF1"/>
    <hyperlink ref="A4614" r:id="rId4612" display="VN000E8WBRD1"/>
    <hyperlink ref="A4615" r:id="rId4613" display="VN000E8WBRD1"/>
    <hyperlink ref="A4616" r:id="rId4614" display="VN000E8WBRD1"/>
    <hyperlink ref="A4617" r:id="rId4615" display="VN000E8WBRD1"/>
    <hyperlink ref="A4618" r:id="rId4616" display="VN000E8WBRD1"/>
    <hyperlink ref="A4619" r:id="rId4617" display="VN000E8WCJK1"/>
    <hyperlink ref="A4620" r:id="rId4618" display="VN000E8WZX11"/>
    <hyperlink ref="A4621" r:id="rId4619" display="VN000E9RG581"/>
    <hyperlink ref="A4622" r:id="rId4620" display="VN000E9RZ3R1"/>
    <hyperlink ref="A4623" r:id="rId4621" display="VN000E9RZ3R1"/>
    <hyperlink ref="A4624" r:id="rId4622" display="VN000E9RZ3R1"/>
    <hyperlink ref="A4625" r:id="rId4623" display="VN000E9RZ3R1"/>
    <hyperlink ref="A4626" r:id="rId4624" display="VN000E9XF2B1"/>
    <hyperlink ref="A4627" r:id="rId4625" display="VN000E9XF2B1"/>
    <hyperlink ref="A4628" r:id="rId4626" display="VN000E9XF2B1"/>
    <hyperlink ref="A4629" r:id="rId4627" display="VN000E9XSLV1"/>
    <hyperlink ref="A4630" r:id="rId4628" display="VN000E9XSLV1"/>
    <hyperlink ref="A4631" r:id="rId4629" display="VN000E9Y1NU1"/>
    <hyperlink ref="A4632" r:id="rId4630" display="VN000EB4KAQ1"/>
    <hyperlink ref="A4633" r:id="rId4631" display="VN000EB4TAN1"/>
    <hyperlink ref="A4634" r:id="rId4632" display="VN000EB4TAN1"/>
    <hyperlink ref="A4635" r:id="rId4633" display="VN000EB4TAN1"/>
    <hyperlink ref="A4636" r:id="rId4634" display="VN000EB4TAN1"/>
    <hyperlink ref="A4637" r:id="rId4635" display="VN000EB4TAN1"/>
    <hyperlink ref="A4638" r:id="rId4636" display="VN000EB4TAN1"/>
    <hyperlink ref="A4639" r:id="rId4637" display="VN000EBAQPT1"/>
    <hyperlink ref="A4640" r:id="rId4638" display="VN000EC4RV21"/>
    <hyperlink ref="A4641" r:id="rId4639" display="VN000EC4RV21"/>
    <hyperlink ref="A4642" r:id="rId4640" display="VN000ECGBFC1"/>
    <hyperlink ref="A4643" r:id="rId4641" display="VN000ECGBFC1"/>
    <hyperlink ref="A4644" r:id="rId4642" display="VN000ECGBFC1"/>
    <hyperlink ref="A4645" r:id="rId4643" display="VN000EDN7D61"/>
    <hyperlink ref="A4646" r:id="rId4644" display="VN000EDN7D61"/>
    <hyperlink ref="A4647" r:id="rId4645" display="VN000EDN7D61"/>
    <hyperlink ref="A4648" r:id="rId4646" display="VN000EDN7D61"/>
    <hyperlink ref="A4649" r:id="rId4647" display="VN000EDN9X11"/>
    <hyperlink ref="A4650" r:id="rId4648" display="VN000EDN9X11"/>
    <hyperlink ref="A4651" r:id="rId4649" display="VN000EDNAH91"/>
    <hyperlink ref="A4652" r:id="rId4650" display="VN000EDNAH91"/>
    <hyperlink ref="A4653" r:id="rId4651" display="VN000EDNAH91"/>
    <hyperlink ref="A4654" r:id="rId4652" display="VN000EDNAH91"/>
    <hyperlink ref="A4655" r:id="rId4653" display="VN000EDNAH91"/>
    <hyperlink ref="A4656" r:id="rId4654" display="VN000EDNAH91"/>
    <hyperlink ref="A4657" r:id="rId4655" display="VN000EDNAH91"/>
    <hyperlink ref="A4658" r:id="rId4656" display="VN000EDNGRY1"/>
    <hyperlink ref="A4659" r:id="rId4657" display="VN000EDNGRY1"/>
    <hyperlink ref="A4660" r:id="rId4658" display="VN000EDNGRY1"/>
    <hyperlink ref="A4661" r:id="rId4659" display="VN000EDNGRY1"/>
    <hyperlink ref="A4662" r:id="rId4660" display="VN000EDNGRY1"/>
    <hyperlink ref="A4663" r:id="rId4661" display="VN000EDNGRY1"/>
    <hyperlink ref="A4664" r:id="rId4662" display="VN000EDUCD31"/>
    <hyperlink ref="A4665" r:id="rId4663" display="VN000EDUCD31"/>
    <hyperlink ref="A4666" r:id="rId4664" display="VN000EFBCJK1"/>
    <hyperlink ref="A4667" r:id="rId4665" display="VN000EG59X11"/>
    <hyperlink ref="A4668" r:id="rId4666" display="VN000EHWEME1"/>
    <hyperlink ref="A4669" r:id="rId4667" display="VN000EHZBA21"/>
    <hyperlink ref="A4670" r:id="rId4668" display="VN000EK9BO51"/>
    <hyperlink ref="A4671" r:id="rId4669" display="VN000KI51861"/>
    <hyperlink ref="A4672" r:id="rId4670" display="VN000S65ZS61"/>
    <hyperlink ref="A4673" r:id="rId4671" display="VN000SF42LH1"/>
    <hyperlink ref="A4674" r:id="rId4672" display="VN000SF46J61"/>
    <hyperlink ref="A4675" r:id="rId4673" display="VN000SF4JDU1"/>
    <hyperlink ref="A4676" r:id="rId4674" display="VN000V160E01"/>
    <hyperlink ref="A4677" r:id="rId4675" display="VN000V160E01"/>
    <hyperlink ref="A4678" r:id="rId4676" display="VN000V16EMT1"/>
    <hyperlink ref="A4679" r:id="rId4677" display="VN000V16EMT1"/>
    <hyperlink ref="A4680" r:id="rId4678" display="VN000V25B5T1"/>
    <hyperlink ref="A4681" r:id="rId4679" display="VN000V25B5T1"/>
    <hyperlink ref="A4682" r:id="rId4680" display="VN000V68Y611"/>
    <hyperlink ref="A4683" r:id="rId4681" display="VN000VA6DRT1"/>
    <hyperlink ref="A4684" r:id="rId4682" display="VN000VO44K11"/>
    <hyperlink ref="A4685" r:id="rId4683" display="VN000VO44K11"/>
    <hyperlink ref="A4686" r:id="rId4684" display="VN000VOB4K11"/>
    <hyperlink ref="A4687" r:id="rId4685" display="VN000VOB4K11"/>
    <hyperlink ref="A4688" r:id="rId4686" display="VN000VOB4WV1"/>
    <hyperlink ref="A4689" r:id="rId4687" display="VN000VOB4WV1"/>
    <hyperlink ref="A4690" r:id="rId4688" display="VN000W9T9AL1"/>
    <hyperlink ref="A4691" r:id="rId4689" display="VN000ZSRGQ01"/>
    <hyperlink ref="A4692" r:id="rId4690" display="VN000ZUVC4R1"/>
    <hyperlink ref="A4693" r:id="rId4691" display="VN000ZUVFM51"/>
    <hyperlink ref="A4694" r:id="rId4692" display="VN0A2Z3I1CI1"/>
    <hyperlink ref="A4695" r:id="rId4693" display="VN0A2Z3I1CI1"/>
    <hyperlink ref="A4696" r:id="rId4694" display="VN0A2Z3I1CI1"/>
    <hyperlink ref="A4697" r:id="rId4695" display="VN0A2Z3I1CI1"/>
    <hyperlink ref="A4698" r:id="rId4696" display="VN0A2Z3RRRS1"/>
    <hyperlink ref="A4699" r:id="rId4697" display="VN0A2Z3XYV31"/>
    <hyperlink ref="A4700" r:id="rId4698" display="VN0A2Z422391"/>
    <hyperlink ref="A4701" r:id="rId4699" display="VN0A32QG5WU1"/>
    <hyperlink ref="A4702" r:id="rId4700" display="VN0A32QM28L1"/>
    <hyperlink ref="A4703" r:id="rId4701" display="VN0A32QM28L1"/>
    <hyperlink ref="A4704" r:id="rId4702" display="VN0A38G19G51"/>
    <hyperlink ref="A4705" r:id="rId4703" display="VN0A38G19G51"/>
    <hyperlink ref="A4706" r:id="rId4704" display="VN0A38G19G51"/>
    <hyperlink ref="A4707" r:id="rId4705" display="VN0A38HBPQZ1"/>
    <hyperlink ref="A4708" r:id="rId4706" display="VN0A3IL2IJU1"/>
    <hyperlink ref="A4709" r:id="rId4707" display="VN0A3IL2R6Y1"/>
    <hyperlink ref="A4710" r:id="rId4708" display="VN0A3TK2V2O1"/>
    <hyperlink ref="A4711" r:id="rId4709" display="VN0A3TKN6BT1"/>
    <hyperlink ref="A4712" r:id="rId4710" display="VN0A3TL81871"/>
    <hyperlink ref="A4713" r:id="rId4711" display="VN0A3TL81871"/>
    <hyperlink ref="A4714" r:id="rId4712" display="VN0A45JMJBW1"/>
    <hyperlink ref="A4715" r:id="rId4713" display="VN0A4BTW5ZN1"/>
    <hyperlink ref="A4716" r:id="rId4714" display="VN0A4BTW5ZN1"/>
    <hyperlink ref="A4717" r:id="rId4715" display="VN0A4BTW5ZN1"/>
    <hyperlink ref="A4718" r:id="rId4716" display="VN0A4BTWVLV1"/>
    <hyperlink ref="A4719" r:id="rId4717" display="VN0A4BTWVLV1"/>
    <hyperlink ref="A4720" r:id="rId4718" display="VN0A4BTWVLV1"/>
    <hyperlink ref="A4721" r:id="rId4719" display="VN0A4BVS3N11"/>
    <hyperlink ref="A4722" r:id="rId4720" display="VN0A4BWL1KP1"/>
    <hyperlink ref="A4723" r:id="rId4721" display="VN0A4OE2DCR1"/>
    <hyperlink ref="A4724" r:id="rId4722" display="VN0A4OFQDCC1"/>
    <hyperlink ref="A4725" r:id="rId4723" display="VN0A4U1K3MZ1"/>
    <hyperlink ref="A4726" r:id="rId4724" display="VN0A4U1KBLK1"/>
    <hyperlink ref="A4727" r:id="rId4725" display="VN0A4U1KBLK1"/>
    <hyperlink ref="A4728" r:id="rId4726" display="VN0A4U1KBM71"/>
    <hyperlink ref="A4729" r:id="rId4727" display="VN0A4U1KBM71"/>
    <hyperlink ref="A4730" r:id="rId4728" display="VN0A4U1KSQ71"/>
    <hyperlink ref="A4731" r:id="rId4729" display="VN0A4UUK4W71"/>
    <hyperlink ref="A4732" r:id="rId4730" display="VN0A4UUK4W71"/>
    <hyperlink ref="A4733" r:id="rId4731" display="VN0A4UUK4W71"/>
    <hyperlink ref="A4734" r:id="rId4732" display="VN0A4UUK4W71"/>
    <hyperlink ref="A4735" r:id="rId4733" display="VN0A4UUK4W71"/>
    <hyperlink ref="A4736" r:id="rId4734" display="VN0A4UWM2QL1"/>
    <hyperlink ref="A4737" r:id="rId4735" display="VN0A4UWM5UR1"/>
    <hyperlink ref="A4738" r:id="rId4736" display="VN0A4UWMBER1"/>
    <hyperlink ref="A4739" r:id="rId4737" display="VN0A4UWMBER1"/>
    <hyperlink ref="A4740" r:id="rId4738" display="VN0A5FCAPIB1"/>
    <hyperlink ref="A4741" r:id="rId4739" display="VN0A5FCAPIB1"/>
    <hyperlink ref="A4742" r:id="rId4740" display="VN0A5FCAPIB1"/>
    <hyperlink ref="A4743" r:id="rId4741" display="VN0A5FCAPIB1"/>
    <hyperlink ref="A4744" r:id="rId4742" display="VN0A5FCAPIB1"/>
    <hyperlink ref="A4745" r:id="rId4743" display="VN0A5FCAPIB1"/>
    <hyperlink ref="A4746" r:id="rId4744" display="VN0A5FCAPIB1"/>
    <hyperlink ref="A4747" r:id="rId4745" display="VN0A5FCB1N61"/>
    <hyperlink ref="A4748" r:id="rId4746" display="VN0A5FCB1N61"/>
    <hyperlink ref="A4749" r:id="rId4747" display="VN0A5FCB1N61"/>
    <hyperlink ref="A4750" r:id="rId4748" display="VN0A5FCBB9M1"/>
    <hyperlink ref="A4751" r:id="rId4749" display="VN0A5FCCB9M1"/>
    <hyperlink ref="A4752" r:id="rId4750" display="VN0A5FCCBH91"/>
    <hyperlink ref="A4753" r:id="rId4751" display="VN0A5FCDEMW1"/>
    <hyperlink ref="A4754" r:id="rId4752" display="VN0A5FCDEMW1"/>
    <hyperlink ref="A4755" r:id="rId4753" display="VN0A5FCDEMW1"/>
    <hyperlink ref="A4756" r:id="rId4754" display="VN0A5FCDEMW1"/>
    <hyperlink ref="A4757" r:id="rId4755" display="VN0A5FCDEMW1"/>
    <hyperlink ref="A4758" r:id="rId4756" display="VN0A5FCDGPE1"/>
    <hyperlink ref="A4759" r:id="rId4757" display="VN0A5FCDGPE1"/>
    <hyperlink ref="A4760" r:id="rId4758" display="VN0A5FCDGPE1"/>
    <hyperlink ref="A4761" r:id="rId4759" display="VN0A5FCDGPE1"/>
    <hyperlink ref="A4762" r:id="rId4760" display="VN0A5HF887T1"/>
    <hyperlink ref="A4763" r:id="rId4761" display="VN0A5HYWA3I1"/>
    <hyperlink ref="A4764" r:id="rId4762" display="VN0A5HZGGRY1"/>
    <hyperlink ref="A4765" r:id="rId4763" display="VN0A5HZGGRY1"/>
    <hyperlink ref="A4766" r:id="rId4764" display="VN0A5HZKENY1"/>
    <hyperlink ref="A4767" r:id="rId4765" display="VN0A5HZY6I61"/>
    <hyperlink ref="A4768" r:id="rId4766" display="VN0A5HZY6I61"/>
    <hyperlink ref="A4769" r:id="rId4767" display="VN0A5HZY6I61"/>
    <hyperlink ref="A4770" r:id="rId4768" display="VN0A5HZY6J61"/>
    <hyperlink ref="A4771" r:id="rId4769" display="VN0A5HZYA041"/>
    <hyperlink ref="A4772" r:id="rId4770" display="VN0A5HZYZLD1"/>
    <hyperlink ref="A4773" r:id="rId4771" display="VN0A5HZYZLD1"/>
    <hyperlink ref="A4774" r:id="rId4772" display="VN0A5I111OJ1"/>
    <hyperlink ref="A4775" r:id="rId4773" display="VN0A5I12KOU1"/>
    <hyperlink ref="A4776" r:id="rId4774" display="VN0A5JIC39L1"/>
    <hyperlink ref="A4777" r:id="rId4775" display="VN0A5JIC39L1"/>
    <hyperlink ref="A4778" r:id="rId4776" display="VN0A5JICNUT1"/>
    <hyperlink ref="A4779" r:id="rId4777" display="VN0A5JICNUT1"/>
    <hyperlink ref="A4780" r:id="rId4778" display="VN0A5JLGBMA1"/>
    <hyperlink ref="A4781" r:id="rId4779" display="VN0A5JMKBGF1"/>
    <hyperlink ref="A4782" r:id="rId4780" display="VN0A5JMKBGF1"/>
    <hyperlink ref="A4783" r:id="rId4781" display="VN0A5JMKBGF1"/>
    <hyperlink ref="A4784" r:id="rId4782" display="VN0A5JMKBGF1"/>
    <hyperlink ref="A4785" r:id="rId4783" display="VN0A5JMKNWD1"/>
    <hyperlink ref="A4786" r:id="rId4784" display="VN0A5KR3BM01"/>
    <hyperlink ref="A4787" r:id="rId4785" display="VN0A5KR52391"/>
    <hyperlink ref="A4788" r:id="rId4786" display="VN0A5KR59LF1"/>
    <hyperlink ref="A4789" r:id="rId4787" display="VN0A5KS4DOL1"/>
    <hyperlink ref="A4790" r:id="rId4788" display="VN0A5KS5BMV1"/>
    <hyperlink ref="A4791" r:id="rId4789" display="VN0A5KS5BPO1"/>
    <hyperlink ref="A4792" r:id="rId4790" display="VN0A5KS5BPO1"/>
    <hyperlink ref="A4793" r:id="rId4791" display="VN0A5KY5BA21"/>
    <hyperlink ref="A4794" r:id="rId4792" display="VN0A5KY5BA21"/>
    <hyperlink ref="A4795" r:id="rId4793" display="VN0A5KYCZF51"/>
    <hyperlink ref="A4796" r:id="rId4794" display="VN0A7Q51BLK1"/>
    <hyperlink ref="A4797" r:id="rId4795" display="VN0A7Q5E95Y1"/>
    <hyperlink ref="A4798" r:id="rId4796" display="VN0A7Q5EZBF1"/>
    <hyperlink ref="A4799" r:id="rId4797" display="VN0A7Q5MBLU1"/>
    <hyperlink ref="A4800" r:id="rId4798" display="VN000NQWBKA1"/>
    <hyperlink ref="A4801" r:id="rId4799" display="VN000PP2BLK1"/>
    <hyperlink ref="A4802" r:id="rId4800" display="VN000PNH5TU1"/>
    <hyperlink ref="A4803" r:id="rId4801" display="VN000PNH5TU1"/>
    <hyperlink ref="A4804" r:id="rId4802" display="VN000EEBBO51"/>
    <hyperlink ref="A4805" r:id="rId4803" display="VN000EEBBO51"/>
    <hyperlink ref="A4806" r:id="rId4804" display="VN000PNH5TU1"/>
    <hyperlink ref="A4807" r:id="rId4805" display="VN000GKZBLK1"/>
    <hyperlink ref="A4808" r:id="rId4806" display="VN000EJTTC41"/>
    <hyperlink ref="A4809" r:id="rId4807" display="VN000EEBBO51"/>
    <hyperlink ref="A4810" r:id="rId4808" display="VN000CVVSR61"/>
    <hyperlink ref="A4811" r:id="rId4809" display="VN000CVVSR61"/>
    <hyperlink ref="A4812" r:id="rId4810" display="VN000D3JB7G1"/>
    <hyperlink ref="A4813" r:id="rId4811" display="VN000D3JB7G1"/>
    <hyperlink ref="A4814" r:id="rId4812" display="VN000D5RZHJ1"/>
    <hyperlink ref="A4815" r:id="rId4813" display="VN000D5RZHJ1"/>
    <hyperlink ref="A4816" r:id="rId4814" display="VN000EEBBO51"/>
    <hyperlink ref="A4817" r:id="rId4815" display="VN000J9NCHG1"/>
    <hyperlink ref="A4818" r:id="rId4816" display="VN000CVVSR61"/>
    <hyperlink ref="A4819" r:id="rId4817" display="VN000CVVSR61"/>
    <hyperlink ref="A4820" r:id="rId4818" display="VN000CVVSR61"/>
    <hyperlink ref="A4821" r:id="rId4819" display="VN000D1GSN01"/>
    <hyperlink ref="A4822" r:id="rId4820" display="VN0A4BXB1KP1"/>
    <hyperlink ref="A4823" r:id="rId4821" display="VN000J9NCHG1"/>
    <hyperlink ref="A4824" r:id="rId4822" display="VN000CVURV21"/>
    <hyperlink ref="A4825" r:id="rId4823" display="VN000CVVSR61"/>
    <hyperlink ref="A4826" r:id="rId4824" display="VN000CVVSR61"/>
    <hyperlink ref="A4827" r:id="rId4825" display="VN000D1GSN01"/>
    <hyperlink ref="A4828" r:id="rId4826" display="VN000D85GRY1"/>
    <hyperlink ref="A4829" r:id="rId4827" display="VN000EB4CCZ1"/>
    <hyperlink ref="A4830" r:id="rId4828" display="VN000EJTTC41"/>
    <hyperlink ref="A4831" r:id="rId4829" display="VN000J9NCHG1"/>
    <hyperlink ref="A4832" r:id="rId4830" display="VN000CVURV21"/>
    <hyperlink ref="A4833" r:id="rId4831" display="VN000CVVSR61"/>
    <hyperlink ref="A4834" r:id="rId4832" display="VN000D1G1OJ1"/>
    <hyperlink ref="A4835" r:id="rId4833" display="VN000D1GSN01"/>
    <hyperlink ref="A4836" r:id="rId4834" display="VN000D1GSN01"/>
    <hyperlink ref="A4837" r:id="rId4835" display="VN000EEBBO51"/>
    <hyperlink ref="A4838" r:id="rId4836" display="VN0A4BWLOBL1"/>
    <hyperlink ref="A4839" r:id="rId4837" display="VN0A4VHFUY61"/>
    <hyperlink ref="A4840" r:id="rId4838" display="VN0009UEBLK1"/>
    <hyperlink ref="A4841" r:id="rId4839" display="VN000J9NCHG1"/>
    <hyperlink ref="A4842" r:id="rId4840" display="VN000CUYY491"/>
    <hyperlink ref="A4843" r:id="rId4841" display="VN000CVURV21"/>
    <hyperlink ref="A4844" r:id="rId4842" display="VN000CVVSR61"/>
    <hyperlink ref="A4845" r:id="rId4843" display="VN000CVVSR61"/>
    <hyperlink ref="A4846" r:id="rId4844" display="VN000EEBBO51"/>
    <hyperlink ref="A4847" r:id="rId4845" display="VN0A2Z34B0Z1"/>
    <hyperlink ref="A4848" r:id="rId4846" display="VN0A2Z3HGLD1"/>
    <hyperlink ref="A4849" r:id="rId4847" display="VN0A5KQZYY41"/>
    <hyperlink ref="A4850" r:id="rId4848" display="VN000PP2BLK1"/>
    <hyperlink ref="A4851" r:id="rId4849" display="VN0009UDKOU1"/>
    <hyperlink ref="A4852" r:id="rId4850" display="VN000CUYY491"/>
    <hyperlink ref="A4853" r:id="rId4851" display="VN000CVURV21"/>
    <hyperlink ref="A4854" r:id="rId4852" display="VN000CVVSR61"/>
    <hyperlink ref="A4855" r:id="rId4853" display="VN000D1GSN01"/>
    <hyperlink ref="A4856" r:id="rId4854" display="VN000D3JB7G1"/>
    <hyperlink ref="A4857" r:id="rId4855" display="VN000D3NEZ71"/>
    <hyperlink ref="A4858" r:id="rId4856" display="VN000D5RZHJ1"/>
    <hyperlink ref="A4859" r:id="rId4857" display="VN000D9ZRBG1"/>
    <hyperlink ref="A4860" r:id="rId4858" display="VN000DA4PNK1"/>
    <hyperlink ref="A4861" r:id="rId4859" display="VN000DA4PNK1"/>
    <hyperlink ref="A4862" r:id="rId4860" display="VN000E23L381"/>
    <hyperlink ref="A4863" r:id="rId4861" display="VN000EDNBJB1"/>
    <hyperlink ref="A4864" r:id="rId4862" display="VN000EDNBJB1"/>
    <hyperlink ref="A4865" r:id="rId4863" display="VN000EEBBO51"/>
    <hyperlink ref="A4866" r:id="rId4864" display="VN000EEBBO51"/>
    <hyperlink ref="A4867" r:id="rId4865" display="VN000EEBBO51"/>
    <hyperlink ref="A4868" r:id="rId4866" display="VN000EJTTC41"/>
    <hyperlink ref="A4869" r:id="rId4867" display="VN0A5KQZYY41"/>
    <hyperlink ref="A4870" r:id="rId4868" display="VN0A5KQZYY41"/>
    <hyperlink ref="A4871" r:id="rId4869" display="VN0009UDKOU1"/>
    <hyperlink ref="A4872" r:id="rId4870" display="VN0009UEBLK1"/>
    <hyperlink ref="A4873" r:id="rId4871" display="VN0009UFDRP1"/>
    <hyperlink ref="A4874" r:id="rId4872" display="VN0009UFDRP1"/>
    <hyperlink ref="A4875" r:id="rId4873" display="VN0009UFKOU1"/>
    <hyperlink ref="A4876" r:id="rId4874" display="VN0009UFKOU1"/>
    <hyperlink ref="A4877" r:id="rId4875" display="VN0005VDNGV1"/>
    <hyperlink ref="A4878" r:id="rId4876" display="VN000CVVSR61"/>
    <hyperlink ref="A4879" r:id="rId4877" display="VN000CVVSR61"/>
    <hyperlink ref="A4880" r:id="rId4878" display="VN000D1G92A1"/>
    <hyperlink ref="A4881" r:id="rId4879" display="VN000D1GK1O1"/>
    <hyperlink ref="A4882" r:id="rId4880" display="VN000D1GSN01"/>
    <hyperlink ref="A4883" r:id="rId4881" display="VN000D1GSN01"/>
    <hyperlink ref="A4884" r:id="rId4882" display="VN000D1GYB21"/>
    <hyperlink ref="A4885" r:id="rId4883" display="VN000D3J6891"/>
    <hyperlink ref="A4886" r:id="rId4884" display="VN000D5RZHJ1"/>
    <hyperlink ref="A4887" r:id="rId4885" display="VN000D9ZRBG1"/>
    <hyperlink ref="A4888" r:id="rId4886" display="VN000D9ZRBG1"/>
    <hyperlink ref="A4889" r:id="rId4887" display="VN000DA4PNK1"/>
    <hyperlink ref="A4890" r:id="rId4888" display="VN000EDNBJB1"/>
    <hyperlink ref="A4891" r:id="rId4889" display="VN000EDNBJB1"/>
    <hyperlink ref="A4892" r:id="rId4890" display="VN000EDNBJB1"/>
    <hyperlink ref="A4893" r:id="rId4891" display="VN000EEBBO51"/>
    <hyperlink ref="A4894" r:id="rId4892" display="VN000EJTTC41"/>
    <hyperlink ref="A4895" r:id="rId4893" display="VN000EJTTC41"/>
    <hyperlink ref="A4896" r:id="rId4894" display="VN000EKUBKA1"/>
    <hyperlink ref="A4897" r:id="rId4895" display="VN000MRJYQX1"/>
    <hyperlink ref="A4898" r:id="rId4896" display="VN0A2Z32Y451"/>
    <hyperlink ref="A4899" r:id="rId4897" display="VN0A2Z348YG1"/>
    <hyperlink ref="A4900" r:id="rId4898" display="VN0A2Z35BFA1"/>
    <hyperlink ref="A4901" r:id="rId4899" display="VN0A2Z35BFA1"/>
    <hyperlink ref="A4902" r:id="rId4900" display="VN0A2Z3H1OU1"/>
    <hyperlink ref="A4903" r:id="rId4901" display="VN0A2Z3H1OU1"/>
    <hyperlink ref="A4904" r:id="rId4902" display="VN0A2Z3HGLD1"/>
    <hyperlink ref="A4905" r:id="rId4903" display="VN0A2Z3MGGR1"/>
    <hyperlink ref="A4906" r:id="rId4904" display="VN0A2Z3NY401"/>
    <hyperlink ref="A4907" r:id="rId4905" display="VN0A2Z3UCX61"/>
    <hyperlink ref="A4908" r:id="rId4906" display="VN0A5KQZYY41"/>
    <hyperlink ref="A4909" r:id="rId4907" display="VN0009UEBLK1"/>
    <hyperlink ref="A4910" r:id="rId4908" display="VN0009UFDRP1"/>
    <hyperlink ref="A4911" r:id="rId4909" display="VN0009UFKOU1"/>
    <hyperlink ref="A4912" r:id="rId4910" display="VN000GFGBLK1"/>
    <hyperlink ref="A4913" r:id="rId4911" display="VN000J9NCHG1"/>
    <hyperlink ref="A4914" r:id="rId4912" display="VN000J9NCHG1"/>
    <hyperlink ref="A4915" r:id="rId4913" display="VN000J9NCHG1"/>
    <hyperlink ref="A4916" r:id="rId4914" display="VN000J9NCHG1"/>
    <hyperlink ref="A4917" r:id="rId4915" display="VN000J9NCHG1"/>
    <hyperlink ref="A4918" r:id="rId4916" display="VN000CBSB7G1"/>
    <hyperlink ref="A4919" r:id="rId4917" display="VN000CBSB7G1"/>
    <hyperlink ref="A4920" r:id="rId4918" display="VN000CBSDOL1"/>
    <hyperlink ref="A4921" r:id="rId4919" display="VN000CBSHR01"/>
    <hyperlink ref="A4922" r:id="rId4920" display="VN000CBTAHY1"/>
    <hyperlink ref="A4923" r:id="rId4921" display="VN000CNXYY21"/>
    <hyperlink ref="A4924" r:id="rId4922" display="VN000CVURV21"/>
    <hyperlink ref="A4925" r:id="rId4923" display="VN000CVURV21"/>
    <hyperlink ref="A4926" r:id="rId4924" display="VN000CVURV21"/>
    <hyperlink ref="A4927" r:id="rId4925" display="VN000CVURV21"/>
    <hyperlink ref="A4928" r:id="rId4926" display="VN000CVVSR61"/>
    <hyperlink ref="A4929" r:id="rId4927" display="VN000CVVSR61"/>
    <hyperlink ref="A4930" r:id="rId4928" display="VN000D1G1OJ1"/>
    <hyperlink ref="A4931" r:id="rId4929" display="VN000D1G1OJ1"/>
    <hyperlink ref="A4932" r:id="rId4930" display="VN000D1G1OJ1"/>
    <hyperlink ref="A4933" r:id="rId4931" display="VN000D1G92A1"/>
    <hyperlink ref="A4934" r:id="rId4932" display="VN000D1G92A1"/>
    <hyperlink ref="A4935" r:id="rId4933" display="VN000D1G92A1"/>
    <hyperlink ref="A4936" r:id="rId4934" display="VN000D1G92A1"/>
    <hyperlink ref="A4937" r:id="rId4935" display="VN000D1GA2T1"/>
    <hyperlink ref="A4938" r:id="rId4936" display="VN000D1GA2T1"/>
    <hyperlink ref="A4939" r:id="rId4937" display="VN000D1GBWT1"/>
    <hyperlink ref="A4940" r:id="rId4938" display="VN000D1GK1O1"/>
    <hyperlink ref="A4941" r:id="rId4939" display="VN000D1GK1O1"/>
    <hyperlink ref="A4942" r:id="rId4940" display="VN000D1GK1O1"/>
    <hyperlink ref="A4943" r:id="rId4941" display="VN000D1GSN01"/>
    <hyperlink ref="A4944" r:id="rId4942" display="VN000D1GSN01"/>
    <hyperlink ref="A4945" r:id="rId4943" display="VN000D1GSN01"/>
    <hyperlink ref="A4946" r:id="rId4944" display="VN000D1GYB21"/>
    <hyperlink ref="A4947" r:id="rId4945" display="VN000D1GYB21"/>
    <hyperlink ref="A4948" r:id="rId4946" display="VN000D1GYB21"/>
    <hyperlink ref="A4949" r:id="rId4947" display="VN000D1GYB21"/>
    <hyperlink ref="A4950" r:id="rId4948" display="VN000D1GYB21"/>
    <hyperlink ref="A4951" r:id="rId4949" display="VN000D3JB7G1"/>
    <hyperlink ref="A4952" r:id="rId4950" display="VN000D3JB7G1"/>
    <hyperlink ref="A4953" r:id="rId4951" display="VN000D3NEZ71"/>
    <hyperlink ref="A4954" r:id="rId4952" display="VN000D3NEZ71"/>
    <hyperlink ref="A4955" r:id="rId4953" display="VN000D3R2031"/>
    <hyperlink ref="A4956" r:id="rId4954" display="VN000D3RSQ51"/>
    <hyperlink ref="A4957" r:id="rId4955" display="VN000D3RSQ51"/>
    <hyperlink ref="A4958" r:id="rId4956" display="VN000D3UZBF1"/>
    <hyperlink ref="A4959" r:id="rId4957" display="VN000D3UZBF1"/>
    <hyperlink ref="A4960" r:id="rId4958" display="VN000D3UZBF1"/>
    <hyperlink ref="A4961" r:id="rId4959" display="VN000D3UZBF1"/>
    <hyperlink ref="A4962" r:id="rId4960" display="VN000D5DBRO1"/>
    <hyperlink ref="A4963" r:id="rId4961" display="VN000D5DWHT1"/>
    <hyperlink ref="A4964" r:id="rId4962" display="VN000D5RHT31"/>
    <hyperlink ref="A4965" r:id="rId4963" display="VN000D5RZHJ1"/>
    <hyperlink ref="A4966" r:id="rId4964" display="VN000D5RZHJ1"/>
    <hyperlink ref="A4967" r:id="rId4965" display="VN000D5RZHJ1"/>
    <hyperlink ref="A4968" r:id="rId4966" display="VN000D5RZHJ1"/>
    <hyperlink ref="A4969" r:id="rId4967" display="VN000D5RZHJ1"/>
    <hyperlink ref="A4970" r:id="rId4968" display="VN000D5RZHJ1"/>
    <hyperlink ref="A4971" r:id="rId4969" display="VN000D85GRY1"/>
    <hyperlink ref="A4972" r:id="rId4970" display="VN000D85GRY1"/>
    <hyperlink ref="A4973" r:id="rId4971" display="VN000D85GRY1"/>
    <hyperlink ref="A4974" r:id="rId4972" display="VN000D85GRY1"/>
    <hyperlink ref="A4975" r:id="rId4973" display="VN000D85Y521"/>
    <hyperlink ref="A4976" r:id="rId4974" display="VN000D85Y521"/>
    <hyperlink ref="A4977" r:id="rId4975" display="VN000D85Y521"/>
    <hyperlink ref="A4978" r:id="rId4976" display="VN000D9ZRBG1"/>
    <hyperlink ref="A4979" r:id="rId4977" display="VN000D9ZRBG1"/>
    <hyperlink ref="A4980" r:id="rId4978" display="VN000D9ZRBG1"/>
    <hyperlink ref="A4981" r:id="rId4979" display="VN000D9ZRBG1"/>
    <hyperlink ref="A4982" r:id="rId4980" display="VN000D9ZRBG1"/>
    <hyperlink ref="A4983" r:id="rId4981" display="VN000D9ZRBG1"/>
    <hyperlink ref="A4984" r:id="rId4982" display="VN000D9ZRBG1"/>
    <hyperlink ref="A4985" r:id="rId4983" display="VN000D9ZRBG1"/>
    <hyperlink ref="A4986" r:id="rId4984" display="VN000D9ZRBG1"/>
    <hyperlink ref="A4987" r:id="rId4985" display="VN000DA4PNK1"/>
    <hyperlink ref="A4988" r:id="rId4986" display="VN000DA4PNK1"/>
    <hyperlink ref="A4989" r:id="rId4987" display="VN000DA4PNK1"/>
    <hyperlink ref="A4990" r:id="rId4988" display="VN000E23CQ01"/>
    <hyperlink ref="A4991" r:id="rId4989" display="VN000E23CQ01"/>
    <hyperlink ref="A4992" r:id="rId4990" display="VN000E23CQ01"/>
    <hyperlink ref="A4993" r:id="rId4991" display="VN000E23L381"/>
    <hyperlink ref="A4994" r:id="rId4992" display="VN000E23L381"/>
    <hyperlink ref="A4995" r:id="rId4993" display="VN000E9NBPT1"/>
    <hyperlink ref="A4996" r:id="rId4994" display="VN000EB4CCZ1"/>
    <hyperlink ref="A4997" r:id="rId4995" display="VN000EB4CCZ1"/>
    <hyperlink ref="A4998" r:id="rId4996" display="VN000EDNBJB1"/>
    <hyperlink ref="A4999" r:id="rId4997" display="VN000EDNBJB1"/>
    <hyperlink ref="A5000" r:id="rId4998" display="VN000EDNBJB1"/>
    <hyperlink ref="A5001" r:id="rId4999" display="VN000EDNBJB1"/>
    <hyperlink ref="A5002" r:id="rId5000" display="VN000EEBBO51"/>
    <hyperlink ref="A5003" r:id="rId5001" display="VN000EEBBO51"/>
    <hyperlink ref="A5004" r:id="rId5002" display="VN000EEBBO51"/>
    <hyperlink ref="A5005" r:id="rId5003" display="VN000EEBBO51"/>
    <hyperlink ref="A5006" r:id="rId5004" display="VN000EJTTC41"/>
    <hyperlink ref="A5007" r:id="rId5005" display="VN000EKUBKA1"/>
    <hyperlink ref="A5008" r:id="rId5006" display="VN000EKUBKA1"/>
    <hyperlink ref="A5009" r:id="rId5007" display="VN000EKUBKA1"/>
    <hyperlink ref="A5010" r:id="rId5008" display="VN000EKUBKA1"/>
    <hyperlink ref="A5011" r:id="rId5009" display="VN000EKUBKA1"/>
    <hyperlink ref="A5012" r:id="rId5010" display="VN000MRJYQX1"/>
    <hyperlink ref="A5013" r:id="rId5011" display="VN0A2Z32Y451"/>
    <hyperlink ref="A5014" r:id="rId5012" display="VN0A2Z32Y451"/>
    <hyperlink ref="A5015" r:id="rId5013" display="VN0A2Z32Y451"/>
    <hyperlink ref="A5016" r:id="rId5014" display="VN0A2Z32Y451"/>
    <hyperlink ref="A5017" r:id="rId5015" display="VN0A2Z32Y451"/>
    <hyperlink ref="A5018" r:id="rId5016" display="VN0A2Z348YG1"/>
    <hyperlink ref="A5019" r:id="rId5017" display="VN0A2Z34AFJ1"/>
    <hyperlink ref="A5020" r:id="rId5018" display="VN0A2Z34AFJ1"/>
    <hyperlink ref="A5021" r:id="rId5019" display="VN0A2Z34AFJ1"/>
    <hyperlink ref="A5022" r:id="rId5020" display="VN0A2Z34AFJ1"/>
    <hyperlink ref="A5023" r:id="rId5021" display="VN0A2Z34B0Z1"/>
    <hyperlink ref="A5024" r:id="rId5022" display="VN0A2Z34B0Z1"/>
    <hyperlink ref="A5025" r:id="rId5023" display="VN0A2Z34B0Z1"/>
    <hyperlink ref="A5026" r:id="rId5024" display="VN0A2Z34B0Z1"/>
    <hyperlink ref="A5027" r:id="rId5025" display="VN0A2Z34BLG1"/>
    <hyperlink ref="A5028" r:id="rId5026" display="VN0A2Z34BLG1"/>
    <hyperlink ref="A5029" r:id="rId5027" display="VN0A2Z34BLG1"/>
    <hyperlink ref="A5030" r:id="rId5028" display="VN0A2Z34BLG1"/>
    <hyperlink ref="A5031" r:id="rId5029" display="VN0A2Z34CMA1"/>
    <hyperlink ref="A5032" r:id="rId5030" display="VN0A2Z34REB1"/>
    <hyperlink ref="A5033" r:id="rId5031" display="VN0A2Z34REB1"/>
    <hyperlink ref="A5034" r:id="rId5032" display="VN0A2Z34REB1"/>
    <hyperlink ref="A5035" r:id="rId5033" display="VN0A2Z35BFA1"/>
    <hyperlink ref="A5036" r:id="rId5034" display="VN0A2Z3H1OU1"/>
    <hyperlink ref="A5037" r:id="rId5035" display="VN0A2Z3H1OU1"/>
    <hyperlink ref="A5038" r:id="rId5036" display="VN0A2Z3H6RJ1"/>
    <hyperlink ref="A5039" r:id="rId5037" display="VN0A2Z3HOUO1"/>
    <hyperlink ref="A5040" r:id="rId5038" display="VN0A2Z3HOUO1"/>
    <hyperlink ref="A5041" r:id="rId5039" display="VN0A2Z3HYHI1"/>
    <hyperlink ref="A5042" r:id="rId5040" display="VN0A2Z3IBYB1"/>
    <hyperlink ref="A5043" r:id="rId5041" display="VN0A2Z3IY521"/>
    <hyperlink ref="A5044" r:id="rId5042" display="VN0A2Z3KLTG1"/>
    <hyperlink ref="A5045" r:id="rId5043" display="VN0A2Z3NY401"/>
    <hyperlink ref="A5046" r:id="rId5044" display="VN0A2Z3NY401"/>
    <hyperlink ref="A5047" r:id="rId5045" display="VN0A2Z3NY401"/>
    <hyperlink ref="A5048" r:id="rId5046" display="VN0A2Z3NY401"/>
    <hyperlink ref="A5049" r:id="rId5047" display="VN0A2Z3NY401"/>
    <hyperlink ref="A5050" r:id="rId5048" display="VN0A2Z3NY401"/>
    <hyperlink ref="A5051" r:id="rId5049" display="VN0A2Z3TWTM1"/>
    <hyperlink ref="A5052" r:id="rId5050" display="VN0A2Z3TWTM1"/>
    <hyperlink ref="A5053" r:id="rId5051" display="VN0A2Z3TWTM1"/>
    <hyperlink ref="A5054" r:id="rId5052" display="VN0A2Z3TWTM1"/>
    <hyperlink ref="A5055" r:id="rId5053" display="VN0A2Z3UCX61"/>
    <hyperlink ref="A5056" r:id="rId5054" display="VN0A2Z3UCX61"/>
    <hyperlink ref="A5057" r:id="rId5055" display="VN0A2Z3UCX61"/>
    <hyperlink ref="A5058" r:id="rId5056" display="VN0A4BX1LKK1"/>
    <hyperlink ref="A5059" r:id="rId5057" display="VN0A4BXL39L1"/>
    <hyperlink ref="A5060" r:id="rId5058" display="VN0A4U1KJCN1"/>
    <hyperlink ref="A5061" r:id="rId5059" display="VN0A5AODENR1"/>
    <hyperlink ref="A5062" r:id="rId5060" display="VN0A5FCCBJB1"/>
    <hyperlink ref="A5063" r:id="rId5061" display="VN0A5FCCBJB1"/>
    <hyperlink ref="A5064" r:id="rId5062" display="VN0A5FCCBJB1"/>
    <hyperlink ref="A5065" r:id="rId5063" display="VN0A5FCDYW91"/>
    <hyperlink ref="A5066" r:id="rId5064" display="VN0A5HF8PWT1"/>
    <hyperlink ref="A5067" r:id="rId5065" display="VN0A5HF8PWT1"/>
    <hyperlink ref="A5068" r:id="rId5066" display="VN0A5HF8PWT1"/>
    <hyperlink ref="A5069" r:id="rId5067" display="VN0A5HF8PWT1"/>
    <hyperlink ref="A5070" r:id="rId5068" display="VN0A5HF8PWT1"/>
    <hyperlink ref="A5071" r:id="rId5069" display="VN0A5JIAY041"/>
    <hyperlink ref="A5072" r:id="rId5070" display="VN0A5JIE1OJ1"/>
    <hyperlink ref="A5073" r:id="rId5071" display="VN0A5JIE1OJ1"/>
    <hyperlink ref="A5074" r:id="rId5072" display="VN0A5JIE1OJ1"/>
    <hyperlink ref="A5075" r:id="rId5073" display="VN0A5KQZYY41"/>
    <hyperlink ref="A5076" r:id="rId5074" display="VN0A5KQZYY41"/>
    <hyperlink ref="A5077" r:id="rId5075" display="VN0A5KQZYY41"/>
    <hyperlink ref="A5078" r:id="rId5076" display="VN0A5KQZYY41"/>
    <hyperlink ref="A5079" r:id="rId5077" display="VN0A5KQZYY41"/>
    <hyperlink ref="A5080" r:id="rId5078" display="VN0A5KQZYY41"/>
  </hyperlinks>
  <pageMargins left="0.7" right="0.7" top="0.75" bottom="0.75" header="0.3" footer="0.3"/>
  <pageSetup orientation="portrait"/>
  <headerFooter>
    <oddFooter>&amp;L&amp;"Tahoma,Regular"&amp;10&amp;K000000
&amp;"Calibri,Regular" 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showGridLines="0" workbookViewId="0">
      <selection activeCell="F15" sqref="F15"/>
    </sheetView>
  </sheetViews>
  <sheetFormatPr defaultColWidth="9" defaultRowHeight="13.15" customHeight="1" x14ac:dyDescent="0.2"/>
  <cols>
    <col min="1" max="6" width="9" style="17" customWidth="1"/>
    <col min="7" max="16384" width="9" style="17"/>
  </cols>
  <sheetData>
    <row r="1" spans="1:5" ht="27.2" customHeight="1" x14ac:dyDescent="0.2">
      <c r="A1" s="18" t="s">
        <v>17704</v>
      </c>
      <c r="B1" s="19"/>
      <c r="C1" s="19"/>
      <c r="D1" s="19"/>
      <c r="E1" s="19"/>
    </row>
    <row r="2" spans="1:5" ht="26.85" customHeight="1" x14ac:dyDescent="0.2">
      <c r="A2" s="20" t="s">
        <v>17705</v>
      </c>
      <c r="B2" s="21" t="s">
        <v>17706</v>
      </c>
      <c r="C2" s="21" t="s">
        <v>17707</v>
      </c>
      <c r="D2" s="21" t="s">
        <v>17708</v>
      </c>
      <c r="E2" s="21" t="s">
        <v>17709</v>
      </c>
    </row>
    <row r="3" spans="1:5" ht="27.2" customHeight="1" thickBot="1" x14ac:dyDescent="0.25">
      <c r="A3" s="22" t="s">
        <v>17710</v>
      </c>
      <c r="B3" s="23" t="s">
        <v>17711</v>
      </c>
      <c r="C3" s="23" t="s">
        <v>17712</v>
      </c>
      <c r="D3" s="24">
        <v>37331</v>
      </c>
      <c r="E3" s="25">
        <v>60.0566285392837</v>
      </c>
    </row>
    <row r="4" spans="1:5" ht="14.25" customHeight="1" x14ac:dyDescent="0.2">
      <c r="A4" s="26"/>
      <c r="B4" s="27"/>
      <c r="C4" s="28"/>
      <c r="D4" s="29"/>
      <c r="E4" s="28"/>
    </row>
    <row r="5" spans="1:5" ht="13.7" customHeight="1" x14ac:dyDescent="0.2">
      <c r="A5" s="30" t="s">
        <v>17713</v>
      </c>
      <c r="B5" s="31"/>
      <c r="C5" s="31"/>
      <c r="D5" s="31"/>
      <c r="E5" s="32"/>
    </row>
    <row r="6" spans="1:5" ht="13.7" customHeight="1" x14ac:dyDescent="0.2">
      <c r="A6" s="33" t="s">
        <v>17714</v>
      </c>
      <c r="B6" s="34"/>
      <c r="C6" s="35" t="s">
        <v>17715</v>
      </c>
      <c r="D6" s="31"/>
      <c r="E6" s="32"/>
    </row>
    <row r="7" spans="1:5" ht="13.7" customHeight="1" x14ac:dyDescent="0.2">
      <c r="A7" s="33" t="s">
        <v>17716</v>
      </c>
      <c r="B7" s="36" t="s">
        <v>17717</v>
      </c>
      <c r="C7" s="31"/>
      <c r="D7" s="31"/>
      <c r="E7" s="32"/>
    </row>
    <row r="8" spans="1:5" ht="13.7" customHeight="1" x14ac:dyDescent="0.2">
      <c r="A8" s="33" t="s">
        <v>17718</v>
      </c>
      <c r="B8" s="36" t="s">
        <v>17719</v>
      </c>
      <c r="C8" s="31"/>
      <c r="D8" s="31"/>
      <c r="E8" s="32"/>
    </row>
    <row r="9" spans="1:5" ht="13.7" customHeight="1" x14ac:dyDescent="0.2">
      <c r="A9" s="33" t="s">
        <v>17720</v>
      </c>
      <c r="B9" s="36" t="s">
        <v>17721</v>
      </c>
      <c r="C9" s="31"/>
      <c r="D9" s="31"/>
      <c r="E9" s="32"/>
    </row>
    <row r="10" spans="1:5" ht="13.7" customHeight="1" x14ac:dyDescent="0.2">
      <c r="A10" s="33" t="s">
        <v>17722</v>
      </c>
      <c r="B10" s="36" t="s">
        <v>17723</v>
      </c>
      <c r="C10" s="31"/>
      <c r="D10" s="31"/>
      <c r="E10" s="32"/>
    </row>
    <row r="11" spans="1:5" ht="13.7" customHeight="1" x14ac:dyDescent="0.2">
      <c r="A11" s="37" t="s">
        <v>17724</v>
      </c>
      <c r="B11" s="38" t="s">
        <v>17725</v>
      </c>
      <c r="C11" s="39"/>
      <c r="D11" s="40"/>
      <c r="E11" s="41"/>
    </row>
  </sheetData>
  <pageMargins left="0.7" right="0.7" top="0.75" bottom="0.75" header="0.3" footer="0.3"/>
  <pageSetup orientation="landscape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CONDITIOSN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2026-04-09T14:20:34Z</dcterms:modified>
</cp:coreProperties>
</file>